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drawings/drawing4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45" windowWidth="19080" windowHeight="6465" tabRatio="845"/>
  </bookViews>
  <sheets>
    <sheet name="CONTROL" sheetId="1" r:id="rId1"/>
    <sheet name="RAP-LIGHT OIL" sheetId="2" r:id="rId2"/>
    <sheet name="RAP-HEAVY OIL&amp;WTI" sheetId="3" r:id="rId3"/>
    <sheet name="RAP-SOLID FUEL PRICES" sheetId="4" r:id="rId4"/>
    <sheet name="RAP-NATURAL GAS PRICES" sheetId="5" r:id="rId5"/>
    <sheet name="RAP TEMPLATE-GAS AVAILABILITY" sheetId="6" r:id="rId6"/>
  </sheets>
  <externalReferences>
    <externalReference r:id="rId7"/>
    <externalReference r:id="rId8"/>
    <externalReference r:id="rId9"/>
    <externalReference r:id="rId10"/>
  </externalReferences>
  <definedNames>
    <definedName name="__123Graph_A" hidden="1">'[1]FPL MOST LIKELY GAS BACKUP 1'!#REF!</definedName>
    <definedName name="__123Graph_B" hidden="1">'[1]FPL MOST LIKELY GAS BACKUP 1'!#REF!</definedName>
    <definedName name="__123Graph_X" hidden="1">'[1]FPL MOST LIKELY GAS BACKUP 1'!#REF!</definedName>
    <definedName name="_1">#REF!</definedName>
    <definedName name="_1A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394GAS">#REF!</definedName>
    <definedName name="_9394OIL">#REF!</definedName>
    <definedName name="_C1">#REF!</definedName>
    <definedName name="_GIP1">#REF!</definedName>
    <definedName name="_SYP1">#REF!</definedName>
    <definedName name="C_">#REF!</definedName>
    <definedName name="CC1_">#REF!</definedName>
    <definedName name="COMPET">#REF!</definedName>
    <definedName name="CopyXC">#REF!</definedName>
    <definedName name="DatabaseNameCopy">#REF!</definedName>
    <definedName name="DatabaseNameDG">#REF!</definedName>
    <definedName name="DateColumn">[2]_Setup_!#REF!</definedName>
    <definedName name="DestColRowXC">#REF!</definedName>
    <definedName name="DestDBname">#REF!</definedName>
    <definedName name="DestHdrRowColXC">#REF!</definedName>
    <definedName name="DestLayoutXC">#REF!</definedName>
    <definedName name="DestRowColXC">#REF!</definedName>
    <definedName name="DestStudyName">#REF!</definedName>
    <definedName name="DestStudyNameCopy">#REF!</definedName>
    <definedName name="DestUserName">#REF!</definedName>
    <definedName name="DestWorksheetXC">#REF!</definedName>
    <definedName name="EffectiveDate">[2]_Setup_!#REF!</definedName>
    <definedName name="FIRM">#REF!</definedName>
    <definedName name="FIRM1">#REF!</definedName>
    <definedName name="GAS">#REF!</definedName>
    <definedName name="GASAVAIL">#REF!</definedName>
    <definedName name="GIP">#REF!</definedName>
    <definedName name="HeaderXC">#REF!</definedName>
    <definedName name="I5_">#REF!</definedName>
    <definedName name="I6_">#REF!</definedName>
    <definedName name="I7_">#REF!</definedName>
    <definedName name="ImportListDG">#REF!</definedName>
    <definedName name="INDEXDATA">'[3]Index-Data'!$A$2:$CG$68</definedName>
    <definedName name="INFLAT">#REF!</definedName>
    <definedName name="LayoutXC">#REF!</definedName>
    <definedName name="Messages">[4]_UnregulatedCurves_!#REF!</definedName>
    <definedName name="MessagesDG">#REF!</definedName>
    <definedName name="MessagesDW">[4]_UnregulatedCurves_!#REF!</definedName>
    <definedName name="MONTH">#REF!</definedName>
    <definedName name="MONTH1">#REF!</definedName>
    <definedName name="MONTHID">'[3]Misc-Data'!$A$2:$F$85</definedName>
    <definedName name="MONTHS2">#REF!</definedName>
    <definedName name="MONTHS3">#REF!</definedName>
    <definedName name="MONTHS4">#REF!</definedName>
    <definedName name="MONTHS5">#REF!</definedName>
    <definedName name="MONTHS6">#REF!</definedName>
    <definedName name="MONTHS7">#REF!</definedName>
    <definedName name="OIPBBL">#REF!</definedName>
    <definedName name="OIPBBL1">#REF!</definedName>
    <definedName name="PasswordCopy">#REF!</definedName>
    <definedName name="PasswordDG">#REF!</definedName>
    <definedName name="PHASEII">#REF!</definedName>
    <definedName name="PHASEII1">#REF!</definedName>
    <definedName name="PHASEIII">#REF!</definedName>
    <definedName name="PHASEIII1">#REF!</definedName>
    <definedName name="pipedes">'[3]Misc-Data'!$D$2:$F$69</definedName>
    <definedName name="_xlnm.Print_Area" localSheetId="5">'RAP TEMPLATE-GAS AVAILABILITY'!$A$12:$T$1157</definedName>
    <definedName name="_xlnm.Print_Area" localSheetId="2">'RAP-HEAVY OIL&amp;WTI'!$A$12:$J$1157</definedName>
    <definedName name="_xlnm.Print_Area" localSheetId="1">'RAP-LIGHT OIL'!$A$12:$K$1157</definedName>
    <definedName name="_xlnm.Print_Area" localSheetId="4">'RAP-NATURAL GAS PRICES'!$A$13:$AC$1158</definedName>
    <definedName name="_xlnm.Print_Area" localSheetId="3">'RAP-SOLID FUEL PRICES'!$A$14:$O$1159</definedName>
    <definedName name="_xlnm.Print_Titles" localSheetId="5">'RAP TEMPLATE-GAS AVAILABILITY'!$1:$11</definedName>
    <definedName name="_xlnm.Print_Titles" localSheetId="2">'RAP-HEAVY OIL&amp;WTI'!$1:$11</definedName>
    <definedName name="_xlnm.Print_Titles" localSheetId="1">'RAP-LIGHT OIL'!$1:$11</definedName>
    <definedName name="_xlnm.Print_Titles" localSheetId="4">'RAP-NATURAL GAS PRICES'!$1:$12</definedName>
    <definedName name="_xlnm.Print_Titles" localSheetId="3">'RAP-SOLID FUEL PRICES'!$1:$13</definedName>
    <definedName name="RESULTS">#REF!</definedName>
    <definedName name="RESULTS1">#REF!</definedName>
    <definedName name="RESULTS2">#REF!</definedName>
    <definedName name="RESULTS3">#REF!</definedName>
    <definedName name="RESULTS4">#REF!</definedName>
    <definedName name="RESULTSA">#REF!</definedName>
    <definedName name="RowStart">[2]_Setup_!#REF!</definedName>
    <definedName name="SelectListCopy">#REF!</definedName>
    <definedName name="SFOR">#REF!</definedName>
    <definedName name="SFOR1">#REF!</definedName>
    <definedName name="SourceDBname">#REF!</definedName>
    <definedName name="SourceStudyName">#REF!</definedName>
    <definedName name="SourceStudyNameCopy">#REF!</definedName>
    <definedName name="SourceUserName">#REF!</definedName>
    <definedName name="SrcColRowXC">#REF!</definedName>
    <definedName name="SrcFileXC">#REF!</definedName>
    <definedName name="SrcStartRowColXC">#REF!</definedName>
    <definedName name="SrcWorksheetXC">#REF!</definedName>
    <definedName name="StatusCopy">#REF!</definedName>
    <definedName name="StatusDG">#REF!</definedName>
    <definedName name="StatusXC">#REF!</definedName>
    <definedName name="StudyNameDG">#REF!</definedName>
    <definedName name="SYP">#REF!</definedName>
    <definedName name="SYSGAS">#REF!</definedName>
    <definedName name="TITLES">#REF!</definedName>
    <definedName name="TOBBL">#REF!</definedName>
    <definedName name="TotalRowColXC">#REF!</definedName>
    <definedName name="TransferListDG">#REF!</definedName>
    <definedName name="TTG">#REF!</definedName>
    <definedName name="UserNameCopy">#REF!</definedName>
    <definedName name="UserNameDG">#REF!</definedName>
    <definedName name="VOLUMES">#REF!</definedName>
    <definedName name="VOLUMES1">#REF!</definedName>
    <definedName name="YEAR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24" i="6" l="1"/>
  <c r="D24" i="6"/>
  <c r="E24" i="6"/>
  <c r="F24" i="6"/>
  <c r="L24" i="6"/>
  <c r="N24" i="6"/>
  <c r="N1070" i="6" s="1"/>
  <c r="R24" i="6"/>
  <c r="Q24" i="6" s="1"/>
  <c r="S24" i="6" s="1"/>
  <c r="T24" i="6"/>
  <c r="C25" i="6"/>
  <c r="D25" i="6"/>
  <c r="E25" i="6"/>
  <c r="F25" i="6"/>
  <c r="N25" i="6"/>
  <c r="Q25" i="6"/>
  <c r="S25" i="6" s="1"/>
  <c r="R25" i="6"/>
  <c r="T25" i="6"/>
  <c r="T1070" i="6" s="1"/>
  <c r="C26" i="6"/>
  <c r="D26" i="6"/>
  <c r="E26" i="6"/>
  <c r="F26" i="6"/>
  <c r="N26" i="6"/>
  <c r="R26" i="6"/>
  <c r="T26" i="6"/>
  <c r="C27" i="6"/>
  <c r="D27" i="6"/>
  <c r="L27" i="6" s="1"/>
  <c r="E27" i="6"/>
  <c r="F27" i="6"/>
  <c r="N27" i="6"/>
  <c r="P27" i="6"/>
  <c r="R27" i="6"/>
  <c r="T27" i="6"/>
  <c r="C28" i="6"/>
  <c r="D28" i="6"/>
  <c r="E28" i="6"/>
  <c r="F28" i="6"/>
  <c r="N28" i="6"/>
  <c r="P28" i="6"/>
  <c r="R28" i="6"/>
  <c r="T28" i="6"/>
  <c r="C29" i="6"/>
  <c r="D29" i="6"/>
  <c r="E29" i="6"/>
  <c r="F29" i="6"/>
  <c r="N29" i="6"/>
  <c r="P29" i="6"/>
  <c r="Q29" i="6"/>
  <c r="R29" i="6"/>
  <c r="S29" i="6"/>
  <c r="T29" i="6"/>
  <c r="C30" i="6"/>
  <c r="L30" i="6" s="1"/>
  <c r="D30" i="6"/>
  <c r="E30" i="6"/>
  <c r="F30" i="6"/>
  <c r="N30" i="6"/>
  <c r="P30" i="6"/>
  <c r="R30" i="6"/>
  <c r="Q30" i="6" s="1"/>
  <c r="T30" i="6"/>
  <c r="C31" i="6"/>
  <c r="D31" i="6"/>
  <c r="E31" i="6"/>
  <c r="F31" i="6"/>
  <c r="N31" i="6"/>
  <c r="P31" i="6"/>
  <c r="R31" i="6"/>
  <c r="Q31" i="6" s="1"/>
  <c r="S31" i="6" s="1"/>
  <c r="T31" i="6"/>
  <c r="C32" i="6"/>
  <c r="L32" i="6" s="1"/>
  <c r="D32" i="6"/>
  <c r="E32" i="6"/>
  <c r="F32" i="6"/>
  <c r="N32" i="6"/>
  <c r="P32" i="6"/>
  <c r="R32" i="6"/>
  <c r="T32" i="6"/>
  <c r="C33" i="6"/>
  <c r="D33" i="6"/>
  <c r="E33" i="6"/>
  <c r="F33" i="6"/>
  <c r="L33" i="6"/>
  <c r="N33" i="6"/>
  <c r="P33" i="6"/>
  <c r="Q33" i="6"/>
  <c r="S33" i="6" s="1"/>
  <c r="R33" i="6"/>
  <c r="T33" i="6"/>
  <c r="C34" i="6"/>
  <c r="D34" i="6"/>
  <c r="E34" i="6"/>
  <c r="E1070" i="6" s="1"/>
  <c r="F34" i="6"/>
  <c r="N34" i="6"/>
  <c r="R34" i="6"/>
  <c r="Q34" i="6" s="1"/>
  <c r="S34" i="6" s="1"/>
  <c r="T34" i="6"/>
  <c r="C35" i="6"/>
  <c r="L35" i="6" s="1"/>
  <c r="D35" i="6"/>
  <c r="E35" i="6"/>
  <c r="F35" i="6"/>
  <c r="N35" i="6"/>
  <c r="Q35" i="6"/>
  <c r="S35" i="6" s="1"/>
  <c r="R35" i="6"/>
  <c r="T35" i="6"/>
  <c r="C36" i="6"/>
  <c r="L36" i="6" s="1"/>
  <c r="D36" i="6"/>
  <c r="E36" i="6"/>
  <c r="F36" i="6"/>
  <c r="N36" i="6"/>
  <c r="Q36" i="6"/>
  <c r="R36" i="6"/>
  <c r="S36" i="6"/>
  <c r="T36" i="6"/>
  <c r="C37" i="6"/>
  <c r="D37" i="6"/>
  <c r="E37" i="6"/>
  <c r="L37" i="6" s="1"/>
  <c r="F37" i="6"/>
  <c r="N37" i="6"/>
  <c r="Q37" i="6"/>
  <c r="S37" i="6" s="1"/>
  <c r="R37" i="6"/>
  <c r="T37" i="6"/>
  <c r="C38" i="6"/>
  <c r="L38" i="6" s="1"/>
  <c r="D38" i="6"/>
  <c r="E38" i="6"/>
  <c r="F38" i="6"/>
  <c r="N38" i="6"/>
  <c r="Q38" i="6"/>
  <c r="R38" i="6"/>
  <c r="S38" i="6"/>
  <c r="T38" i="6"/>
  <c r="C39" i="6"/>
  <c r="D39" i="6"/>
  <c r="E39" i="6"/>
  <c r="F39" i="6"/>
  <c r="H39" i="6"/>
  <c r="N39" i="6"/>
  <c r="P39" i="6"/>
  <c r="R39" i="6"/>
  <c r="T39" i="6"/>
  <c r="C40" i="6"/>
  <c r="D40" i="6"/>
  <c r="E40" i="6"/>
  <c r="F40" i="6"/>
  <c r="H40" i="6"/>
  <c r="N40" i="6"/>
  <c r="P40" i="6"/>
  <c r="Q40" i="6"/>
  <c r="R40" i="6"/>
  <c r="S40" i="6"/>
  <c r="T40" i="6"/>
  <c r="C41" i="6"/>
  <c r="L41" i="6" s="1"/>
  <c r="D41" i="6"/>
  <c r="E41" i="6"/>
  <c r="F41" i="6"/>
  <c r="H41" i="6"/>
  <c r="N41" i="6"/>
  <c r="P41" i="6"/>
  <c r="R41" i="6"/>
  <c r="T41" i="6"/>
  <c r="C42" i="6"/>
  <c r="D42" i="6"/>
  <c r="E42" i="6"/>
  <c r="F42" i="6"/>
  <c r="F1071" i="6" s="1"/>
  <c r="H42" i="6"/>
  <c r="N42" i="6"/>
  <c r="P42" i="6"/>
  <c r="Q42" i="6"/>
  <c r="R42" i="6"/>
  <c r="S42" i="6"/>
  <c r="T42" i="6"/>
  <c r="C43" i="6"/>
  <c r="L43" i="6" s="1"/>
  <c r="D43" i="6"/>
  <c r="E43" i="6"/>
  <c r="F43" i="6"/>
  <c r="H43" i="6"/>
  <c r="N43" i="6"/>
  <c r="P43" i="6"/>
  <c r="R43" i="6"/>
  <c r="T43" i="6"/>
  <c r="C44" i="6"/>
  <c r="D44" i="6"/>
  <c r="E44" i="6"/>
  <c r="F44" i="6"/>
  <c r="H44" i="6"/>
  <c r="N44" i="6"/>
  <c r="P44" i="6"/>
  <c r="Q44" i="6"/>
  <c r="R44" i="6"/>
  <c r="S44" i="6"/>
  <c r="T44" i="6"/>
  <c r="C45" i="6"/>
  <c r="L45" i="6" s="1"/>
  <c r="D45" i="6"/>
  <c r="E45" i="6"/>
  <c r="F45" i="6"/>
  <c r="H45" i="6"/>
  <c r="N45" i="6"/>
  <c r="P45" i="6"/>
  <c r="Q45" i="6" s="1"/>
  <c r="R45" i="6"/>
  <c r="S45" i="6"/>
  <c r="T45" i="6"/>
  <c r="C46" i="6"/>
  <c r="D46" i="6"/>
  <c r="E46" i="6"/>
  <c r="F46" i="6"/>
  <c r="H46" i="6"/>
  <c r="N46" i="6"/>
  <c r="N1071" i="6" s="1"/>
  <c r="R46" i="6"/>
  <c r="Q46" i="6" s="1"/>
  <c r="S46" i="6" s="1"/>
  <c r="T46" i="6"/>
  <c r="C47" i="6"/>
  <c r="D47" i="6"/>
  <c r="E47" i="6"/>
  <c r="F47" i="6"/>
  <c r="H47" i="6"/>
  <c r="N47" i="6"/>
  <c r="Q47" i="6"/>
  <c r="S47" i="6" s="1"/>
  <c r="R47" i="6"/>
  <c r="T47" i="6"/>
  <c r="C48" i="6"/>
  <c r="D48" i="6"/>
  <c r="E48" i="6"/>
  <c r="F48" i="6"/>
  <c r="H48" i="6"/>
  <c r="N48" i="6"/>
  <c r="R48" i="6"/>
  <c r="Q48" i="6" s="1"/>
  <c r="S48" i="6" s="1"/>
  <c r="T48" i="6"/>
  <c r="C49" i="6"/>
  <c r="D49" i="6"/>
  <c r="E49" i="6"/>
  <c r="F49" i="6"/>
  <c r="H49" i="6"/>
  <c r="N49" i="6"/>
  <c r="R49" i="6"/>
  <c r="Q49" i="6" s="1"/>
  <c r="S49" i="6" s="1"/>
  <c r="T49" i="6"/>
  <c r="C50" i="6"/>
  <c r="L50" i="6" s="1"/>
  <c r="D50" i="6"/>
  <c r="E50" i="6"/>
  <c r="F50" i="6"/>
  <c r="H50" i="6"/>
  <c r="N50" i="6"/>
  <c r="Q50" i="6"/>
  <c r="S50" i="6" s="1"/>
  <c r="R50" i="6"/>
  <c r="T50" i="6"/>
  <c r="C51" i="6"/>
  <c r="D51" i="6"/>
  <c r="E51" i="6"/>
  <c r="F51" i="6"/>
  <c r="L51" i="6" s="1"/>
  <c r="H51" i="6"/>
  <c r="N51" i="6"/>
  <c r="Q51" i="6"/>
  <c r="S51" i="6" s="1"/>
  <c r="R51" i="6"/>
  <c r="T51" i="6"/>
  <c r="C52" i="6"/>
  <c r="D52" i="6"/>
  <c r="E52" i="6"/>
  <c r="F52" i="6"/>
  <c r="H52" i="6"/>
  <c r="I52" i="6"/>
  <c r="N52" i="6"/>
  <c r="Q52" i="6"/>
  <c r="R52" i="6"/>
  <c r="S52" i="6"/>
  <c r="T52" i="6"/>
  <c r="C53" i="6"/>
  <c r="D53" i="6"/>
  <c r="E53" i="6"/>
  <c r="F53" i="6"/>
  <c r="H53" i="6"/>
  <c r="I53" i="6"/>
  <c r="L53" i="6"/>
  <c r="N53" i="6"/>
  <c r="Q53" i="6"/>
  <c r="S53" i="6" s="1"/>
  <c r="R53" i="6"/>
  <c r="T53" i="6"/>
  <c r="C54" i="6"/>
  <c r="L54" i="6" s="1"/>
  <c r="D54" i="6"/>
  <c r="E54" i="6"/>
  <c r="F54" i="6"/>
  <c r="H54" i="6"/>
  <c r="I54" i="6"/>
  <c r="N54" i="6"/>
  <c r="Q54" i="6"/>
  <c r="S54" i="6" s="1"/>
  <c r="R54" i="6"/>
  <c r="T54" i="6"/>
  <c r="C55" i="6"/>
  <c r="D55" i="6"/>
  <c r="E55" i="6"/>
  <c r="F55" i="6"/>
  <c r="H55" i="6"/>
  <c r="I55" i="6"/>
  <c r="N55" i="6"/>
  <c r="Q55" i="6"/>
  <c r="R55" i="6"/>
  <c r="T55" i="6"/>
  <c r="C56" i="6"/>
  <c r="D56" i="6"/>
  <c r="E56" i="6"/>
  <c r="F56" i="6"/>
  <c r="H56" i="6"/>
  <c r="I56" i="6"/>
  <c r="N56" i="6"/>
  <c r="Q56" i="6"/>
  <c r="R56" i="6"/>
  <c r="S56" i="6"/>
  <c r="T56" i="6"/>
  <c r="C57" i="6"/>
  <c r="D57" i="6"/>
  <c r="E57" i="6"/>
  <c r="F57" i="6"/>
  <c r="H57" i="6"/>
  <c r="I57" i="6"/>
  <c r="L57" i="6"/>
  <c r="N57" i="6"/>
  <c r="Q57" i="6"/>
  <c r="S57" i="6" s="1"/>
  <c r="R57" i="6"/>
  <c r="T57" i="6"/>
  <c r="C58" i="6"/>
  <c r="D58" i="6"/>
  <c r="E58" i="6"/>
  <c r="F58" i="6"/>
  <c r="H58" i="6"/>
  <c r="I58" i="6"/>
  <c r="N58" i="6"/>
  <c r="Q58" i="6"/>
  <c r="S58" i="6" s="1"/>
  <c r="R58" i="6"/>
  <c r="T58" i="6"/>
  <c r="C59" i="6"/>
  <c r="D59" i="6"/>
  <c r="E59" i="6"/>
  <c r="F59" i="6"/>
  <c r="H59" i="6"/>
  <c r="I59" i="6"/>
  <c r="N59" i="6"/>
  <c r="Q59" i="6"/>
  <c r="S59" i="6" s="1"/>
  <c r="R59" i="6"/>
  <c r="T59" i="6"/>
  <c r="C60" i="6"/>
  <c r="D60" i="6"/>
  <c r="E60" i="6"/>
  <c r="F60" i="6"/>
  <c r="H60" i="6"/>
  <c r="I60" i="6"/>
  <c r="N60" i="6"/>
  <c r="Q60" i="6"/>
  <c r="S60" i="6" s="1"/>
  <c r="R60" i="6"/>
  <c r="T60" i="6"/>
  <c r="C61" i="6"/>
  <c r="D61" i="6"/>
  <c r="E61" i="6"/>
  <c r="F61" i="6"/>
  <c r="H61" i="6"/>
  <c r="L61" i="6" s="1"/>
  <c r="I61" i="6"/>
  <c r="N61" i="6"/>
  <c r="Q61" i="6"/>
  <c r="S61" i="6" s="1"/>
  <c r="R61" i="6"/>
  <c r="T61" i="6"/>
  <c r="C62" i="6"/>
  <c r="D62" i="6"/>
  <c r="E62" i="6"/>
  <c r="F62" i="6"/>
  <c r="H62" i="6"/>
  <c r="I62" i="6"/>
  <c r="N62" i="6"/>
  <c r="Q62" i="6"/>
  <c r="S62" i="6" s="1"/>
  <c r="R62" i="6"/>
  <c r="T62" i="6"/>
  <c r="C63" i="6"/>
  <c r="D63" i="6"/>
  <c r="E63" i="6"/>
  <c r="F63" i="6"/>
  <c r="H63" i="6"/>
  <c r="L63" i="6" s="1"/>
  <c r="I63" i="6"/>
  <c r="N63" i="6"/>
  <c r="Q63" i="6"/>
  <c r="S63" i="6" s="1"/>
  <c r="R63" i="6"/>
  <c r="T63" i="6"/>
  <c r="C64" i="6"/>
  <c r="D64" i="6"/>
  <c r="E64" i="6"/>
  <c r="F64" i="6"/>
  <c r="H64" i="6"/>
  <c r="I64" i="6"/>
  <c r="N64" i="6"/>
  <c r="Q64" i="6"/>
  <c r="R64" i="6"/>
  <c r="S64" i="6"/>
  <c r="T64" i="6"/>
  <c r="C65" i="6"/>
  <c r="D65" i="6"/>
  <c r="E65" i="6"/>
  <c r="F65" i="6"/>
  <c r="H65" i="6"/>
  <c r="I65" i="6"/>
  <c r="L65" i="6"/>
  <c r="N65" i="6"/>
  <c r="Q65" i="6"/>
  <c r="S65" i="6" s="1"/>
  <c r="R65" i="6"/>
  <c r="T65" i="6"/>
  <c r="C66" i="6"/>
  <c r="D66" i="6"/>
  <c r="E66" i="6"/>
  <c r="F66" i="6"/>
  <c r="H66" i="6"/>
  <c r="I66" i="6"/>
  <c r="N66" i="6"/>
  <c r="Q66" i="6"/>
  <c r="S66" i="6" s="1"/>
  <c r="R66" i="6"/>
  <c r="T66" i="6"/>
  <c r="C67" i="6"/>
  <c r="L67" i="6" s="1"/>
  <c r="D67" i="6"/>
  <c r="E67" i="6"/>
  <c r="F67" i="6"/>
  <c r="H67" i="6"/>
  <c r="I67" i="6"/>
  <c r="N67" i="6"/>
  <c r="Q67" i="6"/>
  <c r="S67" i="6" s="1"/>
  <c r="R67" i="6"/>
  <c r="T67" i="6"/>
  <c r="C68" i="6"/>
  <c r="D68" i="6"/>
  <c r="E68" i="6"/>
  <c r="F68" i="6"/>
  <c r="H68" i="6"/>
  <c r="I68" i="6"/>
  <c r="N68" i="6"/>
  <c r="Q68" i="6"/>
  <c r="S68" i="6" s="1"/>
  <c r="R68" i="6"/>
  <c r="T68" i="6"/>
  <c r="C69" i="6"/>
  <c r="D69" i="6"/>
  <c r="E69" i="6"/>
  <c r="F69" i="6"/>
  <c r="H69" i="6"/>
  <c r="L69" i="6" s="1"/>
  <c r="I69" i="6"/>
  <c r="N69" i="6"/>
  <c r="Q69" i="6"/>
  <c r="S69" i="6" s="1"/>
  <c r="R69" i="6"/>
  <c r="T69" i="6"/>
  <c r="C70" i="6"/>
  <c r="D70" i="6"/>
  <c r="E70" i="6"/>
  <c r="F70" i="6"/>
  <c r="H70" i="6"/>
  <c r="I70" i="6"/>
  <c r="N70" i="6"/>
  <c r="R70" i="6"/>
  <c r="Q70" i="6" s="1"/>
  <c r="S70" i="6"/>
  <c r="T70" i="6"/>
  <c r="C71" i="6"/>
  <c r="D71" i="6"/>
  <c r="E71" i="6"/>
  <c r="F71" i="6"/>
  <c r="H71" i="6"/>
  <c r="I71" i="6"/>
  <c r="L71" i="6"/>
  <c r="N71" i="6"/>
  <c r="Q71" i="6"/>
  <c r="S71" i="6" s="1"/>
  <c r="R71" i="6"/>
  <c r="T71" i="6"/>
  <c r="C72" i="6"/>
  <c r="D72" i="6"/>
  <c r="E72" i="6"/>
  <c r="F72" i="6"/>
  <c r="H72" i="6"/>
  <c r="I72" i="6"/>
  <c r="N72" i="6"/>
  <c r="Q72" i="6"/>
  <c r="R72" i="6"/>
  <c r="S72" i="6"/>
  <c r="T72" i="6"/>
  <c r="C73" i="6"/>
  <c r="D73" i="6"/>
  <c r="E73" i="6"/>
  <c r="F73" i="6"/>
  <c r="H73" i="6"/>
  <c r="I73" i="6"/>
  <c r="N73" i="6"/>
  <c r="Q73" i="6"/>
  <c r="S73" i="6" s="1"/>
  <c r="R73" i="6"/>
  <c r="T73" i="6"/>
  <c r="C74" i="6"/>
  <c r="D74" i="6"/>
  <c r="E74" i="6"/>
  <c r="F74" i="6"/>
  <c r="H74" i="6"/>
  <c r="H1074" i="6" s="1"/>
  <c r="I74" i="6"/>
  <c r="N74" i="6"/>
  <c r="Q74" i="6"/>
  <c r="S74" i="6" s="1"/>
  <c r="R74" i="6"/>
  <c r="T74" i="6"/>
  <c r="C75" i="6"/>
  <c r="L75" i="6" s="1"/>
  <c r="D75" i="6"/>
  <c r="E75" i="6"/>
  <c r="F75" i="6"/>
  <c r="H75" i="6"/>
  <c r="I75" i="6"/>
  <c r="N75" i="6"/>
  <c r="Q75" i="6"/>
  <c r="S75" i="6" s="1"/>
  <c r="R75" i="6"/>
  <c r="T75" i="6"/>
  <c r="C76" i="6"/>
  <c r="D76" i="6"/>
  <c r="E76" i="6"/>
  <c r="F76" i="6"/>
  <c r="H76" i="6"/>
  <c r="I76" i="6"/>
  <c r="N76" i="6"/>
  <c r="Q76" i="6"/>
  <c r="R76" i="6"/>
  <c r="S76" i="6"/>
  <c r="T76" i="6"/>
  <c r="C77" i="6"/>
  <c r="D77" i="6"/>
  <c r="E77" i="6"/>
  <c r="F77" i="6"/>
  <c r="H77" i="6"/>
  <c r="I77" i="6"/>
  <c r="L77" i="6"/>
  <c r="N77" i="6"/>
  <c r="Q77" i="6"/>
  <c r="S77" i="6" s="1"/>
  <c r="R77" i="6"/>
  <c r="T77" i="6"/>
  <c r="C78" i="6"/>
  <c r="D78" i="6"/>
  <c r="E78" i="6"/>
  <c r="F78" i="6"/>
  <c r="H78" i="6"/>
  <c r="I78" i="6"/>
  <c r="N78" i="6"/>
  <c r="Q78" i="6"/>
  <c r="R78" i="6"/>
  <c r="S78" i="6"/>
  <c r="T78" i="6"/>
  <c r="C79" i="6"/>
  <c r="L79" i="6" s="1"/>
  <c r="D79" i="6"/>
  <c r="E79" i="6"/>
  <c r="F79" i="6"/>
  <c r="H79" i="6"/>
  <c r="I79" i="6"/>
  <c r="N79" i="6"/>
  <c r="Q79" i="6"/>
  <c r="R79" i="6"/>
  <c r="T79" i="6"/>
  <c r="C80" i="6"/>
  <c r="D80" i="6"/>
  <c r="E80" i="6"/>
  <c r="F80" i="6"/>
  <c r="H80" i="6"/>
  <c r="I80" i="6"/>
  <c r="N80" i="6"/>
  <c r="Q80" i="6"/>
  <c r="R80" i="6"/>
  <c r="S80" i="6"/>
  <c r="T80" i="6"/>
  <c r="C81" i="6"/>
  <c r="L81" i="6" s="1"/>
  <c r="D81" i="6"/>
  <c r="E81" i="6"/>
  <c r="F81" i="6"/>
  <c r="H81" i="6"/>
  <c r="I81" i="6"/>
  <c r="N81" i="6"/>
  <c r="Q81" i="6"/>
  <c r="S81" i="6" s="1"/>
  <c r="R81" i="6"/>
  <c r="T81" i="6"/>
  <c r="C82" i="6"/>
  <c r="D82" i="6"/>
  <c r="E82" i="6"/>
  <c r="F82" i="6"/>
  <c r="H82" i="6"/>
  <c r="I82" i="6"/>
  <c r="N82" i="6"/>
  <c r="Q82" i="6"/>
  <c r="S82" i="6" s="1"/>
  <c r="R82" i="6"/>
  <c r="T82" i="6"/>
  <c r="C83" i="6"/>
  <c r="D83" i="6"/>
  <c r="E83" i="6"/>
  <c r="F83" i="6"/>
  <c r="H83" i="6"/>
  <c r="I83" i="6"/>
  <c r="N83" i="6"/>
  <c r="Q83" i="6"/>
  <c r="S83" i="6" s="1"/>
  <c r="R83" i="6"/>
  <c r="T83" i="6"/>
  <c r="C84" i="6"/>
  <c r="D84" i="6"/>
  <c r="E84" i="6"/>
  <c r="F84" i="6"/>
  <c r="H84" i="6"/>
  <c r="I84" i="6"/>
  <c r="N84" i="6"/>
  <c r="Q84" i="6"/>
  <c r="R84" i="6"/>
  <c r="S84" i="6"/>
  <c r="T84" i="6"/>
  <c r="C85" i="6"/>
  <c r="D85" i="6"/>
  <c r="E85" i="6"/>
  <c r="F85" i="6"/>
  <c r="H85" i="6"/>
  <c r="I85" i="6"/>
  <c r="L85" i="6"/>
  <c r="N85" i="6"/>
  <c r="Q85" i="6"/>
  <c r="S85" i="6" s="1"/>
  <c r="R85" i="6"/>
  <c r="T85" i="6"/>
  <c r="C86" i="6"/>
  <c r="D86" i="6"/>
  <c r="E86" i="6"/>
  <c r="F86" i="6"/>
  <c r="H86" i="6"/>
  <c r="I86" i="6"/>
  <c r="N86" i="6"/>
  <c r="Q86" i="6"/>
  <c r="S86" i="6" s="1"/>
  <c r="R86" i="6"/>
  <c r="T86" i="6"/>
  <c r="C87" i="6"/>
  <c r="D87" i="6"/>
  <c r="E87" i="6"/>
  <c r="F87" i="6"/>
  <c r="H87" i="6"/>
  <c r="H1075" i="6" s="1"/>
  <c r="I87" i="6"/>
  <c r="N87" i="6"/>
  <c r="Q87" i="6"/>
  <c r="S87" i="6" s="1"/>
  <c r="R87" i="6"/>
  <c r="T87" i="6"/>
  <c r="C88" i="6"/>
  <c r="D88" i="6"/>
  <c r="D1075" i="6" s="1"/>
  <c r="E88" i="6"/>
  <c r="F88" i="6"/>
  <c r="H88" i="6"/>
  <c r="I88" i="6"/>
  <c r="N88" i="6"/>
  <c r="Q88" i="6"/>
  <c r="R88" i="6"/>
  <c r="S88" i="6"/>
  <c r="T88" i="6"/>
  <c r="C89" i="6"/>
  <c r="D89" i="6"/>
  <c r="E89" i="6"/>
  <c r="F89" i="6"/>
  <c r="H89" i="6"/>
  <c r="I89" i="6"/>
  <c r="L89" i="6"/>
  <c r="N89" i="6"/>
  <c r="Q89" i="6"/>
  <c r="S89" i="6" s="1"/>
  <c r="R89" i="6"/>
  <c r="T89" i="6"/>
  <c r="C90" i="6"/>
  <c r="D90" i="6"/>
  <c r="E90" i="6"/>
  <c r="F90" i="6"/>
  <c r="H90" i="6"/>
  <c r="I90" i="6"/>
  <c r="N90" i="6"/>
  <c r="Q90" i="6"/>
  <c r="S90" i="6" s="1"/>
  <c r="R90" i="6"/>
  <c r="T90" i="6"/>
  <c r="C91" i="6"/>
  <c r="D91" i="6"/>
  <c r="E91" i="6"/>
  <c r="F91" i="6"/>
  <c r="H91" i="6"/>
  <c r="I91" i="6"/>
  <c r="N91" i="6"/>
  <c r="Q91" i="6"/>
  <c r="S91" i="6" s="1"/>
  <c r="R91" i="6"/>
  <c r="T91" i="6"/>
  <c r="C92" i="6"/>
  <c r="D92" i="6"/>
  <c r="E92" i="6"/>
  <c r="F92" i="6"/>
  <c r="H92" i="6"/>
  <c r="I92" i="6"/>
  <c r="N92" i="6"/>
  <c r="Q92" i="6"/>
  <c r="R92" i="6"/>
  <c r="T92" i="6"/>
  <c r="C93" i="6"/>
  <c r="D93" i="6"/>
  <c r="E93" i="6"/>
  <c r="F93" i="6"/>
  <c r="H93" i="6"/>
  <c r="L93" i="6" s="1"/>
  <c r="I93" i="6"/>
  <c r="N93" i="6"/>
  <c r="Q93" i="6"/>
  <c r="S93" i="6" s="1"/>
  <c r="R93" i="6"/>
  <c r="T93" i="6"/>
  <c r="C94" i="6"/>
  <c r="D94" i="6"/>
  <c r="E94" i="6"/>
  <c r="F94" i="6"/>
  <c r="H94" i="6"/>
  <c r="I94" i="6"/>
  <c r="N94" i="6"/>
  <c r="Q94" i="6"/>
  <c r="S94" i="6" s="1"/>
  <c r="R94" i="6"/>
  <c r="T94" i="6"/>
  <c r="C95" i="6"/>
  <c r="D95" i="6"/>
  <c r="E95" i="6"/>
  <c r="F95" i="6"/>
  <c r="H95" i="6"/>
  <c r="L95" i="6" s="1"/>
  <c r="I95" i="6"/>
  <c r="N95" i="6"/>
  <c r="Q95" i="6"/>
  <c r="S95" i="6" s="1"/>
  <c r="R95" i="6"/>
  <c r="T95" i="6"/>
  <c r="C96" i="6"/>
  <c r="D96" i="6"/>
  <c r="E96" i="6"/>
  <c r="F96" i="6"/>
  <c r="H96" i="6"/>
  <c r="I96" i="6"/>
  <c r="N96" i="6"/>
  <c r="Q96" i="6"/>
  <c r="R96" i="6"/>
  <c r="S96" i="6"/>
  <c r="T96" i="6"/>
  <c r="C97" i="6"/>
  <c r="D97" i="6"/>
  <c r="E97" i="6"/>
  <c r="F97" i="6"/>
  <c r="H97" i="6"/>
  <c r="I97" i="6"/>
  <c r="L97" i="6"/>
  <c r="N97" i="6"/>
  <c r="Q97" i="6"/>
  <c r="S97" i="6" s="1"/>
  <c r="R97" i="6"/>
  <c r="T97" i="6"/>
  <c r="C98" i="6"/>
  <c r="D98" i="6"/>
  <c r="E98" i="6"/>
  <c r="F98" i="6"/>
  <c r="H98" i="6"/>
  <c r="I98" i="6"/>
  <c r="N98" i="6"/>
  <c r="Q98" i="6"/>
  <c r="R98" i="6"/>
  <c r="S98" i="6"/>
  <c r="T98" i="6"/>
  <c r="C99" i="6"/>
  <c r="L99" i="6" s="1"/>
  <c r="D99" i="6"/>
  <c r="E99" i="6"/>
  <c r="F99" i="6"/>
  <c r="H99" i="6"/>
  <c r="I99" i="6"/>
  <c r="N99" i="6"/>
  <c r="Q99" i="6"/>
  <c r="S99" i="6" s="1"/>
  <c r="R99" i="6"/>
  <c r="T99" i="6"/>
  <c r="C100" i="6"/>
  <c r="D100" i="6"/>
  <c r="E100" i="6"/>
  <c r="F100" i="6"/>
  <c r="H100" i="6"/>
  <c r="I100" i="6"/>
  <c r="N100" i="6"/>
  <c r="Q100" i="6"/>
  <c r="S100" i="6" s="1"/>
  <c r="R100" i="6"/>
  <c r="T100" i="6"/>
  <c r="C101" i="6"/>
  <c r="L101" i="6" s="1"/>
  <c r="D101" i="6"/>
  <c r="E101" i="6"/>
  <c r="F101" i="6"/>
  <c r="H101" i="6"/>
  <c r="I101" i="6"/>
  <c r="N101" i="6"/>
  <c r="Q101" i="6"/>
  <c r="S101" i="6" s="1"/>
  <c r="R101" i="6"/>
  <c r="T101" i="6"/>
  <c r="C102" i="6"/>
  <c r="D102" i="6"/>
  <c r="E102" i="6"/>
  <c r="F102" i="6"/>
  <c r="H102" i="6"/>
  <c r="I102" i="6"/>
  <c r="N102" i="6"/>
  <c r="Q102" i="6"/>
  <c r="R102" i="6"/>
  <c r="S102" i="6"/>
  <c r="T102" i="6"/>
  <c r="C103" i="6"/>
  <c r="D103" i="6"/>
  <c r="E103" i="6"/>
  <c r="F103" i="6"/>
  <c r="H103" i="6"/>
  <c r="I103" i="6"/>
  <c r="L103" i="6"/>
  <c r="N103" i="6"/>
  <c r="Q103" i="6"/>
  <c r="S103" i="6" s="1"/>
  <c r="R103" i="6"/>
  <c r="T103" i="6"/>
  <c r="C104" i="6"/>
  <c r="D104" i="6"/>
  <c r="E104" i="6"/>
  <c r="F104" i="6"/>
  <c r="H104" i="6"/>
  <c r="I104" i="6"/>
  <c r="N104" i="6"/>
  <c r="Q104" i="6"/>
  <c r="S104" i="6" s="1"/>
  <c r="R104" i="6"/>
  <c r="T104" i="6"/>
  <c r="C105" i="6"/>
  <c r="L105" i="6" s="1"/>
  <c r="D105" i="6"/>
  <c r="E105" i="6"/>
  <c r="F105" i="6"/>
  <c r="H105" i="6"/>
  <c r="I105" i="6"/>
  <c r="N105" i="6"/>
  <c r="Q105" i="6"/>
  <c r="S105" i="6" s="1"/>
  <c r="R105" i="6"/>
  <c r="T105" i="6"/>
  <c r="C106" i="6"/>
  <c r="D106" i="6"/>
  <c r="E106" i="6"/>
  <c r="F106" i="6"/>
  <c r="H106" i="6"/>
  <c r="I106" i="6"/>
  <c r="N106" i="6"/>
  <c r="Q106" i="6"/>
  <c r="R106" i="6"/>
  <c r="S106" i="6"/>
  <c r="T106" i="6"/>
  <c r="C107" i="6"/>
  <c r="D107" i="6"/>
  <c r="E107" i="6"/>
  <c r="F107" i="6"/>
  <c r="H107" i="6"/>
  <c r="I107" i="6"/>
  <c r="L107" i="6"/>
  <c r="N107" i="6"/>
  <c r="Q107" i="6"/>
  <c r="S107" i="6" s="1"/>
  <c r="R107" i="6"/>
  <c r="T107" i="6"/>
  <c r="C108" i="6"/>
  <c r="D108" i="6"/>
  <c r="E108" i="6"/>
  <c r="F108" i="6"/>
  <c r="H108" i="6"/>
  <c r="I108" i="6"/>
  <c r="N108" i="6"/>
  <c r="Q108" i="6"/>
  <c r="S108" i="6" s="1"/>
  <c r="R108" i="6"/>
  <c r="T108" i="6"/>
  <c r="C109" i="6"/>
  <c r="L109" i="6" s="1"/>
  <c r="D109" i="6"/>
  <c r="E109" i="6"/>
  <c r="F109" i="6"/>
  <c r="H109" i="6"/>
  <c r="I109" i="6"/>
  <c r="N109" i="6"/>
  <c r="Q109" i="6"/>
  <c r="S109" i="6" s="1"/>
  <c r="R109" i="6"/>
  <c r="T109" i="6"/>
  <c r="C110" i="6"/>
  <c r="D110" i="6"/>
  <c r="E110" i="6"/>
  <c r="F110" i="6"/>
  <c r="H110" i="6"/>
  <c r="I110" i="6"/>
  <c r="N110" i="6"/>
  <c r="Q110" i="6"/>
  <c r="S110" i="6" s="1"/>
  <c r="R110" i="6"/>
  <c r="T110" i="6"/>
  <c r="C111" i="6"/>
  <c r="D111" i="6"/>
  <c r="E111" i="6"/>
  <c r="F111" i="6"/>
  <c r="H111" i="6"/>
  <c r="L111" i="6" s="1"/>
  <c r="I111" i="6"/>
  <c r="N111" i="6"/>
  <c r="Q111" i="6"/>
  <c r="S111" i="6" s="1"/>
  <c r="R111" i="6"/>
  <c r="T111" i="6"/>
  <c r="C112" i="6"/>
  <c r="D112" i="6"/>
  <c r="D1077" i="6" s="1"/>
  <c r="E112" i="6"/>
  <c r="F112" i="6"/>
  <c r="H112" i="6"/>
  <c r="I112" i="6"/>
  <c r="N112" i="6"/>
  <c r="Q112" i="6"/>
  <c r="R112" i="6"/>
  <c r="S112" i="6"/>
  <c r="T112" i="6"/>
  <c r="C113" i="6"/>
  <c r="D113" i="6"/>
  <c r="E113" i="6"/>
  <c r="F113" i="6"/>
  <c r="H113" i="6"/>
  <c r="I113" i="6"/>
  <c r="L113" i="6"/>
  <c r="N113" i="6"/>
  <c r="Q113" i="6"/>
  <c r="S113" i="6" s="1"/>
  <c r="R113" i="6"/>
  <c r="T113" i="6"/>
  <c r="C114" i="6"/>
  <c r="D114" i="6"/>
  <c r="E114" i="6"/>
  <c r="F114" i="6"/>
  <c r="H114" i="6"/>
  <c r="I114" i="6"/>
  <c r="N114" i="6"/>
  <c r="Q114" i="6"/>
  <c r="R114" i="6"/>
  <c r="S114" i="6"/>
  <c r="T114" i="6"/>
  <c r="C115" i="6"/>
  <c r="D115" i="6"/>
  <c r="E115" i="6"/>
  <c r="F115" i="6"/>
  <c r="H115" i="6"/>
  <c r="I115" i="6"/>
  <c r="N115" i="6"/>
  <c r="Q115" i="6"/>
  <c r="R115" i="6"/>
  <c r="T115" i="6"/>
  <c r="C116" i="6"/>
  <c r="D116" i="6"/>
  <c r="E116" i="6"/>
  <c r="F116" i="6"/>
  <c r="H116" i="6"/>
  <c r="I116" i="6"/>
  <c r="N116" i="6"/>
  <c r="Q116" i="6"/>
  <c r="S116" i="6" s="1"/>
  <c r="R116" i="6"/>
  <c r="T116" i="6"/>
  <c r="C117" i="6"/>
  <c r="D117" i="6"/>
  <c r="E117" i="6"/>
  <c r="F117" i="6"/>
  <c r="H117" i="6"/>
  <c r="H1077" i="6" s="1"/>
  <c r="I117" i="6"/>
  <c r="N117" i="6"/>
  <c r="Q117" i="6"/>
  <c r="S117" i="6" s="1"/>
  <c r="R117" i="6"/>
  <c r="T117" i="6"/>
  <c r="C118" i="6"/>
  <c r="D118" i="6"/>
  <c r="E118" i="6"/>
  <c r="F118" i="6"/>
  <c r="H118" i="6"/>
  <c r="I118" i="6"/>
  <c r="N118" i="6"/>
  <c r="Q118" i="6"/>
  <c r="R118" i="6"/>
  <c r="S118" i="6"/>
  <c r="T118" i="6"/>
  <c r="C119" i="6"/>
  <c r="D119" i="6"/>
  <c r="E119" i="6"/>
  <c r="F119" i="6"/>
  <c r="H119" i="6"/>
  <c r="I119" i="6"/>
  <c r="L119" i="6"/>
  <c r="N119" i="6"/>
  <c r="Q119" i="6"/>
  <c r="S119" i="6" s="1"/>
  <c r="R119" i="6"/>
  <c r="T119" i="6"/>
  <c r="C120" i="6"/>
  <c r="D120" i="6"/>
  <c r="E120" i="6"/>
  <c r="F120" i="6"/>
  <c r="H120" i="6"/>
  <c r="I120" i="6"/>
  <c r="N120" i="6"/>
  <c r="Q120" i="6"/>
  <c r="S120" i="6" s="1"/>
  <c r="R120" i="6"/>
  <c r="T120" i="6"/>
  <c r="C121" i="6"/>
  <c r="L121" i="6" s="1"/>
  <c r="D121" i="6"/>
  <c r="E121" i="6"/>
  <c r="F121" i="6"/>
  <c r="H121" i="6"/>
  <c r="I121" i="6"/>
  <c r="N121" i="6"/>
  <c r="Q121" i="6"/>
  <c r="S121" i="6" s="1"/>
  <c r="R121" i="6"/>
  <c r="T121" i="6"/>
  <c r="C122" i="6"/>
  <c r="D122" i="6"/>
  <c r="E122" i="6"/>
  <c r="F122" i="6"/>
  <c r="H122" i="6"/>
  <c r="I122" i="6"/>
  <c r="N122" i="6"/>
  <c r="Q122" i="6"/>
  <c r="R122" i="6"/>
  <c r="S122" i="6"/>
  <c r="T122" i="6"/>
  <c r="C123" i="6"/>
  <c r="D123" i="6"/>
  <c r="E123" i="6"/>
  <c r="F123" i="6"/>
  <c r="H123" i="6"/>
  <c r="I123" i="6"/>
  <c r="L123" i="6"/>
  <c r="N123" i="6"/>
  <c r="Q123" i="6"/>
  <c r="S123" i="6" s="1"/>
  <c r="R123" i="6"/>
  <c r="T123" i="6"/>
  <c r="C124" i="6"/>
  <c r="D124" i="6"/>
  <c r="E124" i="6"/>
  <c r="F124" i="6"/>
  <c r="H124" i="6"/>
  <c r="I124" i="6"/>
  <c r="N124" i="6"/>
  <c r="Q124" i="6"/>
  <c r="S124" i="6" s="1"/>
  <c r="R124" i="6"/>
  <c r="T124" i="6"/>
  <c r="C125" i="6"/>
  <c r="D125" i="6"/>
  <c r="E125" i="6"/>
  <c r="F125" i="6"/>
  <c r="H125" i="6"/>
  <c r="I125" i="6"/>
  <c r="N125" i="6"/>
  <c r="Q125" i="6"/>
  <c r="S125" i="6" s="1"/>
  <c r="R125" i="6"/>
  <c r="T125" i="6"/>
  <c r="C126" i="6"/>
  <c r="D126" i="6"/>
  <c r="E126" i="6"/>
  <c r="F126" i="6"/>
  <c r="H126" i="6"/>
  <c r="I126" i="6"/>
  <c r="N126" i="6"/>
  <c r="Q126" i="6"/>
  <c r="S126" i="6" s="1"/>
  <c r="R126" i="6"/>
  <c r="T126" i="6"/>
  <c r="C127" i="6"/>
  <c r="D127" i="6"/>
  <c r="E127" i="6"/>
  <c r="F127" i="6"/>
  <c r="H127" i="6"/>
  <c r="L127" i="6" s="1"/>
  <c r="I127" i="6"/>
  <c r="N127" i="6"/>
  <c r="Q127" i="6"/>
  <c r="S127" i="6" s="1"/>
  <c r="R127" i="6"/>
  <c r="T127" i="6"/>
  <c r="C128" i="6"/>
  <c r="L128" i="6" s="1"/>
  <c r="D128" i="6"/>
  <c r="E128" i="6"/>
  <c r="F128" i="6"/>
  <c r="H128" i="6"/>
  <c r="I128" i="6"/>
  <c r="N128" i="6"/>
  <c r="R128" i="6"/>
  <c r="Q128" i="6" s="1"/>
  <c r="S128" i="6" s="1"/>
  <c r="T128" i="6"/>
  <c r="C129" i="6"/>
  <c r="D129" i="6"/>
  <c r="E129" i="6"/>
  <c r="F129" i="6"/>
  <c r="H129" i="6"/>
  <c r="I129" i="6"/>
  <c r="N129" i="6"/>
  <c r="Q129" i="6"/>
  <c r="R129" i="6"/>
  <c r="S129" i="6"/>
  <c r="T129" i="6"/>
  <c r="C130" i="6"/>
  <c r="D130" i="6"/>
  <c r="E130" i="6"/>
  <c r="F130" i="6"/>
  <c r="H130" i="6"/>
  <c r="I130" i="6"/>
  <c r="N130" i="6"/>
  <c r="Q130" i="6"/>
  <c r="S130" i="6" s="1"/>
  <c r="R130" i="6"/>
  <c r="T130" i="6"/>
  <c r="C131" i="6"/>
  <c r="D131" i="6"/>
  <c r="E131" i="6"/>
  <c r="F131" i="6"/>
  <c r="H131" i="6"/>
  <c r="I131" i="6"/>
  <c r="N131" i="6"/>
  <c r="Q131" i="6"/>
  <c r="R131" i="6"/>
  <c r="S131" i="6"/>
  <c r="T131" i="6"/>
  <c r="C132" i="6"/>
  <c r="D132" i="6"/>
  <c r="E132" i="6"/>
  <c r="F132" i="6"/>
  <c r="H132" i="6"/>
  <c r="I132" i="6"/>
  <c r="N132" i="6"/>
  <c r="Q132" i="6"/>
  <c r="S132" i="6" s="1"/>
  <c r="R132" i="6"/>
  <c r="T132" i="6"/>
  <c r="C133" i="6"/>
  <c r="D133" i="6"/>
  <c r="E133" i="6"/>
  <c r="F133" i="6"/>
  <c r="H133" i="6"/>
  <c r="I133" i="6"/>
  <c r="N133" i="6"/>
  <c r="R133" i="6"/>
  <c r="Q133" i="6" s="1"/>
  <c r="S133" i="6"/>
  <c r="T133" i="6"/>
  <c r="C134" i="6"/>
  <c r="L134" i="6" s="1"/>
  <c r="D134" i="6"/>
  <c r="E134" i="6"/>
  <c r="F134" i="6"/>
  <c r="H134" i="6"/>
  <c r="I134" i="6"/>
  <c r="N134" i="6"/>
  <c r="R134" i="6"/>
  <c r="T134" i="6"/>
  <c r="C135" i="6"/>
  <c r="D135" i="6"/>
  <c r="E135" i="6"/>
  <c r="F135" i="6"/>
  <c r="H135" i="6"/>
  <c r="I135" i="6"/>
  <c r="N135" i="6"/>
  <c r="R135" i="6"/>
  <c r="Q135" i="6" s="1"/>
  <c r="S135" i="6" s="1"/>
  <c r="T135" i="6"/>
  <c r="C136" i="6"/>
  <c r="D136" i="6"/>
  <c r="E136" i="6"/>
  <c r="F136" i="6"/>
  <c r="H136" i="6"/>
  <c r="I136" i="6"/>
  <c r="I1079" i="6" s="1"/>
  <c r="N136" i="6"/>
  <c r="R136" i="6"/>
  <c r="Q136" i="6" s="1"/>
  <c r="S136" i="6"/>
  <c r="T136" i="6"/>
  <c r="C137" i="6"/>
  <c r="D137" i="6"/>
  <c r="E137" i="6"/>
  <c r="F137" i="6"/>
  <c r="H137" i="6"/>
  <c r="I137" i="6"/>
  <c r="N137" i="6"/>
  <c r="R137" i="6"/>
  <c r="Q137" i="6" s="1"/>
  <c r="S137" i="6"/>
  <c r="T137" i="6"/>
  <c r="C138" i="6"/>
  <c r="D138" i="6"/>
  <c r="E138" i="6"/>
  <c r="F138" i="6"/>
  <c r="H138" i="6"/>
  <c r="I138" i="6"/>
  <c r="L138" i="6"/>
  <c r="N138" i="6"/>
  <c r="Q138" i="6"/>
  <c r="R138" i="6"/>
  <c r="S138" i="6"/>
  <c r="T138" i="6"/>
  <c r="C139" i="6"/>
  <c r="D139" i="6"/>
  <c r="E139" i="6"/>
  <c r="L139" i="6" s="1"/>
  <c r="F139" i="6"/>
  <c r="H139" i="6"/>
  <c r="I139" i="6"/>
  <c r="N139" i="6"/>
  <c r="R139" i="6"/>
  <c r="Q139" i="6" s="1"/>
  <c r="S139" i="6" s="1"/>
  <c r="T139" i="6"/>
  <c r="C140" i="6"/>
  <c r="L140" i="6" s="1"/>
  <c r="D140" i="6"/>
  <c r="E140" i="6"/>
  <c r="F140" i="6"/>
  <c r="H140" i="6"/>
  <c r="I140" i="6"/>
  <c r="N140" i="6"/>
  <c r="R140" i="6"/>
  <c r="Q140" i="6" s="1"/>
  <c r="S140" i="6" s="1"/>
  <c r="T140" i="6"/>
  <c r="C141" i="6"/>
  <c r="D141" i="6"/>
  <c r="L141" i="6" s="1"/>
  <c r="E141" i="6"/>
  <c r="F141" i="6"/>
  <c r="H141" i="6"/>
  <c r="I141" i="6"/>
  <c r="N141" i="6"/>
  <c r="R141" i="6"/>
  <c r="Q141" i="6" s="1"/>
  <c r="S141" i="6" s="1"/>
  <c r="T141" i="6"/>
  <c r="C142" i="6"/>
  <c r="L142" i="6" s="1"/>
  <c r="D142" i="6"/>
  <c r="E142" i="6"/>
  <c r="F142" i="6"/>
  <c r="H142" i="6"/>
  <c r="I142" i="6"/>
  <c r="N142" i="6"/>
  <c r="Q142" i="6"/>
  <c r="S142" i="6" s="1"/>
  <c r="R142" i="6"/>
  <c r="T142" i="6"/>
  <c r="C143" i="6"/>
  <c r="D143" i="6"/>
  <c r="E143" i="6"/>
  <c r="F143" i="6"/>
  <c r="H143" i="6"/>
  <c r="I143" i="6"/>
  <c r="N143" i="6"/>
  <c r="R143" i="6"/>
  <c r="Q143" i="6" s="1"/>
  <c r="S143" i="6"/>
  <c r="T143" i="6"/>
  <c r="C144" i="6"/>
  <c r="D144" i="6"/>
  <c r="E144" i="6"/>
  <c r="F144" i="6"/>
  <c r="H144" i="6"/>
  <c r="I144" i="6"/>
  <c r="L144" i="6"/>
  <c r="N144" i="6"/>
  <c r="R144" i="6"/>
  <c r="Q144" i="6" s="1"/>
  <c r="S144" i="6" s="1"/>
  <c r="T144" i="6"/>
  <c r="C145" i="6"/>
  <c r="D145" i="6"/>
  <c r="E145" i="6"/>
  <c r="F145" i="6"/>
  <c r="H145" i="6"/>
  <c r="I145" i="6"/>
  <c r="N145" i="6"/>
  <c r="R145" i="6"/>
  <c r="Q145" i="6" s="1"/>
  <c r="S145" i="6"/>
  <c r="T145" i="6"/>
  <c r="C146" i="6"/>
  <c r="D146" i="6"/>
  <c r="E146" i="6"/>
  <c r="F146" i="6"/>
  <c r="H146" i="6"/>
  <c r="I146" i="6"/>
  <c r="N146" i="6"/>
  <c r="Q146" i="6"/>
  <c r="R146" i="6"/>
  <c r="S146" i="6"/>
  <c r="T146" i="6"/>
  <c r="C147" i="6"/>
  <c r="D147" i="6"/>
  <c r="E147" i="6"/>
  <c r="F147" i="6"/>
  <c r="H147" i="6"/>
  <c r="I147" i="6"/>
  <c r="L147" i="6"/>
  <c r="N147" i="6"/>
  <c r="R147" i="6"/>
  <c r="Q147" i="6" s="1"/>
  <c r="S147" i="6" s="1"/>
  <c r="T147" i="6"/>
  <c r="C148" i="6"/>
  <c r="L148" i="6" s="1"/>
  <c r="D148" i="6"/>
  <c r="E148" i="6"/>
  <c r="F148" i="6"/>
  <c r="H148" i="6"/>
  <c r="I148" i="6"/>
  <c r="N148" i="6"/>
  <c r="R148" i="6"/>
  <c r="Q148" i="6" s="1"/>
  <c r="S148" i="6" s="1"/>
  <c r="T148" i="6"/>
  <c r="C149" i="6"/>
  <c r="D149" i="6"/>
  <c r="E149" i="6"/>
  <c r="F149" i="6"/>
  <c r="H149" i="6"/>
  <c r="I149" i="6"/>
  <c r="N149" i="6"/>
  <c r="R149" i="6"/>
  <c r="Q149" i="6" s="1"/>
  <c r="S149" i="6"/>
  <c r="T149" i="6"/>
  <c r="C150" i="6"/>
  <c r="D150" i="6"/>
  <c r="E150" i="6"/>
  <c r="F150" i="6"/>
  <c r="H150" i="6"/>
  <c r="I150" i="6"/>
  <c r="N150" i="6"/>
  <c r="R150" i="6"/>
  <c r="T150" i="6"/>
  <c r="C151" i="6"/>
  <c r="D151" i="6"/>
  <c r="E151" i="6"/>
  <c r="F151" i="6"/>
  <c r="H151" i="6"/>
  <c r="I151" i="6"/>
  <c r="N151" i="6"/>
  <c r="R151" i="6"/>
  <c r="Q151" i="6" s="1"/>
  <c r="S151" i="6" s="1"/>
  <c r="T151" i="6"/>
  <c r="C152" i="6"/>
  <c r="D152" i="6"/>
  <c r="E152" i="6"/>
  <c r="F152" i="6"/>
  <c r="H152" i="6"/>
  <c r="I152" i="6"/>
  <c r="N152" i="6"/>
  <c r="R152" i="6"/>
  <c r="Q152" i="6" s="1"/>
  <c r="S152" i="6" s="1"/>
  <c r="T152" i="6"/>
  <c r="C153" i="6"/>
  <c r="D153" i="6"/>
  <c r="L153" i="6" s="1"/>
  <c r="E153" i="6"/>
  <c r="F153" i="6"/>
  <c r="H153" i="6"/>
  <c r="I153" i="6"/>
  <c r="N153" i="6"/>
  <c r="R153" i="6"/>
  <c r="Q153" i="6" s="1"/>
  <c r="S153" i="6"/>
  <c r="T153" i="6"/>
  <c r="C154" i="6"/>
  <c r="D154" i="6"/>
  <c r="E154" i="6"/>
  <c r="L154" i="6" s="1"/>
  <c r="F154" i="6"/>
  <c r="H154" i="6"/>
  <c r="I154" i="6"/>
  <c r="N154" i="6"/>
  <c r="Q154" i="6"/>
  <c r="R154" i="6"/>
  <c r="S154" i="6"/>
  <c r="T154" i="6"/>
  <c r="C155" i="6"/>
  <c r="D155" i="6"/>
  <c r="E155" i="6"/>
  <c r="F155" i="6"/>
  <c r="H155" i="6"/>
  <c r="I155" i="6"/>
  <c r="L155" i="6"/>
  <c r="N155" i="6"/>
  <c r="R155" i="6"/>
  <c r="Q155" i="6" s="1"/>
  <c r="S155" i="6" s="1"/>
  <c r="T155" i="6"/>
  <c r="C156" i="6"/>
  <c r="L156" i="6" s="1"/>
  <c r="D156" i="6"/>
  <c r="E156" i="6"/>
  <c r="F156" i="6"/>
  <c r="H156" i="6"/>
  <c r="I156" i="6"/>
  <c r="N156" i="6"/>
  <c r="R156" i="6"/>
  <c r="Q156" i="6" s="1"/>
  <c r="S156" i="6" s="1"/>
  <c r="T156" i="6"/>
  <c r="C157" i="6"/>
  <c r="D157" i="6"/>
  <c r="L157" i="6" s="1"/>
  <c r="E157" i="6"/>
  <c r="F157" i="6"/>
  <c r="H157" i="6"/>
  <c r="I157" i="6"/>
  <c r="N157" i="6"/>
  <c r="R157" i="6"/>
  <c r="Q157" i="6" s="1"/>
  <c r="S157" i="6" s="1"/>
  <c r="T157" i="6"/>
  <c r="C158" i="6"/>
  <c r="D158" i="6"/>
  <c r="E158" i="6"/>
  <c r="F158" i="6"/>
  <c r="H158" i="6"/>
  <c r="I158" i="6"/>
  <c r="L158" i="6" s="1"/>
  <c r="N158" i="6"/>
  <c r="Q158" i="6"/>
  <c r="S158" i="6" s="1"/>
  <c r="R158" i="6"/>
  <c r="T158" i="6"/>
  <c r="C159" i="6"/>
  <c r="D159" i="6"/>
  <c r="E159" i="6"/>
  <c r="F159" i="6"/>
  <c r="H159" i="6"/>
  <c r="I159" i="6"/>
  <c r="N159" i="6"/>
  <c r="R159" i="6"/>
  <c r="Q159" i="6" s="1"/>
  <c r="S159" i="6" s="1"/>
  <c r="T159" i="6"/>
  <c r="C160" i="6"/>
  <c r="D160" i="6"/>
  <c r="L160" i="6" s="1"/>
  <c r="E160" i="6"/>
  <c r="F160" i="6"/>
  <c r="H160" i="6"/>
  <c r="I160" i="6"/>
  <c r="N160" i="6"/>
  <c r="R160" i="6"/>
  <c r="Q160" i="6" s="1"/>
  <c r="S160" i="6" s="1"/>
  <c r="T160" i="6"/>
  <c r="C161" i="6"/>
  <c r="D161" i="6"/>
  <c r="E161" i="6"/>
  <c r="F161" i="6"/>
  <c r="H161" i="6"/>
  <c r="I161" i="6"/>
  <c r="N161" i="6"/>
  <c r="R161" i="6"/>
  <c r="Q161" i="6" s="1"/>
  <c r="S161" i="6"/>
  <c r="T161" i="6"/>
  <c r="C162" i="6"/>
  <c r="L162" i="6" s="1"/>
  <c r="D162" i="6"/>
  <c r="E162" i="6"/>
  <c r="F162" i="6"/>
  <c r="H162" i="6"/>
  <c r="I162" i="6"/>
  <c r="N162" i="6"/>
  <c r="Q162" i="6"/>
  <c r="S162" i="6" s="1"/>
  <c r="R162" i="6"/>
  <c r="T162" i="6"/>
  <c r="C163" i="6"/>
  <c r="D163" i="6"/>
  <c r="E163" i="6"/>
  <c r="F163" i="6"/>
  <c r="H163" i="6"/>
  <c r="I163" i="6"/>
  <c r="N163" i="6"/>
  <c r="R163" i="6"/>
  <c r="Q163" i="6" s="1"/>
  <c r="S163" i="6" s="1"/>
  <c r="T163" i="6"/>
  <c r="C164" i="6"/>
  <c r="L164" i="6" s="1"/>
  <c r="D164" i="6"/>
  <c r="E164" i="6"/>
  <c r="F164" i="6"/>
  <c r="H164" i="6"/>
  <c r="I164" i="6"/>
  <c r="N164" i="6"/>
  <c r="R164" i="6"/>
  <c r="Q164" i="6" s="1"/>
  <c r="S164" i="6" s="1"/>
  <c r="T164" i="6"/>
  <c r="C165" i="6"/>
  <c r="D165" i="6"/>
  <c r="E165" i="6"/>
  <c r="F165" i="6"/>
  <c r="H165" i="6"/>
  <c r="I165" i="6"/>
  <c r="N165" i="6"/>
  <c r="R165" i="6"/>
  <c r="Q165" i="6" s="1"/>
  <c r="S165" i="6"/>
  <c r="T165" i="6"/>
  <c r="C166" i="6"/>
  <c r="D166" i="6"/>
  <c r="E166" i="6"/>
  <c r="F166" i="6"/>
  <c r="H166" i="6"/>
  <c r="I166" i="6"/>
  <c r="N166" i="6"/>
  <c r="Q166" i="6"/>
  <c r="S166" i="6" s="1"/>
  <c r="R166" i="6"/>
  <c r="T166" i="6"/>
  <c r="C167" i="6"/>
  <c r="D167" i="6"/>
  <c r="E167" i="6"/>
  <c r="F167" i="6"/>
  <c r="H167" i="6"/>
  <c r="L167" i="6" s="1"/>
  <c r="I167" i="6"/>
  <c r="N167" i="6"/>
  <c r="R167" i="6"/>
  <c r="Q167" i="6" s="1"/>
  <c r="S167" i="6" s="1"/>
  <c r="T167" i="6"/>
  <c r="C168" i="6"/>
  <c r="D168" i="6"/>
  <c r="E168" i="6"/>
  <c r="F168" i="6"/>
  <c r="H168" i="6"/>
  <c r="I168" i="6"/>
  <c r="N168" i="6"/>
  <c r="R168" i="6"/>
  <c r="Q168" i="6" s="1"/>
  <c r="S168" i="6" s="1"/>
  <c r="T168" i="6"/>
  <c r="C169" i="6"/>
  <c r="D169" i="6"/>
  <c r="L169" i="6" s="1"/>
  <c r="E169" i="6"/>
  <c r="F169" i="6"/>
  <c r="H169" i="6"/>
  <c r="I169" i="6"/>
  <c r="N169" i="6"/>
  <c r="R169" i="6"/>
  <c r="Q169" i="6" s="1"/>
  <c r="S169" i="6"/>
  <c r="T169" i="6"/>
  <c r="C170" i="6"/>
  <c r="D170" i="6"/>
  <c r="E170" i="6"/>
  <c r="L170" i="6" s="1"/>
  <c r="F170" i="6"/>
  <c r="H170" i="6"/>
  <c r="I170" i="6"/>
  <c r="N170" i="6"/>
  <c r="Q170" i="6"/>
  <c r="R170" i="6"/>
  <c r="S170" i="6"/>
  <c r="T170" i="6"/>
  <c r="C171" i="6"/>
  <c r="D171" i="6"/>
  <c r="E171" i="6"/>
  <c r="F171" i="6"/>
  <c r="H171" i="6"/>
  <c r="I171" i="6"/>
  <c r="L171" i="6"/>
  <c r="N171" i="6"/>
  <c r="R171" i="6"/>
  <c r="Q171" i="6" s="1"/>
  <c r="S171" i="6" s="1"/>
  <c r="T171" i="6"/>
  <c r="C172" i="6"/>
  <c r="L172" i="6" s="1"/>
  <c r="D172" i="6"/>
  <c r="E172" i="6"/>
  <c r="F172" i="6"/>
  <c r="H172" i="6"/>
  <c r="I172" i="6"/>
  <c r="N172" i="6"/>
  <c r="R172" i="6"/>
  <c r="Q172" i="6" s="1"/>
  <c r="S172" i="6" s="1"/>
  <c r="T172" i="6"/>
  <c r="C173" i="6"/>
  <c r="D173" i="6"/>
  <c r="L173" i="6" s="1"/>
  <c r="E173" i="6"/>
  <c r="F173" i="6"/>
  <c r="H173" i="6"/>
  <c r="I173" i="6"/>
  <c r="N173" i="6"/>
  <c r="R173" i="6"/>
  <c r="Q173" i="6" s="1"/>
  <c r="S173" i="6"/>
  <c r="T173" i="6"/>
  <c r="C174" i="6"/>
  <c r="L174" i="6" s="1"/>
  <c r="D174" i="6"/>
  <c r="E174" i="6"/>
  <c r="F174" i="6"/>
  <c r="H174" i="6"/>
  <c r="I174" i="6"/>
  <c r="N174" i="6"/>
  <c r="Q174" i="6"/>
  <c r="S174" i="6" s="1"/>
  <c r="R174" i="6"/>
  <c r="T174" i="6"/>
  <c r="C175" i="6"/>
  <c r="D175" i="6"/>
  <c r="E175" i="6"/>
  <c r="F175" i="6"/>
  <c r="H175" i="6"/>
  <c r="I175" i="6"/>
  <c r="N175" i="6"/>
  <c r="R175" i="6"/>
  <c r="Q175" i="6" s="1"/>
  <c r="S175" i="6"/>
  <c r="T175" i="6"/>
  <c r="C176" i="6"/>
  <c r="D176" i="6"/>
  <c r="E176" i="6"/>
  <c r="F176" i="6"/>
  <c r="H176" i="6"/>
  <c r="I176" i="6"/>
  <c r="L176" i="6"/>
  <c r="N176" i="6"/>
  <c r="R176" i="6"/>
  <c r="Q176" i="6" s="1"/>
  <c r="S176" i="6" s="1"/>
  <c r="T176" i="6"/>
  <c r="C177" i="6"/>
  <c r="D177" i="6"/>
  <c r="E177" i="6"/>
  <c r="F177" i="6"/>
  <c r="H177" i="6"/>
  <c r="I177" i="6"/>
  <c r="N177" i="6"/>
  <c r="R177" i="6"/>
  <c r="Q177" i="6" s="1"/>
  <c r="S177" i="6"/>
  <c r="T177" i="6"/>
  <c r="C178" i="6"/>
  <c r="D178" i="6"/>
  <c r="E178" i="6"/>
  <c r="F178" i="6"/>
  <c r="H178" i="6"/>
  <c r="I178" i="6"/>
  <c r="N178" i="6"/>
  <c r="Q178" i="6"/>
  <c r="S178" i="6" s="1"/>
  <c r="R178" i="6"/>
  <c r="T178" i="6"/>
  <c r="C179" i="6"/>
  <c r="D179" i="6"/>
  <c r="E179" i="6"/>
  <c r="F179" i="6"/>
  <c r="H179" i="6"/>
  <c r="L179" i="6" s="1"/>
  <c r="I179" i="6"/>
  <c r="N179" i="6"/>
  <c r="R179" i="6"/>
  <c r="Q179" i="6" s="1"/>
  <c r="S179" i="6" s="1"/>
  <c r="T179" i="6"/>
  <c r="C180" i="6"/>
  <c r="D180" i="6"/>
  <c r="E180" i="6"/>
  <c r="F180" i="6"/>
  <c r="H180" i="6"/>
  <c r="I180" i="6"/>
  <c r="N180" i="6"/>
  <c r="R180" i="6"/>
  <c r="Q180" i="6" s="1"/>
  <c r="S180" i="6" s="1"/>
  <c r="T180" i="6"/>
  <c r="C181" i="6"/>
  <c r="D181" i="6"/>
  <c r="E181" i="6"/>
  <c r="F181" i="6"/>
  <c r="H181" i="6"/>
  <c r="I181" i="6"/>
  <c r="N181" i="6"/>
  <c r="R181" i="6"/>
  <c r="Q181" i="6" s="1"/>
  <c r="S181" i="6"/>
  <c r="T181" i="6"/>
  <c r="C182" i="6"/>
  <c r="L182" i="6" s="1"/>
  <c r="D182" i="6"/>
  <c r="E182" i="6"/>
  <c r="F182" i="6"/>
  <c r="H182" i="6"/>
  <c r="I182" i="6"/>
  <c r="N182" i="6"/>
  <c r="R182" i="6"/>
  <c r="Q182" i="6" s="1"/>
  <c r="S182" i="6" s="1"/>
  <c r="T182" i="6"/>
  <c r="C183" i="6"/>
  <c r="D183" i="6"/>
  <c r="E183" i="6"/>
  <c r="F183" i="6"/>
  <c r="H183" i="6"/>
  <c r="I183" i="6"/>
  <c r="L183" i="6" s="1"/>
  <c r="N183" i="6"/>
  <c r="R183" i="6"/>
  <c r="Q183" i="6" s="1"/>
  <c r="S183" i="6" s="1"/>
  <c r="T183" i="6"/>
  <c r="C184" i="6"/>
  <c r="D184" i="6"/>
  <c r="L184" i="6" s="1"/>
  <c r="E184" i="6"/>
  <c r="F184" i="6"/>
  <c r="H184" i="6"/>
  <c r="I184" i="6"/>
  <c r="N184" i="6"/>
  <c r="R184" i="6"/>
  <c r="Q184" i="6" s="1"/>
  <c r="S184" i="6" s="1"/>
  <c r="T184" i="6"/>
  <c r="C185" i="6"/>
  <c r="D185" i="6"/>
  <c r="L185" i="6" s="1"/>
  <c r="E185" i="6"/>
  <c r="F185" i="6"/>
  <c r="H185" i="6"/>
  <c r="I185" i="6"/>
  <c r="N185" i="6"/>
  <c r="R185" i="6"/>
  <c r="Q185" i="6" s="1"/>
  <c r="S185" i="6"/>
  <c r="T185" i="6"/>
  <c r="C186" i="6"/>
  <c r="D186" i="6"/>
  <c r="E186" i="6"/>
  <c r="L186" i="6" s="1"/>
  <c r="F186" i="6"/>
  <c r="H186" i="6"/>
  <c r="I186" i="6"/>
  <c r="N186" i="6"/>
  <c r="Q186" i="6"/>
  <c r="R186" i="6"/>
  <c r="S186" i="6"/>
  <c r="T186" i="6"/>
  <c r="C187" i="6"/>
  <c r="D187" i="6"/>
  <c r="E187" i="6"/>
  <c r="F187" i="6"/>
  <c r="H187" i="6"/>
  <c r="I187" i="6"/>
  <c r="L187" i="6"/>
  <c r="N187" i="6"/>
  <c r="R187" i="6"/>
  <c r="Q187" i="6" s="1"/>
  <c r="S187" i="6" s="1"/>
  <c r="T187" i="6"/>
  <c r="C188" i="6"/>
  <c r="L188" i="6" s="1"/>
  <c r="D188" i="6"/>
  <c r="E188" i="6"/>
  <c r="F188" i="6"/>
  <c r="H188" i="6"/>
  <c r="I188" i="6"/>
  <c r="N188" i="6"/>
  <c r="R188" i="6"/>
  <c r="Q188" i="6" s="1"/>
  <c r="S188" i="6" s="1"/>
  <c r="T188" i="6"/>
  <c r="C189" i="6"/>
  <c r="D189" i="6"/>
  <c r="E189" i="6"/>
  <c r="F189" i="6"/>
  <c r="H189" i="6"/>
  <c r="I189" i="6"/>
  <c r="N189" i="6"/>
  <c r="R189" i="6"/>
  <c r="Q189" i="6" s="1"/>
  <c r="S189" i="6" s="1"/>
  <c r="T189" i="6"/>
  <c r="C190" i="6"/>
  <c r="D190" i="6"/>
  <c r="E190" i="6"/>
  <c r="F190" i="6"/>
  <c r="H190" i="6"/>
  <c r="I190" i="6"/>
  <c r="L190" i="6" s="1"/>
  <c r="N190" i="6"/>
  <c r="Q190" i="6"/>
  <c r="S190" i="6" s="1"/>
  <c r="R190" i="6"/>
  <c r="T190" i="6"/>
  <c r="C191" i="6"/>
  <c r="D191" i="6"/>
  <c r="E191" i="6"/>
  <c r="F191" i="6"/>
  <c r="H191" i="6"/>
  <c r="I191" i="6"/>
  <c r="N191" i="6"/>
  <c r="R191" i="6"/>
  <c r="Q191" i="6" s="1"/>
  <c r="S191" i="6" s="1"/>
  <c r="T191" i="6"/>
  <c r="C192" i="6"/>
  <c r="D192" i="6"/>
  <c r="E192" i="6"/>
  <c r="F192" i="6"/>
  <c r="H192" i="6"/>
  <c r="I192" i="6"/>
  <c r="N192" i="6"/>
  <c r="R192" i="6"/>
  <c r="Q192" i="6" s="1"/>
  <c r="S192" i="6" s="1"/>
  <c r="T192" i="6"/>
  <c r="C193" i="6"/>
  <c r="D193" i="6"/>
  <c r="E193" i="6"/>
  <c r="E1084" i="6" s="1"/>
  <c r="F193" i="6"/>
  <c r="F1084" i="6" s="1"/>
  <c r="H193" i="6"/>
  <c r="I193" i="6"/>
  <c r="N193" i="6"/>
  <c r="R193" i="6"/>
  <c r="Q193" i="6" s="1"/>
  <c r="S193" i="6"/>
  <c r="T193" i="6"/>
  <c r="C194" i="6"/>
  <c r="D194" i="6"/>
  <c r="E194" i="6"/>
  <c r="F194" i="6"/>
  <c r="H194" i="6"/>
  <c r="I194" i="6"/>
  <c r="N194" i="6"/>
  <c r="Q194" i="6"/>
  <c r="R194" i="6"/>
  <c r="S194" i="6"/>
  <c r="T194" i="6"/>
  <c r="C195" i="6"/>
  <c r="D195" i="6"/>
  <c r="E195" i="6"/>
  <c r="F195" i="6"/>
  <c r="H195" i="6"/>
  <c r="I195" i="6"/>
  <c r="L195" i="6"/>
  <c r="N195" i="6"/>
  <c r="R195" i="6"/>
  <c r="Q195" i="6" s="1"/>
  <c r="S195" i="6" s="1"/>
  <c r="T195" i="6"/>
  <c r="C196" i="6"/>
  <c r="D196" i="6"/>
  <c r="E196" i="6"/>
  <c r="F196" i="6"/>
  <c r="H196" i="6"/>
  <c r="I196" i="6"/>
  <c r="N196" i="6"/>
  <c r="Q196" i="6"/>
  <c r="S196" i="6" s="1"/>
  <c r="R196" i="6"/>
  <c r="T196" i="6"/>
  <c r="C197" i="6"/>
  <c r="D197" i="6"/>
  <c r="L197" i="6" s="1"/>
  <c r="E197" i="6"/>
  <c r="F197" i="6"/>
  <c r="H197" i="6"/>
  <c r="I197" i="6"/>
  <c r="N197" i="6"/>
  <c r="R197" i="6"/>
  <c r="Q197" i="6" s="1"/>
  <c r="S197" i="6"/>
  <c r="T197" i="6"/>
  <c r="C198" i="6"/>
  <c r="L198" i="6" s="1"/>
  <c r="D198" i="6"/>
  <c r="E198" i="6"/>
  <c r="F198" i="6"/>
  <c r="H198" i="6"/>
  <c r="I198" i="6"/>
  <c r="N198" i="6"/>
  <c r="Q198" i="6"/>
  <c r="R198" i="6"/>
  <c r="R1084" i="6" s="1"/>
  <c r="T198" i="6"/>
  <c r="C199" i="6"/>
  <c r="D199" i="6"/>
  <c r="E199" i="6"/>
  <c r="F199" i="6"/>
  <c r="H199" i="6"/>
  <c r="I199" i="6"/>
  <c r="N199" i="6"/>
  <c r="R199" i="6"/>
  <c r="Q199" i="6" s="1"/>
  <c r="S199" i="6" s="1"/>
  <c r="T199" i="6"/>
  <c r="C200" i="6"/>
  <c r="D200" i="6"/>
  <c r="E200" i="6"/>
  <c r="F200" i="6"/>
  <c r="H200" i="6"/>
  <c r="I200" i="6"/>
  <c r="N200" i="6"/>
  <c r="R200" i="6"/>
  <c r="Q200" i="6" s="1"/>
  <c r="S200" i="6"/>
  <c r="T200" i="6"/>
  <c r="C201" i="6"/>
  <c r="D201" i="6"/>
  <c r="L201" i="6" s="1"/>
  <c r="E201" i="6"/>
  <c r="F201" i="6"/>
  <c r="H201" i="6"/>
  <c r="I201" i="6"/>
  <c r="N201" i="6"/>
  <c r="R201" i="6"/>
  <c r="Q201" i="6" s="1"/>
  <c r="S201" i="6"/>
  <c r="T201" i="6"/>
  <c r="C202" i="6"/>
  <c r="D202" i="6"/>
  <c r="E202" i="6"/>
  <c r="F202" i="6"/>
  <c r="H202" i="6"/>
  <c r="I202" i="6"/>
  <c r="L202" i="6"/>
  <c r="N202" i="6"/>
  <c r="Q202" i="6"/>
  <c r="R202" i="6"/>
  <c r="S202" i="6"/>
  <c r="T202" i="6"/>
  <c r="C203" i="6"/>
  <c r="D203" i="6"/>
  <c r="E203" i="6"/>
  <c r="L203" i="6" s="1"/>
  <c r="F203" i="6"/>
  <c r="H203" i="6"/>
  <c r="I203" i="6"/>
  <c r="N203" i="6"/>
  <c r="R203" i="6"/>
  <c r="Q203" i="6" s="1"/>
  <c r="S203" i="6" s="1"/>
  <c r="T203" i="6"/>
  <c r="C204" i="6"/>
  <c r="L204" i="6" s="1"/>
  <c r="D204" i="6"/>
  <c r="E204" i="6"/>
  <c r="F204" i="6"/>
  <c r="H204" i="6"/>
  <c r="I204" i="6"/>
  <c r="N204" i="6"/>
  <c r="R204" i="6"/>
  <c r="Q204" i="6" s="1"/>
  <c r="S204" i="6" s="1"/>
  <c r="T204" i="6"/>
  <c r="C205" i="6"/>
  <c r="D205" i="6"/>
  <c r="L205" i="6" s="1"/>
  <c r="E205" i="6"/>
  <c r="F205" i="6"/>
  <c r="H205" i="6"/>
  <c r="I205" i="6"/>
  <c r="N205" i="6"/>
  <c r="R205" i="6"/>
  <c r="Q205" i="6" s="1"/>
  <c r="S205" i="6" s="1"/>
  <c r="T205" i="6"/>
  <c r="C206" i="6"/>
  <c r="D206" i="6"/>
  <c r="E206" i="6"/>
  <c r="F206" i="6"/>
  <c r="H206" i="6"/>
  <c r="I206" i="6"/>
  <c r="N206" i="6"/>
  <c r="Q206" i="6"/>
  <c r="S206" i="6" s="1"/>
  <c r="R206" i="6"/>
  <c r="T206" i="6"/>
  <c r="C207" i="6"/>
  <c r="D207" i="6"/>
  <c r="L207" i="6" s="1"/>
  <c r="E207" i="6"/>
  <c r="F207" i="6"/>
  <c r="H207" i="6"/>
  <c r="I207" i="6"/>
  <c r="N207" i="6"/>
  <c r="R207" i="6"/>
  <c r="Q207" i="6" s="1"/>
  <c r="S207" i="6"/>
  <c r="T207" i="6"/>
  <c r="C208" i="6"/>
  <c r="D208" i="6"/>
  <c r="E208" i="6"/>
  <c r="F208" i="6"/>
  <c r="H208" i="6"/>
  <c r="I208" i="6"/>
  <c r="L208" i="6"/>
  <c r="N208" i="6"/>
  <c r="R208" i="6"/>
  <c r="Q208" i="6" s="1"/>
  <c r="S208" i="6" s="1"/>
  <c r="T208" i="6"/>
  <c r="C209" i="6"/>
  <c r="D209" i="6"/>
  <c r="E209" i="6"/>
  <c r="F209" i="6"/>
  <c r="H209" i="6"/>
  <c r="I209" i="6"/>
  <c r="N209" i="6"/>
  <c r="R209" i="6"/>
  <c r="Q209" i="6" s="1"/>
  <c r="S209" i="6"/>
  <c r="T209" i="6"/>
  <c r="C210" i="6"/>
  <c r="D210" i="6"/>
  <c r="E210" i="6"/>
  <c r="L210" i="6" s="1"/>
  <c r="F210" i="6"/>
  <c r="H210" i="6"/>
  <c r="I210" i="6"/>
  <c r="N210" i="6"/>
  <c r="Q210" i="6"/>
  <c r="R210" i="6"/>
  <c r="S210" i="6"/>
  <c r="T210" i="6"/>
  <c r="C211" i="6"/>
  <c r="D211" i="6"/>
  <c r="E211" i="6"/>
  <c r="F211" i="6"/>
  <c r="H211" i="6"/>
  <c r="I211" i="6"/>
  <c r="L211" i="6"/>
  <c r="N211" i="6"/>
  <c r="R211" i="6"/>
  <c r="Q211" i="6" s="1"/>
  <c r="S211" i="6" s="1"/>
  <c r="T211" i="6"/>
  <c r="C212" i="6"/>
  <c r="L212" i="6" s="1"/>
  <c r="D212" i="6"/>
  <c r="E212" i="6"/>
  <c r="F212" i="6"/>
  <c r="H212" i="6"/>
  <c r="I212" i="6"/>
  <c r="N212" i="6"/>
  <c r="R212" i="6"/>
  <c r="Q212" i="6" s="1"/>
  <c r="S212" i="6" s="1"/>
  <c r="T212" i="6"/>
  <c r="C213" i="6"/>
  <c r="D213" i="6"/>
  <c r="E213" i="6"/>
  <c r="F213" i="6"/>
  <c r="F1085" i="6" s="1"/>
  <c r="H213" i="6"/>
  <c r="I213" i="6"/>
  <c r="N213" i="6"/>
  <c r="R213" i="6"/>
  <c r="Q213" i="6" s="1"/>
  <c r="S213" i="6"/>
  <c r="T213" i="6"/>
  <c r="C214" i="6"/>
  <c r="D214" i="6"/>
  <c r="D1085" i="6" s="1"/>
  <c r="E214" i="6"/>
  <c r="F214" i="6"/>
  <c r="H214" i="6"/>
  <c r="I214" i="6"/>
  <c r="N214" i="6"/>
  <c r="R214" i="6"/>
  <c r="Q214" i="6" s="1"/>
  <c r="S214" i="6"/>
  <c r="T214" i="6"/>
  <c r="C215" i="6"/>
  <c r="D215" i="6"/>
  <c r="E215" i="6"/>
  <c r="F215" i="6"/>
  <c r="H215" i="6"/>
  <c r="I215" i="6"/>
  <c r="L215" i="6"/>
  <c r="N215" i="6"/>
  <c r="R215" i="6"/>
  <c r="Q215" i="6" s="1"/>
  <c r="S215" i="6" s="1"/>
  <c r="T215" i="6"/>
  <c r="C216" i="6"/>
  <c r="D216" i="6"/>
  <c r="E216" i="6"/>
  <c r="F216" i="6"/>
  <c r="H216" i="6"/>
  <c r="I216" i="6"/>
  <c r="I1086" i="6" s="1"/>
  <c r="N216" i="6"/>
  <c r="R216" i="6"/>
  <c r="Q216" i="6" s="1"/>
  <c r="S216" i="6" s="1"/>
  <c r="T216" i="6"/>
  <c r="C217" i="6"/>
  <c r="D217" i="6"/>
  <c r="E217" i="6"/>
  <c r="F217" i="6"/>
  <c r="H217" i="6"/>
  <c r="I217" i="6"/>
  <c r="N217" i="6"/>
  <c r="R217" i="6"/>
  <c r="Q217" i="6" s="1"/>
  <c r="S217" i="6"/>
  <c r="T217" i="6"/>
  <c r="C218" i="6"/>
  <c r="D218" i="6"/>
  <c r="E218" i="6"/>
  <c r="F218" i="6"/>
  <c r="H218" i="6"/>
  <c r="I218" i="6"/>
  <c r="N218" i="6"/>
  <c r="Q218" i="6"/>
  <c r="R218" i="6"/>
  <c r="S218" i="6"/>
  <c r="T218" i="6"/>
  <c r="C219" i="6"/>
  <c r="D219" i="6"/>
  <c r="E219" i="6"/>
  <c r="F219" i="6"/>
  <c r="H219" i="6"/>
  <c r="I219" i="6"/>
  <c r="L219" i="6"/>
  <c r="N219" i="6"/>
  <c r="R219" i="6"/>
  <c r="Q219" i="6" s="1"/>
  <c r="S219" i="6" s="1"/>
  <c r="T219" i="6"/>
  <c r="C220" i="6"/>
  <c r="L220" i="6" s="1"/>
  <c r="D220" i="6"/>
  <c r="E220" i="6"/>
  <c r="F220" i="6"/>
  <c r="H220" i="6"/>
  <c r="I220" i="6"/>
  <c r="N220" i="6"/>
  <c r="R220" i="6"/>
  <c r="Q220" i="6" s="1"/>
  <c r="S220" i="6" s="1"/>
  <c r="T220" i="6"/>
  <c r="C221" i="6"/>
  <c r="D221" i="6"/>
  <c r="E221" i="6"/>
  <c r="F221" i="6"/>
  <c r="H221" i="6"/>
  <c r="I221" i="6"/>
  <c r="N221" i="6"/>
  <c r="R221" i="6"/>
  <c r="Q221" i="6" s="1"/>
  <c r="S221" i="6"/>
  <c r="T221" i="6"/>
  <c r="C222" i="6"/>
  <c r="D222" i="6"/>
  <c r="E222" i="6"/>
  <c r="F222" i="6"/>
  <c r="H222" i="6"/>
  <c r="I222" i="6"/>
  <c r="L222" i="6"/>
  <c r="N222" i="6"/>
  <c r="Q222" i="6"/>
  <c r="S222" i="6" s="1"/>
  <c r="R222" i="6"/>
  <c r="T222" i="6"/>
  <c r="C223" i="6"/>
  <c r="D223" i="6"/>
  <c r="E223" i="6"/>
  <c r="F223" i="6"/>
  <c r="H223" i="6"/>
  <c r="I223" i="6"/>
  <c r="N223" i="6"/>
  <c r="R223" i="6"/>
  <c r="Q223" i="6" s="1"/>
  <c r="S223" i="6" s="1"/>
  <c r="S1086" i="6" s="1"/>
  <c r="T223" i="6"/>
  <c r="C224" i="6"/>
  <c r="D224" i="6"/>
  <c r="L224" i="6" s="1"/>
  <c r="E224" i="6"/>
  <c r="F224" i="6"/>
  <c r="H224" i="6"/>
  <c r="I224" i="6"/>
  <c r="N224" i="6"/>
  <c r="R224" i="6"/>
  <c r="Q224" i="6" s="1"/>
  <c r="S224" i="6" s="1"/>
  <c r="T224" i="6"/>
  <c r="C225" i="6"/>
  <c r="D225" i="6"/>
  <c r="E225" i="6"/>
  <c r="F225" i="6"/>
  <c r="H225" i="6"/>
  <c r="I225" i="6"/>
  <c r="N225" i="6"/>
  <c r="R225" i="6"/>
  <c r="Q225" i="6" s="1"/>
  <c r="S225" i="6"/>
  <c r="T225" i="6"/>
  <c r="C226" i="6"/>
  <c r="L226" i="6" s="1"/>
  <c r="D226" i="6"/>
  <c r="E226" i="6"/>
  <c r="F226" i="6"/>
  <c r="H226" i="6"/>
  <c r="I226" i="6"/>
  <c r="N226" i="6"/>
  <c r="Q226" i="6"/>
  <c r="S226" i="6" s="1"/>
  <c r="R226" i="6"/>
  <c r="T226" i="6"/>
  <c r="C227" i="6"/>
  <c r="D227" i="6"/>
  <c r="E227" i="6"/>
  <c r="L227" i="6" s="1"/>
  <c r="F227" i="6"/>
  <c r="H227" i="6"/>
  <c r="I227" i="6"/>
  <c r="N227" i="6"/>
  <c r="R227" i="6"/>
  <c r="Q227" i="6" s="1"/>
  <c r="S227" i="6" s="1"/>
  <c r="T227" i="6"/>
  <c r="C228" i="6"/>
  <c r="L228" i="6" s="1"/>
  <c r="D228" i="6"/>
  <c r="E228" i="6"/>
  <c r="F228" i="6"/>
  <c r="H228" i="6"/>
  <c r="I228" i="6"/>
  <c r="N228" i="6"/>
  <c r="Q228" i="6"/>
  <c r="S228" i="6" s="1"/>
  <c r="R228" i="6"/>
  <c r="T228" i="6"/>
  <c r="C229" i="6"/>
  <c r="D229" i="6"/>
  <c r="E229" i="6"/>
  <c r="F229" i="6"/>
  <c r="H229" i="6"/>
  <c r="I229" i="6"/>
  <c r="N229" i="6"/>
  <c r="R229" i="6"/>
  <c r="Q229" i="6" s="1"/>
  <c r="S229" i="6"/>
  <c r="T229" i="6"/>
  <c r="C230" i="6"/>
  <c r="D230" i="6"/>
  <c r="E230" i="6"/>
  <c r="F230" i="6"/>
  <c r="H230" i="6"/>
  <c r="I230" i="6"/>
  <c r="N230" i="6"/>
  <c r="Q230" i="6"/>
  <c r="S230" i="6" s="1"/>
  <c r="R230" i="6"/>
  <c r="T230" i="6"/>
  <c r="C231" i="6"/>
  <c r="D231" i="6"/>
  <c r="E231" i="6"/>
  <c r="F231" i="6"/>
  <c r="H231" i="6"/>
  <c r="L231" i="6" s="1"/>
  <c r="I231" i="6"/>
  <c r="N231" i="6"/>
  <c r="R231" i="6"/>
  <c r="Q231" i="6" s="1"/>
  <c r="S231" i="6" s="1"/>
  <c r="T231" i="6"/>
  <c r="C232" i="6"/>
  <c r="D232" i="6"/>
  <c r="E232" i="6"/>
  <c r="F232" i="6"/>
  <c r="H232" i="6"/>
  <c r="I232" i="6"/>
  <c r="N232" i="6"/>
  <c r="R232" i="6"/>
  <c r="Q232" i="6" s="1"/>
  <c r="S232" i="6" s="1"/>
  <c r="T232" i="6"/>
  <c r="C233" i="6"/>
  <c r="D233" i="6"/>
  <c r="L233" i="6" s="1"/>
  <c r="E233" i="6"/>
  <c r="F233" i="6"/>
  <c r="H233" i="6"/>
  <c r="I233" i="6"/>
  <c r="N233" i="6"/>
  <c r="R233" i="6"/>
  <c r="Q233" i="6" s="1"/>
  <c r="S233" i="6"/>
  <c r="T233" i="6"/>
  <c r="C234" i="6"/>
  <c r="D234" i="6"/>
  <c r="E234" i="6"/>
  <c r="F234" i="6"/>
  <c r="H234" i="6"/>
  <c r="I234" i="6"/>
  <c r="N234" i="6"/>
  <c r="Q234" i="6"/>
  <c r="R234" i="6"/>
  <c r="T234" i="6"/>
  <c r="C235" i="6"/>
  <c r="D235" i="6"/>
  <c r="E235" i="6"/>
  <c r="F235" i="6"/>
  <c r="H235" i="6"/>
  <c r="I235" i="6"/>
  <c r="N235" i="6"/>
  <c r="R235" i="6"/>
  <c r="Q235" i="6" s="1"/>
  <c r="S235" i="6" s="1"/>
  <c r="T235" i="6"/>
  <c r="C236" i="6"/>
  <c r="D236" i="6"/>
  <c r="E236" i="6"/>
  <c r="F236" i="6"/>
  <c r="H236" i="6"/>
  <c r="I236" i="6"/>
  <c r="N236" i="6"/>
  <c r="R236" i="6"/>
  <c r="Q236" i="6" s="1"/>
  <c r="S236" i="6" s="1"/>
  <c r="T236" i="6"/>
  <c r="C237" i="6"/>
  <c r="D237" i="6"/>
  <c r="E237" i="6"/>
  <c r="F237" i="6"/>
  <c r="H237" i="6"/>
  <c r="I237" i="6"/>
  <c r="N237" i="6"/>
  <c r="R237" i="6"/>
  <c r="Q237" i="6" s="1"/>
  <c r="S237" i="6"/>
  <c r="T237" i="6"/>
  <c r="C238" i="6"/>
  <c r="L238" i="6" s="1"/>
  <c r="D238" i="6"/>
  <c r="E238" i="6"/>
  <c r="F238" i="6"/>
  <c r="H238" i="6"/>
  <c r="I238" i="6"/>
  <c r="N238" i="6"/>
  <c r="Q238" i="6"/>
  <c r="S238" i="6" s="1"/>
  <c r="R238" i="6"/>
  <c r="T238" i="6"/>
  <c r="C239" i="6"/>
  <c r="D239" i="6"/>
  <c r="L239" i="6" s="1"/>
  <c r="E239" i="6"/>
  <c r="F239" i="6"/>
  <c r="H239" i="6"/>
  <c r="I239" i="6"/>
  <c r="N239" i="6"/>
  <c r="R239" i="6"/>
  <c r="Q239" i="6" s="1"/>
  <c r="S239" i="6" s="1"/>
  <c r="T239" i="6"/>
  <c r="C240" i="6"/>
  <c r="D240" i="6"/>
  <c r="L240" i="6" s="1"/>
  <c r="E240" i="6"/>
  <c r="F240" i="6"/>
  <c r="H240" i="6"/>
  <c r="I240" i="6"/>
  <c r="N240" i="6"/>
  <c r="R240" i="6"/>
  <c r="Q240" i="6" s="1"/>
  <c r="S240" i="6" s="1"/>
  <c r="T240" i="6"/>
  <c r="C241" i="6"/>
  <c r="D241" i="6"/>
  <c r="E241" i="6"/>
  <c r="F241" i="6"/>
  <c r="H241" i="6"/>
  <c r="I241" i="6"/>
  <c r="N241" i="6"/>
  <c r="R241" i="6"/>
  <c r="Q241" i="6" s="1"/>
  <c r="S241" i="6"/>
  <c r="T241" i="6"/>
  <c r="C242" i="6"/>
  <c r="D242" i="6"/>
  <c r="E242" i="6"/>
  <c r="F242" i="6"/>
  <c r="H242" i="6"/>
  <c r="I242" i="6"/>
  <c r="L242" i="6"/>
  <c r="N242" i="6"/>
  <c r="Q242" i="6"/>
  <c r="S242" i="6" s="1"/>
  <c r="R242" i="6"/>
  <c r="T242" i="6"/>
  <c r="C243" i="6"/>
  <c r="D243" i="6"/>
  <c r="E243" i="6"/>
  <c r="L243" i="6" s="1"/>
  <c r="F243" i="6"/>
  <c r="H243" i="6"/>
  <c r="I243" i="6"/>
  <c r="N243" i="6"/>
  <c r="R243" i="6"/>
  <c r="Q243" i="6" s="1"/>
  <c r="S243" i="6" s="1"/>
  <c r="T243" i="6"/>
  <c r="C244" i="6"/>
  <c r="L244" i="6" s="1"/>
  <c r="D244" i="6"/>
  <c r="E244" i="6"/>
  <c r="F244" i="6"/>
  <c r="H244" i="6"/>
  <c r="I244" i="6"/>
  <c r="N244" i="6"/>
  <c r="R244" i="6"/>
  <c r="Q244" i="6" s="1"/>
  <c r="T244" i="6"/>
  <c r="C245" i="6"/>
  <c r="D245" i="6"/>
  <c r="E245" i="6"/>
  <c r="F245" i="6"/>
  <c r="H245" i="6"/>
  <c r="I245" i="6"/>
  <c r="N245" i="6"/>
  <c r="R245" i="6"/>
  <c r="Q245" i="6" s="1"/>
  <c r="S245" i="6"/>
  <c r="T245" i="6"/>
  <c r="C246" i="6"/>
  <c r="D246" i="6"/>
  <c r="E246" i="6"/>
  <c r="F246" i="6"/>
  <c r="H246" i="6"/>
  <c r="I246" i="6"/>
  <c r="L246" i="6"/>
  <c r="N246" i="6"/>
  <c r="R246" i="6"/>
  <c r="Q246" i="6" s="1"/>
  <c r="S246" i="6"/>
  <c r="T246" i="6"/>
  <c r="C247" i="6"/>
  <c r="D247" i="6"/>
  <c r="E247" i="6"/>
  <c r="F247" i="6"/>
  <c r="H247" i="6"/>
  <c r="I247" i="6"/>
  <c r="L247" i="6"/>
  <c r="N247" i="6"/>
  <c r="R247" i="6"/>
  <c r="Q247" i="6" s="1"/>
  <c r="S247" i="6" s="1"/>
  <c r="T247" i="6"/>
  <c r="C248" i="6"/>
  <c r="D248" i="6"/>
  <c r="E248" i="6"/>
  <c r="F248" i="6"/>
  <c r="H248" i="6"/>
  <c r="I248" i="6"/>
  <c r="N248" i="6"/>
  <c r="R248" i="6"/>
  <c r="Q248" i="6" s="1"/>
  <c r="S248" i="6"/>
  <c r="T248" i="6"/>
  <c r="C249" i="6"/>
  <c r="D249" i="6"/>
  <c r="E249" i="6"/>
  <c r="F249" i="6"/>
  <c r="H249" i="6"/>
  <c r="I249" i="6"/>
  <c r="L249" i="6"/>
  <c r="N249" i="6"/>
  <c r="R249" i="6"/>
  <c r="Q249" i="6" s="1"/>
  <c r="S249" i="6"/>
  <c r="T249" i="6"/>
  <c r="C250" i="6"/>
  <c r="L250" i="6" s="1"/>
  <c r="D250" i="6"/>
  <c r="E250" i="6"/>
  <c r="F250" i="6"/>
  <c r="H250" i="6"/>
  <c r="I250" i="6"/>
  <c r="N250" i="6"/>
  <c r="Q250" i="6"/>
  <c r="S250" i="6" s="1"/>
  <c r="R250" i="6"/>
  <c r="T250" i="6"/>
  <c r="C251" i="6"/>
  <c r="D251" i="6"/>
  <c r="E251" i="6"/>
  <c r="L251" i="6" s="1"/>
  <c r="F251" i="6"/>
  <c r="H251" i="6"/>
  <c r="I251" i="6"/>
  <c r="N251" i="6"/>
  <c r="R251" i="6"/>
  <c r="Q251" i="6" s="1"/>
  <c r="S251" i="6" s="1"/>
  <c r="T251" i="6"/>
  <c r="C252" i="6"/>
  <c r="D252" i="6"/>
  <c r="E252" i="6"/>
  <c r="F252" i="6"/>
  <c r="H252" i="6"/>
  <c r="I252" i="6"/>
  <c r="N252" i="6"/>
  <c r="R252" i="6"/>
  <c r="Q252" i="6" s="1"/>
  <c r="S252" i="6" s="1"/>
  <c r="T252" i="6"/>
  <c r="C253" i="6"/>
  <c r="D253" i="6"/>
  <c r="L253" i="6" s="1"/>
  <c r="E253" i="6"/>
  <c r="F253" i="6"/>
  <c r="H253" i="6"/>
  <c r="I253" i="6"/>
  <c r="N253" i="6"/>
  <c r="R253" i="6"/>
  <c r="Q253" i="6" s="1"/>
  <c r="S253" i="6"/>
  <c r="T253" i="6"/>
  <c r="C254" i="6"/>
  <c r="D254" i="6"/>
  <c r="E254" i="6"/>
  <c r="F254" i="6"/>
  <c r="H254" i="6"/>
  <c r="I254" i="6"/>
  <c r="L254" i="6"/>
  <c r="N254" i="6"/>
  <c r="Q254" i="6"/>
  <c r="R254" i="6"/>
  <c r="S254" i="6"/>
  <c r="T254" i="6"/>
  <c r="C255" i="6"/>
  <c r="D255" i="6"/>
  <c r="E255" i="6"/>
  <c r="L255" i="6" s="1"/>
  <c r="F255" i="6"/>
  <c r="H255" i="6"/>
  <c r="I255" i="6"/>
  <c r="N255" i="6"/>
  <c r="R255" i="6"/>
  <c r="Q255" i="6" s="1"/>
  <c r="S255" i="6"/>
  <c r="T255" i="6"/>
  <c r="C256" i="6"/>
  <c r="D256" i="6"/>
  <c r="L256" i="6" s="1"/>
  <c r="E256" i="6"/>
  <c r="F256" i="6"/>
  <c r="H256" i="6"/>
  <c r="I256" i="6"/>
  <c r="N256" i="6"/>
  <c r="N1089" i="6" s="1"/>
  <c r="R256" i="6"/>
  <c r="Q256" i="6" s="1"/>
  <c r="S256" i="6" s="1"/>
  <c r="T256" i="6"/>
  <c r="C257" i="6"/>
  <c r="D257" i="6"/>
  <c r="E257" i="6"/>
  <c r="F257" i="6"/>
  <c r="H257" i="6"/>
  <c r="I257" i="6"/>
  <c r="N257" i="6"/>
  <c r="R257" i="6"/>
  <c r="Q257" i="6" s="1"/>
  <c r="S257" i="6"/>
  <c r="T257" i="6"/>
  <c r="C258" i="6"/>
  <c r="L258" i="6" s="1"/>
  <c r="D258" i="6"/>
  <c r="E258" i="6"/>
  <c r="F258" i="6"/>
  <c r="H258" i="6"/>
  <c r="I258" i="6"/>
  <c r="N258" i="6"/>
  <c r="Q258" i="6"/>
  <c r="S258" i="6" s="1"/>
  <c r="R258" i="6"/>
  <c r="T258" i="6"/>
  <c r="C259" i="6"/>
  <c r="D259" i="6"/>
  <c r="E259" i="6"/>
  <c r="F259" i="6"/>
  <c r="L259" i="6" s="1"/>
  <c r="H259" i="6"/>
  <c r="I259" i="6"/>
  <c r="N259" i="6"/>
  <c r="R259" i="6"/>
  <c r="Q259" i="6" s="1"/>
  <c r="S259" i="6" s="1"/>
  <c r="T259" i="6"/>
  <c r="C260" i="6"/>
  <c r="D260" i="6"/>
  <c r="E260" i="6"/>
  <c r="F260" i="6"/>
  <c r="H260" i="6"/>
  <c r="I260" i="6"/>
  <c r="N260" i="6"/>
  <c r="Q260" i="6"/>
  <c r="S260" i="6" s="1"/>
  <c r="R260" i="6"/>
  <c r="T260" i="6"/>
  <c r="C261" i="6"/>
  <c r="D261" i="6"/>
  <c r="E261" i="6"/>
  <c r="F261" i="6"/>
  <c r="H261" i="6"/>
  <c r="I261" i="6"/>
  <c r="N261" i="6"/>
  <c r="Q261" i="6"/>
  <c r="S261" i="6" s="1"/>
  <c r="R261" i="6"/>
  <c r="T261" i="6"/>
  <c r="C262" i="6"/>
  <c r="D262" i="6"/>
  <c r="E262" i="6"/>
  <c r="F262" i="6"/>
  <c r="H262" i="6"/>
  <c r="I262" i="6"/>
  <c r="N262" i="6"/>
  <c r="R262" i="6"/>
  <c r="Q262" i="6" s="1"/>
  <c r="S262" i="6" s="1"/>
  <c r="T262" i="6"/>
  <c r="C263" i="6"/>
  <c r="D263" i="6"/>
  <c r="E263" i="6"/>
  <c r="F263" i="6"/>
  <c r="H263" i="6"/>
  <c r="I263" i="6"/>
  <c r="N263" i="6"/>
  <c r="Q263" i="6"/>
  <c r="R263" i="6"/>
  <c r="S263" i="6"/>
  <c r="T263" i="6"/>
  <c r="C264" i="6"/>
  <c r="D264" i="6"/>
  <c r="E264" i="6"/>
  <c r="F264" i="6"/>
  <c r="H264" i="6"/>
  <c r="I264" i="6"/>
  <c r="L264" i="6"/>
  <c r="N264" i="6"/>
  <c r="R264" i="6"/>
  <c r="Q264" i="6" s="1"/>
  <c r="S264" i="6" s="1"/>
  <c r="T264" i="6"/>
  <c r="C265" i="6"/>
  <c r="D265" i="6"/>
  <c r="E265" i="6"/>
  <c r="F265" i="6"/>
  <c r="H265" i="6"/>
  <c r="I265" i="6"/>
  <c r="N265" i="6"/>
  <c r="Q265" i="6"/>
  <c r="R265" i="6"/>
  <c r="S265" i="6"/>
  <c r="T265" i="6"/>
  <c r="C266" i="6"/>
  <c r="D266" i="6"/>
  <c r="E266" i="6"/>
  <c r="F266" i="6"/>
  <c r="H266" i="6"/>
  <c r="I266" i="6"/>
  <c r="L266" i="6"/>
  <c r="N266" i="6"/>
  <c r="Q266" i="6"/>
  <c r="S266" i="6" s="1"/>
  <c r="R266" i="6"/>
  <c r="T266" i="6"/>
  <c r="C267" i="6"/>
  <c r="D267" i="6"/>
  <c r="E267" i="6"/>
  <c r="F267" i="6"/>
  <c r="H267" i="6"/>
  <c r="I267" i="6"/>
  <c r="N267" i="6"/>
  <c r="R267" i="6"/>
  <c r="Q267" i="6" s="1"/>
  <c r="T267" i="6"/>
  <c r="C268" i="6"/>
  <c r="D268" i="6"/>
  <c r="E268" i="6"/>
  <c r="F268" i="6"/>
  <c r="H268" i="6"/>
  <c r="I268" i="6"/>
  <c r="L268" i="6"/>
  <c r="N268" i="6"/>
  <c r="Q268" i="6"/>
  <c r="S268" i="6" s="1"/>
  <c r="R268" i="6"/>
  <c r="T268" i="6"/>
  <c r="C269" i="6"/>
  <c r="D269" i="6"/>
  <c r="E269" i="6"/>
  <c r="F269" i="6"/>
  <c r="F1090" i="6" s="1"/>
  <c r="H269" i="6"/>
  <c r="I269" i="6"/>
  <c r="N269" i="6"/>
  <c r="Q269" i="6"/>
  <c r="S269" i="6" s="1"/>
  <c r="R269" i="6"/>
  <c r="T269" i="6"/>
  <c r="C270" i="6"/>
  <c r="D270" i="6"/>
  <c r="D1090" i="6" s="1"/>
  <c r="E270" i="6"/>
  <c r="F270" i="6"/>
  <c r="H270" i="6"/>
  <c r="I270" i="6"/>
  <c r="N270" i="6"/>
  <c r="R270" i="6"/>
  <c r="Q270" i="6" s="1"/>
  <c r="S270" i="6" s="1"/>
  <c r="T270" i="6"/>
  <c r="T1090" i="6" s="1"/>
  <c r="C271" i="6"/>
  <c r="D271" i="6"/>
  <c r="E271" i="6"/>
  <c r="F271" i="6"/>
  <c r="H271" i="6"/>
  <c r="I271" i="6"/>
  <c r="N271" i="6"/>
  <c r="Q271" i="6"/>
  <c r="S271" i="6" s="1"/>
  <c r="R271" i="6"/>
  <c r="T271" i="6"/>
  <c r="C272" i="6"/>
  <c r="D272" i="6"/>
  <c r="E272" i="6"/>
  <c r="F272" i="6"/>
  <c r="H272" i="6"/>
  <c r="I272" i="6"/>
  <c r="N272" i="6"/>
  <c r="R272" i="6"/>
  <c r="Q272" i="6" s="1"/>
  <c r="S272" i="6" s="1"/>
  <c r="T272" i="6"/>
  <c r="C273" i="6"/>
  <c r="D273" i="6"/>
  <c r="E273" i="6"/>
  <c r="F273" i="6"/>
  <c r="H273" i="6"/>
  <c r="I273" i="6"/>
  <c r="N273" i="6"/>
  <c r="R273" i="6"/>
  <c r="Q273" i="6" s="1"/>
  <c r="S273" i="6" s="1"/>
  <c r="T273" i="6"/>
  <c r="C274" i="6"/>
  <c r="D274" i="6"/>
  <c r="E274" i="6"/>
  <c r="F274" i="6"/>
  <c r="H274" i="6"/>
  <c r="I274" i="6"/>
  <c r="L274" i="6"/>
  <c r="N274" i="6"/>
  <c r="Q274" i="6"/>
  <c r="S274" i="6" s="1"/>
  <c r="R274" i="6"/>
  <c r="T274" i="6"/>
  <c r="C275" i="6"/>
  <c r="D275" i="6"/>
  <c r="E275" i="6"/>
  <c r="F275" i="6"/>
  <c r="H275" i="6"/>
  <c r="I275" i="6"/>
  <c r="N275" i="6"/>
  <c r="R275" i="6"/>
  <c r="Q275" i="6" s="1"/>
  <c r="S275" i="6" s="1"/>
  <c r="T275" i="6"/>
  <c r="C276" i="6"/>
  <c r="L276" i="6" s="1"/>
  <c r="D276" i="6"/>
  <c r="E276" i="6"/>
  <c r="F276" i="6"/>
  <c r="H276" i="6"/>
  <c r="I276" i="6"/>
  <c r="N276" i="6"/>
  <c r="Q276" i="6"/>
  <c r="S276" i="6" s="1"/>
  <c r="R276" i="6"/>
  <c r="T276" i="6"/>
  <c r="T1091" i="6" s="1"/>
  <c r="C277" i="6"/>
  <c r="D277" i="6"/>
  <c r="E277" i="6"/>
  <c r="F277" i="6"/>
  <c r="H277" i="6"/>
  <c r="I277" i="6"/>
  <c r="N277" i="6"/>
  <c r="Q277" i="6"/>
  <c r="R277" i="6"/>
  <c r="T277" i="6"/>
  <c r="C278" i="6"/>
  <c r="L278" i="6" s="1"/>
  <c r="D278" i="6"/>
  <c r="E278" i="6"/>
  <c r="F278" i="6"/>
  <c r="H278" i="6"/>
  <c r="I278" i="6"/>
  <c r="N278" i="6"/>
  <c r="R278" i="6"/>
  <c r="Q278" i="6" s="1"/>
  <c r="S278" i="6" s="1"/>
  <c r="T278" i="6"/>
  <c r="C279" i="6"/>
  <c r="D279" i="6"/>
  <c r="E279" i="6"/>
  <c r="F279" i="6"/>
  <c r="H279" i="6"/>
  <c r="I279" i="6"/>
  <c r="N279" i="6"/>
  <c r="Q279" i="6"/>
  <c r="R279" i="6"/>
  <c r="S279" i="6"/>
  <c r="T279" i="6"/>
  <c r="C280" i="6"/>
  <c r="D280" i="6"/>
  <c r="E280" i="6"/>
  <c r="F280" i="6"/>
  <c r="L280" i="6" s="1"/>
  <c r="H280" i="6"/>
  <c r="I280" i="6"/>
  <c r="N280" i="6"/>
  <c r="Q280" i="6"/>
  <c r="S280" i="6" s="1"/>
  <c r="R280" i="6"/>
  <c r="T280" i="6"/>
  <c r="C281" i="6"/>
  <c r="L281" i="6" s="1"/>
  <c r="D281" i="6"/>
  <c r="E281" i="6"/>
  <c r="F281" i="6"/>
  <c r="H281" i="6"/>
  <c r="I281" i="6"/>
  <c r="N281" i="6"/>
  <c r="R281" i="6"/>
  <c r="T281" i="6"/>
  <c r="C282" i="6"/>
  <c r="L282" i="6" s="1"/>
  <c r="D282" i="6"/>
  <c r="E282" i="6"/>
  <c r="F282" i="6"/>
  <c r="H282" i="6"/>
  <c r="I282" i="6"/>
  <c r="N282" i="6"/>
  <c r="Q282" i="6"/>
  <c r="S282" i="6" s="1"/>
  <c r="R282" i="6"/>
  <c r="T282" i="6"/>
  <c r="C283" i="6"/>
  <c r="D283" i="6"/>
  <c r="E283" i="6"/>
  <c r="E1091" i="6" s="1"/>
  <c r="F283" i="6"/>
  <c r="H283" i="6"/>
  <c r="I283" i="6"/>
  <c r="N283" i="6"/>
  <c r="Q283" i="6"/>
  <c r="R283" i="6"/>
  <c r="S283" i="6"/>
  <c r="T283" i="6"/>
  <c r="C284" i="6"/>
  <c r="L284" i="6" s="1"/>
  <c r="D284" i="6"/>
  <c r="E284" i="6"/>
  <c r="F284" i="6"/>
  <c r="H284" i="6"/>
  <c r="I284" i="6"/>
  <c r="N284" i="6"/>
  <c r="Q284" i="6"/>
  <c r="S284" i="6" s="1"/>
  <c r="R284" i="6"/>
  <c r="T284" i="6"/>
  <c r="C285" i="6"/>
  <c r="D285" i="6"/>
  <c r="E285" i="6"/>
  <c r="F285" i="6"/>
  <c r="H285" i="6"/>
  <c r="I285" i="6"/>
  <c r="N285" i="6"/>
  <c r="Q285" i="6"/>
  <c r="S285" i="6" s="1"/>
  <c r="R285" i="6"/>
  <c r="T285" i="6"/>
  <c r="C286" i="6"/>
  <c r="L286" i="6" s="1"/>
  <c r="D286" i="6"/>
  <c r="E286" i="6"/>
  <c r="F286" i="6"/>
  <c r="H286" i="6"/>
  <c r="I286" i="6"/>
  <c r="N286" i="6"/>
  <c r="Q286" i="6"/>
  <c r="S286" i="6" s="1"/>
  <c r="R286" i="6"/>
  <c r="T286" i="6"/>
  <c r="C287" i="6"/>
  <c r="D287" i="6"/>
  <c r="E287" i="6"/>
  <c r="F287" i="6"/>
  <c r="H287" i="6"/>
  <c r="I287" i="6"/>
  <c r="N287" i="6"/>
  <c r="Q287" i="6"/>
  <c r="R287" i="6"/>
  <c r="S287" i="6"/>
  <c r="T287" i="6"/>
  <c r="C288" i="6"/>
  <c r="D288" i="6"/>
  <c r="E288" i="6"/>
  <c r="F288" i="6"/>
  <c r="L288" i="6" s="1"/>
  <c r="H288" i="6"/>
  <c r="I288" i="6"/>
  <c r="N288" i="6"/>
  <c r="Q288" i="6"/>
  <c r="S288" i="6" s="1"/>
  <c r="R288" i="6"/>
  <c r="T288" i="6"/>
  <c r="C289" i="6"/>
  <c r="L289" i="6" s="1"/>
  <c r="D289" i="6"/>
  <c r="E289" i="6"/>
  <c r="F289" i="6"/>
  <c r="H289" i="6"/>
  <c r="I289" i="6"/>
  <c r="N289" i="6"/>
  <c r="R289" i="6"/>
  <c r="Q289" i="6" s="1"/>
  <c r="S289" i="6" s="1"/>
  <c r="T289" i="6"/>
  <c r="C290" i="6"/>
  <c r="D290" i="6"/>
  <c r="E290" i="6"/>
  <c r="F290" i="6"/>
  <c r="H290" i="6"/>
  <c r="I290" i="6"/>
  <c r="N290" i="6"/>
  <c r="Q290" i="6"/>
  <c r="S290" i="6" s="1"/>
  <c r="R290" i="6"/>
  <c r="T290" i="6"/>
  <c r="C291" i="6"/>
  <c r="D291" i="6"/>
  <c r="E291" i="6"/>
  <c r="E1092" i="6" s="1"/>
  <c r="F291" i="6"/>
  <c r="H291" i="6"/>
  <c r="I291" i="6"/>
  <c r="N291" i="6"/>
  <c r="Q291" i="6"/>
  <c r="R291" i="6"/>
  <c r="S291" i="6"/>
  <c r="T291" i="6"/>
  <c r="T1092" i="6" s="1"/>
  <c r="C292" i="6"/>
  <c r="D292" i="6"/>
  <c r="E292" i="6"/>
  <c r="F292" i="6"/>
  <c r="H292" i="6"/>
  <c r="I292" i="6"/>
  <c r="L292" i="6"/>
  <c r="N292" i="6"/>
  <c r="N1092" i="6" s="1"/>
  <c r="Q292" i="6"/>
  <c r="S292" i="6" s="1"/>
  <c r="R292" i="6"/>
  <c r="T292" i="6"/>
  <c r="C293" i="6"/>
  <c r="D293" i="6"/>
  <c r="E293" i="6"/>
  <c r="F293" i="6"/>
  <c r="H293" i="6"/>
  <c r="I293" i="6"/>
  <c r="N293" i="6"/>
  <c r="Q293" i="6"/>
  <c r="S293" i="6" s="1"/>
  <c r="R293" i="6"/>
  <c r="T293" i="6"/>
  <c r="C294" i="6"/>
  <c r="L294" i="6" s="1"/>
  <c r="D294" i="6"/>
  <c r="E294" i="6"/>
  <c r="F294" i="6"/>
  <c r="H294" i="6"/>
  <c r="I294" i="6"/>
  <c r="N294" i="6"/>
  <c r="R294" i="6"/>
  <c r="Q294" i="6" s="1"/>
  <c r="S294" i="6" s="1"/>
  <c r="T294" i="6"/>
  <c r="C295" i="6"/>
  <c r="D295" i="6"/>
  <c r="E295" i="6"/>
  <c r="F295" i="6"/>
  <c r="H295" i="6"/>
  <c r="I295" i="6"/>
  <c r="N295" i="6"/>
  <c r="Q295" i="6"/>
  <c r="S295" i="6" s="1"/>
  <c r="R295" i="6"/>
  <c r="T295" i="6"/>
  <c r="C296" i="6"/>
  <c r="D296" i="6"/>
  <c r="E296" i="6"/>
  <c r="F296" i="6"/>
  <c r="L296" i="6" s="1"/>
  <c r="H296" i="6"/>
  <c r="I296" i="6"/>
  <c r="N296" i="6"/>
  <c r="Q296" i="6"/>
  <c r="S296" i="6" s="1"/>
  <c r="R296" i="6"/>
  <c r="T296" i="6"/>
  <c r="C297" i="6"/>
  <c r="D297" i="6"/>
  <c r="E297" i="6"/>
  <c r="F297" i="6"/>
  <c r="H297" i="6"/>
  <c r="I297" i="6"/>
  <c r="N297" i="6"/>
  <c r="R297" i="6"/>
  <c r="Q297" i="6" s="1"/>
  <c r="S297" i="6" s="1"/>
  <c r="T297" i="6"/>
  <c r="C298" i="6"/>
  <c r="D298" i="6"/>
  <c r="E298" i="6"/>
  <c r="F298" i="6"/>
  <c r="H298" i="6"/>
  <c r="I298" i="6"/>
  <c r="L298" i="6" s="1"/>
  <c r="N298" i="6"/>
  <c r="Q298" i="6"/>
  <c r="S298" i="6" s="1"/>
  <c r="R298" i="6"/>
  <c r="T298" i="6"/>
  <c r="C299" i="6"/>
  <c r="D299" i="6"/>
  <c r="E299" i="6"/>
  <c r="F299" i="6"/>
  <c r="H299" i="6"/>
  <c r="I299" i="6"/>
  <c r="N299" i="6"/>
  <c r="Q299" i="6"/>
  <c r="R299" i="6"/>
  <c r="S299" i="6"/>
  <c r="T299" i="6"/>
  <c r="C300" i="6"/>
  <c r="L300" i="6" s="1"/>
  <c r="D300" i="6"/>
  <c r="E300" i="6"/>
  <c r="F300" i="6"/>
  <c r="H300" i="6"/>
  <c r="I300" i="6"/>
  <c r="N300" i="6"/>
  <c r="Q300" i="6"/>
  <c r="S300" i="6" s="1"/>
  <c r="R300" i="6"/>
  <c r="T300" i="6"/>
  <c r="C301" i="6"/>
  <c r="D301" i="6"/>
  <c r="E301" i="6"/>
  <c r="F301" i="6"/>
  <c r="H301" i="6"/>
  <c r="I301" i="6"/>
  <c r="N301" i="6"/>
  <c r="Q301" i="6"/>
  <c r="S301" i="6" s="1"/>
  <c r="R301" i="6"/>
  <c r="T301" i="6"/>
  <c r="C302" i="6"/>
  <c r="D302" i="6"/>
  <c r="E302" i="6"/>
  <c r="F302" i="6"/>
  <c r="H302" i="6"/>
  <c r="I302" i="6"/>
  <c r="N302" i="6"/>
  <c r="Q302" i="6"/>
  <c r="S302" i="6" s="1"/>
  <c r="R302" i="6"/>
  <c r="T302" i="6"/>
  <c r="C303" i="6"/>
  <c r="D303" i="6"/>
  <c r="E303" i="6"/>
  <c r="F303" i="6"/>
  <c r="H303" i="6"/>
  <c r="I303" i="6"/>
  <c r="N303" i="6"/>
  <c r="Q303" i="6"/>
  <c r="R303" i="6"/>
  <c r="S303" i="6"/>
  <c r="T303" i="6"/>
  <c r="C304" i="6"/>
  <c r="D304" i="6"/>
  <c r="E304" i="6"/>
  <c r="F304" i="6"/>
  <c r="H304" i="6"/>
  <c r="I304" i="6"/>
  <c r="L304" i="6"/>
  <c r="N304" i="6"/>
  <c r="Q304" i="6"/>
  <c r="S304" i="6" s="1"/>
  <c r="R304" i="6"/>
  <c r="T304" i="6"/>
  <c r="C305" i="6"/>
  <c r="D305" i="6"/>
  <c r="E305" i="6"/>
  <c r="F305" i="6"/>
  <c r="H305" i="6"/>
  <c r="I305" i="6"/>
  <c r="N305" i="6"/>
  <c r="Q305" i="6"/>
  <c r="R305" i="6"/>
  <c r="S305" i="6"/>
  <c r="T305" i="6"/>
  <c r="C306" i="6"/>
  <c r="L306" i="6" s="1"/>
  <c r="D306" i="6"/>
  <c r="E306" i="6"/>
  <c r="F306" i="6"/>
  <c r="H306" i="6"/>
  <c r="I306" i="6"/>
  <c r="N306" i="6"/>
  <c r="Q306" i="6"/>
  <c r="S306" i="6" s="1"/>
  <c r="R306" i="6"/>
  <c r="T306" i="6"/>
  <c r="C307" i="6"/>
  <c r="D307" i="6"/>
  <c r="E307" i="6"/>
  <c r="F307" i="6"/>
  <c r="H307" i="6"/>
  <c r="I307" i="6"/>
  <c r="N307" i="6"/>
  <c r="Q307" i="6"/>
  <c r="R307" i="6"/>
  <c r="S307" i="6"/>
  <c r="T307" i="6"/>
  <c r="C308" i="6"/>
  <c r="D308" i="6"/>
  <c r="E308" i="6"/>
  <c r="F308" i="6"/>
  <c r="H308" i="6"/>
  <c r="I308" i="6"/>
  <c r="L308" i="6"/>
  <c r="N308" i="6"/>
  <c r="Q308" i="6"/>
  <c r="S308" i="6" s="1"/>
  <c r="R308" i="6"/>
  <c r="T308" i="6"/>
  <c r="C309" i="6"/>
  <c r="D309" i="6"/>
  <c r="E309" i="6"/>
  <c r="F309" i="6"/>
  <c r="H309" i="6"/>
  <c r="I309" i="6"/>
  <c r="N309" i="6"/>
  <c r="Q309" i="6"/>
  <c r="S309" i="6" s="1"/>
  <c r="R309" i="6"/>
  <c r="T309" i="6"/>
  <c r="C310" i="6"/>
  <c r="L310" i="6" s="1"/>
  <c r="D310" i="6"/>
  <c r="E310" i="6"/>
  <c r="F310" i="6"/>
  <c r="H310" i="6"/>
  <c r="I310" i="6"/>
  <c r="N310" i="6"/>
  <c r="R310" i="6"/>
  <c r="Q310" i="6" s="1"/>
  <c r="S310" i="6" s="1"/>
  <c r="T310" i="6"/>
  <c r="C311" i="6"/>
  <c r="D311" i="6"/>
  <c r="E311" i="6"/>
  <c r="F311" i="6"/>
  <c r="H311" i="6"/>
  <c r="I311" i="6"/>
  <c r="N311" i="6"/>
  <c r="Q311" i="6"/>
  <c r="S311" i="6" s="1"/>
  <c r="R311" i="6"/>
  <c r="T311" i="6"/>
  <c r="C312" i="6"/>
  <c r="D312" i="6"/>
  <c r="E312" i="6"/>
  <c r="F312" i="6"/>
  <c r="L312" i="6" s="1"/>
  <c r="H312" i="6"/>
  <c r="I312" i="6"/>
  <c r="N312" i="6"/>
  <c r="Q312" i="6"/>
  <c r="S312" i="6" s="1"/>
  <c r="R312" i="6"/>
  <c r="T312" i="6"/>
  <c r="C313" i="6"/>
  <c r="L313" i="6" s="1"/>
  <c r="D313" i="6"/>
  <c r="E313" i="6"/>
  <c r="F313" i="6"/>
  <c r="H313" i="6"/>
  <c r="I313" i="6"/>
  <c r="N313" i="6"/>
  <c r="R313" i="6"/>
  <c r="Q313" i="6" s="1"/>
  <c r="S313" i="6" s="1"/>
  <c r="T313" i="6"/>
  <c r="C314" i="6"/>
  <c r="D314" i="6"/>
  <c r="E314" i="6"/>
  <c r="F314" i="6"/>
  <c r="H314" i="6"/>
  <c r="I314" i="6"/>
  <c r="L314" i="6" s="1"/>
  <c r="N314" i="6"/>
  <c r="Q314" i="6"/>
  <c r="S314" i="6" s="1"/>
  <c r="R314" i="6"/>
  <c r="T314" i="6"/>
  <c r="C315" i="6"/>
  <c r="D315" i="6"/>
  <c r="E315" i="6"/>
  <c r="F315" i="6"/>
  <c r="H315" i="6"/>
  <c r="I315" i="6"/>
  <c r="N315" i="6"/>
  <c r="Q315" i="6"/>
  <c r="R315" i="6"/>
  <c r="S315" i="6"/>
  <c r="T315" i="6"/>
  <c r="C316" i="6"/>
  <c r="L316" i="6" s="1"/>
  <c r="D316" i="6"/>
  <c r="E316" i="6"/>
  <c r="F316" i="6"/>
  <c r="H316" i="6"/>
  <c r="I316" i="6"/>
  <c r="N316" i="6"/>
  <c r="Q316" i="6"/>
  <c r="S316" i="6" s="1"/>
  <c r="R316" i="6"/>
  <c r="T316" i="6"/>
  <c r="C317" i="6"/>
  <c r="D317" i="6"/>
  <c r="E317" i="6"/>
  <c r="F317" i="6"/>
  <c r="H317" i="6"/>
  <c r="I317" i="6"/>
  <c r="N317" i="6"/>
  <c r="Q317" i="6"/>
  <c r="S317" i="6" s="1"/>
  <c r="R317" i="6"/>
  <c r="T317" i="6"/>
  <c r="C318" i="6"/>
  <c r="L318" i="6" s="1"/>
  <c r="D318" i="6"/>
  <c r="E318" i="6"/>
  <c r="F318" i="6"/>
  <c r="H318" i="6"/>
  <c r="I318" i="6"/>
  <c r="N318" i="6"/>
  <c r="Q318" i="6"/>
  <c r="S318" i="6" s="1"/>
  <c r="R318" i="6"/>
  <c r="T318" i="6"/>
  <c r="C319" i="6"/>
  <c r="D319" i="6"/>
  <c r="E319" i="6"/>
  <c r="F319" i="6"/>
  <c r="H319" i="6"/>
  <c r="I319" i="6"/>
  <c r="N319" i="6"/>
  <c r="Q319" i="6"/>
  <c r="R319" i="6"/>
  <c r="S319" i="6"/>
  <c r="T319" i="6"/>
  <c r="C320" i="6"/>
  <c r="D320" i="6"/>
  <c r="E320" i="6"/>
  <c r="F320" i="6"/>
  <c r="L320" i="6" s="1"/>
  <c r="H320" i="6"/>
  <c r="I320" i="6"/>
  <c r="N320" i="6"/>
  <c r="Q320" i="6"/>
  <c r="S320" i="6" s="1"/>
  <c r="R320" i="6"/>
  <c r="T320" i="6"/>
  <c r="C321" i="6"/>
  <c r="L321" i="6" s="1"/>
  <c r="D321" i="6"/>
  <c r="E321" i="6"/>
  <c r="F321" i="6"/>
  <c r="H321" i="6"/>
  <c r="I321" i="6"/>
  <c r="N321" i="6"/>
  <c r="R321" i="6"/>
  <c r="Q321" i="6" s="1"/>
  <c r="T321" i="6"/>
  <c r="C322" i="6"/>
  <c r="L322" i="6" s="1"/>
  <c r="D322" i="6"/>
  <c r="E322" i="6"/>
  <c r="F322" i="6"/>
  <c r="H322" i="6"/>
  <c r="I322" i="6"/>
  <c r="N322" i="6"/>
  <c r="Q322" i="6"/>
  <c r="S322" i="6" s="1"/>
  <c r="R322" i="6"/>
  <c r="T322" i="6"/>
  <c r="C323" i="6"/>
  <c r="D323" i="6"/>
  <c r="E323" i="6"/>
  <c r="F323" i="6"/>
  <c r="H323" i="6"/>
  <c r="I323" i="6"/>
  <c r="N323" i="6"/>
  <c r="Q323" i="6"/>
  <c r="R323" i="6"/>
  <c r="S323" i="6"/>
  <c r="T323" i="6"/>
  <c r="C324" i="6"/>
  <c r="D324" i="6"/>
  <c r="E324" i="6"/>
  <c r="F324" i="6"/>
  <c r="H324" i="6"/>
  <c r="I324" i="6"/>
  <c r="L324" i="6"/>
  <c r="N324" i="6"/>
  <c r="Q324" i="6"/>
  <c r="S324" i="6" s="1"/>
  <c r="R324" i="6"/>
  <c r="T324" i="6"/>
  <c r="C325" i="6"/>
  <c r="D325" i="6"/>
  <c r="E325" i="6"/>
  <c r="F325" i="6"/>
  <c r="H325" i="6"/>
  <c r="I325" i="6"/>
  <c r="N325" i="6"/>
  <c r="Q325" i="6"/>
  <c r="S325" i="6" s="1"/>
  <c r="R325" i="6"/>
  <c r="T325" i="6"/>
  <c r="C326" i="6"/>
  <c r="L326" i="6" s="1"/>
  <c r="D326" i="6"/>
  <c r="E326" i="6"/>
  <c r="F326" i="6"/>
  <c r="H326" i="6"/>
  <c r="I326" i="6"/>
  <c r="N326" i="6"/>
  <c r="R326" i="6"/>
  <c r="Q326" i="6" s="1"/>
  <c r="S326" i="6" s="1"/>
  <c r="T326" i="6"/>
  <c r="C327" i="6"/>
  <c r="D327" i="6"/>
  <c r="E327" i="6"/>
  <c r="F327" i="6"/>
  <c r="H327" i="6"/>
  <c r="I327" i="6"/>
  <c r="N327" i="6"/>
  <c r="Q327" i="6"/>
  <c r="S327" i="6" s="1"/>
  <c r="R327" i="6"/>
  <c r="T327" i="6"/>
  <c r="C328" i="6"/>
  <c r="D328" i="6"/>
  <c r="E328" i="6"/>
  <c r="F328" i="6"/>
  <c r="H328" i="6"/>
  <c r="I328" i="6"/>
  <c r="N328" i="6"/>
  <c r="Q328" i="6"/>
  <c r="S328" i="6" s="1"/>
  <c r="R328" i="6"/>
  <c r="T328" i="6"/>
  <c r="C329" i="6"/>
  <c r="D329" i="6"/>
  <c r="D1095" i="6" s="1"/>
  <c r="E329" i="6"/>
  <c r="F329" i="6"/>
  <c r="H329" i="6"/>
  <c r="I329" i="6"/>
  <c r="N329" i="6"/>
  <c r="R329" i="6"/>
  <c r="Q329" i="6" s="1"/>
  <c r="S329" i="6" s="1"/>
  <c r="S1095" i="6" s="1"/>
  <c r="T329" i="6"/>
  <c r="C330" i="6"/>
  <c r="D330" i="6"/>
  <c r="E330" i="6"/>
  <c r="F330" i="6"/>
  <c r="H330" i="6"/>
  <c r="I330" i="6"/>
  <c r="L330" i="6" s="1"/>
  <c r="N330" i="6"/>
  <c r="Q330" i="6"/>
  <c r="S330" i="6" s="1"/>
  <c r="R330" i="6"/>
  <c r="T330" i="6"/>
  <c r="C331" i="6"/>
  <c r="D331" i="6"/>
  <c r="E331" i="6"/>
  <c r="F331" i="6"/>
  <c r="H331" i="6"/>
  <c r="I331" i="6"/>
  <c r="N331" i="6"/>
  <c r="Q331" i="6"/>
  <c r="R331" i="6"/>
  <c r="S331" i="6"/>
  <c r="T331" i="6"/>
  <c r="C332" i="6"/>
  <c r="L332" i="6" s="1"/>
  <c r="D332" i="6"/>
  <c r="E332" i="6"/>
  <c r="F332" i="6"/>
  <c r="H332" i="6"/>
  <c r="I332" i="6"/>
  <c r="N332" i="6"/>
  <c r="Q332" i="6"/>
  <c r="S332" i="6" s="1"/>
  <c r="R332" i="6"/>
  <c r="T332" i="6"/>
  <c r="C333" i="6"/>
  <c r="D333" i="6"/>
  <c r="E333" i="6"/>
  <c r="F333" i="6"/>
  <c r="H333" i="6"/>
  <c r="I333" i="6"/>
  <c r="N333" i="6"/>
  <c r="Q333" i="6"/>
  <c r="S333" i="6" s="1"/>
  <c r="R333" i="6"/>
  <c r="T333" i="6"/>
  <c r="C334" i="6"/>
  <c r="D334" i="6"/>
  <c r="E334" i="6"/>
  <c r="F334" i="6"/>
  <c r="H334" i="6"/>
  <c r="I334" i="6"/>
  <c r="N334" i="6"/>
  <c r="Q334" i="6"/>
  <c r="S334" i="6" s="1"/>
  <c r="R334" i="6"/>
  <c r="T334" i="6"/>
  <c r="C335" i="6"/>
  <c r="D335" i="6"/>
  <c r="E335" i="6"/>
  <c r="F335" i="6"/>
  <c r="H335" i="6"/>
  <c r="I335" i="6"/>
  <c r="N335" i="6"/>
  <c r="Q335" i="6"/>
  <c r="R335" i="6"/>
  <c r="S335" i="6"/>
  <c r="T335" i="6"/>
  <c r="C336" i="6"/>
  <c r="D336" i="6"/>
  <c r="E336" i="6"/>
  <c r="F336" i="6"/>
  <c r="H336" i="6"/>
  <c r="I336" i="6"/>
  <c r="L336" i="6"/>
  <c r="N336" i="6"/>
  <c r="Q336" i="6"/>
  <c r="S336" i="6" s="1"/>
  <c r="R336" i="6"/>
  <c r="T336" i="6"/>
  <c r="C337" i="6"/>
  <c r="D337" i="6"/>
  <c r="E337" i="6"/>
  <c r="F337" i="6"/>
  <c r="H337" i="6"/>
  <c r="I337" i="6"/>
  <c r="N337" i="6"/>
  <c r="Q337" i="6"/>
  <c r="S337" i="6" s="1"/>
  <c r="S1096" i="6" s="1"/>
  <c r="R337" i="6"/>
  <c r="T337" i="6"/>
  <c r="C338" i="6"/>
  <c r="L338" i="6" s="1"/>
  <c r="D338" i="6"/>
  <c r="E338" i="6"/>
  <c r="F338" i="6"/>
  <c r="H338" i="6"/>
  <c r="I338" i="6"/>
  <c r="N338" i="6"/>
  <c r="Q338" i="6"/>
  <c r="S338" i="6" s="1"/>
  <c r="R338" i="6"/>
  <c r="T338" i="6"/>
  <c r="C339" i="6"/>
  <c r="D339" i="6"/>
  <c r="E339" i="6"/>
  <c r="F339" i="6"/>
  <c r="H339" i="6"/>
  <c r="I339" i="6"/>
  <c r="N339" i="6"/>
  <c r="Q339" i="6"/>
  <c r="R339" i="6"/>
  <c r="S339" i="6"/>
  <c r="T339" i="6"/>
  <c r="C340" i="6"/>
  <c r="D340" i="6"/>
  <c r="E340" i="6"/>
  <c r="F340" i="6"/>
  <c r="H340" i="6"/>
  <c r="I340" i="6"/>
  <c r="L340" i="6"/>
  <c r="N340" i="6"/>
  <c r="Q340" i="6"/>
  <c r="S340" i="6" s="1"/>
  <c r="R340" i="6"/>
  <c r="T340" i="6"/>
  <c r="C341" i="6"/>
  <c r="D341" i="6"/>
  <c r="E341" i="6"/>
  <c r="F341" i="6"/>
  <c r="H341" i="6"/>
  <c r="I341" i="6"/>
  <c r="N341" i="6"/>
  <c r="Q341" i="6"/>
  <c r="S341" i="6" s="1"/>
  <c r="R341" i="6"/>
  <c r="T341" i="6"/>
  <c r="C342" i="6"/>
  <c r="L342" i="6" s="1"/>
  <c r="D342" i="6"/>
  <c r="E342" i="6"/>
  <c r="F342" i="6"/>
  <c r="H342" i="6"/>
  <c r="I342" i="6"/>
  <c r="N342" i="6"/>
  <c r="R342" i="6"/>
  <c r="Q342" i="6" s="1"/>
  <c r="S342" i="6" s="1"/>
  <c r="T342" i="6"/>
  <c r="C343" i="6"/>
  <c r="D343" i="6"/>
  <c r="E343" i="6"/>
  <c r="F343" i="6"/>
  <c r="H343" i="6"/>
  <c r="I343" i="6"/>
  <c r="N343" i="6"/>
  <c r="Q343" i="6"/>
  <c r="S343" i="6" s="1"/>
  <c r="R343" i="6"/>
  <c r="T343" i="6"/>
  <c r="C344" i="6"/>
  <c r="D344" i="6"/>
  <c r="E344" i="6"/>
  <c r="F344" i="6"/>
  <c r="L344" i="6" s="1"/>
  <c r="H344" i="6"/>
  <c r="I344" i="6"/>
  <c r="N344" i="6"/>
  <c r="Q344" i="6"/>
  <c r="S344" i="6" s="1"/>
  <c r="R344" i="6"/>
  <c r="T344" i="6"/>
  <c r="C345" i="6"/>
  <c r="L345" i="6" s="1"/>
  <c r="D345" i="6"/>
  <c r="E345" i="6"/>
  <c r="F345" i="6"/>
  <c r="H345" i="6"/>
  <c r="I345" i="6"/>
  <c r="N345" i="6"/>
  <c r="R345" i="6"/>
  <c r="Q345" i="6" s="1"/>
  <c r="S345" i="6" s="1"/>
  <c r="T345" i="6"/>
  <c r="C346" i="6"/>
  <c r="D346" i="6"/>
  <c r="E346" i="6"/>
  <c r="F346" i="6"/>
  <c r="H346" i="6"/>
  <c r="I346" i="6"/>
  <c r="N346" i="6"/>
  <c r="Q346" i="6"/>
  <c r="S346" i="6" s="1"/>
  <c r="R346" i="6"/>
  <c r="T346" i="6"/>
  <c r="C347" i="6"/>
  <c r="D347" i="6"/>
  <c r="E347" i="6"/>
  <c r="E1096" i="6" s="1"/>
  <c r="F347" i="6"/>
  <c r="H347" i="6"/>
  <c r="I347" i="6"/>
  <c r="N347" i="6"/>
  <c r="Q347" i="6"/>
  <c r="R347" i="6"/>
  <c r="S347" i="6"/>
  <c r="T347" i="6"/>
  <c r="C348" i="6"/>
  <c r="L348" i="6" s="1"/>
  <c r="D348" i="6"/>
  <c r="E348" i="6"/>
  <c r="F348" i="6"/>
  <c r="H348" i="6"/>
  <c r="I348" i="6"/>
  <c r="N348" i="6"/>
  <c r="N1097" i="6" s="1"/>
  <c r="Q348" i="6"/>
  <c r="S348" i="6" s="1"/>
  <c r="R348" i="6"/>
  <c r="T348" i="6"/>
  <c r="C349" i="6"/>
  <c r="D349" i="6"/>
  <c r="E349" i="6"/>
  <c r="F349" i="6"/>
  <c r="H349" i="6"/>
  <c r="I349" i="6"/>
  <c r="N349" i="6"/>
  <c r="Q349" i="6"/>
  <c r="S349" i="6" s="1"/>
  <c r="R349" i="6"/>
  <c r="T349" i="6"/>
  <c r="C350" i="6"/>
  <c r="L350" i="6" s="1"/>
  <c r="D350" i="6"/>
  <c r="E350" i="6"/>
  <c r="F350" i="6"/>
  <c r="H350" i="6"/>
  <c r="I350" i="6"/>
  <c r="N350" i="6"/>
  <c r="R350" i="6"/>
  <c r="Q350" i="6" s="1"/>
  <c r="S350" i="6" s="1"/>
  <c r="T350" i="6"/>
  <c r="C351" i="6"/>
  <c r="D351" i="6"/>
  <c r="E351" i="6"/>
  <c r="F351" i="6"/>
  <c r="H351" i="6"/>
  <c r="I351" i="6"/>
  <c r="N351" i="6"/>
  <c r="Q351" i="6"/>
  <c r="R351" i="6"/>
  <c r="S351" i="6"/>
  <c r="T351" i="6"/>
  <c r="C352" i="6"/>
  <c r="D352" i="6"/>
  <c r="E352" i="6"/>
  <c r="F352" i="6"/>
  <c r="L352" i="6" s="1"/>
  <c r="H352" i="6"/>
  <c r="I352" i="6"/>
  <c r="N352" i="6"/>
  <c r="Q352" i="6"/>
  <c r="S352" i="6" s="1"/>
  <c r="R352" i="6"/>
  <c r="T352" i="6"/>
  <c r="C353" i="6"/>
  <c r="L353" i="6" s="1"/>
  <c r="D353" i="6"/>
  <c r="E353" i="6"/>
  <c r="F353" i="6"/>
  <c r="H353" i="6"/>
  <c r="I353" i="6"/>
  <c r="N353" i="6"/>
  <c r="Q353" i="6"/>
  <c r="S353" i="6" s="1"/>
  <c r="R353" i="6"/>
  <c r="T353" i="6"/>
  <c r="C354" i="6"/>
  <c r="D354" i="6"/>
  <c r="E354" i="6"/>
  <c r="F354" i="6"/>
  <c r="H354" i="6"/>
  <c r="I354" i="6"/>
  <c r="N354" i="6"/>
  <c r="Q354" i="6"/>
  <c r="S354" i="6" s="1"/>
  <c r="R354" i="6"/>
  <c r="T354" i="6"/>
  <c r="C355" i="6"/>
  <c r="D355" i="6"/>
  <c r="D1097" i="6" s="1"/>
  <c r="E355" i="6"/>
  <c r="F355" i="6"/>
  <c r="H355" i="6"/>
  <c r="I355" i="6"/>
  <c r="N355" i="6"/>
  <c r="Q355" i="6"/>
  <c r="R355" i="6"/>
  <c r="S355" i="6"/>
  <c r="T355" i="6"/>
  <c r="C356" i="6"/>
  <c r="D356" i="6"/>
  <c r="E356" i="6"/>
  <c r="F356" i="6"/>
  <c r="H356" i="6"/>
  <c r="I356" i="6"/>
  <c r="L356" i="6"/>
  <c r="N356" i="6"/>
  <c r="Q356" i="6"/>
  <c r="S356" i="6" s="1"/>
  <c r="R356" i="6"/>
  <c r="T356" i="6"/>
  <c r="C357" i="6"/>
  <c r="D357" i="6"/>
  <c r="E357" i="6"/>
  <c r="F357" i="6"/>
  <c r="F1097" i="6" s="1"/>
  <c r="H357" i="6"/>
  <c r="I357" i="6"/>
  <c r="N357" i="6"/>
  <c r="Q357" i="6"/>
  <c r="S357" i="6" s="1"/>
  <c r="R357" i="6"/>
  <c r="T357" i="6"/>
  <c r="C358" i="6"/>
  <c r="D358" i="6"/>
  <c r="E358" i="6"/>
  <c r="F358" i="6"/>
  <c r="H358" i="6"/>
  <c r="I358" i="6"/>
  <c r="N358" i="6"/>
  <c r="R358" i="6"/>
  <c r="Q358" i="6" s="1"/>
  <c r="S358" i="6" s="1"/>
  <c r="T358" i="6"/>
  <c r="C359" i="6"/>
  <c r="D359" i="6"/>
  <c r="E359" i="6"/>
  <c r="F359" i="6"/>
  <c r="H359" i="6"/>
  <c r="I359" i="6"/>
  <c r="N359" i="6"/>
  <c r="Q359" i="6"/>
  <c r="R359" i="6"/>
  <c r="T359" i="6"/>
  <c r="C360" i="6"/>
  <c r="D360" i="6"/>
  <c r="E360" i="6"/>
  <c r="F360" i="6"/>
  <c r="H360" i="6"/>
  <c r="I360" i="6"/>
  <c r="N360" i="6"/>
  <c r="Q360" i="6"/>
  <c r="S360" i="6" s="1"/>
  <c r="R360" i="6"/>
  <c r="T360" i="6"/>
  <c r="C361" i="6"/>
  <c r="L361" i="6" s="1"/>
  <c r="D361" i="6"/>
  <c r="E361" i="6"/>
  <c r="F361" i="6"/>
  <c r="H361" i="6"/>
  <c r="I361" i="6"/>
  <c r="N361" i="6"/>
  <c r="R361" i="6"/>
  <c r="Q361" i="6" s="1"/>
  <c r="S361" i="6"/>
  <c r="T361" i="6"/>
  <c r="C362" i="6"/>
  <c r="D362" i="6"/>
  <c r="E362" i="6"/>
  <c r="F362" i="6"/>
  <c r="H362" i="6"/>
  <c r="I362" i="6"/>
  <c r="L362" i="6"/>
  <c r="N362" i="6"/>
  <c r="Q362" i="6"/>
  <c r="S362" i="6" s="1"/>
  <c r="R362" i="6"/>
  <c r="T362" i="6"/>
  <c r="C363" i="6"/>
  <c r="D363" i="6"/>
  <c r="E363" i="6"/>
  <c r="F363" i="6"/>
  <c r="H363" i="6"/>
  <c r="I363" i="6"/>
  <c r="N363" i="6"/>
  <c r="Q363" i="6"/>
  <c r="R363" i="6"/>
  <c r="S363" i="6"/>
  <c r="T363" i="6"/>
  <c r="C364" i="6"/>
  <c r="L364" i="6" s="1"/>
  <c r="D364" i="6"/>
  <c r="E364" i="6"/>
  <c r="F364" i="6"/>
  <c r="H364" i="6"/>
  <c r="I364" i="6"/>
  <c r="N364" i="6"/>
  <c r="Q364" i="6"/>
  <c r="S364" i="6" s="1"/>
  <c r="R364" i="6"/>
  <c r="T364" i="6"/>
  <c r="C365" i="6"/>
  <c r="D365" i="6"/>
  <c r="E365" i="6"/>
  <c r="F365" i="6"/>
  <c r="H365" i="6"/>
  <c r="I365" i="6"/>
  <c r="N365" i="6"/>
  <c r="Q365" i="6"/>
  <c r="S365" i="6" s="1"/>
  <c r="R365" i="6"/>
  <c r="T365" i="6"/>
  <c r="C366" i="6"/>
  <c r="D366" i="6"/>
  <c r="E366" i="6"/>
  <c r="F366" i="6"/>
  <c r="H366" i="6"/>
  <c r="I366" i="6"/>
  <c r="N366" i="6"/>
  <c r="Q366" i="6"/>
  <c r="S366" i="6" s="1"/>
  <c r="R366" i="6"/>
  <c r="T366" i="6"/>
  <c r="C367" i="6"/>
  <c r="D367" i="6"/>
  <c r="E367" i="6"/>
  <c r="F367" i="6"/>
  <c r="H367" i="6"/>
  <c r="I367" i="6"/>
  <c r="N367" i="6"/>
  <c r="Q367" i="6"/>
  <c r="R367" i="6"/>
  <c r="S367" i="6"/>
  <c r="T367" i="6"/>
  <c r="C368" i="6"/>
  <c r="D368" i="6"/>
  <c r="E368" i="6"/>
  <c r="F368" i="6"/>
  <c r="H368" i="6"/>
  <c r="I368" i="6"/>
  <c r="L368" i="6"/>
  <c r="N368" i="6"/>
  <c r="Q368" i="6"/>
  <c r="S368" i="6" s="1"/>
  <c r="R368" i="6"/>
  <c r="T368" i="6"/>
  <c r="C369" i="6"/>
  <c r="D369" i="6"/>
  <c r="E369" i="6"/>
  <c r="F369" i="6"/>
  <c r="H369" i="6"/>
  <c r="I369" i="6"/>
  <c r="N369" i="6"/>
  <c r="Q369" i="6"/>
  <c r="S369" i="6" s="1"/>
  <c r="S1098" i="6" s="1"/>
  <c r="R369" i="6"/>
  <c r="T369" i="6"/>
  <c r="C370" i="6"/>
  <c r="L370" i="6" s="1"/>
  <c r="D370" i="6"/>
  <c r="E370" i="6"/>
  <c r="F370" i="6"/>
  <c r="H370" i="6"/>
  <c r="I370" i="6"/>
  <c r="N370" i="6"/>
  <c r="Q370" i="6"/>
  <c r="S370" i="6" s="1"/>
  <c r="R370" i="6"/>
  <c r="T370" i="6"/>
  <c r="C371" i="6"/>
  <c r="D371" i="6"/>
  <c r="E371" i="6"/>
  <c r="F371" i="6"/>
  <c r="H371" i="6"/>
  <c r="I371" i="6"/>
  <c r="N371" i="6"/>
  <c r="Q371" i="6"/>
  <c r="R371" i="6"/>
  <c r="S371" i="6"/>
  <c r="T371" i="6"/>
  <c r="C372" i="6"/>
  <c r="D372" i="6"/>
  <c r="E372" i="6"/>
  <c r="F372" i="6"/>
  <c r="H372" i="6"/>
  <c r="I372" i="6"/>
  <c r="L372" i="6"/>
  <c r="N372" i="6"/>
  <c r="Q372" i="6"/>
  <c r="S372" i="6" s="1"/>
  <c r="R372" i="6"/>
  <c r="T372" i="6"/>
  <c r="C373" i="6"/>
  <c r="D373" i="6"/>
  <c r="E373" i="6"/>
  <c r="F373" i="6"/>
  <c r="H373" i="6"/>
  <c r="I373" i="6"/>
  <c r="N373" i="6"/>
  <c r="Q373" i="6"/>
  <c r="S373" i="6" s="1"/>
  <c r="R373" i="6"/>
  <c r="T373" i="6"/>
  <c r="C374" i="6"/>
  <c r="D374" i="6"/>
  <c r="E374" i="6"/>
  <c r="F374" i="6"/>
  <c r="H374" i="6"/>
  <c r="I374" i="6"/>
  <c r="N374" i="6"/>
  <c r="R374" i="6"/>
  <c r="Q374" i="6" s="1"/>
  <c r="S374" i="6" s="1"/>
  <c r="T374" i="6"/>
  <c r="C375" i="6"/>
  <c r="D375" i="6"/>
  <c r="E375" i="6"/>
  <c r="F375" i="6"/>
  <c r="H375" i="6"/>
  <c r="I375" i="6"/>
  <c r="N375" i="6"/>
  <c r="Q375" i="6"/>
  <c r="S375" i="6" s="1"/>
  <c r="R375" i="6"/>
  <c r="T375" i="6"/>
  <c r="C376" i="6"/>
  <c r="D376" i="6"/>
  <c r="E376" i="6"/>
  <c r="F376" i="6"/>
  <c r="L376" i="6" s="1"/>
  <c r="H376" i="6"/>
  <c r="I376" i="6"/>
  <c r="N376" i="6"/>
  <c r="Q376" i="6"/>
  <c r="R376" i="6"/>
  <c r="S376" i="6"/>
  <c r="T376" i="6"/>
  <c r="C377" i="6"/>
  <c r="L377" i="6" s="1"/>
  <c r="D377" i="6"/>
  <c r="E377" i="6"/>
  <c r="F377" i="6"/>
  <c r="H377" i="6"/>
  <c r="I377" i="6"/>
  <c r="N377" i="6"/>
  <c r="Q377" i="6"/>
  <c r="S377" i="6" s="1"/>
  <c r="R377" i="6"/>
  <c r="T377" i="6"/>
  <c r="C378" i="6"/>
  <c r="D378" i="6"/>
  <c r="E378" i="6"/>
  <c r="F378" i="6"/>
  <c r="L378" i="6" s="1"/>
  <c r="H378" i="6"/>
  <c r="I378" i="6"/>
  <c r="N378" i="6"/>
  <c r="Q378" i="6"/>
  <c r="R378" i="6"/>
  <c r="S378" i="6"/>
  <c r="T378" i="6"/>
  <c r="C379" i="6"/>
  <c r="L379" i="6" s="1"/>
  <c r="D379" i="6"/>
  <c r="E379" i="6"/>
  <c r="F379" i="6"/>
  <c r="H379" i="6"/>
  <c r="I379" i="6"/>
  <c r="N379" i="6"/>
  <c r="Q379" i="6"/>
  <c r="S379" i="6" s="1"/>
  <c r="R379" i="6"/>
  <c r="T379" i="6"/>
  <c r="C380" i="6"/>
  <c r="D380" i="6"/>
  <c r="E380" i="6"/>
  <c r="F380" i="6"/>
  <c r="L380" i="6" s="1"/>
  <c r="H380" i="6"/>
  <c r="I380" i="6"/>
  <c r="N380" i="6"/>
  <c r="Q380" i="6"/>
  <c r="R380" i="6"/>
  <c r="S380" i="6"/>
  <c r="T380" i="6"/>
  <c r="C381" i="6"/>
  <c r="L381" i="6" s="1"/>
  <c r="D381" i="6"/>
  <c r="E381" i="6"/>
  <c r="F381" i="6"/>
  <c r="H381" i="6"/>
  <c r="I381" i="6"/>
  <c r="N381" i="6"/>
  <c r="Q381" i="6"/>
  <c r="S381" i="6" s="1"/>
  <c r="R381" i="6"/>
  <c r="T381" i="6"/>
  <c r="C382" i="6"/>
  <c r="D382" i="6"/>
  <c r="E382" i="6"/>
  <c r="F382" i="6"/>
  <c r="L382" i="6" s="1"/>
  <c r="H382" i="6"/>
  <c r="I382" i="6"/>
  <c r="N382" i="6"/>
  <c r="Q382" i="6"/>
  <c r="R382" i="6"/>
  <c r="S382" i="6"/>
  <c r="T382" i="6"/>
  <c r="T1099" i="6" s="1"/>
  <c r="C383" i="6"/>
  <c r="L383" i="6" s="1"/>
  <c r="D383" i="6"/>
  <c r="E383" i="6"/>
  <c r="F383" i="6"/>
  <c r="H383" i="6"/>
  <c r="I383" i="6"/>
  <c r="N383" i="6"/>
  <c r="Q383" i="6"/>
  <c r="S383" i="6" s="1"/>
  <c r="S1099" i="6" s="1"/>
  <c r="R383" i="6"/>
  <c r="T383" i="6"/>
  <c r="C384" i="6"/>
  <c r="D384" i="6"/>
  <c r="E384" i="6"/>
  <c r="F384" i="6"/>
  <c r="L384" i="6" s="1"/>
  <c r="H384" i="6"/>
  <c r="I384" i="6"/>
  <c r="N384" i="6"/>
  <c r="Q384" i="6"/>
  <c r="R384" i="6"/>
  <c r="S384" i="6"/>
  <c r="T384" i="6"/>
  <c r="C385" i="6"/>
  <c r="L385" i="6" s="1"/>
  <c r="D385" i="6"/>
  <c r="E385" i="6"/>
  <c r="F385" i="6"/>
  <c r="H385" i="6"/>
  <c r="I385" i="6"/>
  <c r="N385" i="6"/>
  <c r="Q385" i="6"/>
  <c r="S385" i="6" s="1"/>
  <c r="R385" i="6"/>
  <c r="T385" i="6"/>
  <c r="C386" i="6"/>
  <c r="D386" i="6"/>
  <c r="E386" i="6"/>
  <c r="F386" i="6"/>
  <c r="L386" i="6" s="1"/>
  <c r="H386" i="6"/>
  <c r="I386" i="6"/>
  <c r="N386" i="6"/>
  <c r="Q386" i="6"/>
  <c r="R386" i="6"/>
  <c r="S386" i="6"/>
  <c r="T386" i="6"/>
  <c r="C387" i="6"/>
  <c r="L387" i="6" s="1"/>
  <c r="D387" i="6"/>
  <c r="E387" i="6"/>
  <c r="F387" i="6"/>
  <c r="H387" i="6"/>
  <c r="I387" i="6"/>
  <c r="N387" i="6"/>
  <c r="Q387" i="6"/>
  <c r="S387" i="6" s="1"/>
  <c r="R387" i="6"/>
  <c r="T387" i="6"/>
  <c r="C388" i="6"/>
  <c r="D388" i="6"/>
  <c r="E388" i="6"/>
  <c r="F388" i="6"/>
  <c r="H388" i="6"/>
  <c r="I388" i="6"/>
  <c r="N388" i="6"/>
  <c r="Q388" i="6"/>
  <c r="R388" i="6"/>
  <c r="S388" i="6"/>
  <c r="T388" i="6"/>
  <c r="T1100" i="6" s="1"/>
  <c r="C389" i="6"/>
  <c r="L389" i="6" s="1"/>
  <c r="D389" i="6"/>
  <c r="E389" i="6"/>
  <c r="F389" i="6"/>
  <c r="H389" i="6"/>
  <c r="I389" i="6"/>
  <c r="N389" i="6"/>
  <c r="Q389" i="6"/>
  <c r="S389" i="6" s="1"/>
  <c r="S1100" i="6" s="1"/>
  <c r="R389" i="6"/>
  <c r="T389" i="6"/>
  <c r="C390" i="6"/>
  <c r="D390" i="6"/>
  <c r="E390" i="6"/>
  <c r="F390" i="6"/>
  <c r="L390" i="6" s="1"/>
  <c r="H390" i="6"/>
  <c r="I390" i="6"/>
  <c r="N390" i="6"/>
  <c r="Q390" i="6"/>
  <c r="R390" i="6"/>
  <c r="S390" i="6"/>
  <c r="T390" i="6"/>
  <c r="C391" i="6"/>
  <c r="L391" i="6" s="1"/>
  <c r="D391" i="6"/>
  <c r="E391" i="6"/>
  <c r="F391" i="6"/>
  <c r="H391" i="6"/>
  <c r="I391" i="6"/>
  <c r="N391" i="6"/>
  <c r="Q391" i="6"/>
  <c r="S391" i="6" s="1"/>
  <c r="R391" i="6"/>
  <c r="T391" i="6"/>
  <c r="C392" i="6"/>
  <c r="D392" i="6"/>
  <c r="E392" i="6"/>
  <c r="F392" i="6"/>
  <c r="L392" i="6" s="1"/>
  <c r="H392" i="6"/>
  <c r="I392" i="6"/>
  <c r="N392" i="6"/>
  <c r="Q392" i="6"/>
  <c r="R392" i="6"/>
  <c r="S392" i="6"/>
  <c r="T392" i="6"/>
  <c r="C393" i="6"/>
  <c r="L393" i="6" s="1"/>
  <c r="D393" i="6"/>
  <c r="E393" i="6"/>
  <c r="F393" i="6"/>
  <c r="H393" i="6"/>
  <c r="I393" i="6"/>
  <c r="N393" i="6"/>
  <c r="N1100" i="6" s="1"/>
  <c r="Q393" i="6"/>
  <c r="S393" i="6" s="1"/>
  <c r="R393" i="6"/>
  <c r="T393" i="6"/>
  <c r="C394" i="6"/>
  <c r="D394" i="6"/>
  <c r="E394" i="6"/>
  <c r="F394" i="6"/>
  <c r="L394" i="6" s="1"/>
  <c r="H394" i="6"/>
  <c r="I394" i="6"/>
  <c r="N394" i="6"/>
  <c r="Q394" i="6"/>
  <c r="R394" i="6"/>
  <c r="S394" i="6"/>
  <c r="T394" i="6"/>
  <c r="C395" i="6"/>
  <c r="L395" i="6" s="1"/>
  <c r="D395" i="6"/>
  <c r="E395" i="6"/>
  <c r="F395" i="6"/>
  <c r="H395" i="6"/>
  <c r="I395" i="6"/>
  <c r="N395" i="6"/>
  <c r="Q395" i="6"/>
  <c r="S395" i="6" s="1"/>
  <c r="R395" i="6"/>
  <c r="T395" i="6"/>
  <c r="C396" i="6"/>
  <c r="D396" i="6"/>
  <c r="E396" i="6"/>
  <c r="F396" i="6"/>
  <c r="L396" i="6" s="1"/>
  <c r="H396" i="6"/>
  <c r="I396" i="6"/>
  <c r="N396" i="6"/>
  <c r="Q396" i="6"/>
  <c r="R396" i="6"/>
  <c r="S396" i="6"/>
  <c r="T396" i="6"/>
  <c r="C397" i="6"/>
  <c r="L397" i="6" s="1"/>
  <c r="D397" i="6"/>
  <c r="E397" i="6"/>
  <c r="F397" i="6"/>
  <c r="H397" i="6"/>
  <c r="I397" i="6"/>
  <c r="N397" i="6"/>
  <c r="Q397" i="6"/>
  <c r="S397" i="6" s="1"/>
  <c r="R397" i="6"/>
  <c r="T397" i="6"/>
  <c r="C398" i="6"/>
  <c r="D398" i="6"/>
  <c r="E398" i="6"/>
  <c r="F398" i="6"/>
  <c r="L398" i="6" s="1"/>
  <c r="H398" i="6"/>
  <c r="I398" i="6"/>
  <c r="N398" i="6"/>
  <c r="Q398" i="6"/>
  <c r="R398" i="6"/>
  <c r="S398" i="6"/>
  <c r="T398" i="6"/>
  <c r="C399" i="6"/>
  <c r="L399" i="6" s="1"/>
  <c r="D399" i="6"/>
  <c r="E399" i="6"/>
  <c r="F399" i="6"/>
  <c r="H399" i="6"/>
  <c r="I399" i="6"/>
  <c r="N399" i="6"/>
  <c r="Q399" i="6"/>
  <c r="S399" i="6" s="1"/>
  <c r="S1101" i="6" s="1"/>
  <c r="R399" i="6"/>
  <c r="T399" i="6"/>
  <c r="C400" i="6"/>
  <c r="D400" i="6"/>
  <c r="E400" i="6"/>
  <c r="F400" i="6"/>
  <c r="L400" i="6" s="1"/>
  <c r="H400" i="6"/>
  <c r="I400" i="6"/>
  <c r="N400" i="6"/>
  <c r="Q400" i="6"/>
  <c r="R400" i="6"/>
  <c r="S400" i="6"/>
  <c r="T400" i="6"/>
  <c r="C401" i="6"/>
  <c r="L401" i="6" s="1"/>
  <c r="D401" i="6"/>
  <c r="E401" i="6"/>
  <c r="F401" i="6"/>
  <c r="H401" i="6"/>
  <c r="I401" i="6"/>
  <c r="N401" i="6"/>
  <c r="Q401" i="6"/>
  <c r="S401" i="6" s="1"/>
  <c r="R401" i="6"/>
  <c r="T401" i="6"/>
  <c r="C402" i="6"/>
  <c r="D402" i="6"/>
  <c r="E402" i="6"/>
  <c r="F402" i="6"/>
  <c r="L402" i="6" s="1"/>
  <c r="H402" i="6"/>
  <c r="I402" i="6"/>
  <c r="N402" i="6"/>
  <c r="Q402" i="6"/>
  <c r="R402" i="6"/>
  <c r="S402" i="6"/>
  <c r="T402" i="6"/>
  <c r="C403" i="6"/>
  <c r="L403" i="6" s="1"/>
  <c r="D403" i="6"/>
  <c r="E403" i="6"/>
  <c r="F403" i="6"/>
  <c r="H403" i="6"/>
  <c r="I403" i="6"/>
  <c r="N403" i="6"/>
  <c r="Q403" i="6"/>
  <c r="R403" i="6"/>
  <c r="S403" i="6"/>
  <c r="T403" i="6"/>
  <c r="C404" i="6"/>
  <c r="D404" i="6"/>
  <c r="E404" i="6"/>
  <c r="F404" i="6"/>
  <c r="L404" i="6" s="1"/>
  <c r="H404" i="6"/>
  <c r="I404" i="6"/>
  <c r="N404" i="6"/>
  <c r="Q404" i="6"/>
  <c r="R404" i="6"/>
  <c r="S404" i="6"/>
  <c r="T404" i="6"/>
  <c r="C405" i="6"/>
  <c r="L405" i="6" s="1"/>
  <c r="D405" i="6"/>
  <c r="E405" i="6"/>
  <c r="F405" i="6"/>
  <c r="H405" i="6"/>
  <c r="I405" i="6"/>
  <c r="N405" i="6"/>
  <c r="Q405" i="6"/>
  <c r="R405" i="6"/>
  <c r="S405" i="6"/>
  <c r="T405" i="6"/>
  <c r="C406" i="6"/>
  <c r="D406" i="6"/>
  <c r="E406" i="6"/>
  <c r="F406" i="6"/>
  <c r="L406" i="6" s="1"/>
  <c r="H406" i="6"/>
  <c r="I406" i="6"/>
  <c r="N406" i="6"/>
  <c r="Q406" i="6"/>
  <c r="R406" i="6"/>
  <c r="S406" i="6"/>
  <c r="T406" i="6"/>
  <c r="C407" i="6"/>
  <c r="L407" i="6" s="1"/>
  <c r="D407" i="6"/>
  <c r="E407" i="6"/>
  <c r="F407" i="6"/>
  <c r="H407" i="6"/>
  <c r="I407" i="6"/>
  <c r="N407" i="6"/>
  <c r="Q407" i="6"/>
  <c r="R407" i="6"/>
  <c r="S407" i="6"/>
  <c r="T407" i="6"/>
  <c r="C408" i="6"/>
  <c r="D408" i="6"/>
  <c r="E408" i="6"/>
  <c r="F408" i="6"/>
  <c r="L408" i="6" s="1"/>
  <c r="H408" i="6"/>
  <c r="I408" i="6"/>
  <c r="N408" i="6"/>
  <c r="Q408" i="6"/>
  <c r="R408" i="6"/>
  <c r="S408" i="6"/>
  <c r="T408" i="6"/>
  <c r="C409" i="6"/>
  <c r="L409" i="6" s="1"/>
  <c r="D409" i="6"/>
  <c r="E409" i="6"/>
  <c r="F409" i="6"/>
  <c r="H409" i="6"/>
  <c r="I409" i="6"/>
  <c r="N409" i="6"/>
  <c r="Q409" i="6"/>
  <c r="R409" i="6"/>
  <c r="S409" i="6"/>
  <c r="T409" i="6"/>
  <c r="C410" i="6"/>
  <c r="D410" i="6"/>
  <c r="E410" i="6"/>
  <c r="F410" i="6"/>
  <c r="L410" i="6" s="1"/>
  <c r="H410" i="6"/>
  <c r="I410" i="6"/>
  <c r="N410" i="6"/>
  <c r="Q410" i="6"/>
  <c r="R410" i="6"/>
  <c r="S410" i="6"/>
  <c r="T410" i="6"/>
  <c r="C411" i="6"/>
  <c r="L411" i="6" s="1"/>
  <c r="D411" i="6"/>
  <c r="E411" i="6"/>
  <c r="F411" i="6"/>
  <c r="H411" i="6"/>
  <c r="I411" i="6"/>
  <c r="N411" i="6"/>
  <c r="Q411" i="6"/>
  <c r="R411" i="6"/>
  <c r="S411" i="6"/>
  <c r="T411" i="6"/>
  <c r="C412" i="6"/>
  <c r="D412" i="6"/>
  <c r="E412" i="6"/>
  <c r="F412" i="6"/>
  <c r="L412" i="6" s="1"/>
  <c r="H412" i="6"/>
  <c r="I412" i="6"/>
  <c r="N412" i="6"/>
  <c r="Q412" i="6"/>
  <c r="R412" i="6"/>
  <c r="S412" i="6"/>
  <c r="T412" i="6"/>
  <c r="C413" i="6"/>
  <c r="L413" i="6" s="1"/>
  <c r="D413" i="6"/>
  <c r="E413" i="6"/>
  <c r="F413" i="6"/>
  <c r="H413" i="6"/>
  <c r="I413" i="6"/>
  <c r="N413" i="6"/>
  <c r="N1102" i="6" s="1"/>
  <c r="Q413" i="6"/>
  <c r="R413" i="6"/>
  <c r="S413" i="6"/>
  <c r="T413" i="6"/>
  <c r="C414" i="6"/>
  <c r="D414" i="6"/>
  <c r="E414" i="6"/>
  <c r="F414" i="6"/>
  <c r="H414" i="6"/>
  <c r="I414" i="6"/>
  <c r="N414" i="6"/>
  <c r="Q414" i="6"/>
  <c r="R414" i="6"/>
  <c r="S414" i="6"/>
  <c r="T414" i="6"/>
  <c r="C415" i="6"/>
  <c r="L415" i="6" s="1"/>
  <c r="D415" i="6"/>
  <c r="E415" i="6"/>
  <c r="F415" i="6"/>
  <c r="H415" i="6"/>
  <c r="I415" i="6"/>
  <c r="N415" i="6"/>
  <c r="Q415" i="6"/>
  <c r="R415" i="6"/>
  <c r="S415" i="6"/>
  <c r="T415" i="6"/>
  <c r="C416" i="6"/>
  <c r="D416" i="6"/>
  <c r="E416" i="6"/>
  <c r="F416" i="6"/>
  <c r="L416" i="6" s="1"/>
  <c r="H416" i="6"/>
  <c r="I416" i="6"/>
  <c r="N416" i="6"/>
  <c r="Q416" i="6"/>
  <c r="R416" i="6"/>
  <c r="S416" i="6"/>
  <c r="T416" i="6"/>
  <c r="C417" i="6"/>
  <c r="L417" i="6" s="1"/>
  <c r="D417" i="6"/>
  <c r="E417" i="6"/>
  <c r="F417" i="6"/>
  <c r="H417" i="6"/>
  <c r="I417" i="6"/>
  <c r="N417" i="6"/>
  <c r="Q417" i="6"/>
  <c r="R417" i="6"/>
  <c r="S417" i="6"/>
  <c r="T417" i="6"/>
  <c r="C418" i="6"/>
  <c r="D418" i="6"/>
  <c r="E418" i="6"/>
  <c r="F418" i="6"/>
  <c r="L418" i="6" s="1"/>
  <c r="H418" i="6"/>
  <c r="I418" i="6"/>
  <c r="N418" i="6"/>
  <c r="Q418" i="6"/>
  <c r="R418" i="6"/>
  <c r="S418" i="6"/>
  <c r="T418" i="6"/>
  <c r="C419" i="6"/>
  <c r="L419" i="6" s="1"/>
  <c r="D419" i="6"/>
  <c r="E419" i="6"/>
  <c r="F419" i="6"/>
  <c r="H419" i="6"/>
  <c r="I419" i="6"/>
  <c r="N419" i="6"/>
  <c r="Q419" i="6"/>
  <c r="R419" i="6"/>
  <c r="S419" i="6"/>
  <c r="T419" i="6"/>
  <c r="C420" i="6"/>
  <c r="D420" i="6"/>
  <c r="E420" i="6"/>
  <c r="F420" i="6"/>
  <c r="L420" i="6" s="1"/>
  <c r="H420" i="6"/>
  <c r="I420" i="6"/>
  <c r="N420" i="6"/>
  <c r="Q420" i="6"/>
  <c r="R420" i="6"/>
  <c r="S420" i="6"/>
  <c r="T420" i="6"/>
  <c r="T1103" i="6" s="1"/>
  <c r="C421" i="6"/>
  <c r="L421" i="6" s="1"/>
  <c r="D421" i="6"/>
  <c r="E421" i="6"/>
  <c r="F421" i="6"/>
  <c r="H421" i="6"/>
  <c r="I421" i="6"/>
  <c r="N421" i="6"/>
  <c r="Q421" i="6"/>
  <c r="R421" i="6"/>
  <c r="S421" i="6"/>
  <c r="T421" i="6"/>
  <c r="C422" i="6"/>
  <c r="D422" i="6"/>
  <c r="E422" i="6"/>
  <c r="F422" i="6"/>
  <c r="H422" i="6"/>
  <c r="I422" i="6"/>
  <c r="N422" i="6"/>
  <c r="Q422" i="6"/>
  <c r="R422" i="6"/>
  <c r="S422" i="6"/>
  <c r="T422" i="6"/>
  <c r="C423" i="6"/>
  <c r="L423" i="6" s="1"/>
  <c r="D423" i="6"/>
  <c r="E423" i="6"/>
  <c r="F423" i="6"/>
  <c r="H423" i="6"/>
  <c r="I423" i="6"/>
  <c r="N423" i="6"/>
  <c r="Q423" i="6"/>
  <c r="R423" i="6"/>
  <c r="S423" i="6"/>
  <c r="T423" i="6"/>
  <c r="C424" i="6"/>
  <c r="D424" i="6"/>
  <c r="E424" i="6"/>
  <c r="F424" i="6"/>
  <c r="L424" i="6" s="1"/>
  <c r="H424" i="6"/>
  <c r="I424" i="6"/>
  <c r="N424" i="6"/>
  <c r="Q424" i="6"/>
  <c r="R424" i="6"/>
  <c r="S424" i="6"/>
  <c r="T424" i="6"/>
  <c r="C425" i="6"/>
  <c r="L425" i="6" s="1"/>
  <c r="D425" i="6"/>
  <c r="E425" i="6"/>
  <c r="F425" i="6"/>
  <c r="H425" i="6"/>
  <c r="I425" i="6"/>
  <c r="N425" i="6"/>
  <c r="Q425" i="6"/>
  <c r="R425" i="6"/>
  <c r="S425" i="6"/>
  <c r="T425" i="6"/>
  <c r="C426" i="6"/>
  <c r="D426" i="6"/>
  <c r="E426" i="6"/>
  <c r="F426" i="6"/>
  <c r="L426" i="6" s="1"/>
  <c r="H426" i="6"/>
  <c r="I426" i="6"/>
  <c r="N426" i="6"/>
  <c r="Q426" i="6"/>
  <c r="R426" i="6"/>
  <c r="S426" i="6"/>
  <c r="T426" i="6"/>
  <c r="C427" i="6"/>
  <c r="L427" i="6" s="1"/>
  <c r="D427" i="6"/>
  <c r="E427" i="6"/>
  <c r="F427" i="6"/>
  <c r="H427" i="6"/>
  <c r="I427" i="6"/>
  <c r="N427" i="6"/>
  <c r="Q427" i="6"/>
  <c r="R427" i="6"/>
  <c r="S427" i="6"/>
  <c r="T427" i="6"/>
  <c r="C428" i="6"/>
  <c r="D428" i="6"/>
  <c r="E428" i="6"/>
  <c r="F428" i="6"/>
  <c r="L428" i="6" s="1"/>
  <c r="H428" i="6"/>
  <c r="I428" i="6"/>
  <c r="N428" i="6"/>
  <c r="Q428" i="6"/>
  <c r="R428" i="6"/>
  <c r="S428" i="6"/>
  <c r="T428" i="6"/>
  <c r="C429" i="6"/>
  <c r="L429" i="6" s="1"/>
  <c r="D429" i="6"/>
  <c r="E429" i="6"/>
  <c r="F429" i="6"/>
  <c r="H429" i="6"/>
  <c r="I429" i="6"/>
  <c r="N429" i="6"/>
  <c r="Q429" i="6"/>
  <c r="R429" i="6"/>
  <c r="S429" i="6"/>
  <c r="T429" i="6"/>
  <c r="C430" i="6"/>
  <c r="D430" i="6"/>
  <c r="E430" i="6"/>
  <c r="F430" i="6"/>
  <c r="L430" i="6" s="1"/>
  <c r="H430" i="6"/>
  <c r="I430" i="6"/>
  <c r="N430" i="6"/>
  <c r="Q430" i="6"/>
  <c r="R430" i="6"/>
  <c r="S430" i="6"/>
  <c r="T430" i="6"/>
  <c r="C431" i="6"/>
  <c r="L431" i="6" s="1"/>
  <c r="D431" i="6"/>
  <c r="E431" i="6"/>
  <c r="F431" i="6"/>
  <c r="H431" i="6"/>
  <c r="I431" i="6"/>
  <c r="N431" i="6"/>
  <c r="Q431" i="6"/>
  <c r="R431" i="6"/>
  <c r="S431" i="6"/>
  <c r="T431" i="6"/>
  <c r="C432" i="6"/>
  <c r="D432" i="6"/>
  <c r="E432" i="6"/>
  <c r="F432" i="6"/>
  <c r="L432" i="6" s="1"/>
  <c r="H432" i="6"/>
  <c r="I432" i="6"/>
  <c r="N432" i="6"/>
  <c r="Q432" i="6"/>
  <c r="R432" i="6"/>
  <c r="S432" i="6"/>
  <c r="T432" i="6"/>
  <c r="C433" i="6"/>
  <c r="L433" i="6" s="1"/>
  <c r="D433" i="6"/>
  <c r="E433" i="6"/>
  <c r="F433" i="6"/>
  <c r="H433" i="6"/>
  <c r="I433" i="6"/>
  <c r="N433" i="6"/>
  <c r="Q433" i="6"/>
  <c r="R433" i="6"/>
  <c r="S433" i="6"/>
  <c r="T433" i="6"/>
  <c r="C434" i="6"/>
  <c r="D434" i="6"/>
  <c r="E434" i="6"/>
  <c r="F434" i="6"/>
  <c r="L434" i="6" s="1"/>
  <c r="H434" i="6"/>
  <c r="I434" i="6"/>
  <c r="N434" i="6"/>
  <c r="Q434" i="6"/>
  <c r="R434" i="6"/>
  <c r="S434" i="6"/>
  <c r="T434" i="6"/>
  <c r="C435" i="6"/>
  <c r="L435" i="6" s="1"/>
  <c r="D435" i="6"/>
  <c r="E435" i="6"/>
  <c r="F435" i="6"/>
  <c r="H435" i="6"/>
  <c r="I435" i="6"/>
  <c r="N435" i="6"/>
  <c r="Q435" i="6"/>
  <c r="R435" i="6"/>
  <c r="S435" i="6"/>
  <c r="T435" i="6"/>
  <c r="C436" i="6"/>
  <c r="D436" i="6"/>
  <c r="E436" i="6"/>
  <c r="F436" i="6"/>
  <c r="L436" i="6" s="1"/>
  <c r="H436" i="6"/>
  <c r="I436" i="6"/>
  <c r="N436" i="6"/>
  <c r="Q436" i="6"/>
  <c r="R436" i="6"/>
  <c r="S436" i="6"/>
  <c r="T436" i="6"/>
  <c r="T1104" i="6" s="1"/>
  <c r="C437" i="6"/>
  <c r="L437" i="6" s="1"/>
  <c r="D437" i="6"/>
  <c r="E437" i="6"/>
  <c r="F437" i="6"/>
  <c r="H437" i="6"/>
  <c r="I437" i="6"/>
  <c r="N437" i="6"/>
  <c r="N1104" i="6" s="1"/>
  <c r="Q437" i="6"/>
  <c r="R437" i="6"/>
  <c r="S437" i="6"/>
  <c r="T437" i="6"/>
  <c r="C438" i="6"/>
  <c r="D438" i="6"/>
  <c r="E438" i="6"/>
  <c r="F438" i="6"/>
  <c r="H438" i="6"/>
  <c r="I438" i="6"/>
  <c r="N438" i="6"/>
  <c r="Q438" i="6"/>
  <c r="R438" i="6"/>
  <c r="S438" i="6"/>
  <c r="T438" i="6"/>
  <c r="C439" i="6"/>
  <c r="L439" i="6" s="1"/>
  <c r="D439" i="6"/>
  <c r="E439" i="6"/>
  <c r="F439" i="6"/>
  <c r="H439" i="6"/>
  <c r="I439" i="6"/>
  <c r="N439" i="6"/>
  <c r="Q439" i="6"/>
  <c r="R439" i="6"/>
  <c r="S439" i="6"/>
  <c r="T439" i="6"/>
  <c r="C440" i="6"/>
  <c r="D440" i="6"/>
  <c r="E440" i="6"/>
  <c r="F440" i="6"/>
  <c r="L440" i="6" s="1"/>
  <c r="H440" i="6"/>
  <c r="I440" i="6"/>
  <c r="N440" i="6"/>
  <c r="Q440" i="6"/>
  <c r="R440" i="6"/>
  <c r="S440" i="6"/>
  <c r="T440" i="6"/>
  <c r="C441" i="6"/>
  <c r="L441" i="6" s="1"/>
  <c r="D441" i="6"/>
  <c r="E441" i="6"/>
  <c r="F441" i="6"/>
  <c r="H441" i="6"/>
  <c r="I441" i="6"/>
  <c r="N441" i="6"/>
  <c r="Q441" i="6"/>
  <c r="R441" i="6"/>
  <c r="S441" i="6"/>
  <c r="T441" i="6"/>
  <c r="C442" i="6"/>
  <c r="D442" i="6"/>
  <c r="E442" i="6"/>
  <c r="F442" i="6"/>
  <c r="L442" i="6" s="1"/>
  <c r="H442" i="6"/>
  <c r="I442" i="6"/>
  <c r="N442" i="6"/>
  <c r="Q442" i="6"/>
  <c r="R442" i="6"/>
  <c r="S442" i="6"/>
  <c r="T442" i="6"/>
  <c r="C443" i="6"/>
  <c r="L443" i="6" s="1"/>
  <c r="D443" i="6"/>
  <c r="E443" i="6"/>
  <c r="F443" i="6"/>
  <c r="H443" i="6"/>
  <c r="I443" i="6"/>
  <c r="N443" i="6"/>
  <c r="Q443" i="6"/>
  <c r="R443" i="6"/>
  <c r="S443" i="6"/>
  <c r="T443" i="6"/>
  <c r="C444" i="6"/>
  <c r="D444" i="6"/>
  <c r="E444" i="6"/>
  <c r="F444" i="6"/>
  <c r="L444" i="6" s="1"/>
  <c r="H444" i="6"/>
  <c r="I444" i="6"/>
  <c r="N444" i="6"/>
  <c r="Q444" i="6"/>
  <c r="R444" i="6"/>
  <c r="S444" i="6"/>
  <c r="T444" i="6"/>
  <c r="C445" i="6"/>
  <c r="L445" i="6" s="1"/>
  <c r="D445" i="6"/>
  <c r="E445" i="6"/>
  <c r="F445" i="6"/>
  <c r="H445" i="6"/>
  <c r="I445" i="6"/>
  <c r="N445" i="6"/>
  <c r="Q445" i="6"/>
  <c r="R445" i="6"/>
  <c r="S445" i="6"/>
  <c r="T445" i="6"/>
  <c r="C446" i="6"/>
  <c r="D446" i="6"/>
  <c r="E446" i="6"/>
  <c r="F446" i="6"/>
  <c r="L446" i="6" s="1"/>
  <c r="H446" i="6"/>
  <c r="I446" i="6"/>
  <c r="N446" i="6"/>
  <c r="Q446" i="6"/>
  <c r="R446" i="6"/>
  <c r="S446" i="6"/>
  <c r="T446" i="6"/>
  <c r="C447" i="6"/>
  <c r="L447" i="6" s="1"/>
  <c r="D447" i="6"/>
  <c r="E447" i="6"/>
  <c r="F447" i="6"/>
  <c r="H447" i="6"/>
  <c r="I447" i="6"/>
  <c r="N447" i="6"/>
  <c r="Q447" i="6"/>
  <c r="R447" i="6"/>
  <c r="S447" i="6"/>
  <c r="T447" i="6"/>
  <c r="C448" i="6"/>
  <c r="D448" i="6"/>
  <c r="E448" i="6"/>
  <c r="F448" i="6"/>
  <c r="L448" i="6" s="1"/>
  <c r="H448" i="6"/>
  <c r="I448" i="6"/>
  <c r="N448" i="6"/>
  <c r="Q448" i="6"/>
  <c r="R448" i="6"/>
  <c r="S448" i="6"/>
  <c r="T448" i="6"/>
  <c r="C449" i="6"/>
  <c r="L449" i="6" s="1"/>
  <c r="D449" i="6"/>
  <c r="E449" i="6"/>
  <c r="F449" i="6"/>
  <c r="H449" i="6"/>
  <c r="I449" i="6"/>
  <c r="N449" i="6"/>
  <c r="Q449" i="6"/>
  <c r="R449" i="6"/>
  <c r="S449" i="6"/>
  <c r="T449" i="6"/>
  <c r="C450" i="6"/>
  <c r="D450" i="6"/>
  <c r="E450" i="6"/>
  <c r="F450" i="6"/>
  <c r="L450" i="6" s="1"/>
  <c r="H450" i="6"/>
  <c r="I450" i="6"/>
  <c r="N450" i="6"/>
  <c r="Q450" i="6"/>
  <c r="R450" i="6"/>
  <c r="S450" i="6"/>
  <c r="T450" i="6"/>
  <c r="C451" i="6"/>
  <c r="L451" i="6" s="1"/>
  <c r="D451" i="6"/>
  <c r="E451" i="6"/>
  <c r="F451" i="6"/>
  <c r="H451" i="6"/>
  <c r="I451" i="6"/>
  <c r="N451" i="6"/>
  <c r="Q451" i="6"/>
  <c r="R451" i="6"/>
  <c r="S451" i="6"/>
  <c r="T451" i="6"/>
  <c r="C452" i="6"/>
  <c r="D452" i="6"/>
  <c r="E452" i="6"/>
  <c r="F452" i="6"/>
  <c r="L452" i="6" s="1"/>
  <c r="H452" i="6"/>
  <c r="I452" i="6"/>
  <c r="N452" i="6"/>
  <c r="Q452" i="6"/>
  <c r="R452" i="6"/>
  <c r="S452" i="6"/>
  <c r="T452" i="6"/>
  <c r="C453" i="6"/>
  <c r="L453" i="6" s="1"/>
  <c r="D453" i="6"/>
  <c r="E453" i="6"/>
  <c r="F453" i="6"/>
  <c r="H453" i="6"/>
  <c r="I453" i="6"/>
  <c r="N453" i="6"/>
  <c r="Q453" i="6"/>
  <c r="R453" i="6"/>
  <c r="S453" i="6"/>
  <c r="T453" i="6"/>
  <c r="C454" i="6"/>
  <c r="D454" i="6"/>
  <c r="E454" i="6"/>
  <c r="F454" i="6"/>
  <c r="L454" i="6" s="1"/>
  <c r="H454" i="6"/>
  <c r="I454" i="6"/>
  <c r="N454" i="6"/>
  <c r="Q454" i="6"/>
  <c r="R454" i="6"/>
  <c r="S454" i="6"/>
  <c r="T454" i="6"/>
  <c r="C455" i="6"/>
  <c r="L455" i="6" s="1"/>
  <c r="D455" i="6"/>
  <c r="E455" i="6"/>
  <c r="F455" i="6"/>
  <c r="H455" i="6"/>
  <c r="I455" i="6"/>
  <c r="N455" i="6"/>
  <c r="Q455" i="6"/>
  <c r="R455" i="6"/>
  <c r="S455" i="6"/>
  <c r="T455" i="6"/>
  <c r="C456" i="6"/>
  <c r="D456" i="6"/>
  <c r="E456" i="6"/>
  <c r="F456" i="6"/>
  <c r="L456" i="6" s="1"/>
  <c r="H456" i="6"/>
  <c r="I456" i="6"/>
  <c r="N456" i="6"/>
  <c r="Q456" i="6"/>
  <c r="R456" i="6"/>
  <c r="S456" i="6"/>
  <c r="T456" i="6"/>
  <c r="C457" i="6"/>
  <c r="L457" i="6" s="1"/>
  <c r="D457" i="6"/>
  <c r="E457" i="6"/>
  <c r="F457" i="6"/>
  <c r="H457" i="6"/>
  <c r="I457" i="6"/>
  <c r="N457" i="6"/>
  <c r="Q457" i="6"/>
  <c r="R457" i="6"/>
  <c r="S457" i="6"/>
  <c r="T457" i="6"/>
  <c r="C458" i="6"/>
  <c r="D458" i="6"/>
  <c r="E458" i="6"/>
  <c r="F458" i="6"/>
  <c r="L458" i="6" s="1"/>
  <c r="H458" i="6"/>
  <c r="I458" i="6"/>
  <c r="N458" i="6"/>
  <c r="Q458" i="6"/>
  <c r="R458" i="6"/>
  <c r="S458" i="6"/>
  <c r="T458" i="6"/>
  <c r="C459" i="6"/>
  <c r="L459" i="6" s="1"/>
  <c r="D459" i="6"/>
  <c r="E459" i="6"/>
  <c r="F459" i="6"/>
  <c r="H459" i="6"/>
  <c r="I459" i="6"/>
  <c r="N459" i="6"/>
  <c r="Q459" i="6"/>
  <c r="R459" i="6"/>
  <c r="S459" i="6"/>
  <c r="T459" i="6"/>
  <c r="C460" i="6"/>
  <c r="D460" i="6"/>
  <c r="E460" i="6"/>
  <c r="F460" i="6"/>
  <c r="L460" i="6" s="1"/>
  <c r="H460" i="6"/>
  <c r="I460" i="6"/>
  <c r="N460" i="6"/>
  <c r="Q460" i="6"/>
  <c r="R460" i="6"/>
  <c r="S460" i="6"/>
  <c r="T460" i="6"/>
  <c r="C461" i="6"/>
  <c r="L461" i="6" s="1"/>
  <c r="D461" i="6"/>
  <c r="E461" i="6"/>
  <c r="F461" i="6"/>
  <c r="H461" i="6"/>
  <c r="I461" i="6"/>
  <c r="N461" i="6"/>
  <c r="N1106" i="6" s="1"/>
  <c r="Q461" i="6"/>
  <c r="R461" i="6"/>
  <c r="S461" i="6"/>
  <c r="T461" i="6"/>
  <c r="C462" i="6"/>
  <c r="D462" i="6"/>
  <c r="E462" i="6"/>
  <c r="F462" i="6"/>
  <c r="H462" i="6"/>
  <c r="I462" i="6"/>
  <c r="N462" i="6"/>
  <c r="Q462" i="6"/>
  <c r="R462" i="6"/>
  <c r="S462" i="6"/>
  <c r="T462" i="6"/>
  <c r="C463" i="6"/>
  <c r="L463" i="6" s="1"/>
  <c r="D463" i="6"/>
  <c r="E463" i="6"/>
  <c r="F463" i="6"/>
  <c r="H463" i="6"/>
  <c r="I463" i="6"/>
  <c r="N463" i="6"/>
  <c r="Q463" i="6"/>
  <c r="R463" i="6"/>
  <c r="S463" i="6"/>
  <c r="T463" i="6"/>
  <c r="C464" i="6"/>
  <c r="D464" i="6"/>
  <c r="E464" i="6"/>
  <c r="F464" i="6"/>
  <c r="L464" i="6" s="1"/>
  <c r="H464" i="6"/>
  <c r="I464" i="6"/>
  <c r="N464" i="6"/>
  <c r="Q464" i="6"/>
  <c r="R464" i="6"/>
  <c r="S464" i="6"/>
  <c r="T464" i="6"/>
  <c r="C465" i="6"/>
  <c r="L465" i="6" s="1"/>
  <c r="D465" i="6"/>
  <c r="E465" i="6"/>
  <c r="F465" i="6"/>
  <c r="H465" i="6"/>
  <c r="I465" i="6"/>
  <c r="N465" i="6"/>
  <c r="Q465" i="6"/>
  <c r="R465" i="6"/>
  <c r="S465" i="6"/>
  <c r="T465" i="6"/>
  <c r="C466" i="6"/>
  <c r="D466" i="6"/>
  <c r="E466" i="6"/>
  <c r="F466" i="6"/>
  <c r="L466" i="6" s="1"/>
  <c r="H466" i="6"/>
  <c r="I466" i="6"/>
  <c r="N466" i="6"/>
  <c r="Q466" i="6"/>
  <c r="R466" i="6"/>
  <c r="S466" i="6"/>
  <c r="T466" i="6"/>
  <c r="C467" i="6"/>
  <c r="L467" i="6" s="1"/>
  <c r="D467" i="6"/>
  <c r="E467" i="6"/>
  <c r="F467" i="6"/>
  <c r="H467" i="6"/>
  <c r="I467" i="6"/>
  <c r="N467" i="6"/>
  <c r="Q467" i="6"/>
  <c r="R467" i="6"/>
  <c r="S467" i="6"/>
  <c r="T467" i="6"/>
  <c r="C468" i="6"/>
  <c r="D468" i="6"/>
  <c r="E468" i="6"/>
  <c r="F468" i="6"/>
  <c r="L468" i="6" s="1"/>
  <c r="H468" i="6"/>
  <c r="I468" i="6"/>
  <c r="N468" i="6"/>
  <c r="Q468" i="6"/>
  <c r="R468" i="6"/>
  <c r="S468" i="6"/>
  <c r="T468" i="6"/>
  <c r="T1107" i="6" s="1"/>
  <c r="C469" i="6"/>
  <c r="L469" i="6" s="1"/>
  <c r="D469" i="6"/>
  <c r="E469" i="6"/>
  <c r="F469" i="6"/>
  <c r="H469" i="6"/>
  <c r="I469" i="6"/>
  <c r="N469" i="6"/>
  <c r="Q469" i="6"/>
  <c r="R469" i="6"/>
  <c r="S469" i="6"/>
  <c r="T469" i="6"/>
  <c r="C470" i="6"/>
  <c r="D470" i="6"/>
  <c r="E470" i="6"/>
  <c r="F470" i="6"/>
  <c r="H470" i="6"/>
  <c r="I470" i="6"/>
  <c r="N470" i="6"/>
  <c r="Q470" i="6"/>
  <c r="R470" i="6"/>
  <c r="S470" i="6"/>
  <c r="T470" i="6"/>
  <c r="C471" i="6"/>
  <c r="L471" i="6" s="1"/>
  <c r="D471" i="6"/>
  <c r="E471" i="6"/>
  <c r="F471" i="6"/>
  <c r="H471" i="6"/>
  <c r="I471" i="6"/>
  <c r="N471" i="6"/>
  <c r="Q471" i="6"/>
  <c r="R471" i="6"/>
  <c r="S471" i="6"/>
  <c r="T471" i="6"/>
  <c r="C472" i="6"/>
  <c r="D472" i="6"/>
  <c r="E472" i="6"/>
  <c r="F472" i="6"/>
  <c r="L472" i="6" s="1"/>
  <c r="H472" i="6"/>
  <c r="I472" i="6"/>
  <c r="N472" i="6"/>
  <c r="Q472" i="6"/>
  <c r="R472" i="6"/>
  <c r="S472" i="6"/>
  <c r="T472" i="6"/>
  <c r="C473" i="6"/>
  <c r="L473" i="6" s="1"/>
  <c r="D473" i="6"/>
  <c r="E473" i="6"/>
  <c r="F473" i="6"/>
  <c r="H473" i="6"/>
  <c r="I473" i="6"/>
  <c r="N473" i="6"/>
  <c r="Q473" i="6"/>
  <c r="R473" i="6"/>
  <c r="S473" i="6"/>
  <c r="T473" i="6"/>
  <c r="C474" i="6"/>
  <c r="D474" i="6"/>
  <c r="E474" i="6"/>
  <c r="F474" i="6"/>
  <c r="L474" i="6" s="1"/>
  <c r="H474" i="6"/>
  <c r="I474" i="6"/>
  <c r="N474" i="6"/>
  <c r="Q474" i="6"/>
  <c r="R474" i="6"/>
  <c r="S474" i="6"/>
  <c r="T474" i="6"/>
  <c r="C475" i="6"/>
  <c r="L475" i="6" s="1"/>
  <c r="D475" i="6"/>
  <c r="E475" i="6"/>
  <c r="F475" i="6"/>
  <c r="H475" i="6"/>
  <c r="I475" i="6"/>
  <c r="N475" i="6"/>
  <c r="Q475" i="6"/>
  <c r="R475" i="6"/>
  <c r="S475" i="6"/>
  <c r="T475" i="6"/>
  <c r="C476" i="6"/>
  <c r="D476" i="6"/>
  <c r="E476" i="6"/>
  <c r="F476" i="6"/>
  <c r="L476" i="6" s="1"/>
  <c r="H476" i="6"/>
  <c r="I476" i="6"/>
  <c r="N476" i="6"/>
  <c r="Q476" i="6"/>
  <c r="R476" i="6"/>
  <c r="S476" i="6"/>
  <c r="T476" i="6"/>
  <c r="C477" i="6"/>
  <c r="L477" i="6" s="1"/>
  <c r="D477" i="6"/>
  <c r="E477" i="6"/>
  <c r="F477" i="6"/>
  <c r="H477" i="6"/>
  <c r="I477" i="6"/>
  <c r="N477" i="6"/>
  <c r="Q477" i="6"/>
  <c r="R477" i="6"/>
  <c r="S477" i="6"/>
  <c r="T477" i="6"/>
  <c r="C478" i="6"/>
  <c r="D478" i="6"/>
  <c r="E478" i="6"/>
  <c r="F478" i="6"/>
  <c r="L478" i="6" s="1"/>
  <c r="H478" i="6"/>
  <c r="I478" i="6"/>
  <c r="N478" i="6"/>
  <c r="Q478" i="6"/>
  <c r="R478" i="6"/>
  <c r="S478" i="6"/>
  <c r="T478" i="6"/>
  <c r="C479" i="6"/>
  <c r="L479" i="6" s="1"/>
  <c r="D479" i="6"/>
  <c r="E479" i="6"/>
  <c r="F479" i="6"/>
  <c r="H479" i="6"/>
  <c r="I479" i="6"/>
  <c r="N479" i="6"/>
  <c r="Q479" i="6"/>
  <c r="R479" i="6"/>
  <c r="S479" i="6"/>
  <c r="T479" i="6"/>
  <c r="C480" i="6"/>
  <c r="D480" i="6"/>
  <c r="E480" i="6"/>
  <c r="F480" i="6"/>
  <c r="L480" i="6" s="1"/>
  <c r="H480" i="6"/>
  <c r="I480" i="6"/>
  <c r="N480" i="6"/>
  <c r="Q480" i="6"/>
  <c r="R480" i="6"/>
  <c r="S480" i="6"/>
  <c r="T480" i="6"/>
  <c r="C481" i="6"/>
  <c r="L481" i="6" s="1"/>
  <c r="D481" i="6"/>
  <c r="E481" i="6"/>
  <c r="F481" i="6"/>
  <c r="H481" i="6"/>
  <c r="I481" i="6"/>
  <c r="N481" i="6"/>
  <c r="Q481" i="6"/>
  <c r="R481" i="6"/>
  <c r="S481" i="6"/>
  <c r="T481" i="6"/>
  <c r="C482" i="6"/>
  <c r="D482" i="6"/>
  <c r="E482" i="6"/>
  <c r="F482" i="6"/>
  <c r="L482" i="6" s="1"/>
  <c r="H482" i="6"/>
  <c r="I482" i="6"/>
  <c r="N482" i="6"/>
  <c r="Q482" i="6"/>
  <c r="R482" i="6"/>
  <c r="S482" i="6"/>
  <c r="T482" i="6"/>
  <c r="C483" i="6"/>
  <c r="L483" i="6" s="1"/>
  <c r="D483" i="6"/>
  <c r="E483" i="6"/>
  <c r="F483" i="6"/>
  <c r="H483" i="6"/>
  <c r="I483" i="6"/>
  <c r="N483" i="6"/>
  <c r="Q483" i="6"/>
  <c r="R483" i="6"/>
  <c r="S483" i="6"/>
  <c r="T483" i="6"/>
  <c r="C484" i="6"/>
  <c r="D484" i="6"/>
  <c r="E484" i="6"/>
  <c r="F484" i="6"/>
  <c r="L484" i="6" s="1"/>
  <c r="H484" i="6"/>
  <c r="I484" i="6"/>
  <c r="N484" i="6"/>
  <c r="Q484" i="6"/>
  <c r="R484" i="6"/>
  <c r="S484" i="6"/>
  <c r="T484" i="6"/>
  <c r="T1108" i="6" s="1"/>
  <c r="C485" i="6"/>
  <c r="L485" i="6" s="1"/>
  <c r="D485" i="6"/>
  <c r="E485" i="6"/>
  <c r="F485" i="6"/>
  <c r="H485" i="6"/>
  <c r="I485" i="6"/>
  <c r="N485" i="6"/>
  <c r="N1108" i="6" s="1"/>
  <c r="Q485" i="6"/>
  <c r="R485" i="6"/>
  <c r="S485" i="6"/>
  <c r="T485" i="6"/>
  <c r="C486" i="6"/>
  <c r="D486" i="6"/>
  <c r="E486" i="6"/>
  <c r="F486" i="6"/>
  <c r="H486" i="6"/>
  <c r="I486" i="6"/>
  <c r="N486" i="6"/>
  <c r="Q486" i="6"/>
  <c r="R486" i="6"/>
  <c r="S486" i="6"/>
  <c r="T486" i="6"/>
  <c r="C487" i="6"/>
  <c r="L487" i="6" s="1"/>
  <c r="D487" i="6"/>
  <c r="E487" i="6"/>
  <c r="F487" i="6"/>
  <c r="H487" i="6"/>
  <c r="I487" i="6"/>
  <c r="N487" i="6"/>
  <c r="Q487" i="6"/>
  <c r="R487" i="6"/>
  <c r="S487" i="6"/>
  <c r="T487" i="6"/>
  <c r="C488" i="6"/>
  <c r="D488" i="6"/>
  <c r="E488" i="6"/>
  <c r="F488" i="6"/>
  <c r="L488" i="6" s="1"/>
  <c r="H488" i="6"/>
  <c r="I488" i="6"/>
  <c r="N488" i="6"/>
  <c r="Q488" i="6"/>
  <c r="R488" i="6"/>
  <c r="S488" i="6"/>
  <c r="T488" i="6"/>
  <c r="C489" i="6"/>
  <c r="L489" i="6" s="1"/>
  <c r="D489" i="6"/>
  <c r="E489" i="6"/>
  <c r="F489" i="6"/>
  <c r="H489" i="6"/>
  <c r="I489" i="6"/>
  <c r="N489" i="6"/>
  <c r="Q489" i="6"/>
  <c r="R489" i="6"/>
  <c r="S489" i="6"/>
  <c r="T489" i="6"/>
  <c r="C490" i="6"/>
  <c r="D490" i="6"/>
  <c r="E490" i="6"/>
  <c r="F490" i="6"/>
  <c r="L490" i="6" s="1"/>
  <c r="H490" i="6"/>
  <c r="I490" i="6"/>
  <c r="N490" i="6"/>
  <c r="Q490" i="6"/>
  <c r="R490" i="6"/>
  <c r="S490" i="6"/>
  <c r="T490" i="6"/>
  <c r="C491" i="6"/>
  <c r="L491" i="6" s="1"/>
  <c r="D491" i="6"/>
  <c r="E491" i="6"/>
  <c r="F491" i="6"/>
  <c r="H491" i="6"/>
  <c r="I491" i="6"/>
  <c r="N491" i="6"/>
  <c r="Q491" i="6"/>
  <c r="R491" i="6"/>
  <c r="S491" i="6"/>
  <c r="T491" i="6"/>
  <c r="C492" i="6"/>
  <c r="D492" i="6"/>
  <c r="E492" i="6"/>
  <c r="F492" i="6"/>
  <c r="L492" i="6" s="1"/>
  <c r="H492" i="6"/>
  <c r="I492" i="6"/>
  <c r="N492" i="6"/>
  <c r="Q492" i="6"/>
  <c r="R492" i="6"/>
  <c r="S492" i="6"/>
  <c r="T492" i="6"/>
  <c r="C493" i="6"/>
  <c r="L493" i="6" s="1"/>
  <c r="D493" i="6"/>
  <c r="E493" i="6"/>
  <c r="F493" i="6"/>
  <c r="H493" i="6"/>
  <c r="I493" i="6"/>
  <c r="N493" i="6"/>
  <c r="Q493" i="6"/>
  <c r="R493" i="6"/>
  <c r="S493" i="6"/>
  <c r="T493" i="6"/>
  <c r="C494" i="6"/>
  <c r="D494" i="6"/>
  <c r="E494" i="6"/>
  <c r="F494" i="6"/>
  <c r="L494" i="6" s="1"/>
  <c r="H494" i="6"/>
  <c r="I494" i="6"/>
  <c r="N494" i="6"/>
  <c r="Q494" i="6"/>
  <c r="R494" i="6"/>
  <c r="S494" i="6"/>
  <c r="T494" i="6"/>
  <c r="C495" i="6"/>
  <c r="L495" i="6" s="1"/>
  <c r="D495" i="6"/>
  <c r="E495" i="6"/>
  <c r="F495" i="6"/>
  <c r="H495" i="6"/>
  <c r="I495" i="6"/>
  <c r="N495" i="6"/>
  <c r="Q495" i="6"/>
  <c r="R495" i="6"/>
  <c r="S495" i="6"/>
  <c r="T495" i="6"/>
  <c r="C496" i="6"/>
  <c r="D496" i="6"/>
  <c r="E496" i="6"/>
  <c r="F496" i="6"/>
  <c r="L496" i="6" s="1"/>
  <c r="H496" i="6"/>
  <c r="I496" i="6"/>
  <c r="N496" i="6"/>
  <c r="Q496" i="6"/>
  <c r="R496" i="6"/>
  <c r="S496" i="6"/>
  <c r="T496" i="6"/>
  <c r="C497" i="6"/>
  <c r="L497" i="6" s="1"/>
  <c r="D497" i="6"/>
  <c r="E497" i="6"/>
  <c r="F497" i="6"/>
  <c r="H497" i="6"/>
  <c r="I497" i="6"/>
  <c r="N497" i="6"/>
  <c r="Q497" i="6"/>
  <c r="R497" i="6"/>
  <c r="S497" i="6"/>
  <c r="T497" i="6"/>
  <c r="C498" i="6"/>
  <c r="D498" i="6"/>
  <c r="E498" i="6"/>
  <c r="F498" i="6"/>
  <c r="L498" i="6" s="1"/>
  <c r="H498" i="6"/>
  <c r="I498" i="6"/>
  <c r="N498" i="6"/>
  <c r="Q498" i="6"/>
  <c r="R498" i="6"/>
  <c r="S498" i="6"/>
  <c r="T498" i="6"/>
  <c r="C499" i="6"/>
  <c r="L499" i="6" s="1"/>
  <c r="D499" i="6"/>
  <c r="E499" i="6"/>
  <c r="F499" i="6"/>
  <c r="H499" i="6"/>
  <c r="I499" i="6"/>
  <c r="N499" i="6"/>
  <c r="Q499" i="6"/>
  <c r="R499" i="6"/>
  <c r="S499" i="6"/>
  <c r="T499" i="6"/>
  <c r="C500" i="6"/>
  <c r="D500" i="6"/>
  <c r="E500" i="6"/>
  <c r="F500" i="6"/>
  <c r="L500" i="6" s="1"/>
  <c r="H500" i="6"/>
  <c r="I500" i="6"/>
  <c r="N500" i="6"/>
  <c r="Q500" i="6"/>
  <c r="R500" i="6"/>
  <c r="S500" i="6"/>
  <c r="T500" i="6"/>
  <c r="C501" i="6"/>
  <c r="L501" i="6" s="1"/>
  <c r="D501" i="6"/>
  <c r="E501" i="6"/>
  <c r="F501" i="6"/>
  <c r="H501" i="6"/>
  <c r="I501" i="6"/>
  <c r="N501" i="6"/>
  <c r="Q501" i="6"/>
  <c r="R501" i="6"/>
  <c r="S501" i="6"/>
  <c r="T501" i="6"/>
  <c r="C502" i="6"/>
  <c r="D502" i="6"/>
  <c r="E502" i="6"/>
  <c r="F502" i="6"/>
  <c r="L502" i="6" s="1"/>
  <c r="H502" i="6"/>
  <c r="I502" i="6"/>
  <c r="N502" i="6"/>
  <c r="Q502" i="6"/>
  <c r="R502" i="6"/>
  <c r="S502" i="6"/>
  <c r="T502" i="6"/>
  <c r="C503" i="6"/>
  <c r="L503" i="6" s="1"/>
  <c r="D503" i="6"/>
  <c r="E503" i="6"/>
  <c r="F503" i="6"/>
  <c r="H503" i="6"/>
  <c r="I503" i="6"/>
  <c r="N503" i="6"/>
  <c r="Q503" i="6"/>
  <c r="R503" i="6"/>
  <c r="S503" i="6"/>
  <c r="T503" i="6"/>
  <c r="C504" i="6"/>
  <c r="D504" i="6"/>
  <c r="E504" i="6"/>
  <c r="F504" i="6"/>
  <c r="L504" i="6" s="1"/>
  <c r="H504" i="6"/>
  <c r="I504" i="6"/>
  <c r="N504" i="6"/>
  <c r="Q504" i="6"/>
  <c r="R504" i="6"/>
  <c r="S504" i="6"/>
  <c r="T504" i="6"/>
  <c r="C505" i="6"/>
  <c r="L505" i="6" s="1"/>
  <c r="D505" i="6"/>
  <c r="E505" i="6"/>
  <c r="F505" i="6"/>
  <c r="H505" i="6"/>
  <c r="I505" i="6"/>
  <c r="N505" i="6"/>
  <c r="Q505" i="6"/>
  <c r="R505" i="6"/>
  <c r="S505" i="6"/>
  <c r="T505" i="6"/>
  <c r="C506" i="6"/>
  <c r="D506" i="6"/>
  <c r="E506" i="6"/>
  <c r="F506" i="6"/>
  <c r="L506" i="6" s="1"/>
  <c r="H506" i="6"/>
  <c r="I506" i="6"/>
  <c r="N506" i="6"/>
  <c r="Q506" i="6"/>
  <c r="R506" i="6"/>
  <c r="S506" i="6"/>
  <c r="T506" i="6"/>
  <c r="C507" i="6"/>
  <c r="L507" i="6" s="1"/>
  <c r="D507" i="6"/>
  <c r="E507" i="6"/>
  <c r="F507" i="6"/>
  <c r="H507" i="6"/>
  <c r="I507" i="6"/>
  <c r="N507" i="6"/>
  <c r="Q507" i="6"/>
  <c r="R507" i="6"/>
  <c r="S507" i="6"/>
  <c r="T507" i="6"/>
  <c r="C508" i="6"/>
  <c r="D508" i="6"/>
  <c r="E508" i="6"/>
  <c r="F508" i="6"/>
  <c r="L508" i="6" s="1"/>
  <c r="H508" i="6"/>
  <c r="I508" i="6"/>
  <c r="N508" i="6"/>
  <c r="Q508" i="6"/>
  <c r="R508" i="6"/>
  <c r="S508" i="6"/>
  <c r="T508" i="6"/>
  <c r="T1112" i="6" s="1"/>
  <c r="C509" i="6"/>
  <c r="L509" i="6" s="1"/>
  <c r="D509" i="6"/>
  <c r="E509" i="6"/>
  <c r="F509" i="6"/>
  <c r="H509" i="6"/>
  <c r="I509" i="6"/>
  <c r="N509" i="6"/>
  <c r="Q509" i="6"/>
  <c r="R509" i="6"/>
  <c r="S509" i="6"/>
  <c r="T509" i="6"/>
  <c r="C510" i="6"/>
  <c r="D510" i="6"/>
  <c r="E510" i="6"/>
  <c r="F510" i="6"/>
  <c r="H510" i="6"/>
  <c r="I510" i="6"/>
  <c r="N510" i="6"/>
  <c r="Q510" i="6"/>
  <c r="R510" i="6"/>
  <c r="S510" i="6"/>
  <c r="T510" i="6"/>
  <c r="C511" i="6"/>
  <c r="L511" i="6" s="1"/>
  <c r="D511" i="6"/>
  <c r="E511" i="6"/>
  <c r="F511" i="6"/>
  <c r="H511" i="6"/>
  <c r="I511" i="6"/>
  <c r="N511" i="6"/>
  <c r="Q511" i="6"/>
  <c r="R511" i="6"/>
  <c r="S511" i="6"/>
  <c r="T511" i="6"/>
  <c r="C512" i="6"/>
  <c r="D512" i="6"/>
  <c r="E512" i="6"/>
  <c r="F512" i="6"/>
  <c r="L512" i="6" s="1"/>
  <c r="H512" i="6"/>
  <c r="I512" i="6"/>
  <c r="N512" i="6"/>
  <c r="Q512" i="6"/>
  <c r="R512" i="6"/>
  <c r="S512" i="6"/>
  <c r="T512" i="6"/>
  <c r="C513" i="6"/>
  <c r="L513" i="6" s="1"/>
  <c r="D513" i="6"/>
  <c r="E513" i="6"/>
  <c r="F513" i="6"/>
  <c r="H513" i="6"/>
  <c r="I513" i="6"/>
  <c r="N513" i="6"/>
  <c r="Q513" i="6"/>
  <c r="R513" i="6"/>
  <c r="S513" i="6"/>
  <c r="T513" i="6"/>
  <c r="C514" i="6"/>
  <c r="D514" i="6"/>
  <c r="E514" i="6"/>
  <c r="F514" i="6"/>
  <c r="L514" i="6" s="1"/>
  <c r="H514" i="6"/>
  <c r="I514" i="6"/>
  <c r="N514" i="6"/>
  <c r="Q514" i="6"/>
  <c r="R514" i="6"/>
  <c r="S514" i="6"/>
  <c r="T514" i="6"/>
  <c r="C515" i="6"/>
  <c r="L515" i="6" s="1"/>
  <c r="D515" i="6"/>
  <c r="E515" i="6"/>
  <c r="F515" i="6"/>
  <c r="H515" i="6"/>
  <c r="I515" i="6"/>
  <c r="N515" i="6"/>
  <c r="Q515" i="6"/>
  <c r="R515" i="6"/>
  <c r="S515" i="6"/>
  <c r="T515" i="6"/>
  <c r="C516" i="6"/>
  <c r="D516" i="6"/>
  <c r="E516" i="6"/>
  <c r="F516" i="6"/>
  <c r="L516" i="6" s="1"/>
  <c r="H516" i="6"/>
  <c r="I516" i="6"/>
  <c r="N516" i="6"/>
  <c r="Q516" i="6"/>
  <c r="R516" i="6"/>
  <c r="S516" i="6"/>
  <c r="T516" i="6"/>
  <c r="T1116" i="6" s="1"/>
  <c r="C517" i="6"/>
  <c r="L517" i="6" s="1"/>
  <c r="D517" i="6"/>
  <c r="E517" i="6"/>
  <c r="F517" i="6"/>
  <c r="H517" i="6"/>
  <c r="I517" i="6"/>
  <c r="N517" i="6"/>
  <c r="N1116" i="6" s="1"/>
  <c r="Q517" i="6"/>
  <c r="R517" i="6"/>
  <c r="S517" i="6"/>
  <c r="T517" i="6"/>
  <c r="C518" i="6"/>
  <c r="D518" i="6"/>
  <c r="E518" i="6"/>
  <c r="F518" i="6"/>
  <c r="L518" i="6" s="1"/>
  <c r="H518" i="6"/>
  <c r="I518" i="6"/>
  <c r="N518" i="6"/>
  <c r="Q518" i="6"/>
  <c r="R518" i="6"/>
  <c r="S518" i="6"/>
  <c r="T518" i="6"/>
  <c r="C519" i="6"/>
  <c r="L519" i="6" s="1"/>
  <c r="D519" i="6"/>
  <c r="E519" i="6"/>
  <c r="F519" i="6"/>
  <c r="H519" i="6"/>
  <c r="I519" i="6"/>
  <c r="N519" i="6"/>
  <c r="Q519" i="6"/>
  <c r="R519" i="6"/>
  <c r="S519" i="6"/>
  <c r="T519" i="6"/>
  <c r="C520" i="6"/>
  <c r="D520" i="6"/>
  <c r="E520" i="6"/>
  <c r="F520" i="6"/>
  <c r="L520" i="6" s="1"/>
  <c r="H520" i="6"/>
  <c r="I520" i="6"/>
  <c r="N520" i="6"/>
  <c r="Q520" i="6"/>
  <c r="R520" i="6"/>
  <c r="S520" i="6"/>
  <c r="T520" i="6"/>
  <c r="C521" i="6"/>
  <c r="L521" i="6" s="1"/>
  <c r="D521" i="6"/>
  <c r="E521" i="6"/>
  <c r="F521" i="6"/>
  <c r="H521" i="6"/>
  <c r="I521" i="6"/>
  <c r="N521" i="6"/>
  <c r="Q521" i="6"/>
  <c r="R521" i="6"/>
  <c r="S521" i="6"/>
  <c r="T521" i="6"/>
  <c r="C522" i="6"/>
  <c r="D522" i="6"/>
  <c r="E522" i="6"/>
  <c r="F522" i="6"/>
  <c r="L522" i="6" s="1"/>
  <c r="H522" i="6"/>
  <c r="I522" i="6"/>
  <c r="N522" i="6"/>
  <c r="Q522" i="6"/>
  <c r="R522" i="6"/>
  <c r="S522" i="6"/>
  <c r="T522" i="6"/>
  <c r="C523" i="6"/>
  <c r="L523" i="6" s="1"/>
  <c r="D523" i="6"/>
  <c r="E523" i="6"/>
  <c r="F523" i="6"/>
  <c r="H523" i="6"/>
  <c r="I523" i="6"/>
  <c r="N523" i="6"/>
  <c r="Q523" i="6"/>
  <c r="R523" i="6"/>
  <c r="S523" i="6"/>
  <c r="T523" i="6"/>
  <c r="C524" i="6"/>
  <c r="D524" i="6"/>
  <c r="E524" i="6"/>
  <c r="F524" i="6"/>
  <c r="L524" i="6" s="1"/>
  <c r="H524" i="6"/>
  <c r="I524" i="6"/>
  <c r="N524" i="6"/>
  <c r="Q524" i="6"/>
  <c r="R524" i="6"/>
  <c r="S524" i="6"/>
  <c r="T524" i="6"/>
  <c r="C525" i="6"/>
  <c r="L525" i="6" s="1"/>
  <c r="D525" i="6"/>
  <c r="E525" i="6"/>
  <c r="F525" i="6"/>
  <c r="H525" i="6"/>
  <c r="I525" i="6"/>
  <c r="N525" i="6"/>
  <c r="Q525" i="6"/>
  <c r="R525" i="6"/>
  <c r="S525" i="6"/>
  <c r="T525" i="6"/>
  <c r="C526" i="6"/>
  <c r="D526" i="6"/>
  <c r="E526" i="6"/>
  <c r="F526" i="6"/>
  <c r="L526" i="6" s="1"/>
  <c r="H526" i="6"/>
  <c r="I526" i="6"/>
  <c r="N526" i="6"/>
  <c r="Q526" i="6"/>
  <c r="R526" i="6"/>
  <c r="S526" i="6"/>
  <c r="T526" i="6"/>
  <c r="C527" i="6"/>
  <c r="L527" i="6" s="1"/>
  <c r="D527" i="6"/>
  <c r="E527" i="6"/>
  <c r="F527" i="6"/>
  <c r="H527" i="6"/>
  <c r="I527" i="6"/>
  <c r="N527" i="6"/>
  <c r="Q527" i="6"/>
  <c r="R527" i="6"/>
  <c r="S527" i="6"/>
  <c r="T527" i="6"/>
  <c r="C528" i="6"/>
  <c r="D528" i="6"/>
  <c r="E528" i="6"/>
  <c r="F528" i="6"/>
  <c r="L528" i="6" s="1"/>
  <c r="H528" i="6"/>
  <c r="I528" i="6"/>
  <c r="N528" i="6"/>
  <c r="Q528" i="6"/>
  <c r="R528" i="6"/>
  <c r="S528" i="6"/>
  <c r="T528" i="6"/>
  <c r="C529" i="6"/>
  <c r="L529" i="6" s="1"/>
  <c r="D529" i="6"/>
  <c r="E529" i="6"/>
  <c r="F529" i="6"/>
  <c r="H529" i="6"/>
  <c r="I529" i="6"/>
  <c r="N529" i="6"/>
  <c r="Q529" i="6"/>
  <c r="R529" i="6"/>
  <c r="S529" i="6"/>
  <c r="T529" i="6"/>
  <c r="C530" i="6"/>
  <c r="D530" i="6"/>
  <c r="E530" i="6"/>
  <c r="F530" i="6"/>
  <c r="L530" i="6" s="1"/>
  <c r="H530" i="6"/>
  <c r="I530" i="6"/>
  <c r="N530" i="6"/>
  <c r="Q530" i="6"/>
  <c r="R530" i="6"/>
  <c r="S530" i="6"/>
  <c r="T530" i="6"/>
  <c r="C531" i="6"/>
  <c r="L531" i="6" s="1"/>
  <c r="D531" i="6"/>
  <c r="E531" i="6"/>
  <c r="F531" i="6"/>
  <c r="H531" i="6"/>
  <c r="I531" i="6"/>
  <c r="N531" i="6"/>
  <c r="Q531" i="6"/>
  <c r="R531" i="6"/>
  <c r="S531" i="6"/>
  <c r="T531" i="6"/>
  <c r="C532" i="6"/>
  <c r="D532" i="6"/>
  <c r="E532" i="6"/>
  <c r="F532" i="6"/>
  <c r="L532" i="6" s="1"/>
  <c r="H532" i="6"/>
  <c r="I532" i="6"/>
  <c r="N532" i="6"/>
  <c r="Q532" i="6"/>
  <c r="R532" i="6"/>
  <c r="S532" i="6"/>
  <c r="T532" i="6"/>
  <c r="C533" i="6"/>
  <c r="L533" i="6" s="1"/>
  <c r="D533" i="6"/>
  <c r="E533" i="6"/>
  <c r="F533" i="6"/>
  <c r="H533" i="6"/>
  <c r="I533" i="6"/>
  <c r="N533" i="6"/>
  <c r="Q533" i="6"/>
  <c r="R533" i="6"/>
  <c r="S533" i="6"/>
  <c r="T533" i="6"/>
  <c r="C534" i="6"/>
  <c r="D534" i="6"/>
  <c r="E534" i="6"/>
  <c r="F534" i="6"/>
  <c r="L534" i="6" s="1"/>
  <c r="H534" i="6"/>
  <c r="I534" i="6"/>
  <c r="N534" i="6"/>
  <c r="Q534" i="6"/>
  <c r="R534" i="6"/>
  <c r="S534" i="6"/>
  <c r="T534" i="6"/>
  <c r="C535" i="6"/>
  <c r="L535" i="6" s="1"/>
  <c r="D535" i="6"/>
  <c r="E535" i="6"/>
  <c r="F535" i="6"/>
  <c r="H535" i="6"/>
  <c r="I535" i="6"/>
  <c r="N535" i="6"/>
  <c r="Q535" i="6"/>
  <c r="R535" i="6"/>
  <c r="S535" i="6"/>
  <c r="T535" i="6"/>
  <c r="C536" i="6"/>
  <c r="D536" i="6"/>
  <c r="E536" i="6"/>
  <c r="F536" i="6"/>
  <c r="L536" i="6" s="1"/>
  <c r="H536" i="6"/>
  <c r="I536" i="6"/>
  <c r="N536" i="6"/>
  <c r="Q536" i="6"/>
  <c r="R536" i="6"/>
  <c r="S536" i="6"/>
  <c r="T536" i="6"/>
  <c r="C537" i="6"/>
  <c r="L537" i="6" s="1"/>
  <c r="D537" i="6"/>
  <c r="E537" i="6"/>
  <c r="F537" i="6"/>
  <c r="H537" i="6"/>
  <c r="I537" i="6"/>
  <c r="N537" i="6"/>
  <c r="Q537" i="6"/>
  <c r="R537" i="6"/>
  <c r="S537" i="6"/>
  <c r="T537" i="6"/>
  <c r="C538" i="6"/>
  <c r="D538" i="6"/>
  <c r="E538" i="6"/>
  <c r="F538" i="6"/>
  <c r="L538" i="6" s="1"/>
  <c r="H538" i="6"/>
  <c r="I538" i="6"/>
  <c r="N538" i="6"/>
  <c r="Q538" i="6"/>
  <c r="R538" i="6"/>
  <c r="S538" i="6"/>
  <c r="T538" i="6"/>
  <c r="C539" i="6"/>
  <c r="L539" i="6" s="1"/>
  <c r="D539" i="6"/>
  <c r="E539" i="6"/>
  <c r="F539" i="6"/>
  <c r="H539" i="6"/>
  <c r="I539" i="6"/>
  <c r="N539" i="6"/>
  <c r="Q539" i="6"/>
  <c r="R539" i="6"/>
  <c r="S539" i="6"/>
  <c r="T539" i="6"/>
  <c r="C540" i="6"/>
  <c r="D540" i="6"/>
  <c r="E540" i="6"/>
  <c r="F540" i="6"/>
  <c r="L540" i="6" s="1"/>
  <c r="H540" i="6"/>
  <c r="I540" i="6"/>
  <c r="N540" i="6"/>
  <c r="Q540" i="6"/>
  <c r="R540" i="6"/>
  <c r="S540" i="6"/>
  <c r="T540" i="6"/>
  <c r="C541" i="6"/>
  <c r="L541" i="6" s="1"/>
  <c r="D541" i="6"/>
  <c r="E541" i="6"/>
  <c r="F541" i="6"/>
  <c r="H541" i="6"/>
  <c r="I541" i="6"/>
  <c r="N541" i="6"/>
  <c r="Q541" i="6"/>
  <c r="R541" i="6"/>
  <c r="S541" i="6"/>
  <c r="T541" i="6"/>
  <c r="C542" i="6"/>
  <c r="D542" i="6"/>
  <c r="E542" i="6"/>
  <c r="F542" i="6"/>
  <c r="L542" i="6" s="1"/>
  <c r="H542" i="6"/>
  <c r="I542" i="6"/>
  <c r="N542" i="6"/>
  <c r="Q542" i="6"/>
  <c r="R542" i="6"/>
  <c r="S542" i="6"/>
  <c r="T542" i="6"/>
  <c r="C543" i="6"/>
  <c r="L543" i="6" s="1"/>
  <c r="D543" i="6"/>
  <c r="E543" i="6"/>
  <c r="F543" i="6"/>
  <c r="H543" i="6"/>
  <c r="I543" i="6"/>
  <c r="N543" i="6"/>
  <c r="Q543" i="6"/>
  <c r="R543" i="6"/>
  <c r="S543" i="6"/>
  <c r="T543" i="6"/>
  <c r="C544" i="6"/>
  <c r="D544" i="6"/>
  <c r="E544" i="6"/>
  <c r="F544" i="6"/>
  <c r="L544" i="6" s="1"/>
  <c r="H544" i="6"/>
  <c r="I544" i="6"/>
  <c r="N544" i="6"/>
  <c r="Q544" i="6"/>
  <c r="R544" i="6"/>
  <c r="S544" i="6"/>
  <c r="T544" i="6"/>
  <c r="C545" i="6"/>
  <c r="L545" i="6" s="1"/>
  <c r="D545" i="6"/>
  <c r="E545" i="6"/>
  <c r="F545" i="6"/>
  <c r="H545" i="6"/>
  <c r="I545" i="6"/>
  <c r="N545" i="6"/>
  <c r="Q545" i="6"/>
  <c r="R545" i="6"/>
  <c r="S545" i="6"/>
  <c r="T545" i="6"/>
  <c r="C546" i="6"/>
  <c r="D546" i="6"/>
  <c r="E546" i="6"/>
  <c r="F546" i="6"/>
  <c r="L546" i="6" s="1"/>
  <c r="H546" i="6"/>
  <c r="I546" i="6"/>
  <c r="N546" i="6"/>
  <c r="Q546" i="6"/>
  <c r="R546" i="6"/>
  <c r="S546" i="6"/>
  <c r="T546" i="6"/>
  <c r="C547" i="6"/>
  <c r="L547" i="6" s="1"/>
  <c r="D547" i="6"/>
  <c r="E547" i="6"/>
  <c r="F547" i="6"/>
  <c r="H547" i="6"/>
  <c r="I547" i="6"/>
  <c r="N547" i="6"/>
  <c r="Q547" i="6"/>
  <c r="R547" i="6"/>
  <c r="S547" i="6"/>
  <c r="T547" i="6"/>
  <c r="C548" i="6"/>
  <c r="D548" i="6"/>
  <c r="E548" i="6"/>
  <c r="F548" i="6"/>
  <c r="L548" i="6" s="1"/>
  <c r="H548" i="6"/>
  <c r="I548" i="6"/>
  <c r="N548" i="6"/>
  <c r="Q548" i="6"/>
  <c r="R548" i="6"/>
  <c r="S548" i="6"/>
  <c r="T548" i="6"/>
  <c r="C549" i="6"/>
  <c r="L549" i="6" s="1"/>
  <c r="D549" i="6"/>
  <c r="E549" i="6"/>
  <c r="F549" i="6"/>
  <c r="H549" i="6"/>
  <c r="I549" i="6"/>
  <c r="N549" i="6"/>
  <c r="Q549" i="6"/>
  <c r="R549" i="6"/>
  <c r="S549" i="6"/>
  <c r="T549" i="6"/>
  <c r="C550" i="6"/>
  <c r="D550" i="6"/>
  <c r="E550" i="6"/>
  <c r="F550" i="6"/>
  <c r="L550" i="6" s="1"/>
  <c r="H550" i="6"/>
  <c r="I550" i="6"/>
  <c r="N550" i="6"/>
  <c r="Q550" i="6"/>
  <c r="R550" i="6"/>
  <c r="S550" i="6"/>
  <c r="T550" i="6"/>
  <c r="C551" i="6"/>
  <c r="L551" i="6" s="1"/>
  <c r="D551" i="6"/>
  <c r="E551" i="6"/>
  <c r="F551" i="6"/>
  <c r="H551" i="6"/>
  <c r="I551" i="6"/>
  <c r="N551" i="6"/>
  <c r="Q551" i="6"/>
  <c r="R551" i="6"/>
  <c r="S551" i="6"/>
  <c r="T551" i="6"/>
  <c r="C552" i="6"/>
  <c r="D552" i="6"/>
  <c r="E552" i="6"/>
  <c r="F552" i="6"/>
  <c r="L552" i="6" s="1"/>
  <c r="H552" i="6"/>
  <c r="I552" i="6"/>
  <c r="N552" i="6"/>
  <c r="Q552" i="6"/>
  <c r="R552" i="6"/>
  <c r="S552" i="6"/>
  <c r="T552" i="6"/>
  <c r="C553" i="6"/>
  <c r="L553" i="6" s="1"/>
  <c r="D553" i="6"/>
  <c r="E553" i="6"/>
  <c r="F553" i="6"/>
  <c r="H553" i="6"/>
  <c r="I553" i="6"/>
  <c r="N553" i="6"/>
  <c r="Q553" i="6"/>
  <c r="R553" i="6"/>
  <c r="S553" i="6"/>
  <c r="T553" i="6"/>
  <c r="C554" i="6"/>
  <c r="D554" i="6"/>
  <c r="E554" i="6"/>
  <c r="F554" i="6"/>
  <c r="L554" i="6" s="1"/>
  <c r="H554" i="6"/>
  <c r="I554" i="6"/>
  <c r="N554" i="6"/>
  <c r="Q554" i="6"/>
  <c r="R554" i="6"/>
  <c r="S554" i="6"/>
  <c r="T554" i="6"/>
  <c r="C555" i="6"/>
  <c r="L555" i="6" s="1"/>
  <c r="D555" i="6"/>
  <c r="E555" i="6"/>
  <c r="F555" i="6"/>
  <c r="H555" i="6"/>
  <c r="I555" i="6"/>
  <c r="N555" i="6"/>
  <c r="Q555" i="6"/>
  <c r="R555" i="6"/>
  <c r="S555" i="6"/>
  <c r="T555" i="6"/>
  <c r="C556" i="6"/>
  <c r="D556" i="6"/>
  <c r="E556" i="6"/>
  <c r="F556" i="6"/>
  <c r="L556" i="6" s="1"/>
  <c r="H556" i="6"/>
  <c r="I556" i="6"/>
  <c r="N556" i="6"/>
  <c r="Q556" i="6"/>
  <c r="R556" i="6"/>
  <c r="S556" i="6"/>
  <c r="T556" i="6"/>
  <c r="C557" i="6"/>
  <c r="L557" i="6" s="1"/>
  <c r="D557" i="6"/>
  <c r="E557" i="6"/>
  <c r="F557" i="6"/>
  <c r="H557" i="6"/>
  <c r="I557" i="6"/>
  <c r="N557" i="6"/>
  <c r="Q557" i="6"/>
  <c r="R557" i="6"/>
  <c r="S557" i="6"/>
  <c r="T557" i="6"/>
  <c r="C558" i="6"/>
  <c r="D558" i="6"/>
  <c r="E558" i="6"/>
  <c r="F558" i="6"/>
  <c r="L558" i="6" s="1"/>
  <c r="H558" i="6"/>
  <c r="I558" i="6"/>
  <c r="N558" i="6"/>
  <c r="Q558" i="6"/>
  <c r="R558" i="6"/>
  <c r="S558" i="6"/>
  <c r="T558" i="6"/>
  <c r="C559" i="6"/>
  <c r="L559" i="6" s="1"/>
  <c r="D559" i="6"/>
  <c r="E559" i="6"/>
  <c r="F559" i="6"/>
  <c r="H559" i="6"/>
  <c r="I559" i="6"/>
  <c r="N559" i="6"/>
  <c r="Q559" i="6"/>
  <c r="R559" i="6"/>
  <c r="S559" i="6"/>
  <c r="T559" i="6"/>
  <c r="C560" i="6"/>
  <c r="D560" i="6"/>
  <c r="E560" i="6"/>
  <c r="F560" i="6"/>
  <c r="L560" i="6" s="1"/>
  <c r="H560" i="6"/>
  <c r="I560" i="6"/>
  <c r="N560" i="6"/>
  <c r="Q560" i="6"/>
  <c r="R560" i="6"/>
  <c r="S560" i="6"/>
  <c r="T560" i="6"/>
  <c r="C561" i="6"/>
  <c r="L561" i="6" s="1"/>
  <c r="D561" i="6"/>
  <c r="E561" i="6"/>
  <c r="F561" i="6"/>
  <c r="H561" i="6"/>
  <c r="I561" i="6"/>
  <c r="N561" i="6"/>
  <c r="Q561" i="6"/>
  <c r="R561" i="6"/>
  <c r="S561" i="6"/>
  <c r="T561" i="6"/>
  <c r="C562" i="6"/>
  <c r="D562" i="6"/>
  <c r="E562" i="6"/>
  <c r="F562" i="6"/>
  <c r="L562" i="6" s="1"/>
  <c r="H562" i="6"/>
  <c r="I562" i="6"/>
  <c r="N562" i="6"/>
  <c r="Q562" i="6"/>
  <c r="R562" i="6"/>
  <c r="S562" i="6"/>
  <c r="T562" i="6"/>
  <c r="C563" i="6"/>
  <c r="L563" i="6" s="1"/>
  <c r="D563" i="6"/>
  <c r="E563" i="6"/>
  <c r="F563" i="6"/>
  <c r="H563" i="6"/>
  <c r="I563" i="6"/>
  <c r="N563" i="6"/>
  <c r="Q563" i="6"/>
  <c r="R563" i="6"/>
  <c r="S563" i="6"/>
  <c r="T563" i="6"/>
  <c r="C564" i="6"/>
  <c r="D564" i="6"/>
  <c r="E564" i="6"/>
  <c r="F564" i="6"/>
  <c r="L564" i="6" s="1"/>
  <c r="H564" i="6"/>
  <c r="I564" i="6"/>
  <c r="N564" i="6"/>
  <c r="Q564" i="6"/>
  <c r="R564" i="6"/>
  <c r="S564" i="6"/>
  <c r="T564" i="6"/>
  <c r="C565" i="6"/>
  <c r="L565" i="6" s="1"/>
  <c r="D565" i="6"/>
  <c r="E565" i="6"/>
  <c r="F565" i="6"/>
  <c r="H565" i="6"/>
  <c r="I565" i="6"/>
  <c r="N565" i="6"/>
  <c r="Q565" i="6"/>
  <c r="R565" i="6"/>
  <c r="S565" i="6"/>
  <c r="T565" i="6"/>
  <c r="C566" i="6"/>
  <c r="D566" i="6"/>
  <c r="E566" i="6"/>
  <c r="F566" i="6"/>
  <c r="L566" i="6" s="1"/>
  <c r="H566" i="6"/>
  <c r="I566" i="6"/>
  <c r="N566" i="6"/>
  <c r="Q566" i="6"/>
  <c r="R566" i="6"/>
  <c r="S566" i="6"/>
  <c r="T566" i="6"/>
  <c r="C567" i="6"/>
  <c r="L567" i="6" s="1"/>
  <c r="D567" i="6"/>
  <c r="E567" i="6"/>
  <c r="F567" i="6"/>
  <c r="H567" i="6"/>
  <c r="I567" i="6"/>
  <c r="N567" i="6"/>
  <c r="Q567" i="6"/>
  <c r="R567" i="6"/>
  <c r="S567" i="6"/>
  <c r="T567" i="6"/>
  <c r="C568" i="6"/>
  <c r="D568" i="6"/>
  <c r="E568" i="6"/>
  <c r="F568" i="6"/>
  <c r="L568" i="6" s="1"/>
  <c r="H568" i="6"/>
  <c r="I568" i="6"/>
  <c r="N568" i="6"/>
  <c r="Q568" i="6"/>
  <c r="R568" i="6"/>
  <c r="S568" i="6"/>
  <c r="T568" i="6"/>
  <c r="C569" i="6"/>
  <c r="L569" i="6" s="1"/>
  <c r="D569" i="6"/>
  <c r="E569" i="6"/>
  <c r="F569" i="6"/>
  <c r="H569" i="6"/>
  <c r="I569" i="6"/>
  <c r="N569" i="6"/>
  <c r="Q569" i="6"/>
  <c r="R569" i="6"/>
  <c r="S569" i="6"/>
  <c r="T569" i="6"/>
  <c r="C570" i="6"/>
  <c r="D570" i="6"/>
  <c r="E570" i="6"/>
  <c r="F570" i="6"/>
  <c r="L570" i="6" s="1"/>
  <c r="H570" i="6"/>
  <c r="I570" i="6"/>
  <c r="N570" i="6"/>
  <c r="Q570" i="6"/>
  <c r="R570" i="6"/>
  <c r="S570" i="6"/>
  <c r="T570" i="6"/>
  <c r="C571" i="6"/>
  <c r="L571" i="6" s="1"/>
  <c r="D571" i="6"/>
  <c r="E571" i="6"/>
  <c r="F571" i="6"/>
  <c r="H571" i="6"/>
  <c r="I571" i="6"/>
  <c r="N571" i="6"/>
  <c r="Q571" i="6"/>
  <c r="R571" i="6"/>
  <c r="S571" i="6"/>
  <c r="T571" i="6"/>
  <c r="C572" i="6"/>
  <c r="D572" i="6"/>
  <c r="E572" i="6"/>
  <c r="F572" i="6"/>
  <c r="L572" i="6" s="1"/>
  <c r="H572" i="6"/>
  <c r="I572" i="6"/>
  <c r="N572" i="6"/>
  <c r="Q572" i="6"/>
  <c r="R572" i="6"/>
  <c r="S572" i="6"/>
  <c r="T572" i="6"/>
  <c r="C573" i="6"/>
  <c r="L573" i="6" s="1"/>
  <c r="D573" i="6"/>
  <c r="E573" i="6"/>
  <c r="F573" i="6"/>
  <c r="H573" i="6"/>
  <c r="I573" i="6"/>
  <c r="N573" i="6"/>
  <c r="Q573" i="6"/>
  <c r="R573" i="6"/>
  <c r="S573" i="6"/>
  <c r="T573" i="6"/>
  <c r="C574" i="6"/>
  <c r="D574" i="6"/>
  <c r="E574" i="6"/>
  <c r="F574" i="6"/>
  <c r="L574" i="6" s="1"/>
  <c r="H574" i="6"/>
  <c r="I574" i="6"/>
  <c r="N574" i="6"/>
  <c r="Q574" i="6"/>
  <c r="R574" i="6"/>
  <c r="S574" i="6"/>
  <c r="T574" i="6"/>
  <c r="C575" i="6"/>
  <c r="L575" i="6" s="1"/>
  <c r="D575" i="6"/>
  <c r="E575" i="6"/>
  <c r="F575" i="6"/>
  <c r="H575" i="6"/>
  <c r="I575" i="6"/>
  <c r="N575" i="6"/>
  <c r="Q575" i="6"/>
  <c r="R575" i="6"/>
  <c r="S575" i="6"/>
  <c r="T575" i="6"/>
  <c r="C576" i="6"/>
  <c r="D576" i="6"/>
  <c r="E576" i="6"/>
  <c r="F576" i="6"/>
  <c r="L576" i="6" s="1"/>
  <c r="H576" i="6"/>
  <c r="I576" i="6"/>
  <c r="N576" i="6"/>
  <c r="Q576" i="6"/>
  <c r="R576" i="6"/>
  <c r="S576" i="6"/>
  <c r="T576" i="6"/>
  <c r="C577" i="6"/>
  <c r="L577" i="6" s="1"/>
  <c r="D577" i="6"/>
  <c r="E577" i="6"/>
  <c r="F577" i="6"/>
  <c r="H577" i="6"/>
  <c r="I577" i="6"/>
  <c r="N577" i="6"/>
  <c r="Q577" i="6"/>
  <c r="R577" i="6"/>
  <c r="S577" i="6"/>
  <c r="T577" i="6"/>
  <c r="C578" i="6"/>
  <c r="D578" i="6"/>
  <c r="E578" i="6"/>
  <c r="F578" i="6"/>
  <c r="L578" i="6" s="1"/>
  <c r="H578" i="6"/>
  <c r="I578" i="6"/>
  <c r="N578" i="6"/>
  <c r="Q578" i="6"/>
  <c r="R578" i="6"/>
  <c r="S578" i="6"/>
  <c r="T578" i="6"/>
  <c r="C579" i="6"/>
  <c r="L579" i="6" s="1"/>
  <c r="D579" i="6"/>
  <c r="E579" i="6"/>
  <c r="F579" i="6"/>
  <c r="H579" i="6"/>
  <c r="I579" i="6"/>
  <c r="N579" i="6"/>
  <c r="Q579" i="6"/>
  <c r="R579" i="6"/>
  <c r="S579" i="6"/>
  <c r="T579" i="6"/>
  <c r="C580" i="6"/>
  <c r="D580" i="6"/>
  <c r="E580" i="6"/>
  <c r="F580" i="6"/>
  <c r="L580" i="6" s="1"/>
  <c r="H580" i="6"/>
  <c r="I580" i="6"/>
  <c r="N580" i="6"/>
  <c r="Q580" i="6"/>
  <c r="R580" i="6"/>
  <c r="S580" i="6"/>
  <c r="T580" i="6"/>
  <c r="C581" i="6"/>
  <c r="L581" i="6" s="1"/>
  <c r="D581" i="6"/>
  <c r="E581" i="6"/>
  <c r="F581" i="6"/>
  <c r="H581" i="6"/>
  <c r="I581" i="6"/>
  <c r="N581" i="6"/>
  <c r="Q581" i="6"/>
  <c r="R581" i="6"/>
  <c r="S581" i="6"/>
  <c r="T581" i="6"/>
  <c r="C582" i="6"/>
  <c r="D582" i="6"/>
  <c r="E582" i="6"/>
  <c r="F582" i="6"/>
  <c r="L582" i="6" s="1"/>
  <c r="H582" i="6"/>
  <c r="I582" i="6"/>
  <c r="N582" i="6"/>
  <c r="Q582" i="6"/>
  <c r="R582" i="6"/>
  <c r="S582" i="6"/>
  <c r="T582" i="6"/>
  <c r="C583" i="6"/>
  <c r="L583" i="6" s="1"/>
  <c r="D583" i="6"/>
  <c r="E583" i="6"/>
  <c r="F583" i="6"/>
  <c r="H583" i="6"/>
  <c r="I583" i="6"/>
  <c r="N583" i="6"/>
  <c r="Q583" i="6"/>
  <c r="R583" i="6"/>
  <c r="S583" i="6"/>
  <c r="T583" i="6"/>
  <c r="C584" i="6"/>
  <c r="D584" i="6"/>
  <c r="E584" i="6"/>
  <c r="F584" i="6"/>
  <c r="L584" i="6" s="1"/>
  <c r="H584" i="6"/>
  <c r="I584" i="6"/>
  <c r="N584" i="6"/>
  <c r="Q584" i="6"/>
  <c r="R584" i="6"/>
  <c r="S584" i="6"/>
  <c r="T584" i="6"/>
  <c r="C585" i="6"/>
  <c r="L585" i="6" s="1"/>
  <c r="D585" i="6"/>
  <c r="E585" i="6"/>
  <c r="F585" i="6"/>
  <c r="H585" i="6"/>
  <c r="I585" i="6"/>
  <c r="N585" i="6"/>
  <c r="Q585" i="6"/>
  <c r="R585" i="6"/>
  <c r="S585" i="6"/>
  <c r="T585" i="6"/>
  <c r="C586" i="6"/>
  <c r="D586" i="6"/>
  <c r="E586" i="6"/>
  <c r="F586" i="6"/>
  <c r="L586" i="6" s="1"/>
  <c r="H586" i="6"/>
  <c r="I586" i="6"/>
  <c r="N586" i="6"/>
  <c r="Q586" i="6"/>
  <c r="R586" i="6"/>
  <c r="S586" i="6"/>
  <c r="T586" i="6"/>
  <c r="C587" i="6"/>
  <c r="L587" i="6" s="1"/>
  <c r="D587" i="6"/>
  <c r="E587" i="6"/>
  <c r="F587" i="6"/>
  <c r="H587" i="6"/>
  <c r="I587" i="6"/>
  <c r="N587" i="6"/>
  <c r="Q587" i="6"/>
  <c r="R587" i="6"/>
  <c r="S587" i="6"/>
  <c r="T587" i="6"/>
  <c r="C588" i="6"/>
  <c r="D588" i="6"/>
  <c r="E588" i="6"/>
  <c r="F588" i="6"/>
  <c r="L588" i="6" s="1"/>
  <c r="H588" i="6"/>
  <c r="I588" i="6"/>
  <c r="N588" i="6"/>
  <c r="Q588" i="6"/>
  <c r="R588" i="6"/>
  <c r="S588" i="6"/>
  <c r="T588" i="6"/>
  <c r="C589" i="6"/>
  <c r="L589" i="6" s="1"/>
  <c r="D589" i="6"/>
  <c r="E589" i="6"/>
  <c r="F589" i="6"/>
  <c r="H589" i="6"/>
  <c r="I589" i="6"/>
  <c r="N589" i="6"/>
  <c r="Q589" i="6"/>
  <c r="R589" i="6"/>
  <c r="S589" i="6"/>
  <c r="T589" i="6"/>
  <c r="C590" i="6"/>
  <c r="D590" i="6"/>
  <c r="E590" i="6"/>
  <c r="F590" i="6"/>
  <c r="L590" i="6" s="1"/>
  <c r="H590" i="6"/>
  <c r="I590" i="6"/>
  <c r="N590" i="6"/>
  <c r="Q590" i="6"/>
  <c r="R590" i="6"/>
  <c r="S590" i="6"/>
  <c r="T590" i="6"/>
  <c r="C591" i="6"/>
  <c r="L591" i="6" s="1"/>
  <c r="D591" i="6"/>
  <c r="E591" i="6"/>
  <c r="F591" i="6"/>
  <c r="H591" i="6"/>
  <c r="I591" i="6"/>
  <c r="N591" i="6"/>
  <c r="Q591" i="6"/>
  <c r="R591" i="6"/>
  <c r="S591" i="6"/>
  <c r="T591" i="6"/>
  <c r="C592" i="6"/>
  <c r="D592" i="6"/>
  <c r="E592" i="6"/>
  <c r="F592" i="6"/>
  <c r="L592" i="6" s="1"/>
  <c r="H592" i="6"/>
  <c r="I592" i="6"/>
  <c r="N592" i="6"/>
  <c r="Q592" i="6"/>
  <c r="R592" i="6"/>
  <c r="S592" i="6"/>
  <c r="T592" i="6"/>
  <c r="C593" i="6"/>
  <c r="L593" i="6" s="1"/>
  <c r="D593" i="6"/>
  <c r="E593" i="6"/>
  <c r="F593" i="6"/>
  <c r="H593" i="6"/>
  <c r="I593" i="6"/>
  <c r="N593" i="6"/>
  <c r="Q593" i="6"/>
  <c r="R593" i="6"/>
  <c r="S593" i="6"/>
  <c r="T593" i="6"/>
  <c r="C594" i="6"/>
  <c r="D594" i="6"/>
  <c r="E594" i="6"/>
  <c r="F594" i="6"/>
  <c r="L594" i="6" s="1"/>
  <c r="H594" i="6"/>
  <c r="I594" i="6"/>
  <c r="N594" i="6"/>
  <c r="Q594" i="6"/>
  <c r="R594" i="6"/>
  <c r="S594" i="6"/>
  <c r="T594" i="6"/>
  <c r="C595" i="6"/>
  <c r="L595" i="6" s="1"/>
  <c r="D595" i="6"/>
  <c r="E595" i="6"/>
  <c r="F595" i="6"/>
  <c r="H595" i="6"/>
  <c r="I595" i="6"/>
  <c r="N595" i="6"/>
  <c r="Q595" i="6"/>
  <c r="R595" i="6"/>
  <c r="S595" i="6"/>
  <c r="T595" i="6"/>
  <c r="C596" i="6"/>
  <c r="D596" i="6"/>
  <c r="E596" i="6"/>
  <c r="F596" i="6"/>
  <c r="L596" i="6" s="1"/>
  <c r="H596" i="6"/>
  <c r="I596" i="6"/>
  <c r="N596" i="6"/>
  <c r="Q596" i="6"/>
  <c r="R596" i="6"/>
  <c r="S596" i="6"/>
  <c r="T596" i="6"/>
  <c r="C597" i="6"/>
  <c r="L597" i="6" s="1"/>
  <c r="D597" i="6"/>
  <c r="E597" i="6"/>
  <c r="F597" i="6"/>
  <c r="H597" i="6"/>
  <c r="I597" i="6"/>
  <c r="N597" i="6"/>
  <c r="Q597" i="6"/>
  <c r="R597" i="6"/>
  <c r="S597" i="6"/>
  <c r="T597" i="6"/>
  <c r="C598" i="6"/>
  <c r="D598" i="6"/>
  <c r="E598" i="6"/>
  <c r="F598" i="6"/>
  <c r="L598" i="6" s="1"/>
  <c r="H598" i="6"/>
  <c r="I598" i="6"/>
  <c r="N598" i="6"/>
  <c r="Q598" i="6"/>
  <c r="R598" i="6"/>
  <c r="S598" i="6"/>
  <c r="T598" i="6"/>
  <c r="C599" i="6"/>
  <c r="L599" i="6" s="1"/>
  <c r="D599" i="6"/>
  <c r="E599" i="6"/>
  <c r="F599" i="6"/>
  <c r="H599" i="6"/>
  <c r="I599" i="6"/>
  <c r="N599" i="6"/>
  <c r="Q599" i="6"/>
  <c r="R599" i="6"/>
  <c r="S599" i="6"/>
  <c r="T599" i="6"/>
  <c r="B600" i="6"/>
  <c r="C600" i="6"/>
  <c r="L600" i="6" s="1"/>
  <c r="D600" i="6"/>
  <c r="E600" i="6"/>
  <c r="F600" i="6"/>
  <c r="H600" i="6"/>
  <c r="I600" i="6"/>
  <c r="N600" i="6"/>
  <c r="R600" i="6"/>
  <c r="Q600" i="6" s="1"/>
  <c r="S600" i="6" s="1"/>
  <c r="T600" i="6"/>
  <c r="B601" i="6"/>
  <c r="C601" i="6"/>
  <c r="D601" i="6"/>
  <c r="E601" i="6"/>
  <c r="F601" i="6"/>
  <c r="H601" i="6"/>
  <c r="I601" i="6"/>
  <c r="N601" i="6"/>
  <c r="Q601" i="6"/>
  <c r="S601" i="6" s="1"/>
  <c r="R601" i="6"/>
  <c r="T601" i="6"/>
  <c r="B602" i="6"/>
  <c r="C602" i="6"/>
  <c r="D602" i="6"/>
  <c r="E602" i="6"/>
  <c r="F602" i="6"/>
  <c r="H602" i="6"/>
  <c r="I602" i="6"/>
  <c r="N602" i="6"/>
  <c r="Q602" i="6"/>
  <c r="S602" i="6" s="1"/>
  <c r="R602" i="6"/>
  <c r="T602" i="6"/>
  <c r="B603" i="6"/>
  <c r="C603" i="6"/>
  <c r="D603" i="6"/>
  <c r="E603" i="6"/>
  <c r="F603" i="6"/>
  <c r="H603" i="6"/>
  <c r="I603" i="6"/>
  <c r="L603" i="6"/>
  <c r="N603" i="6"/>
  <c r="Q603" i="6"/>
  <c r="R603" i="6"/>
  <c r="S603" i="6"/>
  <c r="T603" i="6"/>
  <c r="B604" i="6"/>
  <c r="C604" i="6"/>
  <c r="D604" i="6"/>
  <c r="L604" i="6" s="1"/>
  <c r="E604" i="6"/>
  <c r="F604" i="6"/>
  <c r="H604" i="6"/>
  <c r="I604" i="6"/>
  <c r="N604" i="6"/>
  <c r="R604" i="6"/>
  <c r="Q604" i="6" s="1"/>
  <c r="S604" i="6" s="1"/>
  <c r="T604" i="6"/>
  <c r="B605" i="6"/>
  <c r="C605" i="6"/>
  <c r="D605" i="6"/>
  <c r="E605" i="6"/>
  <c r="F605" i="6"/>
  <c r="H605" i="6"/>
  <c r="I605" i="6"/>
  <c r="N605" i="6"/>
  <c r="R605" i="6"/>
  <c r="Q605" i="6" s="1"/>
  <c r="S605" i="6" s="1"/>
  <c r="T605" i="6"/>
  <c r="B606" i="6"/>
  <c r="C606" i="6"/>
  <c r="L606" i="6" s="1"/>
  <c r="D606" i="6"/>
  <c r="E606" i="6"/>
  <c r="F606" i="6"/>
  <c r="H606" i="6"/>
  <c r="I606" i="6"/>
  <c r="N606" i="6"/>
  <c r="R606" i="6"/>
  <c r="Q606" i="6" s="1"/>
  <c r="S606" i="6" s="1"/>
  <c r="T606" i="6"/>
  <c r="B607" i="6"/>
  <c r="C607" i="6"/>
  <c r="L607" i="6" s="1"/>
  <c r="D607" i="6"/>
  <c r="E607" i="6"/>
  <c r="F607" i="6"/>
  <c r="H607" i="6"/>
  <c r="I607" i="6"/>
  <c r="N607" i="6"/>
  <c r="Q607" i="6"/>
  <c r="S607" i="6" s="1"/>
  <c r="R607" i="6"/>
  <c r="T607" i="6"/>
  <c r="B608" i="6"/>
  <c r="C608" i="6"/>
  <c r="D608" i="6"/>
  <c r="E608" i="6"/>
  <c r="F608" i="6"/>
  <c r="H608" i="6"/>
  <c r="I608" i="6"/>
  <c r="N608" i="6"/>
  <c r="R608" i="6"/>
  <c r="Q608" i="6" s="1"/>
  <c r="S608" i="6"/>
  <c r="T608" i="6"/>
  <c r="B609" i="6"/>
  <c r="C609" i="6"/>
  <c r="L609" i="6" s="1"/>
  <c r="D609" i="6"/>
  <c r="E609" i="6"/>
  <c r="F609" i="6"/>
  <c r="H609" i="6"/>
  <c r="I609" i="6"/>
  <c r="N609" i="6"/>
  <c r="Q609" i="6"/>
  <c r="S609" i="6" s="1"/>
  <c r="R609" i="6"/>
  <c r="T609" i="6"/>
  <c r="B610" i="6"/>
  <c r="C610" i="6"/>
  <c r="D610" i="6"/>
  <c r="E610" i="6"/>
  <c r="F610" i="6"/>
  <c r="H610" i="6"/>
  <c r="I610" i="6"/>
  <c r="N610" i="6"/>
  <c r="Q610" i="6"/>
  <c r="S610" i="6" s="1"/>
  <c r="R610" i="6"/>
  <c r="T610" i="6"/>
  <c r="B611" i="6"/>
  <c r="C611" i="6"/>
  <c r="D611" i="6"/>
  <c r="E611" i="6"/>
  <c r="F611" i="6"/>
  <c r="L611" i="6" s="1"/>
  <c r="H611" i="6"/>
  <c r="I611" i="6"/>
  <c r="N611" i="6"/>
  <c r="Q611" i="6"/>
  <c r="R611" i="6"/>
  <c r="S611" i="6"/>
  <c r="T611" i="6"/>
  <c r="B612" i="6"/>
  <c r="C612" i="6"/>
  <c r="D612" i="6"/>
  <c r="E612" i="6"/>
  <c r="F612" i="6"/>
  <c r="H612" i="6"/>
  <c r="I612" i="6"/>
  <c r="L612" i="6"/>
  <c r="N612" i="6"/>
  <c r="R612" i="6"/>
  <c r="Q612" i="6" s="1"/>
  <c r="S612" i="6" s="1"/>
  <c r="T612" i="6"/>
  <c r="B613" i="6"/>
  <c r="C613" i="6"/>
  <c r="D613" i="6"/>
  <c r="E613" i="6"/>
  <c r="F613" i="6"/>
  <c r="H613" i="6"/>
  <c r="I613" i="6"/>
  <c r="N613" i="6"/>
  <c r="R613" i="6"/>
  <c r="Q613" i="6" s="1"/>
  <c r="S613" i="6"/>
  <c r="T613" i="6"/>
  <c r="B614" i="6"/>
  <c r="C614" i="6"/>
  <c r="D614" i="6"/>
  <c r="E614" i="6"/>
  <c r="F614" i="6"/>
  <c r="H614" i="6"/>
  <c r="I614" i="6"/>
  <c r="N614" i="6"/>
  <c r="R614" i="6"/>
  <c r="Q614" i="6" s="1"/>
  <c r="S614" i="6" s="1"/>
  <c r="T614" i="6"/>
  <c r="B615" i="6"/>
  <c r="C615" i="6"/>
  <c r="D615" i="6"/>
  <c r="E615" i="6"/>
  <c r="L615" i="6" s="1"/>
  <c r="F615" i="6"/>
  <c r="H615" i="6"/>
  <c r="I615" i="6"/>
  <c r="N615" i="6"/>
  <c r="Q615" i="6"/>
  <c r="R615" i="6"/>
  <c r="S615" i="6"/>
  <c r="T615" i="6"/>
  <c r="B616" i="6"/>
  <c r="C616" i="6"/>
  <c r="L616" i="6" s="1"/>
  <c r="D616" i="6"/>
  <c r="E616" i="6"/>
  <c r="F616" i="6"/>
  <c r="H616" i="6"/>
  <c r="I616" i="6"/>
  <c r="N616" i="6"/>
  <c r="R616" i="6"/>
  <c r="Q616" i="6" s="1"/>
  <c r="S616" i="6"/>
  <c r="T616" i="6"/>
  <c r="B617" i="6"/>
  <c r="C617" i="6"/>
  <c r="D617" i="6"/>
  <c r="E617" i="6"/>
  <c r="F617" i="6"/>
  <c r="H617" i="6"/>
  <c r="I617" i="6"/>
  <c r="L617" i="6" s="1"/>
  <c r="N617" i="6"/>
  <c r="Q617" i="6"/>
  <c r="S617" i="6" s="1"/>
  <c r="R617" i="6"/>
  <c r="T617" i="6"/>
  <c r="B618" i="6"/>
  <c r="C618" i="6"/>
  <c r="D618" i="6"/>
  <c r="E618" i="6"/>
  <c r="F618" i="6"/>
  <c r="H618" i="6"/>
  <c r="I618" i="6"/>
  <c r="N618" i="6"/>
  <c r="Q618" i="6"/>
  <c r="S618" i="6" s="1"/>
  <c r="R618" i="6"/>
  <c r="T618" i="6"/>
  <c r="B619" i="6"/>
  <c r="C619" i="6"/>
  <c r="D619" i="6"/>
  <c r="E619" i="6"/>
  <c r="F619" i="6"/>
  <c r="H619" i="6"/>
  <c r="I619" i="6"/>
  <c r="L619" i="6"/>
  <c r="N619" i="6"/>
  <c r="Q619" i="6"/>
  <c r="R619" i="6"/>
  <c r="S619" i="6"/>
  <c r="T619" i="6"/>
  <c r="B620" i="6"/>
  <c r="C620" i="6"/>
  <c r="D620" i="6"/>
  <c r="L620" i="6" s="1"/>
  <c r="E620" i="6"/>
  <c r="F620" i="6"/>
  <c r="H620" i="6"/>
  <c r="I620" i="6"/>
  <c r="N620" i="6"/>
  <c r="R620" i="6"/>
  <c r="Q620" i="6" s="1"/>
  <c r="S620" i="6" s="1"/>
  <c r="T620" i="6"/>
  <c r="B621" i="6"/>
  <c r="C621" i="6"/>
  <c r="D621" i="6"/>
  <c r="E621" i="6"/>
  <c r="F621" i="6"/>
  <c r="H621" i="6"/>
  <c r="I621" i="6"/>
  <c r="N621" i="6"/>
  <c r="Q621" i="6"/>
  <c r="S621" i="6" s="1"/>
  <c r="R621" i="6"/>
  <c r="T621" i="6"/>
  <c r="B622" i="6"/>
  <c r="C622" i="6"/>
  <c r="L622" i="6" s="1"/>
  <c r="D622" i="6"/>
  <c r="E622" i="6"/>
  <c r="F622" i="6"/>
  <c r="H622" i="6"/>
  <c r="I622" i="6"/>
  <c r="N622" i="6"/>
  <c r="R622" i="6"/>
  <c r="Q622" i="6" s="1"/>
  <c r="S622" i="6" s="1"/>
  <c r="T622" i="6"/>
  <c r="B623" i="6"/>
  <c r="C623" i="6"/>
  <c r="D623" i="6"/>
  <c r="E623" i="6"/>
  <c r="F623" i="6"/>
  <c r="H623" i="6"/>
  <c r="I623" i="6"/>
  <c r="L623" i="6"/>
  <c r="N623" i="6"/>
  <c r="Q623" i="6"/>
  <c r="S623" i="6" s="1"/>
  <c r="R623" i="6"/>
  <c r="T623" i="6"/>
  <c r="B624" i="6"/>
  <c r="C624" i="6"/>
  <c r="D624" i="6"/>
  <c r="E624" i="6"/>
  <c r="F624" i="6"/>
  <c r="H624" i="6"/>
  <c r="I624" i="6"/>
  <c r="N624" i="6"/>
  <c r="R624" i="6"/>
  <c r="Q624" i="6" s="1"/>
  <c r="S624" i="6" s="1"/>
  <c r="T624" i="6"/>
  <c r="B625" i="6"/>
  <c r="C625" i="6"/>
  <c r="D625" i="6"/>
  <c r="E625" i="6"/>
  <c r="F625" i="6"/>
  <c r="H625" i="6"/>
  <c r="L625" i="6" s="1"/>
  <c r="I625" i="6"/>
  <c r="N625" i="6"/>
  <c r="Q625" i="6"/>
  <c r="S625" i="6" s="1"/>
  <c r="R625" i="6"/>
  <c r="T625" i="6"/>
  <c r="B626" i="6"/>
  <c r="C626" i="6"/>
  <c r="L626" i="6" s="1"/>
  <c r="D626" i="6"/>
  <c r="E626" i="6"/>
  <c r="F626" i="6"/>
  <c r="H626" i="6"/>
  <c r="I626" i="6"/>
  <c r="N626" i="6"/>
  <c r="R626" i="6"/>
  <c r="Q626" i="6" s="1"/>
  <c r="S626" i="6" s="1"/>
  <c r="T626" i="6"/>
  <c r="B627" i="6"/>
  <c r="C627" i="6"/>
  <c r="D627" i="6"/>
  <c r="E627" i="6"/>
  <c r="F627" i="6"/>
  <c r="H627" i="6"/>
  <c r="I627" i="6"/>
  <c r="L627" i="6"/>
  <c r="N627" i="6"/>
  <c r="Q627" i="6"/>
  <c r="R627" i="6"/>
  <c r="S627" i="6"/>
  <c r="T627" i="6"/>
  <c r="B628" i="6"/>
  <c r="C628" i="6"/>
  <c r="D628" i="6"/>
  <c r="L628" i="6" s="1"/>
  <c r="E628" i="6"/>
  <c r="F628" i="6"/>
  <c r="H628" i="6"/>
  <c r="I628" i="6"/>
  <c r="N628" i="6"/>
  <c r="R628" i="6"/>
  <c r="Q628" i="6" s="1"/>
  <c r="S628" i="6" s="1"/>
  <c r="T628" i="6"/>
  <c r="B629" i="6"/>
  <c r="C629" i="6"/>
  <c r="D629" i="6"/>
  <c r="E629" i="6"/>
  <c r="F629" i="6"/>
  <c r="H629" i="6"/>
  <c r="I629" i="6"/>
  <c r="N629" i="6"/>
  <c r="Q629" i="6"/>
  <c r="S629" i="6" s="1"/>
  <c r="R629" i="6"/>
  <c r="T629" i="6"/>
  <c r="B630" i="6"/>
  <c r="C630" i="6"/>
  <c r="D630" i="6"/>
  <c r="E630" i="6"/>
  <c r="F630" i="6"/>
  <c r="H630" i="6"/>
  <c r="I630" i="6"/>
  <c r="N630" i="6"/>
  <c r="R630" i="6"/>
  <c r="Q630" i="6" s="1"/>
  <c r="S630" i="6" s="1"/>
  <c r="T630" i="6"/>
  <c r="B631" i="6"/>
  <c r="C631" i="6"/>
  <c r="L631" i="6" s="1"/>
  <c r="D631" i="6"/>
  <c r="E631" i="6"/>
  <c r="F631" i="6"/>
  <c r="H631" i="6"/>
  <c r="I631" i="6"/>
  <c r="N631" i="6"/>
  <c r="Q631" i="6"/>
  <c r="S631" i="6" s="1"/>
  <c r="R631" i="6"/>
  <c r="T631" i="6"/>
  <c r="B632" i="6"/>
  <c r="C632" i="6"/>
  <c r="D632" i="6"/>
  <c r="E632" i="6"/>
  <c r="F632" i="6"/>
  <c r="H632" i="6"/>
  <c r="I632" i="6"/>
  <c r="N632" i="6"/>
  <c r="R632" i="6"/>
  <c r="Q632" i="6" s="1"/>
  <c r="S632" i="6" s="1"/>
  <c r="T632" i="6"/>
  <c r="B633" i="6"/>
  <c r="C633" i="6"/>
  <c r="L633" i="6" s="1"/>
  <c r="D633" i="6"/>
  <c r="E633" i="6"/>
  <c r="F633" i="6"/>
  <c r="H633" i="6"/>
  <c r="I633" i="6"/>
  <c r="N633" i="6"/>
  <c r="Q633" i="6"/>
  <c r="S633" i="6" s="1"/>
  <c r="R633" i="6"/>
  <c r="T633" i="6"/>
  <c r="B634" i="6"/>
  <c r="C634" i="6"/>
  <c r="D634" i="6"/>
  <c r="E634" i="6"/>
  <c r="F634" i="6"/>
  <c r="H634" i="6"/>
  <c r="I634" i="6"/>
  <c r="N634" i="6"/>
  <c r="Q634" i="6"/>
  <c r="S634" i="6" s="1"/>
  <c r="R634" i="6"/>
  <c r="T634" i="6"/>
  <c r="B635" i="6"/>
  <c r="C635" i="6"/>
  <c r="D635" i="6"/>
  <c r="E635" i="6"/>
  <c r="F635" i="6"/>
  <c r="H635" i="6"/>
  <c r="I635" i="6"/>
  <c r="N635" i="6"/>
  <c r="Q635" i="6"/>
  <c r="R635" i="6"/>
  <c r="S635" i="6"/>
  <c r="T635" i="6"/>
  <c r="B636" i="6"/>
  <c r="C636" i="6"/>
  <c r="D636" i="6"/>
  <c r="L636" i="6" s="1"/>
  <c r="E636" i="6"/>
  <c r="F636" i="6"/>
  <c r="H636" i="6"/>
  <c r="I636" i="6"/>
  <c r="N636" i="6"/>
  <c r="R636" i="6"/>
  <c r="Q636" i="6" s="1"/>
  <c r="S636" i="6" s="1"/>
  <c r="T636" i="6"/>
  <c r="B637" i="6"/>
  <c r="C637" i="6"/>
  <c r="L637" i="6" s="1"/>
  <c r="D637" i="6"/>
  <c r="E637" i="6"/>
  <c r="F637" i="6"/>
  <c r="H637" i="6"/>
  <c r="I637" i="6"/>
  <c r="N637" i="6"/>
  <c r="R637" i="6"/>
  <c r="Q637" i="6" s="1"/>
  <c r="S637" i="6"/>
  <c r="T637" i="6"/>
  <c r="B638" i="6"/>
  <c r="C638" i="6"/>
  <c r="D638" i="6"/>
  <c r="E638" i="6"/>
  <c r="F638" i="6"/>
  <c r="H638" i="6"/>
  <c r="I638" i="6"/>
  <c r="N638" i="6"/>
  <c r="R638" i="6"/>
  <c r="Q638" i="6" s="1"/>
  <c r="S638" i="6" s="1"/>
  <c r="T638" i="6"/>
  <c r="B639" i="6"/>
  <c r="C639" i="6"/>
  <c r="D639" i="6"/>
  <c r="E639" i="6"/>
  <c r="L639" i="6" s="1"/>
  <c r="F639" i="6"/>
  <c r="H639" i="6"/>
  <c r="I639" i="6"/>
  <c r="N639" i="6"/>
  <c r="Q639" i="6"/>
  <c r="R639" i="6"/>
  <c r="S639" i="6"/>
  <c r="T639" i="6"/>
  <c r="B640" i="6"/>
  <c r="C640" i="6"/>
  <c r="D640" i="6"/>
  <c r="E640" i="6"/>
  <c r="F640" i="6"/>
  <c r="H640" i="6"/>
  <c r="I640" i="6"/>
  <c r="N640" i="6"/>
  <c r="R640" i="6"/>
  <c r="Q640" i="6" s="1"/>
  <c r="S640" i="6" s="1"/>
  <c r="T640" i="6"/>
  <c r="B641" i="6"/>
  <c r="C641" i="6"/>
  <c r="D641" i="6"/>
  <c r="E641" i="6"/>
  <c r="F641" i="6"/>
  <c r="H641" i="6"/>
  <c r="I641" i="6"/>
  <c r="L641" i="6"/>
  <c r="N641" i="6"/>
  <c r="Q641" i="6"/>
  <c r="S641" i="6" s="1"/>
  <c r="R641" i="6"/>
  <c r="T641" i="6"/>
  <c r="B642" i="6"/>
  <c r="C642" i="6"/>
  <c r="L642" i="6" s="1"/>
  <c r="D642" i="6"/>
  <c r="E642" i="6"/>
  <c r="F642" i="6"/>
  <c r="H642" i="6"/>
  <c r="I642" i="6"/>
  <c r="N642" i="6"/>
  <c r="Q642" i="6"/>
  <c r="S642" i="6" s="1"/>
  <c r="R642" i="6"/>
  <c r="T642" i="6"/>
  <c r="B643" i="6"/>
  <c r="C643" i="6"/>
  <c r="D643" i="6"/>
  <c r="E643" i="6"/>
  <c r="F643" i="6"/>
  <c r="H643" i="6"/>
  <c r="I643" i="6"/>
  <c r="N643" i="6"/>
  <c r="Q643" i="6"/>
  <c r="R643" i="6"/>
  <c r="S643" i="6"/>
  <c r="T643" i="6"/>
  <c r="B644" i="6"/>
  <c r="C644" i="6"/>
  <c r="D644" i="6"/>
  <c r="E644" i="6"/>
  <c r="F644" i="6"/>
  <c r="H644" i="6"/>
  <c r="I644" i="6"/>
  <c r="L644" i="6"/>
  <c r="N644" i="6"/>
  <c r="R644" i="6"/>
  <c r="Q644" i="6" s="1"/>
  <c r="S644" i="6" s="1"/>
  <c r="T644" i="6"/>
  <c r="B645" i="6"/>
  <c r="C645" i="6"/>
  <c r="D645" i="6"/>
  <c r="E645" i="6"/>
  <c r="F645" i="6"/>
  <c r="H645" i="6"/>
  <c r="I645" i="6"/>
  <c r="N645" i="6"/>
  <c r="Q645" i="6"/>
  <c r="S645" i="6" s="1"/>
  <c r="R645" i="6"/>
  <c r="T645" i="6"/>
  <c r="B646" i="6"/>
  <c r="C646" i="6"/>
  <c r="D646" i="6"/>
  <c r="E646" i="6"/>
  <c r="F646" i="6"/>
  <c r="H646" i="6"/>
  <c r="I646" i="6"/>
  <c r="N646" i="6"/>
  <c r="R646" i="6"/>
  <c r="Q646" i="6" s="1"/>
  <c r="S646" i="6" s="1"/>
  <c r="T646" i="6"/>
  <c r="B647" i="6"/>
  <c r="C647" i="6"/>
  <c r="D647" i="6"/>
  <c r="E647" i="6"/>
  <c r="F647" i="6"/>
  <c r="H647" i="6"/>
  <c r="I647" i="6"/>
  <c r="L647" i="6"/>
  <c r="N647" i="6"/>
  <c r="Q647" i="6"/>
  <c r="R647" i="6"/>
  <c r="S647" i="6"/>
  <c r="T647" i="6"/>
  <c r="B648" i="6"/>
  <c r="C648" i="6"/>
  <c r="D648" i="6"/>
  <c r="E648" i="6"/>
  <c r="F648" i="6"/>
  <c r="H648" i="6"/>
  <c r="I648" i="6"/>
  <c r="N648" i="6"/>
  <c r="R648" i="6"/>
  <c r="Q648" i="6" s="1"/>
  <c r="S648" i="6"/>
  <c r="T648" i="6"/>
  <c r="B649" i="6"/>
  <c r="C649" i="6"/>
  <c r="D649" i="6"/>
  <c r="E649" i="6"/>
  <c r="F649" i="6"/>
  <c r="H649" i="6"/>
  <c r="I649" i="6"/>
  <c r="L649" i="6"/>
  <c r="N649" i="6"/>
  <c r="Q649" i="6"/>
  <c r="S649" i="6" s="1"/>
  <c r="R649" i="6"/>
  <c r="T649" i="6"/>
  <c r="B650" i="6"/>
  <c r="C650" i="6"/>
  <c r="D650" i="6"/>
  <c r="E650" i="6"/>
  <c r="F650" i="6"/>
  <c r="H650" i="6"/>
  <c r="I650" i="6"/>
  <c r="N650" i="6"/>
  <c r="R650" i="6"/>
  <c r="Q650" i="6" s="1"/>
  <c r="S650" i="6" s="1"/>
  <c r="T650" i="6"/>
  <c r="B651" i="6"/>
  <c r="C651" i="6"/>
  <c r="D651" i="6"/>
  <c r="E651" i="6"/>
  <c r="L651" i="6" s="1"/>
  <c r="F651" i="6"/>
  <c r="H651" i="6"/>
  <c r="I651" i="6"/>
  <c r="N651" i="6"/>
  <c r="Q651" i="6"/>
  <c r="R651" i="6"/>
  <c r="S651" i="6"/>
  <c r="T651" i="6"/>
  <c r="B652" i="6"/>
  <c r="C652" i="6"/>
  <c r="D652" i="6"/>
  <c r="E652" i="6"/>
  <c r="F652" i="6"/>
  <c r="H652" i="6"/>
  <c r="I652" i="6"/>
  <c r="N652" i="6"/>
  <c r="R652" i="6"/>
  <c r="Q652" i="6" s="1"/>
  <c r="S652" i="6" s="1"/>
  <c r="T652" i="6"/>
  <c r="B653" i="6"/>
  <c r="C653" i="6"/>
  <c r="D653" i="6"/>
  <c r="E653" i="6"/>
  <c r="F653" i="6"/>
  <c r="H653" i="6"/>
  <c r="I653" i="6"/>
  <c r="N653" i="6"/>
  <c r="R653" i="6"/>
  <c r="Q653" i="6" s="1"/>
  <c r="S653" i="6" s="1"/>
  <c r="T653" i="6"/>
  <c r="B654" i="6"/>
  <c r="C654" i="6"/>
  <c r="D654" i="6"/>
  <c r="E654" i="6"/>
  <c r="F654" i="6"/>
  <c r="H654" i="6"/>
  <c r="I654" i="6"/>
  <c r="N654" i="6"/>
  <c r="R654" i="6"/>
  <c r="Q654" i="6" s="1"/>
  <c r="S654" i="6" s="1"/>
  <c r="T654" i="6"/>
  <c r="B655" i="6"/>
  <c r="C655" i="6"/>
  <c r="D655" i="6"/>
  <c r="E655" i="6"/>
  <c r="F655" i="6"/>
  <c r="H655" i="6"/>
  <c r="I655" i="6"/>
  <c r="N655" i="6"/>
  <c r="Q655" i="6"/>
  <c r="R655" i="6"/>
  <c r="S655" i="6"/>
  <c r="T655" i="6"/>
  <c r="B656" i="6"/>
  <c r="C656" i="6"/>
  <c r="D656" i="6"/>
  <c r="E656" i="6"/>
  <c r="F656" i="6"/>
  <c r="H656" i="6"/>
  <c r="I656" i="6"/>
  <c r="N656" i="6"/>
  <c r="R656" i="6"/>
  <c r="Q656" i="6" s="1"/>
  <c r="S656" i="6" s="1"/>
  <c r="T656" i="6"/>
  <c r="B657" i="6"/>
  <c r="C657" i="6"/>
  <c r="L657" i="6" s="1"/>
  <c r="D657" i="6"/>
  <c r="E657" i="6"/>
  <c r="F657" i="6"/>
  <c r="H657" i="6"/>
  <c r="I657" i="6"/>
  <c r="N657" i="6"/>
  <c r="Q657" i="6"/>
  <c r="S657" i="6" s="1"/>
  <c r="R657" i="6"/>
  <c r="T657" i="6"/>
  <c r="B658" i="6"/>
  <c r="C658" i="6"/>
  <c r="L658" i="6" s="1"/>
  <c r="D658" i="6"/>
  <c r="E658" i="6"/>
  <c r="F658" i="6"/>
  <c r="H658" i="6"/>
  <c r="I658" i="6"/>
  <c r="N658" i="6"/>
  <c r="R658" i="6"/>
  <c r="Q658" i="6" s="1"/>
  <c r="S658" i="6" s="1"/>
  <c r="T658" i="6"/>
  <c r="B659" i="6"/>
  <c r="C659" i="6"/>
  <c r="D659" i="6"/>
  <c r="E659" i="6"/>
  <c r="L659" i="6" s="1"/>
  <c r="F659" i="6"/>
  <c r="H659" i="6"/>
  <c r="I659" i="6"/>
  <c r="N659" i="6"/>
  <c r="Q659" i="6"/>
  <c r="R659" i="6"/>
  <c r="S659" i="6"/>
  <c r="T659" i="6"/>
  <c r="B660" i="6"/>
  <c r="C660" i="6"/>
  <c r="D660" i="6"/>
  <c r="E660" i="6"/>
  <c r="F660" i="6"/>
  <c r="H660" i="6"/>
  <c r="I660" i="6"/>
  <c r="L660" i="6"/>
  <c r="N660" i="6"/>
  <c r="R660" i="6"/>
  <c r="Q660" i="6" s="1"/>
  <c r="S660" i="6" s="1"/>
  <c r="T660" i="6"/>
  <c r="B661" i="6"/>
  <c r="C661" i="6"/>
  <c r="D661" i="6"/>
  <c r="E661" i="6"/>
  <c r="F661" i="6"/>
  <c r="H661" i="6"/>
  <c r="I661" i="6"/>
  <c r="N661" i="6"/>
  <c r="R661" i="6"/>
  <c r="Q661" i="6" s="1"/>
  <c r="S661" i="6" s="1"/>
  <c r="T661" i="6"/>
  <c r="B662" i="6"/>
  <c r="C662" i="6"/>
  <c r="D662" i="6"/>
  <c r="E662" i="6"/>
  <c r="F662" i="6"/>
  <c r="H662" i="6"/>
  <c r="I662" i="6"/>
  <c r="N662" i="6"/>
  <c r="R662" i="6"/>
  <c r="Q662" i="6" s="1"/>
  <c r="S662" i="6" s="1"/>
  <c r="T662" i="6"/>
  <c r="B663" i="6"/>
  <c r="C663" i="6"/>
  <c r="L663" i="6" s="1"/>
  <c r="D663" i="6"/>
  <c r="E663" i="6"/>
  <c r="F663" i="6"/>
  <c r="H663" i="6"/>
  <c r="I663" i="6"/>
  <c r="N663" i="6"/>
  <c r="Q663" i="6"/>
  <c r="R663" i="6"/>
  <c r="S663" i="6"/>
  <c r="T663" i="6"/>
  <c r="B664" i="6"/>
  <c r="C664" i="6"/>
  <c r="D664" i="6"/>
  <c r="E664" i="6"/>
  <c r="F664" i="6"/>
  <c r="H664" i="6"/>
  <c r="I664" i="6"/>
  <c r="N664" i="6"/>
  <c r="R664" i="6"/>
  <c r="Q664" i="6" s="1"/>
  <c r="S664" i="6"/>
  <c r="T664" i="6"/>
  <c r="B665" i="6"/>
  <c r="C665" i="6"/>
  <c r="L665" i="6" s="1"/>
  <c r="D665" i="6"/>
  <c r="E665" i="6"/>
  <c r="F665" i="6"/>
  <c r="H665" i="6"/>
  <c r="I665" i="6"/>
  <c r="N665" i="6"/>
  <c r="Q665" i="6"/>
  <c r="S665" i="6" s="1"/>
  <c r="R665" i="6"/>
  <c r="T665" i="6"/>
  <c r="B666" i="6"/>
  <c r="C666" i="6"/>
  <c r="L666" i="6" s="1"/>
  <c r="D666" i="6"/>
  <c r="E666" i="6"/>
  <c r="F666" i="6"/>
  <c r="H666" i="6"/>
  <c r="I666" i="6"/>
  <c r="N666" i="6"/>
  <c r="R666" i="6"/>
  <c r="Q666" i="6" s="1"/>
  <c r="S666" i="6" s="1"/>
  <c r="T666" i="6"/>
  <c r="B667" i="6"/>
  <c r="C667" i="6"/>
  <c r="D667" i="6"/>
  <c r="E667" i="6"/>
  <c r="F667" i="6"/>
  <c r="H667" i="6"/>
  <c r="I667" i="6"/>
  <c r="L667" i="6"/>
  <c r="N667" i="6"/>
  <c r="Q667" i="6"/>
  <c r="R667" i="6"/>
  <c r="S667" i="6"/>
  <c r="T667" i="6"/>
  <c r="B668" i="6"/>
  <c r="C668" i="6"/>
  <c r="D668" i="6"/>
  <c r="L668" i="6" s="1"/>
  <c r="E668" i="6"/>
  <c r="F668" i="6"/>
  <c r="H668" i="6"/>
  <c r="I668" i="6"/>
  <c r="N668" i="6"/>
  <c r="R668" i="6"/>
  <c r="Q668" i="6" s="1"/>
  <c r="S668" i="6" s="1"/>
  <c r="T668" i="6"/>
  <c r="B669" i="6"/>
  <c r="C669" i="6"/>
  <c r="D669" i="6"/>
  <c r="E669" i="6"/>
  <c r="F669" i="6"/>
  <c r="H669" i="6"/>
  <c r="I669" i="6"/>
  <c r="N669" i="6"/>
  <c r="R669" i="6"/>
  <c r="Q669" i="6" s="1"/>
  <c r="S669" i="6" s="1"/>
  <c r="T669" i="6"/>
  <c r="B670" i="6"/>
  <c r="C670" i="6"/>
  <c r="L670" i="6" s="1"/>
  <c r="D670" i="6"/>
  <c r="E670" i="6"/>
  <c r="F670" i="6"/>
  <c r="H670" i="6"/>
  <c r="I670" i="6"/>
  <c r="N670" i="6"/>
  <c r="R670" i="6"/>
  <c r="Q670" i="6" s="1"/>
  <c r="S670" i="6" s="1"/>
  <c r="T670" i="6"/>
  <c r="B671" i="6"/>
  <c r="C671" i="6"/>
  <c r="D671" i="6"/>
  <c r="E671" i="6"/>
  <c r="F671" i="6"/>
  <c r="H671" i="6"/>
  <c r="I671" i="6"/>
  <c r="L671" i="6"/>
  <c r="N671" i="6"/>
  <c r="Q671" i="6"/>
  <c r="S671" i="6" s="1"/>
  <c r="R671" i="6"/>
  <c r="T671" i="6"/>
  <c r="B672" i="6"/>
  <c r="C672" i="6"/>
  <c r="D672" i="6"/>
  <c r="E672" i="6"/>
  <c r="F672" i="6"/>
  <c r="H672" i="6"/>
  <c r="I672" i="6"/>
  <c r="N672" i="6"/>
  <c r="R672" i="6"/>
  <c r="Q672" i="6" s="1"/>
  <c r="S672" i="6"/>
  <c r="T672" i="6"/>
  <c r="B673" i="6"/>
  <c r="C673" i="6"/>
  <c r="D673" i="6"/>
  <c r="E673" i="6"/>
  <c r="F673" i="6"/>
  <c r="H673" i="6"/>
  <c r="I673" i="6"/>
  <c r="L673" i="6"/>
  <c r="N673" i="6"/>
  <c r="Q673" i="6"/>
  <c r="S673" i="6" s="1"/>
  <c r="R673" i="6"/>
  <c r="T673" i="6"/>
  <c r="B674" i="6"/>
  <c r="C674" i="6"/>
  <c r="D674" i="6"/>
  <c r="E674" i="6"/>
  <c r="F674" i="6"/>
  <c r="H674" i="6"/>
  <c r="I674" i="6"/>
  <c r="N674" i="6"/>
  <c r="Q674" i="6"/>
  <c r="S674" i="6" s="1"/>
  <c r="R674" i="6"/>
  <c r="T674" i="6"/>
  <c r="B675" i="6"/>
  <c r="C675" i="6"/>
  <c r="D675" i="6"/>
  <c r="E675" i="6"/>
  <c r="F675" i="6"/>
  <c r="L675" i="6" s="1"/>
  <c r="H675" i="6"/>
  <c r="I675" i="6"/>
  <c r="N675" i="6"/>
  <c r="Q675" i="6"/>
  <c r="R675" i="6"/>
  <c r="S675" i="6"/>
  <c r="T675" i="6"/>
  <c r="B676" i="6"/>
  <c r="C676" i="6"/>
  <c r="D676" i="6"/>
  <c r="E676" i="6"/>
  <c r="F676" i="6"/>
  <c r="H676" i="6"/>
  <c r="I676" i="6"/>
  <c r="L676" i="6"/>
  <c r="N676" i="6"/>
  <c r="R676" i="6"/>
  <c r="Q676" i="6" s="1"/>
  <c r="S676" i="6" s="1"/>
  <c r="T676" i="6"/>
  <c r="B677" i="6"/>
  <c r="C677" i="6"/>
  <c r="L677" i="6" s="1"/>
  <c r="D677" i="6"/>
  <c r="E677" i="6"/>
  <c r="F677" i="6"/>
  <c r="H677" i="6"/>
  <c r="I677" i="6"/>
  <c r="N677" i="6"/>
  <c r="R677" i="6"/>
  <c r="Q677" i="6" s="1"/>
  <c r="S677" i="6"/>
  <c r="T677" i="6"/>
  <c r="B678" i="6"/>
  <c r="C678" i="6"/>
  <c r="D678" i="6"/>
  <c r="E678" i="6"/>
  <c r="F678" i="6"/>
  <c r="H678" i="6"/>
  <c r="I678" i="6"/>
  <c r="N678" i="6"/>
  <c r="R678" i="6"/>
  <c r="Q678" i="6" s="1"/>
  <c r="S678" i="6" s="1"/>
  <c r="T678" i="6"/>
  <c r="B679" i="6"/>
  <c r="C679" i="6"/>
  <c r="D679" i="6"/>
  <c r="E679" i="6"/>
  <c r="L679" i="6" s="1"/>
  <c r="F679" i="6"/>
  <c r="H679" i="6"/>
  <c r="I679" i="6"/>
  <c r="N679" i="6"/>
  <c r="Q679" i="6"/>
  <c r="R679" i="6"/>
  <c r="S679" i="6"/>
  <c r="T679" i="6"/>
  <c r="B680" i="6"/>
  <c r="C680" i="6"/>
  <c r="L680" i="6" s="1"/>
  <c r="D680" i="6"/>
  <c r="E680" i="6"/>
  <c r="F680" i="6"/>
  <c r="H680" i="6"/>
  <c r="I680" i="6"/>
  <c r="N680" i="6"/>
  <c r="R680" i="6"/>
  <c r="Q680" i="6" s="1"/>
  <c r="S680" i="6"/>
  <c r="T680" i="6"/>
  <c r="B681" i="6"/>
  <c r="C681" i="6"/>
  <c r="D681" i="6"/>
  <c r="E681" i="6"/>
  <c r="F681" i="6"/>
  <c r="H681" i="6"/>
  <c r="I681" i="6"/>
  <c r="L681" i="6" s="1"/>
  <c r="N681" i="6"/>
  <c r="Q681" i="6"/>
  <c r="R681" i="6"/>
  <c r="S681" i="6"/>
  <c r="T681" i="6"/>
  <c r="B682" i="6"/>
  <c r="C682" i="6"/>
  <c r="L682" i="6" s="1"/>
  <c r="D682" i="6"/>
  <c r="E682" i="6"/>
  <c r="F682" i="6"/>
  <c r="H682" i="6"/>
  <c r="I682" i="6"/>
  <c r="N682" i="6"/>
  <c r="R682" i="6"/>
  <c r="Q682" i="6" s="1"/>
  <c r="S682" i="6" s="1"/>
  <c r="T682" i="6"/>
  <c r="B683" i="6"/>
  <c r="C683" i="6"/>
  <c r="D683" i="6"/>
  <c r="E683" i="6"/>
  <c r="F683" i="6"/>
  <c r="H683" i="6"/>
  <c r="I683" i="6"/>
  <c r="N683" i="6"/>
  <c r="Q683" i="6"/>
  <c r="R683" i="6"/>
  <c r="S683" i="6"/>
  <c r="T683" i="6"/>
  <c r="B684" i="6"/>
  <c r="C684" i="6"/>
  <c r="D684" i="6"/>
  <c r="E684" i="6"/>
  <c r="F684" i="6"/>
  <c r="H684" i="6"/>
  <c r="I684" i="6"/>
  <c r="L684" i="6" s="1"/>
  <c r="N684" i="6"/>
  <c r="R684" i="6"/>
  <c r="Q684" i="6" s="1"/>
  <c r="S684" i="6" s="1"/>
  <c r="T684" i="6"/>
  <c r="B685" i="6"/>
  <c r="C685" i="6"/>
  <c r="D685" i="6"/>
  <c r="E685" i="6"/>
  <c r="F685" i="6"/>
  <c r="H685" i="6"/>
  <c r="I685" i="6"/>
  <c r="L685" i="6"/>
  <c r="N685" i="6"/>
  <c r="R685" i="6"/>
  <c r="Q685" i="6" s="1"/>
  <c r="S685" i="6" s="1"/>
  <c r="T685" i="6"/>
  <c r="B686" i="6"/>
  <c r="C686" i="6"/>
  <c r="D686" i="6"/>
  <c r="E686" i="6"/>
  <c r="F686" i="6"/>
  <c r="H686" i="6"/>
  <c r="I686" i="6"/>
  <c r="N686" i="6"/>
  <c r="R686" i="6"/>
  <c r="Q686" i="6" s="1"/>
  <c r="S686" i="6" s="1"/>
  <c r="T686" i="6"/>
  <c r="B687" i="6"/>
  <c r="C687" i="6"/>
  <c r="D687" i="6"/>
  <c r="E687" i="6"/>
  <c r="L687" i="6" s="1"/>
  <c r="F687" i="6"/>
  <c r="H687" i="6"/>
  <c r="I687" i="6"/>
  <c r="N687" i="6"/>
  <c r="Q687" i="6"/>
  <c r="R687" i="6"/>
  <c r="S687" i="6"/>
  <c r="T687" i="6"/>
  <c r="B688" i="6"/>
  <c r="C688" i="6"/>
  <c r="D688" i="6"/>
  <c r="E688" i="6"/>
  <c r="F688" i="6"/>
  <c r="H688" i="6"/>
  <c r="I688" i="6"/>
  <c r="N688" i="6"/>
  <c r="R688" i="6"/>
  <c r="Q688" i="6" s="1"/>
  <c r="S688" i="6" s="1"/>
  <c r="T688" i="6"/>
  <c r="B689" i="6"/>
  <c r="C689" i="6"/>
  <c r="D689" i="6"/>
  <c r="E689" i="6"/>
  <c r="L689" i="6" s="1"/>
  <c r="F689" i="6"/>
  <c r="H689" i="6"/>
  <c r="I689" i="6"/>
  <c r="N689" i="6"/>
  <c r="Q689" i="6"/>
  <c r="R689" i="6"/>
  <c r="S689" i="6"/>
  <c r="T689" i="6"/>
  <c r="B690" i="6"/>
  <c r="C690" i="6"/>
  <c r="D690" i="6"/>
  <c r="E690" i="6"/>
  <c r="F690" i="6"/>
  <c r="H690" i="6"/>
  <c r="I690" i="6"/>
  <c r="N690" i="6"/>
  <c r="Q690" i="6"/>
  <c r="S690" i="6" s="1"/>
  <c r="R690" i="6"/>
  <c r="T690" i="6"/>
  <c r="B691" i="6"/>
  <c r="C691" i="6"/>
  <c r="D691" i="6"/>
  <c r="E691" i="6"/>
  <c r="F691" i="6"/>
  <c r="H691" i="6"/>
  <c r="I691" i="6"/>
  <c r="N691" i="6"/>
  <c r="Q691" i="6"/>
  <c r="R691" i="6"/>
  <c r="S691" i="6"/>
  <c r="T691" i="6"/>
  <c r="B692" i="6"/>
  <c r="C692" i="6"/>
  <c r="D692" i="6"/>
  <c r="E692" i="6"/>
  <c r="F692" i="6"/>
  <c r="H692" i="6"/>
  <c r="I692" i="6"/>
  <c r="L692" i="6"/>
  <c r="N692" i="6"/>
  <c r="R692" i="6"/>
  <c r="Q692" i="6" s="1"/>
  <c r="S692" i="6" s="1"/>
  <c r="T692" i="6"/>
  <c r="B693" i="6"/>
  <c r="C693" i="6"/>
  <c r="D693" i="6"/>
  <c r="L693" i="6" s="1"/>
  <c r="E693" i="6"/>
  <c r="F693" i="6"/>
  <c r="H693" i="6"/>
  <c r="I693" i="6"/>
  <c r="N693" i="6"/>
  <c r="R693" i="6"/>
  <c r="Q693" i="6" s="1"/>
  <c r="S693" i="6"/>
  <c r="T693" i="6"/>
  <c r="B694" i="6"/>
  <c r="C694" i="6"/>
  <c r="D694" i="6"/>
  <c r="E694" i="6"/>
  <c r="F694" i="6"/>
  <c r="H694" i="6"/>
  <c r="I694" i="6"/>
  <c r="N694" i="6"/>
  <c r="R694" i="6"/>
  <c r="Q694" i="6" s="1"/>
  <c r="S694" i="6" s="1"/>
  <c r="T694" i="6"/>
  <c r="B695" i="6"/>
  <c r="C695" i="6"/>
  <c r="D695" i="6"/>
  <c r="E695" i="6"/>
  <c r="F695" i="6"/>
  <c r="H695" i="6"/>
  <c r="I695" i="6"/>
  <c r="N695" i="6"/>
  <c r="Q695" i="6"/>
  <c r="S695" i="6" s="1"/>
  <c r="R695" i="6"/>
  <c r="T695" i="6"/>
  <c r="B696" i="6"/>
  <c r="C696" i="6"/>
  <c r="L696" i="6" s="1"/>
  <c r="D696" i="6"/>
  <c r="E696" i="6"/>
  <c r="F696" i="6"/>
  <c r="H696" i="6"/>
  <c r="I696" i="6"/>
  <c r="N696" i="6"/>
  <c r="R696" i="6"/>
  <c r="Q696" i="6" s="1"/>
  <c r="S696" i="6" s="1"/>
  <c r="T696" i="6"/>
  <c r="B697" i="6"/>
  <c r="C697" i="6"/>
  <c r="D697" i="6"/>
  <c r="E697" i="6"/>
  <c r="F697" i="6"/>
  <c r="H697" i="6"/>
  <c r="I697" i="6"/>
  <c r="N697" i="6"/>
  <c r="Q697" i="6"/>
  <c r="R697" i="6"/>
  <c r="S697" i="6"/>
  <c r="T697" i="6"/>
  <c r="B698" i="6"/>
  <c r="C698" i="6"/>
  <c r="L698" i="6" s="1"/>
  <c r="D698" i="6"/>
  <c r="E698" i="6"/>
  <c r="F698" i="6"/>
  <c r="H698" i="6"/>
  <c r="I698" i="6"/>
  <c r="N698" i="6"/>
  <c r="R698" i="6"/>
  <c r="Q698" i="6" s="1"/>
  <c r="S698" i="6" s="1"/>
  <c r="T698" i="6"/>
  <c r="B699" i="6"/>
  <c r="C699" i="6"/>
  <c r="D699" i="6"/>
  <c r="E699" i="6"/>
  <c r="F699" i="6"/>
  <c r="H699" i="6"/>
  <c r="I699" i="6"/>
  <c r="N699" i="6"/>
  <c r="Q699" i="6"/>
  <c r="S699" i="6" s="1"/>
  <c r="R699" i="6"/>
  <c r="T699" i="6"/>
  <c r="B700" i="6"/>
  <c r="C700" i="6"/>
  <c r="D700" i="6"/>
  <c r="E700" i="6"/>
  <c r="F700" i="6"/>
  <c r="L700" i="6" s="1"/>
  <c r="H700" i="6"/>
  <c r="I700" i="6"/>
  <c r="N700" i="6"/>
  <c r="R700" i="6"/>
  <c r="Q700" i="6" s="1"/>
  <c r="S700" i="6" s="1"/>
  <c r="T700" i="6"/>
  <c r="B701" i="6"/>
  <c r="C701" i="6"/>
  <c r="L701" i="6" s="1"/>
  <c r="D701" i="6"/>
  <c r="E701" i="6"/>
  <c r="F701" i="6"/>
  <c r="H701" i="6"/>
  <c r="I701" i="6"/>
  <c r="N701" i="6"/>
  <c r="Q701" i="6"/>
  <c r="S701" i="6" s="1"/>
  <c r="R701" i="6"/>
  <c r="T701" i="6"/>
  <c r="B702" i="6"/>
  <c r="C702" i="6"/>
  <c r="D702" i="6"/>
  <c r="E702" i="6"/>
  <c r="F702" i="6"/>
  <c r="H702" i="6"/>
  <c r="I702" i="6"/>
  <c r="N702" i="6"/>
  <c r="R702" i="6"/>
  <c r="Q702" i="6" s="1"/>
  <c r="S702" i="6" s="1"/>
  <c r="T702" i="6"/>
  <c r="B703" i="6"/>
  <c r="C703" i="6"/>
  <c r="L703" i="6" s="1"/>
  <c r="D703" i="6"/>
  <c r="E703" i="6"/>
  <c r="F703" i="6"/>
  <c r="H703" i="6"/>
  <c r="I703" i="6"/>
  <c r="N703" i="6"/>
  <c r="Q703" i="6"/>
  <c r="S703" i="6" s="1"/>
  <c r="R703" i="6"/>
  <c r="T703" i="6"/>
  <c r="B704" i="6"/>
  <c r="C704" i="6"/>
  <c r="L704" i="6" s="1"/>
  <c r="D704" i="6"/>
  <c r="E704" i="6"/>
  <c r="F704" i="6"/>
  <c r="H704" i="6"/>
  <c r="I704" i="6"/>
  <c r="N704" i="6"/>
  <c r="R704" i="6"/>
  <c r="Q704" i="6" s="1"/>
  <c r="S704" i="6"/>
  <c r="T704" i="6"/>
  <c r="B705" i="6"/>
  <c r="C705" i="6"/>
  <c r="D705" i="6"/>
  <c r="E705" i="6"/>
  <c r="F705" i="6"/>
  <c r="H705" i="6"/>
  <c r="I705" i="6"/>
  <c r="N705" i="6"/>
  <c r="Q705" i="6"/>
  <c r="S705" i="6" s="1"/>
  <c r="R705" i="6"/>
  <c r="T705" i="6"/>
  <c r="B706" i="6"/>
  <c r="C706" i="6"/>
  <c r="D706" i="6"/>
  <c r="E706" i="6"/>
  <c r="F706" i="6"/>
  <c r="H706" i="6"/>
  <c r="I706" i="6"/>
  <c r="N706" i="6"/>
  <c r="Q706" i="6"/>
  <c r="S706" i="6" s="1"/>
  <c r="R706" i="6"/>
  <c r="T706" i="6"/>
  <c r="B707" i="6"/>
  <c r="C707" i="6"/>
  <c r="D707" i="6"/>
  <c r="E707" i="6"/>
  <c r="F707" i="6"/>
  <c r="H707" i="6"/>
  <c r="I707" i="6"/>
  <c r="L707" i="6"/>
  <c r="N707" i="6"/>
  <c r="Q707" i="6"/>
  <c r="S707" i="6" s="1"/>
  <c r="R707" i="6"/>
  <c r="T707" i="6"/>
  <c r="B708" i="6"/>
  <c r="C708" i="6"/>
  <c r="D708" i="6"/>
  <c r="E708" i="6"/>
  <c r="F708" i="6"/>
  <c r="H708" i="6"/>
  <c r="I708" i="6"/>
  <c r="L708" i="6"/>
  <c r="N708" i="6"/>
  <c r="R708" i="6"/>
  <c r="Q708" i="6" s="1"/>
  <c r="S708" i="6" s="1"/>
  <c r="T708" i="6"/>
  <c r="B709" i="6"/>
  <c r="C709" i="6"/>
  <c r="L709" i="6" s="1"/>
  <c r="D709" i="6"/>
  <c r="E709" i="6"/>
  <c r="F709" i="6"/>
  <c r="H709" i="6"/>
  <c r="I709" i="6"/>
  <c r="N709" i="6"/>
  <c r="Q709" i="6"/>
  <c r="S709" i="6" s="1"/>
  <c r="R709" i="6"/>
  <c r="T709" i="6"/>
  <c r="B710" i="6"/>
  <c r="C710" i="6"/>
  <c r="D710" i="6"/>
  <c r="E710" i="6"/>
  <c r="F710" i="6"/>
  <c r="H710" i="6"/>
  <c r="I710" i="6"/>
  <c r="N710" i="6"/>
  <c r="R710" i="6"/>
  <c r="Q710" i="6" s="1"/>
  <c r="S710" i="6" s="1"/>
  <c r="T710" i="6"/>
  <c r="B711" i="6"/>
  <c r="C711" i="6"/>
  <c r="D711" i="6"/>
  <c r="E711" i="6"/>
  <c r="F711" i="6"/>
  <c r="H711" i="6"/>
  <c r="I711" i="6"/>
  <c r="L711" i="6" s="1"/>
  <c r="N711" i="6"/>
  <c r="Q711" i="6"/>
  <c r="R711" i="6"/>
  <c r="S711" i="6"/>
  <c r="T711" i="6"/>
  <c r="B712" i="6"/>
  <c r="C712" i="6"/>
  <c r="L712" i="6" s="1"/>
  <c r="D712" i="6"/>
  <c r="E712" i="6"/>
  <c r="F712" i="6"/>
  <c r="H712" i="6"/>
  <c r="I712" i="6"/>
  <c r="N712" i="6"/>
  <c r="R712" i="6"/>
  <c r="Q712" i="6" s="1"/>
  <c r="S712" i="6"/>
  <c r="T712" i="6"/>
  <c r="B713" i="6"/>
  <c r="C713" i="6"/>
  <c r="L713" i="6" s="1"/>
  <c r="D713" i="6"/>
  <c r="E713" i="6"/>
  <c r="F713" i="6"/>
  <c r="H713" i="6"/>
  <c r="I713" i="6"/>
  <c r="N713" i="6"/>
  <c r="Q713" i="6"/>
  <c r="S713" i="6" s="1"/>
  <c r="R713" i="6"/>
  <c r="T713" i="6"/>
  <c r="B714" i="6"/>
  <c r="C714" i="6"/>
  <c r="D714" i="6"/>
  <c r="E714" i="6"/>
  <c r="F714" i="6"/>
  <c r="H714" i="6"/>
  <c r="I714" i="6"/>
  <c r="N714" i="6"/>
  <c r="Q714" i="6"/>
  <c r="S714" i="6" s="1"/>
  <c r="R714" i="6"/>
  <c r="T714" i="6"/>
  <c r="B715" i="6"/>
  <c r="C715" i="6"/>
  <c r="D715" i="6"/>
  <c r="E715" i="6"/>
  <c r="F715" i="6"/>
  <c r="H715" i="6"/>
  <c r="I715" i="6"/>
  <c r="N715" i="6"/>
  <c r="Q715" i="6"/>
  <c r="R715" i="6"/>
  <c r="S715" i="6"/>
  <c r="T715" i="6"/>
  <c r="B716" i="6"/>
  <c r="C716" i="6"/>
  <c r="D716" i="6"/>
  <c r="E716" i="6"/>
  <c r="F716" i="6"/>
  <c r="H716" i="6"/>
  <c r="I716" i="6"/>
  <c r="L716" i="6" s="1"/>
  <c r="N716" i="6"/>
  <c r="R716" i="6"/>
  <c r="Q716" i="6" s="1"/>
  <c r="S716" i="6" s="1"/>
  <c r="T716" i="6"/>
  <c r="B717" i="6"/>
  <c r="C717" i="6"/>
  <c r="D717" i="6"/>
  <c r="E717" i="6"/>
  <c r="F717" i="6"/>
  <c r="H717" i="6"/>
  <c r="I717" i="6"/>
  <c r="N717" i="6"/>
  <c r="Q717" i="6"/>
  <c r="S717" i="6" s="1"/>
  <c r="R717" i="6"/>
  <c r="T717" i="6"/>
  <c r="B718" i="6"/>
  <c r="C718" i="6"/>
  <c r="D718" i="6"/>
  <c r="E718" i="6"/>
  <c r="F718" i="6"/>
  <c r="H718" i="6"/>
  <c r="I718" i="6"/>
  <c r="N718" i="6"/>
  <c r="R718" i="6"/>
  <c r="Q718" i="6" s="1"/>
  <c r="S718" i="6"/>
  <c r="T718" i="6"/>
  <c r="B719" i="6"/>
  <c r="C719" i="6"/>
  <c r="L719" i="6" s="1"/>
  <c r="D719" i="6"/>
  <c r="E719" i="6"/>
  <c r="F719" i="6"/>
  <c r="H719" i="6"/>
  <c r="I719" i="6"/>
  <c r="N719" i="6"/>
  <c r="Q719" i="6"/>
  <c r="S719" i="6" s="1"/>
  <c r="R719" i="6"/>
  <c r="T719" i="6"/>
  <c r="B720" i="6"/>
  <c r="C720" i="6"/>
  <c r="D720" i="6"/>
  <c r="E720" i="6"/>
  <c r="F720" i="6"/>
  <c r="H720" i="6"/>
  <c r="I720" i="6"/>
  <c r="N720" i="6"/>
  <c r="Q720" i="6"/>
  <c r="S720" i="6" s="1"/>
  <c r="R720" i="6"/>
  <c r="T720" i="6"/>
  <c r="B721" i="6"/>
  <c r="C721" i="6"/>
  <c r="D721" i="6"/>
  <c r="E721" i="6"/>
  <c r="F721" i="6"/>
  <c r="L721" i="6" s="1"/>
  <c r="H721" i="6"/>
  <c r="I721" i="6"/>
  <c r="N721" i="6"/>
  <c r="Q721" i="6"/>
  <c r="R721" i="6"/>
  <c r="S721" i="6"/>
  <c r="T721" i="6"/>
  <c r="B722" i="6"/>
  <c r="C722" i="6"/>
  <c r="D722" i="6"/>
  <c r="E722" i="6"/>
  <c r="F722" i="6"/>
  <c r="H722" i="6"/>
  <c r="I722" i="6"/>
  <c r="L722" i="6"/>
  <c r="N722" i="6"/>
  <c r="R722" i="6"/>
  <c r="Q722" i="6" s="1"/>
  <c r="S722" i="6" s="1"/>
  <c r="T722" i="6"/>
  <c r="B723" i="6"/>
  <c r="C723" i="6"/>
  <c r="D723" i="6"/>
  <c r="E723" i="6"/>
  <c r="F723" i="6"/>
  <c r="H723" i="6"/>
  <c r="I723" i="6"/>
  <c r="N723" i="6"/>
  <c r="Q723" i="6"/>
  <c r="S723" i="6" s="1"/>
  <c r="R723" i="6"/>
  <c r="T723" i="6"/>
  <c r="B724" i="6"/>
  <c r="C724" i="6"/>
  <c r="D724" i="6"/>
  <c r="E724" i="6"/>
  <c r="F724" i="6"/>
  <c r="H724" i="6"/>
  <c r="I724" i="6"/>
  <c r="L724" i="6"/>
  <c r="N724" i="6"/>
  <c r="R724" i="6"/>
  <c r="Q724" i="6" s="1"/>
  <c r="S724" i="6" s="1"/>
  <c r="T724" i="6"/>
  <c r="B725" i="6"/>
  <c r="C725" i="6"/>
  <c r="D725" i="6"/>
  <c r="E725" i="6"/>
  <c r="F725" i="6"/>
  <c r="H725" i="6"/>
  <c r="I725" i="6"/>
  <c r="N725" i="6"/>
  <c r="R725" i="6"/>
  <c r="Q725" i="6" s="1"/>
  <c r="S725" i="6" s="1"/>
  <c r="T725" i="6"/>
  <c r="B726" i="6"/>
  <c r="C726" i="6"/>
  <c r="D726" i="6"/>
  <c r="E726" i="6"/>
  <c r="F726" i="6"/>
  <c r="H726" i="6"/>
  <c r="I726" i="6"/>
  <c r="N726" i="6"/>
  <c r="R726" i="6"/>
  <c r="Q726" i="6" s="1"/>
  <c r="S726" i="6"/>
  <c r="T726" i="6"/>
  <c r="B727" i="6"/>
  <c r="C727" i="6"/>
  <c r="L727" i="6" s="1"/>
  <c r="D727" i="6"/>
  <c r="E727" i="6"/>
  <c r="F727" i="6"/>
  <c r="H727" i="6"/>
  <c r="I727" i="6"/>
  <c r="N727" i="6"/>
  <c r="Q727" i="6"/>
  <c r="S727" i="6" s="1"/>
  <c r="R727" i="6"/>
  <c r="T727" i="6"/>
  <c r="B728" i="6"/>
  <c r="C728" i="6"/>
  <c r="D728" i="6"/>
  <c r="E728" i="6"/>
  <c r="F728" i="6"/>
  <c r="H728" i="6"/>
  <c r="I728" i="6"/>
  <c r="N728" i="6"/>
  <c r="R728" i="6"/>
  <c r="Q728" i="6" s="1"/>
  <c r="S728" i="6" s="1"/>
  <c r="T728" i="6"/>
  <c r="B729" i="6"/>
  <c r="C729" i="6"/>
  <c r="L729" i="6" s="1"/>
  <c r="D729" i="6"/>
  <c r="E729" i="6"/>
  <c r="F729" i="6"/>
  <c r="H729" i="6"/>
  <c r="I729" i="6"/>
  <c r="N729" i="6"/>
  <c r="Q729" i="6"/>
  <c r="R729" i="6"/>
  <c r="S729" i="6"/>
  <c r="T729" i="6"/>
  <c r="B730" i="6"/>
  <c r="C730" i="6"/>
  <c r="D730" i="6"/>
  <c r="E730" i="6"/>
  <c r="F730" i="6"/>
  <c r="H730" i="6"/>
  <c r="I730" i="6"/>
  <c r="N730" i="6"/>
  <c r="Q730" i="6"/>
  <c r="S730" i="6" s="1"/>
  <c r="R730" i="6"/>
  <c r="T730" i="6"/>
  <c r="B731" i="6"/>
  <c r="C731" i="6"/>
  <c r="L731" i="6" s="1"/>
  <c r="D731" i="6"/>
  <c r="E731" i="6"/>
  <c r="F731" i="6"/>
  <c r="H731" i="6"/>
  <c r="I731" i="6"/>
  <c r="N731" i="6"/>
  <c r="R731" i="6"/>
  <c r="Q731" i="6" s="1"/>
  <c r="S731" i="6" s="1"/>
  <c r="T731" i="6"/>
  <c r="B732" i="6"/>
  <c r="C732" i="6"/>
  <c r="D732" i="6"/>
  <c r="E732" i="6"/>
  <c r="F732" i="6"/>
  <c r="H732" i="6"/>
  <c r="I732" i="6"/>
  <c r="L732" i="6"/>
  <c r="N732" i="6"/>
  <c r="R732" i="6"/>
  <c r="Q732" i="6" s="1"/>
  <c r="S732" i="6" s="1"/>
  <c r="T732" i="6"/>
  <c r="B733" i="6"/>
  <c r="C733" i="6"/>
  <c r="D733" i="6"/>
  <c r="E733" i="6"/>
  <c r="F733" i="6"/>
  <c r="H733" i="6"/>
  <c r="I733" i="6"/>
  <c r="N733" i="6"/>
  <c r="R733" i="6"/>
  <c r="Q733" i="6" s="1"/>
  <c r="S733" i="6" s="1"/>
  <c r="T733" i="6"/>
  <c r="B734" i="6"/>
  <c r="C734" i="6"/>
  <c r="D734" i="6"/>
  <c r="E734" i="6"/>
  <c r="F734" i="6"/>
  <c r="H734" i="6"/>
  <c r="I734" i="6"/>
  <c r="N734" i="6"/>
  <c r="R734" i="6"/>
  <c r="Q734" i="6" s="1"/>
  <c r="S734" i="6" s="1"/>
  <c r="T734" i="6"/>
  <c r="B735" i="6"/>
  <c r="C735" i="6"/>
  <c r="L735" i="6" s="1"/>
  <c r="D735" i="6"/>
  <c r="E735" i="6"/>
  <c r="F735" i="6"/>
  <c r="H735" i="6"/>
  <c r="I735" i="6"/>
  <c r="N735" i="6"/>
  <c r="Q735" i="6"/>
  <c r="S735" i="6" s="1"/>
  <c r="R735" i="6"/>
  <c r="T735" i="6"/>
  <c r="B736" i="6"/>
  <c r="C736" i="6"/>
  <c r="D736" i="6"/>
  <c r="E736" i="6"/>
  <c r="F736" i="6"/>
  <c r="H736" i="6"/>
  <c r="I736" i="6"/>
  <c r="N736" i="6"/>
  <c r="Q736" i="6"/>
  <c r="S736" i="6" s="1"/>
  <c r="R736" i="6"/>
  <c r="T736" i="6"/>
  <c r="B737" i="6"/>
  <c r="C737" i="6"/>
  <c r="L737" i="6" s="1"/>
  <c r="D737" i="6"/>
  <c r="E737" i="6"/>
  <c r="F737" i="6"/>
  <c r="H737" i="6"/>
  <c r="I737" i="6"/>
  <c r="N737" i="6"/>
  <c r="Q737" i="6"/>
  <c r="R737" i="6"/>
  <c r="S737" i="6"/>
  <c r="T737" i="6"/>
  <c r="B738" i="6"/>
  <c r="C738" i="6"/>
  <c r="D738" i="6"/>
  <c r="E738" i="6"/>
  <c r="F738" i="6"/>
  <c r="H738" i="6"/>
  <c r="I738" i="6"/>
  <c r="L738" i="6"/>
  <c r="N738" i="6"/>
  <c r="Q738" i="6"/>
  <c r="S738" i="6" s="1"/>
  <c r="R738" i="6"/>
  <c r="T738" i="6"/>
  <c r="B739" i="6"/>
  <c r="C739" i="6"/>
  <c r="D739" i="6"/>
  <c r="E739" i="6"/>
  <c r="F739" i="6"/>
  <c r="H739" i="6"/>
  <c r="I739" i="6"/>
  <c r="L739" i="6"/>
  <c r="N739" i="6"/>
  <c r="R739" i="6"/>
  <c r="Q739" i="6" s="1"/>
  <c r="S739" i="6"/>
  <c r="T739" i="6"/>
  <c r="B740" i="6"/>
  <c r="C740" i="6"/>
  <c r="D740" i="6"/>
  <c r="E740" i="6"/>
  <c r="F740" i="6"/>
  <c r="H740" i="6"/>
  <c r="I740" i="6"/>
  <c r="N740" i="6"/>
  <c r="R740" i="6"/>
  <c r="Q740" i="6" s="1"/>
  <c r="S740" i="6" s="1"/>
  <c r="T740" i="6"/>
  <c r="B741" i="6"/>
  <c r="C741" i="6"/>
  <c r="L741" i="6" s="1"/>
  <c r="D741" i="6"/>
  <c r="E741" i="6"/>
  <c r="F741" i="6"/>
  <c r="H741" i="6"/>
  <c r="I741" i="6"/>
  <c r="N741" i="6"/>
  <c r="Q741" i="6"/>
  <c r="S741" i="6" s="1"/>
  <c r="R741" i="6"/>
  <c r="T741" i="6"/>
  <c r="B742" i="6"/>
  <c r="C742" i="6"/>
  <c r="D742" i="6"/>
  <c r="E742" i="6"/>
  <c r="F742" i="6"/>
  <c r="H742" i="6"/>
  <c r="I742" i="6"/>
  <c r="N742" i="6"/>
  <c r="Q742" i="6"/>
  <c r="S742" i="6" s="1"/>
  <c r="R742" i="6"/>
  <c r="T742" i="6"/>
  <c r="B743" i="6"/>
  <c r="C743" i="6"/>
  <c r="D743" i="6"/>
  <c r="E743" i="6"/>
  <c r="F743" i="6"/>
  <c r="H743" i="6"/>
  <c r="I743" i="6"/>
  <c r="N743" i="6"/>
  <c r="Q743" i="6"/>
  <c r="S743" i="6" s="1"/>
  <c r="R743" i="6"/>
  <c r="T743" i="6"/>
  <c r="B744" i="6"/>
  <c r="C744" i="6"/>
  <c r="L744" i="6" s="1"/>
  <c r="D744" i="6"/>
  <c r="E744" i="6"/>
  <c r="F744" i="6"/>
  <c r="H744" i="6"/>
  <c r="I744" i="6"/>
  <c r="N744" i="6"/>
  <c r="Q744" i="6"/>
  <c r="S744" i="6" s="1"/>
  <c r="R744" i="6"/>
  <c r="T744" i="6"/>
  <c r="B745" i="6"/>
  <c r="C745" i="6"/>
  <c r="D745" i="6"/>
  <c r="E745" i="6"/>
  <c r="L745" i="6" s="1"/>
  <c r="F745" i="6"/>
  <c r="H745" i="6"/>
  <c r="I745" i="6"/>
  <c r="N745" i="6"/>
  <c r="R745" i="6"/>
  <c r="Q745" i="6" s="1"/>
  <c r="S745" i="6"/>
  <c r="T745" i="6"/>
  <c r="B746" i="6"/>
  <c r="C746" i="6"/>
  <c r="D746" i="6"/>
  <c r="L746" i="6" s="1"/>
  <c r="E746" i="6"/>
  <c r="F746" i="6"/>
  <c r="H746" i="6"/>
  <c r="I746" i="6"/>
  <c r="N746" i="6"/>
  <c r="R746" i="6"/>
  <c r="Q746" i="6" s="1"/>
  <c r="S746" i="6" s="1"/>
  <c r="T746" i="6"/>
  <c r="B747" i="6"/>
  <c r="C747" i="6"/>
  <c r="D747" i="6"/>
  <c r="E747" i="6"/>
  <c r="F747" i="6"/>
  <c r="H747" i="6"/>
  <c r="I747" i="6"/>
  <c r="N747" i="6"/>
  <c r="R747" i="6"/>
  <c r="Q747" i="6" s="1"/>
  <c r="S747" i="6"/>
  <c r="T747" i="6"/>
  <c r="B748" i="6"/>
  <c r="C748" i="6"/>
  <c r="D748" i="6"/>
  <c r="L748" i="6" s="1"/>
  <c r="E748" i="6"/>
  <c r="F748" i="6"/>
  <c r="H748" i="6"/>
  <c r="I748" i="6"/>
  <c r="N748" i="6"/>
  <c r="R748" i="6"/>
  <c r="Q748" i="6" s="1"/>
  <c r="S748" i="6" s="1"/>
  <c r="T748" i="6"/>
  <c r="B749" i="6"/>
  <c r="C749" i="6"/>
  <c r="L749" i="6" s="1"/>
  <c r="D749" i="6"/>
  <c r="E749" i="6"/>
  <c r="F749" i="6"/>
  <c r="H749" i="6"/>
  <c r="I749" i="6"/>
  <c r="N749" i="6"/>
  <c r="Q749" i="6"/>
  <c r="S749" i="6" s="1"/>
  <c r="R749" i="6"/>
  <c r="T749" i="6"/>
  <c r="B750" i="6"/>
  <c r="C750" i="6"/>
  <c r="D750" i="6"/>
  <c r="E750" i="6"/>
  <c r="F750" i="6"/>
  <c r="H750" i="6"/>
  <c r="I750" i="6"/>
  <c r="N750" i="6"/>
  <c r="Q750" i="6"/>
  <c r="S750" i="6" s="1"/>
  <c r="R750" i="6"/>
  <c r="T750" i="6"/>
  <c r="B751" i="6"/>
  <c r="C751" i="6"/>
  <c r="L751" i="6" s="1"/>
  <c r="D751" i="6"/>
  <c r="E751" i="6"/>
  <c r="F751" i="6"/>
  <c r="H751" i="6"/>
  <c r="I751" i="6"/>
  <c r="N751" i="6"/>
  <c r="Q751" i="6"/>
  <c r="R751" i="6"/>
  <c r="S751" i="6"/>
  <c r="T751" i="6"/>
  <c r="B752" i="6"/>
  <c r="C752" i="6"/>
  <c r="D752" i="6"/>
  <c r="E752" i="6"/>
  <c r="F752" i="6"/>
  <c r="H752" i="6"/>
  <c r="I752" i="6"/>
  <c r="L752" i="6"/>
  <c r="N752" i="6"/>
  <c r="Q752" i="6"/>
  <c r="S752" i="6" s="1"/>
  <c r="R752" i="6"/>
  <c r="T752" i="6"/>
  <c r="B753" i="6"/>
  <c r="C753" i="6"/>
  <c r="D753" i="6"/>
  <c r="E753" i="6"/>
  <c r="F753" i="6"/>
  <c r="H753" i="6"/>
  <c r="I753" i="6"/>
  <c r="N753" i="6"/>
  <c r="R753" i="6"/>
  <c r="Q753" i="6" s="1"/>
  <c r="S753" i="6" s="1"/>
  <c r="T753" i="6"/>
  <c r="B754" i="6"/>
  <c r="C754" i="6"/>
  <c r="D754" i="6"/>
  <c r="E754" i="6"/>
  <c r="F754" i="6"/>
  <c r="H754" i="6"/>
  <c r="I754" i="6"/>
  <c r="L754" i="6"/>
  <c r="N754" i="6"/>
  <c r="R754" i="6"/>
  <c r="Q754" i="6" s="1"/>
  <c r="S754" i="6" s="1"/>
  <c r="T754" i="6"/>
  <c r="B755" i="6"/>
  <c r="C755" i="6"/>
  <c r="D755" i="6"/>
  <c r="E755" i="6"/>
  <c r="F755" i="6"/>
  <c r="H755" i="6"/>
  <c r="I755" i="6"/>
  <c r="N755" i="6"/>
  <c r="Q755" i="6"/>
  <c r="R755" i="6"/>
  <c r="S755" i="6"/>
  <c r="T755" i="6"/>
  <c r="B756" i="6"/>
  <c r="C756" i="6"/>
  <c r="D756" i="6"/>
  <c r="E756" i="6"/>
  <c r="F756" i="6"/>
  <c r="H756" i="6"/>
  <c r="I756" i="6"/>
  <c r="L756" i="6"/>
  <c r="N756" i="6"/>
  <c r="R756" i="6"/>
  <c r="Q756" i="6" s="1"/>
  <c r="S756" i="6" s="1"/>
  <c r="T756" i="6"/>
  <c r="B757" i="6"/>
  <c r="C757" i="6"/>
  <c r="D757" i="6"/>
  <c r="E757" i="6"/>
  <c r="L757" i="6" s="1"/>
  <c r="F757" i="6"/>
  <c r="H757" i="6"/>
  <c r="I757" i="6"/>
  <c r="N757" i="6"/>
  <c r="R757" i="6"/>
  <c r="Q757" i="6" s="1"/>
  <c r="S757" i="6"/>
  <c r="T757" i="6"/>
  <c r="B758" i="6"/>
  <c r="C758" i="6"/>
  <c r="D758" i="6"/>
  <c r="E758" i="6"/>
  <c r="F758" i="6"/>
  <c r="H758" i="6"/>
  <c r="I758" i="6"/>
  <c r="N758" i="6"/>
  <c r="Q758" i="6"/>
  <c r="S758" i="6" s="1"/>
  <c r="R758" i="6"/>
  <c r="T758" i="6"/>
  <c r="B759" i="6"/>
  <c r="C759" i="6"/>
  <c r="D759" i="6"/>
  <c r="E759" i="6"/>
  <c r="F759" i="6"/>
  <c r="L759" i="6" s="1"/>
  <c r="H759" i="6"/>
  <c r="I759" i="6"/>
  <c r="N759" i="6"/>
  <c r="Q759" i="6"/>
  <c r="R759" i="6"/>
  <c r="S759" i="6"/>
  <c r="T759" i="6"/>
  <c r="B760" i="6"/>
  <c r="C760" i="6"/>
  <c r="D760" i="6"/>
  <c r="E760" i="6"/>
  <c r="F760" i="6"/>
  <c r="H760" i="6"/>
  <c r="I760" i="6"/>
  <c r="L760" i="6"/>
  <c r="N760" i="6"/>
  <c r="R760" i="6"/>
  <c r="Q760" i="6" s="1"/>
  <c r="S760" i="6" s="1"/>
  <c r="T760" i="6"/>
  <c r="B761" i="6"/>
  <c r="C761" i="6"/>
  <c r="D761" i="6"/>
  <c r="E761" i="6"/>
  <c r="F761" i="6"/>
  <c r="H761" i="6"/>
  <c r="I761" i="6"/>
  <c r="N761" i="6"/>
  <c r="R761" i="6"/>
  <c r="Q761" i="6" s="1"/>
  <c r="S761" i="6" s="1"/>
  <c r="T761" i="6"/>
  <c r="B762" i="6"/>
  <c r="C762" i="6"/>
  <c r="D762" i="6"/>
  <c r="L762" i="6" s="1"/>
  <c r="E762" i="6"/>
  <c r="F762" i="6"/>
  <c r="H762" i="6"/>
  <c r="I762" i="6"/>
  <c r="N762" i="6"/>
  <c r="R762" i="6"/>
  <c r="Q762" i="6" s="1"/>
  <c r="S762" i="6" s="1"/>
  <c r="T762" i="6"/>
  <c r="B763" i="6"/>
  <c r="C763" i="6"/>
  <c r="D763" i="6"/>
  <c r="E763" i="6"/>
  <c r="F763" i="6"/>
  <c r="H763" i="6"/>
  <c r="I763" i="6"/>
  <c r="L763" i="6"/>
  <c r="N763" i="6"/>
  <c r="Q763" i="6"/>
  <c r="R763" i="6"/>
  <c r="S763" i="6"/>
  <c r="T763" i="6"/>
  <c r="B764" i="6"/>
  <c r="C764" i="6"/>
  <c r="D764" i="6"/>
  <c r="L764" i="6" s="1"/>
  <c r="E764" i="6"/>
  <c r="F764" i="6"/>
  <c r="H764" i="6"/>
  <c r="I764" i="6"/>
  <c r="N764" i="6"/>
  <c r="R764" i="6"/>
  <c r="Q764" i="6" s="1"/>
  <c r="S764" i="6"/>
  <c r="T764" i="6"/>
  <c r="B765" i="6"/>
  <c r="C765" i="6"/>
  <c r="D765" i="6"/>
  <c r="E765" i="6"/>
  <c r="F765" i="6"/>
  <c r="H765" i="6"/>
  <c r="I765" i="6"/>
  <c r="N765" i="6"/>
  <c r="R765" i="6"/>
  <c r="Q765" i="6" s="1"/>
  <c r="S765" i="6"/>
  <c r="T765" i="6"/>
  <c r="B766" i="6"/>
  <c r="C766" i="6"/>
  <c r="D766" i="6"/>
  <c r="E766" i="6"/>
  <c r="F766" i="6"/>
  <c r="H766" i="6"/>
  <c r="I766" i="6"/>
  <c r="N766" i="6"/>
  <c r="Q766" i="6"/>
  <c r="S766" i="6" s="1"/>
  <c r="R766" i="6"/>
  <c r="T766" i="6"/>
  <c r="B767" i="6"/>
  <c r="C767" i="6"/>
  <c r="D767" i="6"/>
  <c r="E767" i="6"/>
  <c r="F767" i="6"/>
  <c r="L767" i="6" s="1"/>
  <c r="H767" i="6"/>
  <c r="I767" i="6"/>
  <c r="N767" i="6"/>
  <c r="Q767" i="6"/>
  <c r="S767" i="6" s="1"/>
  <c r="R767" i="6"/>
  <c r="T767" i="6"/>
  <c r="B768" i="6"/>
  <c r="C768" i="6"/>
  <c r="D768" i="6"/>
  <c r="E768" i="6"/>
  <c r="F768" i="6"/>
  <c r="H768" i="6"/>
  <c r="I768" i="6"/>
  <c r="L768" i="6"/>
  <c r="N768" i="6"/>
  <c r="R768" i="6"/>
  <c r="Q768" i="6" s="1"/>
  <c r="S768" i="6" s="1"/>
  <c r="T768" i="6"/>
  <c r="B769" i="6"/>
  <c r="C769" i="6"/>
  <c r="D769" i="6"/>
  <c r="E769" i="6"/>
  <c r="F769" i="6"/>
  <c r="H769" i="6"/>
  <c r="I769" i="6"/>
  <c r="N769" i="6"/>
  <c r="R769" i="6"/>
  <c r="Q769" i="6" s="1"/>
  <c r="S769" i="6"/>
  <c r="T769" i="6"/>
  <c r="B770" i="6"/>
  <c r="C770" i="6"/>
  <c r="D770" i="6"/>
  <c r="E770" i="6"/>
  <c r="F770" i="6"/>
  <c r="H770" i="6"/>
  <c r="I770" i="6"/>
  <c r="L770" i="6"/>
  <c r="N770" i="6"/>
  <c r="R770" i="6"/>
  <c r="Q770" i="6" s="1"/>
  <c r="S770" i="6" s="1"/>
  <c r="T770" i="6"/>
  <c r="B771" i="6"/>
  <c r="C771" i="6"/>
  <c r="D771" i="6"/>
  <c r="E771" i="6"/>
  <c r="F771" i="6"/>
  <c r="H771" i="6"/>
  <c r="I771" i="6"/>
  <c r="N771" i="6"/>
  <c r="Q771" i="6"/>
  <c r="R771" i="6"/>
  <c r="S771" i="6"/>
  <c r="T771" i="6"/>
  <c r="B772" i="6"/>
  <c r="C772" i="6"/>
  <c r="D772" i="6"/>
  <c r="E772" i="6"/>
  <c r="F772" i="6"/>
  <c r="H772" i="6"/>
  <c r="I772" i="6"/>
  <c r="L772" i="6" s="1"/>
  <c r="N772" i="6"/>
  <c r="R772" i="6"/>
  <c r="Q772" i="6" s="1"/>
  <c r="S772" i="6"/>
  <c r="T772" i="6"/>
  <c r="B773" i="6"/>
  <c r="C773" i="6"/>
  <c r="D773" i="6"/>
  <c r="E773" i="6"/>
  <c r="F773" i="6"/>
  <c r="H773" i="6"/>
  <c r="I773" i="6"/>
  <c r="N773" i="6"/>
  <c r="Q773" i="6"/>
  <c r="R773" i="6"/>
  <c r="S773" i="6"/>
  <c r="T773" i="6"/>
  <c r="B774" i="6"/>
  <c r="C774" i="6"/>
  <c r="D774" i="6"/>
  <c r="E774" i="6"/>
  <c r="F774" i="6"/>
  <c r="H774" i="6"/>
  <c r="I774" i="6"/>
  <c r="N774" i="6"/>
  <c r="Q774" i="6"/>
  <c r="S774" i="6" s="1"/>
  <c r="R774" i="6"/>
  <c r="T774" i="6"/>
  <c r="B775" i="6"/>
  <c r="C775" i="6"/>
  <c r="D775" i="6"/>
  <c r="E775" i="6"/>
  <c r="F775" i="6"/>
  <c r="H775" i="6"/>
  <c r="I775" i="6"/>
  <c r="N775" i="6"/>
  <c r="Q775" i="6"/>
  <c r="S775" i="6" s="1"/>
  <c r="R775" i="6"/>
  <c r="T775" i="6"/>
  <c r="B776" i="6"/>
  <c r="C776" i="6"/>
  <c r="D776" i="6"/>
  <c r="E776" i="6"/>
  <c r="F776" i="6"/>
  <c r="H776" i="6"/>
  <c r="I776" i="6"/>
  <c r="L776" i="6"/>
  <c r="N776" i="6"/>
  <c r="R776" i="6"/>
  <c r="Q776" i="6" s="1"/>
  <c r="S776" i="6" s="1"/>
  <c r="T776" i="6"/>
  <c r="B777" i="6"/>
  <c r="C777" i="6"/>
  <c r="D777" i="6"/>
  <c r="E777" i="6"/>
  <c r="F777" i="6"/>
  <c r="H777" i="6"/>
  <c r="L777" i="6" s="1"/>
  <c r="I777" i="6"/>
  <c r="N777" i="6"/>
  <c r="R777" i="6"/>
  <c r="Q777" i="6" s="1"/>
  <c r="S777" i="6" s="1"/>
  <c r="T777" i="6"/>
  <c r="B778" i="6"/>
  <c r="C778" i="6"/>
  <c r="L778" i="6" s="1"/>
  <c r="D778" i="6"/>
  <c r="E778" i="6"/>
  <c r="F778" i="6"/>
  <c r="H778" i="6"/>
  <c r="I778" i="6"/>
  <c r="N778" i="6"/>
  <c r="R778" i="6"/>
  <c r="Q778" i="6" s="1"/>
  <c r="S778" i="6" s="1"/>
  <c r="T778" i="6"/>
  <c r="B779" i="6"/>
  <c r="C779" i="6"/>
  <c r="L779" i="6" s="1"/>
  <c r="D779" i="6"/>
  <c r="E779" i="6"/>
  <c r="F779" i="6"/>
  <c r="H779" i="6"/>
  <c r="I779" i="6"/>
  <c r="N779" i="6"/>
  <c r="Q779" i="6"/>
  <c r="S779" i="6" s="1"/>
  <c r="R779" i="6"/>
  <c r="T779" i="6"/>
  <c r="B780" i="6"/>
  <c r="C780" i="6"/>
  <c r="D780" i="6"/>
  <c r="E780" i="6"/>
  <c r="F780" i="6"/>
  <c r="H780" i="6"/>
  <c r="I780" i="6"/>
  <c r="N780" i="6"/>
  <c r="R780" i="6"/>
  <c r="Q780" i="6" s="1"/>
  <c r="S780" i="6" s="1"/>
  <c r="T780" i="6"/>
  <c r="B781" i="6"/>
  <c r="C781" i="6"/>
  <c r="D781" i="6"/>
  <c r="E781" i="6"/>
  <c r="F781" i="6"/>
  <c r="H781" i="6"/>
  <c r="I781" i="6"/>
  <c r="N781" i="6"/>
  <c r="Q781" i="6"/>
  <c r="S781" i="6" s="1"/>
  <c r="R781" i="6"/>
  <c r="T781" i="6"/>
  <c r="B782" i="6"/>
  <c r="C782" i="6"/>
  <c r="L782" i="6" s="1"/>
  <c r="D782" i="6"/>
  <c r="E782" i="6"/>
  <c r="F782" i="6"/>
  <c r="H782" i="6"/>
  <c r="I782" i="6"/>
  <c r="N782" i="6"/>
  <c r="Q782" i="6"/>
  <c r="S782" i="6" s="1"/>
  <c r="R782" i="6"/>
  <c r="T782" i="6"/>
  <c r="B783" i="6"/>
  <c r="C783" i="6"/>
  <c r="D783" i="6"/>
  <c r="E783" i="6"/>
  <c r="F783" i="6"/>
  <c r="H783" i="6"/>
  <c r="L783" i="6" s="1"/>
  <c r="I783" i="6"/>
  <c r="N783" i="6"/>
  <c r="Q783" i="6"/>
  <c r="R783" i="6"/>
  <c r="S783" i="6"/>
  <c r="T783" i="6"/>
  <c r="B784" i="6"/>
  <c r="C784" i="6"/>
  <c r="D784" i="6"/>
  <c r="L784" i="6" s="1"/>
  <c r="E784" i="6"/>
  <c r="F784" i="6"/>
  <c r="H784" i="6"/>
  <c r="I784" i="6"/>
  <c r="N784" i="6"/>
  <c r="R784" i="6"/>
  <c r="Q784" i="6" s="1"/>
  <c r="S784" i="6" s="1"/>
  <c r="T784" i="6"/>
  <c r="B785" i="6"/>
  <c r="C785" i="6"/>
  <c r="D785" i="6"/>
  <c r="E785" i="6"/>
  <c r="F785" i="6"/>
  <c r="H785" i="6"/>
  <c r="I785" i="6"/>
  <c r="N785" i="6"/>
  <c r="Q785" i="6"/>
  <c r="S785" i="6" s="1"/>
  <c r="R785" i="6"/>
  <c r="T785" i="6"/>
  <c r="B786" i="6"/>
  <c r="C786" i="6"/>
  <c r="L786" i="6" s="1"/>
  <c r="D786" i="6"/>
  <c r="E786" i="6"/>
  <c r="F786" i="6"/>
  <c r="H786" i="6"/>
  <c r="I786" i="6"/>
  <c r="N786" i="6"/>
  <c r="Q786" i="6"/>
  <c r="S786" i="6" s="1"/>
  <c r="R786" i="6"/>
  <c r="T786" i="6"/>
  <c r="B787" i="6"/>
  <c r="C787" i="6"/>
  <c r="D787" i="6"/>
  <c r="E787" i="6"/>
  <c r="F787" i="6"/>
  <c r="H787" i="6"/>
  <c r="I787" i="6"/>
  <c r="L787" i="6"/>
  <c r="N787" i="6"/>
  <c r="Q787" i="6"/>
  <c r="S787" i="6" s="1"/>
  <c r="R787" i="6"/>
  <c r="T787" i="6"/>
  <c r="B788" i="6"/>
  <c r="C788" i="6"/>
  <c r="D788" i="6"/>
  <c r="L788" i="6" s="1"/>
  <c r="E788" i="6"/>
  <c r="F788" i="6"/>
  <c r="H788" i="6"/>
  <c r="I788" i="6"/>
  <c r="N788" i="6"/>
  <c r="R788" i="6"/>
  <c r="Q788" i="6" s="1"/>
  <c r="S788" i="6"/>
  <c r="T788" i="6"/>
  <c r="B789" i="6"/>
  <c r="C789" i="6"/>
  <c r="D789" i="6"/>
  <c r="E789" i="6"/>
  <c r="F789" i="6"/>
  <c r="H789" i="6"/>
  <c r="I789" i="6"/>
  <c r="L789" i="6"/>
  <c r="N789" i="6"/>
  <c r="Q789" i="6"/>
  <c r="S789" i="6" s="1"/>
  <c r="R789" i="6"/>
  <c r="T789" i="6"/>
  <c r="B790" i="6"/>
  <c r="C790" i="6"/>
  <c r="D790" i="6"/>
  <c r="E790" i="6"/>
  <c r="F790" i="6"/>
  <c r="H790" i="6"/>
  <c r="I790" i="6"/>
  <c r="N790" i="6"/>
  <c r="R790" i="6"/>
  <c r="Q790" i="6" s="1"/>
  <c r="S790" i="6"/>
  <c r="T790" i="6"/>
  <c r="B791" i="6"/>
  <c r="C791" i="6"/>
  <c r="D791" i="6"/>
  <c r="E791" i="6"/>
  <c r="F791" i="6"/>
  <c r="H791" i="6"/>
  <c r="I791" i="6"/>
  <c r="L791" i="6"/>
  <c r="N791" i="6"/>
  <c r="Q791" i="6"/>
  <c r="R791" i="6"/>
  <c r="S791" i="6"/>
  <c r="T791" i="6"/>
  <c r="B792" i="6"/>
  <c r="C792" i="6"/>
  <c r="D792" i="6"/>
  <c r="E792" i="6"/>
  <c r="F792" i="6"/>
  <c r="H792" i="6"/>
  <c r="I792" i="6"/>
  <c r="N792" i="6"/>
  <c r="R792" i="6"/>
  <c r="Q792" i="6" s="1"/>
  <c r="S792" i="6" s="1"/>
  <c r="T792" i="6"/>
  <c r="B793" i="6"/>
  <c r="C793" i="6"/>
  <c r="D793" i="6"/>
  <c r="E793" i="6"/>
  <c r="F793" i="6"/>
  <c r="H793" i="6"/>
  <c r="I793" i="6"/>
  <c r="N793" i="6"/>
  <c r="Q793" i="6"/>
  <c r="S793" i="6" s="1"/>
  <c r="R793" i="6"/>
  <c r="T793" i="6"/>
  <c r="B794" i="6"/>
  <c r="C794" i="6"/>
  <c r="D794" i="6"/>
  <c r="E794" i="6"/>
  <c r="F794" i="6"/>
  <c r="H794" i="6"/>
  <c r="I794" i="6"/>
  <c r="N794" i="6"/>
  <c r="Q794" i="6"/>
  <c r="S794" i="6" s="1"/>
  <c r="R794" i="6"/>
  <c r="T794" i="6"/>
  <c r="B795" i="6"/>
  <c r="C795" i="6"/>
  <c r="D795" i="6"/>
  <c r="L795" i="6" s="1"/>
  <c r="E795" i="6"/>
  <c r="F795" i="6"/>
  <c r="H795" i="6"/>
  <c r="I795" i="6"/>
  <c r="N795" i="6"/>
  <c r="R795" i="6"/>
  <c r="Q795" i="6" s="1"/>
  <c r="S795" i="6"/>
  <c r="T795" i="6"/>
  <c r="B796" i="6"/>
  <c r="C796" i="6"/>
  <c r="D796" i="6"/>
  <c r="L796" i="6" s="1"/>
  <c r="E796" i="6"/>
  <c r="F796" i="6"/>
  <c r="H796" i="6"/>
  <c r="I796" i="6"/>
  <c r="N796" i="6"/>
  <c r="R796" i="6"/>
  <c r="Q796" i="6" s="1"/>
  <c r="S796" i="6"/>
  <c r="T796" i="6"/>
  <c r="B797" i="6"/>
  <c r="C797" i="6"/>
  <c r="L797" i="6" s="1"/>
  <c r="D797" i="6"/>
  <c r="E797" i="6"/>
  <c r="F797" i="6"/>
  <c r="H797" i="6"/>
  <c r="I797" i="6"/>
  <c r="N797" i="6"/>
  <c r="R797" i="6"/>
  <c r="Q797" i="6" s="1"/>
  <c r="S797" i="6" s="1"/>
  <c r="T797" i="6"/>
  <c r="B798" i="6"/>
  <c r="C798" i="6"/>
  <c r="L798" i="6" s="1"/>
  <c r="D798" i="6"/>
  <c r="E798" i="6"/>
  <c r="F798" i="6"/>
  <c r="H798" i="6"/>
  <c r="I798" i="6"/>
  <c r="N798" i="6"/>
  <c r="R798" i="6"/>
  <c r="Q798" i="6" s="1"/>
  <c r="S798" i="6"/>
  <c r="T798" i="6"/>
  <c r="B799" i="6"/>
  <c r="C799" i="6"/>
  <c r="D799" i="6"/>
  <c r="E799" i="6"/>
  <c r="F799" i="6"/>
  <c r="H799" i="6"/>
  <c r="I799" i="6"/>
  <c r="N799" i="6"/>
  <c r="Q799" i="6"/>
  <c r="S799" i="6" s="1"/>
  <c r="R799" i="6"/>
  <c r="T799" i="6"/>
  <c r="B800" i="6"/>
  <c r="C800" i="6"/>
  <c r="D800" i="6"/>
  <c r="E800" i="6"/>
  <c r="F800" i="6"/>
  <c r="H800" i="6"/>
  <c r="I800" i="6"/>
  <c r="N800" i="6"/>
  <c r="Q800" i="6"/>
  <c r="R800" i="6"/>
  <c r="S800" i="6"/>
  <c r="T800" i="6"/>
  <c r="B801" i="6"/>
  <c r="C801" i="6"/>
  <c r="D801" i="6"/>
  <c r="E801" i="6"/>
  <c r="F801" i="6"/>
  <c r="H801" i="6"/>
  <c r="I801" i="6"/>
  <c r="N801" i="6"/>
  <c r="Q801" i="6"/>
  <c r="S801" i="6" s="1"/>
  <c r="R801" i="6"/>
  <c r="T801" i="6"/>
  <c r="B802" i="6"/>
  <c r="C802" i="6"/>
  <c r="D802" i="6"/>
  <c r="E802" i="6"/>
  <c r="L802" i="6" s="1"/>
  <c r="F802" i="6"/>
  <c r="H802" i="6"/>
  <c r="I802" i="6"/>
  <c r="N802" i="6"/>
  <c r="Q802" i="6"/>
  <c r="R802" i="6"/>
  <c r="S802" i="6"/>
  <c r="T802" i="6"/>
  <c r="B803" i="6"/>
  <c r="C803" i="6"/>
  <c r="D803" i="6"/>
  <c r="E803" i="6"/>
  <c r="F803" i="6"/>
  <c r="H803" i="6"/>
  <c r="I803" i="6"/>
  <c r="N803" i="6"/>
  <c r="R803" i="6"/>
  <c r="Q803" i="6" s="1"/>
  <c r="S803" i="6" s="1"/>
  <c r="T803" i="6"/>
  <c r="B804" i="6"/>
  <c r="C804" i="6"/>
  <c r="D804" i="6"/>
  <c r="E804" i="6"/>
  <c r="F804" i="6"/>
  <c r="H804" i="6"/>
  <c r="I804" i="6"/>
  <c r="L804" i="6"/>
  <c r="N804" i="6"/>
  <c r="R804" i="6"/>
  <c r="Q804" i="6" s="1"/>
  <c r="S804" i="6" s="1"/>
  <c r="T804" i="6"/>
  <c r="B805" i="6"/>
  <c r="C805" i="6"/>
  <c r="D805" i="6"/>
  <c r="E805" i="6"/>
  <c r="F805" i="6"/>
  <c r="H805" i="6"/>
  <c r="I805" i="6"/>
  <c r="N805" i="6"/>
  <c r="R805" i="6"/>
  <c r="Q805" i="6" s="1"/>
  <c r="S805" i="6"/>
  <c r="T805" i="6"/>
  <c r="B806" i="6"/>
  <c r="C806" i="6"/>
  <c r="D806" i="6"/>
  <c r="E806" i="6"/>
  <c r="F806" i="6"/>
  <c r="H806" i="6"/>
  <c r="I806" i="6"/>
  <c r="L806" i="6" s="1"/>
  <c r="N806" i="6"/>
  <c r="R806" i="6"/>
  <c r="Q806" i="6" s="1"/>
  <c r="S806" i="6"/>
  <c r="T806" i="6"/>
  <c r="B807" i="6"/>
  <c r="C807" i="6"/>
  <c r="D807" i="6"/>
  <c r="E807" i="6"/>
  <c r="F807" i="6"/>
  <c r="H807" i="6"/>
  <c r="I807" i="6"/>
  <c r="N807" i="6"/>
  <c r="Q807" i="6"/>
  <c r="R807" i="6"/>
  <c r="S807" i="6"/>
  <c r="T807" i="6"/>
  <c r="B808" i="6"/>
  <c r="C808" i="6"/>
  <c r="D808" i="6"/>
  <c r="E808" i="6"/>
  <c r="F808" i="6"/>
  <c r="H808" i="6"/>
  <c r="I808" i="6"/>
  <c r="N808" i="6"/>
  <c r="Q808" i="6"/>
  <c r="S808" i="6" s="1"/>
  <c r="R808" i="6"/>
  <c r="T808" i="6"/>
  <c r="B809" i="6"/>
  <c r="C809" i="6"/>
  <c r="D809" i="6"/>
  <c r="E809" i="6"/>
  <c r="L809" i="6" s="1"/>
  <c r="F809" i="6"/>
  <c r="H809" i="6"/>
  <c r="I809" i="6"/>
  <c r="N809" i="6"/>
  <c r="Q809" i="6"/>
  <c r="R809" i="6"/>
  <c r="S809" i="6"/>
  <c r="T809" i="6"/>
  <c r="B810" i="6"/>
  <c r="C810" i="6"/>
  <c r="D810" i="6"/>
  <c r="E810" i="6"/>
  <c r="F810" i="6"/>
  <c r="H810" i="6"/>
  <c r="I810" i="6"/>
  <c r="L810" i="6"/>
  <c r="N810" i="6"/>
  <c r="Q810" i="6"/>
  <c r="S810" i="6" s="1"/>
  <c r="R810" i="6"/>
  <c r="T810" i="6"/>
  <c r="B811" i="6"/>
  <c r="C811" i="6"/>
  <c r="L811" i="6" s="1"/>
  <c r="D811" i="6"/>
  <c r="E811" i="6"/>
  <c r="F811" i="6"/>
  <c r="H811" i="6"/>
  <c r="I811" i="6"/>
  <c r="N811" i="6"/>
  <c r="R811" i="6"/>
  <c r="Q811" i="6" s="1"/>
  <c r="S811" i="6" s="1"/>
  <c r="T811" i="6"/>
  <c r="B812" i="6"/>
  <c r="C812" i="6"/>
  <c r="L812" i="6" s="1"/>
  <c r="D812" i="6"/>
  <c r="E812" i="6"/>
  <c r="F812" i="6"/>
  <c r="H812" i="6"/>
  <c r="I812" i="6"/>
  <c r="N812" i="6"/>
  <c r="R812" i="6"/>
  <c r="Q812" i="6" s="1"/>
  <c r="S812" i="6" s="1"/>
  <c r="T812" i="6"/>
  <c r="B813" i="6"/>
  <c r="C813" i="6"/>
  <c r="D813" i="6"/>
  <c r="E813" i="6"/>
  <c r="F813" i="6"/>
  <c r="H813" i="6"/>
  <c r="I813" i="6"/>
  <c r="N813" i="6"/>
  <c r="R813" i="6"/>
  <c r="Q813" i="6" s="1"/>
  <c r="S813" i="6"/>
  <c r="T813" i="6"/>
  <c r="B814" i="6"/>
  <c r="C814" i="6"/>
  <c r="D814" i="6"/>
  <c r="L814" i="6" s="1"/>
  <c r="E814" i="6"/>
  <c r="F814" i="6"/>
  <c r="H814" i="6"/>
  <c r="I814" i="6"/>
  <c r="N814" i="6"/>
  <c r="R814" i="6"/>
  <c r="Q814" i="6" s="1"/>
  <c r="S814" i="6"/>
  <c r="T814" i="6"/>
  <c r="B815" i="6"/>
  <c r="C815" i="6"/>
  <c r="L815" i="6" s="1"/>
  <c r="D815" i="6"/>
  <c r="E815" i="6"/>
  <c r="F815" i="6"/>
  <c r="H815" i="6"/>
  <c r="I815" i="6"/>
  <c r="N815" i="6"/>
  <c r="R815" i="6"/>
  <c r="Q815" i="6" s="1"/>
  <c r="S815" i="6" s="1"/>
  <c r="T815" i="6"/>
  <c r="B816" i="6"/>
  <c r="C816" i="6"/>
  <c r="D816" i="6"/>
  <c r="E816" i="6"/>
  <c r="F816" i="6"/>
  <c r="H816" i="6"/>
  <c r="I816" i="6"/>
  <c r="N816" i="6"/>
  <c r="Q816" i="6"/>
  <c r="S816" i="6" s="1"/>
  <c r="R816" i="6"/>
  <c r="T816" i="6"/>
  <c r="B817" i="6"/>
  <c r="C817" i="6"/>
  <c r="L817" i="6" s="1"/>
  <c r="D817" i="6"/>
  <c r="E817" i="6"/>
  <c r="F817" i="6"/>
  <c r="H817" i="6"/>
  <c r="I817" i="6"/>
  <c r="N817" i="6"/>
  <c r="Q817" i="6"/>
  <c r="S817" i="6" s="1"/>
  <c r="R817" i="6"/>
  <c r="T817" i="6"/>
  <c r="B818" i="6"/>
  <c r="C818" i="6"/>
  <c r="D818" i="6"/>
  <c r="E818" i="6"/>
  <c r="F818" i="6"/>
  <c r="L818" i="6" s="1"/>
  <c r="H818" i="6"/>
  <c r="I818" i="6"/>
  <c r="N818" i="6"/>
  <c r="Q818" i="6"/>
  <c r="R818" i="6"/>
  <c r="S818" i="6"/>
  <c r="T818" i="6"/>
  <c r="B819" i="6"/>
  <c r="C819" i="6"/>
  <c r="D819" i="6"/>
  <c r="E819" i="6"/>
  <c r="F819" i="6"/>
  <c r="H819" i="6"/>
  <c r="I819" i="6"/>
  <c r="L819" i="6"/>
  <c r="N819" i="6"/>
  <c r="R819" i="6"/>
  <c r="Q819" i="6" s="1"/>
  <c r="S819" i="6" s="1"/>
  <c r="T819" i="6"/>
  <c r="B820" i="6"/>
  <c r="C820" i="6"/>
  <c r="D820" i="6"/>
  <c r="E820" i="6"/>
  <c r="F820" i="6"/>
  <c r="H820" i="6"/>
  <c r="I820" i="6"/>
  <c r="N820" i="6"/>
  <c r="R820" i="6"/>
  <c r="Q820" i="6" s="1"/>
  <c r="S820" i="6" s="1"/>
  <c r="T820" i="6"/>
  <c r="B821" i="6"/>
  <c r="C821" i="6"/>
  <c r="D821" i="6"/>
  <c r="L821" i="6" s="1"/>
  <c r="E821" i="6"/>
  <c r="F821" i="6"/>
  <c r="H821" i="6"/>
  <c r="I821" i="6"/>
  <c r="N821" i="6"/>
  <c r="R821" i="6"/>
  <c r="Q821" i="6" s="1"/>
  <c r="S821" i="6" s="1"/>
  <c r="T821" i="6"/>
  <c r="B822" i="6"/>
  <c r="C822" i="6"/>
  <c r="D822" i="6"/>
  <c r="L822" i="6" s="1"/>
  <c r="E822" i="6"/>
  <c r="F822" i="6"/>
  <c r="H822" i="6"/>
  <c r="I822" i="6"/>
  <c r="N822" i="6"/>
  <c r="R822" i="6"/>
  <c r="Q822" i="6" s="1"/>
  <c r="S822" i="6" s="1"/>
  <c r="T822" i="6"/>
  <c r="B823" i="6"/>
  <c r="C823" i="6"/>
  <c r="D823" i="6"/>
  <c r="E823" i="6"/>
  <c r="F823" i="6"/>
  <c r="H823" i="6"/>
  <c r="I823" i="6"/>
  <c r="L823" i="6"/>
  <c r="N823" i="6"/>
  <c r="Q823" i="6"/>
  <c r="S823" i="6" s="1"/>
  <c r="R823" i="6"/>
  <c r="T823" i="6"/>
  <c r="B824" i="6"/>
  <c r="C824" i="6"/>
  <c r="L824" i="6" s="1"/>
  <c r="D824" i="6"/>
  <c r="E824" i="6"/>
  <c r="F824" i="6"/>
  <c r="H824" i="6"/>
  <c r="I824" i="6"/>
  <c r="N824" i="6"/>
  <c r="R824" i="6"/>
  <c r="Q824" i="6" s="1"/>
  <c r="S824" i="6" s="1"/>
  <c r="T824" i="6"/>
  <c r="B825" i="6"/>
  <c r="C825" i="6"/>
  <c r="D825" i="6"/>
  <c r="E825" i="6"/>
  <c r="F825" i="6"/>
  <c r="H825" i="6"/>
  <c r="I825" i="6"/>
  <c r="N825" i="6"/>
  <c r="Q825" i="6"/>
  <c r="R825" i="6"/>
  <c r="S825" i="6"/>
  <c r="T825" i="6"/>
  <c r="B826" i="6"/>
  <c r="C826" i="6"/>
  <c r="D826" i="6"/>
  <c r="E826" i="6"/>
  <c r="F826" i="6"/>
  <c r="H826" i="6"/>
  <c r="I826" i="6"/>
  <c r="N826" i="6"/>
  <c r="Q826" i="6"/>
  <c r="S826" i="6" s="1"/>
  <c r="R826" i="6"/>
  <c r="T826" i="6"/>
  <c r="B827" i="6"/>
  <c r="C827" i="6"/>
  <c r="D827" i="6"/>
  <c r="E827" i="6"/>
  <c r="F827" i="6"/>
  <c r="H827" i="6"/>
  <c r="I827" i="6"/>
  <c r="N827" i="6"/>
  <c r="R827" i="6"/>
  <c r="Q827" i="6" s="1"/>
  <c r="S827" i="6" s="1"/>
  <c r="T827" i="6"/>
  <c r="B828" i="6"/>
  <c r="C828" i="6"/>
  <c r="L828" i="6" s="1"/>
  <c r="D828" i="6"/>
  <c r="E828" i="6"/>
  <c r="F828" i="6"/>
  <c r="H828" i="6"/>
  <c r="I828" i="6"/>
  <c r="N828" i="6"/>
  <c r="Q828" i="6"/>
  <c r="S828" i="6" s="1"/>
  <c r="R828" i="6"/>
  <c r="T828" i="6"/>
  <c r="B829" i="6"/>
  <c r="C829" i="6"/>
  <c r="D829" i="6"/>
  <c r="E829" i="6"/>
  <c r="F829" i="6"/>
  <c r="H829" i="6"/>
  <c r="I829" i="6"/>
  <c r="N829" i="6"/>
  <c r="Q829" i="6"/>
  <c r="S829" i="6" s="1"/>
  <c r="R829" i="6"/>
  <c r="T829" i="6"/>
  <c r="B830" i="6"/>
  <c r="C830" i="6"/>
  <c r="D830" i="6"/>
  <c r="L830" i="6" s="1"/>
  <c r="E830" i="6"/>
  <c r="F830" i="6"/>
  <c r="H830" i="6"/>
  <c r="I830" i="6"/>
  <c r="N830" i="6"/>
  <c r="R830" i="6"/>
  <c r="Q830" i="6" s="1"/>
  <c r="S830" i="6"/>
  <c r="T830" i="6"/>
  <c r="B831" i="6"/>
  <c r="C831" i="6"/>
  <c r="L831" i="6" s="1"/>
  <c r="D831" i="6"/>
  <c r="E831" i="6"/>
  <c r="F831" i="6"/>
  <c r="H831" i="6"/>
  <c r="I831" i="6"/>
  <c r="N831" i="6"/>
  <c r="Q831" i="6"/>
  <c r="S831" i="6" s="1"/>
  <c r="R831" i="6"/>
  <c r="T831" i="6"/>
  <c r="B832" i="6"/>
  <c r="C832" i="6"/>
  <c r="D832" i="6"/>
  <c r="E832" i="6"/>
  <c r="F832" i="6"/>
  <c r="H832" i="6"/>
  <c r="I832" i="6"/>
  <c r="N832" i="6"/>
  <c r="R832" i="6"/>
  <c r="Q832" i="6" s="1"/>
  <c r="S832" i="6" s="1"/>
  <c r="T832" i="6"/>
  <c r="B833" i="6"/>
  <c r="C833" i="6"/>
  <c r="D833" i="6"/>
  <c r="E833" i="6"/>
  <c r="F833" i="6"/>
  <c r="H833" i="6"/>
  <c r="I833" i="6"/>
  <c r="N833" i="6"/>
  <c r="Q833" i="6"/>
  <c r="R833" i="6"/>
  <c r="S833" i="6"/>
  <c r="T833" i="6"/>
  <c r="B834" i="6"/>
  <c r="C834" i="6"/>
  <c r="D834" i="6"/>
  <c r="E834" i="6"/>
  <c r="F834" i="6"/>
  <c r="H834" i="6"/>
  <c r="I834" i="6"/>
  <c r="N834" i="6"/>
  <c r="R834" i="6"/>
  <c r="Q834" i="6" s="1"/>
  <c r="S834" i="6" s="1"/>
  <c r="T834" i="6"/>
  <c r="B835" i="6"/>
  <c r="C835" i="6"/>
  <c r="L835" i="6" s="1"/>
  <c r="D835" i="6"/>
  <c r="E835" i="6"/>
  <c r="F835" i="6"/>
  <c r="H835" i="6"/>
  <c r="I835" i="6"/>
  <c r="N835" i="6"/>
  <c r="Q835" i="6"/>
  <c r="S835" i="6" s="1"/>
  <c r="R835" i="6"/>
  <c r="T835" i="6"/>
  <c r="B836" i="6"/>
  <c r="C836" i="6"/>
  <c r="D836" i="6"/>
  <c r="E836" i="6"/>
  <c r="F836" i="6"/>
  <c r="H836" i="6"/>
  <c r="I836" i="6"/>
  <c r="N836" i="6"/>
  <c r="Q836" i="6"/>
  <c r="S836" i="6" s="1"/>
  <c r="R836" i="6"/>
  <c r="T836" i="6"/>
  <c r="B837" i="6"/>
  <c r="C837" i="6"/>
  <c r="D837" i="6"/>
  <c r="E837" i="6"/>
  <c r="L837" i="6" s="1"/>
  <c r="F837" i="6"/>
  <c r="H837" i="6"/>
  <c r="I837" i="6"/>
  <c r="N837" i="6"/>
  <c r="Q837" i="6"/>
  <c r="R837" i="6"/>
  <c r="S837" i="6"/>
  <c r="T837" i="6"/>
  <c r="B838" i="6"/>
  <c r="C838" i="6"/>
  <c r="D838" i="6"/>
  <c r="E838" i="6"/>
  <c r="F838" i="6"/>
  <c r="H838" i="6"/>
  <c r="I838" i="6"/>
  <c r="L838" i="6"/>
  <c r="N838" i="6"/>
  <c r="R838" i="6"/>
  <c r="Q838" i="6" s="1"/>
  <c r="S838" i="6" s="1"/>
  <c r="T838" i="6"/>
  <c r="B839" i="6"/>
  <c r="C839" i="6"/>
  <c r="L839" i="6" s="1"/>
  <c r="D839" i="6"/>
  <c r="E839" i="6"/>
  <c r="F839" i="6"/>
  <c r="H839" i="6"/>
  <c r="I839" i="6"/>
  <c r="N839" i="6"/>
  <c r="R839" i="6"/>
  <c r="Q839" i="6" s="1"/>
  <c r="S839" i="6" s="1"/>
  <c r="T839" i="6"/>
  <c r="B840" i="6"/>
  <c r="C840" i="6"/>
  <c r="D840" i="6"/>
  <c r="E840" i="6"/>
  <c r="F840" i="6"/>
  <c r="H840" i="6"/>
  <c r="I840" i="6"/>
  <c r="N840" i="6"/>
  <c r="R840" i="6"/>
  <c r="Q840" i="6" s="1"/>
  <c r="S840" i="6" s="1"/>
  <c r="T840" i="6"/>
  <c r="B841" i="6"/>
  <c r="C841" i="6"/>
  <c r="D841" i="6"/>
  <c r="E841" i="6"/>
  <c r="L841" i="6" s="1"/>
  <c r="F841" i="6"/>
  <c r="H841" i="6"/>
  <c r="I841" i="6"/>
  <c r="N841" i="6"/>
  <c r="Q841" i="6"/>
  <c r="R841" i="6"/>
  <c r="S841" i="6"/>
  <c r="T841" i="6"/>
  <c r="B842" i="6"/>
  <c r="C842" i="6"/>
  <c r="L842" i="6" s="1"/>
  <c r="D842" i="6"/>
  <c r="E842" i="6"/>
  <c r="F842" i="6"/>
  <c r="H842" i="6"/>
  <c r="I842" i="6"/>
  <c r="N842" i="6"/>
  <c r="R842" i="6"/>
  <c r="Q842" i="6" s="1"/>
  <c r="S842" i="6" s="1"/>
  <c r="T842" i="6"/>
  <c r="B843" i="6"/>
  <c r="C843" i="6"/>
  <c r="D843" i="6"/>
  <c r="E843" i="6"/>
  <c r="F843" i="6"/>
  <c r="H843" i="6"/>
  <c r="L843" i="6" s="1"/>
  <c r="I843" i="6"/>
  <c r="N843" i="6"/>
  <c r="Q843" i="6"/>
  <c r="S843" i="6" s="1"/>
  <c r="R843" i="6"/>
  <c r="T843" i="6"/>
  <c r="B844" i="6"/>
  <c r="C844" i="6"/>
  <c r="L844" i="6" s="1"/>
  <c r="D844" i="6"/>
  <c r="E844" i="6"/>
  <c r="F844" i="6"/>
  <c r="H844" i="6"/>
  <c r="I844" i="6"/>
  <c r="N844" i="6"/>
  <c r="R844" i="6"/>
  <c r="Q844" i="6" s="1"/>
  <c r="S844" i="6" s="1"/>
  <c r="T844" i="6"/>
  <c r="B845" i="6"/>
  <c r="C845" i="6"/>
  <c r="D845" i="6"/>
  <c r="E845" i="6"/>
  <c r="F845" i="6"/>
  <c r="H845" i="6"/>
  <c r="I845" i="6"/>
  <c r="L845" i="6"/>
  <c r="N845" i="6"/>
  <c r="Q845" i="6"/>
  <c r="R845" i="6"/>
  <c r="S845" i="6"/>
  <c r="T845" i="6"/>
  <c r="B846" i="6"/>
  <c r="C846" i="6"/>
  <c r="D846" i="6"/>
  <c r="L846" i="6" s="1"/>
  <c r="E846" i="6"/>
  <c r="F846" i="6"/>
  <c r="H846" i="6"/>
  <c r="I846" i="6"/>
  <c r="N846" i="6"/>
  <c r="R846" i="6"/>
  <c r="Q846" i="6" s="1"/>
  <c r="S846" i="6" s="1"/>
  <c r="T846" i="6"/>
  <c r="B847" i="6"/>
  <c r="C847" i="6"/>
  <c r="D847" i="6"/>
  <c r="E847" i="6"/>
  <c r="F847" i="6"/>
  <c r="H847" i="6"/>
  <c r="I847" i="6"/>
  <c r="N847" i="6"/>
  <c r="Q847" i="6"/>
  <c r="S847" i="6" s="1"/>
  <c r="R847" i="6"/>
  <c r="T847" i="6"/>
  <c r="B848" i="6"/>
  <c r="C848" i="6"/>
  <c r="L848" i="6" s="1"/>
  <c r="D848" i="6"/>
  <c r="E848" i="6"/>
  <c r="F848" i="6"/>
  <c r="H848" i="6"/>
  <c r="I848" i="6"/>
  <c r="N848" i="6"/>
  <c r="R848" i="6"/>
  <c r="Q848" i="6" s="1"/>
  <c r="S848" i="6" s="1"/>
  <c r="T848" i="6"/>
  <c r="B849" i="6"/>
  <c r="C849" i="6"/>
  <c r="L849" i="6" s="1"/>
  <c r="D849" i="6"/>
  <c r="E849" i="6"/>
  <c r="F849" i="6"/>
  <c r="H849" i="6"/>
  <c r="I849" i="6"/>
  <c r="N849" i="6"/>
  <c r="Q849" i="6"/>
  <c r="S849" i="6" s="1"/>
  <c r="R849" i="6"/>
  <c r="T849" i="6"/>
  <c r="B850" i="6"/>
  <c r="C850" i="6"/>
  <c r="L850" i="6" s="1"/>
  <c r="D850" i="6"/>
  <c r="E850" i="6"/>
  <c r="F850" i="6"/>
  <c r="H850" i="6"/>
  <c r="I850" i="6"/>
  <c r="N850" i="6"/>
  <c r="R850" i="6"/>
  <c r="Q850" i="6" s="1"/>
  <c r="S850" i="6"/>
  <c r="T850" i="6"/>
  <c r="B851" i="6"/>
  <c r="C851" i="6"/>
  <c r="L851" i="6" s="1"/>
  <c r="D851" i="6"/>
  <c r="E851" i="6"/>
  <c r="F851" i="6"/>
  <c r="H851" i="6"/>
  <c r="I851" i="6"/>
  <c r="N851" i="6"/>
  <c r="Q851" i="6"/>
  <c r="S851" i="6" s="1"/>
  <c r="R851" i="6"/>
  <c r="T851" i="6"/>
  <c r="B852" i="6"/>
  <c r="C852" i="6"/>
  <c r="D852" i="6"/>
  <c r="E852" i="6"/>
  <c r="F852" i="6"/>
  <c r="H852" i="6"/>
  <c r="I852" i="6"/>
  <c r="N852" i="6"/>
  <c r="R852" i="6"/>
  <c r="Q852" i="6" s="1"/>
  <c r="S852" i="6" s="1"/>
  <c r="T852" i="6"/>
  <c r="B853" i="6"/>
  <c r="C853" i="6"/>
  <c r="D853" i="6"/>
  <c r="E853" i="6"/>
  <c r="F853" i="6"/>
  <c r="H853" i="6"/>
  <c r="I853" i="6"/>
  <c r="L853" i="6"/>
  <c r="N853" i="6"/>
  <c r="Q853" i="6"/>
  <c r="R853" i="6"/>
  <c r="S853" i="6"/>
  <c r="T853" i="6"/>
  <c r="B854" i="6"/>
  <c r="C854" i="6"/>
  <c r="D854" i="6"/>
  <c r="L854" i="6" s="1"/>
  <c r="E854" i="6"/>
  <c r="F854" i="6"/>
  <c r="H854" i="6"/>
  <c r="I854" i="6"/>
  <c r="N854" i="6"/>
  <c r="R854" i="6"/>
  <c r="Q854" i="6" s="1"/>
  <c r="S854" i="6" s="1"/>
  <c r="T854" i="6"/>
  <c r="B855" i="6"/>
  <c r="C855" i="6"/>
  <c r="L855" i="6" s="1"/>
  <c r="D855" i="6"/>
  <c r="E855" i="6"/>
  <c r="F855" i="6"/>
  <c r="H855" i="6"/>
  <c r="I855" i="6"/>
  <c r="N855" i="6"/>
  <c r="R855" i="6"/>
  <c r="Q855" i="6" s="1"/>
  <c r="S855" i="6" s="1"/>
  <c r="T855" i="6"/>
  <c r="B856" i="6"/>
  <c r="C856" i="6"/>
  <c r="D856" i="6"/>
  <c r="E856" i="6"/>
  <c r="F856" i="6"/>
  <c r="H856" i="6"/>
  <c r="I856" i="6"/>
  <c r="N856" i="6"/>
  <c r="R856" i="6"/>
  <c r="Q856" i="6" s="1"/>
  <c r="S856" i="6" s="1"/>
  <c r="T856" i="6"/>
  <c r="B857" i="6"/>
  <c r="C857" i="6"/>
  <c r="D857" i="6"/>
  <c r="E857" i="6"/>
  <c r="F857" i="6"/>
  <c r="H857" i="6"/>
  <c r="I857" i="6"/>
  <c r="N857" i="6"/>
  <c r="Q857" i="6"/>
  <c r="S857" i="6" s="1"/>
  <c r="R857" i="6"/>
  <c r="T857" i="6"/>
  <c r="B858" i="6"/>
  <c r="C858" i="6"/>
  <c r="D858" i="6"/>
  <c r="E858" i="6"/>
  <c r="F858" i="6"/>
  <c r="H858" i="6"/>
  <c r="I858" i="6"/>
  <c r="N858" i="6"/>
  <c r="R858" i="6"/>
  <c r="Q858" i="6" s="1"/>
  <c r="S858" i="6"/>
  <c r="T858" i="6"/>
  <c r="B859" i="6"/>
  <c r="C859" i="6"/>
  <c r="L859" i="6" s="1"/>
  <c r="D859" i="6"/>
  <c r="E859" i="6"/>
  <c r="F859" i="6"/>
  <c r="H859" i="6"/>
  <c r="I859" i="6"/>
  <c r="N859" i="6"/>
  <c r="Q859" i="6"/>
  <c r="S859" i="6" s="1"/>
  <c r="R859" i="6"/>
  <c r="T859" i="6"/>
  <c r="B860" i="6"/>
  <c r="C860" i="6"/>
  <c r="D860" i="6"/>
  <c r="E860" i="6"/>
  <c r="F860" i="6"/>
  <c r="H860" i="6"/>
  <c r="I860" i="6"/>
  <c r="N860" i="6"/>
  <c r="Q860" i="6"/>
  <c r="S860" i="6" s="1"/>
  <c r="R860" i="6"/>
  <c r="T860" i="6"/>
  <c r="B861" i="6"/>
  <c r="C861" i="6"/>
  <c r="D861" i="6"/>
  <c r="E861" i="6"/>
  <c r="F861" i="6"/>
  <c r="H861" i="6"/>
  <c r="I861" i="6"/>
  <c r="N861" i="6"/>
  <c r="Q861" i="6"/>
  <c r="R861" i="6"/>
  <c r="S861" i="6"/>
  <c r="T861" i="6"/>
  <c r="B862" i="6"/>
  <c r="C862" i="6"/>
  <c r="D862" i="6"/>
  <c r="E862" i="6"/>
  <c r="F862" i="6"/>
  <c r="H862" i="6"/>
  <c r="I862" i="6"/>
  <c r="L862" i="6" s="1"/>
  <c r="N862" i="6"/>
  <c r="R862" i="6"/>
  <c r="Q862" i="6" s="1"/>
  <c r="S862" i="6" s="1"/>
  <c r="T862" i="6"/>
  <c r="B863" i="6"/>
  <c r="C863" i="6"/>
  <c r="D863" i="6"/>
  <c r="E863" i="6"/>
  <c r="F863" i="6"/>
  <c r="H863" i="6"/>
  <c r="I863" i="6"/>
  <c r="N863" i="6"/>
  <c r="R863" i="6"/>
  <c r="Q863" i="6" s="1"/>
  <c r="S863" i="6"/>
  <c r="T863" i="6"/>
  <c r="B864" i="6"/>
  <c r="C864" i="6"/>
  <c r="L864" i="6" s="1"/>
  <c r="D864" i="6"/>
  <c r="E864" i="6"/>
  <c r="F864" i="6"/>
  <c r="H864" i="6"/>
  <c r="I864" i="6"/>
  <c r="N864" i="6"/>
  <c r="R864" i="6"/>
  <c r="Q864" i="6" s="1"/>
  <c r="S864" i="6" s="1"/>
  <c r="T864" i="6"/>
  <c r="B865" i="6"/>
  <c r="C865" i="6"/>
  <c r="D865" i="6"/>
  <c r="E865" i="6"/>
  <c r="F865" i="6"/>
  <c r="H865" i="6"/>
  <c r="I865" i="6"/>
  <c r="L865" i="6"/>
  <c r="N865" i="6"/>
  <c r="Q865" i="6"/>
  <c r="S865" i="6" s="1"/>
  <c r="R865" i="6"/>
  <c r="T865" i="6"/>
  <c r="B866" i="6"/>
  <c r="C866" i="6"/>
  <c r="D866" i="6"/>
  <c r="E866" i="6"/>
  <c r="F866" i="6"/>
  <c r="H866" i="6"/>
  <c r="I866" i="6"/>
  <c r="N866" i="6"/>
  <c r="R866" i="6"/>
  <c r="Q866" i="6" s="1"/>
  <c r="S866" i="6"/>
  <c r="T866" i="6"/>
  <c r="B867" i="6"/>
  <c r="C867" i="6"/>
  <c r="D867" i="6"/>
  <c r="E867" i="6"/>
  <c r="F867" i="6"/>
  <c r="H867" i="6"/>
  <c r="I867" i="6"/>
  <c r="L867" i="6"/>
  <c r="N867" i="6"/>
  <c r="Q867" i="6"/>
  <c r="S867" i="6" s="1"/>
  <c r="R867" i="6"/>
  <c r="T867" i="6"/>
  <c r="B868" i="6"/>
  <c r="C868" i="6"/>
  <c r="D868" i="6"/>
  <c r="E868" i="6"/>
  <c r="F868" i="6"/>
  <c r="H868" i="6"/>
  <c r="I868" i="6"/>
  <c r="N868" i="6"/>
  <c r="R868" i="6"/>
  <c r="Q868" i="6" s="1"/>
  <c r="S868" i="6" s="1"/>
  <c r="T868" i="6"/>
  <c r="B869" i="6"/>
  <c r="C869" i="6"/>
  <c r="D869" i="6"/>
  <c r="E869" i="6"/>
  <c r="F869" i="6"/>
  <c r="H869" i="6"/>
  <c r="I869" i="6"/>
  <c r="L869" i="6"/>
  <c r="N869" i="6"/>
  <c r="Q869" i="6"/>
  <c r="R869" i="6"/>
  <c r="S869" i="6"/>
  <c r="T869" i="6"/>
  <c r="B870" i="6"/>
  <c r="C870" i="6"/>
  <c r="D870" i="6"/>
  <c r="L870" i="6" s="1"/>
  <c r="E870" i="6"/>
  <c r="F870" i="6"/>
  <c r="H870" i="6"/>
  <c r="I870" i="6"/>
  <c r="N870" i="6"/>
  <c r="R870" i="6"/>
  <c r="Q870" i="6" s="1"/>
  <c r="S870" i="6" s="1"/>
  <c r="T870" i="6"/>
  <c r="B871" i="6"/>
  <c r="C871" i="6"/>
  <c r="D871" i="6"/>
  <c r="E871" i="6"/>
  <c r="F871" i="6"/>
  <c r="H871" i="6"/>
  <c r="I871" i="6"/>
  <c r="N871" i="6"/>
  <c r="Q871" i="6"/>
  <c r="S871" i="6" s="1"/>
  <c r="R871" i="6"/>
  <c r="T871" i="6"/>
  <c r="B872" i="6"/>
  <c r="C872" i="6"/>
  <c r="D872" i="6"/>
  <c r="E872" i="6"/>
  <c r="F872" i="6"/>
  <c r="H872" i="6"/>
  <c r="I872" i="6"/>
  <c r="N872" i="6"/>
  <c r="R872" i="6"/>
  <c r="Q872" i="6" s="1"/>
  <c r="S872" i="6" s="1"/>
  <c r="T872" i="6"/>
  <c r="B873" i="6"/>
  <c r="C873" i="6"/>
  <c r="L873" i="6" s="1"/>
  <c r="D873" i="6"/>
  <c r="E873" i="6"/>
  <c r="F873" i="6"/>
  <c r="H873" i="6"/>
  <c r="I873" i="6"/>
  <c r="N873" i="6"/>
  <c r="Q873" i="6"/>
  <c r="S873" i="6" s="1"/>
  <c r="R873" i="6"/>
  <c r="T873" i="6"/>
  <c r="B874" i="6"/>
  <c r="C874" i="6"/>
  <c r="D874" i="6"/>
  <c r="E874" i="6"/>
  <c r="F874" i="6"/>
  <c r="H874" i="6"/>
  <c r="I874" i="6"/>
  <c r="N874" i="6"/>
  <c r="R874" i="6"/>
  <c r="Q874" i="6" s="1"/>
  <c r="S874" i="6"/>
  <c r="T874" i="6"/>
  <c r="B875" i="6"/>
  <c r="C875" i="6"/>
  <c r="L875" i="6" s="1"/>
  <c r="D875" i="6"/>
  <c r="E875" i="6"/>
  <c r="F875" i="6"/>
  <c r="H875" i="6"/>
  <c r="I875" i="6"/>
  <c r="N875" i="6"/>
  <c r="Q875" i="6"/>
  <c r="S875" i="6" s="1"/>
  <c r="R875" i="6"/>
  <c r="T875" i="6"/>
  <c r="B876" i="6"/>
  <c r="C876" i="6"/>
  <c r="D876" i="6"/>
  <c r="E876" i="6"/>
  <c r="F876" i="6"/>
  <c r="H876" i="6"/>
  <c r="I876" i="6"/>
  <c r="N876" i="6"/>
  <c r="Q876" i="6"/>
  <c r="S876" i="6" s="1"/>
  <c r="R876" i="6"/>
  <c r="T876" i="6"/>
  <c r="B877" i="6"/>
  <c r="C877" i="6"/>
  <c r="D877" i="6"/>
  <c r="E877" i="6"/>
  <c r="L877" i="6" s="1"/>
  <c r="F877" i="6"/>
  <c r="H877" i="6"/>
  <c r="I877" i="6"/>
  <c r="N877" i="6"/>
  <c r="Q877" i="6"/>
  <c r="R877" i="6"/>
  <c r="S877" i="6"/>
  <c r="T877" i="6"/>
  <c r="B878" i="6"/>
  <c r="C878" i="6"/>
  <c r="D878" i="6"/>
  <c r="E878" i="6"/>
  <c r="F878" i="6"/>
  <c r="H878" i="6"/>
  <c r="I878" i="6"/>
  <c r="L878" i="6" s="1"/>
  <c r="N878" i="6"/>
  <c r="R878" i="6"/>
  <c r="Q878" i="6" s="1"/>
  <c r="S878" i="6" s="1"/>
  <c r="T878" i="6"/>
  <c r="B879" i="6"/>
  <c r="C879" i="6"/>
  <c r="L879" i="6" s="1"/>
  <c r="D879" i="6"/>
  <c r="E879" i="6"/>
  <c r="F879" i="6"/>
  <c r="H879" i="6"/>
  <c r="I879" i="6"/>
  <c r="N879" i="6"/>
  <c r="R879" i="6"/>
  <c r="Q879" i="6" s="1"/>
  <c r="S879" i="6" s="1"/>
  <c r="T879" i="6"/>
  <c r="B880" i="6"/>
  <c r="C880" i="6"/>
  <c r="D880" i="6"/>
  <c r="E880" i="6"/>
  <c r="F880" i="6"/>
  <c r="H880" i="6"/>
  <c r="I880" i="6"/>
  <c r="N880" i="6"/>
  <c r="R880" i="6"/>
  <c r="Q880" i="6" s="1"/>
  <c r="S880" i="6" s="1"/>
  <c r="T880" i="6"/>
  <c r="B881" i="6"/>
  <c r="C881" i="6"/>
  <c r="D881" i="6"/>
  <c r="E881" i="6"/>
  <c r="L881" i="6" s="1"/>
  <c r="F881" i="6"/>
  <c r="H881" i="6"/>
  <c r="I881" i="6"/>
  <c r="N881" i="6"/>
  <c r="Q881" i="6"/>
  <c r="R881" i="6"/>
  <c r="S881" i="6"/>
  <c r="T881" i="6"/>
  <c r="B882" i="6"/>
  <c r="C882" i="6"/>
  <c r="D882" i="6"/>
  <c r="E882" i="6"/>
  <c r="F882" i="6"/>
  <c r="H882" i="6"/>
  <c r="I882" i="6"/>
  <c r="N882" i="6"/>
  <c r="R882" i="6"/>
  <c r="Q882" i="6" s="1"/>
  <c r="S882" i="6" s="1"/>
  <c r="T882" i="6"/>
  <c r="B883" i="6"/>
  <c r="C883" i="6"/>
  <c r="D883" i="6"/>
  <c r="E883" i="6"/>
  <c r="F883" i="6"/>
  <c r="H883" i="6"/>
  <c r="L883" i="6" s="1"/>
  <c r="I883" i="6"/>
  <c r="N883" i="6"/>
  <c r="Q883" i="6"/>
  <c r="S883" i="6" s="1"/>
  <c r="R883" i="6"/>
  <c r="T883" i="6"/>
  <c r="B884" i="6"/>
  <c r="C884" i="6"/>
  <c r="L884" i="6" s="1"/>
  <c r="D884" i="6"/>
  <c r="E884" i="6"/>
  <c r="F884" i="6"/>
  <c r="H884" i="6"/>
  <c r="I884" i="6"/>
  <c r="N884" i="6"/>
  <c r="R884" i="6"/>
  <c r="Q884" i="6" s="1"/>
  <c r="S884" i="6" s="1"/>
  <c r="T884" i="6"/>
  <c r="B885" i="6"/>
  <c r="C885" i="6"/>
  <c r="D885" i="6"/>
  <c r="E885" i="6"/>
  <c r="F885" i="6"/>
  <c r="H885" i="6"/>
  <c r="I885" i="6"/>
  <c r="N885" i="6"/>
  <c r="Q885" i="6"/>
  <c r="R885" i="6"/>
  <c r="S885" i="6"/>
  <c r="T885" i="6"/>
  <c r="B886" i="6"/>
  <c r="C886" i="6"/>
  <c r="D886" i="6"/>
  <c r="E886" i="6"/>
  <c r="F886" i="6"/>
  <c r="H886" i="6"/>
  <c r="I886" i="6"/>
  <c r="L886" i="6" s="1"/>
  <c r="N886" i="6"/>
  <c r="R886" i="6"/>
  <c r="Q886" i="6" s="1"/>
  <c r="S886" i="6" s="1"/>
  <c r="T886" i="6"/>
  <c r="B887" i="6"/>
  <c r="C887" i="6"/>
  <c r="D887" i="6"/>
  <c r="E887" i="6"/>
  <c r="F887" i="6"/>
  <c r="H887" i="6"/>
  <c r="I887" i="6"/>
  <c r="N887" i="6"/>
  <c r="Q887" i="6"/>
  <c r="S887" i="6" s="1"/>
  <c r="R887" i="6"/>
  <c r="T887" i="6"/>
  <c r="B888" i="6"/>
  <c r="C888" i="6"/>
  <c r="L888" i="6" s="1"/>
  <c r="D888" i="6"/>
  <c r="E888" i="6"/>
  <c r="F888" i="6"/>
  <c r="H888" i="6"/>
  <c r="I888" i="6"/>
  <c r="N888" i="6"/>
  <c r="R888" i="6"/>
  <c r="Q888" i="6" s="1"/>
  <c r="S888" i="6" s="1"/>
  <c r="T888" i="6"/>
  <c r="B889" i="6"/>
  <c r="C889" i="6"/>
  <c r="D889" i="6"/>
  <c r="E889" i="6"/>
  <c r="F889" i="6"/>
  <c r="H889" i="6"/>
  <c r="I889" i="6"/>
  <c r="L889" i="6"/>
  <c r="N889" i="6"/>
  <c r="Q889" i="6"/>
  <c r="S889" i="6" s="1"/>
  <c r="R889" i="6"/>
  <c r="T889" i="6"/>
  <c r="B890" i="6"/>
  <c r="C890" i="6"/>
  <c r="D890" i="6"/>
  <c r="E890" i="6"/>
  <c r="F890" i="6"/>
  <c r="H890" i="6"/>
  <c r="I890" i="6"/>
  <c r="N890" i="6"/>
  <c r="R890" i="6"/>
  <c r="Q890" i="6" s="1"/>
  <c r="S890" i="6" s="1"/>
  <c r="T890" i="6"/>
  <c r="B891" i="6"/>
  <c r="C891" i="6"/>
  <c r="D891" i="6"/>
  <c r="E891" i="6"/>
  <c r="F891" i="6"/>
  <c r="H891" i="6"/>
  <c r="I891" i="6"/>
  <c r="L891" i="6"/>
  <c r="N891" i="6"/>
  <c r="Q891" i="6"/>
  <c r="S891" i="6" s="1"/>
  <c r="R891" i="6"/>
  <c r="T891" i="6"/>
  <c r="B892" i="6"/>
  <c r="C892" i="6"/>
  <c r="L892" i="6" s="1"/>
  <c r="D892" i="6"/>
  <c r="E892" i="6"/>
  <c r="F892" i="6"/>
  <c r="H892" i="6"/>
  <c r="I892" i="6"/>
  <c r="N892" i="6"/>
  <c r="R892" i="6"/>
  <c r="Q892" i="6" s="1"/>
  <c r="T892" i="6"/>
  <c r="B893" i="6"/>
  <c r="C893" i="6"/>
  <c r="D893" i="6"/>
  <c r="E893" i="6"/>
  <c r="F893" i="6"/>
  <c r="H893" i="6"/>
  <c r="I893" i="6"/>
  <c r="L893" i="6"/>
  <c r="N893" i="6"/>
  <c r="Q893" i="6"/>
  <c r="R893" i="6"/>
  <c r="S893" i="6"/>
  <c r="T893" i="6"/>
  <c r="B894" i="6"/>
  <c r="C894" i="6"/>
  <c r="D894" i="6"/>
  <c r="L894" i="6" s="1"/>
  <c r="E894" i="6"/>
  <c r="F894" i="6"/>
  <c r="H894" i="6"/>
  <c r="I894" i="6"/>
  <c r="N894" i="6"/>
  <c r="R894" i="6"/>
  <c r="Q894" i="6" s="1"/>
  <c r="S894" i="6" s="1"/>
  <c r="T894" i="6"/>
  <c r="B895" i="6"/>
  <c r="C895" i="6"/>
  <c r="L895" i="6" s="1"/>
  <c r="D895" i="6"/>
  <c r="E895" i="6"/>
  <c r="F895" i="6"/>
  <c r="H895" i="6"/>
  <c r="I895" i="6"/>
  <c r="N895" i="6"/>
  <c r="Q895" i="6"/>
  <c r="S895" i="6" s="1"/>
  <c r="R895" i="6"/>
  <c r="T895" i="6"/>
  <c r="B896" i="6"/>
  <c r="C896" i="6"/>
  <c r="D896" i="6"/>
  <c r="E896" i="6"/>
  <c r="F896" i="6"/>
  <c r="H896" i="6"/>
  <c r="I896" i="6"/>
  <c r="N896" i="6"/>
  <c r="R896" i="6"/>
  <c r="Q896" i="6" s="1"/>
  <c r="S896" i="6" s="1"/>
  <c r="T896" i="6"/>
  <c r="B897" i="6"/>
  <c r="C897" i="6"/>
  <c r="L897" i="6" s="1"/>
  <c r="D897" i="6"/>
  <c r="E897" i="6"/>
  <c r="F897" i="6"/>
  <c r="H897" i="6"/>
  <c r="I897" i="6"/>
  <c r="N897" i="6"/>
  <c r="Q897" i="6"/>
  <c r="R897" i="6"/>
  <c r="S897" i="6"/>
  <c r="T897" i="6"/>
  <c r="B898" i="6"/>
  <c r="C898" i="6"/>
  <c r="D898" i="6"/>
  <c r="E898" i="6"/>
  <c r="F898" i="6"/>
  <c r="H898" i="6"/>
  <c r="I898" i="6"/>
  <c r="N898" i="6"/>
  <c r="R898" i="6"/>
  <c r="Q898" i="6" s="1"/>
  <c r="S898" i="6" s="1"/>
  <c r="T898" i="6"/>
  <c r="B899" i="6"/>
  <c r="C899" i="6"/>
  <c r="L899" i="6" s="1"/>
  <c r="D899" i="6"/>
  <c r="E899" i="6"/>
  <c r="F899" i="6"/>
  <c r="H899" i="6"/>
  <c r="I899" i="6"/>
  <c r="N899" i="6"/>
  <c r="Q899" i="6"/>
  <c r="S899" i="6" s="1"/>
  <c r="R899" i="6"/>
  <c r="T899" i="6"/>
  <c r="B900" i="6"/>
  <c r="C900" i="6"/>
  <c r="D900" i="6"/>
  <c r="E900" i="6"/>
  <c r="F900" i="6"/>
  <c r="H900" i="6"/>
  <c r="I900" i="6"/>
  <c r="N900" i="6"/>
  <c r="Q900" i="6"/>
  <c r="S900" i="6" s="1"/>
  <c r="R900" i="6"/>
  <c r="T900" i="6"/>
  <c r="B901" i="6"/>
  <c r="C901" i="6"/>
  <c r="D901" i="6"/>
  <c r="E901" i="6"/>
  <c r="F901" i="6"/>
  <c r="H901" i="6"/>
  <c r="I901" i="6"/>
  <c r="N901" i="6"/>
  <c r="Q901" i="6"/>
  <c r="R901" i="6"/>
  <c r="S901" i="6"/>
  <c r="T901" i="6"/>
  <c r="B902" i="6"/>
  <c r="C902" i="6"/>
  <c r="D902" i="6"/>
  <c r="E902" i="6"/>
  <c r="F902" i="6"/>
  <c r="H902" i="6"/>
  <c r="I902" i="6"/>
  <c r="L902" i="6"/>
  <c r="N902" i="6"/>
  <c r="R902" i="6"/>
  <c r="Q902" i="6" s="1"/>
  <c r="S902" i="6" s="1"/>
  <c r="T902" i="6"/>
  <c r="B903" i="6"/>
  <c r="C903" i="6"/>
  <c r="D903" i="6"/>
  <c r="E903" i="6"/>
  <c r="F903" i="6"/>
  <c r="H903" i="6"/>
  <c r="I903" i="6"/>
  <c r="N903" i="6"/>
  <c r="R903" i="6"/>
  <c r="Q903" i="6" s="1"/>
  <c r="S903" i="6" s="1"/>
  <c r="T903" i="6"/>
  <c r="B904" i="6"/>
  <c r="C904" i="6"/>
  <c r="D904" i="6"/>
  <c r="E904" i="6"/>
  <c r="F904" i="6"/>
  <c r="H904" i="6"/>
  <c r="I904" i="6"/>
  <c r="N904" i="6"/>
  <c r="R904" i="6"/>
  <c r="Q904" i="6" s="1"/>
  <c r="S904" i="6" s="1"/>
  <c r="T904" i="6"/>
  <c r="B905" i="6"/>
  <c r="C905" i="6"/>
  <c r="D905" i="6"/>
  <c r="E905" i="6"/>
  <c r="L905" i="6" s="1"/>
  <c r="F905" i="6"/>
  <c r="H905" i="6"/>
  <c r="I905" i="6"/>
  <c r="N905" i="6"/>
  <c r="Q905" i="6"/>
  <c r="R905" i="6"/>
  <c r="S905" i="6"/>
  <c r="T905" i="6"/>
  <c r="B906" i="6"/>
  <c r="C906" i="6"/>
  <c r="D906" i="6"/>
  <c r="E906" i="6"/>
  <c r="F906" i="6"/>
  <c r="H906" i="6"/>
  <c r="I906" i="6"/>
  <c r="N906" i="6"/>
  <c r="R906" i="6"/>
  <c r="Q906" i="6" s="1"/>
  <c r="S906" i="6"/>
  <c r="T906" i="6"/>
  <c r="B907" i="6"/>
  <c r="C907" i="6"/>
  <c r="D907" i="6"/>
  <c r="E907" i="6"/>
  <c r="F907" i="6"/>
  <c r="H907" i="6"/>
  <c r="I907" i="6"/>
  <c r="N907" i="6"/>
  <c r="Q907" i="6"/>
  <c r="S907" i="6" s="1"/>
  <c r="R907" i="6"/>
  <c r="T907" i="6"/>
  <c r="B908" i="6"/>
  <c r="C908" i="6"/>
  <c r="L908" i="6" s="1"/>
  <c r="D908" i="6"/>
  <c r="E908" i="6"/>
  <c r="F908" i="6"/>
  <c r="H908" i="6"/>
  <c r="I908" i="6"/>
  <c r="N908" i="6"/>
  <c r="R908" i="6"/>
  <c r="Q908" i="6" s="1"/>
  <c r="T908" i="6"/>
  <c r="B909" i="6"/>
  <c r="C909" i="6"/>
  <c r="D909" i="6"/>
  <c r="E909" i="6"/>
  <c r="F909" i="6"/>
  <c r="H909" i="6"/>
  <c r="I909" i="6"/>
  <c r="N909" i="6"/>
  <c r="Q909" i="6"/>
  <c r="R909" i="6"/>
  <c r="S909" i="6"/>
  <c r="T909" i="6"/>
  <c r="B910" i="6"/>
  <c r="C910" i="6"/>
  <c r="D910" i="6"/>
  <c r="E910" i="6"/>
  <c r="F910" i="6"/>
  <c r="H910" i="6"/>
  <c r="I910" i="6"/>
  <c r="L910" i="6"/>
  <c r="N910" i="6"/>
  <c r="R910" i="6"/>
  <c r="Q910" i="6" s="1"/>
  <c r="S910" i="6" s="1"/>
  <c r="T910" i="6"/>
  <c r="B911" i="6"/>
  <c r="C911" i="6"/>
  <c r="D911" i="6"/>
  <c r="E911" i="6"/>
  <c r="F911" i="6"/>
  <c r="H911" i="6"/>
  <c r="I911" i="6"/>
  <c r="N911" i="6"/>
  <c r="Q911" i="6"/>
  <c r="S911" i="6" s="1"/>
  <c r="R911" i="6"/>
  <c r="T911" i="6"/>
  <c r="B912" i="6"/>
  <c r="C912" i="6"/>
  <c r="L912" i="6" s="1"/>
  <c r="D912" i="6"/>
  <c r="E912" i="6"/>
  <c r="F912" i="6"/>
  <c r="H912" i="6"/>
  <c r="I912" i="6"/>
  <c r="N912" i="6"/>
  <c r="R912" i="6"/>
  <c r="Q912" i="6" s="1"/>
  <c r="S912" i="6" s="1"/>
  <c r="T912" i="6"/>
  <c r="B913" i="6"/>
  <c r="C913" i="6"/>
  <c r="L913" i="6" s="1"/>
  <c r="D913" i="6"/>
  <c r="E913" i="6"/>
  <c r="F913" i="6"/>
  <c r="H913" i="6"/>
  <c r="I913" i="6"/>
  <c r="N913" i="6"/>
  <c r="Q913" i="6"/>
  <c r="S913" i="6" s="1"/>
  <c r="R913" i="6"/>
  <c r="T913" i="6"/>
  <c r="B914" i="6"/>
  <c r="C914" i="6"/>
  <c r="D914" i="6"/>
  <c r="E914" i="6"/>
  <c r="F914" i="6"/>
  <c r="H914" i="6"/>
  <c r="I914" i="6"/>
  <c r="N914" i="6"/>
  <c r="R914" i="6"/>
  <c r="Q914" i="6" s="1"/>
  <c r="S914" i="6"/>
  <c r="T914" i="6"/>
  <c r="B915" i="6"/>
  <c r="C915" i="6"/>
  <c r="L915" i="6" s="1"/>
  <c r="D915" i="6"/>
  <c r="E915" i="6"/>
  <c r="F915" i="6"/>
  <c r="H915" i="6"/>
  <c r="I915" i="6"/>
  <c r="N915" i="6"/>
  <c r="Q915" i="6"/>
  <c r="S915" i="6" s="1"/>
  <c r="R915" i="6"/>
  <c r="T915" i="6"/>
  <c r="B916" i="6"/>
  <c r="C916" i="6"/>
  <c r="D916" i="6"/>
  <c r="E916" i="6"/>
  <c r="F916" i="6"/>
  <c r="H916" i="6"/>
  <c r="I916" i="6"/>
  <c r="N916" i="6"/>
  <c r="R916" i="6"/>
  <c r="Q916" i="6" s="1"/>
  <c r="S916" i="6" s="1"/>
  <c r="T916" i="6"/>
  <c r="B917" i="6"/>
  <c r="C917" i="6"/>
  <c r="D917" i="6"/>
  <c r="E917" i="6"/>
  <c r="F917" i="6"/>
  <c r="H917" i="6"/>
  <c r="I917" i="6"/>
  <c r="L917" i="6"/>
  <c r="N917" i="6"/>
  <c r="Q917" i="6"/>
  <c r="R917" i="6"/>
  <c r="S917" i="6"/>
  <c r="T917" i="6"/>
  <c r="B918" i="6"/>
  <c r="C918" i="6"/>
  <c r="D918" i="6"/>
  <c r="L918" i="6" s="1"/>
  <c r="E918" i="6"/>
  <c r="F918" i="6"/>
  <c r="H918" i="6"/>
  <c r="I918" i="6"/>
  <c r="N918" i="6"/>
  <c r="R918" i="6"/>
  <c r="Q918" i="6" s="1"/>
  <c r="S918" i="6" s="1"/>
  <c r="T918" i="6"/>
  <c r="B919" i="6"/>
  <c r="C919" i="6"/>
  <c r="D919" i="6"/>
  <c r="E919" i="6"/>
  <c r="F919" i="6"/>
  <c r="H919" i="6"/>
  <c r="I919" i="6"/>
  <c r="N919" i="6"/>
  <c r="Q919" i="6"/>
  <c r="R919" i="6"/>
  <c r="S919" i="6"/>
  <c r="T919" i="6"/>
  <c r="B920" i="6"/>
  <c r="C920" i="6"/>
  <c r="D920" i="6"/>
  <c r="E920" i="6"/>
  <c r="F920" i="6"/>
  <c r="H920" i="6"/>
  <c r="I920" i="6"/>
  <c r="N920" i="6"/>
  <c r="R920" i="6"/>
  <c r="Q920" i="6" s="1"/>
  <c r="S920" i="6" s="1"/>
  <c r="T920" i="6"/>
  <c r="B921" i="6"/>
  <c r="C921" i="6"/>
  <c r="L921" i="6" s="1"/>
  <c r="D921" i="6"/>
  <c r="E921" i="6"/>
  <c r="F921" i="6"/>
  <c r="H921" i="6"/>
  <c r="I921" i="6"/>
  <c r="N921" i="6"/>
  <c r="Q921" i="6"/>
  <c r="R921" i="6"/>
  <c r="S921" i="6"/>
  <c r="T921" i="6"/>
  <c r="B922" i="6"/>
  <c r="C922" i="6"/>
  <c r="D922" i="6"/>
  <c r="E922" i="6"/>
  <c r="F922" i="6"/>
  <c r="H922" i="6"/>
  <c r="I922" i="6"/>
  <c r="N922" i="6"/>
  <c r="R922" i="6"/>
  <c r="Q922" i="6" s="1"/>
  <c r="S922" i="6"/>
  <c r="T922" i="6"/>
  <c r="B923" i="6"/>
  <c r="C923" i="6"/>
  <c r="L923" i="6" s="1"/>
  <c r="D923" i="6"/>
  <c r="E923" i="6"/>
  <c r="F923" i="6"/>
  <c r="H923" i="6"/>
  <c r="I923" i="6"/>
  <c r="N923" i="6"/>
  <c r="Q923" i="6"/>
  <c r="S923" i="6" s="1"/>
  <c r="R923" i="6"/>
  <c r="T923" i="6"/>
  <c r="B924" i="6"/>
  <c r="C924" i="6"/>
  <c r="D924" i="6"/>
  <c r="E924" i="6"/>
  <c r="F924" i="6"/>
  <c r="H924" i="6"/>
  <c r="I924" i="6"/>
  <c r="N924" i="6"/>
  <c r="Q924" i="6"/>
  <c r="S924" i="6" s="1"/>
  <c r="R924" i="6"/>
  <c r="T924" i="6"/>
  <c r="B925" i="6"/>
  <c r="C925" i="6"/>
  <c r="D925" i="6"/>
  <c r="E925" i="6"/>
  <c r="F925" i="6"/>
  <c r="H925" i="6"/>
  <c r="I925" i="6"/>
  <c r="N925" i="6"/>
  <c r="Q925" i="6"/>
  <c r="R925" i="6"/>
  <c r="S925" i="6"/>
  <c r="T925" i="6"/>
  <c r="B926" i="6"/>
  <c r="C926" i="6"/>
  <c r="D926" i="6"/>
  <c r="E926" i="6"/>
  <c r="F926" i="6"/>
  <c r="H926" i="6"/>
  <c r="I926" i="6"/>
  <c r="L926" i="6" s="1"/>
  <c r="N926" i="6"/>
  <c r="R926" i="6"/>
  <c r="Q926" i="6" s="1"/>
  <c r="S926" i="6" s="1"/>
  <c r="T926" i="6"/>
  <c r="B927" i="6"/>
  <c r="C927" i="6"/>
  <c r="D927" i="6"/>
  <c r="E927" i="6"/>
  <c r="F927" i="6"/>
  <c r="H927" i="6"/>
  <c r="I927" i="6"/>
  <c r="N927" i="6"/>
  <c r="R927" i="6"/>
  <c r="Q927" i="6" s="1"/>
  <c r="S927" i="6"/>
  <c r="T927" i="6"/>
  <c r="B928" i="6"/>
  <c r="C928" i="6"/>
  <c r="D928" i="6"/>
  <c r="E928" i="6"/>
  <c r="F928" i="6"/>
  <c r="H928" i="6"/>
  <c r="I928" i="6"/>
  <c r="N928" i="6"/>
  <c r="R928" i="6"/>
  <c r="Q928" i="6" s="1"/>
  <c r="S928" i="6" s="1"/>
  <c r="T928" i="6"/>
  <c r="B929" i="6"/>
  <c r="C929" i="6"/>
  <c r="D929" i="6"/>
  <c r="E929" i="6"/>
  <c r="F929" i="6"/>
  <c r="H929" i="6"/>
  <c r="I929" i="6"/>
  <c r="L929" i="6"/>
  <c r="N929" i="6"/>
  <c r="Q929" i="6"/>
  <c r="S929" i="6" s="1"/>
  <c r="R929" i="6"/>
  <c r="T929" i="6"/>
  <c r="B930" i="6"/>
  <c r="C930" i="6"/>
  <c r="L930" i="6" s="1"/>
  <c r="D930" i="6"/>
  <c r="E930" i="6"/>
  <c r="F930" i="6"/>
  <c r="H930" i="6"/>
  <c r="I930" i="6"/>
  <c r="N930" i="6"/>
  <c r="R930" i="6"/>
  <c r="Q930" i="6" s="1"/>
  <c r="S930" i="6" s="1"/>
  <c r="T930" i="6"/>
  <c r="B931" i="6"/>
  <c r="C931" i="6"/>
  <c r="D931" i="6"/>
  <c r="E931" i="6"/>
  <c r="F931" i="6"/>
  <c r="H931" i="6"/>
  <c r="L931" i="6" s="1"/>
  <c r="I931" i="6"/>
  <c r="N931" i="6"/>
  <c r="Q931" i="6"/>
  <c r="S931" i="6" s="1"/>
  <c r="R931" i="6"/>
  <c r="T931" i="6"/>
  <c r="B932" i="6"/>
  <c r="C932" i="6"/>
  <c r="L932" i="6" s="1"/>
  <c r="D932" i="6"/>
  <c r="E932" i="6"/>
  <c r="F932" i="6"/>
  <c r="H932" i="6"/>
  <c r="I932" i="6"/>
  <c r="N932" i="6"/>
  <c r="R932" i="6"/>
  <c r="Q932" i="6" s="1"/>
  <c r="S932" i="6" s="1"/>
  <c r="T932" i="6"/>
  <c r="B933" i="6"/>
  <c r="C933" i="6"/>
  <c r="D933" i="6"/>
  <c r="E933" i="6"/>
  <c r="F933" i="6"/>
  <c r="H933" i="6"/>
  <c r="I933" i="6"/>
  <c r="L933" i="6"/>
  <c r="N933" i="6"/>
  <c r="Q933" i="6"/>
  <c r="S933" i="6" s="1"/>
  <c r="R933" i="6"/>
  <c r="T933" i="6"/>
  <c r="B934" i="6"/>
  <c r="C934" i="6"/>
  <c r="D934" i="6"/>
  <c r="L934" i="6" s="1"/>
  <c r="E934" i="6"/>
  <c r="F934" i="6"/>
  <c r="H934" i="6"/>
  <c r="I934" i="6"/>
  <c r="N934" i="6"/>
  <c r="R934" i="6"/>
  <c r="Q934" i="6" s="1"/>
  <c r="S934" i="6" s="1"/>
  <c r="T934" i="6"/>
  <c r="B935" i="6"/>
  <c r="C935" i="6"/>
  <c r="D935" i="6"/>
  <c r="E935" i="6"/>
  <c r="F935" i="6"/>
  <c r="H935" i="6"/>
  <c r="I935" i="6"/>
  <c r="L935" i="6"/>
  <c r="N935" i="6"/>
  <c r="Q935" i="6"/>
  <c r="S935" i="6" s="1"/>
  <c r="R935" i="6"/>
  <c r="T935" i="6"/>
  <c r="B936" i="6"/>
  <c r="C936" i="6"/>
  <c r="D936" i="6"/>
  <c r="E936" i="6"/>
  <c r="F936" i="6"/>
  <c r="H936" i="6"/>
  <c r="I936" i="6"/>
  <c r="N936" i="6"/>
  <c r="R936" i="6"/>
  <c r="Q936" i="6" s="1"/>
  <c r="S936" i="6" s="1"/>
  <c r="T936" i="6"/>
  <c r="B937" i="6"/>
  <c r="C937" i="6"/>
  <c r="D937" i="6"/>
  <c r="E937" i="6"/>
  <c r="F937" i="6"/>
  <c r="H937" i="6"/>
  <c r="L937" i="6" s="1"/>
  <c r="I937" i="6"/>
  <c r="N937" i="6"/>
  <c r="Q937" i="6"/>
  <c r="S937" i="6" s="1"/>
  <c r="R937" i="6"/>
  <c r="T937" i="6"/>
  <c r="B938" i="6"/>
  <c r="C938" i="6"/>
  <c r="L938" i="6" s="1"/>
  <c r="D938" i="6"/>
  <c r="E938" i="6"/>
  <c r="F938" i="6"/>
  <c r="H938" i="6"/>
  <c r="I938" i="6"/>
  <c r="N938" i="6"/>
  <c r="R938" i="6"/>
  <c r="Q938" i="6" s="1"/>
  <c r="S938" i="6"/>
  <c r="T938" i="6"/>
  <c r="B939" i="6"/>
  <c r="C939" i="6"/>
  <c r="D939" i="6"/>
  <c r="E939" i="6"/>
  <c r="F939" i="6"/>
  <c r="H939" i="6"/>
  <c r="I939" i="6"/>
  <c r="L939" i="6" s="1"/>
  <c r="N939" i="6"/>
  <c r="Q939" i="6"/>
  <c r="S939" i="6" s="1"/>
  <c r="R939" i="6"/>
  <c r="T939" i="6"/>
  <c r="B940" i="6"/>
  <c r="C940" i="6"/>
  <c r="D940" i="6"/>
  <c r="E940" i="6"/>
  <c r="F940" i="6"/>
  <c r="H940" i="6"/>
  <c r="I940" i="6"/>
  <c r="N940" i="6"/>
  <c r="Q940" i="6"/>
  <c r="S940" i="6" s="1"/>
  <c r="R940" i="6"/>
  <c r="T940" i="6"/>
  <c r="B941" i="6"/>
  <c r="C941" i="6"/>
  <c r="D941" i="6"/>
  <c r="E941" i="6"/>
  <c r="F941" i="6"/>
  <c r="H941" i="6"/>
  <c r="I941" i="6"/>
  <c r="L941" i="6"/>
  <c r="N941" i="6"/>
  <c r="Q941" i="6"/>
  <c r="S941" i="6" s="1"/>
  <c r="R941" i="6"/>
  <c r="T941" i="6"/>
  <c r="B942" i="6"/>
  <c r="C942" i="6"/>
  <c r="D942" i="6"/>
  <c r="L942" i="6" s="1"/>
  <c r="E942" i="6"/>
  <c r="F942" i="6"/>
  <c r="H942" i="6"/>
  <c r="I942" i="6"/>
  <c r="N942" i="6"/>
  <c r="R942" i="6"/>
  <c r="Q942" i="6" s="1"/>
  <c r="S942" i="6" s="1"/>
  <c r="T942" i="6"/>
  <c r="B943" i="6"/>
  <c r="C943" i="6"/>
  <c r="D943" i="6"/>
  <c r="E943" i="6"/>
  <c r="F943" i="6"/>
  <c r="H943" i="6"/>
  <c r="I943" i="6"/>
  <c r="L943" i="6"/>
  <c r="N943" i="6"/>
  <c r="Q943" i="6"/>
  <c r="S943" i="6" s="1"/>
  <c r="R943" i="6"/>
  <c r="T943" i="6"/>
  <c r="B944" i="6"/>
  <c r="C944" i="6"/>
  <c r="D944" i="6"/>
  <c r="E944" i="6"/>
  <c r="F944" i="6"/>
  <c r="H944" i="6"/>
  <c r="I944" i="6"/>
  <c r="N944" i="6"/>
  <c r="R944" i="6"/>
  <c r="Q944" i="6" s="1"/>
  <c r="S944" i="6"/>
  <c r="T944" i="6"/>
  <c r="B945" i="6"/>
  <c r="C945" i="6"/>
  <c r="D945" i="6"/>
  <c r="E945" i="6"/>
  <c r="F945" i="6"/>
  <c r="H945" i="6"/>
  <c r="I945" i="6"/>
  <c r="L945" i="6"/>
  <c r="N945" i="6"/>
  <c r="Q945" i="6"/>
  <c r="S945" i="6" s="1"/>
  <c r="R945" i="6"/>
  <c r="T945" i="6"/>
  <c r="B946" i="6"/>
  <c r="C946" i="6"/>
  <c r="D946" i="6"/>
  <c r="E946" i="6"/>
  <c r="F946" i="6"/>
  <c r="H946" i="6"/>
  <c r="I946" i="6"/>
  <c r="N946" i="6"/>
  <c r="R946" i="6"/>
  <c r="Q946" i="6" s="1"/>
  <c r="S946" i="6" s="1"/>
  <c r="T946" i="6"/>
  <c r="B947" i="6"/>
  <c r="C947" i="6"/>
  <c r="D947" i="6"/>
  <c r="E947" i="6"/>
  <c r="F947" i="6"/>
  <c r="H947" i="6"/>
  <c r="I947" i="6"/>
  <c r="N947" i="6"/>
  <c r="R947" i="6"/>
  <c r="Q947" i="6" s="1"/>
  <c r="S947" i="6"/>
  <c r="T947" i="6"/>
  <c r="B948" i="6"/>
  <c r="C948" i="6"/>
  <c r="D948" i="6"/>
  <c r="E948" i="6"/>
  <c r="F948" i="6"/>
  <c r="H948" i="6"/>
  <c r="I948" i="6"/>
  <c r="L948" i="6" s="1"/>
  <c r="N948" i="6"/>
  <c r="Q948" i="6"/>
  <c r="S948" i="6" s="1"/>
  <c r="R948" i="6"/>
  <c r="T948" i="6"/>
  <c r="B949" i="6"/>
  <c r="C949" i="6"/>
  <c r="D949" i="6"/>
  <c r="E949" i="6"/>
  <c r="F949" i="6"/>
  <c r="H949" i="6"/>
  <c r="I949" i="6"/>
  <c r="N949" i="6"/>
  <c r="Q949" i="6"/>
  <c r="S949" i="6" s="1"/>
  <c r="R949" i="6"/>
  <c r="T949" i="6"/>
  <c r="B950" i="6"/>
  <c r="C950" i="6"/>
  <c r="D950" i="6"/>
  <c r="E950" i="6"/>
  <c r="F950" i="6"/>
  <c r="L950" i="6" s="1"/>
  <c r="H950" i="6"/>
  <c r="I950" i="6"/>
  <c r="N950" i="6"/>
  <c r="R950" i="6"/>
  <c r="Q950" i="6" s="1"/>
  <c r="S950" i="6" s="1"/>
  <c r="T950" i="6"/>
  <c r="B951" i="6"/>
  <c r="C951" i="6"/>
  <c r="D951" i="6"/>
  <c r="E951" i="6"/>
  <c r="F951" i="6"/>
  <c r="H951" i="6"/>
  <c r="I951" i="6"/>
  <c r="N951" i="6"/>
  <c r="Q951" i="6"/>
  <c r="S951" i="6" s="1"/>
  <c r="R951" i="6"/>
  <c r="T951" i="6"/>
  <c r="B952" i="6"/>
  <c r="C952" i="6"/>
  <c r="D952" i="6"/>
  <c r="E952" i="6"/>
  <c r="F952" i="6"/>
  <c r="H952" i="6"/>
  <c r="I952" i="6"/>
  <c r="N952" i="6"/>
  <c r="Q952" i="6"/>
  <c r="S952" i="6" s="1"/>
  <c r="R952" i="6"/>
  <c r="T952" i="6"/>
  <c r="B953" i="6"/>
  <c r="C953" i="6"/>
  <c r="L953" i="6" s="1"/>
  <c r="D953" i="6"/>
  <c r="E953" i="6"/>
  <c r="F953" i="6"/>
  <c r="H953" i="6"/>
  <c r="I953" i="6"/>
  <c r="N953" i="6"/>
  <c r="Q953" i="6"/>
  <c r="S953" i="6" s="1"/>
  <c r="R953" i="6"/>
  <c r="T953" i="6"/>
  <c r="B954" i="6"/>
  <c r="C954" i="6"/>
  <c r="D954" i="6"/>
  <c r="E954" i="6"/>
  <c r="F954" i="6"/>
  <c r="H954" i="6"/>
  <c r="I954" i="6"/>
  <c r="N954" i="6"/>
  <c r="R954" i="6"/>
  <c r="Q954" i="6" s="1"/>
  <c r="S954" i="6" s="1"/>
  <c r="T954" i="6"/>
  <c r="B955" i="6"/>
  <c r="C955" i="6"/>
  <c r="D955" i="6"/>
  <c r="E955" i="6"/>
  <c r="F955" i="6"/>
  <c r="H955" i="6"/>
  <c r="L955" i="6" s="1"/>
  <c r="I955" i="6"/>
  <c r="N955" i="6"/>
  <c r="Q955" i="6"/>
  <c r="S955" i="6" s="1"/>
  <c r="R955" i="6"/>
  <c r="T955" i="6"/>
  <c r="B956" i="6"/>
  <c r="C956" i="6"/>
  <c r="L956" i="6" s="1"/>
  <c r="D956" i="6"/>
  <c r="E956" i="6"/>
  <c r="F956" i="6"/>
  <c r="H956" i="6"/>
  <c r="I956" i="6"/>
  <c r="N956" i="6"/>
  <c r="R956" i="6"/>
  <c r="Q956" i="6" s="1"/>
  <c r="S956" i="6" s="1"/>
  <c r="T956" i="6"/>
  <c r="B957" i="6"/>
  <c r="C957" i="6"/>
  <c r="D957" i="6"/>
  <c r="E957" i="6"/>
  <c r="F957" i="6"/>
  <c r="L957" i="6" s="1"/>
  <c r="H957" i="6"/>
  <c r="I957" i="6"/>
  <c r="N957" i="6"/>
  <c r="Q957" i="6"/>
  <c r="S957" i="6" s="1"/>
  <c r="R957" i="6"/>
  <c r="T957" i="6"/>
  <c r="B958" i="6"/>
  <c r="C958" i="6"/>
  <c r="D958" i="6"/>
  <c r="E958" i="6"/>
  <c r="F958" i="6"/>
  <c r="H958" i="6"/>
  <c r="I958" i="6"/>
  <c r="L958" i="6"/>
  <c r="N958" i="6"/>
  <c r="R958" i="6"/>
  <c r="Q958" i="6" s="1"/>
  <c r="S958" i="6"/>
  <c r="T958" i="6"/>
  <c r="B959" i="6"/>
  <c r="C959" i="6"/>
  <c r="D959" i="6"/>
  <c r="E959" i="6"/>
  <c r="L959" i="6" s="1"/>
  <c r="F959" i="6"/>
  <c r="H959" i="6"/>
  <c r="I959" i="6"/>
  <c r="N959" i="6"/>
  <c r="R959" i="6"/>
  <c r="Q959" i="6" s="1"/>
  <c r="S959" i="6"/>
  <c r="T959" i="6"/>
  <c r="B960" i="6"/>
  <c r="C960" i="6"/>
  <c r="L960" i="6" s="1"/>
  <c r="D960" i="6"/>
  <c r="E960" i="6"/>
  <c r="F960" i="6"/>
  <c r="H960" i="6"/>
  <c r="I960" i="6"/>
  <c r="N960" i="6"/>
  <c r="Q960" i="6"/>
  <c r="S960" i="6" s="1"/>
  <c r="R960" i="6"/>
  <c r="T960" i="6"/>
  <c r="B961" i="6"/>
  <c r="C961" i="6"/>
  <c r="D961" i="6"/>
  <c r="E961" i="6"/>
  <c r="F961" i="6"/>
  <c r="H961" i="6"/>
  <c r="I961" i="6"/>
  <c r="N961" i="6"/>
  <c r="Q961" i="6"/>
  <c r="R961" i="6"/>
  <c r="S961" i="6"/>
  <c r="T961" i="6"/>
  <c r="B962" i="6"/>
  <c r="C962" i="6"/>
  <c r="D962" i="6"/>
  <c r="E962" i="6"/>
  <c r="F962" i="6"/>
  <c r="H962" i="6"/>
  <c r="I962" i="6"/>
  <c r="L962" i="6"/>
  <c r="N962" i="6"/>
  <c r="Q962" i="6"/>
  <c r="S962" i="6" s="1"/>
  <c r="R962" i="6"/>
  <c r="T962" i="6"/>
  <c r="B963" i="6"/>
  <c r="C963" i="6"/>
  <c r="D963" i="6"/>
  <c r="E963" i="6"/>
  <c r="F963" i="6"/>
  <c r="H963" i="6"/>
  <c r="I963" i="6"/>
  <c r="N963" i="6"/>
  <c r="Q963" i="6"/>
  <c r="S963" i="6" s="1"/>
  <c r="R963" i="6"/>
  <c r="T963" i="6"/>
  <c r="B964" i="6"/>
  <c r="C964" i="6"/>
  <c r="D964" i="6"/>
  <c r="E964" i="6"/>
  <c r="F964" i="6"/>
  <c r="L964" i="6" s="1"/>
  <c r="H964" i="6"/>
  <c r="I964" i="6"/>
  <c r="N964" i="6"/>
  <c r="R964" i="6"/>
  <c r="Q964" i="6" s="1"/>
  <c r="S964" i="6" s="1"/>
  <c r="T964" i="6"/>
  <c r="B965" i="6"/>
  <c r="C965" i="6"/>
  <c r="D965" i="6"/>
  <c r="L965" i="6" s="1"/>
  <c r="E965" i="6"/>
  <c r="F965" i="6"/>
  <c r="H965" i="6"/>
  <c r="I965" i="6"/>
  <c r="N965" i="6"/>
  <c r="R965" i="6"/>
  <c r="Q965" i="6" s="1"/>
  <c r="S965" i="6" s="1"/>
  <c r="T965" i="6"/>
  <c r="B966" i="6"/>
  <c r="C966" i="6"/>
  <c r="D966" i="6"/>
  <c r="L966" i="6" s="1"/>
  <c r="E966" i="6"/>
  <c r="F966" i="6"/>
  <c r="H966" i="6"/>
  <c r="I966" i="6"/>
  <c r="N966" i="6"/>
  <c r="R966" i="6"/>
  <c r="Q966" i="6" s="1"/>
  <c r="S966" i="6"/>
  <c r="T966" i="6"/>
  <c r="B967" i="6"/>
  <c r="C967" i="6"/>
  <c r="D967" i="6"/>
  <c r="E967" i="6"/>
  <c r="F967" i="6"/>
  <c r="H967" i="6"/>
  <c r="I967" i="6"/>
  <c r="L967" i="6"/>
  <c r="N967" i="6"/>
  <c r="Q967" i="6"/>
  <c r="S967" i="6" s="1"/>
  <c r="R967" i="6"/>
  <c r="T967" i="6"/>
  <c r="B968" i="6"/>
  <c r="C968" i="6"/>
  <c r="D968" i="6"/>
  <c r="E968" i="6"/>
  <c r="F968" i="6"/>
  <c r="H968" i="6"/>
  <c r="I968" i="6"/>
  <c r="N968" i="6"/>
  <c r="R968" i="6"/>
  <c r="Q968" i="6" s="1"/>
  <c r="S968" i="6" s="1"/>
  <c r="T968" i="6"/>
  <c r="B969" i="6"/>
  <c r="C969" i="6"/>
  <c r="D969" i="6"/>
  <c r="E969" i="6"/>
  <c r="F969" i="6"/>
  <c r="H969" i="6"/>
  <c r="I969" i="6"/>
  <c r="L969" i="6"/>
  <c r="N969" i="6"/>
  <c r="Q969" i="6"/>
  <c r="S969" i="6" s="1"/>
  <c r="R969" i="6"/>
  <c r="T969" i="6"/>
  <c r="B970" i="6"/>
  <c r="C970" i="6"/>
  <c r="D970" i="6"/>
  <c r="E970" i="6"/>
  <c r="F970" i="6"/>
  <c r="H970" i="6"/>
  <c r="I970" i="6"/>
  <c r="N970" i="6"/>
  <c r="Q970" i="6"/>
  <c r="S970" i="6" s="1"/>
  <c r="R970" i="6"/>
  <c r="T970" i="6"/>
  <c r="B971" i="6"/>
  <c r="C971" i="6"/>
  <c r="D971" i="6"/>
  <c r="E971" i="6"/>
  <c r="F971" i="6"/>
  <c r="H971" i="6"/>
  <c r="I971" i="6"/>
  <c r="N971" i="6"/>
  <c r="R971" i="6"/>
  <c r="Q971" i="6" s="1"/>
  <c r="S971" i="6" s="1"/>
  <c r="T971" i="6"/>
  <c r="B972" i="6"/>
  <c r="C972" i="6"/>
  <c r="D972" i="6"/>
  <c r="E972" i="6"/>
  <c r="F972" i="6"/>
  <c r="H972" i="6"/>
  <c r="I972" i="6"/>
  <c r="L972" i="6"/>
  <c r="N972" i="6"/>
  <c r="Q972" i="6"/>
  <c r="S972" i="6" s="1"/>
  <c r="R972" i="6"/>
  <c r="T972" i="6"/>
  <c r="B973" i="6"/>
  <c r="C973" i="6"/>
  <c r="D973" i="6"/>
  <c r="E973" i="6"/>
  <c r="F973" i="6"/>
  <c r="H973" i="6"/>
  <c r="I973" i="6"/>
  <c r="N973" i="6"/>
  <c r="R973" i="6"/>
  <c r="Q973" i="6" s="1"/>
  <c r="S973" i="6"/>
  <c r="T973" i="6"/>
  <c r="B974" i="6"/>
  <c r="C974" i="6"/>
  <c r="D974" i="6"/>
  <c r="E974" i="6"/>
  <c r="F974" i="6"/>
  <c r="H974" i="6"/>
  <c r="I974" i="6"/>
  <c r="L974" i="6" s="1"/>
  <c r="N974" i="6"/>
  <c r="R974" i="6"/>
  <c r="Q974" i="6" s="1"/>
  <c r="S974" i="6" s="1"/>
  <c r="T974" i="6"/>
  <c r="B975" i="6"/>
  <c r="C975" i="6"/>
  <c r="D975" i="6"/>
  <c r="E975" i="6"/>
  <c r="F975" i="6"/>
  <c r="H975" i="6"/>
  <c r="I975" i="6"/>
  <c r="N975" i="6"/>
  <c r="Q975" i="6"/>
  <c r="R975" i="6"/>
  <c r="S975" i="6"/>
  <c r="T975" i="6"/>
  <c r="B976" i="6"/>
  <c r="C976" i="6"/>
  <c r="D976" i="6"/>
  <c r="E976" i="6"/>
  <c r="F976" i="6"/>
  <c r="H976" i="6"/>
  <c r="I976" i="6"/>
  <c r="N976" i="6"/>
  <c r="Q976" i="6"/>
  <c r="S976" i="6" s="1"/>
  <c r="R976" i="6"/>
  <c r="T976" i="6"/>
  <c r="B977" i="6"/>
  <c r="C977" i="6"/>
  <c r="D977" i="6"/>
  <c r="E977" i="6"/>
  <c r="F977" i="6"/>
  <c r="H977" i="6"/>
  <c r="I977" i="6"/>
  <c r="N977" i="6"/>
  <c r="Q977" i="6"/>
  <c r="S977" i="6" s="1"/>
  <c r="R977" i="6"/>
  <c r="T977" i="6"/>
  <c r="B978" i="6"/>
  <c r="C978" i="6"/>
  <c r="D978" i="6"/>
  <c r="E978" i="6"/>
  <c r="F978" i="6"/>
  <c r="H978" i="6"/>
  <c r="I978" i="6"/>
  <c r="N978" i="6"/>
  <c r="R978" i="6"/>
  <c r="Q978" i="6" s="1"/>
  <c r="S978" i="6"/>
  <c r="T978" i="6"/>
  <c r="B979" i="6"/>
  <c r="C979" i="6"/>
  <c r="D979" i="6"/>
  <c r="E979" i="6"/>
  <c r="F979" i="6"/>
  <c r="H979" i="6"/>
  <c r="I979" i="6"/>
  <c r="N979" i="6"/>
  <c r="Q979" i="6"/>
  <c r="S979" i="6" s="1"/>
  <c r="R979" i="6"/>
  <c r="T979" i="6"/>
  <c r="B980" i="6"/>
  <c r="C980" i="6"/>
  <c r="L980" i="6" s="1"/>
  <c r="D980" i="6"/>
  <c r="E980" i="6"/>
  <c r="F980" i="6"/>
  <c r="H980" i="6"/>
  <c r="I980" i="6"/>
  <c r="N980" i="6"/>
  <c r="R980" i="6"/>
  <c r="Q980" i="6" s="1"/>
  <c r="S980" i="6" s="1"/>
  <c r="T980" i="6"/>
  <c r="B981" i="6"/>
  <c r="C981" i="6"/>
  <c r="D981" i="6"/>
  <c r="E981" i="6"/>
  <c r="F981" i="6"/>
  <c r="H981" i="6"/>
  <c r="I981" i="6"/>
  <c r="L981" i="6"/>
  <c r="N981" i="6"/>
  <c r="Q981" i="6"/>
  <c r="S981" i="6" s="1"/>
  <c r="R981" i="6"/>
  <c r="T981" i="6"/>
  <c r="B982" i="6"/>
  <c r="C982" i="6"/>
  <c r="D982" i="6"/>
  <c r="E982" i="6"/>
  <c r="F982" i="6"/>
  <c r="H982" i="6"/>
  <c r="I982" i="6"/>
  <c r="N982" i="6"/>
  <c r="R982" i="6"/>
  <c r="Q982" i="6" s="1"/>
  <c r="S982" i="6"/>
  <c r="T982" i="6"/>
  <c r="B983" i="6"/>
  <c r="C983" i="6"/>
  <c r="D983" i="6"/>
  <c r="E983" i="6"/>
  <c r="F983" i="6"/>
  <c r="H983" i="6"/>
  <c r="I983" i="6"/>
  <c r="L983" i="6"/>
  <c r="N983" i="6"/>
  <c r="Q983" i="6"/>
  <c r="S983" i="6" s="1"/>
  <c r="R983" i="6"/>
  <c r="T983" i="6"/>
  <c r="B984" i="6"/>
  <c r="C984" i="6"/>
  <c r="D984" i="6"/>
  <c r="E984" i="6"/>
  <c r="F984" i="6"/>
  <c r="H984" i="6"/>
  <c r="I984" i="6"/>
  <c r="N984" i="6"/>
  <c r="Q984" i="6"/>
  <c r="R984" i="6"/>
  <c r="S984" i="6"/>
  <c r="T984" i="6"/>
  <c r="B985" i="6"/>
  <c r="C985" i="6"/>
  <c r="D985" i="6"/>
  <c r="E985" i="6"/>
  <c r="L985" i="6" s="1"/>
  <c r="F985" i="6"/>
  <c r="H985" i="6"/>
  <c r="I985" i="6"/>
  <c r="N985" i="6"/>
  <c r="Q985" i="6"/>
  <c r="R985" i="6"/>
  <c r="S985" i="6"/>
  <c r="T985" i="6"/>
  <c r="B986" i="6"/>
  <c r="C986" i="6"/>
  <c r="D986" i="6"/>
  <c r="E986" i="6"/>
  <c r="F986" i="6"/>
  <c r="H986" i="6"/>
  <c r="I986" i="6"/>
  <c r="L986" i="6"/>
  <c r="N986" i="6"/>
  <c r="Q986" i="6"/>
  <c r="S986" i="6" s="1"/>
  <c r="R986" i="6"/>
  <c r="T986" i="6"/>
  <c r="B987" i="6"/>
  <c r="C987" i="6"/>
  <c r="D987" i="6"/>
  <c r="E987" i="6"/>
  <c r="F987" i="6"/>
  <c r="H987" i="6"/>
  <c r="I987" i="6"/>
  <c r="N987" i="6"/>
  <c r="Q987" i="6"/>
  <c r="S987" i="6" s="1"/>
  <c r="R987" i="6"/>
  <c r="T987" i="6"/>
  <c r="B988" i="6"/>
  <c r="C988" i="6"/>
  <c r="D988" i="6"/>
  <c r="E988" i="6"/>
  <c r="F988" i="6"/>
  <c r="H988" i="6"/>
  <c r="I988" i="6"/>
  <c r="N988" i="6"/>
  <c r="Q988" i="6"/>
  <c r="S988" i="6" s="1"/>
  <c r="R988" i="6"/>
  <c r="T988" i="6"/>
  <c r="B989" i="6"/>
  <c r="C989" i="6"/>
  <c r="L989" i="6" s="1"/>
  <c r="D989" i="6"/>
  <c r="E989" i="6"/>
  <c r="F989" i="6"/>
  <c r="H989" i="6"/>
  <c r="I989" i="6"/>
  <c r="N989" i="6"/>
  <c r="R989" i="6"/>
  <c r="Q989" i="6" s="1"/>
  <c r="S989" i="6" s="1"/>
  <c r="T989" i="6"/>
  <c r="B990" i="6"/>
  <c r="C990" i="6"/>
  <c r="D990" i="6"/>
  <c r="E990" i="6"/>
  <c r="F990" i="6"/>
  <c r="H990" i="6"/>
  <c r="I990" i="6"/>
  <c r="L990" i="6"/>
  <c r="N990" i="6"/>
  <c r="R990" i="6"/>
  <c r="Q990" i="6" s="1"/>
  <c r="S990" i="6"/>
  <c r="T990" i="6"/>
  <c r="B991" i="6"/>
  <c r="C991" i="6"/>
  <c r="D991" i="6"/>
  <c r="E991" i="6"/>
  <c r="F991" i="6"/>
  <c r="H991" i="6"/>
  <c r="I991" i="6"/>
  <c r="N991" i="6"/>
  <c r="Q991" i="6"/>
  <c r="R991" i="6"/>
  <c r="S991" i="6"/>
  <c r="T991" i="6"/>
  <c r="B992" i="6"/>
  <c r="C992" i="6"/>
  <c r="D992" i="6"/>
  <c r="E992" i="6"/>
  <c r="F992" i="6"/>
  <c r="H992" i="6"/>
  <c r="I992" i="6"/>
  <c r="N992" i="6"/>
  <c r="R992" i="6"/>
  <c r="Q992" i="6" s="1"/>
  <c r="S992" i="6"/>
  <c r="T992" i="6"/>
  <c r="B993" i="6"/>
  <c r="C993" i="6"/>
  <c r="D993" i="6"/>
  <c r="E993" i="6"/>
  <c r="F993" i="6"/>
  <c r="H993" i="6"/>
  <c r="I993" i="6"/>
  <c r="N993" i="6"/>
  <c r="Q993" i="6"/>
  <c r="R993" i="6"/>
  <c r="S993" i="6"/>
  <c r="T993" i="6"/>
  <c r="B994" i="6"/>
  <c r="C994" i="6"/>
  <c r="D994" i="6"/>
  <c r="E994" i="6"/>
  <c r="F994" i="6"/>
  <c r="H994" i="6"/>
  <c r="I994" i="6"/>
  <c r="N994" i="6"/>
  <c r="R994" i="6"/>
  <c r="Q994" i="6" s="1"/>
  <c r="S994" i="6" s="1"/>
  <c r="T994" i="6"/>
  <c r="B995" i="6"/>
  <c r="C995" i="6"/>
  <c r="D995" i="6"/>
  <c r="E995" i="6"/>
  <c r="F995" i="6"/>
  <c r="H995" i="6"/>
  <c r="I995" i="6"/>
  <c r="L995" i="6" s="1"/>
  <c r="N995" i="6"/>
  <c r="Q995" i="6"/>
  <c r="S995" i="6" s="1"/>
  <c r="R995" i="6"/>
  <c r="T995" i="6"/>
  <c r="B996" i="6"/>
  <c r="C996" i="6"/>
  <c r="L996" i="6" s="1"/>
  <c r="D996" i="6"/>
  <c r="E996" i="6"/>
  <c r="F996" i="6"/>
  <c r="H996" i="6"/>
  <c r="I996" i="6"/>
  <c r="N996" i="6"/>
  <c r="R996" i="6"/>
  <c r="Q996" i="6" s="1"/>
  <c r="S996" i="6" s="1"/>
  <c r="T996" i="6"/>
  <c r="B997" i="6"/>
  <c r="C997" i="6"/>
  <c r="D997" i="6"/>
  <c r="E997" i="6"/>
  <c r="F997" i="6"/>
  <c r="H997" i="6"/>
  <c r="I997" i="6"/>
  <c r="L997" i="6"/>
  <c r="N997" i="6"/>
  <c r="R997" i="6"/>
  <c r="Q997" i="6" s="1"/>
  <c r="S997" i="6"/>
  <c r="T997" i="6"/>
  <c r="B998" i="6"/>
  <c r="C998" i="6"/>
  <c r="D998" i="6"/>
  <c r="E998" i="6"/>
  <c r="F998" i="6"/>
  <c r="H998" i="6"/>
  <c r="I998" i="6"/>
  <c r="N998" i="6"/>
  <c r="R998" i="6"/>
  <c r="Q998" i="6" s="1"/>
  <c r="S998" i="6"/>
  <c r="T998" i="6"/>
  <c r="B999" i="6"/>
  <c r="C999" i="6"/>
  <c r="D999" i="6"/>
  <c r="L999" i="6" s="1"/>
  <c r="E999" i="6"/>
  <c r="F999" i="6"/>
  <c r="H999" i="6"/>
  <c r="I999" i="6"/>
  <c r="N999" i="6"/>
  <c r="R999" i="6"/>
  <c r="Q999" i="6" s="1"/>
  <c r="S999" i="6"/>
  <c r="T999" i="6"/>
  <c r="B1000" i="6"/>
  <c r="C1000" i="6"/>
  <c r="D1000" i="6"/>
  <c r="E1000" i="6"/>
  <c r="F1000" i="6"/>
  <c r="H1000" i="6"/>
  <c r="I1000" i="6"/>
  <c r="N1000" i="6"/>
  <c r="Q1000" i="6"/>
  <c r="R1000" i="6"/>
  <c r="S1000" i="6"/>
  <c r="T1000" i="6"/>
  <c r="B1001" i="6"/>
  <c r="C1001" i="6"/>
  <c r="D1001" i="6"/>
  <c r="E1001" i="6"/>
  <c r="F1001" i="6"/>
  <c r="H1001" i="6"/>
  <c r="I1001" i="6"/>
  <c r="N1001" i="6"/>
  <c r="Q1001" i="6"/>
  <c r="S1001" i="6" s="1"/>
  <c r="R1001" i="6"/>
  <c r="T1001" i="6"/>
  <c r="B1002" i="6"/>
  <c r="C1002" i="6"/>
  <c r="D1002" i="6"/>
  <c r="E1002" i="6"/>
  <c r="F1002" i="6"/>
  <c r="H1002" i="6"/>
  <c r="I1002" i="6"/>
  <c r="N1002" i="6"/>
  <c r="Q1002" i="6"/>
  <c r="S1002" i="6" s="1"/>
  <c r="R1002" i="6"/>
  <c r="T1002" i="6"/>
  <c r="B1003" i="6"/>
  <c r="C1003" i="6"/>
  <c r="D1003" i="6"/>
  <c r="E1003" i="6"/>
  <c r="F1003" i="6"/>
  <c r="H1003" i="6"/>
  <c r="I1003" i="6"/>
  <c r="L1003" i="6"/>
  <c r="N1003" i="6"/>
  <c r="R1003" i="6"/>
  <c r="Q1003" i="6" s="1"/>
  <c r="S1003" i="6" s="1"/>
  <c r="T1003" i="6"/>
  <c r="B1004" i="6"/>
  <c r="C1004" i="6"/>
  <c r="D1004" i="6"/>
  <c r="L1004" i="6" s="1"/>
  <c r="E1004" i="6"/>
  <c r="F1004" i="6"/>
  <c r="H1004" i="6"/>
  <c r="I1004" i="6"/>
  <c r="N1004" i="6"/>
  <c r="R1004" i="6"/>
  <c r="Q1004" i="6" s="1"/>
  <c r="S1004" i="6" s="1"/>
  <c r="T1004" i="6"/>
  <c r="B1005" i="6"/>
  <c r="C1005" i="6"/>
  <c r="D1005" i="6"/>
  <c r="L1005" i="6" s="1"/>
  <c r="E1005" i="6"/>
  <c r="F1005" i="6"/>
  <c r="H1005" i="6"/>
  <c r="I1005" i="6"/>
  <c r="N1005" i="6"/>
  <c r="R1005" i="6"/>
  <c r="Q1005" i="6" s="1"/>
  <c r="S1005" i="6" s="1"/>
  <c r="T1005" i="6"/>
  <c r="B1006" i="6"/>
  <c r="C1006" i="6"/>
  <c r="D1006" i="6"/>
  <c r="E1006" i="6"/>
  <c r="F1006" i="6"/>
  <c r="H1006" i="6"/>
  <c r="I1006" i="6"/>
  <c r="N1006" i="6"/>
  <c r="R1006" i="6"/>
  <c r="Q1006" i="6" s="1"/>
  <c r="S1006" i="6"/>
  <c r="T1006" i="6"/>
  <c r="B1007" i="6"/>
  <c r="C1007" i="6"/>
  <c r="D1007" i="6"/>
  <c r="L1007" i="6" s="1"/>
  <c r="E1007" i="6"/>
  <c r="F1007" i="6"/>
  <c r="H1007" i="6"/>
  <c r="I1007" i="6"/>
  <c r="N1007" i="6"/>
  <c r="R1007" i="6"/>
  <c r="Q1007" i="6" s="1"/>
  <c r="S1007" i="6" s="1"/>
  <c r="T1007" i="6"/>
  <c r="B1008" i="6"/>
  <c r="C1008" i="6"/>
  <c r="D1008" i="6"/>
  <c r="E1008" i="6"/>
  <c r="F1008" i="6"/>
  <c r="H1008" i="6"/>
  <c r="I1008" i="6"/>
  <c r="N1008" i="6"/>
  <c r="Q1008" i="6"/>
  <c r="R1008" i="6"/>
  <c r="S1008" i="6"/>
  <c r="T1008" i="6"/>
  <c r="B1009" i="6"/>
  <c r="C1009" i="6"/>
  <c r="D1009" i="6"/>
  <c r="E1009" i="6"/>
  <c r="F1009" i="6"/>
  <c r="H1009" i="6"/>
  <c r="I1009" i="6"/>
  <c r="L1009" i="6"/>
  <c r="N1009" i="6"/>
  <c r="Q1009" i="6"/>
  <c r="S1009" i="6" s="1"/>
  <c r="R1009" i="6"/>
  <c r="T1009" i="6"/>
  <c r="B1010" i="6"/>
  <c r="C1010" i="6"/>
  <c r="D1010" i="6"/>
  <c r="E1010" i="6"/>
  <c r="F1010" i="6"/>
  <c r="H1010" i="6"/>
  <c r="I1010" i="6"/>
  <c r="N1010" i="6"/>
  <c r="R1010" i="6"/>
  <c r="Q1010" i="6" s="1"/>
  <c r="S1010" i="6" s="1"/>
  <c r="T1010" i="6"/>
  <c r="B1011" i="6"/>
  <c r="C1011" i="6"/>
  <c r="D1011" i="6"/>
  <c r="E1011" i="6"/>
  <c r="F1011" i="6"/>
  <c r="H1011" i="6"/>
  <c r="L1011" i="6" s="1"/>
  <c r="I1011" i="6"/>
  <c r="N1011" i="6"/>
  <c r="R1011" i="6"/>
  <c r="Q1011" i="6" s="1"/>
  <c r="S1011" i="6" s="1"/>
  <c r="T1011" i="6"/>
  <c r="B1012" i="6"/>
  <c r="C1012" i="6"/>
  <c r="D1012" i="6"/>
  <c r="E1012" i="6"/>
  <c r="F1012" i="6"/>
  <c r="H1012" i="6"/>
  <c r="I1012" i="6"/>
  <c r="N1012" i="6"/>
  <c r="R1012" i="6"/>
  <c r="Q1012" i="6" s="1"/>
  <c r="S1012" i="6" s="1"/>
  <c r="T1012" i="6"/>
  <c r="B1013" i="6"/>
  <c r="C1013" i="6"/>
  <c r="D1013" i="6"/>
  <c r="E1013" i="6"/>
  <c r="F1013" i="6"/>
  <c r="H1013" i="6"/>
  <c r="I1013" i="6"/>
  <c r="N1013" i="6"/>
  <c r="R1013" i="6"/>
  <c r="Q1013" i="6" s="1"/>
  <c r="S1013" i="6" s="1"/>
  <c r="T1013" i="6"/>
  <c r="B1014" i="6"/>
  <c r="C1014" i="6"/>
  <c r="D1014" i="6"/>
  <c r="E1014" i="6"/>
  <c r="F1014" i="6"/>
  <c r="H1014" i="6"/>
  <c r="L1014" i="6" s="1"/>
  <c r="I1014" i="6"/>
  <c r="N1014" i="6"/>
  <c r="R1014" i="6"/>
  <c r="Q1014" i="6" s="1"/>
  <c r="S1014" i="6" s="1"/>
  <c r="T1014" i="6"/>
  <c r="B1015" i="6"/>
  <c r="C1015" i="6"/>
  <c r="D1015" i="6"/>
  <c r="E1015" i="6"/>
  <c r="F1015" i="6"/>
  <c r="H1015" i="6"/>
  <c r="I1015" i="6"/>
  <c r="N1015" i="6"/>
  <c r="Q1015" i="6"/>
  <c r="R1015" i="6"/>
  <c r="S1015" i="6"/>
  <c r="T1015" i="6"/>
  <c r="B1016" i="6"/>
  <c r="C1016" i="6"/>
  <c r="D1016" i="6"/>
  <c r="E1016" i="6"/>
  <c r="F1016" i="6"/>
  <c r="H1016" i="6"/>
  <c r="I1016" i="6"/>
  <c r="N1016" i="6"/>
  <c r="Q1016" i="6"/>
  <c r="S1016" i="6" s="1"/>
  <c r="R1016" i="6"/>
  <c r="T1016" i="6"/>
  <c r="B1017" i="6"/>
  <c r="C1017" i="6"/>
  <c r="D1017" i="6"/>
  <c r="E1017" i="6"/>
  <c r="L1017" i="6" s="1"/>
  <c r="F1017" i="6"/>
  <c r="H1017" i="6"/>
  <c r="I1017" i="6"/>
  <c r="N1017" i="6"/>
  <c r="Q1017" i="6"/>
  <c r="R1017" i="6"/>
  <c r="S1017" i="6"/>
  <c r="T1017" i="6"/>
  <c r="B1018" i="6"/>
  <c r="C1018" i="6"/>
  <c r="D1018" i="6"/>
  <c r="E1018" i="6"/>
  <c r="F1018" i="6"/>
  <c r="H1018" i="6"/>
  <c r="I1018" i="6"/>
  <c r="N1018" i="6"/>
  <c r="R1018" i="6"/>
  <c r="Q1018" i="6" s="1"/>
  <c r="S1018" i="6"/>
  <c r="T1018" i="6"/>
  <c r="B1019" i="6"/>
  <c r="C1019" i="6"/>
  <c r="D1019" i="6"/>
  <c r="E1019" i="6"/>
  <c r="F1019" i="6"/>
  <c r="H1019" i="6"/>
  <c r="I1019" i="6"/>
  <c r="L1019" i="6"/>
  <c r="N1019" i="6"/>
  <c r="R1019" i="6"/>
  <c r="Q1019" i="6" s="1"/>
  <c r="S1019" i="6" s="1"/>
  <c r="T1019" i="6"/>
  <c r="B1020" i="6"/>
  <c r="C1020" i="6"/>
  <c r="D1020" i="6"/>
  <c r="E1020" i="6"/>
  <c r="F1020" i="6"/>
  <c r="H1020" i="6"/>
  <c r="I1020" i="6"/>
  <c r="N1020" i="6"/>
  <c r="Q1020" i="6"/>
  <c r="S1020" i="6" s="1"/>
  <c r="R1020" i="6"/>
  <c r="T1020" i="6"/>
  <c r="B1021" i="6"/>
  <c r="C1021" i="6"/>
  <c r="L1021" i="6" s="1"/>
  <c r="D1021" i="6"/>
  <c r="E1021" i="6"/>
  <c r="F1021" i="6"/>
  <c r="H1021" i="6"/>
  <c r="I1021" i="6"/>
  <c r="N1021" i="6"/>
  <c r="Q1021" i="6"/>
  <c r="S1021" i="6" s="1"/>
  <c r="R1021" i="6"/>
  <c r="T1021" i="6"/>
  <c r="B1022" i="6"/>
  <c r="C1022" i="6"/>
  <c r="D1022" i="6"/>
  <c r="E1022" i="6"/>
  <c r="L1022" i="6" s="1"/>
  <c r="F1022" i="6"/>
  <c r="H1022" i="6"/>
  <c r="I1022" i="6"/>
  <c r="N1022" i="6"/>
  <c r="R1022" i="6"/>
  <c r="Q1022" i="6" s="1"/>
  <c r="S1022" i="6" s="1"/>
  <c r="T1022" i="6"/>
  <c r="B1023" i="6"/>
  <c r="C1023" i="6"/>
  <c r="D1023" i="6"/>
  <c r="E1023" i="6"/>
  <c r="F1023" i="6"/>
  <c r="H1023" i="6"/>
  <c r="I1023" i="6"/>
  <c r="L1023" i="6"/>
  <c r="N1023" i="6"/>
  <c r="R1023" i="6"/>
  <c r="Q1023" i="6" s="1"/>
  <c r="S1023" i="6" s="1"/>
  <c r="T1023" i="6"/>
  <c r="B1024" i="6"/>
  <c r="C1024" i="6"/>
  <c r="D1024" i="6"/>
  <c r="E1024" i="6"/>
  <c r="F1024" i="6"/>
  <c r="H1024" i="6"/>
  <c r="I1024" i="6"/>
  <c r="N1024" i="6"/>
  <c r="R1024" i="6"/>
  <c r="Q1024" i="6" s="1"/>
  <c r="S1024" i="6" s="1"/>
  <c r="T1024" i="6"/>
  <c r="B1025" i="6"/>
  <c r="C1025" i="6"/>
  <c r="D1025" i="6"/>
  <c r="E1025" i="6"/>
  <c r="L1025" i="6" s="1"/>
  <c r="F1025" i="6"/>
  <c r="H1025" i="6"/>
  <c r="I1025" i="6"/>
  <c r="N1025" i="6"/>
  <c r="Q1025" i="6"/>
  <c r="R1025" i="6"/>
  <c r="S1025" i="6"/>
  <c r="T1025" i="6"/>
  <c r="B1026" i="6"/>
  <c r="C1026" i="6"/>
  <c r="D1026" i="6"/>
  <c r="E1026" i="6"/>
  <c r="F1026" i="6"/>
  <c r="H1026" i="6"/>
  <c r="I1026" i="6"/>
  <c r="N1026" i="6"/>
  <c r="R1026" i="6"/>
  <c r="Q1026" i="6" s="1"/>
  <c r="S1026" i="6" s="1"/>
  <c r="T1026" i="6"/>
  <c r="B1027" i="6"/>
  <c r="C1027" i="6"/>
  <c r="D1027" i="6"/>
  <c r="E1027" i="6"/>
  <c r="F1027" i="6"/>
  <c r="H1027" i="6"/>
  <c r="I1027" i="6"/>
  <c r="N1027" i="6"/>
  <c r="Q1027" i="6"/>
  <c r="R1027" i="6"/>
  <c r="S1027" i="6"/>
  <c r="T1027" i="6"/>
  <c r="B1028" i="6"/>
  <c r="C1028" i="6"/>
  <c r="D1028" i="6"/>
  <c r="E1028" i="6"/>
  <c r="F1028" i="6"/>
  <c r="H1028" i="6"/>
  <c r="I1028" i="6"/>
  <c r="N1028" i="6"/>
  <c r="R1028" i="6"/>
  <c r="Q1028" i="6" s="1"/>
  <c r="S1028" i="6" s="1"/>
  <c r="T1028" i="6"/>
  <c r="B1029" i="6"/>
  <c r="C1029" i="6"/>
  <c r="D1029" i="6"/>
  <c r="E1029" i="6"/>
  <c r="F1029" i="6"/>
  <c r="H1029" i="6"/>
  <c r="I1029" i="6"/>
  <c r="N1029" i="6"/>
  <c r="Q1029" i="6"/>
  <c r="R1029" i="6"/>
  <c r="S1029" i="6"/>
  <c r="T1029" i="6"/>
  <c r="B1030" i="6"/>
  <c r="C1030" i="6"/>
  <c r="D1030" i="6"/>
  <c r="E1030" i="6"/>
  <c r="F1030" i="6"/>
  <c r="H1030" i="6"/>
  <c r="I1030" i="6"/>
  <c r="N1030" i="6"/>
  <c r="R1030" i="6"/>
  <c r="Q1030" i="6" s="1"/>
  <c r="S1030" i="6"/>
  <c r="T1030" i="6"/>
  <c r="B1031" i="6"/>
  <c r="C1031" i="6"/>
  <c r="D1031" i="6"/>
  <c r="E1031" i="6"/>
  <c r="F1031" i="6"/>
  <c r="H1031" i="6"/>
  <c r="I1031" i="6"/>
  <c r="N1031" i="6"/>
  <c r="R1031" i="6"/>
  <c r="Q1031" i="6" s="1"/>
  <c r="S1031" i="6" s="1"/>
  <c r="T1031" i="6"/>
  <c r="B1032" i="6"/>
  <c r="C1032" i="6"/>
  <c r="D1032" i="6"/>
  <c r="E1032" i="6"/>
  <c r="F1032" i="6"/>
  <c r="H1032" i="6"/>
  <c r="I1032" i="6"/>
  <c r="N1032" i="6"/>
  <c r="R1032" i="6"/>
  <c r="Q1032" i="6" s="1"/>
  <c r="S1032" i="6"/>
  <c r="T1032" i="6"/>
  <c r="B1033" i="6"/>
  <c r="C1033" i="6"/>
  <c r="D1033" i="6"/>
  <c r="E1033" i="6"/>
  <c r="F1033" i="6"/>
  <c r="H1033" i="6"/>
  <c r="I1033" i="6"/>
  <c r="L1033" i="6" s="1"/>
  <c r="N1033" i="6"/>
  <c r="Q1033" i="6"/>
  <c r="S1033" i="6" s="1"/>
  <c r="R1033" i="6"/>
  <c r="T1033" i="6"/>
  <c r="B1034" i="6"/>
  <c r="C1034" i="6"/>
  <c r="D1034" i="6"/>
  <c r="E1034" i="6"/>
  <c r="F1034" i="6"/>
  <c r="H1034" i="6"/>
  <c r="I1034" i="6"/>
  <c r="N1034" i="6"/>
  <c r="Q1034" i="6"/>
  <c r="R1034" i="6"/>
  <c r="S1034" i="6"/>
  <c r="T1034" i="6"/>
  <c r="B1035" i="6"/>
  <c r="C1035" i="6"/>
  <c r="D1035" i="6"/>
  <c r="E1035" i="6"/>
  <c r="F1035" i="6"/>
  <c r="H1035" i="6"/>
  <c r="I1035" i="6"/>
  <c r="L1035" i="6" s="1"/>
  <c r="N1035" i="6"/>
  <c r="R1035" i="6"/>
  <c r="Q1035" i="6" s="1"/>
  <c r="S1035" i="6"/>
  <c r="T1035" i="6"/>
  <c r="B1036" i="6"/>
  <c r="C1036" i="6"/>
  <c r="D1036" i="6"/>
  <c r="E1036" i="6"/>
  <c r="F1036" i="6"/>
  <c r="H1036" i="6"/>
  <c r="I1036" i="6"/>
  <c r="N1036" i="6"/>
  <c r="R1036" i="6"/>
  <c r="Q1036" i="6" s="1"/>
  <c r="S1036" i="6"/>
  <c r="T1036" i="6"/>
  <c r="B1037" i="6"/>
  <c r="C1037" i="6"/>
  <c r="L1037" i="6" s="1"/>
  <c r="D1037" i="6"/>
  <c r="E1037" i="6"/>
  <c r="F1037" i="6"/>
  <c r="H1037" i="6"/>
  <c r="I1037" i="6"/>
  <c r="N1037" i="6"/>
  <c r="R1037" i="6"/>
  <c r="Q1037" i="6" s="1"/>
  <c r="S1037" i="6" s="1"/>
  <c r="T1037" i="6"/>
  <c r="B1038" i="6"/>
  <c r="C1038" i="6"/>
  <c r="L1038" i="6" s="1"/>
  <c r="D1038" i="6"/>
  <c r="E1038" i="6"/>
  <c r="F1038" i="6"/>
  <c r="H1038" i="6"/>
  <c r="I1038" i="6"/>
  <c r="N1038" i="6"/>
  <c r="Q1038" i="6"/>
  <c r="S1038" i="6" s="1"/>
  <c r="R1038" i="6"/>
  <c r="T1038" i="6"/>
  <c r="B1039" i="6"/>
  <c r="C1039" i="6"/>
  <c r="L1039" i="6" s="1"/>
  <c r="D1039" i="6"/>
  <c r="E1039" i="6"/>
  <c r="F1039" i="6"/>
  <c r="H1039" i="6"/>
  <c r="I1039" i="6"/>
  <c r="N1039" i="6"/>
  <c r="Q1039" i="6"/>
  <c r="S1039" i="6" s="1"/>
  <c r="R1039" i="6"/>
  <c r="T1039" i="6"/>
  <c r="B1040" i="6"/>
  <c r="C1040" i="6"/>
  <c r="D1040" i="6"/>
  <c r="L1040" i="6" s="1"/>
  <c r="E1040" i="6"/>
  <c r="F1040" i="6"/>
  <c r="H1040" i="6"/>
  <c r="I1040" i="6"/>
  <c r="N1040" i="6"/>
  <c r="R1040" i="6"/>
  <c r="Q1040" i="6" s="1"/>
  <c r="S1040" i="6" s="1"/>
  <c r="T1040" i="6"/>
  <c r="B1041" i="6"/>
  <c r="C1041" i="6"/>
  <c r="D1041" i="6"/>
  <c r="E1041" i="6"/>
  <c r="F1041" i="6"/>
  <c r="H1041" i="6"/>
  <c r="I1041" i="6"/>
  <c r="N1041" i="6"/>
  <c r="R1041" i="6"/>
  <c r="Q1041" i="6" s="1"/>
  <c r="S1041" i="6" s="1"/>
  <c r="T1041" i="6"/>
  <c r="B1042" i="6"/>
  <c r="C1042" i="6"/>
  <c r="L1042" i="6" s="1"/>
  <c r="D1042" i="6"/>
  <c r="E1042" i="6"/>
  <c r="F1042" i="6"/>
  <c r="H1042" i="6"/>
  <c r="I1042" i="6"/>
  <c r="N1042" i="6"/>
  <c r="R1042" i="6"/>
  <c r="Q1042" i="6" s="1"/>
  <c r="S1042" i="6" s="1"/>
  <c r="T1042" i="6"/>
  <c r="B1043" i="6"/>
  <c r="C1043" i="6"/>
  <c r="D1043" i="6"/>
  <c r="E1043" i="6"/>
  <c r="F1043" i="6"/>
  <c r="H1043" i="6"/>
  <c r="I1043" i="6"/>
  <c r="N1043" i="6"/>
  <c r="R1043" i="6"/>
  <c r="Q1043" i="6" s="1"/>
  <c r="S1043" i="6"/>
  <c r="T1043" i="6"/>
  <c r="B1044" i="6"/>
  <c r="C1044" i="6"/>
  <c r="L1044" i="6" s="1"/>
  <c r="D1044" i="6"/>
  <c r="E1044" i="6"/>
  <c r="F1044" i="6"/>
  <c r="H1044" i="6"/>
  <c r="I1044" i="6"/>
  <c r="N1044" i="6"/>
  <c r="R1044" i="6"/>
  <c r="Q1044" i="6" s="1"/>
  <c r="S1044" i="6" s="1"/>
  <c r="T1044" i="6"/>
  <c r="B1045" i="6"/>
  <c r="C1045" i="6"/>
  <c r="D1045" i="6"/>
  <c r="E1045" i="6"/>
  <c r="F1045" i="6"/>
  <c r="H1045" i="6"/>
  <c r="I1045" i="6"/>
  <c r="N1045" i="6"/>
  <c r="R1045" i="6"/>
  <c r="Q1045" i="6" s="1"/>
  <c r="S1045" i="6" s="1"/>
  <c r="T1045" i="6"/>
  <c r="B1046" i="6"/>
  <c r="C1046" i="6"/>
  <c r="L1046" i="6" s="1"/>
  <c r="D1046" i="6"/>
  <c r="E1046" i="6"/>
  <c r="F1046" i="6"/>
  <c r="H1046" i="6"/>
  <c r="I1046" i="6"/>
  <c r="N1046" i="6"/>
  <c r="Q1046" i="6"/>
  <c r="S1046" i="6" s="1"/>
  <c r="R1046" i="6"/>
  <c r="T1046" i="6"/>
  <c r="B1047" i="6"/>
  <c r="C1047" i="6"/>
  <c r="D1047" i="6"/>
  <c r="E1047" i="6"/>
  <c r="L1047" i="6" s="1"/>
  <c r="F1047" i="6"/>
  <c r="H1047" i="6"/>
  <c r="I1047" i="6"/>
  <c r="N1047" i="6"/>
  <c r="Q1047" i="6"/>
  <c r="R1047" i="6"/>
  <c r="S1047" i="6"/>
  <c r="T1047" i="6"/>
  <c r="B1048" i="6"/>
  <c r="C1048" i="6"/>
  <c r="D1048" i="6"/>
  <c r="E1048" i="6"/>
  <c r="F1048" i="6"/>
  <c r="H1048" i="6"/>
  <c r="I1048" i="6"/>
  <c r="N1048" i="6"/>
  <c r="R1048" i="6"/>
  <c r="Q1048" i="6" s="1"/>
  <c r="S1048" i="6"/>
  <c r="T1048" i="6"/>
  <c r="B1049" i="6"/>
  <c r="C1049" i="6"/>
  <c r="L1049" i="6" s="1"/>
  <c r="D1049" i="6"/>
  <c r="E1049" i="6"/>
  <c r="F1049" i="6"/>
  <c r="H1049" i="6"/>
  <c r="I1049" i="6"/>
  <c r="N1049" i="6"/>
  <c r="R1049" i="6"/>
  <c r="Q1049" i="6" s="1"/>
  <c r="S1049" i="6" s="1"/>
  <c r="T1049" i="6"/>
  <c r="B1050" i="6"/>
  <c r="C1050" i="6"/>
  <c r="D1050" i="6"/>
  <c r="E1050" i="6"/>
  <c r="F1050" i="6"/>
  <c r="H1050" i="6"/>
  <c r="I1050" i="6"/>
  <c r="N1050" i="6"/>
  <c r="Q1050" i="6"/>
  <c r="S1050" i="6" s="1"/>
  <c r="R1050" i="6"/>
  <c r="T1050" i="6"/>
  <c r="B1051" i="6"/>
  <c r="C1051" i="6"/>
  <c r="D1051" i="6"/>
  <c r="E1051" i="6"/>
  <c r="F1051" i="6"/>
  <c r="H1051" i="6"/>
  <c r="I1051" i="6"/>
  <c r="N1051" i="6"/>
  <c r="R1051" i="6"/>
  <c r="Q1051" i="6" s="1"/>
  <c r="S1051" i="6"/>
  <c r="T1051" i="6"/>
  <c r="B1052" i="6"/>
  <c r="C1052" i="6"/>
  <c r="D1052" i="6"/>
  <c r="E1052" i="6"/>
  <c r="F1052" i="6"/>
  <c r="H1052" i="6"/>
  <c r="I1052" i="6"/>
  <c r="L1052" i="6"/>
  <c r="N1052" i="6"/>
  <c r="R1052" i="6"/>
  <c r="Q1052" i="6" s="1"/>
  <c r="T1052" i="6"/>
  <c r="B1053" i="6"/>
  <c r="C1053" i="6"/>
  <c r="D1053" i="6"/>
  <c r="E1053" i="6"/>
  <c r="F1053" i="6"/>
  <c r="H1053" i="6"/>
  <c r="I1053" i="6"/>
  <c r="N1053" i="6"/>
  <c r="R1053" i="6"/>
  <c r="Q1053" i="6" s="1"/>
  <c r="S1053" i="6" s="1"/>
  <c r="T1053" i="6"/>
  <c r="B1054" i="6"/>
  <c r="C1054" i="6"/>
  <c r="D1054" i="6"/>
  <c r="E1054" i="6"/>
  <c r="F1054" i="6"/>
  <c r="H1054" i="6"/>
  <c r="I1054" i="6"/>
  <c r="N1054" i="6"/>
  <c r="Q1054" i="6"/>
  <c r="S1054" i="6" s="1"/>
  <c r="R1054" i="6"/>
  <c r="T1054" i="6"/>
  <c r="B1055" i="6"/>
  <c r="C1055" i="6"/>
  <c r="L1055" i="6" s="1"/>
  <c r="D1055" i="6"/>
  <c r="E1055" i="6"/>
  <c r="F1055" i="6"/>
  <c r="H1055" i="6"/>
  <c r="I1055" i="6"/>
  <c r="N1055" i="6"/>
  <c r="R1055" i="6"/>
  <c r="Q1055" i="6" s="1"/>
  <c r="S1055" i="6" s="1"/>
  <c r="T1055" i="6"/>
  <c r="B1056" i="6"/>
  <c r="C1056" i="6"/>
  <c r="D1056" i="6"/>
  <c r="L1056" i="6" s="1"/>
  <c r="E1056" i="6"/>
  <c r="F1056" i="6"/>
  <c r="H1056" i="6"/>
  <c r="I1056" i="6"/>
  <c r="N1056" i="6"/>
  <c r="R1056" i="6"/>
  <c r="Q1056" i="6" s="1"/>
  <c r="S1056" i="6"/>
  <c r="T1056" i="6"/>
  <c r="B1057" i="6"/>
  <c r="C1057" i="6"/>
  <c r="D1057" i="6"/>
  <c r="E1057" i="6"/>
  <c r="F1057" i="6"/>
  <c r="H1057" i="6"/>
  <c r="I1057" i="6"/>
  <c r="N1057" i="6"/>
  <c r="Q1057" i="6"/>
  <c r="S1057" i="6" s="1"/>
  <c r="R1057" i="6"/>
  <c r="T1057" i="6"/>
  <c r="B1058" i="6"/>
  <c r="C1058" i="6"/>
  <c r="D1058" i="6"/>
  <c r="E1058" i="6"/>
  <c r="F1058" i="6"/>
  <c r="H1058" i="6"/>
  <c r="I1058" i="6"/>
  <c r="N1058" i="6"/>
  <c r="Q1058" i="6"/>
  <c r="S1058" i="6" s="1"/>
  <c r="R1058" i="6"/>
  <c r="T1058" i="6"/>
  <c r="B1059" i="6"/>
  <c r="C1059" i="6"/>
  <c r="D1059" i="6"/>
  <c r="E1059" i="6"/>
  <c r="F1059" i="6"/>
  <c r="L1059" i="6" s="1"/>
  <c r="H1059" i="6"/>
  <c r="I1059" i="6"/>
  <c r="N1059" i="6"/>
  <c r="R1059" i="6"/>
  <c r="Q1059" i="6" s="1"/>
  <c r="S1059" i="6"/>
  <c r="T1059" i="6"/>
  <c r="B1060" i="6"/>
  <c r="C1060" i="6"/>
  <c r="D1060" i="6"/>
  <c r="E1060" i="6"/>
  <c r="F1060" i="6"/>
  <c r="H1060" i="6"/>
  <c r="I1060" i="6"/>
  <c r="N1060" i="6"/>
  <c r="R1060" i="6"/>
  <c r="Q1060" i="6" s="1"/>
  <c r="S1060" i="6" s="1"/>
  <c r="T1060" i="6"/>
  <c r="B1061" i="6"/>
  <c r="C1061" i="6"/>
  <c r="D1061" i="6"/>
  <c r="E1061" i="6"/>
  <c r="F1061" i="6"/>
  <c r="H1061" i="6"/>
  <c r="I1061" i="6"/>
  <c r="N1061" i="6"/>
  <c r="Q1061" i="6"/>
  <c r="S1061" i="6" s="1"/>
  <c r="R1061" i="6"/>
  <c r="T1061" i="6"/>
  <c r="B1062" i="6"/>
  <c r="C1062" i="6"/>
  <c r="D1062" i="6"/>
  <c r="E1062" i="6"/>
  <c r="F1062" i="6"/>
  <c r="H1062" i="6"/>
  <c r="I1062" i="6"/>
  <c r="L1062" i="6"/>
  <c r="N1062" i="6"/>
  <c r="Q1062" i="6"/>
  <c r="S1062" i="6" s="1"/>
  <c r="R1062" i="6"/>
  <c r="T1062" i="6"/>
  <c r="B1063" i="6"/>
  <c r="C1063" i="6"/>
  <c r="D1063" i="6"/>
  <c r="E1063" i="6"/>
  <c r="F1063" i="6"/>
  <c r="H1063" i="6"/>
  <c r="I1063" i="6"/>
  <c r="N1063" i="6"/>
  <c r="Q1063" i="6"/>
  <c r="R1063" i="6"/>
  <c r="S1063" i="6"/>
  <c r="T1063" i="6"/>
  <c r="B1064" i="6"/>
  <c r="C1064" i="6"/>
  <c r="D1064" i="6"/>
  <c r="E1064" i="6"/>
  <c r="F1064" i="6"/>
  <c r="H1064" i="6"/>
  <c r="I1064" i="6"/>
  <c r="N1064" i="6"/>
  <c r="R1064" i="6"/>
  <c r="Q1064" i="6" s="1"/>
  <c r="S1064" i="6"/>
  <c r="T1064" i="6"/>
  <c r="B1065" i="6"/>
  <c r="C1065" i="6"/>
  <c r="D1065" i="6"/>
  <c r="L1065" i="6" s="1"/>
  <c r="E1065" i="6"/>
  <c r="F1065" i="6"/>
  <c r="H1065" i="6"/>
  <c r="I1065" i="6"/>
  <c r="N1065" i="6"/>
  <c r="R1065" i="6"/>
  <c r="Q1065" i="6" s="1"/>
  <c r="S1065" i="6" s="1"/>
  <c r="T1065" i="6"/>
  <c r="B1066" i="6"/>
  <c r="C1066" i="6"/>
  <c r="D1066" i="6"/>
  <c r="E1066" i="6"/>
  <c r="F1066" i="6"/>
  <c r="H1066" i="6"/>
  <c r="I1066" i="6"/>
  <c r="N1066" i="6"/>
  <c r="Q1066" i="6"/>
  <c r="R1066" i="6"/>
  <c r="S1066" i="6"/>
  <c r="T1066" i="6"/>
  <c r="B1067" i="6"/>
  <c r="C1067" i="6"/>
  <c r="D1067" i="6"/>
  <c r="E1067" i="6"/>
  <c r="F1067" i="6"/>
  <c r="H1067" i="6"/>
  <c r="I1067" i="6"/>
  <c r="L1067" i="6" s="1"/>
  <c r="N1067" i="6"/>
  <c r="R1067" i="6"/>
  <c r="Q1067" i="6" s="1"/>
  <c r="S1067" i="6"/>
  <c r="T1067" i="6"/>
  <c r="B1069" i="6"/>
  <c r="C1069" i="6"/>
  <c r="D1069" i="6"/>
  <c r="E1069" i="6"/>
  <c r="F1069" i="6"/>
  <c r="G1069" i="6"/>
  <c r="H1069" i="6"/>
  <c r="I1069" i="6"/>
  <c r="J1069" i="6"/>
  <c r="K1069" i="6"/>
  <c r="L1069" i="6"/>
  <c r="N1069" i="6"/>
  <c r="O1069" i="6"/>
  <c r="P1069" i="6"/>
  <c r="Q1069" i="6"/>
  <c r="R1069" i="6"/>
  <c r="S1069" i="6"/>
  <c r="T1069" i="6"/>
  <c r="B1070" i="6"/>
  <c r="D1070" i="6"/>
  <c r="F1070" i="6"/>
  <c r="G1070" i="6"/>
  <c r="H1070" i="6"/>
  <c r="I1070" i="6"/>
  <c r="J1070" i="6"/>
  <c r="K1070" i="6"/>
  <c r="O1070" i="6"/>
  <c r="P1070" i="6"/>
  <c r="B1071" i="6"/>
  <c r="C1071" i="6"/>
  <c r="D1071" i="6"/>
  <c r="E1071" i="6"/>
  <c r="G1071" i="6"/>
  <c r="H1071" i="6"/>
  <c r="I1071" i="6"/>
  <c r="J1071" i="6"/>
  <c r="K1071" i="6"/>
  <c r="O1071" i="6"/>
  <c r="P1071" i="6"/>
  <c r="R1071" i="6"/>
  <c r="T1071" i="6"/>
  <c r="B1072" i="6"/>
  <c r="C1072" i="6"/>
  <c r="D1072" i="6"/>
  <c r="E1072" i="6"/>
  <c r="F1072" i="6"/>
  <c r="G1072" i="6"/>
  <c r="I1072" i="6"/>
  <c r="J1072" i="6"/>
  <c r="K1072" i="6"/>
  <c r="N1072" i="6"/>
  <c r="O1072" i="6"/>
  <c r="P1072" i="6"/>
  <c r="R1072" i="6"/>
  <c r="T1072" i="6"/>
  <c r="B1073" i="6"/>
  <c r="D1073" i="6"/>
  <c r="E1073" i="6"/>
  <c r="F1073" i="6"/>
  <c r="G1073" i="6"/>
  <c r="H1073" i="6"/>
  <c r="I1073" i="6"/>
  <c r="J1073" i="6"/>
  <c r="K1073" i="6"/>
  <c r="M1073" i="6"/>
  <c r="N1073" i="6"/>
  <c r="O1073" i="6"/>
  <c r="P1073" i="6"/>
  <c r="Q1073" i="6"/>
  <c r="R1073" i="6"/>
  <c r="T1073" i="6"/>
  <c r="B1074" i="6"/>
  <c r="D1074" i="6"/>
  <c r="E1074" i="6"/>
  <c r="F1074" i="6"/>
  <c r="G1074" i="6"/>
  <c r="I1074" i="6"/>
  <c r="J1074" i="6"/>
  <c r="K1074" i="6"/>
  <c r="M1074" i="6"/>
  <c r="N1074" i="6"/>
  <c r="O1074" i="6"/>
  <c r="P1074" i="6"/>
  <c r="R1074" i="6"/>
  <c r="T1074" i="6"/>
  <c r="B1075" i="6"/>
  <c r="C1075" i="6"/>
  <c r="E1075" i="6"/>
  <c r="F1075" i="6"/>
  <c r="G1075" i="6"/>
  <c r="I1075" i="6"/>
  <c r="J1075" i="6"/>
  <c r="K1075" i="6"/>
  <c r="M1075" i="6"/>
  <c r="N1075" i="6"/>
  <c r="O1075" i="6"/>
  <c r="P1075" i="6"/>
  <c r="R1075" i="6"/>
  <c r="T1075" i="6"/>
  <c r="B1076" i="6"/>
  <c r="C1076" i="6"/>
  <c r="D1076" i="6"/>
  <c r="E1076" i="6"/>
  <c r="F1076" i="6"/>
  <c r="G1076" i="6"/>
  <c r="H1076" i="6"/>
  <c r="I1076" i="6"/>
  <c r="J1076" i="6"/>
  <c r="K1076" i="6"/>
  <c r="M1076" i="6"/>
  <c r="N1076" i="6"/>
  <c r="O1076" i="6"/>
  <c r="P1076" i="6"/>
  <c r="Q1076" i="6"/>
  <c r="R1076" i="6"/>
  <c r="S1076" i="6"/>
  <c r="T1076" i="6"/>
  <c r="B1077" i="6"/>
  <c r="E1077" i="6"/>
  <c r="F1077" i="6"/>
  <c r="G1077" i="6"/>
  <c r="I1077" i="6"/>
  <c r="J1077" i="6"/>
  <c r="K1077" i="6"/>
  <c r="M1077" i="6"/>
  <c r="N1077" i="6"/>
  <c r="O1077" i="6"/>
  <c r="P1077" i="6"/>
  <c r="R1077" i="6"/>
  <c r="T1077" i="6"/>
  <c r="B1078" i="6"/>
  <c r="D1078" i="6"/>
  <c r="E1078" i="6"/>
  <c r="F1078" i="6"/>
  <c r="G1078" i="6"/>
  <c r="H1078" i="6"/>
  <c r="I1078" i="6"/>
  <c r="J1078" i="6"/>
  <c r="K1078" i="6"/>
  <c r="M1078" i="6"/>
  <c r="N1078" i="6"/>
  <c r="O1078" i="6"/>
  <c r="P1078" i="6"/>
  <c r="Q1078" i="6"/>
  <c r="R1078" i="6"/>
  <c r="S1078" i="6"/>
  <c r="T1078" i="6"/>
  <c r="B1079" i="6"/>
  <c r="C1079" i="6"/>
  <c r="F1079" i="6"/>
  <c r="G1079" i="6"/>
  <c r="J1079" i="6"/>
  <c r="K1079" i="6"/>
  <c r="M1079" i="6"/>
  <c r="N1079" i="6"/>
  <c r="O1079" i="6"/>
  <c r="P1079" i="6"/>
  <c r="T1079" i="6"/>
  <c r="B1080" i="6"/>
  <c r="C1080" i="6"/>
  <c r="D1080" i="6"/>
  <c r="F1080" i="6"/>
  <c r="G1080" i="6"/>
  <c r="H1080" i="6"/>
  <c r="J1080" i="6"/>
  <c r="K1080" i="6"/>
  <c r="M1080" i="6"/>
  <c r="N1080" i="6"/>
  <c r="O1080" i="6"/>
  <c r="P1080" i="6"/>
  <c r="T1080" i="6"/>
  <c r="B1081" i="6"/>
  <c r="C1081" i="6"/>
  <c r="D1081" i="6"/>
  <c r="E1081" i="6"/>
  <c r="F1081" i="6"/>
  <c r="G1081" i="6"/>
  <c r="H1081" i="6"/>
  <c r="I1081" i="6"/>
  <c r="J1081" i="6"/>
  <c r="K1081" i="6"/>
  <c r="M1081" i="6"/>
  <c r="N1081" i="6"/>
  <c r="O1081" i="6"/>
  <c r="P1081" i="6"/>
  <c r="Q1081" i="6"/>
  <c r="R1081" i="6"/>
  <c r="S1081" i="6"/>
  <c r="T1081" i="6"/>
  <c r="B1082" i="6"/>
  <c r="C1082" i="6"/>
  <c r="D1082" i="6"/>
  <c r="E1082" i="6"/>
  <c r="F1082" i="6"/>
  <c r="G1082" i="6"/>
  <c r="H1082" i="6"/>
  <c r="I1082" i="6"/>
  <c r="J1082" i="6"/>
  <c r="K1082" i="6"/>
  <c r="M1082" i="6"/>
  <c r="N1082" i="6"/>
  <c r="O1082" i="6"/>
  <c r="P1082" i="6"/>
  <c r="Q1082" i="6"/>
  <c r="R1082" i="6"/>
  <c r="S1082" i="6"/>
  <c r="T1082" i="6"/>
  <c r="B1083" i="6"/>
  <c r="C1083" i="6"/>
  <c r="D1083" i="6"/>
  <c r="E1083" i="6"/>
  <c r="F1083" i="6"/>
  <c r="G1083" i="6"/>
  <c r="H1083" i="6"/>
  <c r="I1083" i="6"/>
  <c r="J1083" i="6"/>
  <c r="K1083" i="6"/>
  <c r="M1083" i="6"/>
  <c r="N1083" i="6"/>
  <c r="O1083" i="6"/>
  <c r="P1083" i="6"/>
  <c r="Q1083" i="6"/>
  <c r="R1083" i="6"/>
  <c r="S1083" i="6"/>
  <c r="T1083" i="6"/>
  <c r="B1084" i="6"/>
  <c r="D1084" i="6"/>
  <c r="G1084" i="6"/>
  <c r="H1084" i="6"/>
  <c r="J1084" i="6"/>
  <c r="K1084" i="6"/>
  <c r="M1084" i="6"/>
  <c r="N1084" i="6"/>
  <c r="O1084" i="6"/>
  <c r="P1084" i="6"/>
  <c r="T1084" i="6"/>
  <c r="B1085" i="6"/>
  <c r="C1085" i="6"/>
  <c r="E1085" i="6"/>
  <c r="G1085" i="6"/>
  <c r="H1085" i="6"/>
  <c r="I1085" i="6"/>
  <c r="J1085" i="6"/>
  <c r="K1085" i="6"/>
  <c r="M1085" i="6"/>
  <c r="N1085" i="6"/>
  <c r="O1085" i="6"/>
  <c r="P1085" i="6"/>
  <c r="Q1085" i="6"/>
  <c r="R1085" i="6"/>
  <c r="T1085" i="6"/>
  <c r="B1086" i="6"/>
  <c r="C1086" i="6"/>
  <c r="D1086" i="6"/>
  <c r="F1086" i="6"/>
  <c r="G1086" i="6"/>
  <c r="H1086" i="6"/>
  <c r="J1086" i="6"/>
  <c r="K1086" i="6"/>
  <c r="M1086" i="6"/>
  <c r="N1086" i="6"/>
  <c r="O1086" i="6"/>
  <c r="P1086" i="6"/>
  <c r="Q1086" i="6"/>
  <c r="R1086" i="6"/>
  <c r="T1086" i="6"/>
  <c r="B1087" i="6"/>
  <c r="C1087" i="6"/>
  <c r="D1087" i="6"/>
  <c r="E1087" i="6"/>
  <c r="F1087" i="6"/>
  <c r="G1087" i="6"/>
  <c r="I1087" i="6"/>
  <c r="J1087" i="6"/>
  <c r="K1087" i="6"/>
  <c r="M1087" i="6"/>
  <c r="N1087" i="6"/>
  <c r="O1087" i="6"/>
  <c r="P1087" i="6"/>
  <c r="R1087" i="6"/>
  <c r="T1087" i="6"/>
  <c r="B1088" i="6"/>
  <c r="C1088" i="6"/>
  <c r="D1088" i="6"/>
  <c r="E1088" i="6"/>
  <c r="F1088" i="6"/>
  <c r="G1088" i="6"/>
  <c r="H1088" i="6"/>
  <c r="I1088" i="6"/>
  <c r="J1088" i="6"/>
  <c r="K1088" i="6"/>
  <c r="M1088" i="6"/>
  <c r="N1088" i="6"/>
  <c r="O1088" i="6"/>
  <c r="P1088" i="6"/>
  <c r="R1088" i="6"/>
  <c r="T1088" i="6"/>
  <c r="B1089" i="6"/>
  <c r="C1089" i="6"/>
  <c r="D1089" i="6"/>
  <c r="E1089" i="6"/>
  <c r="F1089" i="6"/>
  <c r="G1089" i="6"/>
  <c r="H1089" i="6"/>
  <c r="I1089" i="6"/>
  <c r="J1089" i="6"/>
  <c r="K1089" i="6"/>
  <c r="M1089" i="6"/>
  <c r="O1089" i="6"/>
  <c r="P1089" i="6"/>
  <c r="Q1089" i="6"/>
  <c r="R1089" i="6"/>
  <c r="S1089" i="6"/>
  <c r="T1089" i="6"/>
  <c r="B1090" i="6"/>
  <c r="E1090" i="6"/>
  <c r="G1090" i="6"/>
  <c r="H1090" i="6"/>
  <c r="I1090" i="6"/>
  <c r="J1090" i="6"/>
  <c r="K1090" i="6"/>
  <c r="M1090" i="6"/>
  <c r="N1090" i="6"/>
  <c r="O1090" i="6"/>
  <c r="P1090" i="6"/>
  <c r="R1090" i="6"/>
  <c r="B1091" i="6"/>
  <c r="C1091" i="6"/>
  <c r="D1091" i="6"/>
  <c r="F1091" i="6"/>
  <c r="G1091" i="6"/>
  <c r="H1091" i="6"/>
  <c r="I1091" i="6"/>
  <c r="J1091" i="6"/>
  <c r="K1091" i="6"/>
  <c r="M1091" i="6"/>
  <c r="N1091" i="6"/>
  <c r="O1091" i="6"/>
  <c r="P1091" i="6"/>
  <c r="B1092" i="6"/>
  <c r="C1092" i="6"/>
  <c r="D1092" i="6"/>
  <c r="F1092" i="6"/>
  <c r="G1092" i="6"/>
  <c r="H1092" i="6"/>
  <c r="I1092" i="6"/>
  <c r="J1092" i="6"/>
  <c r="K1092" i="6"/>
  <c r="M1092" i="6"/>
  <c r="O1092" i="6"/>
  <c r="P1092" i="6"/>
  <c r="Q1092" i="6"/>
  <c r="R1092" i="6"/>
  <c r="S1092" i="6"/>
  <c r="B1093" i="6"/>
  <c r="C1093" i="6"/>
  <c r="D1093" i="6"/>
  <c r="E1093" i="6"/>
  <c r="F1093" i="6"/>
  <c r="G1093" i="6"/>
  <c r="H1093" i="6"/>
  <c r="I1093" i="6"/>
  <c r="J1093" i="6"/>
  <c r="K1093" i="6"/>
  <c r="M1093" i="6"/>
  <c r="N1093" i="6"/>
  <c r="O1093" i="6"/>
  <c r="P1093" i="6"/>
  <c r="Q1093" i="6"/>
  <c r="R1093" i="6"/>
  <c r="S1093" i="6"/>
  <c r="T1093" i="6"/>
  <c r="A1094" i="6"/>
  <c r="A1095" i="6" s="1"/>
  <c r="B1095" i="6" s="1"/>
  <c r="C1094" i="6"/>
  <c r="D1094" i="6"/>
  <c r="E1094" i="6"/>
  <c r="F1094" i="6"/>
  <c r="G1094" i="6"/>
  <c r="H1094" i="6"/>
  <c r="I1094" i="6"/>
  <c r="J1094" i="6"/>
  <c r="K1094" i="6"/>
  <c r="M1094" i="6"/>
  <c r="N1094" i="6"/>
  <c r="O1094" i="6"/>
  <c r="P1094" i="6"/>
  <c r="R1094" i="6"/>
  <c r="T1094" i="6"/>
  <c r="C1095" i="6"/>
  <c r="E1095" i="6"/>
  <c r="G1095" i="6"/>
  <c r="H1095" i="6"/>
  <c r="I1095" i="6"/>
  <c r="J1095" i="6"/>
  <c r="K1095" i="6"/>
  <c r="M1095" i="6"/>
  <c r="N1095" i="6"/>
  <c r="O1095" i="6"/>
  <c r="P1095" i="6"/>
  <c r="Q1095" i="6"/>
  <c r="R1095" i="6"/>
  <c r="T1095" i="6"/>
  <c r="A1096" i="6"/>
  <c r="C1096" i="6"/>
  <c r="D1096" i="6"/>
  <c r="F1096" i="6"/>
  <c r="G1096" i="6"/>
  <c r="H1096" i="6"/>
  <c r="J1096" i="6"/>
  <c r="K1096" i="6"/>
  <c r="M1096" i="6"/>
  <c r="N1096" i="6"/>
  <c r="O1096" i="6"/>
  <c r="P1096" i="6"/>
  <c r="Q1096" i="6"/>
  <c r="R1096" i="6"/>
  <c r="T1096" i="6"/>
  <c r="E1097" i="6"/>
  <c r="G1097" i="6"/>
  <c r="H1097" i="6"/>
  <c r="I1097" i="6"/>
  <c r="J1097" i="6"/>
  <c r="K1097" i="6"/>
  <c r="M1097" i="6"/>
  <c r="O1097" i="6"/>
  <c r="P1097" i="6"/>
  <c r="R1097" i="6"/>
  <c r="T1097" i="6"/>
  <c r="C1098" i="6"/>
  <c r="D1098" i="6"/>
  <c r="E1098" i="6"/>
  <c r="F1098" i="6"/>
  <c r="G1098" i="6"/>
  <c r="H1098" i="6"/>
  <c r="I1098" i="6"/>
  <c r="J1098" i="6"/>
  <c r="K1098" i="6"/>
  <c r="M1098" i="6"/>
  <c r="N1098" i="6"/>
  <c r="O1098" i="6"/>
  <c r="P1098" i="6"/>
  <c r="Q1098" i="6"/>
  <c r="R1098" i="6"/>
  <c r="T1098" i="6"/>
  <c r="C1099" i="6"/>
  <c r="D1099" i="6"/>
  <c r="E1099" i="6"/>
  <c r="F1099" i="6"/>
  <c r="G1099" i="6"/>
  <c r="H1099" i="6"/>
  <c r="I1099" i="6"/>
  <c r="J1099" i="6"/>
  <c r="K1099" i="6"/>
  <c r="M1099" i="6"/>
  <c r="N1099" i="6"/>
  <c r="O1099" i="6"/>
  <c r="P1099" i="6"/>
  <c r="Q1099" i="6"/>
  <c r="R1099" i="6"/>
  <c r="C1100" i="6"/>
  <c r="D1100" i="6"/>
  <c r="E1100" i="6"/>
  <c r="G1100" i="6"/>
  <c r="H1100" i="6"/>
  <c r="I1100" i="6"/>
  <c r="J1100" i="6"/>
  <c r="K1100" i="6"/>
  <c r="M1100" i="6"/>
  <c r="O1100" i="6"/>
  <c r="P1100" i="6"/>
  <c r="Q1100" i="6"/>
  <c r="R1100" i="6"/>
  <c r="C1101" i="6"/>
  <c r="D1101" i="6"/>
  <c r="E1101" i="6"/>
  <c r="F1101" i="6"/>
  <c r="G1101" i="6"/>
  <c r="H1101" i="6"/>
  <c r="I1101" i="6"/>
  <c r="J1101" i="6"/>
  <c r="K1101" i="6"/>
  <c r="L1101" i="6"/>
  <c r="M1101" i="6"/>
  <c r="N1101" i="6"/>
  <c r="O1101" i="6"/>
  <c r="P1101" i="6"/>
  <c r="Q1101" i="6"/>
  <c r="R1101" i="6"/>
  <c r="T1101" i="6"/>
  <c r="C1102" i="6"/>
  <c r="D1102" i="6"/>
  <c r="E1102" i="6"/>
  <c r="G1102" i="6"/>
  <c r="H1102" i="6"/>
  <c r="I1102" i="6"/>
  <c r="J1102" i="6"/>
  <c r="K1102" i="6"/>
  <c r="M1102" i="6"/>
  <c r="O1102" i="6"/>
  <c r="P1102" i="6"/>
  <c r="Q1102" i="6"/>
  <c r="R1102" i="6"/>
  <c r="S1102" i="6"/>
  <c r="T1102" i="6"/>
  <c r="C1103" i="6"/>
  <c r="D1103" i="6"/>
  <c r="E1103" i="6"/>
  <c r="G1103" i="6"/>
  <c r="H1103" i="6"/>
  <c r="I1103" i="6"/>
  <c r="J1103" i="6"/>
  <c r="K1103" i="6"/>
  <c r="M1103" i="6"/>
  <c r="O1103" i="6"/>
  <c r="P1103" i="6"/>
  <c r="Q1103" i="6"/>
  <c r="R1103" i="6"/>
  <c r="S1103" i="6"/>
  <c r="C1104" i="6"/>
  <c r="D1104" i="6"/>
  <c r="E1104" i="6"/>
  <c r="G1104" i="6"/>
  <c r="H1104" i="6"/>
  <c r="I1104" i="6"/>
  <c r="J1104" i="6"/>
  <c r="K1104" i="6"/>
  <c r="M1104" i="6"/>
  <c r="O1104" i="6"/>
  <c r="P1104" i="6"/>
  <c r="Q1104" i="6"/>
  <c r="R1104" i="6"/>
  <c r="S1104" i="6"/>
  <c r="C1105" i="6"/>
  <c r="D1105" i="6"/>
  <c r="E1105" i="6"/>
  <c r="F1105" i="6"/>
  <c r="G1105" i="6"/>
  <c r="H1105" i="6"/>
  <c r="I1105" i="6"/>
  <c r="J1105" i="6"/>
  <c r="K1105" i="6"/>
  <c r="L1105" i="6"/>
  <c r="M1105" i="6"/>
  <c r="N1105" i="6"/>
  <c r="O1105" i="6"/>
  <c r="P1105" i="6"/>
  <c r="Q1105" i="6"/>
  <c r="R1105" i="6"/>
  <c r="S1105" i="6"/>
  <c r="T1105" i="6"/>
  <c r="C1106" i="6"/>
  <c r="D1106" i="6"/>
  <c r="E1106" i="6"/>
  <c r="G1106" i="6"/>
  <c r="H1106" i="6"/>
  <c r="I1106" i="6"/>
  <c r="J1106" i="6"/>
  <c r="K1106" i="6"/>
  <c r="M1106" i="6"/>
  <c r="O1106" i="6"/>
  <c r="P1106" i="6"/>
  <c r="Q1106" i="6"/>
  <c r="R1106" i="6"/>
  <c r="S1106" i="6"/>
  <c r="T1106" i="6"/>
  <c r="C1107" i="6"/>
  <c r="D1107" i="6"/>
  <c r="E1107" i="6"/>
  <c r="G1107" i="6"/>
  <c r="H1107" i="6"/>
  <c r="I1107" i="6"/>
  <c r="J1107" i="6"/>
  <c r="K1107" i="6"/>
  <c r="M1107" i="6"/>
  <c r="O1107" i="6"/>
  <c r="P1107" i="6"/>
  <c r="Q1107" i="6"/>
  <c r="R1107" i="6"/>
  <c r="S1107" i="6"/>
  <c r="C1108" i="6"/>
  <c r="D1108" i="6"/>
  <c r="E1108" i="6"/>
  <c r="G1108" i="6"/>
  <c r="H1108" i="6"/>
  <c r="I1108" i="6"/>
  <c r="J1108" i="6"/>
  <c r="K1108" i="6"/>
  <c r="M1108" i="6"/>
  <c r="O1108" i="6"/>
  <c r="P1108" i="6"/>
  <c r="Q1108" i="6"/>
  <c r="R1108" i="6"/>
  <c r="S1108" i="6"/>
  <c r="C1109" i="6"/>
  <c r="D1109" i="6"/>
  <c r="E1109" i="6"/>
  <c r="F1109" i="6"/>
  <c r="G1109" i="6"/>
  <c r="H1109" i="6"/>
  <c r="I1109" i="6"/>
  <c r="J1109" i="6"/>
  <c r="K1109" i="6"/>
  <c r="L1109" i="6"/>
  <c r="M1109" i="6"/>
  <c r="N1109" i="6"/>
  <c r="O1109" i="6"/>
  <c r="P1109" i="6"/>
  <c r="Q1109" i="6"/>
  <c r="R1109" i="6"/>
  <c r="S1109" i="6"/>
  <c r="T1109" i="6"/>
  <c r="C1110" i="6"/>
  <c r="D1110" i="6"/>
  <c r="E1110" i="6"/>
  <c r="G1110" i="6"/>
  <c r="H1110" i="6"/>
  <c r="I1110" i="6"/>
  <c r="J1110" i="6"/>
  <c r="K1110" i="6"/>
  <c r="M1110" i="6"/>
  <c r="O1110" i="6"/>
  <c r="P1110" i="6"/>
  <c r="Q1110" i="6"/>
  <c r="R1110" i="6"/>
  <c r="S1110" i="6"/>
  <c r="T1110" i="6"/>
  <c r="C1111" i="6"/>
  <c r="D1111" i="6"/>
  <c r="E1111" i="6"/>
  <c r="G1111" i="6"/>
  <c r="H1111" i="6"/>
  <c r="I1111" i="6"/>
  <c r="J1111" i="6"/>
  <c r="K1111" i="6"/>
  <c r="M1111" i="6"/>
  <c r="O1111" i="6"/>
  <c r="P1111" i="6"/>
  <c r="Q1111" i="6"/>
  <c r="R1111" i="6"/>
  <c r="S1111" i="6"/>
  <c r="C1112" i="6"/>
  <c r="D1112" i="6"/>
  <c r="E1112" i="6"/>
  <c r="G1112" i="6"/>
  <c r="H1112" i="6"/>
  <c r="I1112" i="6"/>
  <c r="J1112" i="6"/>
  <c r="K1112" i="6"/>
  <c r="M1112" i="6"/>
  <c r="O1112" i="6"/>
  <c r="P1112" i="6"/>
  <c r="Q1112" i="6"/>
  <c r="R1112" i="6"/>
  <c r="S1112" i="6"/>
  <c r="C1113" i="6"/>
  <c r="D1113" i="6"/>
  <c r="E1113" i="6"/>
  <c r="F1113" i="6"/>
  <c r="G1113" i="6"/>
  <c r="H1113" i="6"/>
  <c r="I1113" i="6"/>
  <c r="J1113" i="6"/>
  <c r="K1113" i="6"/>
  <c r="M1113" i="6"/>
  <c r="N1113" i="6"/>
  <c r="O1113" i="6"/>
  <c r="P1113" i="6"/>
  <c r="Q1113" i="6"/>
  <c r="R1113" i="6"/>
  <c r="S1113" i="6"/>
  <c r="T1113" i="6"/>
  <c r="C1114" i="6"/>
  <c r="D1114" i="6"/>
  <c r="E1114" i="6"/>
  <c r="G1114" i="6"/>
  <c r="H1114" i="6"/>
  <c r="I1114" i="6"/>
  <c r="J1114" i="6"/>
  <c r="K1114" i="6"/>
  <c r="M1114" i="6"/>
  <c r="O1114" i="6"/>
  <c r="P1114" i="6"/>
  <c r="Q1114" i="6"/>
  <c r="R1114" i="6"/>
  <c r="S1114" i="6"/>
  <c r="T1114" i="6"/>
  <c r="C1115" i="6"/>
  <c r="D1115" i="6"/>
  <c r="E1115" i="6"/>
  <c r="G1115" i="6"/>
  <c r="H1115" i="6"/>
  <c r="I1115" i="6"/>
  <c r="J1115" i="6"/>
  <c r="K1115" i="6"/>
  <c r="M1115" i="6"/>
  <c r="O1115" i="6"/>
  <c r="P1115" i="6"/>
  <c r="Q1115" i="6"/>
  <c r="R1115" i="6"/>
  <c r="S1115" i="6"/>
  <c r="C1116" i="6"/>
  <c r="D1116" i="6"/>
  <c r="E1116" i="6"/>
  <c r="G1116" i="6"/>
  <c r="H1116" i="6"/>
  <c r="I1116" i="6"/>
  <c r="J1116" i="6"/>
  <c r="K1116" i="6"/>
  <c r="M1116" i="6"/>
  <c r="O1116" i="6"/>
  <c r="P1116" i="6"/>
  <c r="Q1116" i="6"/>
  <c r="R1116" i="6"/>
  <c r="S1116" i="6"/>
  <c r="C1117" i="6"/>
  <c r="D1117" i="6"/>
  <c r="E1117" i="6"/>
  <c r="F1117" i="6"/>
  <c r="G1117" i="6"/>
  <c r="H1117" i="6"/>
  <c r="I1117" i="6"/>
  <c r="J1117" i="6"/>
  <c r="K1117" i="6"/>
  <c r="L1117" i="6"/>
  <c r="M1117" i="6"/>
  <c r="N1117" i="6"/>
  <c r="O1117" i="6"/>
  <c r="P1117" i="6"/>
  <c r="Q1117" i="6"/>
  <c r="R1117" i="6"/>
  <c r="S1117" i="6"/>
  <c r="T1117" i="6"/>
  <c r="C9" i="5"/>
  <c r="E9" i="5"/>
  <c r="B26" i="5"/>
  <c r="C26" i="5"/>
  <c r="D26" i="5"/>
  <c r="E26" i="5"/>
  <c r="F26" i="5"/>
  <c r="G26" i="5"/>
  <c r="H26" i="5"/>
  <c r="I26" i="5"/>
  <c r="J26" i="5"/>
  <c r="L26" i="5"/>
  <c r="M26" i="5"/>
  <c r="N26" i="5"/>
  <c r="O26" i="5"/>
  <c r="P26" i="5"/>
  <c r="Q26" i="5"/>
  <c r="R26" i="5"/>
  <c r="S26" i="5"/>
  <c r="T26" i="5"/>
  <c r="U26" i="5"/>
  <c r="V26" i="5"/>
  <c r="W26" i="5"/>
  <c r="Y26" i="5"/>
  <c r="Z26" i="5"/>
  <c r="AA26" i="5"/>
  <c r="B27" i="5"/>
  <c r="C27" i="5"/>
  <c r="D27" i="5"/>
  <c r="E27" i="5"/>
  <c r="F27" i="5"/>
  <c r="G27" i="5"/>
  <c r="H27" i="5"/>
  <c r="I27" i="5"/>
  <c r="J27" i="5"/>
  <c r="L27" i="5"/>
  <c r="M27" i="5"/>
  <c r="N27" i="5"/>
  <c r="O27" i="5"/>
  <c r="P27" i="5"/>
  <c r="Q27" i="5"/>
  <c r="R27" i="5"/>
  <c r="S27" i="5"/>
  <c r="T27" i="5"/>
  <c r="U27" i="5"/>
  <c r="V27" i="5"/>
  <c r="W27" i="5"/>
  <c r="Y27" i="5"/>
  <c r="Z27" i="5"/>
  <c r="AA27" i="5"/>
  <c r="AB27" i="5"/>
  <c r="AC27" i="5"/>
  <c r="B28" i="5"/>
  <c r="C28" i="5"/>
  <c r="D28" i="5"/>
  <c r="E28" i="5"/>
  <c r="F28" i="5"/>
  <c r="G28" i="5"/>
  <c r="H28" i="5"/>
  <c r="I28" i="5"/>
  <c r="J28" i="5"/>
  <c r="L28" i="5"/>
  <c r="M28" i="5"/>
  <c r="AC28" i="5" s="1"/>
  <c r="N28" i="5"/>
  <c r="O28" i="5"/>
  <c r="P28" i="5"/>
  <c r="Q28" i="5"/>
  <c r="R28" i="5"/>
  <c r="S28" i="5"/>
  <c r="T28" i="5"/>
  <c r="U28" i="5"/>
  <c r="V28" i="5"/>
  <c r="W28" i="5"/>
  <c r="X28" i="5"/>
  <c r="Z28" i="5"/>
  <c r="AA28" i="5"/>
  <c r="B29" i="5"/>
  <c r="C29" i="5"/>
  <c r="D29" i="5"/>
  <c r="E29" i="5"/>
  <c r="F29" i="5"/>
  <c r="G29" i="5"/>
  <c r="H29" i="5"/>
  <c r="I29" i="5"/>
  <c r="J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Z29" i="5"/>
  <c r="AA29" i="5"/>
  <c r="B30" i="5"/>
  <c r="C30" i="5"/>
  <c r="D30" i="5"/>
  <c r="E30" i="5"/>
  <c r="F30" i="5"/>
  <c r="G30" i="5"/>
  <c r="H30" i="5"/>
  <c r="I30" i="5"/>
  <c r="J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Z30" i="5"/>
  <c r="AA30" i="5"/>
  <c r="B31" i="5"/>
  <c r="C31" i="5"/>
  <c r="D31" i="5"/>
  <c r="E31" i="5"/>
  <c r="F31" i="5"/>
  <c r="G31" i="5"/>
  <c r="H31" i="5"/>
  <c r="I31" i="5"/>
  <c r="J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Z31" i="5"/>
  <c r="AA31" i="5"/>
  <c r="B32" i="5"/>
  <c r="C32" i="5"/>
  <c r="D32" i="5"/>
  <c r="E32" i="5"/>
  <c r="F32" i="5"/>
  <c r="G32" i="5"/>
  <c r="H32" i="5"/>
  <c r="I32" i="5"/>
  <c r="J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Z32" i="5"/>
  <c r="AA32" i="5"/>
  <c r="B33" i="5"/>
  <c r="C33" i="5"/>
  <c r="D33" i="5"/>
  <c r="E33" i="5"/>
  <c r="F33" i="5"/>
  <c r="G33" i="5"/>
  <c r="H33" i="5"/>
  <c r="I33" i="5"/>
  <c r="J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Z33" i="5"/>
  <c r="AA33" i="5"/>
  <c r="B34" i="5"/>
  <c r="C34" i="5"/>
  <c r="D34" i="5"/>
  <c r="E34" i="5"/>
  <c r="F34" i="5"/>
  <c r="G34" i="5"/>
  <c r="H34" i="5"/>
  <c r="I34" i="5"/>
  <c r="J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Z34" i="5"/>
  <c r="AA34" i="5"/>
  <c r="B35" i="5"/>
  <c r="C35" i="5"/>
  <c r="D35" i="5"/>
  <c r="E35" i="5"/>
  <c r="F35" i="5"/>
  <c r="G35" i="5"/>
  <c r="H35" i="5"/>
  <c r="I35" i="5"/>
  <c r="J35" i="5"/>
  <c r="L35" i="5"/>
  <c r="M35" i="5"/>
  <c r="N35" i="5"/>
  <c r="O35" i="5"/>
  <c r="P35" i="5"/>
  <c r="Q35" i="5"/>
  <c r="R35" i="5"/>
  <c r="S35" i="5"/>
  <c r="T35" i="5"/>
  <c r="U35" i="5"/>
  <c r="V35" i="5"/>
  <c r="W35" i="5"/>
  <c r="Z35" i="5"/>
  <c r="AA35" i="5"/>
  <c r="B36" i="5"/>
  <c r="C36" i="5"/>
  <c r="D36" i="5"/>
  <c r="E36" i="5"/>
  <c r="F36" i="5"/>
  <c r="G36" i="5"/>
  <c r="H36" i="5"/>
  <c r="I36" i="5"/>
  <c r="J36" i="5"/>
  <c r="L36" i="5"/>
  <c r="M36" i="5"/>
  <c r="N36" i="5"/>
  <c r="O36" i="5"/>
  <c r="P36" i="5"/>
  <c r="Q36" i="5"/>
  <c r="R36" i="5"/>
  <c r="S36" i="5"/>
  <c r="T36" i="5"/>
  <c r="U36" i="5"/>
  <c r="V36" i="5"/>
  <c r="W36" i="5"/>
  <c r="Z36" i="5"/>
  <c r="AA36" i="5"/>
  <c r="B37" i="5"/>
  <c r="C37" i="5"/>
  <c r="D37" i="5"/>
  <c r="E37" i="5"/>
  <c r="F37" i="5"/>
  <c r="G37" i="5"/>
  <c r="H37" i="5"/>
  <c r="I37" i="5"/>
  <c r="J37" i="5"/>
  <c r="L37" i="5"/>
  <c r="M37" i="5"/>
  <c r="N37" i="5"/>
  <c r="O37" i="5"/>
  <c r="P37" i="5"/>
  <c r="Q37" i="5"/>
  <c r="R37" i="5"/>
  <c r="S37" i="5"/>
  <c r="T37" i="5"/>
  <c r="U37" i="5"/>
  <c r="V37" i="5"/>
  <c r="W37" i="5"/>
  <c r="Z37" i="5"/>
  <c r="AA37" i="5"/>
  <c r="B38" i="5"/>
  <c r="C38" i="5"/>
  <c r="D38" i="5"/>
  <c r="E38" i="5"/>
  <c r="F38" i="5"/>
  <c r="G38" i="5"/>
  <c r="H38" i="5"/>
  <c r="I38" i="5"/>
  <c r="J38" i="5"/>
  <c r="L38" i="5"/>
  <c r="M38" i="5"/>
  <c r="N38" i="5"/>
  <c r="O38" i="5"/>
  <c r="P38" i="5"/>
  <c r="Q38" i="5"/>
  <c r="R38" i="5"/>
  <c r="S38" i="5"/>
  <c r="T38" i="5"/>
  <c r="U38" i="5"/>
  <c r="V38" i="5"/>
  <c r="W38" i="5"/>
  <c r="Z38" i="5"/>
  <c r="AA38" i="5"/>
  <c r="B39" i="5"/>
  <c r="C39" i="5"/>
  <c r="D39" i="5"/>
  <c r="E39" i="5"/>
  <c r="F39" i="5"/>
  <c r="G39" i="5"/>
  <c r="H39" i="5"/>
  <c r="I39" i="5"/>
  <c r="J39" i="5"/>
  <c r="L39" i="5"/>
  <c r="M39" i="5"/>
  <c r="N39" i="5"/>
  <c r="O39" i="5"/>
  <c r="P39" i="5"/>
  <c r="Q39" i="5"/>
  <c r="R39" i="5"/>
  <c r="S39" i="5"/>
  <c r="T39" i="5"/>
  <c r="U39" i="5"/>
  <c r="V39" i="5"/>
  <c r="W39" i="5"/>
  <c r="Z39" i="5"/>
  <c r="AA39" i="5"/>
  <c r="B40" i="5"/>
  <c r="C40" i="5"/>
  <c r="D40" i="5"/>
  <c r="E40" i="5"/>
  <c r="F40" i="5"/>
  <c r="G40" i="5"/>
  <c r="H40" i="5"/>
  <c r="I40" i="5"/>
  <c r="J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Z40" i="5"/>
  <c r="AA40" i="5"/>
  <c r="B41" i="5"/>
  <c r="C41" i="5"/>
  <c r="D41" i="5"/>
  <c r="E41" i="5"/>
  <c r="F41" i="5"/>
  <c r="G41" i="5"/>
  <c r="H41" i="5"/>
  <c r="I41" i="5"/>
  <c r="J41" i="5"/>
  <c r="L41" i="5"/>
  <c r="M41" i="5"/>
  <c r="AC41" i="5" s="1"/>
  <c r="N41" i="5"/>
  <c r="O41" i="5"/>
  <c r="P41" i="5"/>
  <c r="Q41" i="5"/>
  <c r="R41" i="5"/>
  <c r="S41" i="5"/>
  <c r="T41" i="5"/>
  <c r="U41" i="5"/>
  <c r="V41" i="5"/>
  <c r="W41" i="5"/>
  <c r="X41" i="5"/>
  <c r="Z41" i="5"/>
  <c r="AA41" i="5"/>
  <c r="B42" i="5"/>
  <c r="C42" i="5"/>
  <c r="D42" i="5"/>
  <c r="E42" i="5"/>
  <c r="F42" i="5"/>
  <c r="G42" i="5"/>
  <c r="H42" i="5"/>
  <c r="I42" i="5"/>
  <c r="J42" i="5"/>
  <c r="L42" i="5"/>
  <c r="M42" i="5"/>
  <c r="AC42" i="5" s="1"/>
  <c r="N42" i="5"/>
  <c r="O42" i="5"/>
  <c r="P42" i="5"/>
  <c r="Q42" i="5"/>
  <c r="R42" i="5"/>
  <c r="S42" i="5"/>
  <c r="T42" i="5"/>
  <c r="U42" i="5"/>
  <c r="V42" i="5"/>
  <c r="W42" i="5"/>
  <c r="X42" i="5"/>
  <c r="Z42" i="5"/>
  <c r="AA42" i="5"/>
  <c r="B43" i="5"/>
  <c r="C43" i="5"/>
  <c r="D43" i="5"/>
  <c r="E43" i="5"/>
  <c r="F43" i="5"/>
  <c r="G43" i="5"/>
  <c r="H43" i="5"/>
  <c r="I43" i="5"/>
  <c r="J43" i="5"/>
  <c r="L43" i="5"/>
  <c r="M43" i="5"/>
  <c r="AC43" i="5" s="1"/>
  <c r="N43" i="5"/>
  <c r="O43" i="5"/>
  <c r="P43" i="5"/>
  <c r="Q43" i="5"/>
  <c r="R43" i="5"/>
  <c r="S43" i="5"/>
  <c r="T43" i="5"/>
  <c r="U43" i="5"/>
  <c r="V43" i="5"/>
  <c r="W43" i="5"/>
  <c r="X43" i="5"/>
  <c r="Z43" i="5"/>
  <c r="AA43" i="5"/>
  <c r="B44" i="5"/>
  <c r="C44" i="5"/>
  <c r="D44" i="5"/>
  <c r="E44" i="5"/>
  <c r="F44" i="5"/>
  <c r="G44" i="5"/>
  <c r="H44" i="5"/>
  <c r="I44" i="5"/>
  <c r="J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Z44" i="5"/>
  <c r="AA44" i="5"/>
  <c r="B45" i="5"/>
  <c r="C45" i="5"/>
  <c r="D45" i="5"/>
  <c r="E45" i="5"/>
  <c r="F45" i="5"/>
  <c r="G45" i="5"/>
  <c r="H45" i="5"/>
  <c r="I45" i="5"/>
  <c r="J45" i="5"/>
  <c r="L45" i="5"/>
  <c r="M45" i="5"/>
  <c r="N45" i="5"/>
  <c r="O45" i="5"/>
  <c r="P45" i="5"/>
  <c r="AC45" i="5" s="1"/>
  <c r="Q45" i="5"/>
  <c r="R45" i="5"/>
  <c r="S45" i="5"/>
  <c r="T45" i="5"/>
  <c r="U45" i="5"/>
  <c r="V45" i="5"/>
  <c r="W45" i="5"/>
  <c r="X45" i="5"/>
  <c r="Z45" i="5"/>
  <c r="AA45" i="5"/>
  <c r="B46" i="5"/>
  <c r="C46" i="5"/>
  <c r="D46" i="5"/>
  <c r="E46" i="5"/>
  <c r="F46" i="5"/>
  <c r="G46" i="5"/>
  <c r="H46" i="5"/>
  <c r="I46" i="5"/>
  <c r="J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Z46" i="5"/>
  <c r="AA46" i="5"/>
  <c r="B47" i="5"/>
  <c r="C47" i="5"/>
  <c r="D47" i="5"/>
  <c r="E47" i="5"/>
  <c r="F47" i="5"/>
  <c r="G47" i="5"/>
  <c r="H47" i="5"/>
  <c r="I47" i="5"/>
  <c r="J47" i="5"/>
  <c r="J1072" i="5" s="1"/>
  <c r="L47" i="5"/>
  <c r="M47" i="5"/>
  <c r="N47" i="5"/>
  <c r="O47" i="5"/>
  <c r="AC47" i="5" s="1"/>
  <c r="P47" i="5"/>
  <c r="Q47" i="5"/>
  <c r="R47" i="5"/>
  <c r="S47" i="5"/>
  <c r="S1072" i="5" s="1"/>
  <c r="T47" i="5"/>
  <c r="U47" i="5"/>
  <c r="V47" i="5"/>
  <c r="W47" i="5"/>
  <c r="X47" i="5"/>
  <c r="Z47" i="5"/>
  <c r="AA47" i="5"/>
  <c r="AB47" i="5"/>
  <c r="B48" i="5"/>
  <c r="C48" i="5"/>
  <c r="D48" i="5"/>
  <c r="E48" i="5"/>
  <c r="F48" i="5"/>
  <c r="G48" i="5"/>
  <c r="H48" i="5"/>
  <c r="H1072" i="5" s="1"/>
  <c r="I48" i="5"/>
  <c r="J48" i="5"/>
  <c r="L48" i="5"/>
  <c r="M48" i="5"/>
  <c r="N48" i="5"/>
  <c r="O48" i="5"/>
  <c r="P48" i="5"/>
  <c r="Q48" i="5"/>
  <c r="Q1072" i="5" s="1"/>
  <c r="R48" i="5"/>
  <c r="S48" i="5"/>
  <c r="T48" i="5"/>
  <c r="U48" i="5"/>
  <c r="V48" i="5"/>
  <c r="W48" i="5"/>
  <c r="X48" i="5"/>
  <c r="Z48" i="5"/>
  <c r="Z1072" i="5" s="1"/>
  <c r="AA48" i="5"/>
  <c r="B49" i="5"/>
  <c r="C49" i="5"/>
  <c r="D49" i="5"/>
  <c r="E49" i="5"/>
  <c r="F49" i="5"/>
  <c r="G49" i="5"/>
  <c r="H49" i="5"/>
  <c r="I49" i="5"/>
  <c r="J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AB49" i="5"/>
  <c r="B50" i="5"/>
  <c r="C50" i="5"/>
  <c r="D50" i="5"/>
  <c r="E50" i="5"/>
  <c r="F50" i="5"/>
  <c r="G50" i="5"/>
  <c r="H50" i="5"/>
  <c r="I50" i="5"/>
  <c r="J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B51" i="5"/>
  <c r="C51" i="5"/>
  <c r="D51" i="5"/>
  <c r="E51" i="5"/>
  <c r="F51" i="5"/>
  <c r="G51" i="5"/>
  <c r="H51" i="5"/>
  <c r="I51" i="5"/>
  <c r="J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B52" i="5"/>
  <c r="C52" i="5"/>
  <c r="D52" i="5"/>
  <c r="E52" i="5"/>
  <c r="F52" i="5"/>
  <c r="G52" i="5"/>
  <c r="H52" i="5"/>
  <c r="I52" i="5"/>
  <c r="J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B53" i="5"/>
  <c r="C53" i="5"/>
  <c r="D53" i="5"/>
  <c r="E53" i="5"/>
  <c r="F53" i="5"/>
  <c r="G53" i="5"/>
  <c r="H53" i="5"/>
  <c r="I53" i="5"/>
  <c r="J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B54" i="5"/>
  <c r="C54" i="5"/>
  <c r="D54" i="5"/>
  <c r="E54" i="5"/>
  <c r="F54" i="5"/>
  <c r="G54" i="5"/>
  <c r="H54" i="5"/>
  <c r="I54" i="5"/>
  <c r="J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B55" i="5"/>
  <c r="C55" i="5"/>
  <c r="AB55" i="5" s="1"/>
  <c r="D55" i="5"/>
  <c r="E55" i="5"/>
  <c r="F55" i="5"/>
  <c r="G55" i="5"/>
  <c r="H55" i="5"/>
  <c r="I55" i="5"/>
  <c r="J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B56" i="5"/>
  <c r="C56" i="5"/>
  <c r="D56" i="5"/>
  <c r="E56" i="5"/>
  <c r="F56" i="5"/>
  <c r="G56" i="5"/>
  <c r="H56" i="5"/>
  <c r="I56" i="5"/>
  <c r="J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B57" i="5"/>
  <c r="C57" i="5"/>
  <c r="D57" i="5"/>
  <c r="E57" i="5"/>
  <c r="F57" i="5"/>
  <c r="G57" i="5"/>
  <c r="H57" i="5"/>
  <c r="I57" i="5"/>
  <c r="J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B58" i="5"/>
  <c r="C58" i="5"/>
  <c r="D58" i="5"/>
  <c r="E58" i="5"/>
  <c r="F58" i="5"/>
  <c r="G58" i="5"/>
  <c r="H58" i="5"/>
  <c r="I58" i="5"/>
  <c r="J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AB58" i="5"/>
  <c r="B59" i="5"/>
  <c r="C59" i="5"/>
  <c r="D59" i="5"/>
  <c r="E59" i="5"/>
  <c r="F59" i="5"/>
  <c r="G59" i="5"/>
  <c r="H59" i="5"/>
  <c r="I59" i="5"/>
  <c r="J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B60" i="5"/>
  <c r="C60" i="5"/>
  <c r="D60" i="5"/>
  <c r="E60" i="5"/>
  <c r="F60" i="5"/>
  <c r="G60" i="5"/>
  <c r="H60" i="5"/>
  <c r="I60" i="5"/>
  <c r="J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AC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AC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AC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AB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AC65" i="5"/>
  <c r="B66" i="5"/>
  <c r="C66" i="5"/>
  <c r="D66" i="5"/>
  <c r="E66" i="5"/>
  <c r="F66" i="5"/>
  <c r="G66" i="5"/>
  <c r="H66" i="5"/>
  <c r="I66" i="5"/>
  <c r="J66" i="5"/>
  <c r="K66" i="5"/>
  <c r="L66" i="5"/>
  <c r="M66" i="5"/>
  <c r="AC66" i="5" s="1"/>
  <c r="N66" i="5"/>
  <c r="O66" i="5"/>
  <c r="P66" i="5"/>
  <c r="Q66" i="5"/>
  <c r="R66" i="5"/>
  <c r="S66" i="5"/>
  <c r="T66" i="5"/>
  <c r="U66" i="5"/>
  <c r="V66" i="5"/>
  <c r="W66" i="5"/>
  <c r="X66" i="5"/>
  <c r="AB66" i="5"/>
  <c r="B67" i="5"/>
  <c r="C67" i="5"/>
  <c r="D67" i="5"/>
  <c r="E67" i="5"/>
  <c r="F67" i="5"/>
  <c r="G67" i="5"/>
  <c r="H67" i="5"/>
  <c r="AB67" i="5" s="1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AB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AC78" i="5" s="1"/>
  <c r="O78" i="5"/>
  <c r="P78" i="5"/>
  <c r="Q78" i="5"/>
  <c r="R78" i="5"/>
  <c r="S78" i="5"/>
  <c r="T78" i="5"/>
  <c r="U78" i="5"/>
  <c r="V78" i="5"/>
  <c r="W78" i="5"/>
  <c r="X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AC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AC92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AC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AB94" i="5"/>
  <c r="B95" i="5"/>
  <c r="C95" i="5"/>
  <c r="D95" i="5"/>
  <c r="E95" i="5"/>
  <c r="F95" i="5"/>
  <c r="G95" i="5"/>
  <c r="H95" i="5"/>
  <c r="I95" i="5"/>
  <c r="J95" i="5"/>
  <c r="K95" i="5"/>
  <c r="L95" i="5"/>
  <c r="M95" i="5"/>
  <c r="AC95" i="5" s="1"/>
  <c r="N95" i="5"/>
  <c r="O95" i="5"/>
  <c r="P95" i="5"/>
  <c r="Q95" i="5"/>
  <c r="R95" i="5"/>
  <c r="S95" i="5"/>
  <c r="T95" i="5"/>
  <c r="U95" i="5"/>
  <c r="V95" i="5"/>
  <c r="W95" i="5"/>
  <c r="X95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AC101" i="5" s="1"/>
  <c r="P101" i="5"/>
  <c r="Q101" i="5"/>
  <c r="R101" i="5"/>
  <c r="S101" i="5"/>
  <c r="T101" i="5"/>
  <c r="U101" i="5"/>
  <c r="V101" i="5"/>
  <c r="W101" i="5"/>
  <c r="X101" i="5"/>
  <c r="B102" i="5"/>
  <c r="C102" i="5"/>
  <c r="D102" i="5"/>
  <c r="AB102" i="5" s="1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AC103" i="5" s="1"/>
  <c r="O103" i="5"/>
  <c r="P103" i="5"/>
  <c r="Q103" i="5"/>
  <c r="R103" i="5"/>
  <c r="S103" i="5"/>
  <c r="T103" i="5"/>
  <c r="U103" i="5"/>
  <c r="V103" i="5"/>
  <c r="W103" i="5"/>
  <c r="X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B112" i="5"/>
  <c r="C112" i="5"/>
  <c r="D112" i="5"/>
  <c r="AB112" i="5" s="1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AC113" i="5" s="1"/>
  <c r="Q113" i="5"/>
  <c r="R113" i="5"/>
  <c r="S113" i="5"/>
  <c r="T113" i="5"/>
  <c r="U113" i="5"/>
  <c r="V113" i="5"/>
  <c r="W113" i="5"/>
  <c r="X113" i="5"/>
  <c r="B114" i="5"/>
  <c r="C114" i="5"/>
  <c r="D114" i="5"/>
  <c r="AB114" i="5" s="1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B120" i="5"/>
  <c r="C120" i="5"/>
  <c r="D120" i="5"/>
  <c r="D1078" i="5" s="1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AB124" i="5"/>
  <c r="AC124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AC125" i="5" s="1"/>
  <c r="Q125" i="5"/>
  <c r="R125" i="5"/>
  <c r="S125" i="5"/>
  <c r="T125" i="5"/>
  <c r="U125" i="5"/>
  <c r="V125" i="5"/>
  <c r="W125" i="5"/>
  <c r="X125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B132" i="5"/>
  <c r="C132" i="5"/>
  <c r="D132" i="5"/>
  <c r="E132" i="5"/>
  <c r="E1079" i="5" s="1"/>
  <c r="F132" i="5"/>
  <c r="G132" i="5"/>
  <c r="H132" i="5"/>
  <c r="I132" i="5"/>
  <c r="J132" i="5"/>
  <c r="K132" i="5"/>
  <c r="L132" i="5"/>
  <c r="M132" i="5"/>
  <c r="AC132" i="5" s="1"/>
  <c r="N132" i="5"/>
  <c r="O132" i="5"/>
  <c r="P132" i="5"/>
  <c r="Q132" i="5"/>
  <c r="R132" i="5"/>
  <c r="S132" i="5"/>
  <c r="T132" i="5"/>
  <c r="U132" i="5"/>
  <c r="V132" i="5"/>
  <c r="W132" i="5"/>
  <c r="X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AC133" i="5" s="1"/>
  <c r="O133" i="5"/>
  <c r="P133" i="5"/>
  <c r="Q133" i="5"/>
  <c r="R133" i="5"/>
  <c r="S133" i="5"/>
  <c r="T133" i="5"/>
  <c r="U133" i="5"/>
  <c r="V133" i="5"/>
  <c r="W133" i="5"/>
  <c r="X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AC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AC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AC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AC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AC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AB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AC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AC155" i="5" s="1"/>
  <c r="N155" i="5"/>
  <c r="O155" i="5"/>
  <c r="P155" i="5"/>
  <c r="Q155" i="5"/>
  <c r="R155" i="5"/>
  <c r="S155" i="5"/>
  <c r="T155" i="5"/>
  <c r="U155" i="5"/>
  <c r="U1081" i="5" s="1"/>
  <c r="V155" i="5"/>
  <c r="W155" i="5"/>
  <c r="X155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AC156" i="5" s="1"/>
  <c r="O156" i="5"/>
  <c r="P156" i="5"/>
  <c r="Q156" i="5"/>
  <c r="R156" i="5"/>
  <c r="S156" i="5"/>
  <c r="T156" i="5"/>
  <c r="U156" i="5"/>
  <c r="V156" i="5"/>
  <c r="W156" i="5"/>
  <c r="X156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AC157" i="5" s="1"/>
  <c r="O157" i="5"/>
  <c r="P157" i="5"/>
  <c r="Q157" i="5"/>
  <c r="R157" i="5"/>
  <c r="S157" i="5"/>
  <c r="T157" i="5"/>
  <c r="U157" i="5"/>
  <c r="V157" i="5"/>
  <c r="W157" i="5"/>
  <c r="X157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AC158" i="5" s="1"/>
  <c r="O158" i="5"/>
  <c r="P158" i="5"/>
  <c r="Q158" i="5"/>
  <c r="R158" i="5"/>
  <c r="S158" i="5"/>
  <c r="T158" i="5"/>
  <c r="U158" i="5"/>
  <c r="V158" i="5"/>
  <c r="W158" i="5"/>
  <c r="X158" i="5"/>
  <c r="B159" i="5"/>
  <c r="AB159" i="5" s="1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AC165" i="5" s="1"/>
  <c r="P165" i="5"/>
  <c r="Q165" i="5"/>
  <c r="R165" i="5"/>
  <c r="S165" i="5"/>
  <c r="T165" i="5"/>
  <c r="U165" i="5"/>
  <c r="V165" i="5"/>
  <c r="W165" i="5"/>
  <c r="X165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AC166" i="5" s="1"/>
  <c r="Q166" i="5"/>
  <c r="R166" i="5"/>
  <c r="S166" i="5"/>
  <c r="T166" i="5"/>
  <c r="U166" i="5"/>
  <c r="V166" i="5"/>
  <c r="W166" i="5"/>
  <c r="X166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AC167" i="5" s="1"/>
  <c r="Q167" i="5"/>
  <c r="R167" i="5"/>
  <c r="S167" i="5"/>
  <c r="T167" i="5"/>
  <c r="U167" i="5"/>
  <c r="V167" i="5"/>
  <c r="W167" i="5"/>
  <c r="X167" i="5"/>
  <c r="B168" i="5"/>
  <c r="C168" i="5"/>
  <c r="D168" i="5"/>
  <c r="AB168" i="5" s="1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AC169" i="5" s="1"/>
  <c r="Q169" i="5"/>
  <c r="R169" i="5"/>
  <c r="S169" i="5"/>
  <c r="T169" i="5"/>
  <c r="U169" i="5"/>
  <c r="V169" i="5"/>
  <c r="W169" i="5"/>
  <c r="X169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AC170" i="5" s="1"/>
  <c r="Q170" i="5"/>
  <c r="R170" i="5"/>
  <c r="S170" i="5"/>
  <c r="T170" i="5"/>
  <c r="U170" i="5"/>
  <c r="V170" i="5"/>
  <c r="W170" i="5"/>
  <c r="X170" i="5"/>
  <c r="B171" i="5"/>
  <c r="C171" i="5"/>
  <c r="D171" i="5"/>
  <c r="AB171" i="5" s="1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AC172" i="5" s="1"/>
  <c r="Q172" i="5"/>
  <c r="R172" i="5"/>
  <c r="S172" i="5"/>
  <c r="T172" i="5"/>
  <c r="U172" i="5"/>
  <c r="V172" i="5"/>
  <c r="W172" i="5"/>
  <c r="X172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AC176" i="5" s="1"/>
  <c r="P176" i="5"/>
  <c r="Q176" i="5"/>
  <c r="R176" i="5"/>
  <c r="S176" i="5"/>
  <c r="T176" i="5"/>
  <c r="U176" i="5"/>
  <c r="V176" i="5"/>
  <c r="W176" i="5"/>
  <c r="X176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AC177" i="5" s="1"/>
  <c r="P177" i="5"/>
  <c r="Q177" i="5"/>
  <c r="R177" i="5"/>
  <c r="S177" i="5"/>
  <c r="T177" i="5"/>
  <c r="U177" i="5"/>
  <c r="V177" i="5"/>
  <c r="W177" i="5"/>
  <c r="X177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AB178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AC183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AB184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AC185" i="5"/>
  <c r="B18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AB186" i="5"/>
  <c r="B187" i="5"/>
  <c r="C187" i="5"/>
  <c r="D187" i="5"/>
  <c r="E187" i="5"/>
  <c r="F187" i="5"/>
  <c r="G187" i="5"/>
  <c r="H187" i="5"/>
  <c r="I187" i="5"/>
  <c r="J187" i="5"/>
  <c r="K187" i="5"/>
  <c r="L187" i="5"/>
  <c r="M187" i="5"/>
  <c r="AC187" i="5" s="1"/>
  <c r="N187" i="5"/>
  <c r="O187" i="5"/>
  <c r="P187" i="5"/>
  <c r="Q187" i="5"/>
  <c r="R187" i="5"/>
  <c r="S187" i="5"/>
  <c r="T187" i="5"/>
  <c r="U187" i="5"/>
  <c r="V187" i="5"/>
  <c r="W187" i="5"/>
  <c r="X187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B190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U1084" i="5" s="1"/>
  <c r="V191" i="5"/>
  <c r="W191" i="5"/>
  <c r="X191" i="5"/>
  <c r="B192" i="5"/>
  <c r="AB192" i="5" s="1"/>
  <c r="C192" i="5"/>
  <c r="D192" i="5"/>
  <c r="E192" i="5"/>
  <c r="F192" i="5"/>
  <c r="G192" i="5"/>
  <c r="H192" i="5"/>
  <c r="I192" i="5"/>
  <c r="J192" i="5"/>
  <c r="K192" i="5"/>
  <c r="L192" i="5"/>
  <c r="M192" i="5"/>
  <c r="N192" i="5"/>
  <c r="AC192" i="5" s="1"/>
  <c r="O192" i="5"/>
  <c r="P192" i="5"/>
  <c r="Q192" i="5"/>
  <c r="R192" i="5"/>
  <c r="S192" i="5"/>
  <c r="T192" i="5"/>
  <c r="U192" i="5"/>
  <c r="V192" i="5"/>
  <c r="W192" i="5"/>
  <c r="X192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AC194" i="5" s="1"/>
  <c r="P194" i="5"/>
  <c r="Q194" i="5"/>
  <c r="R194" i="5"/>
  <c r="S194" i="5"/>
  <c r="T194" i="5"/>
  <c r="U194" i="5"/>
  <c r="V194" i="5"/>
  <c r="W194" i="5"/>
  <c r="X194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B196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B197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B198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B199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B200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AC200" i="5"/>
  <c r="B201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AC201" i="5"/>
  <c r="B202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AC202" i="5"/>
  <c r="B203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T203" i="5"/>
  <c r="U203" i="5"/>
  <c r="V203" i="5"/>
  <c r="W203" i="5"/>
  <c r="X203" i="5"/>
  <c r="AB203" i="5"/>
  <c r="B204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AC204" i="5"/>
  <c r="B205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AB205" i="5"/>
  <c r="B206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AC207" i="5"/>
  <c r="B208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AC208" i="5"/>
  <c r="B209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Q209" i="5"/>
  <c r="R209" i="5"/>
  <c r="S209" i="5"/>
  <c r="T209" i="5"/>
  <c r="U209" i="5"/>
  <c r="V209" i="5"/>
  <c r="W209" i="5"/>
  <c r="X209" i="5"/>
  <c r="AB209" i="5"/>
  <c r="B210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T210" i="5"/>
  <c r="U210" i="5"/>
  <c r="V210" i="5"/>
  <c r="W210" i="5"/>
  <c r="X210" i="5"/>
  <c r="B211" i="5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R211" i="5"/>
  <c r="S211" i="5"/>
  <c r="T211" i="5"/>
  <c r="U211" i="5"/>
  <c r="V211" i="5"/>
  <c r="W211" i="5"/>
  <c r="X211" i="5"/>
  <c r="B212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R212" i="5"/>
  <c r="S212" i="5"/>
  <c r="T212" i="5"/>
  <c r="U212" i="5"/>
  <c r="V212" i="5"/>
  <c r="W212" i="5"/>
  <c r="X212" i="5"/>
  <c r="B213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R213" i="5"/>
  <c r="S213" i="5"/>
  <c r="T213" i="5"/>
  <c r="U213" i="5"/>
  <c r="V213" i="5"/>
  <c r="W213" i="5"/>
  <c r="X213" i="5"/>
  <c r="B214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S214" i="5"/>
  <c r="T214" i="5"/>
  <c r="U214" i="5"/>
  <c r="V214" i="5"/>
  <c r="W214" i="5"/>
  <c r="X214" i="5"/>
  <c r="B215" i="5"/>
  <c r="C215" i="5"/>
  <c r="D215" i="5"/>
  <c r="E215" i="5"/>
  <c r="F215" i="5"/>
  <c r="G215" i="5"/>
  <c r="H215" i="5"/>
  <c r="I215" i="5"/>
  <c r="J215" i="5"/>
  <c r="K215" i="5"/>
  <c r="L215" i="5"/>
  <c r="M215" i="5"/>
  <c r="N215" i="5"/>
  <c r="AC215" i="5" s="1"/>
  <c r="O215" i="5"/>
  <c r="P215" i="5"/>
  <c r="Q215" i="5"/>
  <c r="R215" i="5"/>
  <c r="S215" i="5"/>
  <c r="T215" i="5"/>
  <c r="U215" i="5"/>
  <c r="V215" i="5"/>
  <c r="W215" i="5"/>
  <c r="X215" i="5"/>
  <c r="B216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AC216" i="5" s="1"/>
  <c r="O216" i="5"/>
  <c r="P216" i="5"/>
  <c r="Q216" i="5"/>
  <c r="R216" i="5"/>
  <c r="S216" i="5"/>
  <c r="T216" i="5"/>
  <c r="U216" i="5"/>
  <c r="V216" i="5"/>
  <c r="W216" i="5"/>
  <c r="X216" i="5"/>
  <c r="B217" i="5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AC217" i="5" s="1"/>
  <c r="P217" i="5"/>
  <c r="Q217" i="5"/>
  <c r="R217" i="5"/>
  <c r="S217" i="5"/>
  <c r="T217" i="5"/>
  <c r="U217" i="5"/>
  <c r="V217" i="5"/>
  <c r="W217" i="5"/>
  <c r="X217" i="5"/>
  <c r="B218" i="5"/>
  <c r="C218" i="5"/>
  <c r="AB218" i="5" s="1"/>
  <c r="D218" i="5"/>
  <c r="E218" i="5"/>
  <c r="F218" i="5"/>
  <c r="G218" i="5"/>
  <c r="H218" i="5"/>
  <c r="I218" i="5"/>
  <c r="J218" i="5"/>
  <c r="K218" i="5"/>
  <c r="L218" i="5"/>
  <c r="M218" i="5"/>
  <c r="N218" i="5"/>
  <c r="O218" i="5"/>
  <c r="AC218" i="5" s="1"/>
  <c r="P218" i="5"/>
  <c r="Q218" i="5"/>
  <c r="R218" i="5"/>
  <c r="S218" i="5"/>
  <c r="T218" i="5"/>
  <c r="U218" i="5"/>
  <c r="V218" i="5"/>
  <c r="W218" i="5"/>
  <c r="X218" i="5"/>
  <c r="B219" i="5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S219" i="5"/>
  <c r="T219" i="5"/>
  <c r="U219" i="5"/>
  <c r="V219" i="5"/>
  <c r="W219" i="5"/>
  <c r="X219" i="5"/>
  <c r="B220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T220" i="5"/>
  <c r="U220" i="5"/>
  <c r="V220" i="5"/>
  <c r="W220" i="5"/>
  <c r="X220" i="5"/>
  <c r="B221" i="5"/>
  <c r="C221" i="5"/>
  <c r="D221" i="5"/>
  <c r="E221" i="5"/>
  <c r="F221" i="5"/>
  <c r="G221" i="5"/>
  <c r="H221" i="5"/>
  <c r="I221" i="5"/>
  <c r="J221" i="5"/>
  <c r="K221" i="5"/>
  <c r="L221" i="5"/>
  <c r="M221" i="5"/>
  <c r="AC221" i="5" s="1"/>
  <c r="N221" i="5"/>
  <c r="O221" i="5"/>
  <c r="P221" i="5"/>
  <c r="Q221" i="5"/>
  <c r="R221" i="5"/>
  <c r="S221" i="5"/>
  <c r="T221" i="5"/>
  <c r="U221" i="5"/>
  <c r="V221" i="5"/>
  <c r="W221" i="5"/>
  <c r="X221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S222" i="5"/>
  <c r="T222" i="5"/>
  <c r="U222" i="5"/>
  <c r="V222" i="5"/>
  <c r="W222" i="5"/>
  <c r="X222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S223" i="5"/>
  <c r="T223" i="5"/>
  <c r="U223" i="5"/>
  <c r="V223" i="5"/>
  <c r="W223" i="5"/>
  <c r="X223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S224" i="5"/>
  <c r="T224" i="5"/>
  <c r="U224" i="5"/>
  <c r="V224" i="5"/>
  <c r="W224" i="5"/>
  <c r="X224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S225" i="5"/>
  <c r="T225" i="5"/>
  <c r="U225" i="5"/>
  <c r="V225" i="5"/>
  <c r="W225" i="5"/>
  <c r="X225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S226" i="5"/>
  <c r="T226" i="5"/>
  <c r="U226" i="5"/>
  <c r="V226" i="5"/>
  <c r="W226" i="5"/>
  <c r="X226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S227" i="5"/>
  <c r="T227" i="5"/>
  <c r="U227" i="5"/>
  <c r="V227" i="5"/>
  <c r="W227" i="5"/>
  <c r="X227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S228" i="5"/>
  <c r="T228" i="5"/>
  <c r="U228" i="5"/>
  <c r="V228" i="5"/>
  <c r="W228" i="5"/>
  <c r="X228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R229" i="5"/>
  <c r="S229" i="5"/>
  <c r="T229" i="5"/>
  <c r="U229" i="5"/>
  <c r="V229" i="5"/>
  <c r="W229" i="5"/>
  <c r="X229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R230" i="5"/>
  <c r="S230" i="5"/>
  <c r="T230" i="5"/>
  <c r="U230" i="5"/>
  <c r="V230" i="5"/>
  <c r="W230" i="5"/>
  <c r="X230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R231" i="5"/>
  <c r="S231" i="5"/>
  <c r="T231" i="5"/>
  <c r="U231" i="5"/>
  <c r="V231" i="5"/>
  <c r="W231" i="5"/>
  <c r="X231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AC232" i="5" s="1"/>
  <c r="Q232" i="5"/>
  <c r="R232" i="5"/>
  <c r="S232" i="5"/>
  <c r="T232" i="5"/>
  <c r="U232" i="5"/>
  <c r="V232" i="5"/>
  <c r="W232" i="5"/>
  <c r="X232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AC233" i="5" s="1"/>
  <c r="Q233" i="5"/>
  <c r="R233" i="5"/>
  <c r="S233" i="5"/>
  <c r="T233" i="5"/>
  <c r="U233" i="5"/>
  <c r="V233" i="5"/>
  <c r="W233" i="5"/>
  <c r="X233" i="5"/>
  <c r="B234" i="5"/>
  <c r="C234" i="5"/>
  <c r="D234" i="5"/>
  <c r="AB234" i="5" s="1"/>
  <c r="E234" i="5"/>
  <c r="F234" i="5"/>
  <c r="G234" i="5"/>
  <c r="H234" i="5"/>
  <c r="I234" i="5"/>
  <c r="J234" i="5"/>
  <c r="K234" i="5"/>
  <c r="L234" i="5"/>
  <c r="M234" i="5"/>
  <c r="N234" i="5"/>
  <c r="O234" i="5"/>
  <c r="P234" i="5"/>
  <c r="AC234" i="5" s="1"/>
  <c r="Q234" i="5"/>
  <c r="R234" i="5"/>
  <c r="S234" i="5"/>
  <c r="T234" i="5"/>
  <c r="U234" i="5"/>
  <c r="V234" i="5"/>
  <c r="W234" i="5"/>
  <c r="X234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R235" i="5"/>
  <c r="S235" i="5"/>
  <c r="T235" i="5"/>
  <c r="U235" i="5"/>
  <c r="V235" i="5"/>
  <c r="W235" i="5"/>
  <c r="X235" i="5"/>
  <c r="B236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AC236" i="5" s="1"/>
  <c r="Q236" i="5"/>
  <c r="R236" i="5"/>
  <c r="S236" i="5"/>
  <c r="T236" i="5"/>
  <c r="U236" i="5"/>
  <c r="V236" i="5"/>
  <c r="W236" i="5"/>
  <c r="X236" i="5"/>
  <c r="B237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R237" i="5"/>
  <c r="S237" i="5"/>
  <c r="T237" i="5"/>
  <c r="U237" i="5"/>
  <c r="V237" i="5"/>
  <c r="W237" i="5"/>
  <c r="X237" i="5"/>
  <c r="B238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R238" i="5"/>
  <c r="S238" i="5"/>
  <c r="T238" i="5"/>
  <c r="U238" i="5"/>
  <c r="V238" i="5"/>
  <c r="W238" i="5"/>
  <c r="X238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AC239" i="5" s="1"/>
  <c r="P239" i="5"/>
  <c r="Q239" i="5"/>
  <c r="R239" i="5"/>
  <c r="S239" i="5"/>
  <c r="T239" i="5"/>
  <c r="U239" i="5"/>
  <c r="V239" i="5"/>
  <c r="W239" i="5"/>
  <c r="X239" i="5"/>
  <c r="B240" i="5"/>
  <c r="C240" i="5"/>
  <c r="AB240" i="5" s="1"/>
  <c r="D240" i="5"/>
  <c r="E240" i="5"/>
  <c r="F240" i="5"/>
  <c r="G240" i="5"/>
  <c r="H240" i="5"/>
  <c r="I240" i="5"/>
  <c r="J240" i="5"/>
  <c r="K240" i="5"/>
  <c r="L240" i="5"/>
  <c r="M240" i="5"/>
  <c r="N240" i="5"/>
  <c r="O240" i="5"/>
  <c r="AC240" i="5" s="1"/>
  <c r="P240" i="5"/>
  <c r="Q240" i="5"/>
  <c r="R240" i="5"/>
  <c r="S240" i="5"/>
  <c r="T240" i="5"/>
  <c r="U240" i="5"/>
  <c r="V240" i="5"/>
  <c r="W240" i="5"/>
  <c r="X240" i="5"/>
  <c r="B241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R241" i="5"/>
  <c r="S241" i="5"/>
  <c r="T241" i="5"/>
  <c r="U241" i="5"/>
  <c r="V241" i="5"/>
  <c r="W241" i="5"/>
  <c r="X241" i="5"/>
  <c r="B242" i="5"/>
  <c r="C242" i="5"/>
  <c r="D242" i="5"/>
  <c r="E242" i="5"/>
  <c r="F242" i="5"/>
  <c r="G242" i="5"/>
  <c r="AB242" i="5" s="1"/>
  <c r="H242" i="5"/>
  <c r="I242" i="5"/>
  <c r="J242" i="5"/>
  <c r="K242" i="5"/>
  <c r="L242" i="5"/>
  <c r="M242" i="5"/>
  <c r="N242" i="5"/>
  <c r="O242" i="5"/>
  <c r="AC242" i="5" s="1"/>
  <c r="P242" i="5"/>
  <c r="Q242" i="5"/>
  <c r="R242" i="5"/>
  <c r="S242" i="5"/>
  <c r="T242" i="5"/>
  <c r="U242" i="5"/>
  <c r="V242" i="5"/>
  <c r="W242" i="5"/>
  <c r="X242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R243" i="5"/>
  <c r="S243" i="5"/>
  <c r="T243" i="5"/>
  <c r="U243" i="5"/>
  <c r="V243" i="5"/>
  <c r="W243" i="5"/>
  <c r="X243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AC244" i="5" s="1"/>
  <c r="N244" i="5"/>
  <c r="O244" i="5"/>
  <c r="P244" i="5"/>
  <c r="Q244" i="5"/>
  <c r="R244" i="5"/>
  <c r="S244" i="5"/>
  <c r="T244" i="5"/>
  <c r="U244" i="5"/>
  <c r="V244" i="5"/>
  <c r="W244" i="5"/>
  <c r="X244" i="5"/>
  <c r="B245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Q245" i="5"/>
  <c r="R245" i="5"/>
  <c r="S245" i="5"/>
  <c r="T245" i="5"/>
  <c r="U245" i="5"/>
  <c r="V245" i="5"/>
  <c r="W245" i="5"/>
  <c r="X245" i="5"/>
  <c r="B246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R246" i="5"/>
  <c r="S246" i="5"/>
  <c r="T246" i="5"/>
  <c r="U246" i="5"/>
  <c r="V246" i="5"/>
  <c r="W246" i="5"/>
  <c r="X246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Q247" i="5"/>
  <c r="R247" i="5"/>
  <c r="S247" i="5"/>
  <c r="T247" i="5"/>
  <c r="U247" i="5"/>
  <c r="V247" i="5"/>
  <c r="W247" i="5"/>
  <c r="X247" i="5"/>
  <c r="B248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Q248" i="5"/>
  <c r="R248" i="5"/>
  <c r="S248" i="5"/>
  <c r="T248" i="5"/>
  <c r="U248" i="5"/>
  <c r="V248" i="5"/>
  <c r="W248" i="5"/>
  <c r="X248" i="5"/>
  <c r="AB248" i="5"/>
  <c r="B249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Q249" i="5"/>
  <c r="R249" i="5"/>
  <c r="S249" i="5"/>
  <c r="T249" i="5"/>
  <c r="U249" i="5"/>
  <c r="V249" i="5"/>
  <c r="W249" i="5"/>
  <c r="X249" i="5"/>
  <c r="B250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Q250" i="5"/>
  <c r="R250" i="5"/>
  <c r="S250" i="5"/>
  <c r="T250" i="5"/>
  <c r="U250" i="5"/>
  <c r="V250" i="5"/>
  <c r="W250" i="5"/>
  <c r="X250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Q251" i="5"/>
  <c r="R251" i="5"/>
  <c r="S251" i="5"/>
  <c r="T251" i="5"/>
  <c r="U251" i="5"/>
  <c r="V251" i="5"/>
  <c r="W251" i="5"/>
  <c r="X251" i="5"/>
  <c r="B252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B253" i="5"/>
  <c r="C253" i="5"/>
  <c r="D253" i="5"/>
  <c r="E253" i="5"/>
  <c r="F253" i="5"/>
  <c r="G253" i="5"/>
  <c r="H253" i="5"/>
  <c r="I253" i="5"/>
  <c r="J253" i="5"/>
  <c r="K253" i="5"/>
  <c r="L253" i="5"/>
  <c r="M253" i="5"/>
  <c r="AC253" i="5" s="1"/>
  <c r="N253" i="5"/>
  <c r="O253" i="5"/>
  <c r="P253" i="5"/>
  <c r="Q253" i="5"/>
  <c r="R253" i="5"/>
  <c r="S253" i="5"/>
  <c r="T253" i="5"/>
  <c r="U253" i="5"/>
  <c r="V253" i="5"/>
  <c r="W253" i="5"/>
  <c r="X253" i="5"/>
  <c r="B254" i="5"/>
  <c r="C254" i="5"/>
  <c r="D254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Q254" i="5"/>
  <c r="R254" i="5"/>
  <c r="S254" i="5"/>
  <c r="T254" i="5"/>
  <c r="U254" i="5"/>
  <c r="V254" i="5"/>
  <c r="W254" i="5"/>
  <c r="X254" i="5"/>
  <c r="B255" i="5"/>
  <c r="C255" i="5"/>
  <c r="D255" i="5"/>
  <c r="E255" i="5"/>
  <c r="F255" i="5"/>
  <c r="G255" i="5"/>
  <c r="H255" i="5"/>
  <c r="I255" i="5"/>
  <c r="J255" i="5"/>
  <c r="K255" i="5"/>
  <c r="L255" i="5"/>
  <c r="M255" i="5"/>
  <c r="N255" i="5"/>
  <c r="O255" i="5"/>
  <c r="P255" i="5"/>
  <c r="Q255" i="5"/>
  <c r="R255" i="5"/>
  <c r="S255" i="5"/>
  <c r="T255" i="5"/>
  <c r="U255" i="5"/>
  <c r="V255" i="5"/>
  <c r="W255" i="5"/>
  <c r="X255" i="5"/>
  <c r="B256" i="5"/>
  <c r="C256" i="5"/>
  <c r="D256" i="5"/>
  <c r="AB256" i="5" s="1"/>
  <c r="E256" i="5"/>
  <c r="F256" i="5"/>
  <c r="G256" i="5"/>
  <c r="H256" i="5"/>
  <c r="I256" i="5"/>
  <c r="J256" i="5"/>
  <c r="K256" i="5"/>
  <c r="L256" i="5"/>
  <c r="M256" i="5"/>
  <c r="N256" i="5"/>
  <c r="O256" i="5"/>
  <c r="P256" i="5"/>
  <c r="Q256" i="5"/>
  <c r="R256" i="5"/>
  <c r="S256" i="5"/>
  <c r="T256" i="5"/>
  <c r="U256" i="5"/>
  <c r="V256" i="5"/>
  <c r="W256" i="5"/>
  <c r="X256" i="5"/>
  <c r="B257" i="5"/>
  <c r="C257" i="5"/>
  <c r="D257" i="5"/>
  <c r="E257" i="5"/>
  <c r="F257" i="5"/>
  <c r="G257" i="5"/>
  <c r="H257" i="5"/>
  <c r="I257" i="5"/>
  <c r="J257" i="5"/>
  <c r="K257" i="5"/>
  <c r="L257" i="5"/>
  <c r="M257" i="5"/>
  <c r="N257" i="5"/>
  <c r="O257" i="5"/>
  <c r="P257" i="5"/>
  <c r="Q257" i="5"/>
  <c r="R257" i="5"/>
  <c r="S257" i="5"/>
  <c r="T257" i="5"/>
  <c r="U257" i="5"/>
  <c r="V257" i="5"/>
  <c r="W257" i="5"/>
  <c r="X257" i="5"/>
  <c r="B258" i="5"/>
  <c r="C258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S258" i="5"/>
  <c r="T258" i="5"/>
  <c r="U258" i="5"/>
  <c r="V258" i="5"/>
  <c r="W258" i="5"/>
  <c r="X258" i="5"/>
  <c r="B259" i="5"/>
  <c r="C259" i="5"/>
  <c r="D259" i="5"/>
  <c r="E259" i="5"/>
  <c r="F259" i="5"/>
  <c r="G259" i="5"/>
  <c r="H259" i="5"/>
  <c r="I259" i="5"/>
  <c r="J259" i="5"/>
  <c r="K259" i="5"/>
  <c r="L259" i="5"/>
  <c r="M259" i="5"/>
  <c r="N259" i="5"/>
  <c r="O259" i="5"/>
  <c r="P259" i="5"/>
  <c r="Q259" i="5"/>
  <c r="R259" i="5"/>
  <c r="S259" i="5"/>
  <c r="T259" i="5"/>
  <c r="U259" i="5"/>
  <c r="V259" i="5"/>
  <c r="W259" i="5"/>
  <c r="X259" i="5"/>
  <c r="B260" i="5"/>
  <c r="C260" i="5"/>
  <c r="D260" i="5"/>
  <c r="E260" i="5"/>
  <c r="F260" i="5"/>
  <c r="G260" i="5"/>
  <c r="H260" i="5"/>
  <c r="I260" i="5"/>
  <c r="J260" i="5"/>
  <c r="K260" i="5"/>
  <c r="L260" i="5"/>
  <c r="M260" i="5"/>
  <c r="N260" i="5"/>
  <c r="O260" i="5"/>
  <c r="P260" i="5"/>
  <c r="Q260" i="5"/>
  <c r="R260" i="5"/>
  <c r="S260" i="5"/>
  <c r="T260" i="5"/>
  <c r="U260" i="5"/>
  <c r="V260" i="5"/>
  <c r="W260" i="5"/>
  <c r="X260" i="5"/>
  <c r="B261" i="5"/>
  <c r="C261" i="5"/>
  <c r="D261" i="5"/>
  <c r="E261" i="5"/>
  <c r="F261" i="5"/>
  <c r="G261" i="5"/>
  <c r="H261" i="5"/>
  <c r="I261" i="5"/>
  <c r="J261" i="5"/>
  <c r="K261" i="5"/>
  <c r="L261" i="5"/>
  <c r="M261" i="5"/>
  <c r="N261" i="5"/>
  <c r="O261" i="5"/>
  <c r="P261" i="5"/>
  <c r="Q261" i="5"/>
  <c r="R261" i="5"/>
  <c r="S261" i="5"/>
  <c r="T261" i="5"/>
  <c r="U261" i="5"/>
  <c r="V261" i="5"/>
  <c r="W261" i="5"/>
  <c r="X261" i="5"/>
  <c r="B262" i="5"/>
  <c r="C262" i="5"/>
  <c r="D262" i="5"/>
  <c r="E262" i="5"/>
  <c r="F262" i="5"/>
  <c r="G262" i="5"/>
  <c r="H262" i="5"/>
  <c r="I262" i="5"/>
  <c r="J262" i="5"/>
  <c r="K262" i="5"/>
  <c r="L262" i="5"/>
  <c r="M262" i="5"/>
  <c r="N262" i="5"/>
  <c r="O262" i="5"/>
  <c r="P262" i="5"/>
  <c r="Q262" i="5"/>
  <c r="R262" i="5"/>
  <c r="S262" i="5"/>
  <c r="T262" i="5"/>
  <c r="U262" i="5"/>
  <c r="V262" i="5"/>
  <c r="W262" i="5"/>
  <c r="X262" i="5"/>
  <c r="B263" i="5"/>
  <c r="C263" i="5"/>
  <c r="D263" i="5"/>
  <c r="E263" i="5"/>
  <c r="F263" i="5"/>
  <c r="G263" i="5"/>
  <c r="H263" i="5"/>
  <c r="I263" i="5"/>
  <c r="J263" i="5"/>
  <c r="K263" i="5"/>
  <c r="L263" i="5"/>
  <c r="M263" i="5"/>
  <c r="N263" i="5"/>
  <c r="O263" i="5"/>
  <c r="P263" i="5"/>
  <c r="Q263" i="5"/>
  <c r="R263" i="5"/>
  <c r="S263" i="5"/>
  <c r="T263" i="5"/>
  <c r="U263" i="5"/>
  <c r="V263" i="5"/>
  <c r="W263" i="5"/>
  <c r="X263" i="5"/>
  <c r="B264" i="5"/>
  <c r="C264" i="5"/>
  <c r="D264" i="5"/>
  <c r="E264" i="5"/>
  <c r="F264" i="5"/>
  <c r="G264" i="5"/>
  <c r="H264" i="5"/>
  <c r="I264" i="5"/>
  <c r="J264" i="5"/>
  <c r="K264" i="5"/>
  <c r="L264" i="5"/>
  <c r="M264" i="5"/>
  <c r="N264" i="5"/>
  <c r="AC264" i="5" s="1"/>
  <c r="O264" i="5"/>
  <c r="P264" i="5"/>
  <c r="Q264" i="5"/>
  <c r="R264" i="5"/>
  <c r="S264" i="5"/>
  <c r="T264" i="5"/>
  <c r="U264" i="5"/>
  <c r="V264" i="5"/>
  <c r="W264" i="5"/>
  <c r="X264" i="5"/>
  <c r="B265" i="5"/>
  <c r="C265" i="5"/>
  <c r="D265" i="5"/>
  <c r="E265" i="5"/>
  <c r="F265" i="5"/>
  <c r="G265" i="5"/>
  <c r="H265" i="5"/>
  <c r="I265" i="5"/>
  <c r="J265" i="5"/>
  <c r="K265" i="5"/>
  <c r="L265" i="5"/>
  <c r="M265" i="5"/>
  <c r="N265" i="5"/>
  <c r="AC265" i="5" s="1"/>
  <c r="O265" i="5"/>
  <c r="P265" i="5"/>
  <c r="Q265" i="5"/>
  <c r="R265" i="5"/>
  <c r="S265" i="5"/>
  <c r="T265" i="5"/>
  <c r="U265" i="5"/>
  <c r="V265" i="5"/>
  <c r="W265" i="5"/>
  <c r="X265" i="5"/>
  <c r="B266" i="5"/>
  <c r="C266" i="5"/>
  <c r="D266" i="5"/>
  <c r="E266" i="5"/>
  <c r="F266" i="5"/>
  <c r="G266" i="5"/>
  <c r="H266" i="5"/>
  <c r="I266" i="5"/>
  <c r="J266" i="5"/>
  <c r="K266" i="5"/>
  <c r="L266" i="5"/>
  <c r="M266" i="5"/>
  <c r="N266" i="5"/>
  <c r="O266" i="5"/>
  <c r="AC266" i="5" s="1"/>
  <c r="P266" i="5"/>
  <c r="Q266" i="5"/>
  <c r="R266" i="5"/>
  <c r="S266" i="5"/>
  <c r="T266" i="5"/>
  <c r="U266" i="5"/>
  <c r="V266" i="5"/>
  <c r="W266" i="5"/>
  <c r="X266" i="5"/>
  <c r="B267" i="5"/>
  <c r="C267" i="5"/>
  <c r="AB267" i="5" s="1"/>
  <c r="D267" i="5"/>
  <c r="E267" i="5"/>
  <c r="F267" i="5"/>
  <c r="G267" i="5"/>
  <c r="H267" i="5"/>
  <c r="I267" i="5"/>
  <c r="J267" i="5"/>
  <c r="K267" i="5"/>
  <c r="L267" i="5"/>
  <c r="M267" i="5"/>
  <c r="N267" i="5"/>
  <c r="O267" i="5"/>
  <c r="P267" i="5"/>
  <c r="Q267" i="5"/>
  <c r="R267" i="5"/>
  <c r="S267" i="5"/>
  <c r="T267" i="5"/>
  <c r="U267" i="5"/>
  <c r="V267" i="5"/>
  <c r="W267" i="5"/>
  <c r="X267" i="5"/>
  <c r="B268" i="5"/>
  <c r="C268" i="5"/>
  <c r="D268" i="5"/>
  <c r="E268" i="5"/>
  <c r="F268" i="5"/>
  <c r="G268" i="5"/>
  <c r="H268" i="5"/>
  <c r="I268" i="5"/>
  <c r="J268" i="5"/>
  <c r="K268" i="5"/>
  <c r="L268" i="5"/>
  <c r="M268" i="5"/>
  <c r="N268" i="5"/>
  <c r="AC268" i="5" s="1"/>
  <c r="O268" i="5"/>
  <c r="P268" i="5"/>
  <c r="Q268" i="5"/>
  <c r="R268" i="5"/>
  <c r="S268" i="5"/>
  <c r="T268" i="5"/>
  <c r="U268" i="5"/>
  <c r="V268" i="5"/>
  <c r="W268" i="5"/>
  <c r="X268" i="5"/>
  <c r="B269" i="5"/>
  <c r="C269" i="5"/>
  <c r="AB269" i="5" s="1"/>
  <c r="D269" i="5"/>
  <c r="E269" i="5"/>
  <c r="F269" i="5"/>
  <c r="G269" i="5"/>
  <c r="H269" i="5"/>
  <c r="I269" i="5"/>
  <c r="J269" i="5"/>
  <c r="K269" i="5"/>
  <c r="L269" i="5"/>
  <c r="M269" i="5"/>
  <c r="N269" i="5"/>
  <c r="O269" i="5"/>
  <c r="P269" i="5"/>
  <c r="Q269" i="5"/>
  <c r="R269" i="5"/>
  <c r="S269" i="5"/>
  <c r="T269" i="5"/>
  <c r="U269" i="5"/>
  <c r="V269" i="5"/>
  <c r="W269" i="5"/>
  <c r="X269" i="5"/>
  <c r="B270" i="5"/>
  <c r="C270" i="5"/>
  <c r="D270" i="5"/>
  <c r="E270" i="5"/>
  <c r="F270" i="5"/>
  <c r="G270" i="5"/>
  <c r="H270" i="5"/>
  <c r="I270" i="5"/>
  <c r="J270" i="5"/>
  <c r="K270" i="5"/>
  <c r="L270" i="5"/>
  <c r="M270" i="5"/>
  <c r="N270" i="5"/>
  <c r="O270" i="5"/>
  <c r="P270" i="5"/>
  <c r="Q270" i="5"/>
  <c r="R270" i="5"/>
  <c r="S270" i="5"/>
  <c r="T270" i="5"/>
  <c r="U270" i="5"/>
  <c r="V270" i="5"/>
  <c r="W270" i="5"/>
  <c r="X270" i="5"/>
  <c r="B271" i="5"/>
  <c r="C271" i="5"/>
  <c r="D271" i="5"/>
  <c r="E271" i="5"/>
  <c r="F271" i="5"/>
  <c r="G271" i="5"/>
  <c r="H271" i="5"/>
  <c r="I271" i="5"/>
  <c r="J271" i="5"/>
  <c r="K271" i="5"/>
  <c r="L271" i="5"/>
  <c r="M271" i="5"/>
  <c r="N271" i="5"/>
  <c r="O271" i="5"/>
  <c r="P271" i="5"/>
  <c r="AC271" i="5" s="1"/>
  <c r="Q271" i="5"/>
  <c r="R271" i="5"/>
  <c r="S271" i="5"/>
  <c r="T271" i="5"/>
  <c r="U271" i="5"/>
  <c r="V271" i="5"/>
  <c r="W271" i="5"/>
  <c r="X271" i="5"/>
  <c r="B272" i="5"/>
  <c r="C272" i="5"/>
  <c r="D272" i="5"/>
  <c r="E272" i="5"/>
  <c r="F272" i="5"/>
  <c r="G272" i="5"/>
  <c r="H272" i="5"/>
  <c r="I272" i="5"/>
  <c r="J272" i="5"/>
  <c r="K272" i="5"/>
  <c r="L272" i="5"/>
  <c r="M272" i="5"/>
  <c r="N272" i="5"/>
  <c r="O272" i="5"/>
  <c r="P272" i="5"/>
  <c r="AC272" i="5" s="1"/>
  <c r="Q272" i="5"/>
  <c r="R272" i="5"/>
  <c r="S272" i="5"/>
  <c r="T272" i="5"/>
  <c r="U272" i="5"/>
  <c r="V272" i="5"/>
  <c r="W272" i="5"/>
  <c r="X272" i="5"/>
  <c r="B273" i="5"/>
  <c r="C273" i="5"/>
  <c r="D273" i="5"/>
  <c r="E273" i="5"/>
  <c r="F273" i="5"/>
  <c r="G273" i="5"/>
  <c r="H273" i="5"/>
  <c r="I273" i="5"/>
  <c r="J273" i="5"/>
  <c r="K273" i="5"/>
  <c r="L273" i="5"/>
  <c r="M273" i="5"/>
  <c r="N273" i="5"/>
  <c r="O273" i="5"/>
  <c r="P273" i="5"/>
  <c r="AC273" i="5" s="1"/>
  <c r="Q273" i="5"/>
  <c r="R273" i="5"/>
  <c r="S273" i="5"/>
  <c r="T273" i="5"/>
  <c r="U273" i="5"/>
  <c r="V273" i="5"/>
  <c r="W273" i="5"/>
  <c r="X273" i="5"/>
  <c r="B274" i="5"/>
  <c r="C274" i="5"/>
  <c r="D274" i="5"/>
  <c r="AB274" i="5" s="1"/>
  <c r="E274" i="5"/>
  <c r="F274" i="5"/>
  <c r="G274" i="5"/>
  <c r="H274" i="5"/>
  <c r="I274" i="5"/>
  <c r="J274" i="5"/>
  <c r="K274" i="5"/>
  <c r="L274" i="5"/>
  <c r="M274" i="5"/>
  <c r="N274" i="5"/>
  <c r="O274" i="5"/>
  <c r="P274" i="5"/>
  <c r="Q274" i="5"/>
  <c r="R274" i="5"/>
  <c r="S274" i="5"/>
  <c r="T274" i="5"/>
  <c r="U274" i="5"/>
  <c r="V274" i="5"/>
  <c r="W274" i="5"/>
  <c r="X274" i="5"/>
  <c r="B275" i="5"/>
  <c r="C275" i="5"/>
  <c r="D275" i="5"/>
  <c r="E275" i="5"/>
  <c r="F275" i="5"/>
  <c r="G275" i="5"/>
  <c r="H275" i="5"/>
  <c r="I275" i="5"/>
  <c r="J275" i="5"/>
  <c r="K275" i="5"/>
  <c r="L275" i="5"/>
  <c r="M275" i="5"/>
  <c r="N275" i="5"/>
  <c r="O275" i="5"/>
  <c r="P275" i="5"/>
  <c r="Q275" i="5"/>
  <c r="R275" i="5"/>
  <c r="S275" i="5"/>
  <c r="T275" i="5"/>
  <c r="U275" i="5"/>
  <c r="V275" i="5"/>
  <c r="W275" i="5"/>
  <c r="X275" i="5"/>
  <c r="B276" i="5"/>
  <c r="C276" i="5"/>
  <c r="D276" i="5"/>
  <c r="E276" i="5"/>
  <c r="F276" i="5"/>
  <c r="G276" i="5"/>
  <c r="H276" i="5"/>
  <c r="I276" i="5"/>
  <c r="J276" i="5"/>
  <c r="K276" i="5"/>
  <c r="L276" i="5"/>
  <c r="M276" i="5"/>
  <c r="AC276" i="5" s="1"/>
  <c r="N276" i="5"/>
  <c r="O276" i="5"/>
  <c r="P276" i="5"/>
  <c r="Q276" i="5"/>
  <c r="R276" i="5"/>
  <c r="S276" i="5"/>
  <c r="T276" i="5"/>
  <c r="U276" i="5"/>
  <c r="V276" i="5"/>
  <c r="W276" i="5"/>
  <c r="X276" i="5"/>
  <c r="B277" i="5"/>
  <c r="C277" i="5"/>
  <c r="D277" i="5"/>
  <c r="E277" i="5"/>
  <c r="F277" i="5"/>
  <c r="G277" i="5"/>
  <c r="H277" i="5"/>
  <c r="I277" i="5"/>
  <c r="J277" i="5"/>
  <c r="K277" i="5"/>
  <c r="L277" i="5"/>
  <c r="M277" i="5"/>
  <c r="N277" i="5"/>
  <c r="O277" i="5"/>
  <c r="P277" i="5"/>
  <c r="Q277" i="5"/>
  <c r="R277" i="5"/>
  <c r="S277" i="5"/>
  <c r="T277" i="5"/>
  <c r="U277" i="5"/>
  <c r="V277" i="5"/>
  <c r="W277" i="5"/>
  <c r="X277" i="5"/>
  <c r="B278" i="5"/>
  <c r="C278" i="5"/>
  <c r="D278" i="5"/>
  <c r="E278" i="5"/>
  <c r="F278" i="5"/>
  <c r="G278" i="5"/>
  <c r="H278" i="5"/>
  <c r="I278" i="5"/>
  <c r="J278" i="5"/>
  <c r="K278" i="5"/>
  <c r="L278" i="5"/>
  <c r="M278" i="5"/>
  <c r="N278" i="5"/>
  <c r="O278" i="5"/>
  <c r="P278" i="5"/>
  <c r="Q278" i="5"/>
  <c r="R278" i="5"/>
  <c r="S278" i="5"/>
  <c r="T278" i="5"/>
  <c r="U278" i="5"/>
  <c r="V278" i="5"/>
  <c r="W278" i="5"/>
  <c r="X278" i="5"/>
  <c r="B279" i="5"/>
  <c r="C279" i="5"/>
  <c r="D279" i="5"/>
  <c r="E279" i="5"/>
  <c r="F279" i="5"/>
  <c r="G279" i="5"/>
  <c r="H279" i="5"/>
  <c r="I279" i="5"/>
  <c r="J279" i="5"/>
  <c r="K279" i="5"/>
  <c r="L279" i="5"/>
  <c r="M279" i="5"/>
  <c r="N279" i="5"/>
  <c r="O279" i="5"/>
  <c r="P279" i="5"/>
  <c r="AC279" i="5" s="1"/>
  <c r="Q279" i="5"/>
  <c r="R279" i="5"/>
  <c r="S279" i="5"/>
  <c r="T279" i="5"/>
  <c r="U279" i="5"/>
  <c r="V279" i="5"/>
  <c r="W279" i="5"/>
  <c r="X279" i="5"/>
  <c r="B280" i="5"/>
  <c r="C280" i="5"/>
  <c r="D280" i="5"/>
  <c r="E280" i="5"/>
  <c r="F280" i="5"/>
  <c r="G280" i="5"/>
  <c r="H280" i="5"/>
  <c r="I280" i="5"/>
  <c r="J280" i="5"/>
  <c r="K280" i="5"/>
  <c r="L280" i="5"/>
  <c r="M280" i="5"/>
  <c r="N280" i="5"/>
  <c r="O280" i="5"/>
  <c r="P280" i="5"/>
  <c r="Q280" i="5"/>
  <c r="R280" i="5"/>
  <c r="S280" i="5"/>
  <c r="T280" i="5"/>
  <c r="U280" i="5"/>
  <c r="V280" i="5"/>
  <c r="W280" i="5"/>
  <c r="X280" i="5"/>
  <c r="B281" i="5"/>
  <c r="C281" i="5"/>
  <c r="D281" i="5"/>
  <c r="E281" i="5"/>
  <c r="F281" i="5"/>
  <c r="G281" i="5"/>
  <c r="H281" i="5"/>
  <c r="I281" i="5"/>
  <c r="J281" i="5"/>
  <c r="K281" i="5"/>
  <c r="L281" i="5"/>
  <c r="M281" i="5"/>
  <c r="N281" i="5"/>
  <c r="O281" i="5"/>
  <c r="P281" i="5"/>
  <c r="Q281" i="5"/>
  <c r="R281" i="5"/>
  <c r="S281" i="5"/>
  <c r="T281" i="5"/>
  <c r="U281" i="5"/>
  <c r="V281" i="5"/>
  <c r="W281" i="5"/>
  <c r="X281" i="5"/>
  <c r="B282" i="5"/>
  <c r="AB282" i="5" s="1"/>
  <c r="C282" i="5"/>
  <c r="D282" i="5"/>
  <c r="E282" i="5"/>
  <c r="F282" i="5"/>
  <c r="G282" i="5"/>
  <c r="H282" i="5"/>
  <c r="I282" i="5"/>
  <c r="J282" i="5"/>
  <c r="K282" i="5"/>
  <c r="L282" i="5"/>
  <c r="M282" i="5"/>
  <c r="N282" i="5"/>
  <c r="O282" i="5"/>
  <c r="P282" i="5"/>
  <c r="Q282" i="5"/>
  <c r="R282" i="5"/>
  <c r="S282" i="5"/>
  <c r="T282" i="5"/>
  <c r="U282" i="5"/>
  <c r="V282" i="5"/>
  <c r="W282" i="5"/>
  <c r="X282" i="5"/>
  <c r="B283" i="5"/>
  <c r="C283" i="5"/>
  <c r="D283" i="5"/>
  <c r="E283" i="5"/>
  <c r="F283" i="5"/>
  <c r="G283" i="5"/>
  <c r="H283" i="5"/>
  <c r="I283" i="5"/>
  <c r="J283" i="5"/>
  <c r="K283" i="5"/>
  <c r="L283" i="5"/>
  <c r="M283" i="5"/>
  <c r="N283" i="5"/>
  <c r="O283" i="5"/>
  <c r="P283" i="5"/>
  <c r="Q283" i="5"/>
  <c r="R283" i="5"/>
  <c r="S283" i="5"/>
  <c r="T283" i="5"/>
  <c r="U283" i="5"/>
  <c r="V283" i="5"/>
  <c r="W283" i="5"/>
  <c r="X283" i="5"/>
  <c r="B284" i="5"/>
  <c r="C284" i="5"/>
  <c r="D284" i="5"/>
  <c r="E284" i="5"/>
  <c r="F284" i="5"/>
  <c r="G284" i="5"/>
  <c r="H284" i="5"/>
  <c r="I284" i="5"/>
  <c r="J284" i="5"/>
  <c r="K284" i="5"/>
  <c r="L284" i="5"/>
  <c r="M284" i="5"/>
  <c r="N284" i="5"/>
  <c r="O284" i="5"/>
  <c r="P284" i="5"/>
  <c r="Q284" i="5"/>
  <c r="R284" i="5"/>
  <c r="S284" i="5"/>
  <c r="T284" i="5"/>
  <c r="U284" i="5"/>
  <c r="V284" i="5"/>
  <c r="W284" i="5"/>
  <c r="X284" i="5"/>
  <c r="B285" i="5"/>
  <c r="C285" i="5"/>
  <c r="D285" i="5"/>
  <c r="E285" i="5"/>
  <c r="F285" i="5"/>
  <c r="G285" i="5"/>
  <c r="H285" i="5"/>
  <c r="I285" i="5"/>
  <c r="J285" i="5"/>
  <c r="K285" i="5"/>
  <c r="L285" i="5"/>
  <c r="M285" i="5"/>
  <c r="N285" i="5"/>
  <c r="O285" i="5"/>
  <c r="P285" i="5"/>
  <c r="Q285" i="5"/>
  <c r="R285" i="5"/>
  <c r="S285" i="5"/>
  <c r="T285" i="5"/>
  <c r="U285" i="5"/>
  <c r="V285" i="5"/>
  <c r="W285" i="5"/>
  <c r="X285" i="5"/>
  <c r="B286" i="5"/>
  <c r="C286" i="5"/>
  <c r="D286" i="5"/>
  <c r="E286" i="5"/>
  <c r="F286" i="5"/>
  <c r="G286" i="5"/>
  <c r="H286" i="5"/>
  <c r="I286" i="5"/>
  <c r="J286" i="5"/>
  <c r="K286" i="5"/>
  <c r="L286" i="5"/>
  <c r="M286" i="5"/>
  <c r="N286" i="5"/>
  <c r="O286" i="5"/>
  <c r="P286" i="5"/>
  <c r="Q286" i="5"/>
  <c r="R286" i="5"/>
  <c r="S286" i="5"/>
  <c r="T286" i="5"/>
  <c r="U286" i="5"/>
  <c r="V286" i="5"/>
  <c r="W286" i="5"/>
  <c r="X286" i="5"/>
  <c r="B287" i="5"/>
  <c r="C287" i="5"/>
  <c r="D287" i="5"/>
  <c r="E287" i="5"/>
  <c r="F287" i="5"/>
  <c r="G287" i="5"/>
  <c r="H287" i="5"/>
  <c r="I287" i="5"/>
  <c r="J287" i="5"/>
  <c r="K287" i="5"/>
  <c r="L287" i="5"/>
  <c r="M287" i="5"/>
  <c r="N287" i="5"/>
  <c r="AC287" i="5" s="1"/>
  <c r="O287" i="5"/>
  <c r="P287" i="5"/>
  <c r="Q287" i="5"/>
  <c r="R287" i="5"/>
  <c r="S287" i="5"/>
  <c r="T287" i="5"/>
  <c r="U287" i="5"/>
  <c r="V287" i="5"/>
  <c r="W287" i="5"/>
  <c r="X287" i="5"/>
  <c r="B288" i="5"/>
  <c r="AB288" i="5" s="1"/>
  <c r="C288" i="5"/>
  <c r="D288" i="5"/>
  <c r="E288" i="5"/>
  <c r="F288" i="5"/>
  <c r="G288" i="5"/>
  <c r="H288" i="5"/>
  <c r="I288" i="5"/>
  <c r="J288" i="5"/>
  <c r="K288" i="5"/>
  <c r="L288" i="5"/>
  <c r="M288" i="5"/>
  <c r="N288" i="5"/>
  <c r="AC288" i="5" s="1"/>
  <c r="O288" i="5"/>
  <c r="P288" i="5"/>
  <c r="Q288" i="5"/>
  <c r="R288" i="5"/>
  <c r="S288" i="5"/>
  <c r="T288" i="5"/>
  <c r="U288" i="5"/>
  <c r="V288" i="5"/>
  <c r="W288" i="5"/>
  <c r="X288" i="5"/>
  <c r="B289" i="5"/>
  <c r="C289" i="5"/>
  <c r="D289" i="5"/>
  <c r="E289" i="5"/>
  <c r="F289" i="5"/>
  <c r="G289" i="5"/>
  <c r="H289" i="5"/>
  <c r="I289" i="5"/>
  <c r="J289" i="5"/>
  <c r="K289" i="5"/>
  <c r="L289" i="5"/>
  <c r="M289" i="5"/>
  <c r="N289" i="5"/>
  <c r="O289" i="5"/>
  <c r="P289" i="5"/>
  <c r="Q289" i="5"/>
  <c r="R289" i="5"/>
  <c r="S289" i="5"/>
  <c r="T289" i="5"/>
  <c r="U289" i="5"/>
  <c r="V289" i="5"/>
  <c r="W289" i="5"/>
  <c r="X289" i="5"/>
  <c r="B290" i="5"/>
  <c r="C290" i="5"/>
  <c r="D290" i="5"/>
  <c r="E290" i="5"/>
  <c r="F290" i="5"/>
  <c r="G290" i="5"/>
  <c r="H290" i="5"/>
  <c r="I290" i="5"/>
  <c r="J290" i="5"/>
  <c r="K290" i="5"/>
  <c r="L290" i="5"/>
  <c r="M290" i="5"/>
  <c r="N290" i="5"/>
  <c r="O290" i="5"/>
  <c r="AC290" i="5" s="1"/>
  <c r="P290" i="5"/>
  <c r="Q290" i="5"/>
  <c r="R290" i="5"/>
  <c r="S290" i="5"/>
  <c r="T290" i="5"/>
  <c r="U290" i="5"/>
  <c r="V290" i="5"/>
  <c r="W290" i="5"/>
  <c r="X290" i="5"/>
  <c r="B291" i="5"/>
  <c r="C291" i="5"/>
  <c r="D291" i="5"/>
  <c r="E291" i="5"/>
  <c r="F291" i="5"/>
  <c r="G291" i="5"/>
  <c r="H291" i="5"/>
  <c r="I291" i="5"/>
  <c r="J291" i="5"/>
  <c r="K291" i="5"/>
  <c r="L291" i="5"/>
  <c r="M291" i="5"/>
  <c r="N291" i="5"/>
  <c r="O291" i="5"/>
  <c r="P291" i="5"/>
  <c r="Q291" i="5"/>
  <c r="R291" i="5"/>
  <c r="S291" i="5"/>
  <c r="T291" i="5"/>
  <c r="U291" i="5"/>
  <c r="V291" i="5"/>
  <c r="W291" i="5"/>
  <c r="X291" i="5"/>
  <c r="B292" i="5"/>
  <c r="C292" i="5"/>
  <c r="D292" i="5"/>
  <c r="E292" i="5"/>
  <c r="F292" i="5"/>
  <c r="G292" i="5"/>
  <c r="H292" i="5"/>
  <c r="I292" i="5"/>
  <c r="J292" i="5"/>
  <c r="K292" i="5"/>
  <c r="L292" i="5"/>
  <c r="M292" i="5"/>
  <c r="N292" i="5"/>
  <c r="O292" i="5"/>
  <c r="P292" i="5"/>
  <c r="Q292" i="5"/>
  <c r="R292" i="5"/>
  <c r="S292" i="5"/>
  <c r="T292" i="5"/>
  <c r="U292" i="5"/>
  <c r="V292" i="5"/>
  <c r="W292" i="5"/>
  <c r="X292" i="5"/>
  <c r="B293" i="5"/>
  <c r="C293" i="5"/>
  <c r="D293" i="5"/>
  <c r="E293" i="5"/>
  <c r="F293" i="5"/>
  <c r="G293" i="5"/>
  <c r="H293" i="5"/>
  <c r="I293" i="5"/>
  <c r="J293" i="5"/>
  <c r="K293" i="5"/>
  <c r="L293" i="5"/>
  <c r="M293" i="5"/>
  <c r="N293" i="5"/>
  <c r="O293" i="5"/>
  <c r="P293" i="5"/>
  <c r="Q293" i="5"/>
  <c r="R293" i="5"/>
  <c r="S293" i="5"/>
  <c r="T293" i="5"/>
  <c r="U293" i="5"/>
  <c r="V293" i="5"/>
  <c r="W293" i="5"/>
  <c r="X293" i="5"/>
  <c r="B294" i="5"/>
  <c r="C294" i="5"/>
  <c r="D294" i="5"/>
  <c r="E294" i="5"/>
  <c r="F294" i="5"/>
  <c r="G294" i="5"/>
  <c r="H294" i="5"/>
  <c r="I294" i="5"/>
  <c r="J294" i="5"/>
  <c r="K294" i="5"/>
  <c r="L294" i="5"/>
  <c r="M294" i="5"/>
  <c r="N294" i="5"/>
  <c r="O294" i="5"/>
  <c r="P294" i="5"/>
  <c r="Q294" i="5"/>
  <c r="R294" i="5"/>
  <c r="S294" i="5"/>
  <c r="T294" i="5"/>
  <c r="U294" i="5"/>
  <c r="V294" i="5"/>
  <c r="W294" i="5"/>
  <c r="X294" i="5"/>
  <c r="B295" i="5"/>
  <c r="C295" i="5"/>
  <c r="D295" i="5"/>
  <c r="E295" i="5"/>
  <c r="F295" i="5"/>
  <c r="G295" i="5"/>
  <c r="H295" i="5"/>
  <c r="I295" i="5"/>
  <c r="J295" i="5"/>
  <c r="K295" i="5"/>
  <c r="L295" i="5"/>
  <c r="M295" i="5"/>
  <c r="N295" i="5"/>
  <c r="O295" i="5"/>
  <c r="P295" i="5"/>
  <c r="Q295" i="5"/>
  <c r="R295" i="5"/>
  <c r="S295" i="5"/>
  <c r="T295" i="5"/>
  <c r="U295" i="5"/>
  <c r="V295" i="5"/>
  <c r="W295" i="5"/>
  <c r="X295" i="5"/>
  <c r="B296" i="5"/>
  <c r="C296" i="5"/>
  <c r="D296" i="5"/>
  <c r="E296" i="5"/>
  <c r="F296" i="5"/>
  <c r="G296" i="5"/>
  <c r="H296" i="5"/>
  <c r="I296" i="5"/>
  <c r="J296" i="5"/>
  <c r="K296" i="5"/>
  <c r="L296" i="5"/>
  <c r="M296" i="5"/>
  <c r="N296" i="5"/>
  <c r="O296" i="5"/>
  <c r="P296" i="5"/>
  <c r="Q296" i="5"/>
  <c r="R296" i="5"/>
  <c r="S296" i="5"/>
  <c r="T296" i="5"/>
  <c r="U296" i="5"/>
  <c r="V296" i="5"/>
  <c r="W296" i="5"/>
  <c r="X296" i="5"/>
  <c r="B297" i="5"/>
  <c r="C297" i="5"/>
  <c r="D297" i="5"/>
  <c r="E297" i="5"/>
  <c r="F297" i="5"/>
  <c r="G297" i="5"/>
  <c r="H297" i="5"/>
  <c r="I297" i="5"/>
  <c r="J297" i="5"/>
  <c r="K297" i="5"/>
  <c r="L297" i="5"/>
  <c r="M297" i="5"/>
  <c r="N297" i="5"/>
  <c r="AC297" i="5" s="1"/>
  <c r="O297" i="5"/>
  <c r="P297" i="5"/>
  <c r="Q297" i="5"/>
  <c r="R297" i="5"/>
  <c r="S297" i="5"/>
  <c r="T297" i="5"/>
  <c r="U297" i="5"/>
  <c r="V297" i="5"/>
  <c r="W297" i="5"/>
  <c r="X297" i="5"/>
  <c r="B298" i="5"/>
  <c r="C298" i="5"/>
  <c r="D298" i="5"/>
  <c r="E298" i="5"/>
  <c r="F298" i="5"/>
  <c r="G298" i="5"/>
  <c r="H298" i="5"/>
  <c r="I298" i="5"/>
  <c r="J298" i="5"/>
  <c r="K298" i="5"/>
  <c r="L298" i="5"/>
  <c r="M298" i="5"/>
  <c r="N298" i="5"/>
  <c r="AC298" i="5" s="1"/>
  <c r="O298" i="5"/>
  <c r="P298" i="5"/>
  <c r="Q298" i="5"/>
  <c r="R298" i="5"/>
  <c r="S298" i="5"/>
  <c r="T298" i="5"/>
  <c r="U298" i="5"/>
  <c r="V298" i="5"/>
  <c r="W298" i="5"/>
  <c r="X298" i="5"/>
  <c r="B299" i="5"/>
  <c r="AB299" i="5" s="1"/>
  <c r="C299" i="5"/>
  <c r="D299" i="5"/>
  <c r="E299" i="5"/>
  <c r="F299" i="5"/>
  <c r="G299" i="5"/>
  <c r="H299" i="5"/>
  <c r="I299" i="5"/>
  <c r="J299" i="5"/>
  <c r="K299" i="5"/>
  <c r="L299" i="5"/>
  <c r="M299" i="5"/>
  <c r="N299" i="5"/>
  <c r="O299" i="5"/>
  <c r="P299" i="5"/>
  <c r="Q299" i="5"/>
  <c r="R299" i="5"/>
  <c r="S299" i="5"/>
  <c r="T299" i="5"/>
  <c r="U299" i="5"/>
  <c r="V299" i="5"/>
  <c r="W299" i="5"/>
  <c r="X299" i="5"/>
  <c r="B300" i="5"/>
  <c r="C300" i="5"/>
  <c r="D300" i="5"/>
  <c r="E300" i="5"/>
  <c r="F300" i="5"/>
  <c r="G300" i="5"/>
  <c r="H300" i="5"/>
  <c r="I300" i="5"/>
  <c r="J300" i="5"/>
  <c r="K300" i="5"/>
  <c r="L300" i="5"/>
  <c r="M300" i="5"/>
  <c r="N300" i="5"/>
  <c r="AC300" i="5" s="1"/>
  <c r="O300" i="5"/>
  <c r="P300" i="5"/>
  <c r="Q300" i="5"/>
  <c r="R300" i="5"/>
  <c r="S300" i="5"/>
  <c r="T300" i="5"/>
  <c r="U300" i="5"/>
  <c r="V300" i="5"/>
  <c r="W300" i="5"/>
  <c r="X300" i="5"/>
  <c r="B301" i="5"/>
  <c r="AB301" i="5" s="1"/>
  <c r="C301" i="5"/>
  <c r="D301" i="5"/>
  <c r="E301" i="5"/>
  <c r="F301" i="5"/>
  <c r="G301" i="5"/>
  <c r="H301" i="5"/>
  <c r="I301" i="5"/>
  <c r="J301" i="5"/>
  <c r="K301" i="5"/>
  <c r="L301" i="5"/>
  <c r="M301" i="5"/>
  <c r="N301" i="5"/>
  <c r="O301" i="5"/>
  <c r="AC301" i="5" s="1"/>
  <c r="P301" i="5"/>
  <c r="Q301" i="5"/>
  <c r="R301" i="5"/>
  <c r="S301" i="5"/>
  <c r="T301" i="5"/>
  <c r="U301" i="5"/>
  <c r="V301" i="5"/>
  <c r="W301" i="5"/>
  <c r="X301" i="5"/>
  <c r="B302" i="5"/>
  <c r="C302" i="5"/>
  <c r="D302" i="5"/>
  <c r="E302" i="5"/>
  <c r="F302" i="5"/>
  <c r="G302" i="5"/>
  <c r="H302" i="5"/>
  <c r="I302" i="5"/>
  <c r="J302" i="5"/>
  <c r="K302" i="5"/>
  <c r="L302" i="5"/>
  <c r="M302" i="5"/>
  <c r="N302" i="5"/>
  <c r="O302" i="5"/>
  <c r="P302" i="5"/>
  <c r="Q302" i="5"/>
  <c r="R302" i="5"/>
  <c r="S302" i="5"/>
  <c r="T302" i="5"/>
  <c r="U302" i="5"/>
  <c r="V302" i="5"/>
  <c r="W302" i="5"/>
  <c r="X302" i="5"/>
  <c r="B303" i="5"/>
  <c r="C303" i="5"/>
  <c r="D303" i="5"/>
  <c r="E303" i="5"/>
  <c r="F303" i="5"/>
  <c r="G303" i="5"/>
  <c r="H303" i="5"/>
  <c r="I303" i="5"/>
  <c r="J303" i="5"/>
  <c r="K303" i="5"/>
  <c r="L303" i="5"/>
  <c r="M303" i="5"/>
  <c r="N303" i="5"/>
  <c r="O303" i="5"/>
  <c r="AC303" i="5" s="1"/>
  <c r="P303" i="5"/>
  <c r="Q303" i="5"/>
  <c r="R303" i="5"/>
  <c r="S303" i="5"/>
  <c r="T303" i="5"/>
  <c r="U303" i="5"/>
  <c r="V303" i="5"/>
  <c r="W303" i="5"/>
  <c r="X303" i="5"/>
  <c r="B304" i="5"/>
  <c r="C304" i="5"/>
  <c r="D304" i="5"/>
  <c r="E304" i="5"/>
  <c r="F304" i="5"/>
  <c r="G304" i="5"/>
  <c r="H304" i="5"/>
  <c r="I304" i="5"/>
  <c r="J304" i="5"/>
  <c r="K304" i="5"/>
  <c r="L304" i="5"/>
  <c r="M304" i="5"/>
  <c r="N304" i="5"/>
  <c r="O304" i="5"/>
  <c r="P304" i="5"/>
  <c r="Q304" i="5"/>
  <c r="R304" i="5"/>
  <c r="S304" i="5"/>
  <c r="T304" i="5"/>
  <c r="U304" i="5"/>
  <c r="V304" i="5"/>
  <c r="W304" i="5"/>
  <c r="X304" i="5"/>
  <c r="B305" i="5"/>
  <c r="C305" i="5"/>
  <c r="D305" i="5"/>
  <c r="E305" i="5"/>
  <c r="F305" i="5"/>
  <c r="G305" i="5"/>
  <c r="H305" i="5"/>
  <c r="I305" i="5"/>
  <c r="J305" i="5"/>
  <c r="K305" i="5"/>
  <c r="L305" i="5"/>
  <c r="M305" i="5"/>
  <c r="N305" i="5"/>
  <c r="O305" i="5"/>
  <c r="P305" i="5"/>
  <c r="Q305" i="5"/>
  <c r="R305" i="5"/>
  <c r="S305" i="5"/>
  <c r="T305" i="5"/>
  <c r="U305" i="5"/>
  <c r="V305" i="5"/>
  <c r="W305" i="5"/>
  <c r="X305" i="5"/>
  <c r="B306" i="5"/>
  <c r="C306" i="5"/>
  <c r="D306" i="5"/>
  <c r="E306" i="5"/>
  <c r="F306" i="5"/>
  <c r="G306" i="5"/>
  <c r="H306" i="5"/>
  <c r="I306" i="5"/>
  <c r="J306" i="5"/>
  <c r="K306" i="5"/>
  <c r="L306" i="5"/>
  <c r="M306" i="5"/>
  <c r="N306" i="5"/>
  <c r="O306" i="5"/>
  <c r="P306" i="5"/>
  <c r="Q306" i="5"/>
  <c r="R306" i="5"/>
  <c r="S306" i="5"/>
  <c r="T306" i="5"/>
  <c r="U306" i="5"/>
  <c r="V306" i="5"/>
  <c r="W306" i="5"/>
  <c r="X306" i="5"/>
  <c r="B307" i="5"/>
  <c r="C307" i="5"/>
  <c r="D307" i="5"/>
  <c r="E307" i="5"/>
  <c r="F307" i="5"/>
  <c r="G307" i="5"/>
  <c r="H307" i="5"/>
  <c r="I307" i="5"/>
  <c r="J307" i="5"/>
  <c r="K307" i="5"/>
  <c r="L307" i="5"/>
  <c r="M307" i="5"/>
  <c r="N307" i="5"/>
  <c r="O307" i="5"/>
  <c r="P307" i="5"/>
  <c r="Q307" i="5"/>
  <c r="R307" i="5"/>
  <c r="S307" i="5"/>
  <c r="T307" i="5"/>
  <c r="U307" i="5"/>
  <c r="V307" i="5"/>
  <c r="W307" i="5"/>
  <c r="X307" i="5"/>
  <c r="B308" i="5"/>
  <c r="C308" i="5"/>
  <c r="D308" i="5"/>
  <c r="E308" i="5"/>
  <c r="F308" i="5"/>
  <c r="G308" i="5"/>
  <c r="H308" i="5"/>
  <c r="I308" i="5"/>
  <c r="J308" i="5"/>
  <c r="K308" i="5"/>
  <c r="L308" i="5"/>
  <c r="M308" i="5"/>
  <c r="N308" i="5"/>
  <c r="O308" i="5"/>
  <c r="P308" i="5"/>
  <c r="Q308" i="5"/>
  <c r="R308" i="5"/>
  <c r="S308" i="5"/>
  <c r="T308" i="5"/>
  <c r="U308" i="5"/>
  <c r="V308" i="5"/>
  <c r="W308" i="5"/>
  <c r="X308" i="5"/>
  <c r="B309" i="5"/>
  <c r="C309" i="5"/>
  <c r="D309" i="5"/>
  <c r="E309" i="5"/>
  <c r="F309" i="5"/>
  <c r="G309" i="5"/>
  <c r="H309" i="5"/>
  <c r="I309" i="5"/>
  <c r="J309" i="5"/>
  <c r="K309" i="5"/>
  <c r="L309" i="5"/>
  <c r="M309" i="5"/>
  <c r="N309" i="5"/>
  <c r="O309" i="5"/>
  <c r="P309" i="5"/>
  <c r="Q309" i="5"/>
  <c r="R309" i="5"/>
  <c r="S309" i="5"/>
  <c r="T309" i="5"/>
  <c r="U309" i="5"/>
  <c r="V309" i="5"/>
  <c r="W309" i="5"/>
  <c r="X309" i="5"/>
  <c r="B310" i="5"/>
  <c r="C310" i="5"/>
  <c r="D310" i="5"/>
  <c r="E310" i="5"/>
  <c r="F310" i="5"/>
  <c r="G310" i="5"/>
  <c r="H310" i="5"/>
  <c r="I310" i="5"/>
  <c r="J310" i="5"/>
  <c r="K310" i="5"/>
  <c r="L310" i="5"/>
  <c r="M310" i="5"/>
  <c r="N310" i="5"/>
  <c r="O310" i="5"/>
  <c r="P310" i="5"/>
  <c r="Q310" i="5"/>
  <c r="R310" i="5"/>
  <c r="S310" i="5"/>
  <c r="T310" i="5"/>
  <c r="U310" i="5"/>
  <c r="V310" i="5"/>
  <c r="W310" i="5"/>
  <c r="X310" i="5"/>
  <c r="B311" i="5"/>
  <c r="C311" i="5"/>
  <c r="D311" i="5"/>
  <c r="E311" i="5"/>
  <c r="F311" i="5"/>
  <c r="G311" i="5"/>
  <c r="H311" i="5"/>
  <c r="I311" i="5"/>
  <c r="J311" i="5"/>
  <c r="K311" i="5"/>
  <c r="L311" i="5"/>
  <c r="M311" i="5"/>
  <c r="N311" i="5"/>
  <c r="O311" i="5"/>
  <c r="P311" i="5"/>
  <c r="Q311" i="5"/>
  <c r="R311" i="5"/>
  <c r="S311" i="5"/>
  <c r="T311" i="5"/>
  <c r="U311" i="5"/>
  <c r="V311" i="5"/>
  <c r="W311" i="5"/>
  <c r="X311" i="5"/>
  <c r="B312" i="5"/>
  <c r="C312" i="5"/>
  <c r="D312" i="5"/>
  <c r="E312" i="5"/>
  <c r="F312" i="5"/>
  <c r="G312" i="5"/>
  <c r="H312" i="5"/>
  <c r="I312" i="5"/>
  <c r="J312" i="5"/>
  <c r="K312" i="5"/>
  <c r="L312" i="5"/>
  <c r="M312" i="5"/>
  <c r="N312" i="5"/>
  <c r="O312" i="5"/>
  <c r="P312" i="5"/>
  <c r="Q312" i="5"/>
  <c r="R312" i="5"/>
  <c r="S312" i="5"/>
  <c r="T312" i="5"/>
  <c r="U312" i="5"/>
  <c r="V312" i="5"/>
  <c r="W312" i="5"/>
  <c r="X312" i="5"/>
  <c r="B313" i="5"/>
  <c r="C313" i="5"/>
  <c r="D313" i="5"/>
  <c r="E313" i="5"/>
  <c r="F313" i="5"/>
  <c r="G313" i="5"/>
  <c r="H313" i="5"/>
  <c r="I313" i="5"/>
  <c r="J313" i="5"/>
  <c r="K313" i="5"/>
  <c r="L313" i="5"/>
  <c r="M313" i="5"/>
  <c r="N313" i="5"/>
  <c r="O313" i="5"/>
  <c r="P313" i="5"/>
  <c r="Q313" i="5"/>
  <c r="R313" i="5"/>
  <c r="S313" i="5"/>
  <c r="T313" i="5"/>
  <c r="U313" i="5"/>
  <c r="V313" i="5"/>
  <c r="W313" i="5"/>
  <c r="X313" i="5"/>
  <c r="B314" i="5"/>
  <c r="C314" i="5"/>
  <c r="D314" i="5"/>
  <c r="E314" i="5"/>
  <c r="F314" i="5"/>
  <c r="G314" i="5"/>
  <c r="H314" i="5"/>
  <c r="I314" i="5"/>
  <c r="J314" i="5"/>
  <c r="K314" i="5"/>
  <c r="L314" i="5"/>
  <c r="M314" i="5"/>
  <c r="N314" i="5"/>
  <c r="O314" i="5"/>
  <c r="P314" i="5"/>
  <c r="Q314" i="5"/>
  <c r="R314" i="5"/>
  <c r="S314" i="5"/>
  <c r="T314" i="5"/>
  <c r="U314" i="5"/>
  <c r="V314" i="5"/>
  <c r="W314" i="5"/>
  <c r="X314" i="5"/>
  <c r="B315" i="5"/>
  <c r="C315" i="5"/>
  <c r="D315" i="5"/>
  <c r="E315" i="5"/>
  <c r="F315" i="5"/>
  <c r="G315" i="5"/>
  <c r="H315" i="5"/>
  <c r="I315" i="5"/>
  <c r="J315" i="5"/>
  <c r="K315" i="5"/>
  <c r="L315" i="5"/>
  <c r="M315" i="5"/>
  <c r="N315" i="5"/>
  <c r="O315" i="5"/>
  <c r="P315" i="5"/>
  <c r="Q315" i="5"/>
  <c r="R315" i="5"/>
  <c r="S315" i="5"/>
  <c r="T315" i="5"/>
  <c r="U315" i="5"/>
  <c r="V315" i="5"/>
  <c r="W315" i="5"/>
  <c r="X315" i="5"/>
  <c r="B316" i="5"/>
  <c r="C316" i="5"/>
  <c r="D316" i="5"/>
  <c r="E316" i="5"/>
  <c r="F316" i="5"/>
  <c r="G316" i="5"/>
  <c r="H316" i="5"/>
  <c r="I316" i="5"/>
  <c r="J316" i="5"/>
  <c r="K316" i="5"/>
  <c r="L316" i="5"/>
  <c r="M316" i="5"/>
  <c r="N316" i="5"/>
  <c r="O316" i="5"/>
  <c r="P316" i="5"/>
  <c r="Q316" i="5"/>
  <c r="R316" i="5"/>
  <c r="S316" i="5"/>
  <c r="T316" i="5"/>
  <c r="U316" i="5"/>
  <c r="V316" i="5"/>
  <c r="W316" i="5"/>
  <c r="X316" i="5"/>
  <c r="AC316" i="5"/>
  <c r="B317" i="5"/>
  <c r="C317" i="5"/>
  <c r="D317" i="5"/>
  <c r="E317" i="5"/>
  <c r="F317" i="5"/>
  <c r="G317" i="5"/>
  <c r="H317" i="5"/>
  <c r="I317" i="5"/>
  <c r="J317" i="5"/>
  <c r="K317" i="5"/>
  <c r="L317" i="5"/>
  <c r="M317" i="5"/>
  <c r="N317" i="5"/>
  <c r="O317" i="5"/>
  <c r="P317" i="5"/>
  <c r="Q317" i="5"/>
  <c r="R317" i="5"/>
  <c r="S317" i="5"/>
  <c r="T317" i="5"/>
  <c r="U317" i="5"/>
  <c r="V317" i="5"/>
  <c r="W317" i="5"/>
  <c r="X317" i="5"/>
  <c r="AC317" i="5"/>
  <c r="B318" i="5"/>
  <c r="C318" i="5"/>
  <c r="D318" i="5"/>
  <c r="E318" i="5"/>
  <c r="F318" i="5"/>
  <c r="G318" i="5"/>
  <c r="H318" i="5"/>
  <c r="I318" i="5"/>
  <c r="J318" i="5"/>
  <c r="K318" i="5"/>
  <c r="L318" i="5"/>
  <c r="M318" i="5"/>
  <c r="N318" i="5"/>
  <c r="O318" i="5"/>
  <c r="P318" i="5"/>
  <c r="Q318" i="5"/>
  <c r="R318" i="5"/>
  <c r="S318" i="5"/>
  <c r="T318" i="5"/>
  <c r="U318" i="5"/>
  <c r="V318" i="5"/>
  <c r="W318" i="5"/>
  <c r="X318" i="5"/>
  <c r="B319" i="5"/>
  <c r="C319" i="5"/>
  <c r="D319" i="5"/>
  <c r="E319" i="5"/>
  <c r="F319" i="5"/>
  <c r="G319" i="5"/>
  <c r="H319" i="5"/>
  <c r="I319" i="5"/>
  <c r="J319" i="5"/>
  <c r="K319" i="5"/>
  <c r="L319" i="5"/>
  <c r="M319" i="5"/>
  <c r="N319" i="5"/>
  <c r="AC319" i="5" s="1"/>
  <c r="O319" i="5"/>
  <c r="P319" i="5"/>
  <c r="Q319" i="5"/>
  <c r="R319" i="5"/>
  <c r="S319" i="5"/>
  <c r="T319" i="5"/>
  <c r="U319" i="5"/>
  <c r="V319" i="5"/>
  <c r="W319" i="5"/>
  <c r="X319" i="5"/>
  <c r="B320" i="5"/>
  <c r="C320" i="5"/>
  <c r="D320" i="5"/>
  <c r="E320" i="5"/>
  <c r="F320" i="5"/>
  <c r="G320" i="5"/>
  <c r="H320" i="5"/>
  <c r="I320" i="5"/>
  <c r="J320" i="5"/>
  <c r="K320" i="5"/>
  <c r="L320" i="5"/>
  <c r="M320" i="5"/>
  <c r="N320" i="5"/>
  <c r="AC320" i="5" s="1"/>
  <c r="O320" i="5"/>
  <c r="P320" i="5"/>
  <c r="Q320" i="5"/>
  <c r="R320" i="5"/>
  <c r="S320" i="5"/>
  <c r="T320" i="5"/>
  <c r="U320" i="5"/>
  <c r="V320" i="5"/>
  <c r="W320" i="5"/>
  <c r="X320" i="5"/>
  <c r="B321" i="5"/>
  <c r="C321" i="5"/>
  <c r="D321" i="5"/>
  <c r="E321" i="5"/>
  <c r="F321" i="5"/>
  <c r="G321" i="5"/>
  <c r="H321" i="5"/>
  <c r="I321" i="5"/>
  <c r="J321" i="5"/>
  <c r="K321" i="5"/>
  <c r="L321" i="5"/>
  <c r="M321" i="5"/>
  <c r="N321" i="5"/>
  <c r="O321" i="5"/>
  <c r="P321" i="5"/>
  <c r="Q321" i="5"/>
  <c r="R321" i="5"/>
  <c r="S321" i="5"/>
  <c r="T321" i="5"/>
  <c r="U321" i="5"/>
  <c r="V321" i="5"/>
  <c r="W321" i="5"/>
  <c r="X321" i="5"/>
  <c r="B322" i="5"/>
  <c r="AB322" i="5" s="1"/>
  <c r="C322" i="5"/>
  <c r="D322" i="5"/>
  <c r="E322" i="5"/>
  <c r="F322" i="5"/>
  <c r="G322" i="5"/>
  <c r="H322" i="5"/>
  <c r="I322" i="5"/>
  <c r="J322" i="5"/>
  <c r="K322" i="5"/>
  <c r="L322" i="5"/>
  <c r="M322" i="5"/>
  <c r="N322" i="5"/>
  <c r="O322" i="5"/>
  <c r="P322" i="5"/>
  <c r="Q322" i="5"/>
  <c r="R322" i="5"/>
  <c r="S322" i="5"/>
  <c r="T322" i="5"/>
  <c r="U322" i="5"/>
  <c r="V322" i="5"/>
  <c r="W322" i="5"/>
  <c r="X322" i="5"/>
  <c r="B323" i="5"/>
  <c r="C323" i="5"/>
  <c r="D323" i="5"/>
  <c r="E323" i="5"/>
  <c r="F323" i="5"/>
  <c r="G323" i="5"/>
  <c r="H323" i="5"/>
  <c r="I323" i="5"/>
  <c r="J323" i="5"/>
  <c r="K323" i="5"/>
  <c r="L323" i="5"/>
  <c r="M323" i="5"/>
  <c r="N323" i="5"/>
  <c r="O323" i="5"/>
  <c r="P323" i="5"/>
  <c r="Q323" i="5"/>
  <c r="R323" i="5"/>
  <c r="S323" i="5"/>
  <c r="T323" i="5"/>
  <c r="U323" i="5"/>
  <c r="V323" i="5"/>
  <c r="W323" i="5"/>
  <c r="X323" i="5"/>
  <c r="B324" i="5"/>
  <c r="C324" i="5"/>
  <c r="D324" i="5"/>
  <c r="E324" i="5"/>
  <c r="F324" i="5"/>
  <c r="G324" i="5"/>
  <c r="H324" i="5"/>
  <c r="I324" i="5"/>
  <c r="J324" i="5"/>
  <c r="K324" i="5"/>
  <c r="L324" i="5"/>
  <c r="M324" i="5"/>
  <c r="AC324" i="5" s="1"/>
  <c r="N324" i="5"/>
  <c r="O324" i="5"/>
  <c r="P324" i="5"/>
  <c r="Q324" i="5"/>
  <c r="R324" i="5"/>
  <c r="S324" i="5"/>
  <c r="T324" i="5"/>
  <c r="U324" i="5"/>
  <c r="V324" i="5"/>
  <c r="W324" i="5"/>
  <c r="X324" i="5"/>
  <c r="B325" i="5"/>
  <c r="C325" i="5"/>
  <c r="D325" i="5"/>
  <c r="E325" i="5"/>
  <c r="F325" i="5"/>
  <c r="G325" i="5"/>
  <c r="H325" i="5"/>
  <c r="I325" i="5"/>
  <c r="J325" i="5"/>
  <c r="K325" i="5"/>
  <c r="L325" i="5"/>
  <c r="M325" i="5"/>
  <c r="N325" i="5"/>
  <c r="O325" i="5"/>
  <c r="P325" i="5"/>
  <c r="Q325" i="5"/>
  <c r="R325" i="5"/>
  <c r="S325" i="5"/>
  <c r="T325" i="5"/>
  <c r="U325" i="5"/>
  <c r="V325" i="5"/>
  <c r="W325" i="5"/>
  <c r="X325" i="5"/>
  <c r="B326" i="5"/>
  <c r="C326" i="5"/>
  <c r="D326" i="5"/>
  <c r="E326" i="5"/>
  <c r="F326" i="5"/>
  <c r="G326" i="5"/>
  <c r="H326" i="5"/>
  <c r="I326" i="5"/>
  <c r="J326" i="5"/>
  <c r="K326" i="5"/>
  <c r="L326" i="5"/>
  <c r="M326" i="5"/>
  <c r="N326" i="5"/>
  <c r="O326" i="5"/>
  <c r="P326" i="5"/>
  <c r="Q326" i="5"/>
  <c r="R326" i="5"/>
  <c r="S326" i="5"/>
  <c r="T326" i="5"/>
  <c r="U326" i="5"/>
  <c r="V326" i="5"/>
  <c r="W326" i="5"/>
  <c r="X326" i="5"/>
  <c r="B327" i="5"/>
  <c r="C327" i="5"/>
  <c r="D327" i="5"/>
  <c r="E327" i="5"/>
  <c r="F327" i="5"/>
  <c r="G327" i="5"/>
  <c r="H327" i="5"/>
  <c r="I327" i="5"/>
  <c r="J327" i="5"/>
  <c r="K327" i="5"/>
  <c r="L327" i="5"/>
  <c r="M327" i="5"/>
  <c r="N327" i="5"/>
  <c r="O327" i="5"/>
  <c r="P327" i="5"/>
  <c r="Q327" i="5"/>
  <c r="R327" i="5"/>
  <c r="S327" i="5"/>
  <c r="T327" i="5"/>
  <c r="U327" i="5"/>
  <c r="V327" i="5"/>
  <c r="W327" i="5"/>
  <c r="X327" i="5"/>
  <c r="B328" i="5"/>
  <c r="C328" i="5"/>
  <c r="D328" i="5"/>
  <c r="E328" i="5"/>
  <c r="F328" i="5"/>
  <c r="G328" i="5"/>
  <c r="H328" i="5"/>
  <c r="I328" i="5"/>
  <c r="J328" i="5"/>
  <c r="K328" i="5"/>
  <c r="L328" i="5"/>
  <c r="M328" i="5"/>
  <c r="N328" i="5"/>
  <c r="O328" i="5"/>
  <c r="P328" i="5"/>
  <c r="Q328" i="5"/>
  <c r="R328" i="5"/>
  <c r="S328" i="5"/>
  <c r="T328" i="5"/>
  <c r="U328" i="5"/>
  <c r="V328" i="5"/>
  <c r="W328" i="5"/>
  <c r="X328" i="5"/>
  <c r="B329" i="5"/>
  <c r="C329" i="5"/>
  <c r="D329" i="5"/>
  <c r="E329" i="5"/>
  <c r="F329" i="5"/>
  <c r="G329" i="5"/>
  <c r="H329" i="5"/>
  <c r="I329" i="5"/>
  <c r="J329" i="5"/>
  <c r="K329" i="5"/>
  <c r="L329" i="5"/>
  <c r="M329" i="5"/>
  <c r="N329" i="5"/>
  <c r="AC329" i="5" s="1"/>
  <c r="O329" i="5"/>
  <c r="P329" i="5"/>
  <c r="Q329" i="5"/>
  <c r="R329" i="5"/>
  <c r="S329" i="5"/>
  <c r="T329" i="5"/>
  <c r="U329" i="5"/>
  <c r="V329" i="5"/>
  <c r="W329" i="5"/>
  <c r="X329" i="5"/>
  <c r="B330" i="5"/>
  <c r="C330" i="5"/>
  <c r="D330" i="5"/>
  <c r="E330" i="5"/>
  <c r="F330" i="5"/>
  <c r="G330" i="5"/>
  <c r="H330" i="5"/>
  <c r="I330" i="5"/>
  <c r="J330" i="5"/>
  <c r="K330" i="5"/>
  <c r="L330" i="5"/>
  <c r="M330" i="5"/>
  <c r="N330" i="5"/>
  <c r="AC330" i="5" s="1"/>
  <c r="O330" i="5"/>
  <c r="P330" i="5"/>
  <c r="Q330" i="5"/>
  <c r="R330" i="5"/>
  <c r="S330" i="5"/>
  <c r="T330" i="5"/>
  <c r="U330" i="5"/>
  <c r="V330" i="5"/>
  <c r="W330" i="5"/>
  <c r="X330" i="5"/>
  <c r="B331" i="5"/>
  <c r="AB331" i="5" s="1"/>
  <c r="C331" i="5"/>
  <c r="D331" i="5"/>
  <c r="E331" i="5"/>
  <c r="F331" i="5"/>
  <c r="G331" i="5"/>
  <c r="H331" i="5"/>
  <c r="I331" i="5"/>
  <c r="J331" i="5"/>
  <c r="K331" i="5"/>
  <c r="L331" i="5"/>
  <c r="M331" i="5"/>
  <c r="N331" i="5"/>
  <c r="O331" i="5"/>
  <c r="P331" i="5"/>
  <c r="Q331" i="5"/>
  <c r="R331" i="5"/>
  <c r="S331" i="5"/>
  <c r="T331" i="5"/>
  <c r="U331" i="5"/>
  <c r="V331" i="5"/>
  <c r="W331" i="5"/>
  <c r="X331" i="5"/>
  <c r="B332" i="5"/>
  <c r="C332" i="5"/>
  <c r="D332" i="5"/>
  <c r="E332" i="5"/>
  <c r="F332" i="5"/>
  <c r="G332" i="5"/>
  <c r="H332" i="5"/>
  <c r="I332" i="5"/>
  <c r="J332" i="5"/>
  <c r="K332" i="5"/>
  <c r="L332" i="5"/>
  <c r="M332" i="5"/>
  <c r="N332" i="5"/>
  <c r="AC332" i="5" s="1"/>
  <c r="O332" i="5"/>
  <c r="P332" i="5"/>
  <c r="Q332" i="5"/>
  <c r="R332" i="5"/>
  <c r="S332" i="5"/>
  <c r="T332" i="5"/>
  <c r="U332" i="5"/>
  <c r="V332" i="5"/>
  <c r="W332" i="5"/>
  <c r="X332" i="5"/>
  <c r="B333" i="5"/>
  <c r="AB333" i="5" s="1"/>
  <c r="C333" i="5"/>
  <c r="D333" i="5"/>
  <c r="E333" i="5"/>
  <c r="F333" i="5"/>
  <c r="G333" i="5"/>
  <c r="H333" i="5"/>
  <c r="I333" i="5"/>
  <c r="J333" i="5"/>
  <c r="K333" i="5"/>
  <c r="L333" i="5"/>
  <c r="M333" i="5"/>
  <c r="N333" i="5"/>
  <c r="O333" i="5"/>
  <c r="P333" i="5"/>
  <c r="Q333" i="5"/>
  <c r="R333" i="5"/>
  <c r="S333" i="5"/>
  <c r="T333" i="5"/>
  <c r="U333" i="5"/>
  <c r="V333" i="5"/>
  <c r="W333" i="5"/>
  <c r="X333" i="5"/>
  <c r="AC333" i="5"/>
  <c r="B334" i="5"/>
  <c r="C334" i="5"/>
  <c r="D334" i="5"/>
  <c r="E334" i="5"/>
  <c r="F334" i="5"/>
  <c r="G334" i="5"/>
  <c r="H334" i="5"/>
  <c r="I334" i="5"/>
  <c r="J334" i="5"/>
  <c r="K334" i="5"/>
  <c r="L334" i="5"/>
  <c r="M334" i="5"/>
  <c r="N334" i="5"/>
  <c r="O334" i="5"/>
  <c r="P334" i="5"/>
  <c r="Q334" i="5"/>
  <c r="R334" i="5"/>
  <c r="S334" i="5"/>
  <c r="T334" i="5"/>
  <c r="U334" i="5"/>
  <c r="V334" i="5"/>
  <c r="W334" i="5"/>
  <c r="X334" i="5"/>
  <c r="B335" i="5"/>
  <c r="C335" i="5"/>
  <c r="D335" i="5"/>
  <c r="E335" i="5"/>
  <c r="F335" i="5"/>
  <c r="G335" i="5"/>
  <c r="H335" i="5"/>
  <c r="I335" i="5"/>
  <c r="J335" i="5"/>
  <c r="K335" i="5"/>
  <c r="L335" i="5"/>
  <c r="M335" i="5"/>
  <c r="N335" i="5"/>
  <c r="O335" i="5"/>
  <c r="P335" i="5"/>
  <c r="Q335" i="5"/>
  <c r="R335" i="5"/>
  <c r="S335" i="5"/>
  <c r="T335" i="5"/>
  <c r="U335" i="5"/>
  <c r="V335" i="5"/>
  <c r="W335" i="5"/>
  <c r="X335" i="5"/>
  <c r="B336" i="5"/>
  <c r="C336" i="5"/>
  <c r="D336" i="5"/>
  <c r="E336" i="5"/>
  <c r="F336" i="5"/>
  <c r="G336" i="5"/>
  <c r="H336" i="5"/>
  <c r="I336" i="5"/>
  <c r="J336" i="5"/>
  <c r="K336" i="5"/>
  <c r="L336" i="5"/>
  <c r="M336" i="5"/>
  <c r="N336" i="5"/>
  <c r="O336" i="5"/>
  <c r="P336" i="5"/>
  <c r="Q336" i="5"/>
  <c r="R336" i="5"/>
  <c r="S336" i="5"/>
  <c r="T336" i="5"/>
  <c r="U336" i="5"/>
  <c r="V336" i="5"/>
  <c r="W336" i="5"/>
  <c r="X336" i="5"/>
  <c r="B337" i="5"/>
  <c r="C337" i="5"/>
  <c r="D337" i="5"/>
  <c r="E337" i="5"/>
  <c r="F337" i="5"/>
  <c r="G337" i="5"/>
  <c r="H337" i="5"/>
  <c r="I337" i="5"/>
  <c r="J337" i="5"/>
  <c r="K337" i="5"/>
  <c r="L337" i="5"/>
  <c r="M337" i="5"/>
  <c r="N337" i="5"/>
  <c r="O337" i="5"/>
  <c r="P337" i="5"/>
  <c r="Q337" i="5"/>
  <c r="R337" i="5"/>
  <c r="S337" i="5"/>
  <c r="T337" i="5"/>
  <c r="U337" i="5"/>
  <c r="V337" i="5"/>
  <c r="W337" i="5"/>
  <c r="X337" i="5"/>
  <c r="B338" i="5"/>
  <c r="C338" i="5"/>
  <c r="D338" i="5"/>
  <c r="E338" i="5"/>
  <c r="F338" i="5"/>
  <c r="G338" i="5"/>
  <c r="H338" i="5"/>
  <c r="I338" i="5"/>
  <c r="J338" i="5"/>
  <c r="K338" i="5"/>
  <c r="L338" i="5"/>
  <c r="M338" i="5"/>
  <c r="N338" i="5"/>
  <c r="O338" i="5"/>
  <c r="P338" i="5"/>
  <c r="Q338" i="5"/>
  <c r="R338" i="5"/>
  <c r="S338" i="5"/>
  <c r="T338" i="5"/>
  <c r="U338" i="5"/>
  <c r="V338" i="5"/>
  <c r="W338" i="5"/>
  <c r="X338" i="5"/>
  <c r="B339" i="5"/>
  <c r="C339" i="5"/>
  <c r="D339" i="5"/>
  <c r="E339" i="5"/>
  <c r="F339" i="5"/>
  <c r="G339" i="5"/>
  <c r="H339" i="5"/>
  <c r="I339" i="5"/>
  <c r="J339" i="5"/>
  <c r="K339" i="5"/>
  <c r="L339" i="5"/>
  <c r="M339" i="5"/>
  <c r="N339" i="5"/>
  <c r="O339" i="5"/>
  <c r="P339" i="5"/>
  <c r="Q339" i="5"/>
  <c r="R339" i="5"/>
  <c r="S339" i="5"/>
  <c r="T339" i="5"/>
  <c r="U339" i="5"/>
  <c r="V339" i="5"/>
  <c r="W339" i="5"/>
  <c r="X339" i="5"/>
  <c r="B340" i="5"/>
  <c r="C340" i="5"/>
  <c r="D340" i="5"/>
  <c r="E340" i="5"/>
  <c r="F340" i="5"/>
  <c r="G340" i="5"/>
  <c r="H340" i="5"/>
  <c r="I340" i="5"/>
  <c r="J340" i="5"/>
  <c r="K340" i="5"/>
  <c r="L340" i="5"/>
  <c r="M340" i="5"/>
  <c r="N340" i="5"/>
  <c r="O340" i="5"/>
  <c r="P340" i="5"/>
  <c r="Q340" i="5"/>
  <c r="R340" i="5"/>
  <c r="S340" i="5"/>
  <c r="T340" i="5"/>
  <c r="U340" i="5"/>
  <c r="V340" i="5"/>
  <c r="W340" i="5"/>
  <c r="X340" i="5"/>
  <c r="B341" i="5"/>
  <c r="C341" i="5"/>
  <c r="D341" i="5"/>
  <c r="E341" i="5"/>
  <c r="F341" i="5"/>
  <c r="G341" i="5"/>
  <c r="H341" i="5"/>
  <c r="I341" i="5"/>
  <c r="J341" i="5"/>
  <c r="K341" i="5"/>
  <c r="L341" i="5"/>
  <c r="M341" i="5"/>
  <c r="N341" i="5"/>
  <c r="O341" i="5"/>
  <c r="P341" i="5"/>
  <c r="Q341" i="5"/>
  <c r="R341" i="5"/>
  <c r="S341" i="5"/>
  <c r="T341" i="5"/>
  <c r="U341" i="5"/>
  <c r="V341" i="5"/>
  <c r="W341" i="5"/>
  <c r="X341" i="5"/>
  <c r="B342" i="5"/>
  <c r="C342" i="5"/>
  <c r="D342" i="5"/>
  <c r="E342" i="5"/>
  <c r="F342" i="5"/>
  <c r="G342" i="5"/>
  <c r="H342" i="5"/>
  <c r="I342" i="5"/>
  <c r="J342" i="5"/>
  <c r="K342" i="5"/>
  <c r="L342" i="5"/>
  <c r="M342" i="5"/>
  <c r="AC342" i="5" s="1"/>
  <c r="N342" i="5"/>
  <c r="O342" i="5"/>
  <c r="P342" i="5"/>
  <c r="Q342" i="5"/>
  <c r="R342" i="5"/>
  <c r="S342" i="5"/>
  <c r="T342" i="5"/>
  <c r="U342" i="5"/>
  <c r="V342" i="5"/>
  <c r="W342" i="5"/>
  <c r="X342" i="5"/>
  <c r="B343" i="5"/>
  <c r="C343" i="5"/>
  <c r="D343" i="5"/>
  <c r="E343" i="5"/>
  <c r="F343" i="5"/>
  <c r="G343" i="5"/>
  <c r="H343" i="5"/>
  <c r="I343" i="5"/>
  <c r="J343" i="5"/>
  <c r="K343" i="5"/>
  <c r="L343" i="5"/>
  <c r="M343" i="5"/>
  <c r="N343" i="5"/>
  <c r="O343" i="5"/>
  <c r="P343" i="5"/>
  <c r="Q343" i="5"/>
  <c r="R343" i="5"/>
  <c r="S343" i="5"/>
  <c r="T343" i="5"/>
  <c r="U343" i="5"/>
  <c r="V343" i="5"/>
  <c r="W343" i="5"/>
  <c r="X343" i="5"/>
  <c r="B344" i="5"/>
  <c r="C344" i="5"/>
  <c r="D344" i="5"/>
  <c r="E344" i="5"/>
  <c r="F344" i="5"/>
  <c r="G344" i="5"/>
  <c r="H344" i="5"/>
  <c r="I344" i="5"/>
  <c r="J344" i="5"/>
  <c r="K344" i="5"/>
  <c r="L344" i="5"/>
  <c r="M344" i="5"/>
  <c r="N344" i="5"/>
  <c r="O344" i="5"/>
  <c r="AC344" i="5" s="1"/>
  <c r="P344" i="5"/>
  <c r="Q344" i="5"/>
  <c r="R344" i="5"/>
  <c r="S344" i="5"/>
  <c r="T344" i="5"/>
  <c r="U344" i="5"/>
  <c r="V344" i="5"/>
  <c r="W344" i="5"/>
  <c r="X344" i="5"/>
  <c r="B345" i="5"/>
  <c r="C345" i="5"/>
  <c r="D345" i="5"/>
  <c r="E345" i="5"/>
  <c r="F345" i="5"/>
  <c r="G345" i="5"/>
  <c r="H345" i="5"/>
  <c r="I345" i="5"/>
  <c r="J345" i="5"/>
  <c r="K345" i="5"/>
  <c r="L345" i="5"/>
  <c r="M345" i="5"/>
  <c r="N345" i="5"/>
  <c r="O345" i="5"/>
  <c r="P345" i="5"/>
  <c r="Q345" i="5"/>
  <c r="R345" i="5"/>
  <c r="S345" i="5"/>
  <c r="T345" i="5"/>
  <c r="U345" i="5"/>
  <c r="V345" i="5"/>
  <c r="W345" i="5"/>
  <c r="X345" i="5"/>
  <c r="B346" i="5"/>
  <c r="C346" i="5"/>
  <c r="D346" i="5"/>
  <c r="E346" i="5"/>
  <c r="F346" i="5"/>
  <c r="G346" i="5"/>
  <c r="H346" i="5"/>
  <c r="I346" i="5"/>
  <c r="J346" i="5"/>
  <c r="K346" i="5"/>
  <c r="L346" i="5"/>
  <c r="M346" i="5"/>
  <c r="N346" i="5"/>
  <c r="O346" i="5"/>
  <c r="P346" i="5"/>
  <c r="Q346" i="5"/>
  <c r="R346" i="5"/>
  <c r="S346" i="5"/>
  <c r="T346" i="5"/>
  <c r="U346" i="5"/>
  <c r="V346" i="5"/>
  <c r="W346" i="5"/>
  <c r="X346" i="5"/>
  <c r="B347" i="5"/>
  <c r="C347" i="5"/>
  <c r="D347" i="5"/>
  <c r="E347" i="5"/>
  <c r="F347" i="5"/>
  <c r="G347" i="5"/>
  <c r="H347" i="5"/>
  <c r="I347" i="5"/>
  <c r="J347" i="5"/>
  <c r="K347" i="5"/>
  <c r="L347" i="5"/>
  <c r="M347" i="5"/>
  <c r="N347" i="5"/>
  <c r="O347" i="5"/>
  <c r="P347" i="5"/>
  <c r="Q347" i="5"/>
  <c r="R347" i="5"/>
  <c r="S347" i="5"/>
  <c r="T347" i="5"/>
  <c r="U347" i="5"/>
  <c r="V347" i="5"/>
  <c r="W347" i="5"/>
  <c r="X347" i="5"/>
  <c r="B348" i="5"/>
  <c r="C348" i="5"/>
  <c r="D348" i="5"/>
  <c r="E348" i="5"/>
  <c r="F348" i="5"/>
  <c r="G348" i="5"/>
  <c r="H348" i="5"/>
  <c r="I348" i="5"/>
  <c r="J348" i="5"/>
  <c r="K348" i="5"/>
  <c r="L348" i="5"/>
  <c r="M348" i="5"/>
  <c r="N348" i="5"/>
  <c r="O348" i="5"/>
  <c r="P348" i="5"/>
  <c r="Q348" i="5"/>
  <c r="R348" i="5"/>
  <c r="S348" i="5"/>
  <c r="T348" i="5"/>
  <c r="U348" i="5"/>
  <c r="V348" i="5"/>
  <c r="W348" i="5"/>
  <c r="X348" i="5"/>
  <c r="B349" i="5"/>
  <c r="C349" i="5"/>
  <c r="D349" i="5"/>
  <c r="E349" i="5"/>
  <c r="F349" i="5"/>
  <c r="G349" i="5"/>
  <c r="H349" i="5"/>
  <c r="I349" i="5"/>
  <c r="J349" i="5"/>
  <c r="K349" i="5"/>
  <c r="L349" i="5"/>
  <c r="M349" i="5"/>
  <c r="N349" i="5"/>
  <c r="AC349" i="5" s="1"/>
  <c r="O349" i="5"/>
  <c r="P349" i="5"/>
  <c r="Q349" i="5"/>
  <c r="R349" i="5"/>
  <c r="S349" i="5"/>
  <c r="T349" i="5"/>
  <c r="U349" i="5"/>
  <c r="V349" i="5"/>
  <c r="W349" i="5"/>
  <c r="X349" i="5"/>
  <c r="B350" i="5"/>
  <c r="C350" i="5"/>
  <c r="D350" i="5"/>
  <c r="E350" i="5"/>
  <c r="F350" i="5"/>
  <c r="G350" i="5"/>
  <c r="H350" i="5"/>
  <c r="I350" i="5"/>
  <c r="J350" i="5"/>
  <c r="K350" i="5"/>
  <c r="L350" i="5"/>
  <c r="M350" i="5"/>
  <c r="N350" i="5"/>
  <c r="O350" i="5"/>
  <c r="P350" i="5"/>
  <c r="Q350" i="5"/>
  <c r="R350" i="5"/>
  <c r="S350" i="5"/>
  <c r="T350" i="5"/>
  <c r="U350" i="5"/>
  <c r="V350" i="5"/>
  <c r="W350" i="5"/>
  <c r="X350" i="5"/>
  <c r="B351" i="5"/>
  <c r="C351" i="5"/>
  <c r="D351" i="5"/>
  <c r="E351" i="5"/>
  <c r="F351" i="5"/>
  <c r="G351" i="5"/>
  <c r="H351" i="5"/>
  <c r="I351" i="5"/>
  <c r="J351" i="5"/>
  <c r="K351" i="5"/>
  <c r="L351" i="5"/>
  <c r="M351" i="5"/>
  <c r="N351" i="5"/>
  <c r="O351" i="5"/>
  <c r="P351" i="5"/>
  <c r="Q351" i="5"/>
  <c r="R351" i="5"/>
  <c r="S351" i="5"/>
  <c r="T351" i="5"/>
  <c r="U351" i="5"/>
  <c r="V351" i="5"/>
  <c r="W351" i="5"/>
  <c r="X351" i="5"/>
  <c r="AC351" i="5"/>
  <c r="B352" i="5"/>
  <c r="C352" i="5"/>
  <c r="D352" i="5"/>
  <c r="E352" i="5"/>
  <c r="F352" i="5"/>
  <c r="G352" i="5"/>
  <c r="H352" i="5"/>
  <c r="I352" i="5"/>
  <c r="J352" i="5"/>
  <c r="K352" i="5"/>
  <c r="L352" i="5"/>
  <c r="M352" i="5"/>
  <c r="N352" i="5"/>
  <c r="O352" i="5"/>
  <c r="P352" i="5"/>
  <c r="Q352" i="5"/>
  <c r="R352" i="5"/>
  <c r="S352" i="5"/>
  <c r="T352" i="5"/>
  <c r="U352" i="5"/>
  <c r="V352" i="5"/>
  <c r="W352" i="5"/>
  <c r="X352" i="5"/>
  <c r="B353" i="5"/>
  <c r="C353" i="5"/>
  <c r="D353" i="5"/>
  <c r="E353" i="5"/>
  <c r="F353" i="5"/>
  <c r="G353" i="5"/>
  <c r="H353" i="5"/>
  <c r="I353" i="5"/>
  <c r="J353" i="5"/>
  <c r="K353" i="5"/>
  <c r="L353" i="5"/>
  <c r="M353" i="5"/>
  <c r="N353" i="5"/>
  <c r="O353" i="5"/>
  <c r="P353" i="5"/>
  <c r="Q353" i="5"/>
  <c r="R353" i="5"/>
  <c r="S353" i="5"/>
  <c r="T353" i="5"/>
  <c r="U353" i="5"/>
  <c r="V353" i="5"/>
  <c r="W353" i="5"/>
  <c r="X353" i="5"/>
  <c r="B354" i="5"/>
  <c r="C354" i="5"/>
  <c r="D354" i="5"/>
  <c r="E354" i="5"/>
  <c r="F354" i="5"/>
  <c r="G354" i="5"/>
  <c r="H354" i="5"/>
  <c r="I354" i="5"/>
  <c r="J354" i="5"/>
  <c r="K354" i="5"/>
  <c r="L354" i="5"/>
  <c r="M354" i="5"/>
  <c r="N354" i="5"/>
  <c r="O354" i="5"/>
  <c r="P354" i="5"/>
  <c r="Q354" i="5"/>
  <c r="R354" i="5"/>
  <c r="S354" i="5"/>
  <c r="T354" i="5"/>
  <c r="U354" i="5"/>
  <c r="V354" i="5"/>
  <c r="W354" i="5"/>
  <c r="X354" i="5"/>
  <c r="B355" i="5"/>
  <c r="C355" i="5"/>
  <c r="D355" i="5"/>
  <c r="E355" i="5"/>
  <c r="F355" i="5"/>
  <c r="G355" i="5"/>
  <c r="H355" i="5"/>
  <c r="I355" i="5"/>
  <c r="J355" i="5"/>
  <c r="K355" i="5"/>
  <c r="L355" i="5"/>
  <c r="M355" i="5"/>
  <c r="N355" i="5"/>
  <c r="O355" i="5"/>
  <c r="P355" i="5"/>
  <c r="Q355" i="5"/>
  <c r="R355" i="5"/>
  <c r="S355" i="5"/>
  <c r="T355" i="5"/>
  <c r="U355" i="5"/>
  <c r="V355" i="5"/>
  <c r="W355" i="5"/>
  <c r="X355" i="5"/>
  <c r="B356" i="5"/>
  <c r="C356" i="5"/>
  <c r="D356" i="5"/>
  <c r="E356" i="5"/>
  <c r="E1098" i="5" s="1"/>
  <c r="F356" i="5"/>
  <c r="G356" i="5"/>
  <c r="H356" i="5"/>
  <c r="I356" i="5"/>
  <c r="J356" i="5"/>
  <c r="K356" i="5"/>
  <c r="L356" i="5"/>
  <c r="M356" i="5"/>
  <c r="AC356" i="5" s="1"/>
  <c r="N356" i="5"/>
  <c r="O356" i="5"/>
  <c r="P356" i="5"/>
  <c r="Q356" i="5"/>
  <c r="R356" i="5"/>
  <c r="S356" i="5"/>
  <c r="T356" i="5"/>
  <c r="U356" i="5"/>
  <c r="V356" i="5"/>
  <c r="W356" i="5"/>
  <c r="X356" i="5"/>
  <c r="B357" i="5"/>
  <c r="C357" i="5"/>
  <c r="D357" i="5"/>
  <c r="E357" i="5"/>
  <c r="F357" i="5"/>
  <c r="G357" i="5"/>
  <c r="H357" i="5"/>
  <c r="I357" i="5"/>
  <c r="J357" i="5"/>
  <c r="K357" i="5"/>
  <c r="L357" i="5"/>
  <c r="M357" i="5"/>
  <c r="N357" i="5"/>
  <c r="AC357" i="5" s="1"/>
  <c r="O357" i="5"/>
  <c r="P357" i="5"/>
  <c r="Q357" i="5"/>
  <c r="R357" i="5"/>
  <c r="S357" i="5"/>
  <c r="T357" i="5"/>
  <c r="U357" i="5"/>
  <c r="V357" i="5"/>
  <c r="W357" i="5"/>
  <c r="X357" i="5"/>
  <c r="B358" i="5"/>
  <c r="C358" i="5"/>
  <c r="D358" i="5"/>
  <c r="E358" i="5"/>
  <c r="F358" i="5"/>
  <c r="G358" i="5"/>
  <c r="H358" i="5"/>
  <c r="I358" i="5"/>
  <c r="J358" i="5"/>
  <c r="K358" i="5"/>
  <c r="L358" i="5"/>
  <c r="M358" i="5"/>
  <c r="N358" i="5"/>
  <c r="O358" i="5"/>
  <c r="P358" i="5"/>
  <c r="Q358" i="5"/>
  <c r="R358" i="5"/>
  <c r="S358" i="5"/>
  <c r="T358" i="5"/>
  <c r="U358" i="5"/>
  <c r="V358" i="5"/>
  <c r="W358" i="5"/>
  <c r="X358" i="5"/>
  <c r="B359" i="5"/>
  <c r="C359" i="5"/>
  <c r="D359" i="5"/>
  <c r="E359" i="5"/>
  <c r="F359" i="5"/>
  <c r="G359" i="5"/>
  <c r="H359" i="5"/>
  <c r="I359" i="5"/>
  <c r="J359" i="5"/>
  <c r="K359" i="5"/>
  <c r="L359" i="5"/>
  <c r="M359" i="5"/>
  <c r="N359" i="5"/>
  <c r="O359" i="5"/>
  <c r="P359" i="5"/>
  <c r="Q359" i="5"/>
  <c r="R359" i="5"/>
  <c r="S359" i="5"/>
  <c r="T359" i="5"/>
  <c r="U359" i="5"/>
  <c r="V359" i="5"/>
  <c r="W359" i="5"/>
  <c r="X359" i="5"/>
  <c r="B360" i="5"/>
  <c r="C360" i="5"/>
  <c r="D360" i="5"/>
  <c r="E360" i="5"/>
  <c r="F360" i="5"/>
  <c r="G360" i="5"/>
  <c r="H360" i="5"/>
  <c r="I360" i="5"/>
  <c r="J360" i="5"/>
  <c r="K360" i="5"/>
  <c r="L360" i="5"/>
  <c r="M360" i="5"/>
  <c r="N360" i="5"/>
  <c r="O360" i="5"/>
  <c r="P360" i="5"/>
  <c r="Q360" i="5"/>
  <c r="R360" i="5"/>
  <c r="S360" i="5"/>
  <c r="T360" i="5"/>
  <c r="U360" i="5"/>
  <c r="V360" i="5"/>
  <c r="W360" i="5"/>
  <c r="X360" i="5"/>
  <c r="B361" i="5"/>
  <c r="C361" i="5"/>
  <c r="D361" i="5"/>
  <c r="E361" i="5"/>
  <c r="F361" i="5"/>
  <c r="G361" i="5"/>
  <c r="H361" i="5"/>
  <c r="I361" i="5"/>
  <c r="J361" i="5"/>
  <c r="K361" i="5"/>
  <c r="L361" i="5"/>
  <c r="M361" i="5"/>
  <c r="N361" i="5"/>
  <c r="O361" i="5"/>
  <c r="P361" i="5"/>
  <c r="Q361" i="5"/>
  <c r="R361" i="5"/>
  <c r="S361" i="5"/>
  <c r="T361" i="5"/>
  <c r="U361" i="5"/>
  <c r="V361" i="5"/>
  <c r="W361" i="5"/>
  <c r="X361" i="5"/>
  <c r="B362" i="5"/>
  <c r="C362" i="5"/>
  <c r="D362" i="5"/>
  <c r="E362" i="5"/>
  <c r="F362" i="5"/>
  <c r="G362" i="5"/>
  <c r="H362" i="5"/>
  <c r="I362" i="5"/>
  <c r="J362" i="5"/>
  <c r="K362" i="5"/>
  <c r="L362" i="5"/>
  <c r="M362" i="5"/>
  <c r="N362" i="5"/>
  <c r="O362" i="5"/>
  <c r="P362" i="5"/>
  <c r="Q362" i="5"/>
  <c r="R362" i="5"/>
  <c r="S362" i="5"/>
  <c r="T362" i="5"/>
  <c r="U362" i="5"/>
  <c r="V362" i="5"/>
  <c r="W362" i="5"/>
  <c r="X362" i="5"/>
  <c r="B363" i="5"/>
  <c r="C363" i="5"/>
  <c r="D363" i="5"/>
  <c r="E363" i="5"/>
  <c r="F363" i="5"/>
  <c r="G363" i="5"/>
  <c r="H363" i="5"/>
  <c r="I363" i="5"/>
  <c r="J363" i="5"/>
  <c r="K363" i="5"/>
  <c r="L363" i="5"/>
  <c r="M363" i="5"/>
  <c r="N363" i="5"/>
  <c r="O363" i="5"/>
  <c r="P363" i="5"/>
  <c r="Q363" i="5"/>
  <c r="R363" i="5"/>
  <c r="S363" i="5"/>
  <c r="T363" i="5"/>
  <c r="U363" i="5"/>
  <c r="V363" i="5"/>
  <c r="W363" i="5"/>
  <c r="X363" i="5"/>
  <c r="B364" i="5"/>
  <c r="C364" i="5"/>
  <c r="D364" i="5"/>
  <c r="E364" i="5"/>
  <c r="F364" i="5"/>
  <c r="G364" i="5"/>
  <c r="H364" i="5"/>
  <c r="I364" i="5"/>
  <c r="J364" i="5"/>
  <c r="K364" i="5"/>
  <c r="L364" i="5"/>
  <c r="M364" i="5"/>
  <c r="N364" i="5"/>
  <c r="O364" i="5"/>
  <c r="P364" i="5"/>
  <c r="Q364" i="5"/>
  <c r="R364" i="5"/>
  <c r="S364" i="5"/>
  <c r="T364" i="5"/>
  <c r="U364" i="5"/>
  <c r="V364" i="5"/>
  <c r="W364" i="5"/>
  <c r="X364" i="5"/>
  <c r="B365" i="5"/>
  <c r="C365" i="5"/>
  <c r="D365" i="5"/>
  <c r="E365" i="5"/>
  <c r="F365" i="5"/>
  <c r="G365" i="5"/>
  <c r="H365" i="5"/>
  <c r="I365" i="5"/>
  <c r="J365" i="5"/>
  <c r="K365" i="5"/>
  <c r="L365" i="5"/>
  <c r="M365" i="5"/>
  <c r="N365" i="5"/>
  <c r="O365" i="5"/>
  <c r="P365" i="5"/>
  <c r="Q365" i="5"/>
  <c r="R365" i="5"/>
  <c r="S365" i="5"/>
  <c r="T365" i="5"/>
  <c r="U365" i="5"/>
  <c r="V365" i="5"/>
  <c r="W365" i="5"/>
  <c r="X365" i="5"/>
  <c r="AC365" i="5"/>
  <c r="B366" i="5"/>
  <c r="C366" i="5"/>
  <c r="D366" i="5"/>
  <c r="E366" i="5"/>
  <c r="F366" i="5"/>
  <c r="G366" i="5"/>
  <c r="H366" i="5"/>
  <c r="I366" i="5"/>
  <c r="J366" i="5"/>
  <c r="K366" i="5"/>
  <c r="L366" i="5"/>
  <c r="M366" i="5"/>
  <c r="N366" i="5"/>
  <c r="O366" i="5"/>
  <c r="P366" i="5"/>
  <c r="Q366" i="5"/>
  <c r="R366" i="5"/>
  <c r="S366" i="5"/>
  <c r="T366" i="5"/>
  <c r="U366" i="5"/>
  <c r="V366" i="5"/>
  <c r="W366" i="5"/>
  <c r="X366" i="5"/>
  <c r="B367" i="5"/>
  <c r="C367" i="5"/>
  <c r="D367" i="5"/>
  <c r="E367" i="5"/>
  <c r="F367" i="5"/>
  <c r="G367" i="5"/>
  <c r="H367" i="5"/>
  <c r="I367" i="5"/>
  <c r="J367" i="5"/>
  <c r="K367" i="5"/>
  <c r="L367" i="5"/>
  <c r="M367" i="5"/>
  <c r="N367" i="5"/>
  <c r="AC367" i="5" s="1"/>
  <c r="O367" i="5"/>
  <c r="P367" i="5"/>
  <c r="Q367" i="5"/>
  <c r="R367" i="5"/>
  <c r="S367" i="5"/>
  <c r="T367" i="5"/>
  <c r="U367" i="5"/>
  <c r="V367" i="5"/>
  <c r="W367" i="5"/>
  <c r="X367" i="5"/>
  <c r="B368" i="5"/>
  <c r="C368" i="5"/>
  <c r="D368" i="5"/>
  <c r="E368" i="5"/>
  <c r="F368" i="5"/>
  <c r="G368" i="5"/>
  <c r="H368" i="5"/>
  <c r="I368" i="5"/>
  <c r="J368" i="5"/>
  <c r="K368" i="5"/>
  <c r="L368" i="5"/>
  <c r="M368" i="5"/>
  <c r="N368" i="5"/>
  <c r="O368" i="5"/>
  <c r="P368" i="5"/>
  <c r="Q368" i="5"/>
  <c r="R368" i="5"/>
  <c r="S368" i="5"/>
  <c r="T368" i="5"/>
  <c r="U368" i="5"/>
  <c r="V368" i="5"/>
  <c r="W368" i="5"/>
  <c r="X368" i="5"/>
  <c r="B369" i="5"/>
  <c r="C369" i="5"/>
  <c r="D369" i="5"/>
  <c r="E369" i="5"/>
  <c r="F369" i="5"/>
  <c r="G369" i="5"/>
  <c r="H369" i="5"/>
  <c r="I369" i="5"/>
  <c r="J369" i="5"/>
  <c r="K369" i="5"/>
  <c r="L369" i="5"/>
  <c r="M369" i="5"/>
  <c r="N369" i="5"/>
  <c r="O369" i="5"/>
  <c r="P369" i="5"/>
  <c r="Q369" i="5"/>
  <c r="R369" i="5"/>
  <c r="S369" i="5"/>
  <c r="T369" i="5"/>
  <c r="U369" i="5"/>
  <c r="V369" i="5"/>
  <c r="W369" i="5"/>
  <c r="X369" i="5"/>
  <c r="B370" i="5"/>
  <c r="C370" i="5"/>
  <c r="D370" i="5"/>
  <c r="E370" i="5"/>
  <c r="F370" i="5"/>
  <c r="G370" i="5"/>
  <c r="H370" i="5"/>
  <c r="I370" i="5"/>
  <c r="J370" i="5"/>
  <c r="K370" i="5"/>
  <c r="L370" i="5"/>
  <c r="M370" i="5"/>
  <c r="N370" i="5"/>
  <c r="O370" i="5"/>
  <c r="P370" i="5"/>
  <c r="Q370" i="5"/>
  <c r="R370" i="5"/>
  <c r="S370" i="5"/>
  <c r="T370" i="5"/>
  <c r="U370" i="5"/>
  <c r="V370" i="5"/>
  <c r="W370" i="5"/>
  <c r="X370" i="5"/>
  <c r="B371" i="5"/>
  <c r="C371" i="5"/>
  <c r="D371" i="5"/>
  <c r="E371" i="5"/>
  <c r="F371" i="5"/>
  <c r="G371" i="5"/>
  <c r="H371" i="5"/>
  <c r="I371" i="5"/>
  <c r="J371" i="5"/>
  <c r="K371" i="5"/>
  <c r="L371" i="5"/>
  <c r="M371" i="5"/>
  <c r="N371" i="5"/>
  <c r="AC371" i="5" s="1"/>
  <c r="O371" i="5"/>
  <c r="P371" i="5"/>
  <c r="Q371" i="5"/>
  <c r="R371" i="5"/>
  <c r="S371" i="5"/>
  <c r="T371" i="5"/>
  <c r="U371" i="5"/>
  <c r="V371" i="5"/>
  <c r="W371" i="5"/>
  <c r="X371" i="5"/>
  <c r="B372" i="5"/>
  <c r="C372" i="5"/>
  <c r="D372" i="5"/>
  <c r="E372" i="5"/>
  <c r="F372" i="5"/>
  <c r="G372" i="5"/>
  <c r="H372" i="5"/>
  <c r="I372" i="5"/>
  <c r="J372" i="5"/>
  <c r="K372" i="5"/>
  <c r="L372" i="5"/>
  <c r="M372" i="5"/>
  <c r="N372" i="5"/>
  <c r="O372" i="5"/>
  <c r="P372" i="5"/>
  <c r="Q372" i="5"/>
  <c r="R372" i="5"/>
  <c r="S372" i="5"/>
  <c r="T372" i="5"/>
  <c r="U372" i="5"/>
  <c r="V372" i="5"/>
  <c r="W372" i="5"/>
  <c r="X372" i="5"/>
  <c r="B373" i="5"/>
  <c r="C373" i="5"/>
  <c r="D373" i="5"/>
  <c r="E373" i="5"/>
  <c r="F373" i="5"/>
  <c r="G373" i="5"/>
  <c r="H373" i="5"/>
  <c r="I373" i="5"/>
  <c r="J373" i="5"/>
  <c r="K373" i="5"/>
  <c r="L373" i="5"/>
  <c r="M373" i="5"/>
  <c r="N373" i="5"/>
  <c r="O373" i="5"/>
  <c r="AC373" i="5" s="1"/>
  <c r="P373" i="5"/>
  <c r="Q373" i="5"/>
  <c r="R373" i="5"/>
  <c r="S373" i="5"/>
  <c r="T373" i="5"/>
  <c r="U373" i="5"/>
  <c r="V373" i="5"/>
  <c r="W373" i="5"/>
  <c r="X373" i="5"/>
  <c r="B374" i="5"/>
  <c r="C374" i="5"/>
  <c r="D374" i="5"/>
  <c r="E374" i="5"/>
  <c r="F374" i="5"/>
  <c r="G374" i="5"/>
  <c r="H374" i="5"/>
  <c r="I374" i="5"/>
  <c r="J374" i="5"/>
  <c r="K374" i="5"/>
  <c r="L374" i="5"/>
  <c r="M374" i="5"/>
  <c r="N374" i="5"/>
  <c r="O374" i="5"/>
  <c r="P374" i="5"/>
  <c r="Q374" i="5"/>
  <c r="R374" i="5"/>
  <c r="S374" i="5"/>
  <c r="T374" i="5"/>
  <c r="U374" i="5"/>
  <c r="V374" i="5"/>
  <c r="W374" i="5"/>
  <c r="X374" i="5"/>
  <c r="B375" i="5"/>
  <c r="C375" i="5"/>
  <c r="D375" i="5"/>
  <c r="E375" i="5"/>
  <c r="F375" i="5"/>
  <c r="G375" i="5"/>
  <c r="H375" i="5"/>
  <c r="I375" i="5"/>
  <c r="J375" i="5"/>
  <c r="K375" i="5"/>
  <c r="L375" i="5"/>
  <c r="M375" i="5"/>
  <c r="N375" i="5"/>
  <c r="O375" i="5"/>
  <c r="P375" i="5"/>
  <c r="Q375" i="5"/>
  <c r="R375" i="5"/>
  <c r="S375" i="5"/>
  <c r="T375" i="5"/>
  <c r="U375" i="5"/>
  <c r="V375" i="5"/>
  <c r="W375" i="5"/>
  <c r="X375" i="5"/>
  <c r="B376" i="5"/>
  <c r="C376" i="5"/>
  <c r="D376" i="5"/>
  <c r="E376" i="5"/>
  <c r="F376" i="5"/>
  <c r="G376" i="5"/>
  <c r="H376" i="5"/>
  <c r="I376" i="5"/>
  <c r="J376" i="5"/>
  <c r="K376" i="5"/>
  <c r="L376" i="5"/>
  <c r="M376" i="5"/>
  <c r="N376" i="5"/>
  <c r="O376" i="5"/>
  <c r="P376" i="5"/>
  <c r="Q376" i="5"/>
  <c r="R376" i="5"/>
  <c r="S376" i="5"/>
  <c r="T376" i="5"/>
  <c r="U376" i="5"/>
  <c r="V376" i="5"/>
  <c r="W376" i="5"/>
  <c r="X376" i="5"/>
  <c r="B377" i="5"/>
  <c r="C377" i="5"/>
  <c r="D377" i="5"/>
  <c r="E377" i="5"/>
  <c r="F377" i="5"/>
  <c r="G377" i="5"/>
  <c r="H377" i="5"/>
  <c r="I377" i="5"/>
  <c r="J377" i="5"/>
  <c r="K377" i="5"/>
  <c r="L377" i="5"/>
  <c r="M377" i="5"/>
  <c r="N377" i="5"/>
  <c r="O377" i="5"/>
  <c r="P377" i="5"/>
  <c r="Q377" i="5"/>
  <c r="R377" i="5"/>
  <c r="S377" i="5"/>
  <c r="T377" i="5"/>
  <c r="U377" i="5"/>
  <c r="V377" i="5"/>
  <c r="W377" i="5"/>
  <c r="X377" i="5"/>
  <c r="B378" i="5"/>
  <c r="C378" i="5"/>
  <c r="D378" i="5"/>
  <c r="E378" i="5"/>
  <c r="F378" i="5"/>
  <c r="G378" i="5"/>
  <c r="H378" i="5"/>
  <c r="I378" i="5"/>
  <c r="J378" i="5"/>
  <c r="K378" i="5"/>
  <c r="L378" i="5"/>
  <c r="M378" i="5"/>
  <c r="N378" i="5"/>
  <c r="O378" i="5"/>
  <c r="P378" i="5"/>
  <c r="Q378" i="5"/>
  <c r="R378" i="5"/>
  <c r="S378" i="5"/>
  <c r="T378" i="5"/>
  <c r="U378" i="5"/>
  <c r="V378" i="5"/>
  <c r="W378" i="5"/>
  <c r="X378" i="5"/>
  <c r="B379" i="5"/>
  <c r="C379" i="5"/>
  <c r="D379" i="5"/>
  <c r="E379" i="5"/>
  <c r="F379" i="5"/>
  <c r="G379" i="5"/>
  <c r="H379" i="5"/>
  <c r="I379" i="5"/>
  <c r="J379" i="5"/>
  <c r="K379" i="5"/>
  <c r="L379" i="5"/>
  <c r="M379" i="5"/>
  <c r="N379" i="5"/>
  <c r="O379" i="5"/>
  <c r="P379" i="5"/>
  <c r="Q379" i="5"/>
  <c r="R379" i="5"/>
  <c r="S379" i="5"/>
  <c r="T379" i="5"/>
  <c r="U379" i="5"/>
  <c r="V379" i="5"/>
  <c r="W379" i="5"/>
  <c r="X379" i="5"/>
  <c r="B380" i="5"/>
  <c r="C380" i="5"/>
  <c r="D380" i="5"/>
  <c r="E380" i="5"/>
  <c r="F380" i="5"/>
  <c r="G380" i="5"/>
  <c r="H380" i="5"/>
  <c r="I380" i="5"/>
  <c r="J380" i="5"/>
  <c r="K380" i="5"/>
  <c r="L380" i="5"/>
  <c r="M380" i="5"/>
  <c r="N380" i="5"/>
  <c r="O380" i="5"/>
  <c r="P380" i="5"/>
  <c r="Q380" i="5"/>
  <c r="R380" i="5"/>
  <c r="S380" i="5"/>
  <c r="T380" i="5"/>
  <c r="U380" i="5"/>
  <c r="V380" i="5"/>
  <c r="W380" i="5"/>
  <c r="X380" i="5"/>
  <c r="B381" i="5"/>
  <c r="C381" i="5"/>
  <c r="D381" i="5"/>
  <c r="E381" i="5"/>
  <c r="F381" i="5"/>
  <c r="G381" i="5"/>
  <c r="H381" i="5"/>
  <c r="I381" i="5"/>
  <c r="J381" i="5"/>
  <c r="K381" i="5"/>
  <c r="L381" i="5"/>
  <c r="M381" i="5"/>
  <c r="N381" i="5"/>
  <c r="AC381" i="5" s="1"/>
  <c r="O381" i="5"/>
  <c r="P381" i="5"/>
  <c r="Q381" i="5"/>
  <c r="R381" i="5"/>
  <c r="S381" i="5"/>
  <c r="T381" i="5"/>
  <c r="U381" i="5"/>
  <c r="V381" i="5"/>
  <c r="W381" i="5"/>
  <c r="X381" i="5"/>
  <c r="B382" i="5"/>
  <c r="C382" i="5"/>
  <c r="D382" i="5"/>
  <c r="E382" i="5"/>
  <c r="F382" i="5"/>
  <c r="G382" i="5"/>
  <c r="H382" i="5"/>
  <c r="I382" i="5"/>
  <c r="J382" i="5"/>
  <c r="K382" i="5"/>
  <c r="L382" i="5"/>
  <c r="M382" i="5"/>
  <c r="N382" i="5"/>
  <c r="O382" i="5"/>
  <c r="P382" i="5"/>
  <c r="Q382" i="5"/>
  <c r="R382" i="5"/>
  <c r="S382" i="5"/>
  <c r="T382" i="5"/>
  <c r="U382" i="5"/>
  <c r="V382" i="5"/>
  <c r="W382" i="5"/>
  <c r="X382" i="5"/>
  <c r="B383" i="5"/>
  <c r="C383" i="5"/>
  <c r="D383" i="5"/>
  <c r="E383" i="5"/>
  <c r="F383" i="5"/>
  <c r="G383" i="5"/>
  <c r="H383" i="5"/>
  <c r="I383" i="5"/>
  <c r="J383" i="5"/>
  <c r="K383" i="5"/>
  <c r="L383" i="5"/>
  <c r="M383" i="5"/>
  <c r="N383" i="5"/>
  <c r="O383" i="5"/>
  <c r="P383" i="5"/>
  <c r="Q383" i="5"/>
  <c r="R383" i="5"/>
  <c r="S383" i="5"/>
  <c r="T383" i="5"/>
  <c r="U383" i="5"/>
  <c r="V383" i="5"/>
  <c r="W383" i="5"/>
  <c r="X383" i="5"/>
  <c r="B384" i="5"/>
  <c r="C384" i="5"/>
  <c r="D384" i="5"/>
  <c r="E384" i="5"/>
  <c r="F384" i="5"/>
  <c r="G384" i="5"/>
  <c r="H384" i="5"/>
  <c r="I384" i="5"/>
  <c r="J384" i="5"/>
  <c r="K384" i="5"/>
  <c r="L384" i="5"/>
  <c r="M384" i="5"/>
  <c r="N384" i="5"/>
  <c r="O384" i="5"/>
  <c r="P384" i="5"/>
  <c r="Q384" i="5"/>
  <c r="R384" i="5"/>
  <c r="S384" i="5"/>
  <c r="T384" i="5"/>
  <c r="U384" i="5"/>
  <c r="V384" i="5"/>
  <c r="W384" i="5"/>
  <c r="X384" i="5"/>
  <c r="B385" i="5"/>
  <c r="C385" i="5"/>
  <c r="D385" i="5"/>
  <c r="E385" i="5"/>
  <c r="F385" i="5"/>
  <c r="G385" i="5"/>
  <c r="H385" i="5"/>
  <c r="I385" i="5"/>
  <c r="J385" i="5"/>
  <c r="K385" i="5"/>
  <c r="L385" i="5"/>
  <c r="M385" i="5"/>
  <c r="N385" i="5"/>
  <c r="O385" i="5"/>
  <c r="P385" i="5"/>
  <c r="Q385" i="5"/>
  <c r="R385" i="5"/>
  <c r="S385" i="5"/>
  <c r="T385" i="5"/>
  <c r="U385" i="5"/>
  <c r="V385" i="5"/>
  <c r="W385" i="5"/>
  <c r="X385" i="5"/>
  <c r="B386" i="5"/>
  <c r="C386" i="5"/>
  <c r="D386" i="5"/>
  <c r="E386" i="5"/>
  <c r="F386" i="5"/>
  <c r="G386" i="5"/>
  <c r="H386" i="5"/>
  <c r="I386" i="5"/>
  <c r="J386" i="5"/>
  <c r="K386" i="5"/>
  <c r="L386" i="5"/>
  <c r="M386" i="5"/>
  <c r="N386" i="5"/>
  <c r="O386" i="5"/>
  <c r="P386" i="5"/>
  <c r="Q386" i="5"/>
  <c r="R386" i="5"/>
  <c r="S386" i="5"/>
  <c r="T386" i="5"/>
  <c r="U386" i="5"/>
  <c r="V386" i="5"/>
  <c r="W386" i="5"/>
  <c r="X386" i="5"/>
  <c r="B387" i="5"/>
  <c r="C387" i="5"/>
  <c r="D387" i="5"/>
  <c r="E387" i="5"/>
  <c r="F387" i="5"/>
  <c r="G387" i="5"/>
  <c r="H387" i="5"/>
  <c r="I387" i="5"/>
  <c r="J387" i="5"/>
  <c r="K387" i="5"/>
  <c r="L387" i="5"/>
  <c r="M387" i="5"/>
  <c r="N387" i="5"/>
  <c r="O387" i="5"/>
  <c r="P387" i="5"/>
  <c r="Q387" i="5"/>
  <c r="R387" i="5"/>
  <c r="S387" i="5"/>
  <c r="T387" i="5"/>
  <c r="U387" i="5"/>
  <c r="V387" i="5"/>
  <c r="W387" i="5"/>
  <c r="X387" i="5"/>
  <c r="B388" i="5"/>
  <c r="C388" i="5"/>
  <c r="D388" i="5"/>
  <c r="E388" i="5"/>
  <c r="F388" i="5"/>
  <c r="G388" i="5"/>
  <c r="H388" i="5"/>
  <c r="I388" i="5"/>
  <c r="J388" i="5"/>
  <c r="K388" i="5"/>
  <c r="L388" i="5"/>
  <c r="M388" i="5"/>
  <c r="AC388" i="5" s="1"/>
  <c r="N388" i="5"/>
  <c r="O388" i="5"/>
  <c r="P388" i="5"/>
  <c r="Q388" i="5"/>
  <c r="R388" i="5"/>
  <c r="S388" i="5"/>
  <c r="T388" i="5"/>
  <c r="U388" i="5"/>
  <c r="V388" i="5"/>
  <c r="W388" i="5"/>
  <c r="X388" i="5"/>
  <c r="B389" i="5"/>
  <c r="C389" i="5"/>
  <c r="D389" i="5"/>
  <c r="E389" i="5"/>
  <c r="F389" i="5"/>
  <c r="G389" i="5"/>
  <c r="H389" i="5"/>
  <c r="I389" i="5"/>
  <c r="J389" i="5"/>
  <c r="K389" i="5"/>
  <c r="L389" i="5"/>
  <c r="M389" i="5"/>
  <c r="N389" i="5"/>
  <c r="AC389" i="5" s="1"/>
  <c r="O389" i="5"/>
  <c r="P389" i="5"/>
  <c r="Q389" i="5"/>
  <c r="R389" i="5"/>
  <c r="S389" i="5"/>
  <c r="T389" i="5"/>
  <c r="U389" i="5"/>
  <c r="V389" i="5"/>
  <c r="W389" i="5"/>
  <c r="X389" i="5"/>
  <c r="B390" i="5"/>
  <c r="C390" i="5"/>
  <c r="D390" i="5"/>
  <c r="E390" i="5"/>
  <c r="F390" i="5"/>
  <c r="G390" i="5"/>
  <c r="H390" i="5"/>
  <c r="I390" i="5"/>
  <c r="J390" i="5"/>
  <c r="K390" i="5"/>
  <c r="L390" i="5"/>
  <c r="M390" i="5"/>
  <c r="N390" i="5"/>
  <c r="O390" i="5"/>
  <c r="P390" i="5"/>
  <c r="Q390" i="5"/>
  <c r="R390" i="5"/>
  <c r="S390" i="5"/>
  <c r="T390" i="5"/>
  <c r="U390" i="5"/>
  <c r="V390" i="5"/>
  <c r="W390" i="5"/>
  <c r="X390" i="5"/>
  <c r="B391" i="5"/>
  <c r="C391" i="5"/>
  <c r="D391" i="5"/>
  <c r="E391" i="5"/>
  <c r="F391" i="5"/>
  <c r="G391" i="5"/>
  <c r="H391" i="5"/>
  <c r="I391" i="5"/>
  <c r="J391" i="5"/>
  <c r="K391" i="5"/>
  <c r="L391" i="5"/>
  <c r="M391" i="5"/>
  <c r="N391" i="5"/>
  <c r="O391" i="5"/>
  <c r="P391" i="5"/>
  <c r="Q391" i="5"/>
  <c r="R391" i="5"/>
  <c r="S391" i="5"/>
  <c r="T391" i="5"/>
  <c r="U391" i="5"/>
  <c r="V391" i="5"/>
  <c r="W391" i="5"/>
  <c r="X391" i="5"/>
  <c r="B392" i="5"/>
  <c r="C392" i="5"/>
  <c r="D392" i="5"/>
  <c r="E392" i="5"/>
  <c r="F392" i="5"/>
  <c r="G392" i="5"/>
  <c r="H392" i="5"/>
  <c r="I392" i="5"/>
  <c r="J392" i="5"/>
  <c r="K392" i="5"/>
  <c r="L392" i="5"/>
  <c r="M392" i="5"/>
  <c r="N392" i="5"/>
  <c r="O392" i="5"/>
  <c r="P392" i="5"/>
  <c r="Q392" i="5"/>
  <c r="R392" i="5"/>
  <c r="S392" i="5"/>
  <c r="T392" i="5"/>
  <c r="U392" i="5"/>
  <c r="V392" i="5"/>
  <c r="W392" i="5"/>
  <c r="X392" i="5"/>
  <c r="B393" i="5"/>
  <c r="C393" i="5"/>
  <c r="D393" i="5"/>
  <c r="E393" i="5"/>
  <c r="F393" i="5"/>
  <c r="G393" i="5"/>
  <c r="H393" i="5"/>
  <c r="I393" i="5"/>
  <c r="J393" i="5"/>
  <c r="K393" i="5"/>
  <c r="L393" i="5"/>
  <c r="M393" i="5"/>
  <c r="N393" i="5"/>
  <c r="O393" i="5"/>
  <c r="P393" i="5"/>
  <c r="Q393" i="5"/>
  <c r="R393" i="5"/>
  <c r="S393" i="5"/>
  <c r="T393" i="5"/>
  <c r="U393" i="5"/>
  <c r="V393" i="5"/>
  <c r="W393" i="5"/>
  <c r="X393" i="5"/>
  <c r="B394" i="5"/>
  <c r="C394" i="5"/>
  <c r="D394" i="5"/>
  <c r="E394" i="5"/>
  <c r="F394" i="5"/>
  <c r="G394" i="5"/>
  <c r="H394" i="5"/>
  <c r="I394" i="5"/>
  <c r="J394" i="5"/>
  <c r="K394" i="5"/>
  <c r="L394" i="5"/>
  <c r="M394" i="5"/>
  <c r="N394" i="5"/>
  <c r="O394" i="5"/>
  <c r="P394" i="5"/>
  <c r="Q394" i="5"/>
  <c r="R394" i="5"/>
  <c r="S394" i="5"/>
  <c r="T394" i="5"/>
  <c r="U394" i="5"/>
  <c r="V394" i="5"/>
  <c r="W394" i="5"/>
  <c r="X394" i="5"/>
  <c r="B395" i="5"/>
  <c r="C395" i="5"/>
  <c r="D395" i="5"/>
  <c r="E395" i="5"/>
  <c r="F395" i="5"/>
  <c r="G395" i="5"/>
  <c r="H395" i="5"/>
  <c r="I395" i="5"/>
  <c r="J395" i="5"/>
  <c r="K395" i="5"/>
  <c r="L395" i="5"/>
  <c r="M395" i="5"/>
  <c r="N395" i="5"/>
  <c r="O395" i="5"/>
  <c r="P395" i="5"/>
  <c r="Q395" i="5"/>
  <c r="R395" i="5"/>
  <c r="S395" i="5"/>
  <c r="T395" i="5"/>
  <c r="U395" i="5"/>
  <c r="V395" i="5"/>
  <c r="W395" i="5"/>
  <c r="X395" i="5"/>
  <c r="B396" i="5"/>
  <c r="C396" i="5"/>
  <c r="D396" i="5"/>
  <c r="E396" i="5"/>
  <c r="F396" i="5"/>
  <c r="G396" i="5"/>
  <c r="H396" i="5"/>
  <c r="I396" i="5"/>
  <c r="J396" i="5"/>
  <c r="K396" i="5"/>
  <c r="L396" i="5"/>
  <c r="M396" i="5"/>
  <c r="N396" i="5"/>
  <c r="O396" i="5"/>
  <c r="P396" i="5"/>
  <c r="Q396" i="5"/>
  <c r="R396" i="5"/>
  <c r="S396" i="5"/>
  <c r="T396" i="5"/>
  <c r="U396" i="5"/>
  <c r="V396" i="5"/>
  <c r="W396" i="5"/>
  <c r="X396" i="5"/>
  <c r="B397" i="5"/>
  <c r="C397" i="5"/>
  <c r="D397" i="5"/>
  <c r="E397" i="5"/>
  <c r="F397" i="5"/>
  <c r="G397" i="5"/>
  <c r="H397" i="5"/>
  <c r="I397" i="5"/>
  <c r="J397" i="5"/>
  <c r="K397" i="5"/>
  <c r="L397" i="5"/>
  <c r="M397" i="5"/>
  <c r="N397" i="5"/>
  <c r="O397" i="5"/>
  <c r="P397" i="5"/>
  <c r="Q397" i="5"/>
  <c r="R397" i="5"/>
  <c r="S397" i="5"/>
  <c r="T397" i="5"/>
  <c r="U397" i="5"/>
  <c r="V397" i="5"/>
  <c r="W397" i="5"/>
  <c r="X397" i="5"/>
  <c r="AC397" i="5"/>
  <c r="B398" i="5"/>
  <c r="C398" i="5"/>
  <c r="D398" i="5"/>
  <c r="E398" i="5"/>
  <c r="F398" i="5"/>
  <c r="G398" i="5"/>
  <c r="H398" i="5"/>
  <c r="I398" i="5"/>
  <c r="J398" i="5"/>
  <c r="K398" i="5"/>
  <c r="L398" i="5"/>
  <c r="M398" i="5"/>
  <c r="N398" i="5"/>
  <c r="O398" i="5"/>
  <c r="P398" i="5"/>
  <c r="Q398" i="5"/>
  <c r="R398" i="5"/>
  <c r="S398" i="5"/>
  <c r="T398" i="5"/>
  <c r="U398" i="5"/>
  <c r="V398" i="5"/>
  <c r="W398" i="5"/>
  <c r="X398" i="5"/>
  <c r="B399" i="5"/>
  <c r="C399" i="5"/>
  <c r="D399" i="5"/>
  <c r="E399" i="5"/>
  <c r="F399" i="5"/>
  <c r="G399" i="5"/>
  <c r="H399" i="5"/>
  <c r="I399" i="5"/>
  <c r="J399" i="5"/>
  <c r="K399" i="5"/>
  <c r="L399" i="5"/>
  <c r="M399" i="5"/>
  <c r="N399" i="5"/>
  <c r="O399" i="5"/>
  <c r="P399" i="5"/>
  <c r="Q399" i="5"/>
  <c r="R399" i="5"/>
  <c r="S399" i="5"/>
  <c r="T399" i="5"/>
  <c r="U399" i="5"/>
  <c r="V399" i="5"/>
  <c r="W399" i="5"/>
  <c r="X399" i="5"/>
  <c r="B400" i="5"/>
  <c r="C400" i="5"/>
  <c r="D400" i="5"/>
  <c r="E400" i="5"/>
  <c r="F400" i="5"/>
  <c r="G400" i="5"/>
  <c r="H400" i="5"/>
  <c r="I400" i="5"/>
  <c r="J400" i="5"/>
  <c r="K400" i="5"/>
  <c r="L400" i="5"/>
  <c r="M400" i="5"/>
  <c r="N400" i="5"/>
  <c r="O400" i="5"/>
  <c r="P400" i="5"/>
  <c r="Q400" i="5"/>
  <c r="R400" i="5"/>
  <c r="S400" i="5"/>
  <c r="T400" i="5"/>
  <c r="U400" i="5"/>
  <c r="V400" i="5"/>
  <c r="W400" i="5"/>
  <c r="X400" i="5"/>
  <c r="B401" i="5"/>
  <c r="C401" i="5"/>
  <c r="D401" i="5"/>
  <c r="E401" i="5"/>
  <c r="F401" i="5"/>
  <c r="G401" i="5"/>
  <c r="H401" i="5"/>
  <c r="I401" i="5"/>
  <c r="J401" i="5"/>
  <c r="K401" i="5"/>
  <c r="L401" i="5"/>
  <c r="M401" i="5"/>
  <c r="N401" i="5"/>
  <c r="O401" i="5"/>
  <c r="P401" i="5"/>
  <c r="Q401" i="5"/>
  <c r="R401" i="5"/>
  <c r="S401" i="5"/>
  <c r="T401" i="5"/>
  <c r="U401" i="5"/>
  <c r="V401" i="5"/>
  <c r="W401" i="5"/>
  <c r="X401" i="5"/>
  <c r="B402" i="5"/>
  <c r="C402" i="5"/>
  <c r="D402" i="5"/>
  <c r="E402" i="5"/>
  <c r="F402" i="5"/>
  <c r="G402" i="5"/>
  <c r="H402" i="5"/>
  <c r="I402" i="5"/>
  <c r="J402" i="5"/>
  <c r="K402" i="5"/>
  <c r="L402" i="5"/>
  <c r="M402" i="5"/>
  <c r="AC402" i="5" s="1"/>
  <c r="N402" i="5"/>
  <c r="O402" i="5"/>
  <c r="P402" i="5"/>
  <c r="Q402" i="5"/>
  <c r="R402" i="5"/>
  <c r="S402" i="5"/>
  <c r="T402" i="5"/>
  <c r="U402" i="5"/>
  <c r="V402" i="5"/>
  <c r="W402" i="5"/>
  <c r="X402" i="5"/>
  <c r="B403" i="5"/>
  <c r="C403" i="5"/>
  <c r="D403" i="5"/>
  <c r="E403" i="5"/>
  <c r="F403" i="5"/>
  <c r="G403" i="5"/>
  <c r="H403" i="5"/>
  <c r="I403" i="5"/>
  <c r="J403" i="5"/>
  <c r="K403" i="5"/>
  <c r="L403" i="5"/>
  <c r="M403" i="5"/>
  <c r="N403" i="5"/>
  <c r="AC403" i="5" s="1"/>
  <c r="O403" i="5"/>
  <c r="P403" i="5"/>
  <c r="Q403" i="5"/>
  <c r="R403" i="5"/>
  <c r="S403" i="5"/>
  <c r="T403" i="5"/>
  <c r="U403" i="5"/>
  <c r="V403" i="5"/>
  <c r="W403" i="5"/>
  <c r="X403" i="5"/>
  <c r="B404" i="5"/>
  <c r="C404" i="5"/>
  <c r="D404" i="5"/>
  <c r="E404" i="5"/>
  <c r="F404" i="5"/>
  <c r="G404" i="5"/>
  <c r="H404" i="5"/>
  <c r="I404" i="5"/>
  <c r="J404" i="5"/>
  <c r="K404" i="5"/>
  <c r="L404" i="5"/>
  <c r="M404" i="5"/>
  <c r="N404" i="5"/>
  <c r="O404" i="5"/>
  <c r="P404" i="5"/>
  <c r="Q404" i="5"/>
  <c r="R404" i="5"/>
  <c r="S404" i="5"/>
  <c r="T404" i="5"/>
  <c r="U404" i="5"/>
  <c r="V404" i="5"/>
  <c r="W404" i="5"/>
  <c r="X404" i="5"/>
  <c r="B405" i="5"/>
  <c r="C405" i="5"/>
  <c r="D405" i="5"/>
  <c r="E405" i="5"/>
  <c r="F405" i="5"/>
  <c r="G405" i="5"/>
  <c r="H405" i="5"/>
  <c r="I405" i="5"/>
  <c r="J405" i="5"/>
  <c r="K405" i="5"/>
  <c r="L405" i="5"/>
  <c r="M405" i="5"/>
  <c r="N405" i="5"/>
  <c r="O405" i="5"/>
  <c r="P405" i="5"/>
  <c r="AC405" i="5" s="1"/>
  <c r="Q405" i="5"/>
  <c r="R405" i="5"/>
  <c r="S405" i="5"/>
  <c r="T405" i="5"/>
  <c r="U405" i="5"/>
  <c r="V405" i="5"/>
  <c r="W405" i="5"/>
  <c r="X405" i="5"/>
  <c r="B406" i="5"/>
  <c r="C406" i="5"/>
  <c r="D406" i="5"/>
  <c r="E406" i="5"/>
  <c r="F406" i="5"/>
  <c r="G406" i="5"/>
  <c r="H406" i="5"/>
  <c r="I406" i="5"/>
  <c r="J406" i="5"/>
  <c r="K406" i="5"/>
  <c r="L406" i="5"/>
  <c r="M406" i="5"/>
  <c r="N406" i="5"/>
  <c r="O406" i="5"/>
  <c r="P406" i="5"/>
  <c r="Q406" i="5"/>
  <c r="R406" i="5"/>
  <c r="S406" i="5"/>
  <c r="T406" i="5"/>
  <c r="U406" i="5"/>
  <c r="V406" i="5"/>
  <c r="W406" i="5"/>
  <c r="X406" i="5"/>
  <c r="B407" i="5"/>
  <c r="C407" i="5"/>
  <c r="D407" i="5"/>
  <c r="E407" i="5"/>
  <c r="F407" i="5"/>
  <c r="G407" i="5"/>
  <c r="H407" i="5"/>
  <c r="I407" i="5"/>
  <c r="J407" i="5"/>
  <c r="K407" i="5"/>
  <c r="L407" i="5"/>
  <c r="M407" i="5"/>
  <c r="N407" i="5"/>
  <c r="O407" i="5"/>
  <c r="P407" i="5"/>
  <c r="Q407" i="5"/>
  <c r="R407" i="5"/>
  <c r="S407" i="5"/>
  <c r="T407" i="5"/>
  <c r="U407" i="5"/>
  <c r="V407" i="5"/>
  <c r="W407" i="5"/>
  <c r="X407" i="5"/>
  <c r="B408" i="5"/>
  <c r="C408" i="5"/>
  <c r="D408" i="5"/>
  <c r="E408" i="5"/>
  <c r="F408" i="5"/>
  <c r="G408" i="5"/>
  <c r="H408" i="5"/>
  <c r="I408" i="5"/>
  <c r="J408" i="5"/>
  <c r="K408" i="5"/>
  <c r="L408" i="5"/>
  <c r="M408" i="5"/>
  <c r="N408" i="5"/>
  <c r="O408" i="5"/>
  <c r="P408" i="5"/>
  <c r="Q408" i="5"/>
  <c r="R408" i="5"/>
  <c r="S408" i="5"/>
  <c r="T408" i="5"/>
  <c r="U408" i="5"/>
  <c r="V408" i="5"/>
  <c r="W408" i="5"/>
  <c r="X408" i="5"/>
  <c r="B409" i="5"/>
  <c r="C409" i="5"/>
  <c r="D409" i="5"/>
  <c r="E409" i="5"/>
  <c r="F409" i="5"/>
  <c r="G409" i="5"/>
  <c r="H409" i="5"/>
  <c r="I409" i="5"/>
  <c r="J409" i="5"/>
  <c r="K409" i="5"/>
  <c r="L409" i="5"/>
  <c r="M409" i="5"/>
  <c r="N409" i="5"/>
  <c r="O409" i="5"/>
  <c r="P409" i="5"/>
  <c r="Q409" i="5"/>
  <c r="R409" i="5"/>
  <c r="S409" i="5"/>
  <c r="T409" i="5"/>
  <c r="U409" i="5"/>
  <c r="V409" i="5"/>
  <c r="W409" i="5"/>
  <c r="X409" i="5"/>
  <c r="B410" i="5"/>
  <c r="C410" i="5"/>
  <c r="D410" i="5"/>
  <c r="E410" i="5"/>
  <c r="F410" i="5"/>
  <c r="G410" i="5"/>
  <c r="H410" i="5"/>
  <c r="I410" i="5"/>
  <c r="J410" i="5"/>
  <c r="K410" i="5"/>
  <c r="L410" i="5"/>
  <c r="M410" i="5"/>
  <c r="N410" i="5"/>
  <c r="O410" i="5"/>
  <c r="P410" i="5"/>
  <c r="Q410" i="5"/>
  <c r="R410" i="5"/>
  <c r="S410" i="5"/>
  <c r="T410" i="5"/>
  <c r="U410" i="5"/>
  <c r="V410" i="5"/>
  <c r="W410" i="5"/>
  <c r="X410" i="5"/>
  <c r="B411" i="5"/>
  <c r="C411" i="5"/>
  <c r="D411" i="5"/>
  <c r="E411" i="5"/>
  <c r="F411" i="5"/>
  <c r="G411" i="5"/>
  <c r="H411" i="5"/>
  <c r="I411" i="5"/>
  <c r="J411" i="5"/>
  <c r="K411" i="5"/>
  <c r="L411" i="5"/>
  <c r="M411" i="5"/>
  <c r="N411" i="5"/>
  <c r="O411" i="5"/>
  <c r="P411" i="5"/>
  <c r="Q411" i="5"/>
  <c r="R411" i="5"/>
  <c r="S411" i="5"/>
  <c r="T411" i="5"/>
  <c r="U411" i="5"/>
  <c r="V411" i="5"/>
  <c r="W411" i="5"/>
  <c r="X411" i="5"/>
  <c r="B412" i="5"/>
  <c r="C412" i="5"/>
  <c r="D412" i="5"/>
  <c r="E412" i="5"/>
  <c r="F412" i="5"/>
  <c r="G412" i="5"/>
  <c r="H412" i="5"/>
  <c r="I412" i="5"/>
  <c r="J412" i="5"/>
  <c r="K412" i="5"/>
  <c r="L412" i="5"/>
  <c r="M412" i="5"/>
  <c r="N412" i="5"/>
  <c r="O412" i="5"/>
  <c r="P412" i="5"/>
  <c r="Q412" i="5"/>
  <c r="R412" i="5"/>
  <c r="S412" i="5"/>
  <c r="T412" i="5"/>
  <c r="U412" i="5"/>
  <c r="V412" i="5"/>
  <c r="W412" i="5"/>
  <c r="X412" i="5"/>
  <c r="B413" i="5"/>
  <c r="C413" i="5"/>
  <c r="D413" i="5"/>
  <c r="E413" i="5"/>
  <c r="F413" i="5"/>
  <c r="G413" i="5"/>
  <c r="H413" i="5"/>
  <c r="I413" i="5"/>
  <c r="J413" i="5"/>
  <c r="K413" i="5"/>
  <c r="L413" i="5"/>
  <c r="M413" i="5"/>
  <c r="N413" i="5"/>
  <c r="O413" i="5"/>
  <c r="AC413" i="5" s="1"/>
  <c r="P413" i="5"/>
  <c r="Q413" i="5"/>
  <c r="R413" i="5"/>
  <c r="S413" i="5"/>
  <c r="T413" i="5"/>
  <c r="U413" i="5"/>
  <c r="V413" i="5"/>
  <c r="W413" i="5"/>
  <c r="X413" i="5"/>
  <c r="B414" i="5"/>
  <c r="C414" i="5"/>
  <c r="D414" i="5"/>
  <c r="E414" i="5"/>
  <c r="F414" i="5"/>
  <c r="G414" i="5"/>
  <c r="H414" i="5"/>
  <c r="I414" i="5"/>
  <c r="J414" i="5"/>
  <c r="K414" i="5"/>
  <c r="L414" i="5"/>
  <c r="M414" i="5"/>
  <c r="N414" i="5"/>
  <c r="O414" i="5"/>
  <c r="P414" i="5"/>
  <c r="Q414" i="5"/>
  <c r="R414" i="5"/>
  <c r="S414" i="5"/>
  <c r="T414" i="5"/>
  <c r="U414" i="5"/>
  <c r="V414" i="5"/>
  <c r="W414" i="5"/>
  <c r="X414" i="5"/>
  <c r="B415" i="5"/>
  <c r="C415" i="5"/>
  <c r="D415" i="5"/>
  <c r="E415" i="5"/>
  <c r="F415" i="5"/>
  <c r="G415" i="5"/>
  <c r="H415" i="5"/>
  <c r="I415" i="5"/>
  <c r="J415" i="5"/>
  <c r="K415" i="5"/>
  <c r="L415" i="5"/>
  <c r="M415" i="5"/>
  <c r="N415" i="5"/>
  <c r="O415" i="5"/>
  <c r="P415" i="5"/>
  <c r="Q415" i="5"/>
  <c r="R415" i="5"/>
  <c r="S415" i="5"/>
  <c r="T415" i="5"/>
  <c r="U415" i="5"/>
  <c r="V415" i="5"/>
  <c r="W415" i="5"/>
  <c r="X415" i="5"/>
  <c r="B416" i="5"/>
  <c r="C416" i="5"/>
  <c r="D416" i="5"/>
  <c r="E416" i="5"/>
  <c r="F416" i="5"/>
  <c r="G416" i="5"/>
  <c r="H416" i="5"/>
  <c r="I416" i="5"/>
  <c r="J416" i="5"/>
  <c r="K416" i="5"/>
  <c r="L416" i="5"/>
  <c r="M416" i="5"/>
  <c r="N416" i="5"/>
  <c r="O416" i="5"/>
  <c r="P416" i="5"/>
  <c r="Q416" i="5"/>
  <c r="R416" i="5"/>
  <c r="S416" i="5"/>
  <c r="T416" i="5"/>
  <c r="U416" i="5"/>
  <c r="V416" i="5"/>
  <c r="W416" i="5"/>
  <c r="X416" i="5"/>
  <c r="B417" i="5"/>
  <c r="C417" i="5"/>
  <c r="D417" i="5"/>
  <c r="E417" i="5"/>
  <c r="F417" i="5"/>
  <c r="G417" i="5"/>
  <c r="H417" i="5"/>
  <c r="I417" i="5"/>
  <c r="J417" i="5"/>
  <c r="K417" i="5"/>
  <c r="L417" i="5"/>
  <c r="M417" i="5"/>
  <c r="N417" i="5"/>
  <c r="O417" i="5"/>
  <c r="P417" i="5"/>
  <c r="Q417" i="5"/>
  <c r="R417" i="5"/>
  <c r="S417" i="5"/>
  <c r="T417" i="5"/>
  <c r="U417" i="5"/>
  <c r="V417" i="5"/>
  <c r="W417" i="5"/>
  <c r="X417" i="5"/>
  <c r="B418" i="5"/>
  <c r="C418" i="5"/>
  <c r="D418" i="5"/>
  <c r="E418" i="5"/>
  <c r="F418" i="5"/>
  <c r="G418" i="5"/>
  <c r="H418" i="5"/>
  <c r="I418" i="5"/>
  <c r="J418" i="5"/>
  <c r="K418" i="5"/>
  <c r="L418" i="5"/>
  <c r="M418" i="5"/>
  <c r="N418" i="5"/>
  <c r="O418" i="5"/>
  <c r="P418" i="5"/>
  <c r="Q418" i="5"/>
  <c r="R418" i="5"/>
  <c r="S418" i="5"/>
  <c r="T418" i="5"/>
  <c r="U418" i="5"/>
  <c r="V418" i="5"/>
  <c r="W418" i="5"/>
  <c r="X418" i="5"/>
  <c r="B419" i="5"/>
  <c r="C419" i="5"/>
  <c r="D419" i="5"/>
  <c r="E419" i="5"/>
  <c r="F419" i="5"/>
  <c r="G419" i="5"/>
  <c r="H419" i="5"/>
  <c r="I419" i="5"/>
  <c r="J419" i="5"/>
  <c r="K419" i="5"/>
  <c r="L419" i="5"/>
  <c r="M419" i="5"/>
  <c r="N419" i="5"/>
  <c r="O419" i="5"/>
  <c r="P419" i="5"/>
  <c r="Q419" i="5"/>
  <c r="R419" i="5"/>
  <c r="S419" i="5"/>
  <c r="T419" i="5"/>
  <c r="U419" i="5"/>
  <c r="V419" i="5"/>
  <c r="W419" i="5"/>
  <c r="X419" i="5"/>
  <c r="B420" i="5"/>
  <c r="C420" i="5"/>
  <c r="D420" i="5"/>
  <c r="E420" i="5"/>
  <c r="F420" i="5"/>
  <c r="G420" i="5"/>
  <c r="H420" i="5"/>
  <c r="I420" i="5"/>
  <c r="J420" i="5"/>
  <c r="K420" i="5"/>
  <c r="L420" i="5"/>
  <c r="M420" i="5"/>
  <c r="AC420" i="5" s="1"/>
  <c r="N420" i="5"/>
  <c r="O420" i="5"/>
  <c r="P420" i="5"/>
  <c r="Q420" i="5"/>
  <c r="R420" i="5"/>
  <c r="S420" i="5"/>
  <c r="T420" i="5"/>
  <c r="U420" i="5"/>
  <c r="V420" i="5"/>
  <c r="W420" i="5"/>
  <c r="X420" i="5"/>
  <c r="B421" i="5"/>
  <c r="C421" i="5"/>
  <c r="D421" i="5"/>
  <c r="E421" i="5"/>
  <c r="F421" i="5"/>
  <c r="G421" i="5"/>
  <c r="H421" i="5"/>
  <c r="I421" i="5"/>
  <c r="J421" i="5"/>
  <c r="K421" i="5"/>
  <c r="L421" i="5"/>
  <c r="M421" i="5"/>
  <c r="N421" i="5"/>
  <c r="AC421" i="5" s="1"/>
  <c r="O421" i="5"/>
  <c r="P421" i="5"/>
  <c r="Q421" i="5"/>
  <c r="R421" i="5"/>
  <c r="S421" i="5"/>
  <c r="T421" i="5"/>
  <c r="U421" i="5"/>
  <c r="V421" i="5"/>
  <c r="W421" i="5"/>
  <c r="X421" i="5"/>
  <c r="B422" i="5"/>
  <c r="C422" i="5"/>
  <c r="D422" i="5"/>
  <c r="E422" i="5"/>
  <c r="F422" i="5"/>
  <c r="G422" i="5"/>
  <c r="H422" i="5"/>
  <c r="I422" i="5"/>
  <c r="J422" i="5"/>
  <c r="K422" i="5"/>
  <c r="L422" i="5"/>
  <c r="M422" i="5"/>
  <c r="N422" i="5"/>
  <c r="O422" i="5"/>
  <c r="P422" i="5"/>
  <c r="Q422" i="5"/>
  <c r="R422" i="5"/>
  <c r="S422" i="5"/>
  <c r="T422" i="5"/>
  <c r="U422" i="5"/>
  <c r="V422" i="5"/>
  <c r="W422" i="5"/>
  <c r="X422" i="5"/>
  <c r="B423" i="5"/>
  <c r="C423" i="5"/>
  <c r="D423" i="5"/>
  <c r="E423" i="5"/>
  <c r="F423" i="5"/>
  <c r="G423" i="5"/>
  <c r="H423" i="5"/>
  <c r="I423" i="5"/>
  <c r="J423" i="5"/>
  <c r="K423" i="5"/>
  <c r="L423" i="5"/>
  <c r="M423" i="5"/>
  <c r="N423" i="5"/>
  <c r="O423" i="5"/>
  <c r="P423" i="5"/>
  <c r="Q423" i="5"/>
  <c r="R423" i="5"/>
  <c r="S423" i="5"/>
  <c r="T423" i="5"/>
  <c r="U423" i="5"/>
  <c r="V423" i="5"/>
  <c r="W423" i="5"/>
  <c r="X423" i="5"/>
  <c r="B424" i="5"/>
  <c r="C424" i="5"/>
  <c r="D424" i="5"/>
  <c r="E424" i="5"/>
  <c r="F424" i="5"/>
  <c r="G424" i="5"/>
  <c r="H424" i="5"/>
  <c r="I424" i="5"/>
  <c r="J424" i="5"/>
  <c r="K424" i="5"/>
  <c r="L424" i="5"/>
  <c r="M424" i="5"/>
  <c r="N424" i="5"/>
  <c r="O424" i="5"/>
  <c r="P424" i="5"/>
  <c r="Q424" i="5"/>
  <c r="R424" i="5"/>
  <c r="S424" i="5"/>
  <c r="T424" i="5"/>
  <c r="U424" i="5"/>
  <c r="V424" i="5"/>
  <c r="W424" i="5"/>
  <c r="X424" i="5"/>
  <c r="B425" i="5"/>
  <c r="C425" i="5"/>
  <c r="D425" i="5"/>
  <c r="E425" i="5"/>
  <c r="F425" i="5"/>
  <c r="G425" i="5"/>
  <c r="H425" i="5"/>
  <c r="I425" i="5"/>
  <c r="J425" i="5"/>
  <c r="K425" i="5"/>
  <c r="L425" i="5"/>
  <c r="M425" i="5"/>
  <c r="N425" i="5"/>
  <c r="O425" i="5"/>
  <c r="P425" i="5"/>
  <c r="Q425" i="5"/>
  <c r="R425" i="5"/>
  <c r="S425" i="5"/>
  <c r="T425" i="5"/>
  <c r="U425" i="5"/>
  <c r="V425" i="5"/>
  <c r="W425" i="5"/>
  <c r="X425" i="5"/>
  <c r="B426" i="5"/>
  <c r="C426" i="5"/>
  <c r="D426" i="5"/>
  <c r="E426" i="5"/>
  <c r="F426" i="5"/>
  <c r="G426" i="5"/>
  <c r="H426" i="5"/>
  <c r="I426" i="5"/>
  <c r="J426" i="5"/>
  <c r="K426" i="5"/>
  <c r="L426" i="5"/>
  <c r="M426" i="5"/>
  <c r="N426" i="5"/>
  <c r="O426" i="5"/>
  <c r="P426" i="5"/>
  <c r="Q426" i="5"/>
  <c r="R426" i="5"/>
  <c r="S426" i="5"/>
  <c r="T426" i="5"/>
  <c r="U426" i="5"/>
  <c r="V426" i="5"/>
  <c r="W426" i="5"/>
  <c r="X426" i="5"/>
  <c r="B427" i="5"/>
  <c r="C427" i="5"/>
  <c r="D427" i="5"/>
  <c r="E427" i="5"/>
  <c r="F427" i="5"/>
  <c r="G427" i="5"/>
  <c r="H427" i="5"/>
  <c r="I427" i="5"/>
  <c r="J427" i="5"/>
  <c r="K427" i="5"/>
  <c r="L427" i="5"/>
  <c r="M427" i="5"/>
  <c r="N427" i="5"/>
  <c r="O427" i="5"/>
  <c r="P427" i="5"/>
  <c r="Q427" i="5"/>
  <c r="R427" i="5"/>
  <c r="S427" i="5"/>
  <c r="T427" i="5"/>
  <c r="U427" i="5"/>
  <c r="V427" i="5"/>
  <c r="W427" i="5"/>
  <c r="X427" i="5"/>
  <c r="B428" i="5"/>
  <c r="C428" i="5"/>
  <c r="D428" i="5"/>
  <c r="E428" i="5"/>
  <c r="F428" i="5"/>
  <c r="G428" i="5"/>
  <c r="H428" i="5"/>
  <c r="I428" i="5"/>
  <c r="J428" i="5"/>
  <c r="K428" i="5"/>
  <c r="L428" i="5"/>
  <c r="M428" i="5"/>
  <c r="N428" i="5"/>
  <c r="O428" i="5"/>
  <c r="P428" i="5"/>
  <c r="Q428" i="5"/>
  <c r="R428" i="5"/>
  <c r="S428" i="5"/>
  <c r="T428" i="5"/>
  <c r="U428" i="5"/>
  <c r="V428" i="5"/>
  <c r="W428" i="5"/>
  <c r="X428" i="5"/>
  <c r="B429" i="5"/>
  <c r="C429" i="5"/>
  <c r="D429" i="5"/>
  <c r="E429" i="5"/>
  <c r="F429" i="5"/>
  <c r="G429" i="5"/>
  <c r="H429" i="5"/>
  <c r="I429" i="5"/>
  <c r="J429" i="5"/>
  <c r="K429" i="5"/>
  <c r="L429" i="5"/>
  <c r="M429" i="5"/>
  <c r="N429" i="5"/>
  <c r="O429" i="5"/>
  <c r="P429" i="5"/>
  <c r="Q429" i="5"/>
  <c r="R429" i="5"/>
  <c r="S429" i="5"/>
  <c r="T429" i="5"/>
  <c r="U429" i="5"/>
  <c r="V429" i="5"/>
  <c r="W429" i="5"/>
  <c r="X429" i="5"/>
  <c r="AC429" i="5"/>
  <c r="B430" i="5"/>
  <c r="C430" i="5"/>
  <c r="D430" i="5"/>
  <c r="E430" i="5"/>
  <c r="F430" i="5"/>
  <c r="G430" i="5"/>
  <c r="H430" i="5"/>
  <c r="I430" i="5"/>
  <c r="J430" i="5"/>
  <c r="K430" i="5"/>
  <c r="L430" i="5"/>
  <c r="M430" i="5"/>
  <c r="N430" i="5"/>
  <c r="O430" i="5"/>
  <c r="P430" i="5"/>
  <c r="Q430" i="5"/>
  <c r="R430" i="5"/>
  <c r="S430" i="5"/>
  <c r="T430" i="5"/>
  <c r="U430" i="5"/>
  <c r="V430" i="5"/>
  <c r="W430" i="5"/>
  <c r="X430" i="5"/>
  <c r="B431" i="5"/>
  <c r="C431" i="5"/>
  <c r="D431" i="5"/>
  <c r="E431" i="5"/>
  <c r="F431" i="5"/>
  <c r="G431" i="5"/>
  <c r="H431" i="5"/>
  <c r="I431" i="5"/>
  <c r="J431" i="5"/>
  <c r="K431" i="5"/>
  <c r="L431" i="5"/>
  <c r="M431" i="5"/>
  <c r="N431" i="5"/>
  <c r="AC431" i="5" s="1"/>
  <c r="O431" i="5"/>
  <c r="P431" i="5"/>
  <c r="Q431" i="5"/>
  <c r="R431" i="5"/>
  <c r="S431" i="5"/>
  <c r="T431" i="5"/>
  <c r="U431" i="5"/>
  <c r="V431" i="5"/>
  <c r="W431" i="5"/>
  <c r="X431" i="5"/>
  <c r="B432" i="5"/>
  <c r="C432" i="5"/>
  <c r="D432" i="5"/>
  <c r="E432" i="5"/>
  <c r="F432" i="5"/>
  <c r="G432" i="5"/>
  <c r="H432" i="5"/>
  <c r="I432" i="5"/>
  <c r="J432" i="5"/>
  <c r="K432" i="5"/>
  <c r="L432" i="5"/>
  <c r="M432" i="5"/>
  <c r="N432" i="5"/>
  <c r="O432" i="5"/>
  <c r="P432" i="5"/>
  <c r="Q432" i="5"/>
  <c r="R432" i="5"/>
  <c r="S432" i="5"/>
  <c r="T432" i="5"/>
  <c r="U432" i="5"/>
  <c r="V432" i="5"/>
  <c r="W432" i="5"/>
  <c r="X432" i="5"/>
  <c r="B433" i="5"/>
  <c r="C433" i="5"/>
  <c r="D433" i="5"/>
  <c r="E433" i="5"/>
  <c r="F433" i="5"/>
  <c r="G433" i="5"/>
  <c r="H433" i="5"/>
  <c r="I433" i="5"/>
  <c r="J433" i="5"/>
  <c r="K433" i="5"/>
  <c r="L433" i="5"/>
  <c r="M433" i="5"/>
  <c r="N433" i="5"/>
  <c r="O433" i="5"/>
  <c r="P433" i="5"/>
  <c r="Q433" i="5"/>
  <c r="R433" i="5"/>
  <c r="S433" i="5"/>
  <c r="T433" i="5"/>
  <c r="U433" i="5"/>
  <c r="V433" i="5"/>
  <c r="W433" i="5"/>
  <c r="X433" i="5"/>
  <c r="B434" i="5"/>
  <c r="C434" i="5"/>
  <c r="D434" i="5"/>
  <c r="E434" i="5"/>
  <c r="F434" i="5"/>
  <c r="G434" i="5"/>
  <c r="H434" i="5"/>
  <c r="I434" i="5"/>
  <c r="J434" i="5"/>
  <c r="K434" i="5"/>
  <c r="L434" i="5"/>
  <c r="M434" i="5"/>
  <c r="N434" i="5"/>
  <c r="O434" i="5"/>
  <c r="P434" i="5"/>
  <c r="Q434" i="5"/>
  <c r="R434" i="5"/>
  <c r="S434" i="5"/>
  <c r="T434" i="5"/>
  <c r="U434" i="5"/>
  <c r="V434" i="5"/>
  <c r="W434" i="5"/>
  <c r="X434" i="5"/>
  <c r="B435" i="5"/>
  <c r="C435" i="5"/>
  <c r="D435" i="5"/>
  <c r="E435" i="5"/>
  <c r="F435" i="5"/>
  <c r="G435" i="5"/>
  <c r="H435" i="5"/>
  <c r="I435" i="5"/>
  <c r="J435" i="5"/>
  <c r="K435" i="5"/>
  <c r="L435" i="5"/>
  <c r="M435" i="5"/>
  <c r="N435" i="5"/>
  <c r="AC435" i="5" s="1"/>
  <c r="O435" i="5"/>
  <c r="P435" i="5"/>
  <c r="Q435" i="5"/>
  <c r="R435" i="5"/>
  <c r="S435" i="5"/>
  <c r="T435" i="5"/>
  <c r="U435" i="5"/>
  <c r="V435" i="5"/>
  <c r="W435" i="5"/>
  <c r="X435" i="5"/>
  <c r="B436" i="5"/>
  <c r="C436" i="5"/>
  <c r="D436" i="5"/>
  <c r="E436" i="5"/>
  <c r="F436" i="5"/>
  <c r="G436" i="5"/>
  <c r="H436" i="5"/>
  <c r="I436" i="5"/>
  <c r="J436" i="5"/>
  <c r="K436" i="5"/>
  <c r="L436" i="5"/>
  <c r="M436" i="5"/>
  <c r="N436" i="5"/>
  <c r="O436" i="5"/>
  <c r="P436" i="5"/>
  <c r="Q436" i="5"/>
  <c r="R436" i="5"/>
  <c r="S436" i="5"/>
  <c r="T436" i="5"/>
  <c r="U436" i="5"/>
  <c r="V436" i="5"/>
  <c r="W436" i="5"/>
  <c r="X436" i="5"/>
  <c r="B437" i="5"/>
  <c r="C437" i="5"/>
  <c r="D437" i="5"/>
  <c r="E437" i="5"/>
  <c r="F437" i="5"/>
  <c r="G437" i="5"/>
  <c r="H437" i="5"/>
  <c r="I437" i="5"/>
  <c r="J437" i="5"/>
  <c r="K437" i="5"/>
  <c r="L437" i="5"/>
  <c r="M437" i="5"/>
  <c r="N437" i="5"/>
  <c r="O437" i="5"/>
  <c r="P437" i="5"/>
  <c r="AC437" i="5" s="1"/>
  <c r="Q437" i="5"/>
  <c r="R437" i="5"/>
  <c r="S437" i="5"/>
  <c r="T437" i="5"/>
  <c r="U437" i="5"/>
  <c r="V437" i="5"/>
  <c r="W437" i="5"/>
  <c r="X437" i="5"/>
  <c r="B438" i="5"/>
  <c r="C438" i="5"/>
  <c r="D438" i="5"/>
  <c r="E438" i="5"/>
  <c r="F438" i="5"/>
  <c r="G438" i="5"/>
  <c r="H438" i="5"/>
  <c r="I438" i="5"/>
  <c r="J438" i="5"/>
  <c r="K438" i="5"/>
  <c r="L438" i="5"/>
  <c r="M438" i="5"/>
  <c r="N438" i="5"/>
  <c r="O438" i="5"/>
  <c r="P438" i="5"/>
  <c r="Q438" i="5"/>
  <c r="R438" i="5"/>
  <c r="S438" i="5"/>
  <c r="T438" i="5"/>
  <c r="U438" i="5"/>
  <c r="V438" i="5"/>
  <c r="W438" i="5"/>
  <c r="X438" i="5"/>
  <c r="B439" i="5"/>
  <c r="C439" i="5"/>
  <c r="D439" i="5"/>
  <c r="E439" i="5"/>
  <c r="F439" i="5"/>
  <c r="G439" i="5"/>
  <c r="H439" i="5"/>
  <c r="I439" i="5"/>
  <c r="J439" i="5"/>
  <c r="K439" i="5"/>
  <c r="L439" i="5"/>
  <c r="M439" i="5"/>
  <c r="N439" i="5"/>
  <c r="O439" i="5"/>
  <c r="P439" i="5"/>
  <c r="Q439" i="5"/>
  <c r="R439" i="5"/>
  <c r="S439" i="5"/>
  <c r="T439" i="5"/>
  <c r="U439" i="5"/>
  <c r="V439" i="5"/>
  <c r="W439" i="5"/>
  <c r="X439" i="5"/>
  <c r="B440" i="5"/>
  <c r="C440" i="5"/>
  <c r="D440" i="5"/>
  <c r="E440" i="5"/>
  <c r="F440" i="5"/>
  <c r="G440" i="5"/>
  <c r="H440" i="5"/>
  <c r="I440" i="5"/>
  <c r="J440" i="5"/>
  <c r="K440" i="5"/>
  <c r="L440" i="5"/>
  <c r="M440" i="5"/>
  <c r="N440" i="5"/>
  <c r="O440" i="5"/>
  <c r="P440" i="5"/>
  <c r="Q440" i="5"/>
  <c r="R440" i="5"/>
  <c r="S440" i="5"/>
  <c r="T440" i="5"/>
  <c r="U440" i="5"/>
  <c r="V440" i="5"/>
  <c r="W440" i="5"/>
  <c r="X440" i="5"/>
  <c r="B441" i="5"/>
  <c r="C441" i="5"/>
  <c r="D441" i="5"/>
  <c r="E441" i="5"/>
  <c r="F441" i="5"/>
  <c r="G441" i="5"/>
  <c r="H441" i="5"/>
  <c r="I441" i="5"/>
  <c r="J441" i="5"/>
  <c r="K441" i="5"/>
  <c r="L441" i="5"/>
  <c r="M441" i="5"/>
  <c r="N441" i="5"/>
  <c r="O441" i="5"/>
  <c r="P441" i="5"/>
  <c r="Q441" i="5"/>
  <c r="R441" i="5"/>
  <c r="S441" i="5"/>
  <c r="T441" i="5"/>
  <c r="U441" i="5"/>
  <c r="V441" i="5"/>
  <c r="W441" i="5"/>
  <c r="X441" i="5"/>
  <c r="B442" i="5"/>
  <c r="C442" i="5"/>
  <c r="D442" i="5"/>
  <c r="E442" i="5"/>
  <c r="F442" i="5"/>
  <c r="G442" i="5"/>
  <c r="H442" i="5"/>
  <c r="I442" i="5"/>
  <c r="J442" i="5"/>
  <c r="K442" i="5"/>
  <c r="L442" i="5"/>
  <c r="M442" i="5"/>
  <c r="N442" i="5"/>
  <c r="O442" i="5"/>
  <c r="P442" i="5"/>
  <c r="Q442" i="5"/>
  <c r="R442" i="5"/>
  <c r="S442" i="5"/>
  <c r="T442" i="5"/>
  <c r="U442" i="5"/>
  <c r="V442" i="5"/>
  <c r="W442" i="5"/>
  <c r="X442" i="5"/>
  <c r="B443" i="5"/>
  <c r="C443" i="5"/>
  <c r="D443" i="5"/>
  <c r="E443" i="5"/>
  <c r="F443" i="5"/>
  <c r="G443" i="5"/>
  <c r="H443" i="5"/>
  <c r="I443" i="5"/>
  <c r="J443" i="5"/>
  <c r="K443" i="5"/>
  <c r="L443" i="5"/>
  <c r="M443" i="5"/>
  <c r="N443" i="5"/>
  <c r="O443" i="5"/>
  <c r="P443" i="5"/>
  <c r="Q443" i="5"/>
  <c r="R443" i="5"/>
  <c r="S443" i="5"/>
  <c r="T443" i="5"/>
  <c r="U443" i="5"/>
  <c r="V443" i="5"/>
  <c r="W443" i="5"/>
  <c r="X443" i="5"/>
  <c r="B444" i="5"/>
  <c r="C444" i="5"/>
  <c r="D444" i="5"/>
  <c r="E444" i="5"/>
  <c r="F444" i="5"/>
  <c r="G444" i="5"/>
  <c r="H444" i="5"/>
  <c r="I444" i="5"/>
  <c r="J444" i="5"/>
  <c r="K444" i="5"/>
  <c r="L444" i="5"/>
  <c r="M444" i="5"/>
  <c r="N444" i="5"/>
  <c r="O444" i="5"/>
  <c r="P444" i="5"/>
  <c r="Q444" i="5"/>
  <c r="R444" i="5"/>
  <c r="S444" i="5"/>
  <c r="T444" i="5"/>
  <c r="U444" i="5"/>
  <c r="V444" i="5"/>
  <c r="W444" i="5"/>
  <c r="X444" i="5"/>
  <c r="B445" i="5"/>
  <c r="C445" i="5"/>
  <c r="D445" i="5"/>
  <c r="E445" i="5"/>
  <c r="F445" i="5"/>
  <c r="G445" i="5"/>
  <c r="H445" i="5"/>
  <c r="I445" i="5"/>
  <c r="J445" i="5"/>
  <c r="K445" i="5"/>
  <c r="L445" i="5"/>
  <c r="M445" i="5"/>
  <c r="N445" i="5"/>
  <c r="AC445" i="5" s="1"/>
  <c r="O445" i="5"/>
  <c r="P445" i="5"/>
  <c r="Q445" i="5"/>
  <c r="R445" i="5"/>
  <c r="S445" i="5"/>
  <c r="T445" i="5"/>
  <c r="U445" i="5"/>
  <c r="V445" i="5"/>
  <c r="W445" i="5"/>
  <c r="X445" i="5"/>
  <c r="B446" i="5"/>
  <c r="C446" i="5"/>
  <c r="D446" i="5"/>
  <c r="E446" i="5"/>
  <c r="F446" i="5"/>
  <c r="G446" i="5"/>
  <c r="H446" i="5"/>
  <c r="I446" i="5"/>
  <c r="J446" i="5"/>
  <c r="K446" i="5"/>
  <c r="L446" i="5"/>
  <c r="M446" i="5"/>
  <c r="N446" i="5"/>
  <c r="O446" i="5"/>
  <c r="P446" i="5"/>
  <c r="Q446" i="5"/>
  <c r="R446" i="5"/>
  <c r="S446" i="5"/>
  <c r="T446" i="5"/>
  <c r="U446" i="5"/>
  <c r="V446" i="5"/>
  <c r="W446" i="5"/>
  <c r="X446" i="5"/>
  <c r="B447" i="5"/>
  <c r="C447" i="5"/>
  <c r="D447" i="5"/>
  <c r="E447" i="5"/>
  <c r="F447" i="5"/>
  <c r="G447" i="5"/>
  <c r="H447" i="5"/>
  <c r="I447" i="5"/>
  <c r="J447" i="5"/>
  <c r="K447" i="5"/>
  <c r="L447" i="5"/>
  <c r="M447" i="5"/>
  <c r="N447" i="5"/>
  <c r="O447" i="5"/>
  <c r="P447" i="5"/>
  <c r="Q447" i="5"/>
  <c r="R447" i="5"/>
  <c r="S447" i="5"/>
  <c r="T447" i="5"/>
  <c r="U447" i="5"/>
  <c r="V447" i="5"/>
  <c r="W447" i="5"/>
  <c r="X447" i="5"/>
  <c r="B448" i="5"/>
  <c r="C448" i="5"/>
  <c r="D448" i="5"/>
  <c r="E448" i="5"/>
  <c r="F448" i="5"/>
  <c r="G448" i="5"/>
  <c r="H448" i="5"/>
  <c r="I448" i="5"/>
  <c r="J448" i="5"/>
  <c r="K448" i="5"/>
  <c r="L448" i="5"/>
  <c r="M448" i="5"/>
  <c r="N448" i="5"/>
  <c r="O448" i="5"/>
  <c r="P448" i="5"/>
  <c r="Q448" i="5"/>
  <c r="R448" i="5"/>
  <c r="S448" i="5"/>
  <c r="T448" i="5"/>
  <c r="U448" i="5"/>
  <c r="V448" i="5"/>
  <c r="W448" i="5"/>
  <c r="X448" i="5"/>
  <c r="B449" i="5"/>
  <c r="C449" i="5"/>
  <c r="D449" i="5"/>
  <c r="E449" i="5"/>
  <c r="F449" i="5"/>
  <c r="G449" i="5"/>
  <c r="H449" i="5"/>
  <c r="I449" i="5"/>
  <c r="J449" i="5"/>
  <c r="K449" i="5"/>
  <c r="L449" i="5"/>
  <c r="M449" i="5"/>
  <c r="N449" i="5"/>
  <c r="O449" i="5"/>
  <c r="P449" i="5"/>
  <c r="Q449" i="5"/>
  <c r="R449" i="5"/>
  <c r="S449" i="5"/>
  <c r="T449" i="5"/>
  <c r="U449" i="5"/>
  <c r="V449" i="5"/>
  <c r="W449" i="5"/>
  <c r="X449" i="5"/>
  <c r="B450" i="5"/>
  <c r="C450" i="5"/>
  <c r="D450" i="5"/>
  <c r="E450" i="5"/>
  <c r="F450" i="5"/>
  <c r="G450" i="5"/>
  <c r="H450" i="5"/>
  <c r="I450" i="5"/>
  <c r="J450" i="5"/>
  <c r="K450" i="5"/>
  <c r="L450" i="5"/>
  <c r="M450" i="5"/>
  <c r="N450" i="5"/>
  <c r="O450" i="5"/>
  <c r="P450" i="5"/>
  <c r="Q450" i="5"/>
  <c r="R450" i="5"/>
  <c r="S450" i="5"/>
  <c r="T450" i="5"/>
  <c r="U450" i="5"/>
  <c r="V450" i="5"/>
  <c r="W450" i="5"/>
  <c r="X450" i="5"/>
  <c r="B451" i="5"/>
  <c r="C451" i="5"/>
  <c r="D451" i="5"/>
  <c r="E451" i="5"/>
  <c r="F451" i="5"/>
  <c r="G451" i="5"/>
  <c r="H451" i="5"/>
  <c r="I451" i="5"/>
  <c r="J451" i="5"/>
  <c r="K451" i="5"/>
  <c r="L451" i="5"/>
  <c r="M451" i="5"/>
  <c r="N451" i="5"/>
  <c r="O451" i="5"/>
  <c r="P451" i="5"/>
  <c r="Q451" i="5"/>
  <c r="R451" i="5"/>
  <c r="S451" i="5"/>
  <c r="T451" i="5"/>
  <c r="U451" i="5"/>
  <c r="V451" i="5"/>
  <c r="W451" i="5"/>
  <c r="X451" i="5"/>
  <c r="B452" i="5"/>
  <c r="C452" i="5"/>
  <c r="D452" i="5"/>
  <c r="E452" i="5"/>
  <c r="F452" i="5"/>
  <c r="G452" i="5"/>
  <c r="H452" i="5"/>
  <c r="I452" i="5"/>
  <c r="J452" i="5"/>
  <c r="K452" i="5"/>
  <c r="L452" i="5"/>
  <c r="M452" i="5"/>
  <c r="N452" i="5"/>
  <c r="O452" i="5"/>
  <c r="P452" i="5"/>
  <c r="Q452" i="5"/>
  <c r="R452" i="5"/>
  <c r="S452" i="5"/>
  <c r="T452" i="5"/>
  <c r="U452" i="5"/>
  <c r="V452" i="5"/>
  <c r="W452" i="5"/>
  <c r="X452" i="5"/>
  <c r="B453" i="5"/>
  <c r="C453" i="5"/>
  <c r="D453" i="5"/>
  <c r="E453" i="5"/>
  <c r="F453" i="5"/>
  <c r="G453" i="5"/>
  <c r="H453" i="5"/>
  <c r="I453" i="5"/>
  <c r="J453" i="5"/>
  <c r="K453" i="5"/>
  <c r="L453" i="5"/>
  <c r="M453" i="5"/>
  <c r="N453" i="5"/>
  <c r="AC453" i="5" s="1"/>
  <c r="O453" i="5"/>
  <c r="P453" i="5"/>
  <c r="Q453" i="5"/>
  <c r="R453" i="5"/>
  <c r="S453" i="5"/>
  <c r="T453" i="5"/>
  <c r="U453" i="5"/>
  <c r="V453" i="5"/>
  <c r="W453" i="5"/>
  <c r="X453" i="5"/>
  <c r="B454" i="5"/>
  <c r="C454" i="5"/>
  <c r="D454" i="5"/>
  <c r="E454" i="5"/>
  <c r="F454" i="5"/>
  <c r="G454" i="5"/>
  <c r="H454" i="5"/>
  <c r="I454" i="5"/>
  <c r="J454" i="5"/>
  <c r="K454" i="5"/>
  <c r="L454" i="5"/>
  <c r="M454" i="5"/>
  <c r="N454" i="5"/>
  <c r="O454" i="5"/>
  <c r="P454" i="5"/>
  <c r="Q454" i="5"/>
  <c r="R454" i="5"/>
  <c r="S454" i="5"/>
  <c r="T454" i="5"/>
  <c r="U454" i="5"/>
  <c r="V454" i="5"/>
  <c r="W454" i="5"/>
  <c r="X454" i="5"/>
  <c r="B455" i="5"/>
  <c r="C455" i="5"/>
  <c r="D455" i="5"/>
  <c r="E455" i="5"/>
  <c r="F455" i="5"/>
  <c r="G455" i="5"/>
  <c r="H455" i="5"/>
  <c r="I455" i="5"/>
  <c r="J455" i="5"/>
  <c r="K455" i="5"/>
  <c r="L455" i="5"/>
  <c r="M455" i="5"/>
  <c r="N455" i="5"/>
  <c r="O455" i="5"/>
  <c r="P455" i="5"/>
  <c r="Q455" i="5"/>
  <c r="R455" i="5"/>
  <c r="S455" i="5"/>
  <c r="T455" i="5"/>
  <c r="U455" i="5"/>
  <c r="V455" i="5"/>
  <c r="W455" i="5"/>
  <c r="X455" i="5"/>
  <c r="B456" i="5"/>
  <c r="C456" i="5"/>
  <c r="D456" i="5"/>
  <c r="E456" i="5"/>
  <c r="F456" i="5"/>
  <c r="G456" i="5"/>
  <c r="H456" i="5"/>
  <c r="I456" i="5"/>
  <c r="J456" i="5"/>
  <c r="K456" i="5"/>
  <c r="L456" i="5"/>
  <c r="M456" i="5"/>
  <c r="N456" i="5"/>
  <c r="O456" i="5"/>
  <c r="P456" i="5"/>
  <c r="Q456" i="5"/>
  <c r="R456" i="5"/>
  <c r="S456" i="5"/>
  <c r="T456" i="5"/>
  <c r="U456" i="5"/>
  <c r="V456" i="5"/>
  <c r="W456" i="5"/>
  <c r="X456" i="5"/>
  <c r="B457" i="5"/>
  <c r="C457" i="5"/>
  <c r="D457" i="5"/>
  <c r="E457" i="5"/>
  <c r="F457" i="5"/>
  <c r="G457" i="5"/>
  <c r="H457" i="5"/>
  <c r="I457" i="5"/>
  <c r="J457" i="5"/>
  <c r="K457" i="5"/>
  <c r="L457" i="5"/>
  <c r="M457" i="5"/>
  <c r="N457" i="5"/>
  <c r="O457" i="5"/>
  <c r="P457" i="5"/>
  <c r="Q457" i="5"/>
  <c r="R457" i="5"/>
  <c r="S457" i="5"/>
  <c r="T457" i="5"/>
  <c r="U457" i="5"/>
  <c r="V457" i="5"/>
  <c r="W457" i="5"/>
  <c r="X457" i="5"/>
  <c r="B458" i="5"/>
  <c r="C458" i="5"/>
  <c r="D458" i="5"/>
  <c r="E458" i="5"/>
  <c r="F458" i="5"/>
  <c r="G458" i="5"/>
  <c r="H458" i="5"/>
  <c r="I458" i="5"/>
  <c r="J458" i="5"/>
  <c r="K458" i="5"/>
  <c r="L458" i="5"/>
  <c r="M458" i="5"/>
  <c r="N458" i="5"/>
  <c r="O458" i="5"/>
  <c r="P458" i="5"/>
  <c r="Q458" i="5"/>
  <c r="R458" i="5"/>
  <c r="S458" i="5"/>
  <c r="T458" i="5"/>
  <c r="U458" i="5"/>
  <c r="V458" i="5"/>
  <c r="W458" i="5"/>
  <c r="X458" i="5"/>
  <c r="B459" i="5"/>
  <c r="C459" i="5"/>
  <c r="D459" i="5"/>
  <c r="E459" i="5"/>
  <c r="F459" i="5"/>
  <c r="G459" i="5"/>
  <c r="H459" i="5"/>
  <c r="I459" i="5"/>
  <c r="J459" i="5"/>
  <c r="K459" i="5"/>
  <c r="L459" i="5"/>
  <c r="M459" i="5"/>
  <c r="N459" i="5"/>
  <c r="O459" i="5"/>
  <c r="P459" i="5"/>
  <c r="Q459" i="5"/>
  <c r="R459" i="5"/>
  <c r="S459" i="5"/>
  <c r="T459" i="5"/>
  <c r="U459" i="5"/>
  <c r="V459" i="5"/>
  <c r="W459" i="5"/>
  <c r="X459" i="5"/>
  <c r="B460" i="5"/>
  <c r="C460" i="5"/>
  <c r="D460" i="5"/>
  <c r="E460" i="5"/>
  <c r="F460" i="5"/>
  <c r="G460" i="5"/>
  <c r="H460" i="5"/>
  <c r="I460" i="5"/>
  <c r="J460" i="5"/>
  <c r="K460" i="5"/>
  <c r="L460" i="5"/>
  <c r="M460" i="5"/>
  <c r="AC460" i="5" s="1"/>
  <c r="N460" i="5"/>
  <c r="O460" i="5"/>
  <c r="P460" i="5"/>
  <c r="Q460" i="5"/>
  <c r="R460" i="5"/>
  <c r="S460" i="5"/>
  <c r="T460" i="5"/>
  <c r="U460" i="5"/>
  <c r="V460" i="5"/>
  <c r="W460" i="5"/>
  <c r="X460" i="5"/>
  <c r="B461" i="5"/>
  <c r="C461" i="5"/>
  <c r="D461" i="5"/>
  <c r="E461" i="5"/>
  <c r="F461" i="5"/>
  <c r="G461" i="5"/>
  <c r="H461" i="5"/>
  <c r="I461" i="5"/>
  <c r="J461" i="5"/>
  <c r="K461" i="5"/>
  <c r="L461" i="5"/>
  <c r="M461" i="5"/>
  <c r="N461" i="5"/>
  <c r="AC461" i="5" s="1"/>
  <c r="O461" i="5"/>
  <c r="P461" i="5"/>
  <c r="Q461" i="5"/>
  <c r="R461" i="5"/>
  <c r="S461" i="5"/>
  <c r="T461" i="5"/>
  <c r="U461" i="5"/>
  <c r="V461" i="5"/>
  <c r="W461" i="5"/>
  <c r="X461" i="5"/>
  <c r="B462" i="5"/>
  <c r="C462" i="5"/>
  <c r="D462" i="5"/>
  <c r="E462" i="5"/>
  <c r="F462" i="5"/>
  <c r="G462" i="5"/>
  <c r="H462" i="5"/>
  <c r="I462" i="5"/>
  <c r="J462" i="5"/>
  <c r="K462" i="5"/>
  <c r="L462" i="5"/>
  <c r="M462" i="5"/>
  <c r="N462" i="5"/>
  <c r="O462" i="5"/>
  <c r="P462" i="5"/>
  <c r="Q462" i="5"/>
  <c r="R462" i="5"/>
  <c r="S462" i="5"/>
  <c r="T462" i="5"/>
  <c r="U462" i="5"/>
  <c r="V462" i="5"/>
  <c r="W462" i="5"/>
  <c r="X462" i="5"/>
  <c r="B463" i="5"/>
  <c r="C463" i="5"/>
  <c r="D463" i="5"/>
  <c r="E463" i="5"/>
  <c r="F463" i="5"/>
  <c r="G463" i="5"/>
  <c r="H463" i="5"/>
  <c r="I463" i="5"/>
  <c r="J463" i="5"/>
  <c r="K463" i="5"/>
  <c r="L463" i="5"/>
  <c r="M463" i="5"/>
  <c r="N463" i="5"/>
  <c r="O463" i="5"/>
  <c r="P463" i="5"/>
  <c r="Q463" i="5"/>
  <c r="R463" i="5"/>
  <c r="S463" i="5"/>
  <c r="T463" i="5"/>
  <c r="U463" i="5"/>
  <c r="V463" i="5"/>
  <c r="W463" i="5"/>
  <c r="X463" i="5"/>
  <c r="B464" i="5"/>
  <c r="C464" i="5"/>
  <c r="D464" i="5"/>
  <c r="E464" i="5"/>
  <c r="F464" i="5"/>
  <c r="G464" i="5"/>
  <c r="H464" i="5"/>
  <c r="I464" i="5"/>
  <c r="J464" i="5"/>
  <c r="K464" i="5"/>
  <c r="L464" i="5"/>
  <c r="M464" i="5"/>
  <c r="N464" i="5"/>
  <c r="O464" i="5"/>
  <c r="P464" i="5"/>
  <c r="Q464" i="5"/>
  <c r="R464" i="5"/>
  <c r="S464" i="5"/>
  <c r="T464" i="5"/>
  <c r="U464" i="5"/>
  <c r="V464" i="5"/>
  <c r="W464" i="5"/>
  <c r="X464" i="5"/>
  <c r="B465" i="5"/>
  <c r="C465" i="5"/>
  <c r="D465" i="5"/>
  <c r="E465" i="5"/>
  <c r="F465" i="5"/>
  <c r="G465" i="5"/>
  <c r="H465" i="5"/>
  <c r="I465" i="5"/>
  <c r="J465" i="5"/>
  <c r="K465" i="5"/>
  <c r="L465" i="5"/>
  <c r="M465" i="5"/>
  <c r="N465" i="5"/>
  <c r="O465" i="5"/>
  <c r="P465" i="5"/>
  <c r="Q465" i="5"/>
  <c r="R465" i="5"/>
  <c r="S465" i="5"/>
  <c r="T465" i="5"/>
  <c r="U465" i="5"/>
  <c r="V465" i="5"/>
  <c r="W465" i="5"/>
  <c r="X465" i="5"/>
  <c r="B466" i="5"/>
  <c r="C466" i="5"/>
  <c r="D466" i="5"/>
  <c r="E466" i="5"/>
  <c r="F466" i="5"/>
  <c r="G466" i="5"/>
  <c r="H466" i="5"/>
  <c r="I466" i="5"/>
  <c r="J466" i="5"/>
  <c r="K466" i="5"/>
  <c r="L466" i="5"/>
  <c r="M466" i="5"/>
  <c r="N466" i="5"/>
  <c r="O466" i="5"/>
  <c r="P466" i="5"/>
  <c r="Q466" i="5"/>
  <c r="R466" i="5"/>
  <c r="S466" i="5"/>
  <c r="T466" i="5"/>
  <c r="U466" i="5"/>
  <c r="V466" i="5"/>
  <c r="W466" i="5"/>
  <c r="X466" i="5"/>
  <c r="B467" i="5"/>
  <c r="C467" i="5"/>
  <c r="D467" i="5"/>
  <c r="E467" i="5"/>
  <c r="F467" i="5"/>
  <c r="G467" i="5"/>
  <c r="H467" i="5"/>
  <c r="I467" i="5"/>
  <c r="J467" i="5"/>
  <c r="K467" i="5"/>
  <c r="L467" i="5"/>
  <c r="M467" i="5"/>
  <c r="N467" i="5"/>
  <c r="O467" i="5"/>
  <c r="P467" i="5"/>
  <c r="Q467" i="5"/>
  <c r="R467" i="5"/>
  <c r="S467" i="5"/>
  <c r="T467" i="5"/>
  <c r="U467" i="5"/>
  <c r="V467" i="5"/>
  <c r="W467" i="5"/>
  <c r="X467" i="5"/>
  <c r="B468" i="5"/>
  <c r="C468" i="5"/>
  <c r="D468" i="5"/>
  <c r="E468" i="5"/>
  <c r="F468" i="5"/>
  <c r="G468" i="5"/>
  <c r="H468" i="5"/>
  <c r="I468" i="5"/>
  <c r="J468" i="5"/>
  <c r="K468" i="5"/>
  <c r="L468" i="5"/>
  <c r="M468" i="5"/>
  <c r="N468" i="5"/>
  <c r="O468" i="5"/>
  <c r="P468" i="5"/>
  <c r="Q468" i="5"/>
  <c r="R468" i="5"/>
  <c r="S468" i="5"/>
  <c r="T468" i="5"/>
  <c r="U468" i="5"/>
  <c r="V468" i="5"/>
  <c r="W468" i="5"/>
  <c r="X468" i="5"/>
  <c r="B469" i="5"/>
  <c r="C469" i="5"/>
  <c r="D469" i="5"/>
  <c r="E469" i="5"/>
  <c r="F469" i="5"/>
  <c r="G469" i="5"/>
  <c r="H469" i="5"/>
  <c r="I469" i="5"/>
  <c r="J469" i="5"/>
  <c r="K469" i="5"/>
  <c r="L469" i="5"/>
  <c r="M469" i="5"/>
  <c r="N469" i="5"/>
  <c r="O469" i="5"/>
  <c r="P469" i="5"/>
  <c r="Q469" i="5"/>
  <c r="R469" i="5"/>
  <c r="S469" i="5"/>
  <c r="T469" i="5"/>
  <c r="U469" i="5"/>
  <c r="V469" i="5"/>
  <c r="W469" i="5"/>
  <c r="X469" i="5"/>
  <c r="AC469" i="5"/>
  <c r="B470" i="5"/>
  <c r="C470" i="5"/>
  <c r="D470" i="5"/>
  <c r="E470" i="5"/>
  <c r="F470" i="5"/>
  <c r="G470" i="5"/>
  <c r="H470" i="5"/>
  <c r="I470" i="5"/>
  <c r="J470" i="5"/>
  <c r="K470" i="5"/>
  <c r="L470" i="5"/>
  <c r="M470" i="5"/>
  <c r="N470" i="5"/>
  <c r="O470" i="5"/>
  <c r="P470" i="5"/>
  <c r="Q470" i="5"/>
  <c r="R470" i="5"/>
  <c r="S470" i="5"/>
  <c r="T470" i="5"/>
  <c r="U470" i="5"/>
  <c r="V470" i="5"/>
  <c r="W470" i="5"/>
  <c r="X470" i="5"/>
  <c r="B471" i="5"/>
  <c r="C471" i="5"/>
  <c r="D471" i="5"/>
  <c r="E471" i="5"/>
  <c r="F471" i="5"/>
  <c r="G471" i="5"/>
  <c r="H471" i="5"/>
  <c r="I471" i="5"/>
  <c r="J471" i="5"/>
  <c r="K471" i="5"/>
  <c r="L471" i="5"/>
  <c r="M471" i="5"/>
  <c r="N471" i="5"/>
  <c r="O471" i="5"/>
  <c r="P471" i="5"/>
  <c r="Q471" i="5"/>
  <c r="R471" i="5"/>
  <c r="S471" i="5"/>
  <c r="T471" i="5"/>
  <c r="U471" i="5"/>
  <c r="V471" i="5"/>
  <c r="W471" i="5"/>
  <c r="X471" i="5"/>
  <c r="B472" i="5"/>
  <c r="C472" i="5"/>
  <c r="D472" i="5"/>
  <c r="E472" i="5"/>
  <c r="F472" i="5"/>
  <c r="G472" i="5"/>
  <c r="H472" i="5"/>
  <c r="I472" i="5"/>
  <c r="J472" i="5"/>
  <c r="K472" i="5"/>
  <c r="L472" i="5"/>
  <c r="M472" i="5"/>
  <c r="N472" i="5"/>
  <c r="O472" i="5"/>
  <c r="P472" i="5"/>
  <c r="Q472" i="5"/>
  <c r="R472" i="5"/>
  <c r="S472" i="5"/>
  <c r="T472" i="5"/>
  <c r="U472" i="5"/>
  <c r="V472" i="5"/>
  <c r="W472" i="5"/>
  <c r="X472" i="5"/>
  <c r="B473" i="5"/>
  <c r="C473" i="5"/>
  <c r="D473" i="5"/>
  <c r="E473" i="5"/>
  <c r="F473" i="5"/>
  <c r="G473" i="5"/>
  <c r="H473" i="5"/>
  <c r="I473" i="5"/>
  <c r="J473" i="5"/>
  <c r="K473" i="5"/>
  <c r="L473" i="5"/>
  <c r="M473" i="5"/>
  <c r="N473" i="5"/>
  <c r="O473" i="5"/>
  <c r="P473" i="5"/>
  <c r="Q473" i="5"/>
  <c r="R473" i="5"/>
  <c r="S473" i="5"/>
  <c r="T473" i="5"/>
  <c r="U473" i="5"/>
  <c r="V473" i="5"/>
  <c r="W473" i="5"/>
  <c r="X473" i="5"/>
  <c r="B474" i="5"/>
  <c r="C474" i="5"/>
  <c r="D474" i="5"/>
  <c r="E474" i="5"/>
  <c r="F474" i="5"/>
  <c r="G474" i="5"/>
  <c r="H474" i="5"/>
  <c r="I474" i="5"/>
  <c r="J474" i="5"/>
  <c r="K474" i="5"/>
  <c r="L474" i="5"/>
  <c r="M474" i="5"/>
  <c r="AC474" i="5" s="1"/>
  <c r="N474" i="5"/>
  <c r="O474" i="5"/>
  <c r="P474" i="5"/>
  <c r="Q474" i="5"/>
  <c r="R474" i="5"/>
  <c r="S474" i="5"/>
  <c r="T474" i="5"/>
  <c r="U474" i="5"/>
  <c r="V474" i="5"/>
  <c r="W474" i="5"/>
  <c r="X474" i="5"/>
  <c r="B475" i="5"/>
  <c r="C475" i="5"/>
  <c r="D475" i="5"/>
  <c r="E475" i="5"/>
  <c r="F475" i="5"/>
  <c r="G475" i="5"/>
  <c r="H475" i="5"/>
  <c r="I475" i="5"/>
  <c r="J475" i="5"/>
  <c r="K475" i="5"/>
  <c r="L475" i="5"/>
  <c r="M475" i="5"/>
  <c r="N475" i="5"/>
  <c r="AC475" i="5" s="1"/>
  <c r="O475" i="5"/>
  <c r="P475" i="5"/>
  <c r="Q475" i="5"/>
  <c r="R475" i="5"/>
  <c r="S475" i="5"/>
  <c r="T475" i="5"/>
  <c r="U475" i="5"/>
  <c r="V475" i="5"/>
  <c r="W475" i="5"/>
  <c r="X475" i="5"/>
  <c r="B476" i="5"/>
  <c r="C476" i="5"/>
  <c r="D476" i="5"/>
  <c r="E476" i="5"/>
  <c r="F476" i="5"/>
  <c r="G476" i="5"/>
  <c r="H476" i="5"/>
  <c r="I476" i="5"/>
  <c r="J476" i="5"/>
  <c r="K476" i="5"/>
  <c r="L476" i="5"/>
  <c r="M476" i="5"/>
  <c r="N476" i="5"/>
  <c r="O476" i="5"/>
  <c r="P476" i="5"/>
  <c r="Q476" i="5"/>
  <c r="R476" i="5"/>
  <c r="S476" i="5"/>
  <c r="T476" i="5"/>
  <c r="U476" i="5"/>
  <c r="V476" i="5"/>
  <c r="W476" i="5"/>
  <c r="X476" i="5"/>
  <c r="B477" i="5"/>
  <c r="C477" i="5"/>
  <c r="D477" i="5"/>
  <c r="E477" i="5"/>
  <c r="F477" i="5"/>
  <c r="G477" i="5"/>
  <c r="H477" i="5"/>
  <c r="I477" i="5"/>
  <c r="J477" i="5"/>
  <c r="K477" i="5"/>
  <c r="L477" i="5"/>
  <c r="M477" i="5"/>
  <c r="N477" i="5"/>
  <c r="O477" i="5"/>
  <c r="P477" i="5"/>
  <c r="AC477" i="5" s="1"/>
  <c r="Q477" i="5"/>
  <c r="R477" i="5"/>
  <c r="S477" i="5"/>
  <c r="T477" i="5"/>
  <c r="U477" i="5"/>
  <c r="V477" i="5"/>
  <c r="W477" i="5"/>
  <c r="X477" i="5"/>
  <c r="B478" i="5"/>
  <c r="C478" i="5"/>
  <c r="D478" i="5"/>
  <c r="E478" i="5"/>
  <c r="F478" i="5"/>
  <c r="G478" i="5"/>
  <c r="H478" i="5"/>
  <c r="I478" i="5"/>
  <c r="J478" i="5"/>
  <c r="K478" i="5"/>
  <c r="L478" i="5"/>
  <c r="M478" i="5"/>
  <c r="N478" i="5"/>
  <c r="O478" i="5"/>
  <c r="P478" i="5"/>
  <c r="Q478" i="5"/>
  <c r="R478" i="5"/>
  <c r="S478" i="5"/>
  <c r="T478" i="5"/>
  <c r="U478" i="5"/>
  <c r="V478" i="5"/>
  <c r="W478" i="5"/>
  <c r="X478" i="5"/>
  <c r="B479" i="5"/>
  <c r="C479" i="5"/>
  <c r="D479" i="5"/>
  <c r="E479" i="5"/>
  <c r="F479" i="5"/>
  <c r="G479" i="5"/>
  <c r="H479" i="5"/>
  <c r="I479" i="5"/>
  <c r="J479" i="5"/>
  <c r="K479" i="5"/>
  <c r="L479" i="5"/>
  <c r="M479" i="5"/>
  <c r="N479" i="5"/>
  <c r="O479" i="5"/>
  <c r="P479" i="5"/>
  <c r="Q479" i="5"/>
  <c r="R479" i="5"/>
  <c r="S479" i="5"/>
  <c r="T479" i="5"/>
  <c r="U479" i="5"/>
  <c r="V479" i="5"/>
  <c r="W479" i="5"/>
  <c r="X479" i="5"/>
  <c r="B480" i="5"/>
  <c r="C480" i="5"/>
  <c r="D480" i="5"/>
  <c r="E480" i="5"/>
  <c r="F480" i="5"/>
  <c r="G480" i="5"/>
  <c r="H480" i="5"/>
  <c r="I480" i="5"/>
  <c r="J480" i="5"/>
  <c r="K480" i="5"/>
  <c r="L480" i="5"/>
  <c r="M480" i="5"/>
  <c r="N480" i="5"/>
  <c r="O480" i="5"/>
  <c r="P480" i="5"/>
  <c r="Q480" i="5"/>
  <c r="R480" i="5"/>
  <c r="S480" i="5"/>
  <c r="T480" i="5"/>
  <c r="U480" i="5"/>
  <c r="V480" i="5"/>
  <c r="W480" i="5"/>
  <c r="X480" i="5"/>
  <c r="B481" i="5"/>
  <c r="C481" i="5"/>
  <c r="D481" i="5"/>
  <c r="E481" i="5"/>
  <c r="F481" i="5"/>
  <c r="G481" i="5"/>
  <c r="H481" i="5"/>
  <c r="I481" i="5"/>
  <c r="J481" i="5"/>
  <c r="K481" i="5"/>
  <c r="L481" i="5"/>
  <c r="M481" i="5"/>
  <c r="N481" i="5"/>
  <c r="O481" i="5"/>
  <c r="P481" i="5"/>
  <c r="Q481" i="5"/>
  <c r="R481" i="5"/>
  <c r="S481" i="5"/>
  <c r="T481" i="5"/>
  <c r="U481" i="5"/>
  <c r="V481" i="5"/>
  <c r="W481" i="5"/>
  <c r="X481" i="5"/>
  <c r="B482" i="5"/>
  <c r="C482" i="5"/>
  <c r="D482" i="5"/>
  <c r="E482" i="5"/>
  <c r="F482" i="5"/>
  <c r="G482" i="5"/>
  <c r="H482" i="5"/>
  <c r="I482" i="5"/>
  <c r="J482" i="5"/>
  <c r="K482" i="5"/>
  <c r="L482" i="5"/>
  <c r="M482" i="5"/>
  <c r="N482" i="5"/>
  <c r="O482" i="5"/>
  <c r="P482" i="5"/>
  <c r="Q482" i="5"/>
  <c r="R482" i="5"/>
  <c r="S482" i="5"/>
  <c r="T482" i="5"/>
  <c r="U482" i="5"/>
  <c r="V482" i="5"/>
  <c r="W482" i="5"/>
  <c r="X482" i="5"/>
  <c r="B483" i="5"/>
  <c r="C483" i="5"/>
  <c r="D483" i="5"/>
  <c r="E483" i="5"/>
  <c r="F483" i="5"/>
  <c r="G483" i="5"/>
  <c r="H483" i="5"/>
  <c r="I483" i="5"/>
  <c r="J483" i="5"/>
  <c r="K483" i="5"/>
  <c r="L483" i="5"/>
  <c r="M483" i="5"/>
  <c r="N483" i="5"/>
  <c r="O483" i="5"/>
  <c r="P483" i="5"/>
  <c r="Q483" i="5"/>
  <c r="R483" i="5"/>
  <c r="S483" i="5"/>
  <c r="T483" i="5"/>
  <c r="U483" i="5"/>
  <c r="V483" i="5"/>
  <c r="W483" i="5"/>
  <c r="X483" i="5"/>
  <c r="B484" i="5"/>
  <c r="C484" i="5"/>
  <c r="D484" i="5"/>
  <c r="E484" i="5"/>
  <c r="F484" i="5"/>
  <c r="G484" i="5"/>
  <c r="H484" i="5"/>
  <c r="I484" i="5"/>
  <c r="J484" i="5"/>
  <c r="K484" i="5"/>
  <c r="L484" i="5"/>
  <c r="M484" i="5"/>
  <c r="N484" i="5"/>
  <c r="O484" i="5"/>
  <c r="P484" i="5"/>
  <c r="Q484" i="5"/>
  <c r="R484" i="5"/>
  <c r="S484" i="5"/>
  <c r="T484" i="5"/>
  <c r="U484" i="5"/>
  <c r="V484" i="5"/>
  <c r="W484" i="5"/>
  <c r="X484" i="5"/>
  <c r="B485" i="5"/>
  <c r="C485" i="5"/>
  <c r="D485" i="5"/>
  <c r="E485" i="5"/>
  <c r="F485" i="5"/>
  <c r="G485" i="5"/>
  <c r="H485" i="5"/>
  <c r="I485" i="5"/>
  <c r="J485" i="5"/>
  <c r="K485" i="5"/>
  <c r="L485" i="5"/>
  <c r="M485" i="5"/>
  <c r="N485" i="5"/>
  <c r="O485" i="5"/>
  <c r="AC485" i="5" s="1"/>
  <c r="P485" i="5"/>
  <c r="Q485" i="5"/>
  <c r="R485" i="5"/>
  <c r="S485" i="5"/>
  <c r="T485" i="5"/>
  <c r="U485" i="5"/>
  <c r="V485" i="5"/>
  <c r="W485" i="5"/>
  <c r="X485" i="5"/>
  <c r="B486" i="5"/>
  <c r="C486" i="5"/>
  <c r="D486" i="5"/>
  <c r="E486" i="5"/>
  <c r="F486" i="5"/>
  <c r="G486" i="5"/>
  <c r="H486" i="5"/>
  <c r="I486" i="5"/>
  <c r="J486" i="5"/>
  <c r="K486" i="5"/>
  <c r="L486" i="5"/>
  <c r="M486" i="5"/>
  <c r="N486" i="5"/>
  <c r="O486" i="5"/>
  <c r="P486" i="5"/>
  <c r="Q486" i="5"/>
  <c r="R486" i="5"/>
  <c r="S486" i="5"/>
  <c r="T486" i="5"/>
  <c r="U486" i="5"/>
  <c r="V486" i="5"/>
  <c r="W486" i="5"/>
  <c r="X486" i="5"/>
  <c r="B487" i="5"/>
  <c r="C487" i="5"/>
  <c r="D487" i="5"/>
  <c r="E487" i="5"/>
  <c r="F487" i="5"/>
  <c r="G487" i="5"/>
  <c r="H487" i="5"/>
  <c r="I487" i="5"/>
  <c r="J487" i="5"/>
  <c r="K487" i="5"/>
  <c r="L487" i="5"/>
  <c r="M487" i="5"/>
  <c r="N487" i="5"/>
  <c r="O487" i="5"/>
  <c r="P487" i="5"/>
  <c r="Q487" i="5"/>
  <c r="R487" i="5"/>
  <c r="S487" i="5"/>
  <c r="T487" i="5"/>
  <c r="U487" i="5"/>
  <c r="V487" i="5"/>
  <c r="W487" i="5"/>
  <c r="X487" i="5"/>
  <c r="B488" i="5"/>
  <c r="C488" i="5"/>
  <c r="D488" i="5"/>
  <c r="E488" i="5"/>
  <c r="F488" i="5"/>
  <c r="G488" i="5"/>
  <c r="H488" i="5"/>
  <c r="I488" i="5"/>
  <c r="J488" i="5"/>
  <c r="K488" i="5"/>
  <c r="L488" i="5"/>
  <c r="M488" i="5"/>
  <c r="N488" i="5"/>
  <c r="O488" i="5"/>
  <c r="P488" i="5"/>
  <c r="Q488" i="5"/>
  <c r="R488" i="5"/>
  <c r="S488" i="5"/>
  <c r="T488" i="5"/>
  <c r="U488" i="5"/>
  <c r="V488" i="5"/>
  <c r="W488" i="5"/>
  <c r="X488" i="5"/>
  <c r="B489" i="5"/>
  <c r="C489" i="5"/>
  <c r="D489" i="5"/>
  <c r="E489" i="5"/>
  <c r="F489" i="5"/>
  <c r="G489" i="5"/>
  <c r="H489" i="5"/>
  <c r="I489" i="5"/>
  <c r="J489" i="5"/>
  <c r="K489" i="5"/>
  <c r="L489" i="5"/>
  <c r="M489" i="5"/>
  <c r="N489" i="5"/>
  <c r="O489" i="5"/>
  <c r="P489" i="5"/>
  <c r="Q489" i="5"/>
  <c r="R489" i="5"/>
  <c r="S489" i="5"/>
  <c r="T489" i="5"/>
  <c r="U489" i="5"/>
  <c r="V489" i="5"/>
  <c r="W489" i="5"/>
  <c r="X489" i="5"/>
  <c r="B490" i="5"/>
  <c r="C490" i="5"/>
  <c r="D490" i="5"/>
  <c r="E490" i="5"/>
  <c r="F490" i="5"/>
  <c r="G490" i="5"/>
  <c r="H490" i="5"/>
  <c r="I490" i="5"/>
  <c r="J490" i="5"/>
  <c r="K490" i="5"/>
  <c r="L490" i="5"/>
  <c r="M490" i="5"/>
  <c r="N490" i="5"/>
  <c r="O490" i="5"/>
  <c r="P490" i="5"/>
  <c r="Q490" i="5"/>
  <c r="R490" i="5"/>
  <c r="S490" i="5"/>
  <c r="T490" i="5"/>
  <c r="U490" i="5"/>
  <c r="V490" i="5"/>
  <c r="W490" i="5"/>
  <c r="X490" i="5"/>
  <c r="B491" i="5"/>
  <c r="C491" i="5"/>
  <c r="D491" i="5"/>
  <c r="E491" i="5"/>
  <c r="F491" i="5"/>
  <c r="G491" i="5"/>
  <c r="H491" i="5"/>
  <c r="I491" i="5"/>
  <c r="J491" i="5"/>
  <c r="K491" i="5"/>
  <c r="L491" i="5"/>
  <c r="M491" i="5"/>
  <c r="N491" i="5"/>
  <c r="O491" i="5"/>
  <c r="P491" i="5"/>
  <c r="Q491" i="5"/>
  <c r="R491" i="5"/>
  <c r="S491" i="5"/>
  <c r="T491" i="5"/>
  <c r="U491" i="5"/>
  <c r="V491" i="5"/>
  <c r="W491" i="5"/>
  <c r="X491" i="5"/>
  <c r="B492" i="5"/>
  <c r="C492" i="5"/>
  <c r="D492" i="5"/>
  <c r="E492" i="5"/>
  <c r="F492" i="5"/>
  <c r="G492" i="5"/>
  <c r="H492" i="5"/>
  <c r="I492" i="5"/>
  <c r="J492" i="5"/>
  <c r="K492" i="5"/>
  <c r="L492" i="5"/>
  <c r="M492" i="5"/>
  <c r="AC492" i="5" s="1"/>
  <c r="N492" i="5"/>
  <c r="O492" i="5"/>
  <c r="P492" i="5"/>
  <c r="Q492" i="5"/>
  <c r="R492" i="5"/>
  <c r="S492" i="5"/>
  <c r="T492" i="5"/>
  <c r="U492" i="5"/>
  <c r="V492" i="5"/>
  <c r="W492" i="5"/>
  <c r="X492" i="5"/>
  <c r="B493" i="5"/>
  <c r="C493" i="5"/>
  <c r="D493" i="5"/>
  <c r="E493" i="5"/>
  <c r="F493" i="5"/>
  <c r="G493" i="5"/>
  <c r="H493" i="5"/>
  <c r="I493" i="5"/>
  <c r="J493" i="5"/>
  <c r="K493" i="5"/>
  <c r="L493" i="5"/>
  <c r="M493" i="5"/>
  <c r="N493" i="5"/>
  <c r="AC493" i="5" s="1"/>
  <c r="O493" i="5"/>
  <c r="P493" i="5"/>
  <c r="Q493" i="5"/>
  <c r="R493" i="5"/>
  <c r="S493" i="5"/>
  <c r="T493" i="5"/>
  <c r="U493" i="5"/>
  <c r="V493" i="5"/>
  <c r="W493" i="5"/>
  <c r="X493" i="5"/>
  <c r="B494" i="5"/>
  <c r="C494" i="5"/>
  <c r="D494" i="5"/>
  <c r="E494" i="5"/>
  <c r="F494" i="5"/>
  <c r="G494" i="5"/>
  <c r="H494" i="5"/>
  <c r="I494" i="5"/>
  <c r="J494" i="5"/>
  <c r="K494" i="5"/>
  <c r="L494" i="5"/>
  <c r="M494" i="5"/>
  <c r="N494" i="5"/>
  <c r="O494" i="5"/>
  <c r="P494" i="5"/>
  <c r="Q494" i="5"/>
  <c r="R494" i="5"/>
  <c r="S494" i="5"/>
  <c r="T494" i="5"/>
  <c r="U494" i="5"/>
  <c r="V494" i="5"/>
  <c r="W494" i="5"/>
  <c r="X494" i="5"/>
  <c r="B495" i="5"/>
  <c r="C495" i="5"/>
  <c r="D495" i="5"/>
  <c r="E495" i="5"/>
  <c r="F495" i="5"/>
  <c r="G495" i="5"/>
  <c r="H495" i="5"/>
  <c r="I495" i="5"/>
  <c r="J495" i="5"/>
  <c r="K495" i="5"/>
  <c r="L495" i="5"/>
  <c r="M495" i="5"/>
  <c r="N495" i="5"/>
  <c r="O495" i="5"/>
  <c r="P495" i="5"/>
  <c r="Q495" i="5"/>
  <c r="R495" i="5"/>
  <c r="S495" i="5"/>
  <c r="T495" i="5"/>
  <c r="U495" i="5"/>
  <c r="V495" i="5"/>
  <c r="W495" i="5"/>
  <c r="X495" i="5"/>
  <c r="B496" i="5"/>
  <c r="C496" i="5"/>
  <c r="D496" i="5"/>
  <c r="E496" i="5"/>
  <c r="F496" i="5"/>
  <c r="G496" i="5"/>
  <c r="H496" i="5"/>
  <c r="I496" i="5"/>
  <c r="J496" i="5"/>
  <c r="K496" i="5"/>
  <c r="L496" i="5"/>
  <c r="M496" i="5"/>
  <c r="N496" i="5"/>
  <c r="O496" i="5"/>
  <c r="P496" i="5"/>
  <c r="Q496" i="5"/>
  <c r="R496" i="5"/>
  <c r="S496" i="5"/>
  <c r="T496" i="5"/>
  <c r="U496" i="5"/>
  <c r="V496" i="5"/>
  <c r="W496" i="5"/>
  <c r="X496" i="5"/>
  <c r="B497" i="5"/>
  <c r="C497" i="5"/>
  <c r="D497" i="5"/>
  <c r="E497" i="5"/>
  <c r="F497" i="5"/>
  <c r="G497" i="5"/>
  <c r="H497" i="5"/>
  <c r="I497" i="5"/>
  <c r="J497" i="5"/>
  <c r="K497" i="5"/>
  <c r="L497" i="5"/>
  <c r="M497" i="5"/>
  <c r="N497" i="5"/>
  <c r="O497" i="5"/>
  <c r="P497" i="5"/>
  <c r="Q497" i="5"/>
  <c r="R497" i="5"/>
  <c r="S497" i="5"/>
  <c r="T497" i="5"/>
  <c r="U497" i="5"/>
  <c r="V497" i="5"/>
  <c r="W497" i="5"/>
  <c r="X497" i="5"/>
  <c r="B498" i="5"/>
  <c r="C498" i="5"/>
  <c r="D498" i="5"/>
  <c r="E498" i="5"/>
  <c r="F498" i="5"/>
  <c r="G498" i="5"/>
  <c r="H498" i="5"/>
  <c r="I498" i="5"/>
  <c r="J498" i="5"/>
  <c r="K498" i="5"/>
  <c r="L498" i="5"/>
  <c r="M498" i="5"/>
  <c r="N498" i="5"/>
  <c r="O498" i="5"/>
  <c r="P498" i="5"/>
  <c r="Q498" i="5"/>
  <c r="R498" i="5"/>
  <c r="S498" i="5"/>
  <c r="T498" i="5"/>
  <c r="U498" i="5"/>
  <c r="V498" i="5"/>
  <c r="W498" i="5"/>
  <c r="X498" i="5"/>
  <c r="B499" i="5"/>
  <c r="C499" i="5"/>
  <c r="D499" i="5"/>
  <c r="E499" i="5"/>
  <c r="F499" i="5"/>
  <c r="G499" i="5"/>
  <c r="H499" i="5"/>
  <c r="I499" i="5"/>
  <c r="J499" i="5"/>
  <c r="K499" i="5"/>
  <c r="L499" i="5"/>
  <c r="M499" i="5"/>
  <c r="N499" i="5"/>
  <c r="AC499" i="5" s="1"/>
  <c r="O499" i="5"/>
  <c r="P499" i="5"/>
  <c r="Q499" i="5"/>
  <c r="R499" i="5"/>
  <c r="S499" i="5"/>
  <c r="T499" i="5"/>
  <c r="U499" i="5"/>
  <c r="V499" i="5"/>
  <c r="W499" i="5"/>
  <c r="X499" i="5"/>
  <c r="B500" i="5"/>
  <c r="C500" i="5"/>
  <c r="D500" i="5"/>
  <c r="E500" i="5"/>
  <c r="F500" i="5"/>
  <c r="G500" i="5"/>
  <c r="H500" i="5"/>
  <c r="I500" i="5"/>
  <c r="J500" i="5"/>
  <c r="K500" i="5"/>
  <c r="L500" i="5"/>
  <c r="M500" i="5"/>
  <c r="N500" i="5"/>
  <c r="O500" i="5"/>
  <c r="P500" i="5"/>
  <c r="Q500" i="5"/>
  <c r="R500" i="5"/>
  <c r="S500" i="5"/>
  <c r="T500" i="5"/>
  <c r="U500" i="5"/>
  <c r="V500" i="5"/>
  <c r="W500" i="5"/>
  <c r="X500" i="5"/>
  <c r="B501" i="5"/>
  <c r="C501" i="5"/>
  <c r="D501" i="5"/>
  <c r="E501" i="5"/>
  <c r="F501" i="5"/>
  <c r="G501" i="5"/>
  <c r="H501" i="5"/>
  <c r="I501" i="5"/>
  <c r="J501" i="5"/>
  <c r="K501" i="5"/>
  <c r="L501" i="5"/>
  <c r="M501" i="5"/>
  <c r="N501" i="5"/>
  <c r="O501" i="5"/>
  <c r="P501" i="5"/>
  <c r="AC501" i="5" s="1"/>
  <c r="Q501" i="5"/>
  <c r="R501" i="5"/>
  <c r="S501" i="5"/>
  <c r="T501" i="5"/>
  <c r="U501" i="5"/>
  <c r="V501" i="5"/>
  <c r="W501" i="5"/>
  <c r="X501" i="5"/>
  <c r="B502" i="5"/>
  <c r="C502" i="5"/>
  <c r="D502" i="5"/>
  <c r="E502" i="5"/>
  <c r="F502" i="5"/>
  <c r="G502" i="5"/>
  <c r="H502" i="5"/>
  <c r="I502" i="5"/>
  <c r="J502" i="5"/>
  <c r="K502" i="5"/>
  <c r="L502" i="5"/>
  <c r="M502" i="5"/>
  <c r="N502" i="5"/>
  <c r="O502" i="5"/>
  <c r="P502" i="5"/>
  <c r="Q502" i="5"/>
  <c r="R502" i="5"/>
  <c r="S502" i="5"/>
  <c r="T502" i="5"/>
  <c r="U502" i="5"/>
  <c r="V502" i="5"/>
  <c r="W502" i="5"/>
  <c r="X502" i="5"/>
  <c r="B503" i="5"/>
  <c r="C503" i="5"/>
  <c r="D503" i="5"/>
  <c r="E503" i="5"/>
  <c r="F503" i="5"/>
  <c r="G503" i="5"/>
  <c r="H503" i="5"/>
  <c r="I503" i="5"/>
  <c r="J503" i="5"/>
  <c r="K503" i="5"/>
  <c r="L503" i="5"/>
  <c r="M503" i="5"/>
  <c r="N503" i="5"/>
  <c r="O503" i="5"/>
  <c r="P503" i="5"/>
  <c r="Q503" i="5"/>
  <c r="R503" i="5"/>
  <c r="S503" i="5"/>
  <c r="T503" i="5"/>
  <c r="U503" i="5"/>
  <c r="V503" i="5"/>
  <c r="W503" i="5"/>
  <c r="X503" i="5"/>
  <c r="B504" i="5"/>
  <c r="C504" i="5"/>
  <c r="D504" i="5"/>
  <c r="E504" i="5"/>
  <c r="F504" i="5"/>
  <c r="G504" i="5"/>
  <c r="H504" i="5"/>
  <c r="I504" i="5"/>
  <c r="J504" i="5"/>
  <c r="K504" i="5"/>
  <c r="L504" i="5"/>
  <c r="M504" i="5"/>
  <c r="N504" i="5"/>
  <c r="O504" i="5"/>
  <c r="P504" i="5"/>
  <c r="Q504" i="5"/>
  <c r="R504" i="5"/>
  <c r="S504" i="5"/>
  <c r="T504" i="5"/>
  <c r="U504" i="5"/>
  <c r="V504" i="5"/>
  <c r="W504" i="5"/>
  <c r="X504" i="5"/>
  <c r="B505" i="5"/>
  <c r="C505" i="5"/>
  <c r="D505" i="5"/>
  <c r="E505" i="5"/>
  <c r="F505" i="5"/>
  <c r="G505" i="5"/>
  <c r="H505" i="5"/>
  <c r="I505" i="5"/>
  <c r="J505" i="5"/>
  <c r="K505" i="5"/>
  <c r="L505" i="5"/>
  <c r="M505" i="5"/>
  <c r="N505" i="5"/>
  <c r="O505" i="5"/>
  <c r="P505" i="5"/>
  <c r="Q505" i="5"/>
  <c r="R505" i="5"/>
  <c r="S505" i="5"/>
  <c r="T505" i="5"/>
  <c r="U505" i="5"/>
  <c r="V505" i="5"/>
  <c r="W505" i="5"/>
  <c r="X505" i="5"/>
  <c r="B506" i="5"/>
  <c r="C506" i="5"/>
  <c r="D506" i="5"/>
  <c r="E506" i="5"/>
  <c r="F506" i="5"/>
  <c r="G506" i="5"/>
  <c r="H506" i="5"/>
  <c r="I506" i="5"/>
  <c r="J506" i="5"/>
  <c r="K506" i="5"/>
  <c r="L506" i="5"/>
  <c r="M506" i="5"/>
  <c r="N506" i="5"/>
  <c r="O506" i="5"/>
  <c r="P506" i="5"/>
  <c r="Q506" i="5"/>
  <c r="R506" i="5"/>
  <c r="S506" i="5"/>
  <c r="T506" i="5"/>
  <c r="U506" i="5"/>
  <c r="V506" i="5"/>
  <c r="W506" i="5"/>
  <c r="X506" i="5"/>
  <c r="B507" i="5"/>
  <c r="C507" i="5"/>
  <c r="D507" i="5"/>
  <c r="E507" i="5"/>
  <c r="F507" i="5"/>
  <c r="G507" i="5"/>
  <c r="H507" i="5"/>
  <c r="I507" i="5"/>
  <c r="J507" i="5"/>
  <c r="K507" i="5"/>
  <c r="L507" i="5"/>
  <c r="M507" i="5"/>
  <c r="N507" i="5"/>
  <c r="O507" i="5"/>
  <c r="P507" i="5"/>
  <c r="Q507" i="5"/>
  <c r="R507" i="5"/>
  <c r="S507" i="5"/>
  <c r="T507" i="5"/>
  <c r="U507" i="5"/>
  <c r="V507" i="5"/>
  <c r="W507" i="5"/>
  <c r="X507" i="5"/>
  <c r="B508" i="5"/>
  <c r="C508" i="5"/>
  <c r="D508" i="5"/>
  <c r="E508" i="5"/>
  <c r="F508" i="5"/>
  <c r="G508" i="5"/>
  <c r="H508" i="5"/>
  <c r="I508" i="5"/>
  <c r="J508" i="5"/>
  <c r="K508" i="5"/>
  <c r="L508" i="5"/>
  <c r="M508" i="5"/>
  <c r="AC508" i="5" s="1"/>
  <c r="N508" i="5"/>
  <c r="O508" i="5"/>
  <c r="P508" i="5"/>
  <c r="Q508" i="5"/>
  <c r="R508" i="5"/>
  <c r="S508" i="5"/>
  <c r="T508" i="5"/>
  <c r="U508" i="5"/>
  <c r="V508" i="5"/>
  <c r="W508" i="5"/>
  <c r="X508" i="5"/>
  <c r="B509" i="5"/>
  <c r="C509" i="5"/>
  <c r="D509" i="5"/>
  <c r="E509" i="5"/>
  <c r="F509" i="5"/>
  <c r="G509" i="5"/>
  <c r="H509" i="5"/>
  <c r="I509" i="5"/>
  <c r="J509" i="5"/>
  <c r="K509" i="5"/>
  <c r="L509" i="5"/>
  <c r="M509" i="5"/>
  <c r="N509" i="5"/>
  <c r="AC509" i="5" s="1"/>
  <c r="O509" i="5"/>
  <c r="P509" i="5"/>
  <c r="Q509" i="5"/>
  <c r="R509" i="5"/>
  <c r="S509" i="5"/>
  <c r="T509" i="5"/>
  <c r="U509" i="5"/>
  <c r="V509" i="5"/>
  <c r="W509" i="5"/>
  <c r="X509" i="5"/>
  <c r="B510" i="5"/>
  <c r="C510" i="5"/>
  <c r="D510" i="5"/>
  <c r="E510" i="5"/>
  <c r="F510" i="5"/>
  <c r="G510" i="5"/>
  <c r="H510" i="5"/>
  <c r="I510" i="5"/>
  <c r="J510" i="5"/>
  <c r="K510" i="5"/>
  <c r="L510" i="5"/>
  <c r="M510" i="5"/>
  <c r="N510" i="5"/>
  <c r="O510" i="5"/>
  <c r="P510" i="5"/>
  <c r="Q510" i="5"/>
  <c r="R510" i="5"/>
  <c r="S510" i="5"/>
  <c r="T510" i="5"/>
  <c r="U510" i="5"/>
  <c r="V510" i="5"/>
  <c r="W510" i="5"/>
  <c r="X510" i="5"/>
  <c r="B511" i="5"/>
  <c r="C511" i="5"/>
  <c r="D511" i="5"/>
  <c r="E511" i="5"/>
  <c r="F511" i="5"/>
  <c r="G511" i="5"/>
  <c r="H511" i="5"/>
  <c r="I511" i="5"/>
  <c r="J511" i="5"/>
  <c r="K511" i="5"/>
  <c r="L511" i="5"/>
  <c r="M511" i="5"/>
  <c r="N511" i="5"/>
  <c r="O511" i="5"/>
  <c r="P511" i="5"/>
  <c r="Q511" i="5"/>
  <c r="R511" i="5"/>
  <c r="S511" i="5"/>
  <c r="T511" i="5"/>
  <c r="U511" i="5"/>
  <c r="V511" i="5"/>
  <c r="W511" i="5"/>
  <c r="X511" i="5"/>
  <c r="B512" i="5"/>
  <c r="C512" i="5"/>
  <c r="D512" i="5"/>
  <c r="E512" i="5"/>
  <c r="F512" i="5"/>
  <c r="G512" i="5"/>
  <c r="H512" i="5"/>
  <c r="I512" i="5"/>
  <c r="J512" i="5"/>
  <c r="K512" i="5"/>
  <c r="L512" i="5"/>
  <c r="M512" i="5"/>
  <c r="N512" i="5"/>
  <c r="O512" i="5"/>
  <c r="P512" i="5"/>
  <c r="Q512" i="5"/>
  <c r="R512" i="5"/>
  <c r="S512" i="5"/>
  <c r="T512" i="5"/>
  <c r="U512" i="5"/>
  <c r="V512" i="5"/>
  <c r="W512" i="5"/>
  <c r="X512" i="5"/>
  <c r="B513" i="5"/>
  <c r="C513" i="5"/>
  <c r="D513" i="5"/>
  <c r="E513" i="5"/>
  <c r="F513" i="5"/>
  <c r="G513" i="5"/>
  <c r="H513" i="5"/>
  <c r="I513" i="5"/>
  <c r="J513" i="5"/>
  <c r="K513" i="5"/>
  <c r="L513" i="5"/>
  <c r="M513" i="5"/>
  <c r="N513" i="5"/>
  <c r="O513" i="5"/>
  <c r="P513" i="5"/>
  <c r="Q513" i="5"/>
  <c r="R513" i="5"/>
  <c r="S513" i="5"/>
  <c r="T513" i="5"/>
  <c r="U513" i="5"/>
  <c r="V513" i="5"/>
  <c r="W513" i="5"/>
  <c r="X513" i="5"/>
  <c r="B514" i="5"/>
  <c r="C514" i="5"/>
  <c r="D514" i="5"/>
  <c r="E514" i="5"/>
  <c r="F514" i="5"/>
  <c r="G514" i="5"/>
  <c r="H514" i="5"/>
  <c r="I514" i="5"/>
  <c r="J514" i="5"/>
  <c r="K514" i="5"/>
  <c r="L514" i="5"/>
  <c r="M514" i="5"/>
  <c r="N514" i="5"/>
  <c r="O514" i="5"/>
  <c r="P514" i="5"/>
  <c r="Q514" i="5"/>
  <c r="R514" i="5"/>
  <c r="S514" i="5"/>
  <c r="T514" i="5"/>
  <c r="U514" i="5"/>
  <c r="V514" i="5"/>
  <c r="W514" i="5"/>
  <c r="X514" i="5"/>
  <c r="B515" i="5"/>
  <c r="C515" i="5"/>
  <c r="D515" i="5"/>
  <c r="E515" i="5"/>
  <c r="F515" i="5"/>
  <c r="G515" i="5"/>
  <c r="H515" i="5"/>
  <c r="I515" i="5"/>
  <c r="J515" i="5"/>
  <c r="K515" i="5"/>
  <c r="L515" i="5"/>
  <c r="M515" i="5"/>
  <c r="N515" i="5"/>
  <c r="O515" i="5"/>
  <c r="P515" i="5"/>
  <c r="Q515" i="5"/>
  <c r="R515" i="5"/>
  <c r="S515" i="5"/>
  <c r="T515" i="5"/>
  <c r="U515" i="5"/>
  <c r="V515" i="5"/>
  <c r="W515" i="5"/>
  <c r="X515" i="5"/>
  <c r="B516" i="5"/>
  <c r="C516" i="5"/>
  <c r="D516" i="5"/>
  <c r="E516" i="5"/>
  <c r="F516" i="5"/>
  <c r="G516" i="5"/>
  <c r="H516" i="5"/>
  <c r="I516" i="5"/>
  <c r="J516" i="5"/>
  <c r="K516" i="5"/>
  <c r="L516" i="5"/>
  <c r="M516" i="5"/>
  <c r="N516" i="5"/>
  <c r="O516" i="5"/>
  <c r="P516" i="5"/>
  <c r="Q516" i="5"/>
  <c r="R516" i="5"/>
  <c r="S516" i="5"/>
  <c r="T516" i="5"/>
  <c r="U516" i="5"/>
  <c r="V516" i="5"/>
  <c r="W516" i="5"/>
  <c r="X516" i="5"/>
  <c r="B517" i="5"/>
  <c r="C517" i="5"/>
  <c r="D517" i="5"/>
  <c r="E517" i="5"/>
  <c r="F517" i="5"/>
  <c r="G517" i="5"/>
  <c r="H517" i="5"/>
  <c r="I517" i="5"/>
  <c r="J517" i="5"/>
  <c r="K517" i="5"/>
  <c r="L517" i="5"/>
  <c r="M517" i="5"/>
  <c r="N517" i="5"/>
  <c r="O517" i="5"/>
  <c r="P517" i="5"/>
  <c r="Q517" i="5"/>
  <c r="R517" i="5"/>
  <c r="S517" i="5"/>
  <c r="T517" i="5"/>
  <c r="U517" i="5"/>
  <c r="V517" i="5"/>
  <c r="W517" i="5"/>
  <c r="X517" i="5"/>
  <c r="AC517" i="5"/>
  <c r="B518" i="5"/>
  <c r="C518" i="5"/>
  <c r="D518" i="5"/>
  <c r="E518" i="5"/>
  <c r="F518" i="5"/>
  <c r="G518" i="5"/>
  <c r="H518" i="5"/>
  <c r="I518" i="5"/>
  <c r="J518" i="5"/>
  <c r="K518" i="5"/>
  <c r="L518" i="5"/>
  <c r="M518" i="5"/>
  <c r="N518" i="5"/>
  <c r="O518" i="5"/>
  <c r="P518" i="5"/>
  <c r="Q518" i="5"/>
  <c r="R518" i="5"/>
  <c r="S518" i="5"/>
  <c r="T518" i="5"/>
  <c r="U518" i="5"/>
  <c r="V518" i="5"/>
  <c r="W518" i="5"/>
  <c r="X518" i="5"/>
  <c r="B519" i="5"/>
  <c r="C519" i="5"/>
  <c r="D519" i="5"/>
  <c r="E519" i="5"/>
  <c r="F519" i="5"/>
  <c r="G519" i="5"/>
  <c r="H519" i="5"/>
  <c r="I519" i="5"/>
  <c r="J519" i="5"/>
  <c r="K519" i="5"/>
  <c r="L519" i="5"/>
  <c r="M519" i="5"/>
  <c r="N519" i="5"/>
  <c r="AC519" i="5" s="1"/>
  <c r="O519" i="5"/>
  <c r="P519" i="5"/>
  <c r="Q519" i="5"/>
  <c r="R519" i="5"/>
  <c r="S519" i="5"/>
  <c r="T519" i="5"/>
  <c r="U519" i="5"/>
  <c r="V519" i="5"/>
  <c r="W519" i="5"/>
  <c r="X519" i="5"/>
  <c r="B520" i="5"/>
  <c r="C520" i="5"/>
  <c r="D520" i="5"/>
  <c r="E520" i="5"/>
  <c r="F520" i="5"/>
  <c r="G520" i="5"/>
  <c r="H520" i="5"/>
  <c r="I520" i="5"/>
  <c r="J520" i="5"/>
  <c r="K520" i="5"/>
  <c r="L520" i="5"/>
  <c r="M520" i="5"/>
  <c r="N520" i="5"/>
  <c r="O520" i="5"/>
  <c r="P520" i="5"/>
  <c r="Q520" i="5"/>
  <c r="R520" i="5"/>
  <c r="S520" i="5"/>
  <c r="T520" i="5"/>
  <c r="U520" i="5"/>
  <c r="V520" i="5"/>
  <c r="W520" i="5"/>
  <c r="X520" i="5"/>
  <c r="B521" i="5"/>
  <c r="C521" i="5"/>
  <c r="D521" i="5"/>
  <c r="E521" i="5"/>
  <c r="F521" i="5"/>
  <c r="G521" i="5"/>
  <c r="H521" i="5"/>
  <c r="I521" i="5"/>
  <c r="J521" i="5"/>
  <c r="K521" i="5"/>
  <c r="L521" i="5"/>
  <c r="M521" i="5"/>
  <c r="N521" i="5"/>
  <c r="O521" i="5"/>
  <c r="P521" i="5"/>
  <c r="Q521" i="5"/>
  <c r="R521" i="5"/>
  <c r="S521" i="5"/>
  <c r="T521" i="5"/>
  <c r="U521" i="5"/>
  <c r="V521" i="5"/>
  <c r="W521" i="5"/>
  <c r="X521" i="5"/>
  <c r="B522" i="5"/>
  <c r="C522" i="5"/>
  <c r="D522" i="5"/>
  <c r="E522" i="5"/>
  <c r="F522" i="5"/>
  <c r="G522" i="5"/>
  <c r="H522" i="5"/>
  <c r="I522" i="5"/>
  <c r="J522" i="5"/>
  <c r="K522" i="5"/>
  <c r="L522" i="5"/>
  <c r="M522" i="5"/>
  <c r="N522" i="5"/>
  <c r="O522" i="5"/>
  <c r="P522" i="5"/>
  <c r="Q522" i="5"/>
  <c r="R522" i="5"/>
  <c r="S522" i="5"/>
  <c r="T522" i="5"/>
  <c r="U522" i="5"/>
  <c r="V522" i="5"/>
  <c r="W522" i="5"/>
  <c r="X522" i="5"/>
  <c r="B523" i="5"/>
  <c r="C523" i="5"/>
  <c r="D523" i="5"/>
  <c r="E523" i="5"/>
  <c r="F523" i="5"/>
  <c r="G523" i="5"/>
  <c r="H523" i="5"/>
  <c r="I523" i="5"/>
  <c r="J523" i="5"/>
  <c r="K523" i="5"/>
  <c r="L523" i="5"/>
  <c r="M523" i="5"/>
  <c r="N523" i="5"/>
  <c r="O523" i="5"/>
  <c r="P523" i="5"/>
  <c r="Q523" i="5"/>
  <c r="R523" i="5"/>
  <c r="S523" i="5"/>
  <c r="T523" i="5"/>
  <c r="U523" i="5"/>
  <c r="V523" i="5"/>
  <c r="W523" i="5"/>
  <c r="X523" i="5"/>
  <c r="B524" i="5"/>
  <c r="C524" i="5"/>
  <c r="D524" i="5"/>
  <c r="E524" i="5"/>
  <c r="F524" i="5"/>
  <c r="G524" i="5"/>
  <c r="H524" i="5"/>
  <c r="I524" i="5"/>
  <c r="J524" i="5"/>
  <c r="K524" i="5"/>
  <c r="L524" i="5"/>
  <c r="M524" i="5"/>
  <c r="N524" i="5"/>
  <c r="O524" i="5"/>
  <c r="P524" i="5"/>
  <c r="Q524" i="5"/>
  <c r="R524" i="5"/>
  <c r="S524" i="5"/>
  <c r="T524" i="5"/>
  <c r="U524" i="5"/>
  <c r="V524" i="5"/>
  <c r="W524" i="5"/>
  <c r="X524" i="5"/>
  <c r="B525" i="5"/>
  <c r="C525" i="5"/>
  <c r="D525" i="5"/>
  <c r="E525" i="5"/>
  <c r="F525" i="5"/>
  <c r="G525" i="5"/>
  <c r="H525" i="5"/>
  <c r="I525" i="5"/>
  <c r="J525" i="5"/>
  <c r="K525" i="5"/>
  <c r="L525" i="5"/>
  <c r="M525" i="5"/>
  <c r="N525" i="5"/>
  <c r="AC525" i="5" s="1"/>
  <c r="O525" i="5"/>
  <c r="P525" i="5"/>
  <c r="Q525" i="5"/>
  <c r="R525" i="5"/>
  <c r="S525" i="5"/>
  <c r="T525" i="5"/>
  <c r="U525" i="5"/>
  <c r="V525" i="5"/>
  <c r="W525" i="5"/>
  <c r="X525" i="5"/>
  <c r="B526" i="5"/>
  <c r="C526" i="5"/>
  <c r="D526" i="5"/>
  <c r="E526" i="5"/>
  <c r="F526" i="5"/>
  <c r="G526" i="5"/>
  <c r="H526" i="5"/>
  <c r="I526" i="5"/>
  <c r="J526" i="5"/>
  <c r="K526" i="5"/>
  <c r="L526" i="5"/>
  <c r="M526" i="5"/>
  <c r="N526" i="5"/>
  <c r="O526" i="5"/>
  <c r="P526" i="5"/>
  <c r="Q526" i="5"/>
  <c r="R526" i="5"/>
  <c r="S526" i="5"/>
  <c r="T526" i="5"/>
  <c r="U526" i="5"/>
  <c r="V526" i="5"/>
  <c r="W526" i="5"/>
  <c r="X526" i="5"/>
  <c r="B527" i="5"/>
  <c r="C527" i="5"/>
  <c r="D527" i="5"/>
  <c r="E527" i="5"/>
  <c r="F527" i="5"/>
  <c r="G527" i="5"/>
  <c r="H527" i="5"/>
  <c r="I527" i="5"/>
  <c r="J527" i="5"/>
  <c r="K527" i="5"/>
  <c r="L527" i="5"/>
  <c r="M527" i="5"/>
  <c r="N527" i="5"/>
  <c r="O527" i="5"/>
  <c r="P527" i="5"/>
  <c r="Q527" i="5"/>
  <c r="R527" i="5"/>
  <c r="S527" i="5"/>
  <c r="T527" i="5"/>
  <c r="U527" i="5"/>
  <c r="V527" i="5"/>
  <c r="W527" i="5"/>
  <c r="X527" i="5"/>
  <c r="B528" i="5"/>
  <c r="C528" i="5"/>
  <c r="D528" i="5"/>
  <c r="E528" i="5"/>
  <c r="F528" i="5"/>
  <c r="G528" i="5"/>
  <c r="H528" i="5"/>
  <c r="I528" i="5"/>
  <c r="J528" i="5"/>
  <c r="K528" i="5"/>
  <c r="L528" i="5"/>
  <c r="M528" i="5"/>
  <c r="N528" i="5"/>
  <c r="O528" i="5"/>
  <c r="P528" i="5"/>
  <c r="Q528" i="5"/>
  <c r="R528" i="5"/>
  <c r="S528" i="5"/>
  <c r="T528" i="5"/>
  <c r="U528" i="5"/>
  <c r="V528" i="5"/>
  <c r="W528" i="5"/>
  <c r="X528" i="5"/>
  <c r="B529" i="5"/>
  <c r="C529" i="5"/>
  <c r="D529" i="5"/>
  <c r="E529" i="5"/>
  <c r="F529" i="5"/>
  <c r="G529" i="5"/>
  <c r="H529" i="5"/>
  <c r="I529" i="5"/>
  <c r="J529" i="5"/>
  <c r="K529" i="5"/>
  <c r="L529" i="5"/>
  <c r="M529" i="5"/>
  <c r="N529" i="5"/>
  <c r="O529" i="5"/>
  <c r="P529" i="5"/>
  <c r="Q529" i="5"/>
  <c r="R529" i="5"/>
  <c r="S529" i="5"/>
  <c r="T529" i="5"/>
  <c r="U529" i="5"/>
  <c r="V529" i="5"/>
  <c r="W529" i="5"/>
  <c r="X529" i="5"/>
  <c r="B530" i="5"/>
  <c r="C530" i="5"/>
  <c r="D530" i="5"/>
  <c r="E530" i="5"/>
  <c r="F530" i="5"/>
  <c r="G530" i="5"/>
  <c r="H530" i="5"/>
  <c r="I530" i="5"/>
  <c r="J530" i="5"/>
  <c r="K530" i="5"/>
  <c r="L530" i="5"/>
  <c r="M530" i="5"/>
  <c r="N530" i="5"/>
  <c r="O530" i="5"/>
  <c r="P530" i="5"/>
  <c r="Q530" i="5"/>
  <c r="R530" i="5"/>
  <c r="S530" i="5"/>
  <c r="T530" i="5"/>
  <c r="U530" i="5"/>
  <c r="V530" i="5"/>
  <c r="W530" i="5"/>
  <c r="X530" i="5"/>
  <c r="B531" i="5"/>
  <c r="C531" i="5"/>
  <c r="D531" i="5"/>
  <c r="E531" i="5"/>
  <c r="F531" i="5"/>
  <c r="G531" i="5"/>
  <c r="H531" i="5"/>
  <c r="I531" i="5"/>
  <c r="J531" i="5"/>
  <c r="K531" i="5"/>
  <c r="L531" i="5"/>
  <c r="M531" i="5"/>
  <c r="N531" i="5"/>
  <c r="O531" i="5"/>
  <c r="P531" i="5"/>
  <c r="Q531" i="5"/>
  <c r="R531" i="5"/>
  <c r="S531" i="5"/>
  <c r="T531" i="5"/>
  <c r="U531" i="5"/>
  <c r="V531" i="5"/>
  <c r="W531" i="5"/>
  <c r="X531" i="5"/>
  <c r="B532" i="5"/>
  <c r="C532" i="5"/>
  <c r="D532" i="5"/>
  <c r="E532" i="5"/>
  <c r="F532" i="5"/>
  <c r="G532" i="5"/>
  <c r="H532" i="5"/>
  <c r="I532" i="5"/>
  <c r="J532" i="5"/>
  <c r="K532" i="5"/>
  <c r="L532" i="5"/>
  <c r="M532" i="5"/>
  <c r="N532" i="5"/>
  <c r="O532" i="5"/>
  <c r="P532" i="5"/>
  <c r="Q532" i="5"/>
  <c r="R532" i="5"/>
  <c r="S532" i="5"/>
  <c r="T532" i="5"/>
  <c r="U532" i="5"/>
  <c r="V532" i="5"/>
  <c r="W532" i="5"/>
  <c r="X532" i="5"/>
  <c r="B533" i="5"/>
  <c r="C533" i="5"/>
  <c r="D533" i="5"/>
  <c r="E533" i="5"/>
  <c r="F533" i="5"/>
  <c r="G533" i="5"/>
  <c r="H533" i="5"/>
  <c r="I533" i="5"/>
  <c r="J533" i="5"/>
  <c r="K533" i="5"/>
  <c r="L533" i="5"/>
  <c r="M533" i="5"/>
  <c r="N533" i="5"/>
  <c r="O533" i="5"/>
  <c r="AC533" i="5" s="1"/>
  <c r="P533" i="5"/>
  <c r="Q533" i="5"/>
  <c r="R533" i="5"/>
  <c r="S533" i="5"/>
  <c r="T533" i="5"/>
  <c r="U533" i="5"/>
  <c r="V533" i="5"/>
  <c r="W533" i="5"/>
  <c r="X533" i="5"/>
  <c r="B534" i="5"/>
  <c r="C534" i="5"/>
  <c r="D534" i="5"/>
  <c r="E534" i="5"/>
  <c r="F534" i="5"/>
  <c r="G534" i="5"/>
  <c r="H534" i="5"/>
  <c r="I534" i="5"/>
  <c r="J534" i="5"/>
  <c r="K534" i="5"/>
  <c r="L534" i="5"/>
  <c r="M534" i="5"/>
  <c r="N534" i="5"/>
  <c r="O534" i="5"/>
  <c r="P534" i="5"/>
  <c r="Q534" i="5"/>
  <c r="R534" i="5"/>
  <c r="S534" i="5"/>
  <c r="T534" i="5"/>
  <c r="U534" i="5"/>
  <c r="V534" i="5"/>
  <c r="W534" i="5"/>
  <c r="X534" i="5"/>
  <c r="B535" i="5"/>
  <c r="C535" i="5"/>
  <c r="D535" i="5"/>
  <c r="E535" i="5"/>
  <c r="F535" i="5"/>
  <c r="G535" i="5"/>
  <c r="H535" i="5"/>
  <c r="I535" i="5"/>
  <c r="J535" i="5"/>
  <c r="K535" i="5"/>
  <c r="L535" i="5"/>
  <c r="M535" i="5"/>
  <c r="N535" i="5"/>
  <c r="O535" i="5"/>
  <c r="P535" i="5"/>
  <c r="Q535" i="5"/>
  <c r="R535" i="5"/>
  <c r="S535" i="5"/>
  <c r="T535" i="5"/>
  <c r="U535" i="5"/>
  <c r="V535" i="5"/>
  <c r="W535" i="5"/>
  <c r="X535" i="5"/>
  <c r="B536" i="5"/>
  <c r="C536" i="5"/>
  <c r="D536" i="5"/>
  <c r="E536" i="5"/>
  <c r="F536" i="5"/>
  <c r="G536" i="5"/>
  <c r="H536" i="5"/>
  <c r="I536" i="5"/>
  <c r="J536" i="5"/>
  <c r="K536" i="5"/>
  <c r="L536" i="5"/>
  <c r="M536" i="5"/>
  <c r="N536" i="5"/>
  <c r="O536" i="5"/>
  <c r="P536" i="5"/>
  <c r="Q536" i="5"/>
  <c r="R536" i="5"/>
  <c r="S536" i="5"/>
  <c r="T536" i="5"/>
  <c r="U536" i="5"/>
  <c r="V536" i="5"/>
  <c r="W536" i="5"/>
  <c r="X536" i="5"/>
  <c r="B537" i="5"/>
  <c r="C537" i="5"/>
  <c r="D537" i="5"/>
  <c r="E537" i="5"/>
  <c r="F537" i="5"/>
  <c r="G537" i="5"/>
  <c r="H537" i="5"/>
  <c r="I537" i="5"/>
  <c r="J537" i="5"/>
  <c r="K537" i="5"/>
  <c r="L537" i="5"/>
  <c r="M537" i="5"/>
  <c r="N537" i="5"/>
  <c r="O537" i="5"/>
  <c r="P537" i="5"/>
  <c r="Q537" i="5"/>
  <c r="R537" i="5"/>
  <c r="S537" i="5"/>
  <c r="T537" i="5"/>
  <c r="U537" i="5"/>
  <c r="V537" i="5"/>
  <c r="W537" i="5"/>
  <c r="X537" i="5"/>
  <c r="B538" i="5"/>
  <c r="C538" i="5"/>
  <c r="D538" i="5"/>
  <c r="E538" i="5"/>
  <c r="F538" i="5"/>
  <c r="G538" i="5"/>
  <c r="H538" i="5"/>
  <c r="I538" i="5"/>
  <c r="J538" i="5"/>
  <c r="K538" i="5"/>
  <c r="L538" i="5"/>
  <c r="M538" i="5"/>
  <c r="N538" i="5"/>
  <c r="O538" i="5"/>
  <c r="P538" i="5"/>
  <c r="Q538" i="5"/>
  <c r="R538" i="5"/>
  <c r="S538" i="5"/>
  <c r="T538" i="5"/>
  <c r="U538" i="5"/>
  <c r="V538" i="5"/>
  <c r="W538" i="5"/>
  <c r="X538" i="5"/>
  <c r="B539" i="5"/>
  <c r="C539" i="5"/>
  <c r="D539" i="5"/>
  <c r="E539" i="5"/>
  <c r="F539" i="5"/>
  <c r="G539" i="5"/>
  <c r="H539" i="5"/>
  <c r="I539" i="5"/>
  <c r="J539" i="5"/>
  <c r="K539" i="5"/>
  <c r="L539" i="5"/>
  <c r="M539" i="5"/>
  <c r="N539" i="5"/>
  <c r="O539" i="5"/>
  <c r="P539" i="5"/>
  <c r="Q539" i="5"/>
  <c r="R539" i="5"/>
  <c r="S539" i="5"/>
  <c r="T539" i="5"/>
  <c r="U539" i="5"/>
  <c r="V539" i="5"/>
  <c r="W539" i="5"/>
  <c r="X539" i="5"/>
  <c r="B540" i="5"/>
  <c r="C540" i="5"/>
  <c r="D540" i="5"/>
  <c r="E540" i="5"/>
  <c r="E1113" i="5" s="1"/>
  <c r="F540" i="5"/>
  <c r="G540" i="5"/>
  <c r="H540" i="5"/>
  <c r="I540" i="5"/>
  <c r="J540" i="5"/>
  <c r="K540" i="5"/>
  <c r="L540" i="5"/>
  <c r="M540" i="5"/>
  <c r="N540" i="5"/>
  <c r="O540" i="5"/>
  <c r="P540" i="5"/>
  <c r="Q540" i="5"/>
  <c r="R540" i="5"/>
  <c r="S540" i="5"/>
  <c r="T540" i="5"/>
  <c r="U540" i="5"/>
  <c r="U1113" i="5" s="1"/>
  <c r="V540" i="5"/>
  <c r="W540" i="5"/>
  <c r="X540" i="5"/>
  <c r="B541" i="5"/>
  <c r="C541" i="5"/>
  <c r="D541" i="5"/>
  <c r="E541" i="5"/>
  <c r="F541" i="5"/>
  <c r="G541" i="5"/>
  <c r="H541" i="5"/>
  <c r="I541" i="5"/>
  <c r="J541" i="5"/>
  <c r="K541" i="5"/>
  <c r="L541" i="5"/>
  <c r="M541" i="5"/>
  <c r="N541" i="5"/>
  <c r="AC541" i="5" s="1"/>
  <c r="O541" i="5"/>
  <c r="P541" i="5"/>
  <c r="Q541" i="5"/>
  <c r="R541" i="5"/>
  <c r="S541" i="5"/>
  <c r="T541" i="5"/>
  <c r="U541" i="5"/>
  <c r="V541" i="5"/>
  <c r="W541" i="5"/>
  <c r="X541" i="5"/>
  <c r="B542" i="5"/>
  <c r="C542" i="5"/>
  <c r="D542" i="5"/>
  <c r="E542" i="5"/>
  <c r="F542" i="5"/>
  <c r="G542" i="5"/>
  <c r="H542" i="5"/>
  <c r="I542" i="5"/>
  <c r="J542" i="5"/>
  <c r="K542" i="5"/>
  <c r="L542" i="5"/>
  <c r="M542" i="5"/>
  <c r="N542" i="5"/>
  <c r="O542" i="5"/>
  <c r="P542" i="5"/>
  <c r="Q542" i="5"/>
  <c r="R542" i="5"/>
  <c r="S542" i="5"/>
  <c r="T542" i="5"/>
  <c r="U542" i="5"/>
  <c r="V542" i="5"/>
  <c r="W542" i="5"/>
  <c r="X542" i="5"/>
  <c r="B543" i="5"/>
  <c r="C543" i="5"/>
  <c r="D543" i="5"/>
  <c r="E543" i="5"/>
  <c r="F543" i="5"/>
  <c r="G543" i="5"/>
  <c r="H543" i="5"/>
  <c r="I543" i="5"/>
  <c r="J543" i="5"/>
  <c r="K543" i="5"/>
  <c r="L543" i="5"/>
  <c r="M543" i="5"/>
  <c r="N543" i="5"/>
  <c r="O543" i="5"/>
  <c r="P543" i="5"/>
  <c r="Q543" i="5"/>
  <c r="R543" i="5"/>
  <c r="S543" i="5"/>
  <c r="T543" i="5"/>
  <c r="U543" i="5"/>
  <c r="V543" i="5"/>
  <c r="W543" i="5"/>
  <c r="X543" i="5"/>
  <c r="B544" i="5"/>
  <c r="C544" i="5"/>
  <c r="D544" i="5"/>
  <c r="E544" i="5"/>
  <c r="F544" i="5"/>
  <c r="G544" i="5"/>
  <c r="H544" i="5"/>
  <c r="I544" i="5"/>
  <c r="J544" i="5"/>
  <c r="K544" i="5"/>
  <c r="L544" i="5"/>
  <c r="M544" i="5"/>
  <c r="N544" i="5"/>
  <c r="O544" i="5"/>
  <c r="P544" i="5"/>
  <c r="Q544" i="5"/>
  <c r="R544" i="5"/>
  <c r="S544" i="5"/>
  <c r="T544" i="5"/>
  <c r="U544" i="5"/>
  <c r="V544" i="5"/>
  <c r="W544" i="5"/>
  <c r="X544" i="5"/>
  <c r="B545" i="5"/>
  <c r="C545" i="5"/>
  <c r="D545" i="5"/>
  <c r="E545" i="5"/>
  <c r="F545" i="5"/>
  <c r="G545" i="5"/>
  <c r="H545" i="5"/>
  <c r="I545" i="5"/>
  <c r="J545" i="5"/>
  <c r="K545" i="5"/>
  <c r="L545" i="5"/>
  <c r="M545" i="5"/>
  <c r="N545" i="5"/>
  <c r="O545" i="5"/>
  <c r="P545" i="5"/>
  <c r="Q545" i="5"/>
  <c r="R545" i="5"/>
  <c r="S545" i="5"/>
  <c r="T545" i="5"/>
  <c r="U545" i="5"/>
  <c r="V545" i="5"/>
  <c r="W545" i="5"/>
  <c r="X545" i="5"/>
  <c r="B546" i="5"/>
  <c r="C546" i="5"/>
  <c r="D546" i="5"/>
  <c r="E546" i="5"/>
  <c r="F546" i="5"/>
  <c r="G546" i="5"/>
  <c r="H546" i="5"/>
  <c r="I546" i="5"/>
  <c r="J546" i="5"/>
  <c r="K546" i="5"/>
  <c r="L546" i="5"/>
  <c r="M546" i="5"/>
  <c r="N546" i="5"/>
  <c r="O546" i="5"/>
  <c r="P546" i="5"/>
  <c r="Q546" i="5"/>
  <c r="R546" i="5"/>
  <c r="S546" i="5"/>
  <c r="T546" i="5"/>
  <c r="U546" i="5"/>
  <c r="V546" i="5"/>
  <c r="W546" i="5"/>
  <c r="X546" i="5"/>
  <c r="B547" i="5"/>
  <c r="C547" i="5"/>
  <c r="D547" i="5"/>
  <c r="E547" i="5"/>
  <c r="F547" i="5"/>
  <c r="G547" i="5"/>
  <c r="H547" i="5"/>
  <c r="I547" i="5"/>
  <c r="J547" i="5"/>
  <c r="K547" i="5"/>
  <c r="L547" i="5"/>
  <c r="M547" i="5"/>
  <c r="N547" i="5"/>
  <c r="O547" i="5"/>
  <c r="P547" i="5"/>
  <c r="Q547" i="5"/>
  <c r="R547" i="5"/>
  <c r="S547" i="5"/>
  <c r="T547" i="5"/>
  <c r="U547" i="5"/>
  <c r="V547" i="5"/>
  <c r="W547" i="5"/>
  <c r="X547" i="5"/>
  <c r="B548" i="5"/>
  <c r="C548" i="5"/>
  <c r="D548" i="5"/>
  <c r="E548" i="5"/>
  <c r="F548" i="5"/>
  <c r="G548" i="5"/>
  <c r="H548" i="5"/>
  <c r="I548" i="5"/>
  <c r="J548" i="5"/>
  <c r="K548" i="5"/>
  <c r="L548" i="5"/>
  <c r="M548" i="5"/>
  <c r="N548" i="5"/>
  <c r="O548" i="5"/>
  <c r="P548" i="5"/>
  <c r="Q548" i="5"/>
  <c r="R548" i="5"/>
  <c r="S548" i="5"/>
  <c r="T548" i="5"/>
  <c r="U548" i="5"/>
  <c r="V548" i="5"/>
  <c r="W548" i="5"/>
  <c r="X548" i="5"/>
  <c r="B549" i="5"/>
  <c r="C549" i="5"/>
  <c r="D549" i="5"/>
  <c r="E549" i="5"/>
  <c r="F549" i="5"/>
  <c r="G549" i="5"/>
  <c r="H549" i="5"/>
  <c r="I549" i="5"/>
  <c r="J549" i="5"/>
  <c r="K549" i="5"/>
  <c r="L549" i="5"/>
  <c r="M549" i="5"/>
  <c r="N549" i="5"/>
  <c r="O549" i="5"/>
  <c r="P549" i="5"/>
  <c r="Q549" i="5"/>
  <c r="R549" i="5"/>
  <c r="S549" i="5"/>
  <c r="T549" i="5"/>
  <c r="U549" i="5"/>
  <c r="V549" i="5"/>
  <c r="W549" i="5"/>
  <c r="X549" i="5"/>
  <c r="AC549" i="5"/>
  <c r="B550" i="5"/>
  <c r="C550" i="5"/>
  <c r="D550" i="5"/>
  <c r="E550" i="5"/>
  <c r="F550" i="5"/>
  <c r="G550" i="5"/>
  <c r="H550" i="5"/>
  <c r="I550" i="5"/>
  <c r="J550" i="5"/>
  <c r="K550" i="5"/>
  <c r="L550" i="5"/>
  <c r="M550" i="5"/>
  <c r="N550" i="5"/>
  <c r="O550" i="5"/>
  <c r="P550" i="5"/>
  <c r="Q550" i="5"/>
  <c r="R550" i="5"/>
  <c r="S550" i="5"/>
  <c r="T550" i="5"/>
  <c r="U550" i="5"/>
  <c r="V550" i="5"/>
  <c r="W550" i="5"/>
  <c r="X550" i="5"/>
  <c r="B551" i="5"/>
  <c r="C551" i="5"/>
  <c r="D551" i="5"/>
  <c r="E551" i="5"/>
  <c r="F551" i="5"/>
  <c r="G551" i="5"/>
  <c r="H551" i="5"/>
  <c r="I551" i="5"/>
  <c r="J551" i="5"/>
  <c r="K551" i="5"/>
  <c r="L551" i="5"/>
  <c r="M551" i="5"/>
  <c r="N551" i="5"/>
  <c r="O551" i="5"/>
  <c r="P551" i="5"/>
  <c r="Q551" i="5"/>
  <c r="R551" i="5"/>
  <c r="S551" i="5"/>
  <c r="T551" i="5"/>
  <c r="U551" i="5"/>
  <c r="V551" i="5"/>
  <c r="W551" i="5"/>
  <c r="X551" i="5"/>
  <c r="B552" i="5"/>
  <c r="C552" i="5"/>
  <c r="D552" i="5"/>
  <c r="E552" i="5"/>
  <c r="F552" i="5"/>
  <c r="G552" i="5"/>
  <c r="H552" i="5"/>
  <c r="I552" i="5"/>
  <c r="J552" i="5"/>
  <c r="K552" i="5"/>
  <c r="L552" i="5"/>
  <c r="M552" i="5"/>
  <c r="N552" i="5"/>
  <c r="O552" i="5"/>
  <c r="P552" i="5"/>
  <c r="Q552" i="5"/>
  <c r="R552" i="5"/>
  <c r="S552" i="5"/>
  <c r="T552" i="5"/>
  <c r="U552" i="5"/>
  <c r="V552" i="5"/>
  <c r="W552" i="5"/>
  <c r="X552" i="5"/>
  <c r="B553" i="5"/>
  <c r="C553" i="5"/>
  <c r="D553" i="5"/>
  <c r="E553" i="5"/>
  <c r="F553" i="5"/>
  <c r="G553" i="5"/>
  <c r="H553" i="5"/>
  <c r="I553" i="5"/>
  <c r="J553" i="5"/>
  <c r="K553" i="5"/>
  <c r="L553" i="5"/>
  <c r="M553" i="5"/>
  <c r="N553" i="5"/>
  <c r="O553" i="5"/>
  <c r="P553" i="5"/>
  <c r="Q553" i="5"/>
  <c r="R553" i="5"/>
  <c r="S553" i="5"/>
  <c r="T553" i="5"/>
  <c r="U553" i="5"/>
  <c r="V553" i="5"/>
  <c r="W553" i="5"/>
  <c r="X553" i="5"/>
  <c r="B554" i="5"/>
  <c r="C554" i="5"/>
  <c r="D554" i="5"/>
  <c r="E554" i="5"/>
  <c r="F554" i="5"/>
  <c r="G554" i="5"/>
  <c r="H554" i="5"/>
  <c r="I554" i="5"/>
  <c r="J554" i="5"/>
  <c r="K554" i="5"/>
  <c r="L554" i="5"/>
  <c r="M554" i="5"/>
  <c r="N554" i="5"/>
  <c r="O554" i="5"/>
  <c r="P554" i="5"/>
  <c r="Q554" i="5"/>
  <c r="R554" i="5"/>
  <c r="S554" i="5"/>
  <c r="T554" i="5"/>
  <c r="U554" i="5"/>
  <c r="V554" i="5"/>
  <c r="W554" i="5"/>
  <c r="X554" i="5"/>
  <c r="B555" i="5"/>
  <c r="C555" i="5"/>
  <c r="D555" i="5"/>
  <c r="E555" i="5"/>
  <c r="F555" i="5"/>
  <c r="G555" i="5"/>
  <c r="H555" i="5"/>
  <c r="I555" i="5"/>
  <c r="J555" i="5"/>
  <c r="K555" i="5"/>
  <c r="L555" i="5"/>
  <c r="M555" i="5"/>
  <c r="N555" i="5"/>
  <c r="AC555" i="5" s="1"/>
  <c r="O555" i="5"/>
  <c r="P555" i="5"/>
  <c r="Q555" i="5"/>
  <c r="R555" i="5"/>
  <c r="S555" i="5"/>
  <c r="T555" i="5"/>
  <c r="U555" i="5"/>
  <c r="V555" i="5"/>
  <c r="W555" i="5"/>
  <c r="X555" i="5"/>
  <c r="B556" i="5"/>
  <c r="C556" i="5"/>
  <c r="D556" i="5"/>
  <c r="E556" i="5"/>
  <c r="F556" i="5"/>
  <c r="G556" i="5"/>
  <c r="H556" i="5"/>
  <c r="I556" i="5"/>
  <c r="J556" i="5"/>
  <c r="K556" i="5"/>
  <c r="L556" i="5"/>
  <c r="M556" i="5"/>
  <c r="N556" i="5"/>
  <c r="O556" i="5"/>
  <c r="P556" i="5"/>
  <c r="Q556" i="5"/>
  <c r="R556" i="5"/>
  <c r="S556" i="5"/>
  <c r="T556" i="5"/>
  <c r="U556" i="5"/>
  <c r="V556" i="5"/>
  <c r="W556" i="5"/>
  <c r="X556" i="5"/>
  <c r="B557" i="5"/>
  <c r="C557" i="5"/>
  <c r="D557" i="5"/>
  <c r="E557" i="5"/>
  <c r="F557" i="5"/>
  <c r="G557" i="5"/>
  <c r="H557" i="5"/>
  <c r="I557" i="5"/>
  <c r="J557" i="5"/>
  <c r="K557" i="5"/>
  <c r="L557" i="5"/>
  <c r="M557" i="5"/>
  <c r="N557" i="5"/>
  <c r="O557" i="5"/>
  <c r="P557" i="5"/>
  <c r="Q557" i="5"/>
  <c r="R557" i="5"/>
  <c r="S557" i="5"/>
  <c r="T557" i="5"/>
  <c r="U557" i="5"/>
  <c r="V557" i="5"/>
  <c r="W557" i="5"/>
  <c r="X557" i="5"/>
  <c r="AC557" i="5"/>
  <c r="B558" i="5"/>
  <c r="C558" i="5"/>
  <c r="D558" i="5"/>
  <c r="E558" i="5"/>
  <c r="F558" i="5"/>
  <c r="G558" i="5"/>
  <c r="H558" i="5"/>
  <c r="I558" i="5"/>
  <c r="J558" i="5"/>
  <c r="K558" i="5"/>
  <c r="L558" i="5"/>
  <c r="M558" i="5"/>
  <c r="N558" i="5"/>
  <c r="O558" i="5"/>
  <c r="P558" i="5"/>
  <c r="Q558" i="5"/>
  <c r="R558" i="5"/>
  <c r="S558" i="5"/>
  <c r="T558" i="5"/>
  <c r="U558" i="5"/>
  <c r="V558" i="5"/>
  <c r="W558" i="5"/>
  <c r="X558" i="5"/>
  <c r="B559" i="5"/>
  <c r="C559" i="5"/>
  <c r="D559" i="5"/>
  <c r="E559" i="5"/>
  <c r="F559" i="5"/>
  <c r="G559" i="5"/>
  <c r="H559" i="5"/>
  <c r="I559" i="5"/>
  <c r="J559" i="5"/>
  <c r="K559" i="5"/>
  <c r="L559" i="5"/>
  <c r="M559" i="5"/>
  <c r="N559" i="5"/>
  <c r="O559" i="5"/>
  <c r="P559" i="5"/>
  <c r="Q559" i="5"/>
  <c r="R559" i="5"/>
  <c r="S559" i="5"/>
  <c r="T559" i="5"/>
  <c r="U559" i="5"/>
  <c r="V559" i="5"/>
  <c r="W559" i="5"/>
  <c r="X559" i="5"/>
  <c r="B560" i="5"/>
  <c r="C560" i="5"/>
  <c r="D560" i="5"/>
  <c r="E560" i="5"/>
  <c r="F560" i="5"/>
  <c r="G560" i="5"/>
  <c r="H560" i="5"/>
  <c r="I560" i="5"/>
  <c r="J560" i="5"/>
  <c r="K560" i="5"/>
  <c r="L560" i="5"/>
  <c r="M560" i="5"/>
  <c r="N560" i="5"/>
  <c r="O560" i="5"/>
  <c r="P560" i="5"/>
  <c r="Q560" i="5"/>
  <c r="R560" i="5"/>
  <c r="S560" i="5"/>
  <c r="T560" i="5"/>
  <c r="U560" i="5"/>
  <c r="V560" i="5"/>
  <c r="W560" i="5"/>
  <c r="X560" i="5"/>
  <c r="B561" i="5"/>
  <c r="C561" i="5"/>
  <c r="D561" i="5"/>
  <c r="E561" i="5"/>
  <c r="F561" i="5"/>
  <c r="G561" i="5"/>
  <c r="H561" i="5"/>
  <c r="I561" i="5"/>
  <c r="J561" i="5"/>
  <c r="K561" i="5"/>
  <c r="L561" i="5"/>
  <c r="M561" i="5"/>
  <c r="N561" i="5"/>
  <c r="O561" i="5"/>
  <c r="P561" i="5"/>
  <c r="Q561" i="5"/>
  <c r="R561" i="5"/>
  <c r="S561" i="5"/>
  <c r="T561" i="5"/>
  <c r="U561" i="5"/>
  <c r="V561" i="5"/>
  <c r="W561" i="5"/>
  <c r="X561" i="5"/>
  <c r="B562" i="5"/>
  <c r="C562" i="5"/>
  <c r="D562" i="5"/>
  <c r="E562" i="5"/>
  <c r="F562" i="5"/>
  <c r="G562" i="5"/>
  <c r="H562" i="5"/>
  <c r="I562" i="5"/>
  <c r="J562" i="5"/>
  <c r="K562" i="5"/>
  <c r="L562" i="5"/>
  <c r="M562" i="5"/>
  <c r="N562" i="5"/>
  <c r="O562" i="5"/>
  <c r="P562" i="5"/>
  <c r="Q562" i="5"/>
  <c r="R562" i="5"/>
  <c r="S562" i="5"/>
  <c r="T562" i="5"/>
  <c r="U562" i="5"/>
  <c r="V562" i="5"/>
  <c r="W562" i="5"/>
  <c r="X562" i="5"/>
  <c r="B563" i="5"/>
  <c r="C563" i="5"/>
  <c r="D563" i="5"/>
  <c r="E563" i="5"/>
  <c r="F563" i="5"/>
  <c r="G563" i="5"/>
  <c r="H563" i="5"/>
  <c r="I563" i="5"/>
  <c r="J563" i="5"/>
  <c r="K563" i="5"/>
  <c r="L563" i="5"/>
  <c r="M563" i="5"/>
  <c r="N563" i="5"/>
  <c r="O563" i="5"/>
  <c r="P563" i="5"/>
  <c r="Q563" i="5"/>
  <c r="R563" i="5"/>
  <c r="S563" i="5"/>
  <c r="T563" i="5"/>
  <c r="U563" i="5"/>
  <c r="V563" i="5"/>
  <c r="W563" i="5"/>
  <c r="X563" i="5"/>
  <c r="B564" i="5"/>
  <c r="C564" i="5"/>
  <c r="D564" i="5"/>
  <c r="E564" i="5"/>
  <c r="F564" i="5"/>
  <c r="G564" i="5"/>
  <c r="H564" i="5"/>
  <c r="I564" i="5"/>
  <c r="J564" i="5"/>
  <c r="K564" i="5"/>
  <c r="L564" i="5"/>
  <c r="M564" i="5"/>
  <c r="N564" i="5"/>
  <c r="O564" i="5"/>
  <c r="P564" i="5"/>
  <c r="Q564" i="5"/>
  <c r="R564" i="5"/>
  <c r="S564" i="5"/>
  <c r="T564" i="5"/>
  <c r="U564" i="5"/>
  <c r="V564" i="5"/>
  <c r="W564" i="5"/>
  <c r="X564" i="5"/>
  <c r="B565" i="5"/>
  <c r="C565" i="5"/>
  <c r="D565" i="5"/>
  <c r="E565" i="5"/>
  <c r="F565" i="5"/>
  <c r="G565" i="5"/>
  <c r="H565" i="5"/>
  <c r="I565" i="5"/>
  <c r="J565" i="5"/>
  <c r="K565" i="5"/>
  <c r="L565" i="5"/>
  <c r="M565" i="5"/>
  <c r="N565" i="5"/>
  <c r="O565" i="5"/>
  <c r="AC565" i="5" s="1"/>
  <c r="P565" i="5"/>
  <c r="Q565" i="5"/>
  <c r="R565" i="5"/>
  <c r="S565" i="5"/>
  <c r="T565" i="5"/>
  <c r="U565" i="5"/>
  <c r="V565" i="5"/>
  <c r="W565" i="5"/>
  <c r="X565" i="5"/>
  <c r="B566" i="5"/>
  <c r="C566" i="5"/>
  <c r="D566" i="5"/>
  <c r="E566" i="5"/>
  <c r="F566" i="5"/>
  <c r="G566" i="5"/>
  <c r="H566" i="5"/>
  <c r="I566" i="5"/>
  <c r="J566" i="5"/>
  <c r="K566" i="5"/>
  <c r="L566" i="5"/>
  <c r="M566" i="5"/>
  <c r="N566" i="5"/>
  <c r="O566" i="5"/>
  <c r="P566" i="5"/>
  <c r="Q566" i="5"/>
  <c r="R566" i="5"/>
  <c r="S566" i="5"/>
  <c r="T566" i="5"/>
  <c r="U566" i="5"/>
  <c r="V566" i="5"/>
  <c r="W566" i="5"/>
  <c r="X566" i="5"/>
  <c r="B567" i="5"/>
  <c r="C567" i="5"/>
  <c r="D567" i="5"/>
  <c r="E567" i="5"/>
  <c r="F567" i="5"/>
  <c r="G567" i="5"/>
  <c r="H567" i="5"/>
  <c r="I567" i="5"/>
  <c r="J567" i="5"/>
  <c r="K567" i="5"/>
  <c r="L567" i="5"/>
  <c r="M567" i="5"/>
  <c r="N567" i="5"/>
  <c r="O567" i="5"/>
  <c r="P567" i="5"/>
  <c r="Q567" i="5"/>
  <c r="R567" i="5"/>
  <c r="S567" i="5"/>
  <c r="T567" i="5"/>
  <c r="U567" i="5"/>
  <c r="V567" i="5"/>
  <c r="W567" i="5"/>
  <c r="X567" i="5"/>
  <c r="B568" i="5"/>
  <c r="C568" i="5"/>
  <c r="D568" i="5"/>
  <c r="E568" i="5"/>
  <c r="F568" i="5"/>
  <c r="G568" i="5"/>
  <c r="H568" i="5"/>
  <c r="I568" i="5"/>
  <c r="J568" i="5"/>
  <c r="K568" i="5"/>
  <c r="L568" i="5"/>
  <c r="M568" i="5"/>
  <c r="N568" i="5"/>
  <c r="O568" i="5"/>
  <c r="P568" i="5"/>
  <c r="Q568" i="5"/>
  <c r="R568" i="5"/>
  <c r="S568" i="5"/>
  <c r="T568" i="5"/>
  <c r="U568" i="5"/>
  <c r="V568" i="5"/>
  <c r="W568" i="5"/>
  <c r="X568" i="5"/>
  <c r="B569" i="5"/>
  <c r="C569" i="5"/>
  <c r="D569" i="5"/>
  <c r="E569" i="5"/>
  <c r="F569" i="5"/>
  <c r="G569" i="5"/>
  <c r="H569" i="5"/>
  <c r="I569" i="5"/>
  <c r="J569" i="5"/>
  <c r="K569" i="5"/>
  <c r="L569" i="5"/>
  <c r="M569" i="5"/>
  <c r="N569" i="5"/>
  <c r="O569" i="5"/>
  <c r="P569" i="5"/>
  <c r="Q569" i="5"/>
  <c r="R569" i="5"/>
  <c r="S569" i="5"/>
  <c r="T569" i="5"/>
  <c r="U569" i="5"/>
  <c r="V569" i="5"/>
  <c r="W569" i="5"/>
  <c r="X569" i="5"/>
  <c r="B570" i="5"/>
  <c r="C570" i="5"/>
  <c r="D570" i="5"/>
  <c r="E570" i="5"/>
  <c r="F570" i="5"/>
  <c r="G570" i="5"/>
  <c r="H570" i="5"/>
  <c r="I570" i="5"/>
  <c r="J570" i="5"/>
  <c r="K570" i="5"/>
  <c r="L570" i="5"/>
  <c r="M570" i="5"/>
  <c r="N570" i="5"/>
  <c r="O570" i="5"/>
  <c r="P570" i="5"/>
  <c r="Q570" i="5"/>
  <c r="R570" i="5"/>
  <c r="S570" i="5"/>
  <c r="T570" i="5"/>
  <c r="U570" i="5"/>
  <c r="V570" i="5"/>
  <c r="W570" i="5"/>
  <c r="X570" i="5"/>
  <c r="B571" i="5"/>
  <c r="C571" i="5"/>
  <c r="D571" i="5"/>
  <c r="E571" i="5"/>
  <c r="F571" i="5"/>
  <c r="G571" i="5"/>
  <c r="H571" i="5"/>
  <c r="I571" i="5"/>
  <c r="J571" i="5"/>
  <c r="K571" i="5"/>
  <c r="L571" i="5"/>
  <c r="M571" i="5"/>
  <c r="N571" i="5"/>
  <c r="AC571" i="5" s="1"/>
  <c r="O571" i="5"/>
  <c r="P571" i="5"/>
  <c r="Q571" i="5"/>
  <c r="R571" i="5"/>
  <c r="S571" i="5"/>
  <c r="T571" i="5"/>
  <c r="U571" i="5"/>
  <c r="V571" i="5"/>
  <c r="W571" i="5"/>
  <c r="X571" i="5"/>
  <c r="B572" i="5"/>
  <c r="C572" i="5"/>
  <c r="D572" i="5"/>
  <c r="E572" i="5"/>
  <c r="F572" i="5"/>
  <c r="G572" i="5"/>
  <c r="H572" i="5"/>
  <c r="I572" i="5"/>
  <c r="J572" i="5"/>
  <c r="K572" i="5"/>
  <c r="L572" i="5"/>
  <c r="M572" i="5"/>
  <c r="N572" i="5"/>
  <c r="O572" i="5"/>
  <c r="P572" i="5"/>
  <c r="Q572" i="5"/>
  <c r="R572" i="5"/>
  <c r="S572" i="5"/>
  <c r="T572" i="5"/>
  <c r="U572" i="5"/>
  <c r="V572" i="5"/>
  <c r="W572" i="5"/>
  <c r="X572" i="5"/>
  <c r="B573" i="5"/>
  <c r="C573" i="5"/>
  <c r="D573" i="5"/>
  <c r="E573" i="5"/>
  <c r="F573" i="5"/>
  <c r="G573" i="5"/>
  <c r="H573" i="5"/>
  <c r="I573" i="5"/>
  <c r="J573" i="5"/>
  <c r="K573" i="5"/>
  <c r="L573" i="5"/>
  <c r="M573" i="5"/>
  <c r="N573" i="5"/>
  <c r="O573" i="5"/>
  <c r="P573" i="5"/>
  <c r="AC573" i="5" s="1"/>
  <c r="Q573" i="5"/>
  <c r="R573" i="5"/>
  <c r="S573" i="5"/>
  <c r="T573" i="5"/>
  <c r="U573" i="5"/>
  <c r="V573" i="5"/>
  <c r="W573" i="5"/>
  <c r="X573" i="5"/>
  <c r="B574" i="5"/>
  <c r="C574" i="5"/>
  <c r="D574" i="5"/>
  <c r="E574" i="5"/>
  <c r="F574" i="5"/>
  <c r="G574" i="5"/>
  <c r="H574" i="5"/>
  <c r="I574" i="5"/>
  <c r="J574" i="5"/>
  <c r="K574" i="5"/>
  <c r="L574" i="5"/>
  <c r="M574" i="5"/>
  <c r="N574" i="5"/>
  <c r="O574" i="5"/>
  <c r="P574" i="5"/>
  <c r="Q574" i="5"/>
  <c r="R574" i="5"/>
  <c r="S574" i="5"/>
  <c r="T574" i="5"/>
  <c r="U574" i="5"/>
  <c r="V574" i="5"/>
  <c r="W574" i="5"/>
  <c r="X574" i="5"/>
  <c r="B575" i="5"/>
  <c r="C575" i="5"/>
  <c r="D575" i="5"/>
  <c r="E575" i="5"/>
  <c r="F575" i="5"/>
  <c r="G575" i="5"/>
  <c r="H575" i="5"/>
  <c r="I575" i="5"/>
  <c r="J575" i="5"/>
  <c r="K575" i="5"/>
  <c r="L575" i="5"/>
  <c r="M575" i="5"/>
  <c r="N575" i="5"/>
  <c r="O575" i="5"/>
  <c r="P575" i="5"/>
  <c r="Q575" i="5"/>
  <c r="R575" i="5"/>
  <c r="S575" i="5"/>
  <c r="T575" i="5"/>
  <c r="U575" i="5"/>
  <c r="V575" i="5"/>
  <c r="W575" i="5"/>
  <c r="X575" i="5"/>
  <c r="B576" i="5"/>
  <c r="C576" i="5"/>
  <c r="D576" i="5"/>
  <c r="E576" i="5"/>
  <c r="F576" i="5"/>
  <c r="G576" i="5"/>
  <c r="H576" i="5"/>
  <c r="I576" i="5"/>
  <c r="J576" i="5"/>
  <c r="K576" i="5"/>
  <c r="L576" i="5"/>
  <c r="M576" i="5"/>
  <c r="N576" i="5"/>
  <c r="O576" i="5"/>
  <c r="P576" i="5"/>
  <c r="Q576" i="5"/>
  <c r="R576" i="5"/>
  <c r="S576" i="5"/>
  <c r="T576" i="5"/>
  <c r="U576" i="5"/>
  <c r="V576" i="5"/>
  <c r="W576" i="5"/>
  <c r="X576" i="5"/>
  <c r="B577" i="5"/>
  <c r="C577" i="5"/>
  <c r="D577" i="5"/>
  <c r="E577" i="5"/>
  <c r="F577" i="5"/>
  <c r="G577" i="5"/>
  <c r="H577" i="5"/>
  <c r="I577" i="5"/>
  <c r="J577" i="5"/>
  <c r="K577" i="5"/>
  <c r="L577" i="5"/>
  <c r="M577" i="5"/>
  <c r="N577" i="5"/>
  <c r="O577" i="5"/>
  <c r="P577" i="5"/>
  <c r="Q577" i="5"/>
  <c r="R577" i="5"/>
  <c r="S577" i="5"/>
  <c r="T577" i="5"/>
  <c r="U577" i="5"/>
  <c r="V577" i="5"/>
  <c r="W577" i="5"/>
  <c r="X577" i="5"/>
  <c r="B578" i="5"/>
  <c r="C578" i="5"/>
  <c r="D578" i="5"/>
  <c r="E578" i="5"/>
  <c r="F578" i="5"/>
  <c r="G578" i="5"/>
  <c r="H578" i="5"/>
  <c r="I578" i="5"/>
  <c r="J578" i="5"/>
  <c r="K578" i="5"/>
  <c r="L578" i="5"/>
  <c r="M578" i="5"/>
  <c r="N578" i="5"/>
  <c r="O578" i="5"/>
  <c r="P578" i="5"/>
  <c r="Q578" i="5"/>
  <c r="R578" i="5"/>
  <c r="S578" i="5"/>
  <c r="T578" i="5"/>
  <c r="U578" i="5"/>
  <c r="V578" i="5"/>
  <c r="W578" i="5"/>
  <c r="X578" i="5"/>
  <c r="B579" i="5"/>
  <c r="C579" i="5"/>
  <c r="D579" i="5"/>
  <c r="E579" i="5"/>
  <c r="F579" i="5"/>
  <c r="G579" i="5"/>
  <c r="H579" i="5"/>
  <c r="I579" i="5"/>
  <c r="J579" i="5"/>
  <c r="K579" i="5"/>
  <c r="L579" i="5"/>
  <c r="M579" i="5"/>
  <c r="N579" i="5"/>
  <c r="O579" i="5"/>
  <c r="P579" i="5"/>
  <c r="Q579" i="5"/>
  <c r="R579" i="5"/>
  <c r="S579" i="5"/>
  <c r="T579" i="5"/>
  <c r="U579" i="5"/>
  <c r="V579" i="5"/>
  <c r="W579" i="5"/>
  <c r="X579" i="5"/>
  <c r="B580" i="5"/>
  <c r="C580" i="5"/>
  <c r="D580" i="5"/>
  <c r="E580" i="5"/>
  <c r="F580" i="5"/>
  <c r="G580" i="5"/>
  <c r="H580" i="5"/>
  <c r="I580" i="5"/>
  <c r="J580" i="5"/>
  <c r="K580" i="5"/>
  <c r="L580" i="5"/>
  <c r="M580" i="5"/>
  <c r="N580" i="5"/>
  <c r="O580" i="5"/>
  <c r="P580" i="5"/>
  <c r="Q580" i="5"/>
  <c r="R580" i="5"/>
  <c r="S580" i="5"/>
  <c r="T580" i="5"/>
  <c r="U580" i="5"/>
  <c r="V580" i="5"/>
  <c r="W580" i="5"/>
  <c r="X580" i="5"/>
  <c r="B581" i="5"/>
  <c r="C581" i="5"/>
  <c r="D581" i="5"/>
  <c r="E581" i="5"/>
  <c r="F581" i="5"/>
  <c r="G581" i="5"/>
  <c r="H581" i="5"/>
  <c r="I581" i="5"/>
  <c r="J581" i="5"/>
  <c r="K581" i="5"/>
  <c r="L581" i="5"/>
  <c r="M581" i="5"/>
  <c r="N581" i="5"/>
  <c r="O581" i="5"/>
  <c r="AC581" i="5" s="1"/>
  <c r="P581" i="5"/>
  <c r="Q581" i="5"/>
  <c r="R581" i="5"/>
  <c r="S581" i="5"/>
  <c r="T581" i="5"/>
  <c r="U581" i="5"/>
  <c r="V581" i="5"/>
  <c r="W581" i="5"/>
  <c r="X581" i="5"/>
  <c r="B582" i="5"/>
  <c r="C582" i="5"/>
  <c r="D582" i="5"/>
  <c r="E582" i="5"/>
  <c r="F582" i="5"/>
  <c r="G582" i="5"/>
  <c r="H582" i="5"/>
  <c r="I582" i="5"/>
  <c r="J582" i="5"/>
  <c r="K582" i="5"/>
  <c r="L582" i="5"/>
  <c r="M582" i="5"/>
  <c r="N582" i="5"/>
  <c r="O582" i="5"/>
  <c r="P582" i="5"/>
  <c r="Q582" i="5"/>
  <c r="R582" i="5"/>
  <c r="S582" i="5"/>
  <c r="T582" i="5"/>
  <c r="U582" i="5"/>
  <c r="V582" i="5"/>
  <c r="W582" i="5"/>
  <c r="X582" i="5"/>
  <c r="B583" i="5"/>
  <c r="C583" i="5"/>
  <c r="D583" i="5"/>
  <c r="E583" i="5"/>
  <c r="F583" i="5"/>
  <c r="G583" i="5"/>
  <c r="H583" i="5"/>
  <c r="I583" i="5"/>
  <c r="J583" i="5"/>
  <c r="K583" i="5"/>
  <c r="L583" i="5"/>
  <c r="M583" i="5"/>
  <c r="N583" i="5"/>
  <c r="O583" i="5"/>
  <c r="P583" i="5"/>
  <c r="Q583" i="5"/>
  <c r="R583" i="5"/>
  <c r="S583" i="5"/>
  <c r="T583" i="5"/>
  <c r="U583" i="5"/>
  <c r="V583" i="5"/>
  <c r="W583" i="5"/>
  <c r="X583" i="5"/>
  <c r="B584" i="5"/>
  <c r="C584" i="5"/>
  <c r="D584" i="5"/>
  <c r="E584" i="5"/>
  <c r="F584" i="5"/>
  <c r="G584" i="5"/>
  <c r="H584" i="5"/>
  <c r="I584" i="5"/>
  <c r="J584" i="5"/>
  <c r="K584" i="5"/>
  <c r="L584" i="5"/>
  <c r="M584" i="5"/>
  <c r="N584" i="5"/>
  <c r="O584" i="5"/>
  <c r="P584" i="5"/>
  <c r="Q584" i="5"/>
  <c r="R584" i="5"/>
  <c r="S584" i="5"/>
  <c r="T584" i="5"/>
  <c r="U584" i="5"/>
  <c r="V584" i="5"/>
  <c r="W584" i="5"/>
  <c r="X584" i="5"/>
  <c r="B585" i="5"/>
  <c r="C585" i="5"/>
  <c r="D585" i="5"/>
  <c r="E585" i="5"/>
  <c r="F585" i="5"/>
  <c r="G585" i="5"/>
  <c r="H585" i="5"/>
  <c r="I585" i="5"/>
  <c r="J585" i="5"/>
  <c r="K585" i="5"/>
  <c r="L585" i="5"/>
  <c r="M585" i="5"/>
  <c r="N585" i="5"/>
  <c r="O585" i="5"/>
  <c r="P585" i="5"/>
  <c r="Q585" i="5"/>
  <c r="R585" i="5"/>
  <c r="S585" i="5"/>
  <c r="T585" i="5"/>
  <c r="U585" i="5"/>
  <c r="V585" i="5"/>
  <c r="W585" i="5"/>
  <c r="X585" i="5"/>
  <c r="B586" i="5"/>
  <c r="C586" i="5"/>
  <c r="D586" i="5"/>
  <c r="E586" i="5"/>
  <c r="F586" i="5"/>
  <c r="G586" i="5"/>
  <c r="H586" i="5"/>
  <c r="I586" i="5"/>
  <c r="J586" i="5"/>
  <c r="K586" i="5"/>
  <c r="L586" i="5"/>
  <c r="M586" i="5"/>
  <c r="N586" i="5"/>
  <c r="O586" i="5"/>
  <c r="P586" i="5"/>
  <c r="Q586" i="5"/>
  <c r="R586" i="5"/>
  <c r="S586" i="5"/>
  <c r="T586" i="5"/>
  <c r="U586" i="5"/>
  <c r="V586" i="5"/>
  <c r="W586" i="5"/>
  <c r="X586" i="5"/>
  <c r="B587" i="5"/>
  <c r="C587" i="5"/>
  <c r="D587" i="5"/>
  <c r="E587" i="5"/>
  <c r="F587" i="5"/>
  <c r="G587" i="5"/>
  <c r="H587" i="5"/>
  <c r="I587" i="5"/>
  <c r="J587" i="5"/>
  <c r="K587" i="5"/>
  <c r="L587" i="5"/>
  <c r="M587" i="5"/>
  <c r="N587" i="5"/>
  <c r="O587" i="5"/>
  <c r="P587" i="5"/>
  <c r="Q587" i="5"/>
  <c r="R587" i="5"/>
  <c r="S587" i="5"/>
  <c r="T587" i="5"/>
  <c r="U587" i="5"/>
  <c r="V587" i="5"/>
  <c r="W587" i="5"/>
  <c r="X587" i="5"/>
  <c r="B588" i="5"/>
  <c r="C588" i="5"/>
  <c r="D588" i="5"/>
  <c r="E588" i="5"/>
  <c r="F588" i="5"/>
  <c r="G588" i="5"/>
  <c r="H588" i="5"/>
  <c r="I588" i="5"/>
  <c r="J588" i="5"/>
  <c r="K588" i="5"/>
  <c r="L588" i="5"/>
  <c r="M588" i="5"/>
  <c r="N588" i="5"/>
  <c r="O588" i="5"/>
  <c r="P588" i="5"/>
  <c r="Q588" i="5"/>
  <c r="R588" i="5"/>
  <c r="S588" i="5"/>
  <c r="T588" i="5"/>
  <c r="U588" i="5"/>
  <c r="V588" i="5"/>
  <c r="W588" i="5"/>
  <c r="X588" i="5"/>
  <c r="B589" i="5"/>
  <c r="C589" i="5"/>
  <c r="D589" i="5"/>
  <c r="E589" i="5"/>
  <c r="F589" i="5"/>
  <c r="G589" i="5"/>
  <c r="H589" i="5"/>
  <c r="I589" i="5"/>
  <c r="J589" i="5"/>
  <c r="K589" i="5"/>
  <c r="L589" i="5"/>
  <c r="M589" i="5"/>
  <c r="N589" i="5"/>
  <c r="AC589" i="5" s="1"/>
  <c r="O589" i="5"/>
  <c r="P589" i="5"/>
  <c r="Q589" i="5"/>
  <c r="R589" i="5"/>
  <c r="S589" i="5"/>
  <c r="T589" i="5"/>
  <c r="U589" i="5"/>
  <c r="V589" i="5"/>
  <c r="W589" i="5"/>
  <c r="X589" i="5"/>
  <c r="B590" i="5"/>
  <c r="C590" i="5"/>
  <c r="D590" i="5"/>
  <c r="E590" i="5"/>
  <c r="F590" i="5"/>
  <c r="G590" i="5"/>
  <c r="H590" i="5"/>
  <c r="I590" i="5"/>
  <c r="J590" i="5"/>
  <c r="K590" i="5"/>
  <c r="L590" i="5"/>
  <c r="M590" i="5"/>
  <c r="N590" i="5"/>
  <c r="O590" i="5"/>
  <c r="P590" i="5"/>
  <c r="Q590" i="5"/>
  <c r="R590" i="5"/>
  <c r="S590" i="5"/>
  <c r="T590" i="5"/>
  <c r="U590" i="5"/>
  <c r="V590" i="5"/>
  <c r="W590" i="5"/>
  <c r="X590" i="5"/>
  <c r="B591" i="5"/>
  <c r="C591" i="5"/>
  <c r="D591" i="5"/>
  <c r="E591" i="5"/>
  <c r="F591" i="5"/>
  <c r="G591" i="5"/>
  <c r="H591" i="5"/>
  <c r="I591" i="5"/>
  <c r="J591" i="5"/>
  <c r="K591" i="5"/>
  <c r="L591" i="5"/>
  <c r="M591" i="5"/>
  <c r="N591" i="5"/>
  <c r="O591" i="5"/>
  <c r="P591" i="5"/>
  <c r="Q591" i="5"/>
  <c r="R591" i="5"/>
  <c r="S591" i="5"/>
  <c r="T591" i="5"/>
  <c r="U591" i="5"/>
  <c r="V591" i="5"/>
  <c r="W591" i="5"/>
  <c r="X591" i="5"/>
  <c r="B592" i="5"/>
  <c r="C592" i="5"/>
  <c r="D592" i="5"/>
  <c r="E592" i="5"/>
  <c r="F592" i="5"/>
  <c r="G592" i="5"/>
  <c r="H592" i="5"/>
  <c r="I592" i="5"/>
  <c r="J592" i="5"/>
  <c r="K592" i="5"/>
  <c r="L592" i="5"/>
  <c r="M592" i="5"/>
  <c r="N592" i="5"/>
  <c r="O592" i="5"/>
  <c r="P592" i="5"/>
  <c r="Q592" i="5"/>
  <c r="R592" i="5"/>
  <c r="S592" i="5"/>
  <c r="T592" i="5"/>
  <c r="U592" i="5"/>
  <c r="V592" i="5"/>
  <c r="W592" i="5"/>
  <c r="X592" i="5"/>
  <c r="B593" i="5"/>
  <c r="C593" i="5"/>
  <c r="D593" i="5"/>
  <c r="E593" i="5"/>
  <c r="F593" i="5"/>
  <c r="G593" i="5"/>
  <c r="H593" i="5"/>
  <c r="I593" i="5"/>
  <c r="J593" i="5"/>
  <c r="K593" i="5"/>
  <c r="L593" i="5"/>
  <c r="M593" i="5"/>
  <c r="N593" i="5"/>
  <c r="O593" i="5"/>
  <c r="P593" i="5"/>
  <c r="Q593" i="5"/>
  <c r="R593" i="5"/>
  <c r="S593" i="5"/>
  <c r="T593" i="5"/>
  <c r="U593" i="5"/>
  <c r="V593" i="5"/>
  <c r="W593" i="5"/>
  <c r="X593" i="5"/>
  <c r="B594" i="5"/>
  <c r="C594" i="5"/>
  <c r="D594" i="5"/>
  <c r="E594" i="5"/>
  <c r="F594" i="5"/>
  <c r="G594" i="5"/>
  <c r="H594" i="5"/>
  <c r="I594" i="5"/>
  <c r="J594" i="5"/>
  <c r="K594" i="5"/>
  <c r="L594" i="5"/>
  <c r="M594" i="5"/>
  <c r="N594" i="5"/>
  <c r="O594" i="5"/>
  <c r="P594" i="5"/>
  <c r="Q594" i="5"/>
  <c r="R594" i="5"/>
  <c r="S594" i="5"/>
  <c r="T594" i="5"/>
  <c r="U594" i="5"/>
  <c r="V594" i="5"/>
  <c r="W594" i="5"/>
  <c r="X594" i="5"/>
  <c r="B595" i="5"/>
  <c r="C595" i="5"/>
  <c r="D595" i="5"/>
  <c r="E595" i="5"/>
  <c r="F595" i="5"/>
  <c r="G595" i="5"/>
  <c r="H595" i="5"/>
  <c r="I595" i="5"/>
  <c r="J595" i="5"/>
  <c r="K595" i="5"/>
  <c r="L595" i="5"/>
  <c r="M595" i="5"/>
  <c r="N595" i="5"/>
  <c r="O595" i="5"/>
  <c r="P595" i="5"/>
  <c r="Q595" i="5"/>
  <c r="R595" i="5"/>
  <c r="S595" i="5"/>
  <c r="T595" i="5"/>
  <c r="U595" i="5"/>
  <c r="V595" i="5"/>
  <c r="W595" i="5"/>
  <c r="X595" i="5"/>
  <c r="B596" i="5"/>
  <c r="C596" i="5"/>
  <c r="D596" i="5"/>
  <c r="E596" i="5"/>
  <c r="F596" i="5"/>
  <c r="G596" i="5"/>
  <c r="H596" i="5"/>
  <c r="I596" i="5"/>
  <c r="J596" i="5"/>
  <c r="K596" i="5"/>
  <c r="L596" i="5"/>
  <c r="M596" i="5"/>
  <c r="N596" i="5"/>
  <c r="O596" i="5"/>
  <c r="P596" i="5"/>
  <c r="Q596" i="5"/>
  <c r="R596" i="5"/>
  <c r="S596" i="5"/>
  <c r="T596" i="5"/>
  <c r="U596" i="5"/>
  <c r="V596" i="5"/>
  <c r="W596" i="5"/>
  <c r="X596" i="5"/>
  <c r="B597" i="5"/>
  <c r="C597" i="5"/>
  <c r="D597" i="5"/>
  <c r="E597" i="5"/>
  <c r="F597" i="5"/>
  <c r="G597" i="5"/>
  <c r="H597" i="5"/>
  <c r="I597" i="5"/>
  <c r="J597" i="5"/>
  <c r="K597" i="5"/>
  <c r="L597" i="5"/>
  <c r="M597" i="5"/>
  <c r="N597" i="5"/>
  <c r="O597" i="5"/>
  <c r="AC597" i="5" s="1"/>
  <c r="P597" i="5"/>
  <c r="Q597" i="5"/>
  <c r="R597" i="5"/>
  <c r="S597" i="5"/>
  <c r="T597" i="5"/>
  <c r="U597" i="5"/>
  <c r="V597" i="5"/>
  <c r="W597" i="5"/>
  <c r="X597" i="5"/>
  <c r="B598" i="5"/>
  <c r="C598" i="5"/>
  <c r="D598" i="5"/>
  <c r="E598" i="5"/>
  <c r="F598" i="5"/>
  <c r="G598" i="5"/>
  <c r="H598" i="5"/>
  <c r="I598" i="5"/>
  <c r="J598" i="5"/>
  <c r="K598" i="5"/>
  <c r="L598" i="5"/>
  <c r="M598" i="5"/>
  <c r="N598" i="5"/>
  <c r="O598" i="5"/>
  <c r="P598" i="5"/>
  <c r="Q598" i="5"/>
  <c r="R598" i="5"/>
  <c r="S598" i="5"/>
  <c r="T598" i="5"/>
  <c r="U598" i="5"/>
  <c r="V598" i="5"/>
  <c r="W598" i="5"/>
  <c r="X598" i="5"/>
  <c r="B599" i="5"/>
  <c r="C599" i="5"/>
  <c r="D599" i="5"/>
  <c r="E599" i="5"/>
  <c r="F599" i="5"/>
  <c r="G599" i="5"/>
  <c r="H599" i="5"/>
  <c r="I599" i="5"/>
  <c r="J599" i="5"/>
  <c r="K599" i="5"/>
  <c r="L599" i="5"/>
  <c r="M599" i="5"/>
  <c r="N599" i="5"/>
  <c r="O599" i="5"/>
  <c r="P599" i="5"/>
  <c r="Q599" i="5"/>
  <c r="R599" i="5"/>
  <c r="S599" i="5"/>
  <c r="T599" i="5"/>
  <c r="U599" i="5"/>
  <c r="V599" i="5"/>
  <c r="W599" i="5"/>
  <c r="X599" i="5"/>
  <c r="B600" i="5"/>
  <c r="C600" i="5"/>
  <c r="D600" i="5"/>
  <c r="E600" i="5"/>
  <c r="F600" i="5"/>
  <c r="G600" i="5"/>
  <c r="H600" i="5"/>
  <c r="I600" i="5"/>
  <c r="J600" i="5"/>
  <c r="K600" i="5"/>
  <c r="L600" i="5"/>
  <c r="M600" i="5"/>
  <c r="N600" i="5"/>
  <c r="O600" i="5"/>
  <c r="P600" i="5"/>
  <c r="Q600" i="5"/>
  <c r="R600" i="5"/>
  <c r="S600" i="5"/>
  <c r="T600" i="5"/>
  <c r="U600" i="5"/>
  <c r="V600" i="5"/>
  <c r="W600" i="5"/>
  <c r="X600" i="5"/>
  <c r="B601" i="5"/>
  <c r="C601" i="5"/>
  <c r="D601" i="5"/>
  <c r="E601" i="5"/>
  <c r="F601" i="5"/>
  <c r="G601" i="5"/>
  <c r="H601" i="5"/>
  <c r="I601" i="5"/>
  <c r="J601" i="5"/>
  <c r="K601" i="5"/>
  <c r="L601" i="5"/>
  <c r="M601" i="5"/>
  <c r="N601" i="5"/>
  <c r="O601" i="5"/>
  <c r="P601" i="5"/>
  <c r="Q601" i="5"/>
  <c r="R601" i="5"/>
  <c r="S601" i="5"/>
  <c r="T601" i="5"/>
  <c r="U601" i="5"/>
  <c r="V601" i="5"/>
  <c r="W601" i="5"/>
  <c r="X601" i="5"/>
  <c r="B602" i="5"/>
  <c r="C602" i="5"/>
  <c r="D602" i="5"/>
  <c r="E602" i="5"/>
  <c r="F602" i="5"/>
  <c r="G602" i="5"/>
  <c r="H602" i="5"/>
  <c r="I602" i="5"/>
  <c r="J602" i="5"/>
  <c r="K602" i="5"/>
  <c r="L602" i="5"/>
  <c r="M602" i="5"/>
  <c r="N602" i="5"/>
  <c r="O602" i="5"/>
  <c r="P602" i="5"/>
  <c r="Q602" i="5"/>
  <c r="R602" i="5"/>
  <c r="S602" i="5"/>
  <c r="T602" i="5"/>
  <c r="U602" i="5"/>
  <c r="V602" i="5"/>
  <c r="W602" i="5"/>
  <c r="X602" i="5"/>
  <c r="B603" i="5"/>
  <c r="C603" i="5"/>
  <c r="D603" i="5"/>
  <c r="E603" i="5"/>
  <c r="F603" i="5"/>
  <c r="G603" i="5"/>
  <c r="H603" i="5"/>
  <c r="I603" i="5"/>
  <c r="J603" i="5"/>
  <c r="K603" i="5"/>
  <c r="L603" i="5"/>
  <c r="M603" i="5"/>
  <c r="N603" i="5"/>
  <c r="AC603" i="5" s="1"/>
  <c r="O603" i="5"/>
  <c r="P603" i="5"/>
  <c r="Q603" i="5"/>
  <c r="R603" i="5"/>
  <c r="S603" i="5"/>
  <c r="T603" i="5"/>
  <c r="U603" i="5"/>
  <c r="V603" i="5"/>
  <c r="W603" i="5"/>
  <c r="X603" i="5"/>
  <c r="B604" i="5"/>
  <c r="C604" i="5"/>
  <c r="D604" i="5"/>
  <c r="E604" i="5"/>
  <c r="F604" i="5"/>
  <c r="G604" i="5"/>
  <c r="H604" i="5"/>
  <c r="I604" i="5"/>
  <c r="J604" i="5"/>
  <c r="K604" i="5"/>
  <c r="L604" i="5"/>
  <c r="M604" i="5"/>
  <c r="N604" i="5"/>
  <c r="O604" i="5"/>
  <c r="P604" i="5"/>
  <c r="Q604" i="5"/>
  <c r="R604" i="5"/>
  <c r="S604" i="5"/>
  <c r="T604" i="5"/>
  <c r="U604" i="5"/>
  <c r="V604" i="5"/>
  <c r="W604" i="5"/>
  <c r="X604" i="5"/>
  <c r="B605" i="5"/>
  <c r="C605" i="5"/>
  <c r="D605" i="5"/>
  <c r="E605" i="5"/>
  <c r="F605" i="5"/>
  <c r="G605" i="5"/>
  <c r="H605" i="5"/>
  <c r="I605" i="5"/>
  <c r="J605" i="5"/>
  <c r="K605" i="5"/>
  <c r="L605" i="5"/>
  <c r="M605" i="5"/>
  <c r="N605" i="5"/>
  <c r="O605" i="5"/>
  <c r="P605" i="5"/>
  <c r="Q605" i="5"/>
  <c r="R605" i="5"/>
  <c r="S605" i="5"/>
  <c r="T605" i="5"/>
  <c r="U605" i="5"/>
  <c r="V605" i="5"/>
  <c r="W605" i="5"/>
  <c r="X605" i="5"/>
  <c r="AC605" i="5"/>
  <c r="B606" i="5"/>
  <c r="C606" i="5"/>
  <c r="D606" i="5"/>
  <c r="E606" i="5"/>
  <c r="F606" i="5"/>
  <c r="G606" i="5"/>
  <c r="H606" i="5"/>
  <c r="I606" i="5"/>
  <c r="J606" i="5"/>
  <c r="K606" i="5"/>
  <c r="L606" i="5"/>
  <c r="M606" i="5"/>
  <c r="N606" i="5"/>
  <c r="O606" i="5"/>
  <c r="P606" i="5"/>
  <c r="Q606" i="5"/>
  <c r="R606" i="5"/>
  <c r="S606" i="5"/>
  <c r="T606" i="5"/>
  <c r="U606" i="5"/>
  <c r="V606" i="5"/>
  <c r="W606" i="5"/>
  <c r="X606" i="5"/>
  <c r="B607" i="5"/>
  <c r="C607" i="5"/>
  <c r="D607" i="5"/>
  <c r="E607" i="5"/>
  <c r="F607" i="5"/>
  <c r="G607" i="5"/>
  <c r="H607" i="5"/>
  <c r="I607" i="5"/>
  <c r="J607" i="5"/>
  <c r="K607" i="5"/>
  <c r="L607" i="5"/>
  <c r="M607" i="5"/>
  <c r="N607" i="5"/>
  <c r="O607" i="5"/>
  <c r="P607" i="5"/>
  <c r="Q607" i="5"/>
  <c r="R607" i="5"/>
  <c r="S607" i="5"/>
  <c r="T607" i="5"/>
  <c r="U607" i="5"/>
  <c r="V607" i="5"/>
  <c r="W607" i="5"/>
  <c r="X607" i="5"/>
  <c r="B608" i="5"/>
  <c r="C608" i="5"/>
  <c r="D608" i="5"/>
  <c r="E608" i="5"/>
  <c r="F608" i="5"/>
  <c r="G608" i="5"/>
  <c r="H608" i="5"/>
  <c r="I608" i="5"/>
  <c r="J608" i="5"/>
  <c r="K608" i="5"/>
  <c r="L608" i="5"/>
  <c r="M608" i="5"/>
  <c r="N608" i="5"/>
  <c r="O608" i="5"/>
  <c r="P608" i="5"/>
  <c r="Q608" i="5"/>
  <c r="R608" i="5"/>
  <c r="S608" i="5"/>
  <c r="T608" i="5"/>
  <c r="U608" i="5"/>
  <c r="V608" i="5"/>
  <c r="W608" i="5"/>
  <c r="X608" i="5"/>
  <c r="B609" i="5"/>
  <c r="C609" i="5"/>
  <c r="D609" i="5"/>
  <c r="E609" i="5"/>
  <c r="F609" i="5"/>
  <c r="G609" i="5"/>
  <c r="H609" i="5"/>
  <c r="I609" i="5"/>
  <c r="J609" i="5"/>
  <c r="K609" i="5"/>
  <c r="L609" i="5"/>
  <c r="M609" i="5"/>
  <c r="N609" i="5"/>
  <c r="O609" i="5"/>
  <c r="P609" i="5"/>
  <c r="Q609" i="5"/>
  <c r="R609" i="5"/>
  <c r="S609" i="5"/>
  <c r="T609" i="5"/>
  <c r="U609" i="5"/>
  <c r="V609" i="5"/>
  <c r="W609" i="5"/>
  <c r="X609" i="5"/>
  <c r="B610" i="5"/>
  <c r="C610" i="5"/>
  <c r="D610" i="5"/>
  <c r="E610" i="5"/>
  <c r="F610" i="5"/>
  <c r="G610" i="5"/>
  <c r="H610" i="5"/>
  <c r="I610" i="5"/>
  <c r="J610" i="5"/>
  <c r="K610" i="5"/>
  <c r="L610" i="5"/>
  <c r="M610" i="5"/>
  <c r="AC610" i="5" s="1"/>
  <c r="N610" i="5"/>
  <c r="O610" i="5"/>
  <c r="P610" i="5"/>
  <c r="Q610" i="5"/>
  <c r="R610" i="5"/>
  <c r="S610" i="5"/>
  <c r="T610" i="5"/>
  <c r="U610" i="5"/>
  <c r="V610" i="5"/>
  <c r="W610" i="5"/>
  <c r="X610" i="5"/>
  <c r="B611" i="5"/>
  <c r="C611" i="5"/>
  <c r="D611" i="5"/>
  <c r="E611" i="5"/>
  <c r="F611" i="5"/>
  <c r="G611" i="5"/>
  <c r="H611" i="5"/>
  <c r="I611" i="5"/>
  <c r="J611" i="5"/>
  <c r="K611" i="5"/>
  <c r="L611" i="5"/>
  <c r="M611" i="5"/>
  <c r="N611" i="5"/>
  <c r="AC611" i="5" s="1"/>
  <c r="O611" i="5"/>
  <c r="P611" i="5"/>
  <c r="Q611" i="5"/>
  <c r="R611" i="5"/>
  <c r="S611" i="5"/>
  <c r="T611" i="5"/>
  <c r="U611" i="5"/>
  <c r="V611" i="5"/>
  <c r="W611" i="5"/>
  <c r="X611" i="5"/>
  <c r="B612" i="5"/>
  <c r="C612" i="5"/>
  <c r="D612" i="5"/>
  <c r="E612" i="5"/>
  <c r="F612" i="5"/>
  <c r="G612" i="5"/>
  <c r="H612" i="5"/>
  <c r="I612" i="5"/>
  <c r="J612" i="5"/>
  <c r="K612" i="5"/>
  <c r="L612" i="5"/>
  <c r="M612" i="5"/>
  <c r="N612" i="5"/>
  <c r="O612" i="5"/>
  <c r="P612" i="5"/>
  <c r="Q612" i="5"/>
  <c r="R612" i="5"/>
  <c r="S612" i="5"/>
  <c r="T612" i="5"/>
  <c r="U612" i="5"/>
  <c r="V612" i="5"/>
  <c r="W612" i="5"/>
  <c r="X612" i="5"/>
  <c r="B613" i="5"/>
  <c r="C613" i="5"/>
  <c r="D613" i="5"/>
  <c r="E613" i="5"/>
  <c r="F613" i="5"/>
  <c r="G613" i="5"/>
  <c r="H613" i="5"/>
  <c r="I613" i="5"/>
  <c r="J613" i="5"/>
  <c r="K613" i="5"/>
  <c r="L613" i="5"/>
  <c r="M613" i="5"/>
  <c r="N613" i="5"/>
  <c r="O613" i="5"/>
  <c r="P613" i="5"/>
  <c r="AC613" i="5" s="1"/>
  <c r="Q613" i="5"/>
  <c r="R613" i="5"/>
  <c r="S613" i="5"/>
  <c r="T613" i="5"/>
  <c r="U613" i="5"/>
  <c r="V613" i="5"/>
  <c r="W613" i="5"/>
  <c r="X613" i="5"/>
  <c r="B614" i="5"/>
  <c r="C614" i="5"/>
  <c r="D614" i="5"/>
  <c r="E614" i="5"/>
  <c r="F614" i="5"/>
  <c r="G614" i="5"/>
  <c r="H614" i="5"/>
  <c r="I614" i="5"/>
  <c r="J614" i="5"/>
  <c r="K614" i="5"/>
  <c r="L614" i="5"/>
  <c r="M614" i="5"/>
  <c r="N614" i="5"/>
  <c r="O614" i="5"/>
  <c r="P614" i="5"/>
  <c r="Q614" i="5"/>
  <c r="R614" i="5"/>
  <c r="S614" i="5"/>
  <c r="T614" i="5"/>
  <c r="U614" i="5"/>
  <c r="V614" i="5"/>
  <c r="W614" i="5"/>
  <c r="X614" i="5"/>
  <c r="B615" i="5"/>
  <c r="C615" i="5"/>
  <c r="D615" i="5"/>
  <c r="E615" i="5"/>
  <c r="F615" i="5"/>
  <c r="G615" i="5"/>
  <c r="H615" i="5"/>
  <c r="I615" i="5"/>
  <c r="J615" i="5"/>
  <c r="K615" i="5"/>
  <c r="L615" i="5"/>
  <c r="M615" i="5"/>
  <c r="N615" i="5"/>
  <c r="O615" i="5"/>
  <c r="P615" i="5"/>
  <c r="Q615" i="5"/>
  <c r="R615" i="5"/>
  <c r="S615" i="5"/>
  <c r="T615" i="5"/>
  <c r="U615" i="5"/>
  <c r="V615" i="5"/>
  <c r="W615" i="5"/>
  <c r="X615" i="5"/>
  <c r="B616" i="5"/>
  <c r="C616" i="5"/>
  <c r="D616" i="5"/>
  <c r="E616" i="5"/>
  <c r="F616" i="5"/>
  <c r="G616" i="5"/>
  <c r="H616" i="5"/>
  <c r="I616" i="5"/>
  <c r="J616" i="5"/>
  <c r="K616" i="5"/>
  <c r="L616" i="5"/>
  <c r="M616" i="5"/>
  <c r="N616" i="5"/>
  <c r="O616" i="5"/>
  <c r="P616" i="5"/>
  <c r="Q616" i="5"/>
  <c r="R616" i="5"/>
  <c r="S616" i="5"/>
  <c r="T616" i="5"/>
  <c r="U616" i="5"/>
  <c r="V616" i="5"/>
  <c r="W616" i="5"/>
  <c r="X616" i="5"/>
  <c r="B617" i="5"/>
  <c r="C617" i="5"/>
  <c r="D617" i="5"/>
  <c r="E617" i="5"/>
  <c r="F617" i="5"/>
  <c r="G617" i="5"/>
  <c r="H617" i="5"/>
  <c r="I617" i="5"/>
  <c r="J617" i="5"/>
  <c r="K617" i="5"/>
  <c r="L617" i="5"/>
  <c r="M617" i="5"/>
  <c r="N617" i="5"/>
  <c r="O617" i="5"/>
  <c r="P617" i="5"/>
  <c r="Q617" i="5"/>
  <c r="R617" i="5"/>
  <c r="S617" i="5"/>
  <c r="T617" i="5"/>
  <c r="U617" i="5"/>
  <c r="V617" i="5"/>
  <c r="W617" i="5"/>
  <c r="X617" i="5"/>
  <c r="B618" i="5"/>
  <c r="C618" i="5"/>
  <c r="D618" i="5"/>
  <c r="E618" i="5"/>
  <c r="F618" i="5"/>
  <c r="G618" i="5"/>
  <c r="H618" i="5"/>
  <c r="I618" i="5"/>
  <c r="J618" i="5"/>
  <c r="K618" i="5"/>
  <c r="L618" i="5"/>
  <c r="M618" i="5"/>
  <c r="N618" i="5"/>
  <c r="O618" i="5"/>
  <c r="P618" i="5"/>
  <c r="Q618" i="5"/>
  <c r="R618" i="5"/>
  <c r="S618" i="5"/>
  <c r="T618" i="5"/>
  <c r="U618" i="5"/>
  <c r="V618" i="5"/>
  <c r="W618" i="5"/>
  <c r="X618" i="5"/>
  <c r="B619" i="5"/>
  <c r="C619" i="5"/>
  <c r="D619" i="5"/>
  <c r="E619" i="5"/>
  <c r="F619" i="5"/>
  <c r="G619" i="5"/>
  <c r="H619" i="5"/>
  <c r="I619" i="5"/>
  <c r="J619" i="5"/>
  <c r="K619" i="5"/>
  <c r="L619" i="5"/>
  <c r="M619" i="5"/>
  <c r="N619" i="5"/>
  <c r="AC619" i="5" s="1"/>
  <c r="O619" i="5"/>
  <c r="P619" i="5"/>
  <c r="Q619" i="5"/>
  <c r="R619" i="5"/>
  <c r="S619" i="5"/>
  <c r="T619" i="5"/>
  <c r="U619" i="5"/>
  <c r="V619" i="5"/>
  <c r="W619" i="5"/>
  <c r="X619" i="5"/>
  <c r="B620" i="5"/>
  <c r="C620" i="5"/>
  <c r="D620" i="5"/>
  <c r="E620" i="5"/>
  <c r="F620" i="5"/>
  <c r="G620" i="5"/>
  <c r="H620" i="5"/>
  <c r="I620" i="5"/>
  <c r="J620" i="5"/>
  <c r="K620" i="5"/>
  <c r="L620" i="5"/>
  <c r="M620" i="5"/>
  <c r="N620" i="5"/>
  <c r="O620" i="5"/>
  <c r="P620" i="5"/>
  <c r="Q620" i="5"/>
  <c r="R620" i="5"/>
  <c r="S620" i="5"/>
  <c r="T620" i="5"/>
  <c r="U620" i="5"/>
  <c r="V620" i="5"/>
  <c r="W620" i="5"/>
  <c r="X620" i="5"/>
  <c r="B621" i="5"/>
  <c r="C621" i="5"/>
  <c r="D621" i="5"/>
  <c r="E621" i="5"/>
  <c r="F621" i="5"/>
  <c r="G621" i="5"/>
  <c r="H621" i="5"/>
  <c r="I621" i="5"/>
  <c r="J621" i="5"/>
  <c r="K621" i="5"/>
  <c r="L621" i="5"/>
  <c r="M621" i="5"/>
  <c r="N621" i="5"/>
  <c r="O621" i="5"/>
  <c r="P621" i="5"/>
  <c r="Q621" i="5"/>
  <c r="R621" i="5"/>
  <c r="S621" i="5"/>
  <c r="T621" i="5"/>
  <c r="U621" i="5"/>
  <c r="V621" i="5"/>
  <c r="W621" i="5"/>
  <c r="X621" i="5"/>
  <c r="AC621" i="5"/>
  <c r="B622" i="5"/>
  <c r="C622" i="5"/>
  <c r="D622" i="5"/>
  <c r="E622" i="5"/>
  <c r="F622" i="5"/>
  <c r="G622" i="5"/>
  <c r="H622" i="5"/>
  <c r="I622" i="5"/>
  <c r="J622" i="5"/>
  <c r="K622" i="5"/>
  <c r="L622" i="5"/>
  <c r="M622" i="5"/>
  <c r="N622" i="5"/>
  <c r="O622" i="5"/>
  <c r="P622" i="5"/>
  <c r="Q622" i="5"/>
  <c r="R622" i="5"/>
  <c r="S622" i="5"/>
  <c r="T622" i="5"/>
  <c r="U622" i="5"/>
  <c r="V622" i="5"/>
  <c r="W622" i="5"/>
  <c r="X622" i="5"/>
  <c r="B623" i="5"/>
  <c r="C623" i="5"/>
  <c r="D623" i="5"/>
  <c r="E623" i="5"/>
  <c r="F623" i="5"/>
  <c r="G623" i="5"/>
  <c r="H623" i="5"/>
  <c r="I623" i="5"/>
  <c r="J623" i="5"/>
  <c r="K623" i="5"/>
  <c r="L623" i="5"/>
  <c r="M623" i="5"/>
  <c r="N623" i="5"/>
  <c r="AC623" i="5" s="1"/>
  <c r="O623" i="5"/>
  <c r="P623" i="5"/>
  <c r="Q623" i="5"/>
  <c r="R623" i="5"/>
  <c r="S623" i="5"/>
  <c r="T623" i="5"/>
  <c r="U623" i="5"/>
  <c r="V623" i="5"/>
  <c r="W623" i="5"/>
  <c r="X623" i="5"/>
  <c r="B624" i="5"/>
  <c r="C624" i="5"/>
  <c r="D624" i="5"/>
  <c r="E624" i="5"/>
  <c r="F624" i="5"/>
  <c r="G624" i="5"/>
  <c r="H624" i="5"/>
  <c r="I624" i="5"/>
  <c r="J624" i="5"/>
  <c r="K624" i="5"/>
  <c r="L624" i="5"/>
  <c r="M624" i="5"/>
  <c r="N624" i="5"/>
  <c r="O624" i="5"/>
  <c r="P624" i="5"/>
  <c r="Q624" i="5"/>
  <c r="R624" i="5"/>
  <c r="S624" i="5"/>
  <c r="T624" i="5"/>
  <c r="U624" i="5"/>
  <c r="V624" i="5"/>
  <c r="W624" i="5"/>
  <c r="X624" i="5"/>
  <c r="B625" i="5"/>
  <c r="C625" i="5"/>
  <c r="D625" i="5"/>
  <c r="E625" i="5"/>
  <c r="F625" i="5"/>
  <c r="G625" i="5"/>
  <c r="H625" i="5"/>
  <c r="I625" i="5"/>
  <c r="J625" i="5"/>
  <c r="K625" i="5"/>
  <c r="L625" i="5"/>
  <c r="M625" i="5"/>
  <c r="N625" i="5"/>
  <c r="O625" i="5"/>
  <c r="P625" i="5"/>
  <c r="Q625" i="5"/>
  <c r="R625" i="5"/>
  <c r="S625" i="5"/>
  <c r="T625" i="5"/>
  <c r="U625" i="5"/>
  <c r="V625" i="5"/>
  <c r="W625" i="5"/>
  <c r="X625" i="5"/>
  <c r="B626" i="5"/>
  <c r="C626" i="5"/>
  <c r="D626" i="5"/>
  <c r="E626" i="5"/>
  <c r="F626" i="5"/>
  <c r="G626" i="5"/>
  <c r="H626" i="5"/>
  <c r="I626" i="5"/>
  <c r="J626" i="5"/>
  <c r="K626" i="5"/>
  <c r="L626" i="5"/>
  <c r="M626" i="5"/>
  <c r="N626" i="5"/>
  <c r="O626" i="5"/>
  <c r="P626" i="5"/>
  <c r="Q626" i="5"/>
  <c r="R626" i="5"/>
  <c r="S626" i="5"/>
  <c r="T626" i="5"/>
  <c r="U626" i="5"/>
  <c r="V626" i="5"/>
  <c r="W626" i="5"/>
  <c r="X626" i="5"/>
  <c r="B627" i="5"/>
  <c r="C627" i="5"/>
  <c r="D627" i="5"/>
  <c r="E627" i="5"/>
  <c r="F627" i="5"/>
  <c r="G627" i="5"/>
  <c r="H627" i="5"/>
  <c r="I627" i="5"/>
  <c r="J627" i="5"/>
  <c r="K627" i="5"/>
  <c r="L627" i="5"/>
  <c r="M627" i="5"/>
  <c r="N627" i="5"/>
  <c r="AC627" i="5" s="1"/>
  <c r="O627" i="5"/>
  <c r="P627" i="5"/>
  <c r="Q627" i="5"/>
  <c r="R627" i="5"/>
  <c r="S627" i="5"/>
  <c r="T627" i="5"/>
  <c r="U627" i="5"/>
  <c r="V627" i="5"/>
  <c r="W627" i="5"/>
  <c r="X627" i="5"/>
  <c r="B628" i="5"/>
  <c r="C628" i="5"/>
  <c r="D628" i="5"/>
  <c r="E628" i="5"/>
  <c r="F628" i="5"/>
  <c r="G628" i="5"/>
  <c r="H628" i="5"/>
  <c r="I628" i="5"/>
  <c r="J628" i="5"/>
  <c r="K628" i="5"/>
  <c r="L628" i="5"/>
  <c r="M628" i="5"/>
  <c r="N628" i="5"/>
  <c r="O628" i="5"/>
  <c r="P628" i="5"/>
  <c r="Q628" i="5"/>
  <c r="R628" i="5"/>
  <c r="S628" i="5"/>
  <c r="T628" i="5"/>
  <c r="U628" i="5"/>
  <c r="V628" i="5"/>
  <c r="W628" i="5"/>
  <c r="X628" i="5"/>
  <c r="B629" i="5"/>
  <c r="C629" i="5"/>
  <c r="D629" i="5"/>
  <c r="E629" i="5"/>
  <c r="F629" i="5"/>
  <c r="G629" i="5"/>
  <c r="H629" i="5"/>
  <c r="I629" i="5"/>
  <c r="J629" i="5"/>
  <c r="K629" i="5"/>
  <c r="L629" i="5"/>
  <c r="M629" i="5"/>
  <c r="N629" i="5"/>
  <c r="O629" i="5"/>
  <c r="P629" i="5"/>
  <c r="Q629" i="5"/>
  <c r="R629" i="5"/>
  <c r="S629" i="5"/>
  <c r="T629" i="5"/>
  <c r="U629" i="5"/>
  <c r="V629" i="5"/>
  <c r="W629" i="5"/>
  <c r="X629" i="5"/>
  <c r="AC629" i="5"/>
  <c r="B630" i="5"/>
  <c r="C630" i="5"/>
  <c r="D630" i="5"/>
  <c r="E630" i="5"/>
  <c r="F630" i="5"/>
  <c r="G630" i="5"/>
  <c r="H630" i="5"/>
  <c r="I630" i="5"/>
  <c r="J630" i="5"/>
  <c r="K630" i="5"/>
  <c r="L630" i="5"/>
  <c r="M630" i="5"/>
  <c r="N630" i="5"/>
  <c r="O630" i="5"/>
  <c r="P630" i="5"/>
  <c r="Q630" i="5"/>
  <c r="R630" i="5"/>
  <c r="S630" i="5"/>
  <c r="T630" i="5"/>
  <c r="U630" i="5"/>
  <c r="V630" i="5"/>
  <c r="W630" i="5"/>
  <c r="X630" i="5"/>
  <c r="B631" i="5"/>
  <c r="C631" i="5"/>
  <c r="D631" i="5"/>
  <c r="E631" i="5"/>
  <c r="F631" i="5"/>
  <c r="G631" i="5"/>
  <c r="H631" i="5"/>
  <c r="I631" i="5"/>
  <c r="J631" i="5"/>
  <c r="K631" i="5"/>
  <c r="L631" i="5"/>
  <c r="M631" i="5"/>
  <c r="N631" i="5"/>
  <c r="O631" i="5"/>
  <c r="P631" i="5"/>
  <c r="Q631" i="5"/>
  <c r="R631" i="5"/>
  <c r="S631" i="5"/>
  <c r="T631" i="5"/>
  <c r="U631" i="5"/>
  <c r="V631" i="5"/>
  <c r="W631" i="5"/>
  <c r="X631" i="5"/>
  <c r="B632" i="5"/>
  <c r="C632" i="5"/>
  <c r="D632" i="5"/>
  <c r="E632" i="5"/>
  <c r="F632" i="5"/>
  <c r="G632" i="5"/>
  <c r="H632" i="5"/>
  <c r="I632" i="5"/>
  <c r="J632" i="5"/>
  <c r="K632" i="5"/>
  <c r="L632" i="5"/>
  <c r="M632" i="5"/>
  <c r="N632" i="5"/>
  <c r="O632" i="5"/>
  <c r="P632" i="5"/>
  <c r="Q632" i="5"/>
  <c r="R632" i="5"/>
  <c r="S632" i="5"/>
  <c r="T632" i="5"/>
  <c r="U632" i="5"/>
  <c r="V632" i="5"/>
  <c r="W632" i="5"/>
  <c r="X632" i="5"/>
  <c r="B633" i="5"/>
  <c r="C633" i="5"/>
  <c r="D633" i="5"/>
  <c r="E633" i="5"/>
  <c r="F633" i="5"/>
  <c r="G633" i="5"/>
  <c r="H633" i="5"/>
  <c r="I633" i="5"/>
  <c r="J633" i="5"/>
  <c r="K633" i="5"/>
  <c r="L633" i="5"/>
  <c r="M633" i="5"/>
  <c r="N633" i="5"/>
  <c r="O633" i="5"/>
  <c r="P633" i="5"/>
  <c r="Q633" i="5"/>
  <c r="R633" i="5"/>
  <c r="S633" i="5"/>
  <c r="T633" i="5"/>
  <c r="U633" i="5"/>
  <c r="V633" i="5"/>
  <c r="W633" i="5"/>
  <c r="X633" i="5"/>
  <c r="B634" i="5"/>
  <c r="C634" i="5"/>
  <c r="D634" i="5"/>
  <c r="E634" i="5"/>
  <c r="F634" i="5"/>
  <c r="G634" i="5"/>
  <c r="H634" i="5"/>
  <c r="I634" i="5"/>
  <c r="J634" i="5"/>
  <c r="K634" i="5"/>
  <c r="L634" i="5"/>
  <c r="M634" i="5"/>
  <c r="N634" i="5"/>
  <c r="O634" i="5"/>
  <c r="P634" i="5"/>
  <c r="Q634" i="5"/>
  <c r="R634" i="5"/>
  <c r="S634" i="5"/>
  <c r="T634" i="5"/>
  <c r="U634" i="5"/>
  <c r="V634" i="5"/>
  <c r="W634" i="5"/>
  <c r="X634" i="5"/>
  <c r="B635" i="5"/>
  <c r="C635" i="5"/>
  <c r="D635" i="5"/>
  <c r="E635" i="5"/>
  <c r="F635" i="5"/>
  <c r="G635" i="5"/>
  <c r="H635" i="5"/>
  <c r="I635" i="5"/>
  <c r="J635" i="5"/>
  <c r="K635" i="5"/>
  <c r="L635" i="5"/>
  <c r="M635" i="5"/>
  <c r="N635" i="5"/>
  <c r="O635" i="5"/>
  <c r="P635" i="5"/>
  <c r="Q635" i="5"/>
  <c r="R635" i="5"/>
  <c r="S635" i="5"/>
  <c r="T635" i="5"/>
  <c r="U635" i="5"/>
  <c r="V635" i="5"/>
  <c r="W635" i="5"/>
  <c r="X635" i="5"/>
  <c r="B636" i="5"/>
  <c r="C636" i="5"/>
  <c r="D636" i="5"/>
  <c r="E636" i="5"/>
  <c r="F636" i="5"/>
  <c r="G636" i="5"/>
  <c r="H636" i="5"/>
  <c r="I636" i="5"/>
  <c r="J636" i="5"/>
  <c r="K636" i="5"/>
  <c r="L636" i="5"/>
  <c r="M636" i="5"/>
  <c r="N636" i="5"/>
  <c r="O636" i="5"/>
  <c r="P636" i="5"/>
  <c r="Q636" i="5"/>
  <c r="R636" i="5"/>
  <c r="S636" i="5"/>
  <c r="T636" i="5"/>
  <c r="U636" i="5"/>
  <c r="V636" i="5"/>
  <c r="W636" i="5"/>
  <c r="X636" i="5"/>
  <c r="B637" i="5"/>
  <c r="C637" i="5"/>
  <c r="D637" i="5"/>
  <c r="E637" i="5"/>
  <c r="F637" i="5"/>
  <c r="G637" i="5"/>
  <c r="H637" i="5"/>
  <c r="I637" i="5"/>
  <c r="J637" i="5"/>
  <c r="K637" i="5"/>
  <c r="L637" i="5"/>
  <c r="M637" i="5"/>
  <c r="N637" i="5"/>
  <c r="O637" i="5"/>
  <c r="P637" i="5"/>
  <c r="Q637" i="5"/>
  <c r="R637" i="5"/>
  <c r="S637" i="5"/>
  <c r="T637" i="5"/>
  <c r="U637" i="5"/>
  <c r="V637" i="5"/>
  <c r="W637" i="5"/>
  <c r="X637" i="5"/>
  <c r="AC637" i="5"/>
  <c r="B638" i="5"/>
  <c r="C638" i="5"/>
  <c r="D638" i="5"/>
  <c r="E638" i="5"/>
  <c r="F638" i="5"/>
  <c r="G638" i="5"/>
  <c r="H638" i="5"/>
  <c r="I638" i="5"/>
  <c r="J638" i="5"/>
  <c r="K638" i="5"/>
  <c r="L638" i="5"/>
  <c r="M638" i="5"/>
  <c r="N638" i="5"/>
  <c r="O638" i="5"/>
  <c r="P638" i="5"/>
  <c r="Q638" i="5"/>
  <c r="R638" i="5"/>
  <c r="S638" i="5"/>
  <c r="T638" i="5"/>
  <c r="U638" i="5"/>
  <c r="V638" i="5"/>
  <c r="W638" i="5"/>
  <c r="X638" i="5"/>
  <c r="B639" i="5"/>
  <c r="C639" i="5"/>
  <c r="D639" i="5"/>
  <c r="E639" i="5"/>
  <c r="F639" i="5"/>
  <c r="G639" i="5"/>
  <c r="H639" i="5"/>
  <c r="I639" i="5"/>
  <c r="J639" i="5"/>
  <c r="K639" i="5"/>
  <c r="L639" i="5"/>
  <c r="M639" i="5"/>
  <c r="N639" i="5"/>
  <c r="AC639" i="5" s="1"/>
  <c r="O639" i="5"/>
  <c r="P639" i="5"/>
  <c r="Q639" i="5"/>
  <c r="R639" i="5"/>
  <c r="S639" i="5"/>
  <c r="T639" i="5"/>
  <c r="U639" i="5"/>
  <c r="V639" i="5"/>
  <c r="W639" i="5"/>
  <c r="X639" i="5"/>
  <c r="B640" i="5"/>
  <c r="C640" i="5"/>
  <c r="D640" i="5"/>
  <c r="E640" i="5"/>
  <c r="F640" i="5"/>
  <c r="G640" i="5"/>
  <c r="H640" i="5"/>
  <c r="I640" i="5"/>
  <c r="J640" i="5"/>
  <c r="K640" i="5"/>
  <c r="L640" i="5"/>
  <c r="M640" i="5"/>
  <c r="N640" i="5"/>
  <c r="O640" i="5"/>
  <c r="P640" i="5"/>
  <c r="Q640" i="5"/>
  <c r="R640" i="5"/>
  <c r="S640" i="5"/>
  <c r="T640" i="5"/>
  <c r="U640" i="5"/>
  <c r="V640" i="5"/>
  <c r="W640" i="5"/>
  <c r="X640" i="5"/>
  <c r="B641" i="5"/>
  <c r="C641" i="5"/>
  <c r="D641" i="5"/>
  <c r="E641" i="5"/>
  <c r="F641" i="5"/>
  <c r="G641" i="5"/>
  <c r="H641" i="5"/>
  <c r="I641" i="5"/>
  <c r="J641" i="5"/>
  <c r="K641" i="5"/>
  <c r="L641" i="5"/>
  <c r="M641" i="5"/>
  <c r="N641" i="5"/>
  <c r="O641" i="5"/>
  <c r="P641" i="5"/>
  <c r="Q641" i="5"/>
  <c r="R641" i="5"/>
  <c r="S641" i="5"/>
  <c r="T641" i="5"/>
  <c r="U641" i="5"/>
  <c r="V641" i="5"/>
  <c r="W641" i="5"/>
  <c r="X641" i="5"/>
  <c r="B642" i="5"/>
  <c r="C642" i="5"/>
  <c r="D642" i="5"/>
  <c r="E642" i="5"/>
  <c r="F642" i="5"/>
  <c r="G642" i="5"/>
  <c r="H642" i="5"/>
  <c r="I642" i="5"/>
  <c r="J642" i="5"/>
  <c r="K642" i="5"/>
  <c r="L642" i="5"/>
  <c r="M642" i="5"/>
  <c r="N642" i="5"/>
  <c r="O642" i="5"/>
  <c r="P642" i="5"/>
  <c r="Q642" i="5"/>
  <c r="R642" i="5"/>
  <c r="S642" i="5"/>
  <c r="T642" i="5"/>
  <c r="U642" i="5"/>
  <c r="V642" i="5"/>
  <c r="W642" i="5"/>
  <c r="X642" i="5"/>
  <c r="B643" i="5"/>
  <c r="C643" i="5"/>
  <c r="D643" i="5"/>
  <c r="E643" i="5"/>
  <c r="F643" i="5"/>
  <c r="G643" i="5"/>
  <c r="H643" i="5"/>
  <c r="I643" i="5"/>
  <c r="J643" i="5"/>
  <c r="K643" i="5"/>
  <c r="L643" i="5"/>
  <c r="M643" i="5"/>
  <c r="N643" i="5"/>
  <c r="AC643" i="5" s="1"/>
  <c r="O643" i="5"/>
  <c r="P643" i="5"/>
  <c r="Q643" i="5"/>
  <c r="R643" i="5"/>
  <c r="S643" i="5"/>
  <c r="T643" i="5"/>
  <c r="U643" i="5"/>
  <c r="V643" i="5"/>
  <c r="W643" i="5"/>
  <c r="X643" i="5"/>
  <c r="B644" i="5"/>
  <c r="C644" i="5"/>
  <c r="D644" i="5"/>
  <c r="E644" i="5"/>
  <c r="F644" i="5"/>
  <c r="G644" i="5"/>
  <c r="H644" i="5"/>
  <c r="I644" i="5"/>
  <c r="J644" i="5"/>
  <c r="K644" i="5"/>
  <c r="L644" i="5"/>
  <c r="M644" i="5"/>
  <c r="N644" i="5"/>
  <c r="O644" i="5"/>
  <c r="P644" i="5"/>
  <c r="Q644" i="5"/>
  <c r="R644" i="5"/>
  <c r="S644" i="5"/>
  <c r="T644" i="5"/>
  <c r="U644" i="5"/>
  <c r="V644" i="5"/>
  <c r="W644" i="5"/>
  <c r="X644" i="5"/>
  <c r="B645" i="5"/>
  <c r="C645" i="5"/>
  <c r="D645" i="5"/>
  <c r="E645" i="5"/>
  <c r="F645" i="5"/>
  <c r="G645" i="5"/>
  <c r="H645" i="5"/>
  <c r="I645" i="5"/>
  <c r="J645" i="5"/>
  <c r="K645" i="5"/>
  <c r="L645" i="5"/>
  <c r="M645" i="5"/>
  <c r="N645" i="5"/>
  <c r="O645" i="5"/>
  <c r="P645" i="5"/>
  <c r="Q645" i="5"/>
  <c r="R645" i="5"/>
  <c r="S645" i="5"/>
  <c r="T645" i="5"/>
  <c r="U645" i="5"/>
  <c r="V645" i="5"/>
  <c r="W645" i="5"/>
  <c r="X645" i="5"/>
  <c r="AC645" i="5"/>
  <c r="B646" i="5"/>
  <c r="C646" i="5"/>
  <c r="D646" i="5"/>
  <c r="E646" i="5"/>
  <c r="F646" i="5"/>
  <c r="G646" i="5"/>
  <c r="H646" i="5"/>
  <c r="I646" i="5"/>
  <c r="J646" i="5"/>
  <c r="K646" i="5"/>
  <c r="L646" i="5"/>
  <c r="M646" i="5"/>
  <c r="N646" i="5"/>
  <c r="O646" i="5"/>
  <c r="P646" i="5"/>
  <c r="Q646" i="5"/>
  <c r="R646" i="5"/>
  <c r="S646" i="5"/>
  <c r="T646" i="5"/>
  <c r="U646" i="5"/>
  <c r="V646" i="5"/>
  <c r="W646" i="5"/>
  <c r="X646" i="5"/>
  <c r="B647" i="5"/>
  <c r="C647" i="5"/>
  <c r="D647" i="5"/>
  <c r="E647" i="5"/>
  <c r="F647" i="5"/>
  <c r="G647" i="5"/>
  <c r="H647" i="5"/>
  <c r="I647" i="5"/>
  <c r="J647" i="5"/>
  <c r="K647" i="5"/>
  <c r="L647" i="5"/>
  <c r="M647" i="5"/>
  <c r="N647" i="5"/>
  <c r="O647" i="5"/>
  <c r="P647" i="5"/>
  <c r="Q647" i="5"/>
  <c r="R647" i="5"/>
  <c r="S647" i="5"/>
  <c r="T647" i="5"/>
  <c r="U647" i="5"/>
  <c r="V647" i="5"/>
  <c r="W647" i="5"/>
  <c r="X647" i="5"/>
  <c r="B648" i="5"/>
  <c r="C648" i="5"/>
  <c r="D648" i="5"/>
  <c r="E648" i="5"/>
  <c r="F648" i="5"/>
  <c r="G648" i="5"/>
  <c r="H648" i="5"/>
  <c r="I648" i="5"/>
  <c r="J648" i="5"/>
  <c r="K648" i="5"/>
  <c r="L648" i="5"/>
  <c r="M648" i="5"/>
  <c r="N648" i="5"/>
  <c r="O648" i="5"/>
  <c r="P648" i="5"/>
  <c r="Q648" i="5"/>
  <c r="R648" i="5"/>
  <c r="S648" i="5"/>
  <c r="T648" i="5"/>
  <c r="U648" i="5"/>
  <c r="V648" i="5"/>
  <c r="W648" i="5"/>
  <c r="X648" i="5"/>
  <c r="B649" i="5"/>
  <c r="C649" i="5"/>
  <c r="D649" i="5"/>
  <c r="E649" i="5"/>
  <c r="F649" i="5"/>
  <c r="G649" i="5"/>
  <c r="H649" i="5"/>
  <c r="I649" i="5"/>
  <c r="J649" i="5"/>
  <c r="K649" i="5"/>
  <c r="L649" i="5"/>
  <c r="M649" i="5"/>
  <c r="N649" i="5"/>
  <c r="O649" i="5"/>
  <c r="P649" i="5"/>
  <c r="Q649" i="5"/>
  <c r="R649" i="5"/>
  <c r="S649" i="5"/>
  <c r="T649" i="5"/>
  <c r="U649" i="5"/>
  <c r="V649" i="5"/>
  <c r="W649" i="5"/>
  <c r="X649" i="5"/>
  <c r="B650" i="5"/>
  <c r="C650" i="5"/>
  <c r="D650" i="5"/>
  <c r="E650" i="5"/>
  <c r="F650" i="5"/>
  <c r="G650" i="5"/>
  <c r="H650" i="5"/>
  <c r="I650" i="5"/>
  <c r="J650" i="5"/>
  <c r="K650" i="5"/>
  <c r="L650" i="5"/>
  <c r="M650" i="5"/>
  <c r="N650" i="5"/>
  <c r="O650" i="5"/>
  <c r="P650" i="5"/>
  <c r="Q650" i="5"/>
  <c r="R650" i="5"/>
  <c r="S650" i="5"/>
  <c r="T650" i="5"/>
  <c r="U650" i="5"/>
  <c r="V650" i="5"/>
  <c r="W650" i="5"/>
  <c r="X650" i="5"/>
  <c r="B651" i="5"/>
  <c r="C651" i="5"/>
  <c r="D651" i="5"/>
  <c r="E651" i="5"/>
  <c r="F651" i="5"/>
  <c r="G651" i="5"/>
  <c r="H651" i="5"/>
  <c r="I651" i="5"/>
  <c r="J651" i="5"/>
  <c r="K651" i="5"/>
  <c r="L651" i="5"/>
  <c r="M651" i="5"/>
  <c r="N651" i="5"/>
  <c r="O651" i="5"/>
  <c r="P651" i="5"/>
  <c r="Q651" i="5"/>
  <c r="R651" i="5"/>
  <c r="S651" i="5"/>
  <c r="T651" i="5"/>
  <c r="U651" i="5"/>
  <c r="V651" i="5"/>
  <c r="W651" i="5"/>
  <c r="X651" i="5"/>
  <c r="B652" i="5"/>
  <c r="C652" i="5"/>
  <c r="D652" i="5"/>
  <c r="E652" i="5"/>
  <c r="F652" i="5"/>
  <c r="G652" i="5"/>
  <c r="H652" i="5"/>
  <c r="I652" i="5"/>
  <c r="J652" i="5"/>
  <c r="K652" i="5"/>
  <c r="L652" i="5"/>
  <c r="M652" i="5"/>
  <c r="N652" i="5"/>
  <c r="O652" i="5"/>
  <c r="P652" i="5"/>
  <c r="Q652" i="5"/>
  <c r="R652" i="5"/>
  <c r="S652" i="5"/>
  <c r="T652" i="5"/>
  <c r="U652" i="5"/>
  <c r="V652" i="5"/>
  <c r="W652" i="5"/>
  <c r="X652" i="5"/>
  <c r="B653" i="5"/>
  <c r="C653" i="5"/>
  <c r="D653" i="5"/>
  <c r="E653" i="5"/>
  <c r="F653" i="5"/>
  <c r="G653" i="5"/>
  <c r="H653" i="5"/>
  <c r="I653" i="5"/>
  <c r="J653" i="5"/>
  <c r="K653" i="5"/>
  <c r="L653" i="5"/>
  <c r="M653" i="5"/>
  <c r="N653" i="5"/>
  <c r="O653" i="5"/>
  <c r="P653" i="5"/>
  <c r="Q653" i="5"/>
  <c r="R653" i="5"/>
  <c r="S653" i="5"/>
  <c r="T653" i="5"/>
  <c r="U653" i="5"/>
  <c r="V653" i="5"/>
  <c r="W653" i="5"/>
  <c r="X653" i="5"/>
  <c r="AC653" i="5"/>
  <c r="B654" i="5"/>
  <c r="C654" i="5"/>
  <c r="D654" i="5"/>
  <c r="E654" i="5"/>
  <c r="F654" i="5"/>
  <c r="G654" i="5"/>
  <c r="H654" i="5"/>
  <c r="I654" i="5"/>
  <c r="J654" i="5"/>
  <c r="K654" i="5"/>
  <c r="L654" i="5"/>
  <c r="M654" i="5"/>
  <c r="N654" i="5"/>
  <c r="O654" i="5"/>
  <c r="P654" i="5"/>
  <c r="Q654" i="5"/>
  <c r="R654" i="5"/>
  <c r="S654" i="5"/>
  <c r="T654" i="5"/>
  <c r="U654" i="5"/>
  <c r="V654" i="5"/>
  <c r="W654" i="5"/>
  <c r="X654" i="5"/>
  <c r="B655" i="5"/>
  <c r="C655" i="5"/>
  <c r="D655" i="5"/>
  <c r="E655" i="5"/>
  <c r="F655" i="5"/>
  <c r="G655" i="5"/>
  <c r="H655" i="5"/>
  <c r="I655" i="5"/>
  <c r="J655" i="5"/>
  <c r="K655" i="5"/>
  <c r="L655" i="5"/>
  <c r="M655" i="5"/>
  <c r="N655" i="5"/>
  <c r="O655" i="5"/>
  <c r="P655" i="5"/>
  <c r="Q655" i="5"/>
  <c r="R655" i="5"/>
  <c r="S655" i="5"/>
  <c r="T655" i="5"/>
  <c r="U655" i="5"/>
  <c r="V655" i="5"/>
  <c r="W655" i="5"/>
  <c r="X655" i="5"/>
  <c r="B656" i="5"/>
  <c r="C656" i="5"/>
  <c r="D656" i="5"/>
  <c r="E656" i="5"/>
  <c r="F656" i="5"/>
  <c r="G656" i="5"/>
  <c r="H656" i="5"/>
  <c r="I656" i="5"/>
  <c r="J656" i="5"/>
  <c r="K656" i="5"/>
  <c r="L656" i="5"/>
  <c r="M656" i="5"/>
  <c r="N656" i="5"/>
  <c r="O656" i="5"/>
  <c r="P656" i="5"/>
  <c r="Q656" i="5"/>
  <c r="R656" i="5"/>
  <c r="S656" i="5"/>
  <c r="T656" i="5"/>
  <c r="U656" i="5"/>
  <c r="V656" i="5"/>
  <c r="W656" i="5"/>
  <c r="X656" i="5"/>
  <c r="B657" i="5"/>
  <c r="C657" i="5"/>
  <c r="D657" i="5"/>
  <c r="E657" i="5"/>
  <c r="F657" i="5"/>
  <c r="G657" i="5"/>
  <c r="H657" i="5"/>
  <c r="I657" i="5"/>
  <c r="J657" i="5"/>
  <c r="K657" i="5"/>
  <c r="L657" i="5"/>
  <c r="M657" i="5"/>
  <c r="N657" i="5"/>
  <c r="O657" i="5"/>
  <c r="P657" i="5"/>
  <c r="Q657" i="5"/>
  <c r="R657" i="5"/>
  <c r="S657" i="5"/>
  <c r="T657" i="5"/>
  <c r="U657" i="5"/>
  <c r="V657" i="5"/>
  <c r="W657" i="5"/>
  <c r="X657" i="5"/>
  <c r="B658" i="5"/>
  <c r="C658" i="5"/>
  <c r="D658" i="5"/>
  <c r="E658" i="5"/>
  <c r="F658" i="5"/>
  <c r="G658" i="5"/>
  <c r="H658" i="5"/>
  <c r="I658" i="5"/>
  <c r="J658" i="5"/>
  <c r="K658" i="5"/>
  <c r="L658" i="5"/>
  <c r="M658" i="5"/>
  <c r="N658" i="5"/>
  <c r="O658" i="5"/>
  <c r="P658" i="5"/>
  <c r="Q658" i="5"/>
  <c r="R658" i="5"/>
  <c r="S658" i="5"/>
  <c r="T658" i="5"/>
  <c r="U658" i="5"/>
  <c r="V658" i="5"/>
  <c r="W658" i="5"/>
  <c r="X658" i="5"/>
  <c r="B659" i="5"/>
  <c r="C659" i="5"/>
  <c r="D659" i="5"/>
  <c r="E659" i="5"/>
  <c r="F659" i="5"/>
  <c r="G659" i="5"/>
  <c r="H659" i="5"/>
  <c r="I659" i="5"/>
  <c r="J659" i="5"/>
  <c r="K659" i="5"/>
  <c r="L659" i="5"/>
  <c r="M659" i="5"/>
  <c r="N659" i="5"/>
  <c r="O659" i="5"/>
  <c r="P659" i="5"/>
  <c r="Q659" i="5"/>
  <c r="R659" i="5"/>
  <c r="S659" i="5"/>
  <c r="T659" i="5"/>
  <c r="U659" i="5"/>
  <c r="V659" i="5"/>
  <c r="W659" i="5"/>
  <c r="X659" i="5"/>
  <c r="B660" i="5"/>
  <c r="C660" i="5"/>
  <c r="D660" i="5"/>
  <c r="E660" i="5"/>
  <c r="F660" i="5"/>
  <c r="G660" i="5"/>
  <c r="H660" i="5"/>
  <c r="I660" i="5"/>
  <c r="J660" i="5"/>
  <c r="K660" i="5"/>
  <c r="L660" i="5"/>
  <c r="M660" i="5"/>
  <c r="N660" i="5"/>
  <c r="O660" i="5"/>
  <c r="P660" i="5"/>
  <c r="Q660" i="5"/>
  <c r="R660" i="5"/>
  <c r="S660" i="5"/>
  <c r="T660" i="5"/>
  <c r="U660" i="5"/>
  <c r="V660" i="5"/>
  <c r="W660" i="5"/>
  <c r="X660" i="5"/>
  <c r="B661" i="5"/>
  <c r="C661" i="5"/>
  <c r="D661" i="5"/>
  <c r="E661" i="5"/>
  <c r="F661" i="5"/>
  <c r="G661" i="5"/>
  <c r="H661" i="5"/>
  <c r="I661" i="5"/>
  <c r="J661" i="5"/>
  <c r="K661" i="5"/>
  <c r="L661" i="5"/>
  <c r="M661" i="5"/>
  <c r="N661" i="5"/>
  <c r="AC661" i="5" s="1"/>
  <c r="O661" i="5"/>
  <c r="P661" i="5"/>
  <c r="Q661" i="5"/>
  <c r="R661" i="5"/>
  <c r="S661" i="5"/>
  <c r="T661" i="5"/>
  <c r="U661" i="5"/>
  <c r="V661" i="5"/>
  <c r="W661" i="5"/>
  <c r="X661" i="5"/>
  <c r="B662" i="5"/>
  <c r="C662" i="5"/>
  <c r="D662" i="5"/>
  <c r="E662" i="5"/>
  <c r="F662" i="5"/>
  <c r="G662" i="5"/>
  <c r="H662" i="5"/>
  <c r="I662" i="5"/>
  <c r="J662" i="5"/>
  <c r="K662" i="5"/>
  <c r="L662" i="5"/>
  <c r="M662" i="5"/>
  <c r="N662" i="5"/>
  <c r="O662" i="5"/>
  <c r="P662" i="5"/>
  <c r="Q662" i="5"/>
  <c r="R662" i="5"/>
  <c r="S662" i="5"/>
  <c r="T662" i="5"/>
  <c r="U662" i="5"/>
  <c r="V662" i="5"/>
  <c r="W662" i="5"/>
  <c r="X662" i="5"/>
  <c r="B663" i="5"/>
  <c r="C663" i="5"/>
  <c r="D663" i="5"/>
  <c r="E663" i="5"/>
  <c r="F663" i="5"/>
  <c r="G663" i="5"/>
  <c r="H663" i="5"/>
  <c r="I663" i="5"/>
  <c r="J663" i="5"/>
  <c r="K663" i="5"/>
  <c r="L663" i="5"/>
  <c r="M663" i="5"/>
  <c r="N663" i="5"/>
  <c r="O663" i="5"/>
  <c r="P663" i="5"/>
  <c r="Q663" i="5"/>
  <c r="R663" i="5"/>
  <c r="S663" i="5"/>
  <c r="T663" i="5"/>
  <c r="U663" i="5"/>
  <c r="V663" i="5"/>
  <c r="W663" i="5"/>
  <c r="X663" i="5"/>
  <c r="B664" i="5"/>
  <c r="C664" i="5"/>
  <c r="D664" i="5"/>
  <c r="E664" i="5"/>
  <c r="F664" i="5"/>
  <c r="G664" i="5"/>
  <c r="H664" i="5"/>
  <c r="I664" i="5"/>
  <c r="J664" i="5"/>
  <c r="K664" i="5"/>
  <c r="L664" i="5"/>
  <c r="M664" i="5"/>
  <c r="N664" i="5"/>
  <c r="O664" i="5"/>
  <c r="P664" i="5"/>
  <c r="Q664" i="5"/>
  <c r="R664" i="5"/>
  <c r="S664" i="5"/>
  <c r="T664" i="5"/>
  <c r="U664" i="5"/>
  <c r="V664" i="5"/>
  <c r="W664" i="5"/>
  <c r="X664" i="5"/>
  <c r="B665" i="5"/>
  <c r="C665" i="5"/>
  <c r="D665" i="5"/>
  <c r="E665" i="5"/>
  <c r="F665" i="5"/>
  <c r="G665" i="5"/>
  <c r="H665" i="5"/>
  <c r="I665" i="5"/>
  <c r="J665" i="5"/>
  <c r="K665" i="5"/>
  <c r="L665" i="5"/>
  <c r="M665" i="5"/>
  <c r="N665" i="5"/>
  <c r="O665" i="5"/>
  <c r="P665" i="5"/>
  <c r="Q665" i="5"/>
  <c r="R665" i="5"/>
  <c r="S665" i="5"/>
  <c r="T665" i="5"/>
  <c r="U665" i="5"/>
  <c r="V665" i="5"/>
  <c r="W665" i="5"/>
  <c r="X665" i="5"/>
  <c r="B666" i="5"/>
  <c r="C666" i="5"/>
  <c r="D666" i="5"/>
  <c r="E666" i="5"/>
  <c r="F666" i="5"/>
  <c r="G666" i="5"/>
  <c r="H666" i="5"/>
  <c r="I666" i="5"/>
  <c r="J666" i="5"/>
  <c r="K666" i="5"/>
  <c r="L666" i="5"/>
  <c r="M666" i="5"/>
  <c r="N666" i="5"/>
  <c r="O666" i="5"/>
  <c r="P666" i="5"/>
  <c r="Q666" i="5"/>
  <c r="R666" i="5"/>
  <c r="S666" i="5"/>
  <c r="T666" i="5"/>
  <c r="U666" i="5"/>
  <c r="V666" i="5"/>
  <c r="W666" i="5"/>
  <c r="X666" i="5"/>
  <c r="B667" i="5"/>
  <c r="C667" i="5"/>
  <c r="D667" i="5"/>
  <c r="E667" i="5"/>
  <c r="F667" i="5"/>
  <c r="G667" i="5"/>
  <c r="H667" i="5"/>
  <c r="I667" i="5"/>
  <c r="J667" i="5"/>
  <c r="K667" i="5"/>
  <c r="L667" i="5"/>
  <c r="M667" i="5"/>
  <c r="N667" i="5"/>
  <c r="O667" i="5"/>
  <c r="P667" i="5"/>
  <c r="Q667" i="5"/>
  <c r="R667" i="5"/>
  <c r="S667" i="5"/>
  <c r="T667" i="5"/>
  <c r="U667" i="5"/>
  <c r="V667" i="5"/>
  <c r="W667" i="5"/>
  <c r="X667" i="5"/>
  <c r="B668" i="5"/>
  <c r="C668" i="5"/>
  <c r="D668" i="5"/>
  <c r="E668" i="5"/>
  <c r="F668" i="5"/>
  <c r="G668" i="5"/>
  <c r="H668" i="5"/>
  <c r="I668" i="5"/>
  <c r="J668" i="5"/>
  <c r="K668" i="5"/>
  <c r="L668" i="5"/>
  <c r="M668" i="5"/>
  <c r="AC668" i="5" s="1"/>
  <c r="N668" i="5"/>
  <c r="O668" i="5"/>
  <c r="P668" i="5"/>
  <c r="Q668" i="5"/>
  <c r="R668" i="5"/>
  <c r="S668" i="5"/>
  <c r="T668" i="5"/>
  <c r="U668" i="5"/>
  <c r="V668" i="5"/>
  <c r="W668" i="5"/>
  <c r="X668" i="5"/>
  <c r="B669" i="5"/>
  <c r="C669" i="5"/>
  <c r="D669" i="5"/>
  <c r="E669" i="5"/>
  <c r="F669" i="5"/>
  <c r="G669" i="5"/>
  <c r="H669" i="5"/>
  <c r="I669" i="5"/>
  <c r="J669" i="5"/>
  <c r="K669" i="5"/>
  <c r="L669" i="5"/>
  <c r="M669" i="5"/>
  <c r="N669" i="5"/>
  <c r="O669" i="5"/>
  <c r="P669" i="5"/>
  <c r="Q669" i="5"/>
  <c r="R669" i="5"/>
  <c r="S669" i="5"/>
  <c r="T669" i="5"/>
  <c r="U669" i="5"/>
  <c r="V669" i="5"/>
  <c r="W669" i="5"/>
  <c r="X669" i="5"/>
  <c r="AC669" i="5"/>
  <c r="B670" i="5"/>
  <c r="C670" i="5"/>
  <c r="D670" i="5"/>
  <c r="E670" i="5"/>
  <c r="F670" i="5"/>
  <c r="G670" i="5"/>
  <c r="H670" i="5"/>
  <c r="I670" i="5"/>
  <c r="J670" i="5"/>
  <c r="K670" i="5"/>
  <c r="L670" i="5"/>
  <c r="M670" i="5"/>
  <c r="N670" i="5"/>
  <c r="O670" i="5"/>
  <c r="P670" i="5"/>
  <c r="Q670" i="5"/>
  <c r="R670" i="5"/>
  <c r="S670" i="5"/>
  <c r="T670" i="5"/>
  <c r="U670" i="5"/>
  <c r="V670" i="5"/>
  <c r="W670" i="5"/>
  <c r="X670" i="5"/>
  <c r="B671" i="5"/>
  <c r="C671" i="5"/>
  <c r="D671" i="5"/>
  <c r="E671" i="5"/>
  <c r="F671" i="5"/>
  <c r="G671" i="5"/>
  <c r="H671" i="5"/>
  <c r="I671" i="5"/>
  <c r="J671" i="5"/>
  <c r="K671" i="5"/>
  <c r="L671" i="5"/>
  <c r="M671" i="5"/>
  <c r="N671" i="5"/>
  <c r="O671" i="5"/>
  <c r="P671" i="5"/>
  <c r="Q671" i="5"/>
  <c r="R671" i="5"/>
  <c r="S671" i="5"/>
  <c r="T671" i="5"/>
  <c r="U671" i="5"/>
  <c r="V671" i="5"/>
  <c r="W671" i="5"/>
  <c r="X671" i="5"/>
  <c r="B672" i="5"/>
  <c r="C672" i="5"/>
  <c r="D672" i="5"/>
  <c r="E672" i="5"/>
  <c r="F672" i="5"/>
  <c r="G672" i="5"/>
  <c r="H672" i="5"/>
  <c r="I672" i="5"/>
  <c r="J672" i="5"/>
  <c r="K672" i="5"/>
  <c r="L672" i="5"/>
  <c r="M672" i="5"/>
  <c r="N672" i="5"/>
  <c r="O672" i="5"/>
  <c r="P672" i="5"/>
  <c r="Q672" i="5"/>
  <c r="R672" i="5"/>
  <c r="S672" i="5"/>
  <c r="T672" i="5"/>
  <c r="U672" i="5"/>
  <c r="V672" i="5"/>
  <c r="W672" i="5"/>
  <c r="X672" i="5"/>
  <c r="B673" i="5"/>
  <c r="C673" i="5"/>
  <c r="D673" i="5"/>
  <c r="E673" i="5"/>
  <c r="F673" i="5"/>
  <c r="G673" i="5"/>
  <c r="H673" i="5"/>
  <c r="I673" i="5"/>
  <c r="J673" i="5"/>
  <c r="K673" i="5"/>
  <c r="L673" i="5"/>
  <c r="M673" i="5"/>
  <c r="N673" i="5"/>
  <c r="O673" i="5"/>
  <c r="P673" i="5"/>
  <c r="Q673" i="5"/>
  <c r="R673" i="5"/>
  <c r="S673" i="5"/>
  <c r="T673" i="5"/>
  <c r="U673" i="5"/>
  <c r="V673" i="5"/>
  <c r="W673" i="5"/>
  <c r="X673" i="5"/>
  <c r="B674" i="5"/>
  <c r="C674" i="5"/>
  <c r="D674" i="5"/>
  <c r="E674" i="5"/>
  <c r="F674" i="5"/>
  <c r="G674" i="5"/>
  <c r="H674" i="5"/>
  <c r="I674" i="5"/>
  <c r="J674" i="5"/>
  <c r="K674" i="5"/>
  <c r="L674" i="5"/>
  <c r="M674" i="5"/>
  <c r="AC674" i="5" s="1"/>
  <c r="N674" i="5"/>
  <c r="O674" i="5"/>
  <c r="P674" i="5"/>
  <c r="Q674" i="5"/>
  <c r="R674" i="5"/>
  <c r="S674" i="5"/>
  <c r="T674" i="5"/>
  <c r="U674" i="5"/>
  <c r="V674" i="5"/>
  <c r="W674" i="5"/>
  <c r="X674" i="5"/>
  <c r="B675" i="5"/>
  <c r="C675" i="5"/>
  <c r="D675" i="5"/>
  <c r="E675" i="5"/>
  <c r="F675" i="5"/>
  <c r="G675" i="5"/>
  <c r="H675" i="5"/>
  <c r="I675" i="5"/>
  <c r="J675" i="5"/>
  <c r="K675" i="5"/>
  <c r="L675" i="5"/>
  <c r="M675" i="5"/>
  <c r="N675" i="5"/>
  <c r="AC675" i="5" s="1"/>
  <c r="O675" i="5"/>
  <c r="P675" i="5"/>
  <c r="Q675" i="5"/>
  <c r="R675" i="5"/>
  <c r="S675" i="5"/>
  <c r="T675" i="5"/>
  <c r="U675" i="5"/>
  <c r="V675" i="5"/>
  <c r="W675" i="5"/>
  <c r="X675" i="5"/>
  <c r="B676" i="5"/>
  <c r="C676" i="5"/>
  <c r="D676" i="5"/>
  <c r="E676" i="5"/>
  <c r="F676" i="5"/>
  <c r="G676" i="5"/>
  <c r="H676" i="5"/>
  <c r="I676" i="5"/>
  <c r="J676" i="5"/>
  <c r="K676" i="5"/>
  <c r="L676" i="5"/>
  <c r="M676" i="5"/>
  <c r="N676" i="5"/>
  <c r="O676" i="5"/>
  <c r="P676" i="5"/>
  <c r="Q676" i="5"/>
  <c r="R676" i="5"/>
  <c r="S676" i="5"/>
  <c r="T676" i="5"/>
  <c r="U676" i="5"/>
  <c r="V676" i="5"/>
  <c r="W676" i="5"/>
  <c r="X676" i="5"/>
  <c r="B677" i="5"/>
  <c r="C677" i="5"/>
  <c r="D677" i="5"/>
  <c r="E677" i="5"/>
  <c r="F677" i="5"/>
  <c r="G677" i="5"/>
  <c r="H677" i="5"/>
  <c r="I677" i="5"/>
  <c r="J677" i="5"/>
  <c r="K677" i="5"/>
  <c r="L677" i="5"/>
  <c r="M677" i="5"/>
  <c r="N677" i="5"/>
  <c r="O677" i="5"/>
  <c r="P677" i="5"/>
  <c r="AC677" i="5" s="1"/>
  <c r="Q677" i="5"/>
  <c r="R677" i="5"/>
  <c r="S677" i="5"/>
  <c r="T677" i="5"/>
  <c r="U677" i="5"/>
  <c r="V677" i="5"/>
  <c r="W677" i="5"/>
  <c r="X677" i="5"/>
  <c r="B678" i="5"/>
  <c r="C678" i="5"/>
  <c r="D678" i="5"/>
  <c r="E678" i="5"/>
  <c r="F678" i="5"/>
  <c r="G678" i="5"/>
  <c r="H678" i="5"/>
  <c r="I678" i="5"/>
  <c r="J678" i="5"/>
  <c r="K678" i="5"/>
  <c r="L678" i="5"/>
  <c r="M678" i="5"/>
  <c r="N678" i="5"/>
  <c r="O678" i="5"/>
  <c r="P678" i="5"/>
  <c r="Q678" i="5"/>
  <c r="R678" i="5"/>
  <c r="S678" i="5"/>
  <c r="T678" i="5"/>
  <c r="U678" i="5"/>
  <c r="V678" i="5"/>
  <c r="W678" i="5"/>
  <c r="X678" i="5"/>
  <c r="B679" i="5"/>
  <c r="C679" i="5"/>
  <c r="D679" i="5"/>
  <c r="E679" i="5"/>
  <c r="F679" i="5"/>
  <c r="G679" i="5"/>
  <c r="H679" i="5"/>
  <c r="I679" i="5"/>
  <c r="J679" i="5"/>
  <c r="K679" i="5"/>
  <c r="L679" i="5"/>
  <c r="M679" i="5"/>
  <c r="N679" i="5"/>
  <c r="O679" i="5"/>
  <c r="P679" i="5"/>
  <c r="Q679" i="5"/>
  <c r="R679" i="5"/>
  <c r="S679" i="5"/>
  <c r="T679" i="5"/>
  <c r="U679" i="5"/>
  <c r="V679" i="5"/>
  <c r="W679" i="5"/>
  <c r="X679" i="5"/>
  <c r="B680" i="5"/>
  <c r="C680" i="5"/>
  <c r="D680" i="5"/>
  <c r="E680" i="5"/>
  <c r="F680" i="5"/>
  <c r="G680" i="5"/>
  <c r="H680" i="5"/>
  <c r="I680" i="5"/>
  <c r="J680" i="5"/>
  <c r="K680" i="5"/>
  <c r="L680" i="5"/>
  <c r="M680" i="5"/>
  <c r="N680" i="5"/>
  <c r="O680" i="5"/>
  <c r="P680" i="5"/>
  <c r="Q680" i="5"/>
  <c r="R680" i="5"/>
  <c r="S680" i="5"/>
  <c r="T680" i="5"/>
  <c r="U680" i="5"/>
  <c r="V680" i="5"/>
  <c r="W680" i="5"/>
  <c r="X680" i="5"/>
  <c r="B681" i="5"/>
  <c r="C681" i="5"/>
  <c r="D681" i="5"/>
  <c r="E681" i="5"/>
  <c r="F681" i="5"/>
  <c r="G681" i="5"/>
  <c r="H681" i="5"/>
  <c r="I681" i="5"/>
  <c r="J681" i="5"/>
  <c r="K681" i="5"/>
  <c r="L681" i="5"/>
  <c r="M681" i="5"/>
  <c r="N681" i="5"/>
  <c r="O681" i="5"/>
  <c r="P681" i="5"/>
  <c r="Q681" i="5"/>
  <c r="R681" i="5"/>
  <c r="S681" i="5"/>
  <c r="T681" i="5"/>
  <c r="U681" i="5"/>
  <c r="V681" i="5"/>
  <c r="W681" i="5"/>
  <c r="X681" i="5"/>
  <c r="B682" i="5"/>
  <c r="C682" i="5"/>
  <c r="D682" i="5"/>
  <c r="E682" i="5"/>
  <c r="F682" i="5"/>
  <c r="G682" i="5"/>
  <c r="H682" i="5"/>
  <c r="I682" i="5"/>
  <c r="J682" i="5"/>
  <c r="K682" i="5"/>
  <c r="L682" i="5"/>
  <c r="M682" i="5"/>
  <c r="N682" i="5"/>
  <c r="O682" i="5"/>
  <c r="P682" i="5"/>
  <c r="Q682" i="5"/>
  <c r="R682" i="5"/>
  <c r="S682" i="5"/>
  <c r="T682" i="5"/>
  <c r="U682" i="5"/>
  <c r="V682" i="5"/>
  <c r="W682" i="5"/>
  <c r="X682" i="5"/>
  <c r="B683" i="5"/>
  <c r="C683" i="5"/>
  <c r="D683" i="5"/>
  <c r="E683" i="5"/>
  <c r="F683" i="5"/>
  <c r="G683" i="5"/>
  <c r="H683" i="5"/>
  <c r="I683" i="5"/>
  <c r="J683" i="5"/>
  <c r="K683" i="5"/>
  <c r="L683" i="5"/>
  <c r="M683" i="5"/>
  <c r="N683" i="5"/>
  <c r="O683" i="5"/>
  <c r="P683" i="5"/>
  <c r="Q683" i="5"/>
  <c r="R683" i="5"/>
  <c r="S683" i="5"/>
  <c r="T683" i="5"/>
  <c r="U683" i="5"/>
  <c r="V683" i="5"/>
  <c r="W683" i="5"/>
  <c r="X683" i="5"/>
  <c r="B684" i="5"/>
  <c r="C684" i="5"/>
  <c r="D684" i="5"/>
  <c r="E684" i="5"/>
  <c r="F684" i="5"/>
  <c r="G684" i="5"/>
  <c r="H684" i="5"/>
  <c r="I684" i="5"/>
  <c r="J684" i="5"/>
  <c r="K684" i="5"/>
  <c r="L684" i="5"/>
  <c r="M684" i="5"/>
  <c r="N684" i="5"/>
  <c r="O684" i="5"/>
  <c r="P684" i="5"/>
  <c r="Q684" i="5"/>
  <c r="R684" i="5"/>
  <c r="S684" i="5"/>
  <c r="T684" i="5"/>
  <c r="U684" i="5"/>
  <c r="V684" i="5"/>
  <c r="W684" i="5"/>
  <c r="X684" i="5"/>
  <c r="B685" i="5"/>
  <c r="C685" i="5"/>
  <c r="D685" i="5"/>
  <c r="E685" i="5"/>
  <c r="F685" i="5"/>
  <c r="G685" i="5"/>
  <c r="H685" i="5"/>
  <c r="I685" i="5"/>
  <c r="J685" i="5"/>
  <c r="K685" i="5"/>
  <c r="L685" i="5"/>
  <c r="M685" i="5"/>
  <c r="N685" i="5"/>
  <c r="O685" i="5"/>
  <c r="P685" i="5"/>
  <c r="Q685" i="5"/>
  <c r="R685" i="5"/>
  <c r="S685" i="5"/>
  <c r="T685" i="5"/>
  <c r="U685" i="5"/>
  <c r="V685" i="5"/>
  <c r="W685" i="5"/>
  <c r="X685" i="5"/>
  <c r="AC685" i="5"/>
  <c r="B686" i="5"/>
  <c r="C686" i="5"/>
  <c r="D686" i="5"/>
  <c r="E686" i="5"/>
  <c r="F686" i="5"/>
  <c r="G686" i="5"/>
  <c r="H686" i="5"/>
  <c r="I686" i="5"/>
  <c r="J686" i="5"/>
  <c r="K686" i="5"/>
  <c r="L686" i="5"/>
  <c r="M686" i="5"/>
  <c r="N686" i="5"/>
  <c r="O686" i="5"/>
  <c r="P686" i="5"/>
  <c r="Q686" i="5"/>
  <c r="R686" i="5"/>
  <c r="S686" i="5"/>
  <c r="T686" i="5"/>
  <c r="U686" i="5"/>
  <c r="V686" i="5"/>
  <c r="W686" i="5"/>
  <c r="X686" i="5"/>
  <c r="B687" i="5"/>
  <c r="C687" i="5"/>
  <c r="D687" i="5"/>
  <c r="E687" i="5"/>
  <c r="F687" i="5"/>
  <c r="G687" i="5"/>
  <c r="H687" i="5"/>
  <c r="I687" i="5"/>
  <c r="J687" i="5"/>
  <c r="K687" i="5"/>
  <c r="L687" i="5"/>
  <c r="M687" i="5"/>
  <c r="N687" i="5"/>
  <c r="AC687" i="5" s="1"/>
  <c r="O687" i="5"/>
  <c r="P687" i="5"/>
  <c r="Q687" i="5"/>
  <c r="R687" i="5"/>
  <c r="S687" i="5"/>
  <c r="T687" i="5"/>
  <c r="U687" i="5"/>
  <c r="V687" i="5"/>
  <c r="W687" i="5"/>
  <c r="X687" i="5"/>
  <c r="B688" i="5"/>
  <c r="C688" i="5"/>
  <c r="D688" i="5"/>
  <c r="E688" i="5"/>
  <c r="F688" i="5"/>
  <c r="G688" i="5"/>
  <c r="H688" i="5"/>
  <c r="I688" i="5"/>
  <c r="J688" i="5"/>
  <c r="K688" i="5"/>
  <c r="L688" i="5"/>
  <c r="M688" i="5"/>
  <c r="N688" i="5"/>
  <c r="O688" i="5"/>
  <c r="P688" i="5"/>
  <c r="Q688" i="5"/>
  <c r="R688" i="5"/>
  <c r="S688" i="5"/>
  <c r="T688" i="5"/>
  <c r="U688" i="5"/>
  <c r="V688" i="5"/>
  <c r="W688" i="5"/>
  <c r="X688" i="5"/>
  <c r="B689" i="5"/>
  <c r="C689" i="5"/>
  <c r="D689" i="5"/>
  <c r="E689" i="5"/>
  <c r="F689" i="5"/>
  <c r="G689" i="5"/>
  <c r="H689" i="5"/>
  <c r="I689" i="5"/>
  <c r="J689" i="5"/>
  <c r="K689" i="5"/>
  <c r="L689" i="5"/>
  <c r="M689" i="5"/>
  <c r="N689" i="5"/>
  <c r="O689" i="5"/>
  <c r="P689" i="5"/>
  <c r="Q689" i="5"/>
  <c r="R689" i="5"/>
  <c r="S689" i="5"/>
  <c r="T689" i="5"/>
  <c r="U689" i="5"/>
  <c r="V689" i="5"/>
  <c r="W689" i="5"/>
  <c r="X689" i="5"/>
  <c r="B690" i="5"/>
  <c r="C690" i="5"/>
  <c r="D690" i="5"/>
  <c r="E690" i="5"/>
  <c r="F690" i="5"/>
  <c r="G690" i="5"/>
  <c r="H690" i="5"/>
  <c r="I690" i="5"/>
  <c r="J690" i="5"/>
  <c r="K690" i="5"/>
  <c r="L690" i="5"/>
  <c r="M690" i="5"/>
  <c r="N690" i="5"/>
  <c r="O690" i="5"/>
  <c r="P690" i="5"/>
  <c r="Q690" i="5"/>
  <c r="R690" i="5"/>
  <c r="S690" i="5"/>
  <c r="T690" i="5"/>
  <c r="U690" i="5"/>
  <c r="V690" i="5"/>
  <c r="W690" i="5"/>
  <c r="X690" i="5"/>
  <c r="B691" i="5"/>
  <c r="C691" i="5"/>
  <c r="D691" i="5"/>
  <c r="E691" i="5"/>
  <c r="F691" i="5"/>
  <c r="G691" i="5"/>
  <c r="H691" i="5"/>
  <c r="I691" i="5"/>
  <c r="J691" i="5"/>
  <c r="K691" i="5"/>
  <c r="L691" i="5"/>
  <c r="M691" i="5"/>
  <c r="N691" i="5"/>
  <c r="AC691" i="5" s="1"/>
  <c r="O691" i="5"/>
  <c r="P691" i="5"/>
  <c r="Q691" i="5"/>
  <c r="R691" i="5"/>
  <c r="S691" i="5"/>
  <c r="T691" i="5"/>
  <c r="U691" i="5"/>
  <c r="V691" i="5"/>
  <c r="W691" i="5"/>
  <c r="X691" i="5"/>
  <c r="B692" i="5"/>
  <c r="C692" i="5"/>
  <c r="D692" i="5"/>
  <c r="E692" i="5"/>
  <c r="F692" i="5"/>
  <c r="G692" i="5"/>
  <c r="H692" i="5"/>
  <c r="I692" i="5"/>
  <c r="J692" i="5"/>
  <c r="K692" i="5"/>
  <c r="L692" i="5"/>
  <c r="M692" i="5"/>
  <c r="N692" i="5"/>
  <c r="O692" i="5"/>
  <c r="P692" i="5"/>
  <c r="Q692" i="5"/>
  <c r="R692" i="5"/>
  <c r="S692" i="5"/>
  <c r="T692" i="5"/>
  <c r="U692" i="5"/>
  <c r="V692" i="5"/>
  <c r="W692" i="5"/>
  <c r="X692" i="5"/>
  <c r="B693" i="5"/>
  <c r="C693" i="5"/>
  <c r="D693" i="5"/>
  <c r="E693" i="5"/>
  <c r="F693" i="5"/>
  <c r="G693" i="5"/>
  <c r="H693" i="5"/>
  <c r="I693" i="5"/>
  <c r="J693" i="5"/>
  <c r="K693" i="5"/>
  <c r="L693" i="5"/>
  <c r="M693" i="5"/>
  <c r="N693" i="5"/>
  <c r="O693" i="5"/>
  <c r="P693" i="5"/>
  <c r="Q693" i="5"/>
  <c r="R693" i="5"/>
  <c r="S693" i="5"/>
  <c r="T693" i="5"/>
  <c r="U693" i="5"/>
  <c r="V693" i="5"/>
  <c r="W693" i="5"/>
  <c r="X693" i="5"/>
  <c r="AC693" i="5"/>
  <c r="B694" i="5"/>
  <c r="C694" i="5"/>
  <c r="D694" i="5"/>
  <c r="E694" i="5"/>
  <c r="F694" i="5"/>
  <c r="G694" i="5"/>
  <c r="H694" i="5"/>
  <c r="I694" i="5"/>
  <c r="J694" i="5"/>
  <c r="K694" i="5"/>
  <c r="L694" i="5"/>
  <c r="M694" i="5"/>
  <c r="N694" i="5"/>
  <c r="O694" i="5"/>
  <c r="P694" i="5"/>
  <c r="Q694" i="5"/>
  <c r="R694" i="5"/>
  <c r="S694" i="5"/>
  <c r="T694" i="5"/>
  <c r="U694" i="5"/>
  <c r="V694" i="5"/>
  <c r="W694" i="5"/>
  <c r="X694" i="5"/>
  <c r="B695" i="5"/>
  <c r="C695" i="5"/>
  <c r="D695" i="5"/>
  <c r="E695" i="5"/>
  <c r="F695" i="5"/>
  <c r="G695" i="5"/>
  <c r="H695" i="5"/>
  <c r="I695" i="5"/>
  <c r="J695" i="5"/>
  <c r="K695" i="5"/>
  <c r="L695" i="5"/>
  <c r="M695" i="5"/>
  <c r="N695" i="5"/>
  <c r="O695" i="5"/>
  <c r="P695" i="5"/>
  <c r="Q695" i="5"/>
  <c r="R695" i="5"/>
  <c r="S695" i="5"/>
  <c r="T695" i="5"/>
  <c r="U695" i="5"/>
  <c r="V695" i="5"/>
  <c r="W695" i="5"/>
  <c r="X695" i="5"/>
  <c r="B696" i="5"/>
  <c r="C696" i="5"/>
  <c r="D696" i="5"/>
  <c r="E696" i="5"/>
  <c r="F696" i="5"/>
  <c r="G696" i="5"/>
  <c r="H696" i="5"/>
  <c r="I696" i="5"/>
  <c r="J696" i="5"/>
  <c r="K696" i="5"/>
  <c r="L696" i="5"/>
  <c r="M696" i="5"/>
  <c r="N696" i="5"/>
  <c r="O696" i="5"/>
  <c r="P696" i="5"/>
  <c r="Q696" i="5"/>
  <c r="R696" i="5"/>
  <c r="S696" i="5"/>
  <c r="T696" i="5"/>
  <c r="U696" i="5"/>
  <c r="V696" i="5"/>
  <c r="W696" i="5"/>
  <c r="X696" i="5"/>
  <c r="B697" i="5"/>
  <c r="C697" i="5"/>
  <c r="D697" i="5"/>
  <c r="E697" i="5"/>
  <c r="F697" i="5"/>
  <c r="G697" i="5"/>
  <c r="H697" i="5"/>
  <c r="I697" i="5"/>
  <c r="J697" i="5"/>
  <c r="K697" i="5"/>
  <c r="L697" i="5"/>
  <c r="M697" i="5"/>
  <c r="N697" i="5"/>
  <c r="O697" i="5"/>
  <c r="P697" i="5"/>
  <c r="Q697" i="5"/>
  <c r="R697" i="5"/>
  <c r="S697" i="5"/>
  <c r="T697" i="5"/>
  <c r="U697" i="5"/>
  <c r="V697" i="5"/>
  <c r="W697" i="5"/>
  <c r="X697" i="5"/>
  <c r="B698" i="5"/>
  <c r="C698" i="5"/>
  <c r="D698" i="5"/>
  <c r="E698" i="5"/>
  <c r="F698" i="5"/>
  <c r="G698" i="5"/>
  <c r="H698" i="5"/>
  <c r="I698" i="5"/>
  <c r="J698" i="5"/>
  <c r="K698" i="5"/>
  <c r="L698" i="5"/>
  <c r="M698" i="5"/>
  <c r="N698" i="5"/>
  <c r="O698" i="5"/>
  <c r="P698" i="5"/>
  <c r="Q698" i="5"/>
  <c r="R698" i="5"/>
  <c r="S698" i="5"/>
  <c r="T698" i="5"/>
  <c r="U698" i="5"/>
  <c r="V698" i="5"/>
  <c r="W698" i="5"/>
  <c r="X698" i="5"/>
  <c r="B699" i="5"/>
  <c r="C699" i="5"/>
  <c r="D699" i="5"/>
  <c r="E699" i="5"/>
  <c r="F699" i="5"/>
  <c r="G699" i="5"/>
  <c r="H699" i="5"/>
  <c r="I699" i="5"/>
  <c r="J699" i="5"/>
  <c r="K699" i="5"/>
  <c r="L699" i="5"/>
  <c r="M699" i="5"/>
  <c r="N699" i="5"/>
  <c r="O699" i="5"/>
  <c r="P699" i="5"/>
  <c r="Q699" i="5"/>
  <c r="R699" i="5"/>
  <c r="S699" i="5"/>
  <c r="T699" i="5"/>
  <c r="U699" i="5"/>
  <c r="V699" i="5"/>
  <c r="W699" i="5"/>
  <c r="X699" i="5"/>
  <c r="B700" i="5"/>
  <c r="C700" i="5"/>
  <c r="D700" i="5"/>
  <c r="E700" i="5"/>
  <c r="F700" i="5"/>
  <c r="G700" i="5"/>
  <c r="H700" i="5"/>
  <c r="I700" i="5"/>
  <c r="J700" i="5"/>
  <c r="K700" i="5"/>
  <c r="L700" i="5"/>
  <c r="M700" i="5"/>
  <c r="AC700" i="5" s="1"/>
  <c r="N700" i="5"/>
  <c r="O700" i="5"/>
  <c r="P700" i="5"/>
  <c r="Q700" i="5"/>
  <c r="R700" i="5"/>
  <c r="S700" i="5"/>
  <c r="T700" i="5"/>
  <c r="U700" i="5"/>
  <c r="V700" i="5"/>
  <c r="W700" i="5"/>
  <c r="X700" i="5"/>
  <c r="B701" i="5"/>
  <c r="C701" i="5"/>
  <c r="D701" i="5"/>
  <c r="E701" i="5"/>
  <c r="F701" i="5"/>
  <c r="G701" i="5"/>
  <c r="H701" i="5"/>
  <c r="I701" i="5"/>
  <c r="J701" i="5"/>
  <c r="K701" i="5"/>
  <c r="L701" i="5"/>
  <c r="M701" i="5"/>
  <c r="N701" i="5"/>
  <c r="O701" i="5"/>
  <c r="P701" i="5"/>
  <c r="Q701" i="5"/>
  <c r="R701" i="5"/>
  <c r="S701" i="5"/>
  <c r="T701" i="5"/>
  <c r="U701" i="5"/>
  <c r="V701" i="5"/>
  <c r="W701" i="5"/>
  <c r="X701" i="5"/>
  <c r="AC701" i="5"/>
  <c r="B702" i="5"/>
  <c r="C702" i="5"/>
  <c r="D702" i="5"/>
  <c r="E702" i="5"/>
  <c r="F702" i="5"/>
  <c r="G702" i="5"/>
  <c r="H702" i="5"/>
  <c r="I702" i="5"/>
  <c r="J702" i="5"/>
  <c r="K702" i="5"/>
  <c r="L702" i="5"/>
  <c r="M702" i="5"/>
  <c r="N702" i="5"/>
  <c r="O702" i="5"/>
  <c r="P702" i="5"/>
  <c r="Q702" i="5"/>
  <c r="R702" i="5"/>
  <c r="S702" i="5"/>
  <c r="T702" i="5"/>
  <c r="U702" i="5"/>
  <c r="V702" i="5"/>
  <c r="W702" i="5"/>
  <c r="X702" i="5"/>
  <c r="B703" i="5"/>
  <c r="C703" i="5"/>
  <c r="D703" i="5"/>
  <c r="E703" i="5"/>
  <c r="F703" i="5"/>
  <c r="G703" i="5"/>
  <c r="H703" i="5"/>
  <c r="I703" i="5"/>
  <c r="J703" i="5"/>
  <c r="K703" i="5"/>
  <c r="L703" i="5"/>
  <c r="M703" i="5"/>
  <c r="N703" i="5"/>
  <c r="AC703" i="5" s="1"/>
  <c r="O703" i="5"/>
  <c r="P703" i="5"/>
  <c r="Q703" i="5"/>
  <c r="R703" i="5"/>
  <c r="S703" i="5"/>
  <c r="T703" i="5"/>
  <c r="U703" i="5"/>
  <c r="V703" i="5"/>
  <c r="W703" i="5"/>
  <c r="X703" i="5"/>
  <c r="B704" i="5"/>
  <c r="C704" i="5"/>
  <c r="D704" i="5"/>
  <c r="E704" i="5"/>
  <c r="F704" i="5"/>
  <c r="G704" i="5"/>
  <c r="H704" i="5"/>
  <c r="I704" i="5"/>
  <c r="J704" i="5"/>
  <c r="K704" i="5"/>
  <c r="L704" i="5"/>
  <c r="M704" i="5"/>
  <c r="N704" i="5"/>
  <c r="O704" i="5"/>
  <c r="P704" i="5"/>
  <c r="Q704" i="5"/>
  <c r="R704" i="5"/>
  <c r="S704" i="5"/>
  <c r="T704" i="5"/>
  <c r="U704" i="5"/>
  <c r="V704" i="5"/>
  <c r="W704" i="5"/>
  <c r="X704" i="5"/>
  <c r="B705" i="5"/>
  <c r="C705" i="5"/>
  <c r="D705" i="5"/>
  <c r="E705" i="5"/>
  <c r="F705" i="5"/>
  <c r="G705" i="5"/>
  <c r="H705" i="5"/>
  <c r="I705" i="5"/>
  <c r="J705" i="5"/>
  <c r="K705" i="5"/>
  <c r="L705" i="5"/>
  <c r="M705" i="5"/>
  <c r="N705" i="5"/>
  <c r="O705" i="5"/>
  <c r="P705" i="5"/>
  <c r="Q705" i="5"/>
  <c r="R705" i="5"/>
  <c r="S705" i="5"/>
  <c r="T705" i="5"/>
  <c r="U705" i="5"/>
  <c r="V705" i="5"/>
  <c r="W705" i="5"/>
  <c r="X705" i="5"/>
  <c r="B706" i="5"/>
  <c r="C706" i="5"/>
  <c r="D706" i="5"/>
  <c r="E706" i="5"/>
  <c r="F706" i="5"/>
  <c r="G706" i="5"/>
  <c r="H706" i="5"/>
  <c r="I706" i="5"/>
  <c r="J706" i="5"/>
  <c r="K706" i="5"/>
  <c r="L706" i="5"/>
  <c r="M706" i="5"/>
  <c r="N706" i="5"/>
  <c r="O706" i="5"/>
  <c r="P706" i="5"/>
  <c r="Q706" i="5"/>
  <c r="R706" i="5"/>
  <c r="S706" i="5"/>
  <c r="T706" i="5"/>
  <c r="U706" i="5"/>
  <c r="V706" i="5"/>
  <c r="W706" i="5"/>
  <c r="X706" i="5"/>
  <c r="B707" i="5"/>
  <c r="C707" i="5"/>
  <c r="D707" i="5"/>
  <c r="E707" i="5"/>
  <c r="F707" i="5"/>
  <c r="G707" i="5"/>
  <c r="H707" i="5"/>
  <c r="I707" i="5"/>
  <c r="J707" i="5"/>
  <c r="K707" i="5"/>
  <c r="L707" i="5"/>
  <c r="M707" i="5"/>
  <c r="N707" i="5"/>
  <c r="AC707" i="5" s="1"/>
  <c r="O707" i="5"/>
  <c r="P707" i="5"/>
  <c r="Q707" i="5"/>
  <c r="R707" i="5"/>
  <c r="S707" i="5"/>
  <c r="T707" i="5"/>
  <c r="U707" i="5"/>
  <c r="V707" i="5"/>
  <c r="W707" i="5"/>
  <c r="X707" i="5"/>
  <c r="B708" i="5"/>
  <c r="C708" i="5"/>
  <c r="D708" i="5"/>
  <c r="E708" i="5"/>
  <c r="F708" i="5"/>
  <c r="G708" i="5"/>
  <c r="H708" i="5"/>
  <c r="I708" i="5"/>
  <c r="J708" i="5"/>
  <c r="K708" i="5"/>
  <c r="L708" i="5"/>
  <c r="M708" i="5"/>
  <c r="N708" i="5"/>
  <c r="O708" i="5"/>
  <c r="P708" i="5"/>
  <c r="Q708" i="5"/>
  <c r="R708" i="5"/>
  <c r="S708" i="5"/>
  <c r="T708" i="5"/>
  <c r="U708" i="5"/>
  <c r="V708" i="5"/>
  <c r="W708" i="5"/>
  <c r="X708" i="5"/>
  <c r="B709" i="5"/>
  <c r="C709" i="5"/>
  <c r="D709" i="5"/>
  <c r="E709" i="5"/>
  <c r="F709" i="5"/>
  <c r="G709" i="5"/>
  <c r="H709" i="5"/>
  <c r="I709" i="5"/>
  <c r="J709" i="5"/>
  <c r="K709" i="5"/>
  <c r="L709" i="5"/>
  <c r="M709" i="5"/>
  <c r="N709" i="5"/>
  <c r="O709" i="5"/>
  <c r="P709" i="5"/>
  <c r="AC709" i="5" s="1"/>
  <c r="Q709" i="5"/>
  <c r="R709" i="5"/>
  <c r="S709" i="5"/>
  <c r="T709" i="5"/>
  <c r="U709" i="5"/>
  <c r="V709" i="5"/>
  <c r="W709" i="5"/>
  <c r="X709" i="5"/>
  <c r="B710" i="5"/>
  <c r="C710" i="5"/>
  <c r="D710" i="5"/>
  <c r="E710" i="5"/>
  <c r="F710" i="5"/>
  <c r="G710" i="5"/>
  <c r="H710" i="5"/>
  <c r="I710" i="5"/>
  <c r="J710" i="5"/>
  <c r="K710" i="5"/>
  <c r="L710" i="5"/>
  <c r="M710" i="5"/>
  <c r="N710" i="5"/>
  <c r="O710" i="5"/>
  <c r="P710" i="5"/>
  <c r="Q710" i="5"/>
  <c r="R710" i="5"/>
  <c r="S710" i="5"/>
  <c r="T710" i="5"/>
  <c r="U710" i="5"/>
  <c r="V710" i="5"/>
  <c r="W710" i="5"/>
  <c r="X710" i="5"/>
  <c r="B711" i="5"/>
  <c r="C711" i="5"/>
  <c r="D711" i="5"/>
  <c r="E711" i="5"/>
  <c r="F711" i="5"/>
  <c r="G711" i="5"/>
  <c r="H711" i="5"/>
  <c r="I711" i="5"/>
  <c r="J711" i="5"/>
  <c r="K711" i="5"/>
  <c r="L711" i="5"/>
  <c r="M711" i="5"/>
  <c r="N711" i="5"/>
  <c r="O711" i="5"/>
  <c r="P711" i="5"/>
  <c r="Q711" i="5"/>
  <c r="R711" i="5"/>
  <c r="S711" i="5"/>
  <c r="T711" i="5"/>
  <c r="U711" i="5"/>
  <c r="V711" i="5"/>
  <c r="W711" i="5"/>
  <c r="X711" i="5"/>
  <c r="B712" i="5"/>
  <c r="C712" i="5"/>
  <c r="D712" i="5"/>
  <c r="E712" i="5"/>
  <c r="F712" i="5"/>
  <c r="G712" i="5"/>
  <c r="H712" i="5"/>
  <c r="I712" i="5"/>
  <c r="J712" i="5"/>
  <c r="K712" i="5"/>
  <c r="L712" i="5"/>
  <c r="M712" i="5"/>
  <c r="N712" i="5"/>
  <c r="O712" i="5"/>
  <c r="P712" i="5"/>
  <c r="Q712" i="5"/>
  <c r="R712" i="5"/>
  <c r="S712" i="5"/>
  <c r="T712" i="5"/>
  <c r="U712" i="5"/>
  <c r="V712" i="5"/>
  <c r="W712" i="5"/>
  <c r="X712" i="5"/>
  <c r="B713" i="5"/>
  <c r="C713" i="5"/>
  <c r="D713" i="5"/>
  <c r="E713" i="5"/>
  <c r="F713" i="5"/>
  <c r="G713" i="5"/>
  <c r="H713" i="5"/>
  <c r="I713" i="5"/>
  <c r="J713" i="5"/>
  <c r="K713" i="5"/>
  <c r="L713" i="5"/>
  <c r="M713" i="5"/>
  <c r="N713" i="5"/>
  <c r="O713" i="5"/>
  <c r="P713" i="5"/>
  <c r="Q713" i="5"/>
  <c r="R713" i="5"/>
  <c r="S713" i="5"/>
  <c r="T713" i="5"/>
  <c r="U713" i="5"/>
  <c r="V713" i="5"/>
  <c r="W713" i="5"/>
  <c r="X713" i="5"/>
  <c r="B714" i="5"/>
  <c r="C714" i="5"/>
  <c r="D714" i="5"/>
  <c r="E714" i="5"/>
  <c r="F714" i="5"/>
  <c r="G714" i="5"/>
  <c r="H714" i="5"/>
  <c r="I714" i="5"/>
  <c r="J714" i="5"/>
  <c r="K714" i="5"/>
  <c r="L714" i="5"/>
  <c r="M714" i="5"/>
  <c r="N714" i="5"/>
  <c r="O714" i="5"/>
  <c r="P714" i="5"/>
  <c r="Q714" i="5"/>
  <c r="R714" i="5"/>
  <c r="S714" i="5"/>
  <c r="T714" i="5"/>
  <c r="U714" i="5"/>
  <c r="V714" i="5"/>
  <c r="W714" i="5"/>
  <c r="X714" i="5"/>
  <c r="B715" i="5"/>
  <c r="C715" i="5"/>
  <c r="D715" i="5"/>
  <c r="E715" i="5"/>
  <c r="F715" i="5"/>
  <c r="G715" i="5"/>
  <c r="H715" i="5"/>
  <c r="I715" i="5"/>
  <c r="J715" i="5"/>
  <c r="K715" i="5"/>
  <c r="L715" i="5"/>
  <c r="M715" i="5"/>
  <c r="N715" i="5"/>
  <c r="O715" i="5"/>
  <c r="P715" i="5"/>
  <c r="Q715" i="5"/>
  <c r="R715" i="5"/>
  <c r="S715" i="5"/>
  <c r="T715" i="5"/>
  <c r="U715" i="5"/>
  <c r="V715" i="5"/>
  <c r="W715" i="5"/>
  <c r="X715" i="5"/>
  <c r="B716" i="5"/>
  <c r="C716" i="5"/>
  <c r="D716" i="5"/>
  <c r="E716" i="5"/>
  <c r="F716" i="5"/>
  <c r="G716" i="5"/>
  <c r="H716" i="5"/>
  <c r="I716" i="5"/>
  <c r="J716" i="5"/>
  <c r="K716" i="5"/>
  <c r="L716" i="5"/>
  <c r="M716" i="5"/>
  <c r="AC716" i="5" s="1"/>
  <c r="N716" i="5"/>
  <c r="O716" i="5"/>
  <c r="P716" i="5"/>
  <c r="Q716" i="5"/>
  <c r="R716" i="5"/>
  <c r="S716" i="5"/>
  <c r="T716" i="5"/>
  <c r="U716" i="5"/>
  <c r="V716" i="5"/>
  <c r="W716" i="5"/>
  <c r="X716" i="5"/>
  <c r="B717" i="5"/>
  <c r="C717" i="5"/>
  <c r="D717" i="5"/>
  <c r="E717" i="5"/>
  <c r="F717" i="5"/>
  <c r="G717" i="5"/>
  <c r="H717" i="5"/>
  <c r="I717" i="5"/>
  <c r="J717" i="5"/>
  <c r="K717" i="5"/>
  <c r="L717" i="5"/>
  <c r="M717" i="5"/>
  <c r="N717" i="5"/>
  <c r="AC717" i="5" s="1"/>
  <c r="O717" i="5"/>
  <c r="P717" i="5"/>
  <c r="Q717" i="5"/>
  <c r="R717" i="5"/>
  <c r="S717" i="5"/>
  <c r="T717" i="5"/>
  <c r="U717" i="5"/>
  <c r="V717" i="5"/>
  <c r="W717" i="5"/>
  <c r="X717" i="5"/>
  <c r="B718" i="5"/>
  <c r="C718" i="5"/>
  <c r="D718" i="5"/>
  <c r="E718" i="5"/>
  <c r="F718" i="5"/>
  <c r="G718" i="5"/>
  <c r="H718" i="5"/>
  <c r="I718" i="5"/>
  <c r="J718" i="5"/>
  <c r="K718" i="5"/>
  <c r="L718" i="5"/>
  <c r="M718" i="5"/>
  <c r="N718" i="5"/>
  <c r="O718" i="5"/>
  <c r="P718" i="5"/>
  <c r="Q718" i="5"/>
  <c r="R718" i="5"/>
  <c r="S718" i="5"/>
  <c r="T718" i="5"/>
  <c r="U718" i="5"/>
  <c r="V718" i="5"/>
  <c r="W718" i="5"/>
  <c r="X718" i="5"/>
  <c r="B719" i="5"/>
  <c r="C719" i="5"/>
  <c r="D719" i="5"/>
  <c r="E719" i="5"/>
  <c r="F719" i="5"/>
  <c r="G719" i="5"/>
  <c r="H719" i="5"/>
  <c r="I719" i="5"/>
  <c r="J719" i="5"/>
  <c r="K719" i="5"/>
  <c r="L719" i="5"/>
  <c r="M719" i="5"/>
  <c r="N719" i="5"/>
  <c r="O719" i="5"/>
  <c r="P719" i="5"/>
  <c r="Q719" i="5"/>
  <c r="R719" i="5"/>
  <c r="S719" i="5"/>
  <c r="T719" i="5"/>
  <c r="U719" i="5"/>
  <c r="V719" i="5"/>
  <c r="W719" i="5"/>
  <c r="X719" i="5"/>
  <c r="B720" i="5"/>
  <c r="C720" i="5"/>
  <c r="D720" i="5"/>
  <c r="E720" i="5"/>
  <c r="F720" i="5"/>
  <c r="G720" i="5"/>
  <c r="H720" i="5"/>
  <c r="I720" i="5"/>
  <c r="J720" i="5"/>
  <c r="K720" i="5"/>
  <c r="L720" i="5"/>
  <c r="M720" i="5"/>
  <c r="N720" i="5"/>
  <c r="O720" i="5"/>
  <c r="P720" i="5"/>
  <c r="Q720" i="5"/>
  <c r="R720" i="5"/>
  <c r="S720" i="5"/>
  <c r="T720" i="5"/>
  <c r="U720" i="5"/>
  <c r="V720" i="5"/>
  <c r="W720" i="5"/>
  <c r="X720" i="5"/>
  <c r="B721" i="5"/>
  <c r="C721" i="5"/>
  <c r="D721" i="5"/>
  <c r="E721" i="5"/>
  <c r="F721" i="5"/>
  <c r="G721" i="5"/>
  <c r="H721" i="5"/>
  <c r="I721" i="5"/>
  <c r="J721" i="5"/>
  <c r="K721" i="5"/>
  <c r="L721" i="5"/>
  <c r="M721" i="5"/>
  <c r="N721" i="5"/>
  <c r="O721" i="5"/>
  <c r="P721" i="5"/>
  <c r="Q721" i="5"/>
  <c r="R721" i="5"/>
  <c r="S721" i="5"/>
  <c r="T721" i="5"/>
  <c r="U721" i="5"/>
  <c r="V721" i="5"/>
  <c r="W721" i="5"/>
  <c r="X721" i="5"/>
  <c r="B722" i="5"/>
  <c r="C722" i="5"/>
  <c r="D722" i="5"/>
  <c r="E722" i="5"/>
  <c r="F722" i="5"/>
  <c r="G722" i="5"/>
  <c r="H722" i="5"/>
  <c r="I722" i="5"/>
  <c r="J722" i="5"/>
  <c r="K722" i="5"/>
  <c r="L722" i="5"/>
  <c r="M722" i="5"/>
  <c r="N722" i="5"/>
  <c r="O722" i="5"/>
  <c r="P722" i="5"/>
  <c r="Q722" i="5"/>
  <c r="R722" i="5"/>
  <c r="S722" i="5"/>
  <c r="T722" i="5"/>
  <c r="U722" i="5"/>
  <c r="V722" i="5"/>
  <c r="W722" i="5"/>
  <c r="X722" i="5"/>
  <c r="B723" i="5"/>
  <c r="C723" i="5"/>
  <c r="D723" i="5"/>
  <c r="E723" i="5"/>
  <c r="F723" i="5"/>
  <c r="G723" i="5"/>
  <c r="H723" i="5"/>
  <c r="I723" i="5"/>
  <c r="J723" i="5"/>
  <c r="K723" i="5"/>
  <c r="L723" i="5"/>
  <c r="M723" i="5"/>
  <c r="N723" i="5"/>
  <c r="O723" i="5"/>
  <c r="P723" i="5"/>
  <c r="Q723" i="5"/>
  <c r="R723" i="5"/>
  <c r="S723" i="5"/>
  <c r="T723" i="5"/>
  <c r="U723" i="5"/>
  <c r="V723" i="5"/>
  <c r="W723" i="5"/>
  <c r="X723" i="5"/>
  <c r="B724" i="5"/>
  <c r="C724" i="5"/>
  <c r="D724" i="5"/>
  <c r="E724" i="5"/>
  <c r="F724" i="5"/>
  <c r="G724" i="5"/>
  <c r="H724" i="5"/>
  <c r="I724" i="5"/>
  <c r="J724" i="5"/>
  <c r="K724" i="5"/>
  <c r="L724" i="5"/>
  <c r="M724" i="5"/>
  <c r="N724" i="5"/>
  <c r="O724" i="5"/>
  <c r="P724" i="5"/>
  <c r="Q724" i="5"/>
  <c r="R724" i="5"/>
  <c r="S724" i="5"/>
  <c r="T724" i="5"/>
  <c r="U724" i="5"/>
  <c r="V724" i="5"/>
  <c r="W724" i="5"/>
  <c r="X724" i="5"/>
  <c r="B725" i="5"/>
  <c r="C725" i="5"/>
  <c r="D725" i="5"/>
  <c r="E725" i="5"/>
  <c r="F725" i="5"/>
  <c r="G725" i="5"/>
  <c r="H725" i="5"/>
  <c r="I725" i="5"/>
  <c r="J725" i="5"/>
  <c r="K725" i="5"/>
  <c r="L725" i="5"/>
  <c r="M725" i="5"/>
  <c r="N725" i="5"/>
  <c r="O725" i="5"/>
  <c r="P725" i="5"/>
  <c r="Q725" i="5"/>
  <c r="R725" i="5"/>
  <c r="S725" i="5"/>
  <c r="T725" i="5"/>
  <c r="U725" i="5"/>
  <c r="V725" i="5"/>
  <c r="W725" i="5"/>
  <c r="X725" i="5"/>
  <c r="AC725" i="5"/>
  <c r="B726" i="5"/>
  <c r="C726" i="5"/>
  <c r="D726" i="5"/>
  <c r="E726" i="5"/>
  <c r="F726" i="5"/>
  <c r="G726" i="5"/>
  <c r="H726" i="5"/>
  <c r="I726" i="5"/>
  <c r="J726" i="5"/>
  <c r="K726" i="5"/>
  <c r="L726" i="5"/>
  <c r="M726" i="5"/>
  <c r="N726" i="5"/>
  <c r="O726" i="5"/>
  <c r="P726" i="5"/>
  <c r="Q726" i="5"/>
  <c r="R726" i="5"/>
  <c r="S726" i="5"/>
  <c r="T726" i="5"/>
  <c r="U726" i="5"/>
  <c r="V726" i="5"/>
  <c r="W726" i="5"/>
  <c r="X726" i="5"/>
  <c r="B727" i="5"/>
  <c r="C727" i="5"/>
  <c r="D727" i="5"/>
  <c r="E727" i="5"/>
  <c r="F727" i="5"/>
  <c r="G727" i="5"/>
  <c r="H727" i="5"/>
  <c r="I727" i="5"/>
  <c r="J727" i="5"/>
  <c r="K727" i="5"/>
  <c r="L727" i="5"/>
  <c r="M727" i="5"/>
  <c r="N727" i="5"/>
  <c r="AC727" i="5" s="1"/>
  <c r="O727" i="5"/>
  <c r="P727" i="5"/>
  <c r="Q727" i="5"/>
  <c r="R727" i="5"/>
  <c r="S727" i="5"/>
  <c r="T727" i="5"/>
  <c r="U727" i="5"/>
  <c r="V727" i="5"/>
  <c r="W727" i="5"/>
  <c r="X727" i="5"/>
  <c r="B728" i="5"/>
  <c r="C728" i="5"/>
  <c r="D728" i="5"/>
  <c r="E728" i="5"/>
  <c r="F728" i="5"/>
  <c r="G728" i="5"/>
  <c r="H728" i="5"/>
  <c r="I728" i="5"/>
  <c r="J728" i="5"/>
  <c r="K728" i="5"/>
  <c r="L728" i="5"/>
  <c r="M728" i="5"/>
  <c r="N728" i="5"/>
  <c r="O728" i="5"/>
  <c r="P728" i="5"/>
  <c r="Q728" i="5"/>
  <c r="R728" i="5"/>
  <c r="S728" i="5"/>
  <c r="T728" i="5"/>
  <c r="U728" i="5"/>
  <c r="V728" i="5"/>
  <c r="W728" i="5"/>
  <c r="X728" i="5"/>
  <c r="B729" i="5"/>
  <c r="C729" i="5"/>
  <c r="D729" i="5"/>
  <c r="E729" i="5"/>
  <c r="F729" i="5"/>
  <c r="G729" i="5"/>
  <c r="H729" i="5"/>
  <c r="I729" i="5"/>
  <c r="J729" i="5"/>
  <c r="K729" i="5"/>
  <c r="L729" i="5"/>
  <c r="M729" i="5"/>
  <c r="N729" i="5"/>
  <c r="O729" i="5"/>
  <c r="P729" i="5"/>
  <c r="Q729" i="5"/>
  <c r="R729" i="5"/>
  <c r="S729" i="5"/>
  <c r="T729" i="5"/>
  <c r="U729" i="5"/>
  <c r="V729" i="5"/>
  <c r="W729" i="5"/>
  <c r="X729" i="5"/>
  <c r="B730" i="5"/>
  <c r="C730" i="5"/>
  <c r="D730" i="5"/>
  <c r="E730" i="5"/>
  <c r="F730" i="5"/>
  <c r="G730" i="5"/>
  <c r="H730" i="5"/>
  <c r="I730" i="5"/>
  <c r="J730" i="5"/>
  <c r="K730" i="5"/>
  <c r="L730" i="5"/>
  <c r="M730" i="5"/>
  <c r="AC730" i="5" s="1"/>
  <c r="N730" i="5"/>
  <c r="O730" i="5"/>
  <c r="P730" i="5"/>
  <c r="Q730" i="5"/>
  <c r="R730" i="5"/>
  <c r="S730" i="5"/>
  <c r="T730" i="5"/>
  <c r="U730" i="5"/>
  <c r="V730" i="5"/>
  <c r="W730" i="5"/>
  <c r="X730" i="5"/>
  <c r="B731" i="5"/>
  <c r="C731" i="5"/>
  <c r="D731" i="5"/>
  <c r="E731" i="5"/>
  <c r="F731" i="5"/>
  <c r="G731" i="5"/>
  <c r="H731" i="5"/>
  <c r="I731" i="5"/>
  <c r="J731" i="5"/>
  <c r="K731" i="5"/>
  <c r="L731" i="5"/>
  <c r="M731" i="5"/>
  <c r="N731" i="5"/>
  <c r="AC731" i="5" s="1"/>
  <c r="O731" i="5"/>
  <c r="P731" i="5"/>
  <c r="Q731" i="5"/>
  <c r="R731" i="5"/>
  <c r="S731" i="5"/>
  <c r="T731" i="5"/>
  <c r="U731" i="5"/>
  <c r="V731" i="5"/>
  <c r="W731" i="5"/>
  <c r="X731" i="5"/>
  <c r="B732" i="5"/>
  <c r="C732" i="5"/>
  <c r="D732" i="5"/>
  <c r="E732" i="5"/>
  <c r="F732" i="5"/>
  <c r="G732" i="5"/>
  <c r="H732" i="5"/>
  <c r="I732" i="5"/>
  <c r="J732" i="5"/>
  <c r="K732" i="5"/>
  <c r="L732" i="5"/>
  <c r="M732" i="5"/>
  <c r="N732" i="5"/>
  <c r="O732" i="5"/>
  <c r="P732" i="5"/>
  <c r="Q732" i="5"/>
  <c r="R732" i="5"/>
  <c r="S732" i="5"/>
  <c r="T732" i="5"/>
  <c r="U732" i="5"/>
  <c r="V732" i="5"/>
  <c r="W732" i="5"/>
  <c r="X732" i="5"/>
  <c r="B733" i="5"/>
  <c r="C733" i="5"/>
  <c r="D733" i="5"/>
  <c r="E733" i="5"/>
  <c r="F733" i="5"/>
  <c r="G733" i="5"/>
  <c r="H733" i="5"/>
  <c r="I733" i="5"/>
  <c r="J733" i="5"/>
  <c r="K733" i="5"/>
  <c r="L733" i="5"/>
  <c r="M733" i="5"/>
  <c r="N733" i="5"/>
  <c r="O733" i="5"/>
  <c r="P733" i="5"/>
  <c r="Q733" i="5"/>
  <c r="R733" i="5"/>
  <c r="S733" i="5"/>
  <c r="T733" i="5"/>
  <c r="U733" i="5"/>
  <c r="V733" i="5"/>
  <c r="W733" i="5"/>
  <c r="X733" i="5"/>
  <c r="AC733" i="5"/>
  <c r="B734" i="5"/>
  <c r="C734" i="5"/>
  <c r="D734" i="5"/>
  <c r="E734" i="5"/>
  <c r="F734" i="5"/>
  <c r="G734" i="5"/>
  <c r="H734" i="5"/>
  <c r="I734" i="5"/>
  <c r="J734" i="5"/>
  <c r="K734" i="5"/>
  <c r="L734" i="5"/>
  <c r="M734" i="5"/>
  <c r="N734" i="5"/>
  <c r="O734" i="5"/>
  <c r="P734" i="5"/>
  <c r="Q734" i="5"/>
  <c r="R734" i="5"/>
  <c r="S734" i="5"/>
  <c r="T734" i="5"/>
  <c r="U734" i="5"/>
  <c r="V734" i="5"/>
  <c r="W734" i="5"/>
  <c r="X734" i="5"/>
  <c r="B735" i="5"/>
  <c r="C735" i="5"/>
  <c r="D735" i="5"/>
  <c r="E735" i="5"/>
  <c r="F735" i="5"/>
  <c r="G735" i="5"/>
  <c r="H735" i="5"/>
  <c r="I735" i="5"/>
  <c r="J735" i="5"/>
  <c r="K735" i="5"/>
  <c r="L735" i="5"/>
  <c r="M735" i="5"/>
  <c r="N735" i="5"/>
  <c r="O735" i="5"/>
  <c r="P735" i="5"/>
  <c r="Q735" i="5"/>
  <c r="R735" i="5"/>
  <c r="S735" i="5"/>
  <c r="T735" i="5"/>
  <c r="U735" i="5"/>
  <c r="V735" i="5"/>
  <c r="W735" i="5"/>
  <c r="X735" i="5"/>
  <c r="B736" i="5"/>
  <c r="C736" i="5"/>
  <c r="D736" i="5"/>
  <c r="E736" i="5"/>
  <c r="F736" i="5"/>
  <c r="G736" i="5"/>
  <c r="H736" i="5"/>
  <c r="I736" i="5"/>
  <c r="J736" i="5"/>
  <c r="K736" i="5"/>
  <c r="L736" i="5"/>
  <c r="M736" i="5"/>
  <c r="N736" i="5"/>
  <c r="O736" i="5"/>
  <c r="P736" i="5"/>
  <c r="Q736" i="5"/>
  <c r="R736" i="5"/>
  <c r="S736" i="5"/>
  <c r="T736" i="5"/>
  <c r="U736" i="5"/>
  <c r="V736" i="5"/>
  <c r="W736" i="5"/>
  <c r="X736" i="5"/>
  <c r="B737" i="5"/>
  <c r="C737" i="5"/>
  <c r="D737" i="5"/>
  <c r="E737" i="5"/>
  <c r="F737" i="5"/>
  <c r="G737" i="5"/>
  <c r="H737" i="5"/>
  <c r="I737" i="5"/>
  <c r="J737" i="5"/>
  <c r="K737" i="5"/>
  <c r="L737" i="5"/>
  <c r="M737" i="5"/>
  <c r="N737" i="5"/>
  <c r="O737" i="5"/>
  <c r="P737" i="5"/>
  <c r="Q737" i="5"/>
  <c r="R737" i="5"/>
  <c r="S737" i="5"/>
  <c r="T737" i="5"/>
  <c r="U737" i="5"/>
  <c r="V737" i="5"/>
  <c r="W737" i="5"/>
  <c r="X737" i="5"/>
  <c r="B738" i="5"/>
  <c r="C738" i="5"/>
  <c r="D738" i="5"/>
  <c r="E738" i="5"/>
  <c r="F738" i="5"/>
  <c r="G738" i="5"/>
  <c r="H738" i="5"/>
  <c r="I738" i="5"/>
  <c r="J738" i="5"/>
  <c r="K738" i="5"/>
  <c r="L738" i="5"/>
  <c r="M738" i="5"/>
  <c r="AC738" i="5" s="1"/>
  <c r="N738" i="5"/>
  <c r="O738" i="5"/>
  <c r="P738" i="5"/>
  <c r="Q738" i="5"/>
  <c r="R738" i="5"/>
  <c r="S738" i="5"/>
  <c r="T738" i="5"/>
  <c r="U738" i="5"/>
  <c r="V738" i="5"/>
  <c r="W738" i="5"/>
  <c r="X738" i="5"/>
  <c r="B739" i="5"/>
  <c r="C739" i="5"/>
  <c r="D739" i="5"/>
  <c r="E739" i="5"/>
  <c r="F739" i="5"/>
  <c r="G739" i="5"/>
  <c r="H739" i="5"/>
  <c r="I739" i="5"/>
  <c r="J739" i="5"/>
  <c r="K739" i="5"/>
  <c r="L739" i="5"/>
  <c r="M739" i="5"/>
  <c r="N739" i="5"/>
  <c r="AC739" i="5" s="1"/>
  <c r="O739" i="5"/>
  <c r="P739" i="5"/>
  <c r="Q739" i="5"/>
  <c r="R739" i="5"/>
  <c r="S739" i="5"/>
  <c r="T739" i="5"/>
  <c r="U739" i="5"/>
  <c r="V739" i="5"/>
  <c r="W739" i="5"/>
  <c r="X739" i="5"/>
  <c r="B740" i="5"/>
  <c r="C740" i="5"/>
  <c r="D740" i="5"/>
  <c r="E740" i="5"/>
  <c r="F740" i="5"/>
  <c r="G740" i="5"/>
  <c r="H740" i="5"/>
  <c r="I740" i="5"/>
  <c r="J740" i="5"/>
  <c r="K740" i="5"/>
  <c r="L740" i="5"/>
  <c r="M740" i="5"/>
  <c r="N740" i="5"/>
  <c r="O740" i="5"/>
  <c r="P740" i="5"/>
  <c r="Q740" i="5"/>
  <c r="R740" i="5"/>
  <c r="S740" i="5"/>
  <c r="T740" i="5"/>
  <c r="U740" i="5"/>
  <c r="V740" i="5"/>
  <c r="W740" i="5"/>
  <c r="X740" i="5"/>
  <c r="B741" i="5"/>
  <c r="C741" i="5"/>
  <c r="D741" i="5"/>
  <c r="E741" i="5"/>
  <c r="F741" i="5"/>
  <c r="G741" i="5"/>
  <c r="H741" i="5"/>
  <c r="I741" i="5"/>
  <c r="J741" i="5"/>
  <c r="K741" i="5"/>
  <c r="L741" i="5"/>
  <c r="M741" i="5"/>
  <c r="N741" i="5"/>
  <c r="O741" i="5"/>
  <c r="P741" i="5"/>
  <c r="AC741" i="5" s="1"/>
  <c r="Q741" i="5"/>
  <c r="R741" i="5"/>
  <c r="S741" i="5"/>
  <c r="T741" i="5"/>
  <c r="U741" i="5"/>
  <c r="V741" i="5"/>
  <c r="W741" i="5"/>
  <c r="X741" i="5"/>
  <c r="B742" i="5"/>
  <c r="C742" i="5"/>
  <c r="D742" i="5"/>
  <c r="E742" i="5"/>
  <c r="F742" i="5"/>
  <c r="G742" i="5"/>
  <c r="H742" i="5"/>
  <c r="I742" i="5"/>
  <c r="J742" i="5"/>
  <c r="K742" i="5"/>
  <c r="L742" i="5"/>
  <c r="M742" i="5"/>
  <c r="N742" i="5"/>
  <c r="O742" i="5"/>
  <c r="P742" i="5"/>
  <c r="Q742" i="5"/>
  <c r="R742" i="5"/>
  <c r="S742" i="5"/>
  <c r="T742" i="5"/>
  <c r="U742" i="5"/>
  <c r="V742" i="5"/>
  <c r="W742" i="5"/>
  <c r="X742" i="5"/>
  <c r="B743" i="5"/>
  <c r="C743" i="5"/>
  <c r="D743" i="5"/>
  <c r="E743" i="5"/>
  <c r="F743" i="5"/>
  <c r="G743" i="5"/>
  <c r="H743" i="5"/>
  <c r="I743" i="5"/>
  <c r="J743" i="5"/>
  <c r="K743" i="5"/>
  <c r="L743" i="5"/>
  <c r="M743" i="5"/>
  <c r="N743" i="5"/>
  <c r="O743" i="5"/>
  <c r="P743" i="5"/>
  <c r="Q743" i="5"/>
  <c r="R743" i="5"/>
  <c r="S743" i="5"/>
  <c r="T743" i="5"/>
  <c r="U743" i="5"/>
  <c r="V743" i="5"/>
  <c r="W743" i="5"/>
  <c r="X743" i="5"/>
  <c r="B744" i="5"/>
  <c r="C744" i="5"/>
  <c r="D744" i="5"/>
  <c r="E744" i="5"/>
  <c r="F744" i="5"/>
  <c r="G744" i="5"/>
  <c r="H744" i="5"/>
  <c r="I744" i="5"/>
  <c r="J744" i="5"/>
  <c r="K744" i="5"/>
  <c r="L744" i="5"/>
  <c r="M744" i="5"/>
  <c r="N744" i="5"/>
  <c r="O744" i="5"/>
  <c r="P744" i="5"/>
  <c r="Q744" i="5"/>
  <c r="R744" i="5"/>
  <c r="S744" i="5"/>
  <c r="T744" i="5"/>
  <c r="U744" i="5"/>
  <c r="V744" i="5"/>
  <c r="W744" i="5"/>
  <c r="X744" i="5"/>
  <c r="B745" i="5"/>
  <c r="C745" i="5"/>
  <c r="D745" i="5"/>
  <c r="E745" i="5"/>
  <c r="F745" i="5"/>
  <c r="G745" i="5"/>
  <c r="H745" i="5"/>
  <c r="I745" i="5"/>
  <c r="J745" i="5"/>
  <c r="K745" i="5"/>
  <c r="L745" i="5"/>
  <c r="M745" i="5"/>
  <c r="N745" i="5"/>
  <c r="O745" i="5"/>
  <c r="P745" i="5"/>
  <c r="Q745" i="5"/>
  <c r="R745" i="5"/>
  <c r="S745" i="5"/>
  <c r="T745" i="5"/>
  <c r="U745" i="5"/>
  <c r="V745" i="5"/>
  <c r="W745" i="5"/>
  <c r="X745" i="5"/>
  <c r="B746" i="5"/>
  <c r="C746" i="5"/>
  <c r="D746" i="5"/>
  <c r="E746" i="5"/>
  <c r="F746" i="5"/>
  <c r="G746" i="5"/>
  <c r="H746" i="5"/>
  <c r="I746" i="5"/>
  <c r="J746" i="5"/>
  <c r="K746" i="5"/>
  <c r="L746" i="5"/>
  <c r="M746" i="5"/>
  <c r="N746" i="5"/>
  <c r="O746" i="5"/>
  <c r="P746" i="5"/>
  <c r="Q746" i="5"/>
  <c r="R746" i="5"/>
  <c r="S746" i="5"/>
  <c r="T746" i="5"/>
  <c r="U746" i="5"/>
  <c r="V746" i="5"/>
  <c r="W746" i="5"/>
  <c r="X746" i="5"/>
  <c r="B747" i="5"/>
  <c r="C747" i="5"/>
  <c r="D747" i="5"/>
  <c r="E747" i="5"/>
  <c r="F747" i="5"/>
  <c r="G747" i="5"/>
  <c r="H747" i="5"/>
  <c r="I747" i="5"/>
  <c r="J747" i="5"/>
  <c r="K747" i="5"/>
  <c r="L747" i="5"/>
  <c r="M747" i="5"/>
  <c r="N747" i="5"/>
  <c r="O747" i="5"/>
  <c r="P747" i="5"/>
  <c r="Q747" i="5"/>
  <c r="R747" i="5"/>
  <c r="S747" i="5"/>
  <c r="T747" i="5"/>
  <c r="U747" i="5"/>
  <c r="V747" i="5"/>
  <c r="W747" i="5"/>
  <c r="X747" i="5"/>
  <c r="B748" i="5"/>
  <c r="C748" i="5"/>
  <c r="D748" i="5"/>
  <c r="E748" i="5"/>
  <c r="F748" i="5"/>
  <c r="G748" i="5"/>
  <c r="H748" i="5"/>
  <c r="I748" i="5"/>
  <c r="J748" i="5"/>
  <c r="K748" i="5"/>
  <c r="L748" i="5"/>
  <c r="M748" i="5"/>
  <c r="N748" i="5"/>
  <c r="O748" i="5"/>
  <c r="P748" i="5"/>
  <c r="Q748" i="5"/>
  <c r="R748" i="5"/>
  <c r="S748" i="5"/>
  <c r="T748" i="5"/>
  <c r="U748" i="5"/>
  <c r="V748" i="5"/>
  <c r="W748" i="5"/>
  <c r="X748" i="5"/>
  <c r="B749" i="5"/>
  <c r="C749" i="5"/>
  <c r="D749" i="5"/>
  <c r="E749" i="5"/>
  <c r="F749" i="5"/>
  <c r="G749" i="5"/>
  <c r="H749" i="5"/>
  <c r="I749" i="5"/>
  <c r="J749" i="5"/>
  <c r="K749" i="5"/>
  <c r="L749" i="5"/>
  <c r="M749" i="5"/>
  <c r="N749" i="5"/>
  <c r="O749" i="5"/>
  <c r="AC749" i="5" s="1"/>
  <c r="P749" i="5"/>
  <c r="Q749" i="5"/>
  <c r="R749" i="5"/>
  <c r="S749" i="5"/>
  <c r="T749" i="5"/>
  <c r="U749" i="5"/>
  <c r="V749" i="5"/>
  <c r="W749" i="5"/>
  <c r="X749" i="5"/>
  <c r="B750" i="5"/>
  <c r="C750" i="5"/>
  <c r="D750" i="5"/>
  <c r="E750" i="5"/>
  <c r="F750" i="5"/>
  <c r="G750" i="5"/>
  <c r="H750" i="5"/>
  <c r="I750" i="5"/>
  <c r="J750" i="5"/>
  <c r="K750" i="5"/>
  <c r="L750" i="5"/>
  <c r="M750" i="5"/>
  <c r="N750" i="5"/>
  <c r="O750" i="5"/>
  <c r="P750" i="5"/>
  <c r="Q750" i="5"/>
  <c r="R750" i="5"/>
  <c r="S750" i="5"/>
  <c r="T750" i="5"/>
  <c r="U750" i="5"/>
  <c r="V750" i="5"/>
  <c r="W750" i="5"/>
  <c r="X750" i="5"/>
  <c r="B751" i="5"/>
  <c r="C751" i="5"/>
  <c r="D751" i="5"/>
  <c r="E751" i="5"/>
  <c r="F751" i="5"/>
  <c r="G751" i="5"/>
  <c r="H751" i="5"/>
  <c r="I751" i="5"/>
  <c r="J751" i="5"/>
  <c r="K751" i="5"/>
  <c r="L751" i="5"/>
  <c r="M751" i="5"/>
  <c r="N751" i="5"/>
  <c r="O751" i="5"/>
  <c r="P751" i="5"/>
  <c r="Q751" i="5"/>
  <c r="R751" i="5"/>
  <c r="S751" i="5"/>
  <c r="T751" i="5"/>
  <c r="U751" i="5"/>
  <c r="V751" i="5"/>
  <c r="W751" i="5"/>
  <c r="X751" i="5"/>
  <c r="B752" i="5"/>
  <c r="C752" i="5"/>
  <c r="D752" i="5"/>
  <c r="E752" i="5"/>
  <c r="F752" i="5"/>
  <c r="G752" i="5"/>
  <c r="H752" i="5"/>
  <c r="I752" i="5"/>
  <c r="J752" i="5"/>
  <c r="K752" i="5"/>
  <c r="L752" i="5"/>
  <c r="M752" i="5"/>
  <c r="N752" i="5"/>
  <c r="O752" i="5"/>
  <c r="P752" i="5"/>
  <c r="Q752" i="5"/>
  <c r="R752" i="5"/>
  <c r="S752" i="5"/>
  <c r="T752" i="5"/>
  <c r="U752" i="5"/>
  <c r="V752" i="5"/>
  <c r="W752" i="5"/>
  <c r="X752" i="5"/>
  <c r="B753" i="5"/>
  <c r="C753" i="5"/>
  <c r="D753" i="5"/>
  <c r="E753" i="5"/>
  <c r="F753" i="5"/>
  <c r="G753" i="5"/>
  <c r="H753" i="5"/>
  <c r="I753" i="5"/>
  <c r="J753" i="5"/>
  <c r="K753" i="5"/>
  <c r="L753" i="5"/>
  <c r="M753" i="5"/>
  <c r="N753" i="5"/>
  <c r="O753" i="5"/>
  <c r="P753" i="5"/>
  <c r="Q753" i="5"/>
  <c r="R753" i="5"/>
  <c r="S753" i="5"/>
  <c r="T753" i="5"/>
  <c r="U753" i="5"/>
  <c r="V753" i="5"/>
  <c r="W753" i="5"/>
  <c r="X753" i="5"/>
  <c r="B754" i="5"/>
  <c r="C754" i="5"/>
  <c r="D754" i="5"/>
  <c r="E754" i="5"/>
  <c r="F754" i="5"/>
  <c r="G754" i="5"/>
  <c r="H754" i="5"/>
  <c r="I754" i="5"/>
  <c r="J754" i="5"/>
  <c r="K754" i="5"/>
  <c r="L754" i="5"/>
  <c r="M754" i="5"/>
  <c r="N754" i="5"/>
  <c r="O754" i="5"/>
  <c r="P754" i="5"/>
  <c r="Q754" i="5"/>
  <c r="R754" i="5"/>
  <c r="S754" i="5"/>
  <c r="T754" i="5"/>
  <c r="U754" i="5"/>
  <c r="V754" i="5"/>
  <c r="W754" i="5"/>
  <c r="X754" i="5"/>
  <c r="B755" i="5"/>
  <c r="C755" i="5"/>
  <c r="D755" i="5"/>
  <c r="E755" i="5"/>
  <c r="F755" i="5"/>
  <c r="G755" i="5"/>
  <c r="H755" i="5"/>
  <c r="I755" i="5"/>
  <c r="J755" i="5"/>
  <c r="K755" i="5"/>
  <c r="L755" i="5"/>
  <c r="M755" i="5"/>
  <c r="N755" i="5"/>
  <c r="AC755" i="5" s="1"/>
  <c r="O755" i="5"/>
  <c r="P755" i="5"/>
  <c r="Q755" i="5"/>
  <c r="R755" i="5"/>
  <c r="S755" i="5"/>
  <c r="T755" i="5"/>
  <c r="U755" i="5"/>
  <c r="V755" i="5"/>
  <c r="W755" i="5"/>
  <c r="X755" i="5"/>
  <c r="B756" i="5"/>
  <c r="C756" i="5"/>
  <c r="D756" i="5"/>
  <c r="E756" i="5"/>
  <c r="F756" i="5"/>
  <c r="G756" i="5"/>
  <c r="H756" i="5"/>
  <c r="I756" i="5"/>
  <c r="J756" i="5"/>
  <c r="K756" i="5"/>
  <c r="L756" i="5"/>
  <c r="M756" i="5"/>
  <c r="N756" i="5"/>
  <c r="O756" i="5"/>
  <c r="P756" i="5"/>
  <c r="Q756" i="5"/>
  <c r="R756" i="5"/>
  <c r="S756" i="5"/>
  <c r="T756" i="5"/>
  <c r="U756" i="5"/>
  <c r="V756" i="5"/>
  <c r="W756" i="5"/>
  <c r="X756" i="5"/>
  <c r="B757" i="5"/>
  <c r="C757" i="5"/>
  <c r="D757" i="5"/>
  <c r="E757" i="5"/>
  <c r="F757" i="5"/>
  <c r="G757" i="5"/>
  <c r="H757" i="5"/>
  <c r="I757" i="5"/>
  <c r="J757" i="5"/>
  <c r="K757" i="5"/>
  <c r="L757" i="5"/>
  <c r="M757" i="5"/>
  <c r="N757" i="5"/>
  <c r="O757" i="5"/>
  <c r="P757" i="5"/>
  <c r="AC757" i="5" s="1"/>
  <c r="Q757" i="5"/>
  <c r="R757" i="5"/>
  <c r="S757" i="5"/>
  <c r="T757" i="5"/>
  <c r="U757" i="5"/>
  <c r="V757" i="5"/>
  <c r="W757" i="5"/>
  <c r="X757" i="5"/>
  <c r="B758" i="5"/>
  <c r="C758" i="5"/>
  <c r="D758" i="5"/>
  <c r="E758" i="5"/>
  <c r="F758" i="5"/>
  <c r="G758" i="5"/>
  <c r="H758" i="5"/>
  <c r="I758" i="5"/>
  <c r="J758" i="5"/>
  <c r="K758" i="5"/>
  <c r="L758" i="5"/>
  <c r="M758" i="5"/>
  <c r="N758" i="5"/>
  <c r="O758" i="5"/>
  <c r="P758" i="5"/>
  <c r="Q758" i="5"/>
  <c r="R758" i="5"/>
  <c r="S758" i="5"/>
  <c r="T758" i="5"/>
  <c r="U758" i="5"/>
  <c r="V758" i="5"/>
  <c r="W758" i="5"/>
  <c r="X758" i="5"/>
  <c r="B759" i="5"/>
  <c r="C759" i="5"/>
  <c r="D759" i="5"/>
  <c r="E759" i="5"/>
  <c r="F759" i="5"/>
  <c r="G759" i="5"/>
  <c r="H759" i="5"/>
  <c r="I759" i="5"/>
  <c r="J759" i="5"/>
  <c r="K759" i="5"/>
  <c r="L759" i="5"/>
  <c r="M759" i="5"/>
  <c r="N759" i="5"/>
  <c r="O759" i="5"/>
  <c r="P759" i="5"/>
  <c r="Q759" i="5"/>
  <c r="R759" i="5"/>
  <c r="S759" i="5"/>
  <c r="T759" i="5"/>
  <c r="U759" i="5"/>
  <c r="V759" i="5"/>
  <c r="W759" i="5"/>
  <c r="X759" i="5"/>
  <c r="B760" i="5"/>
  <c r="C760" i="5"/>
  <c r="D760" i="5"/>
  <c r="E760" i="5"/>
  <c r="F760" i="5"/>
  <c r="G760" i="5"/>
  <c r="H760" i="5"/>
  <c r="I760" i="5"/>
  <c r="J760" i="5"/>
  <c r="K760" i="5"/>
  <c r="L760" i="5"/>
  <c r="M760" i="5"/>
  <c r="N760" i="5"/>
  <c r="O760" i="5"/>
  <c r="P760" i="5"/>
  <c r="Q760" i="5"/>
  <c r="R760" i="5"/>
  <c r="S760" i="5"/>
  <c r="T760" i="5"/>
  <c r="U760" i="5"/>
  <c r="V760" i="5"/>
  <c r="W760" i="5"/>
  <c r="X760" i="5"/>
  <c r="B761" i="5"/>
  <c r="C761" i="5"/>
  <c r="D761" i="5"/>
  <c r="E761" i="5"/>
  <c r="F761" i="5"/>
  <c r="G761" i="5"/>
  <c r="H761" i="5"/>
  <c r="I761" i="5"/>
  <c r="J761" i="5"/>
  <c r="K761" i="5"/>
  <c r="L761" i="5"/>
  <c r="M761" i="5"/>
  <c r="N761" i="5"/>
  <c r="O761" i="5"/>
  <c r="P761" i="5"/>
  <c r="Q761" i="5"/>
  <c r="R761" i="5"/>
  <c r="S761" i="5"/>
  <c r="T761" i="5"/>
  <c r="U761" i="5"/>
  <c r="V761" i="5"/>
  <c r="W761" i="5"/>
  <c r="X761" i="5"/>
  <c r="B762" i="5"/>
  <c r="C762" i="5"/>
  <c r="D762" i="5"/>
  <c r="E762" i="5"/>
  <c r="F762" i="5"/>
  <c r="G762" i="5"/>
  <c r="H762" i="5"/>
  <c r="I762" i="5"/>
  <c r="J762" i="5"/>
  <c r="K762" i="5"/>
  <c r="L762" i="5"/>
  <c r="M762" i="5"/>
  <c r="N762" i="5"/>
  <c r="O762" i="5"/>
  <c r="P762" i="5"/>
  <c r="Q762" i="5"/>
  <c r="R762" i="5"/>
  <c r="S762" i="5"/>
  <c r="T762" i="5"/>
  <c r="U762" i="5"/>
  <c r="V762" i="5"/>
  <c r="W762" i="5"/>
  <c r="X762" i="5"/>
  <c r="B763" i="5"/>
  <c r="C763" i="5"/>
  <c r="D763" i="5"/>
  <c r="E763" i="5"/>
  <c r="F763" i="5"/>
  <c r="G763" i="5"/>
  <c r="H763" i="5"/>
  <c r="I763" i="5"/>
  <c r="J763" i="5"/>
  <c r="K763" i="5"/>
  <c r="L763" i="5"/>
  <c r="M763" i="5"/>
  <c r="N763" i="5"/>
  <c r="O763" i="5"/>
  <c r="P763" i="5"/>
  <c r="Q763" i="5"/>
  <c r="R763" i="5"/>
  <c r="S763" i="5"/>
  <c r="T763" i="5"/>
  <c r="U763" i="5"/>
  <c r="V763" i="5"/>
  <c r="W763" i="5"/>
  <c r="X763" i="5"/>
  <c r="B764" i="5"/>
  <c r="C764" i="5"/>
  <c r="D764" i="5"/>
  <c r="E764" i="5"/>
  <c r="F764" i="5"/>
  <c r="G764" i="5"/>
  <c r="H764" i="5"/>
  <c r="I764" i="5"/>
  <c r="J764" i="5"/>
  <c r="K764" i="5"/>
  <c r="L764" i="5"/>
  <c r="M764" i="5"/>
  <c r="N764" i="5"/>
  <c r="O764" i="5"/>
  <c r="P764" i="5"/>
  <c r="Q764" i="5"/>
  <c r="R764" i="5"/>
  <c r="S764" i="5"/>
  <c r="T764" i="5"/>
  <c r="U764" i="5"/>
  <c r="V764" i="5"/>
  <c r="W764" i="5"/>
  <c r="X764" i="5"/>
  <c r="B765" i="5"/>
  <c r="C765" i="5"/>
  <c r="D765" i="5"/>
  <c r="E765" i="5"/>
  <c r="F765" i="5"/>
  <c r="G765" i="5"/>
  <c r="H765" i="5"/>
  <c r="I765" i="5"/>
  <c r="J765" i="5"/>
  <c r="K765" i="5"/>
  <c r="L765" i="5"/>
  <c r="M765" i="5"/>
  <c r="N765" i="5"/>
  <c r="O765" i="5"/>
  <c r="P765" i="5"/>
  <c r="Q765" i="5"/>
  <c r="R765" i="5"/>
  <c r="S765" i="5"/>
  <c r="T765" i="5"/>
  <c r="U765" i="5"/>
  <c r="V765" i="5"/>
  <c r="W765" i="5"/>
  <c r="X765" i="5"/>
  <c r="AC765" i="5"/>
  <c r="B766" i="5"/>
  <c r="C766" i="5"/>
  <c r="D766" i="5"/>
  <c r="E766" i="5"/>
  <c r="F766" i="5"/>
  <c r="G766" i="5"/>
  <c r="H766" i="5"/>
  <c r="I766" i="5"/>
  <c r="J766" i="5"/>
  <c r="K766" i="5"/>
  <c r="L766" i="5"/>
  <c r="M766" i="5"/>
  <c r="N766" i="5"/>
  <c r="O766" i="5"/>
  <c r="P766" i="5"/>
  <c r="Q766" i="5"/>
  <c r="R766" i="5"/>
  <c r="S766" i="5"/>
  <c r="T766" i="5"/>
  <c r="U766" i="5"/>
  <c r="V766" i="5"/>
  <c r="W766" i="5"/>
  <c r="X766" i="5"/>
  <c r="B767" i="5"/>
  <c r="C767" i="5"/>
  <c r="D767" i="5"/>
  <c r="E767" i="5"/>
  <c r="F767" i="5"/>
  <c r="G767" i="5"/>
  <c r="H767" i="5"/>
  <c r="I767" i="5"/>
  <c r="J767" i="5"/>
  <c r="K767" i="5"/>
  <c r="L767" i="5"/>
  <c r="M767" i="5"/>
  <c r="N767" i="5"/>
  <c r="AC767" i="5" s="1"/>
  <c r="O767" i="5"/>
  <c r="P767" i="5"/>
  <c r="Q767" i="5"/>
  <c r="R767" i="5"/>
  <c r="S767" i="5"/>
  <c r="T767" i="5"/>
  <c r="U767" i="5"/>
  <c r="V767" i="5"/>
  <c r="W767" i="5"/>
  <c r="X767" i="5"/>
  <c r="B768" i="5"/>
  <c r="C768" i="5"/>
  <c r="D768" i="5"/>
  <c r="E768" i="5"/>
  <c r="F768" i="5"/>
  <c r="G768" i="5"/>
  <c r="H768" i="5"/>
  <c r="I768" i="5"/>
  <c r="J768" i="5"/>
  <c r="K768" i="5"/>
  <c r="L768" i="5"/>
  <c r="M768" i="5"/>
  <c r="N768" i="5"/>
  <c r="O768" i="5"/>
  <c r="P768" i="5"/>
  <c r="Q768" i="5"/>
  <c r="R768" i="5"/>
  <c r="S768" i="5"/>
  <c r="T768" i="5"/>
  <c r="U768" i="5"/>
  <c r="V768" i="5"/>
  <c r="W768" i="5"/>
  <c r="X768" i="5"/>
  <c r="B769" i="5"/>
  <c r="C769" i="5"/>
  <c r="D769" i="5"/>
  <c r="E769" i="5"/>
  <c r="F769" i="5"/>
  <c r="G769" i="5"/>
  <c r="H769" i="5"/>
  <c r="I769" i="5"/>
  <c r="J769" i="5"/>
  <c r="K769" i="5"/>
  <c r="L769" i="5"/>
  <c r="M769" i="5"/>
  <c r="N769" i="5"/>
  <c r="O769" i="5"/>
  <c r="P769" i="5"/>
  <c r="Q769" i="5"/>
  <c r="R769" i="5"/>
  <c r="S769" i="5"/>
  <c r="T769" i="5"/>
  <c r="U769" i="5"/>
  <c r="V769" i="5"/>
  <c r="W769" i="5"/>
  <c r="X769" i="5"/>
  <c r="B770" i="5"/>
  <c r="C770" i="5"/>
  <c r="D770" i="5"/>
  <c r="E770" i="5"/>
  <c r="F770" i="5"/>
  <c r="G770" i="5"/>
  <c r="H770" i="5"/>
  <c r="I770" i="5"/>
  <c r="J770" i="5"/>
  <c r="K770" i="5"/>
  <c r="L770" i="5"/>
  <c r="M770" i="5"/>
  <c r="N770" i="5"/>
  <c r="O770" i="5"/>
  <c r="P770" i="5"/>
  <c r="Q770" i="5"/>
  <c r="R770" i="5"/>
  <c r="S770" i="5"/>
  <c r="T770" i="5"/>
  <c r="U770" i="5"/>
  <c r="V770" i="5"/>
  <c r="W770" i="5"/>
  <c r="X770" i="5"/>
  <c r="B771" i="5"/>
  <c r="C771" i="5"/>
  <c r="D771" i="5"/>
  <c r="E771" i="5"/>
  <c r="F771" i="5"/>
  <c r="G771" i="5"/>
  <c r="H771" i="5"/>
  <c r="I771" i="5"/>
  <c r="J771" i="5"/>
  <c r="K771" i="5"/>
  <c r="L771" i="5"/>
  <c r="M771" i="5"/>
  <c r="N771" i="5"/>
  <c r="AC771" i="5" s="1"/>
  <c r="O771" i="5"/>
  <c r="P771" i="5"/>
  <c r="Q771" i="5"/>
  <c r="R771" i="5"/>
  <c r="S771" i="5"/>
  <c r="T771" i="5"/>
  <c r="U771" i="5"/>
  <c r="V771" i="5"/>
  <c r="W771" i="5"/>
  <c r="X771" i="5"/>
  <c r="B772" i="5"/>
  <c r="C772" i="5"/>
  <c r="D772" i="5"/>
  <c r="E772" i="5"/>
  <c r="F772" i="5"/>
  <c r="G772" i="5"/>
  <c r="H772" i="5"/>
  <c r="I772" i="5"/>
  <c r="J772" i="5"/>
  <c r="K772" i="5"/>
  <c r="L772" i="5"/>
  <c r="M772" i="5"/>
  <c r="N772" i="5"/>
  <c r="O772" i="5"/>
  <c r="P772" i="5"/>
  <c r="Q772" i="5"/>
  <c r="R772" i="5"/>
  <c r="S772" i="5"/>
  <c r="T772" i="5"/>
  <c r="U772" i="5"/>
  <c r="V772" i="5"/>
  <c r="W772" i="5"/>
  <c r="X772" i="5"/>
  <c r="B773" i="5"/>
  <c r="C773" i="5"/>
  <c r="D773" i="5"/>
  <c r="E773" i="5"/>
  <c r="F773" i="5"/>
  <c r="G773" i="5"/>
  <c r="H773" i="5"/>
  <c r="I773" i="5"/>
  <c r="J773" i="5"/>
  <c r="K773" i="5"/>
  <c r="L773" i="5"/>
  <c r="M773" i="5"/>
  <c r="N773" i="5"/>
  <c r="O773" i="5"/>
  <c r="P773" i="5"/>
  <c r="Q773" i="5"/>
  <c r="R773" i="5"/>
  <c r="S773" i="5"/>
  <c r="T773" i="5"/>
  <c r="U773" i="5"/>
  <c r="V773" i="5"/>
  <c r="W773" i="5"/>
  <c r="X773" i="5"/>
  <c r="AC773" i="5"/>
  <c r="B774" i="5"/>
  <c r="C774" i="5"/>
  <c r="D774" i="5"/>
  <c r="E774" i="5"/>
  <c r="F774" i="5"/>
  <c r="G774" i="5"/>
  <c r="H774" i="5"/>
  <c r="I774" i="5"/>
  <c r="J774" i="5"/>
  <c r="K774" i="5"/>
  <c r="L774" i="5"/>
  <c r="M774" i="5"/>
  <c r="N774" i="5"/>
  <c r="O774" i="5"/>
  <c r="P774" i="5"/>
  <c r="Q774" i="5"/>
  <c r="R774" i="5"/>
  <c r="S774" i="5"/>
  <c r="T774" i="5"/>
  <c r="U774" i="5"/>
  <c r="V774" i="5"/>
  <c r="W774" i="5"/>
  <c r="X774" i="5"/>
  <c r="B775" i="5"/>
  <c r="C775" i="5"/>
  <c r="D775" i="5"/>
  <c r="E775" i="5"/>
  <c r="F775" i="5"/>
  <c r="G775" i="5"/>
  <c r="H775" i="5"/>
  <c r="I775" i="5"/>
  <c r="J775" i="5"/>
  <c r="K775" i="5"/>
  <c r="L775" i="5"/>
  <c r="M775" i="5"/>
  <c r="N775" i="5"/>
  <c r="O775" i="5"/>
  <c r="P775" i="5"/>
  <c r="Q775" i="5"/>
  <c r="R775" i="5"/>
  <c r="S775" i="5"/>
  <c r="T775" i="5"/>
  <c r="U775" i="5"/>
  <c r="V775" i="5"/>
  <c r="W775" i="5"/>
  <c r="X775" i="5"/>
  <c r="B776" i="5"/>
  <c r="C776" i="5"/>
  <c r="D776" i="5"/>
  <c r="E776" i="5"/>
  <c r="F776" i="5"/>
  <c r="G776" i="5"/>
  <c r="H776" i="5"/>
  <c r="I776" i="5"/>
  <c r="J776" i="5"/>
  <c r="K776" i="5"/>
  <c r="L776" i="5"/>
  <c r="M776" i="5"/>
  <c r="N776" i="5"/>
  <c r="O776" i="5"/>
  <c r="P776" i="5"/>
  <c r="Q776" i="5"/>
  <c r="R776" i="5"/>
  <c r="S776" i="5"/>
  <c r="T776" i="5"/>
  <c r="U776" i="5"/>
  <c r="V776" i="5"/>
  <c r="W776" i="5"/>
  <c r="X776" i="5"/>
  <c r="B777" i="5"/>
  <c r="C777" i="5"/>
  <c r="D777" i="5"/>
  <c r="E777" i="5"/>
  <c r="F777" i="5"/>
  <c r="G777" i="5"/>
  <c r="H777" i="5"/>
  <c r="I777" i="5"/>
  <c r="J777" i="5"/>
  <c r="K777" i="5"/>
  <c r="L777" i="5"/>
  <c r="M777" i="5"/>
  <c r="N777" i="5"/>
  <c r="O777" i="5"/>
  <c r="P777" i="5"/>
  <c r="Q777" i="5"/>
  <c r="R777" i="5"/>
  <c r="S777" i="5"/>
  <c r="T777" i="5"/>
  <c r="U777" i="5"/>
  <c r="V777" i="5"/>
  <c r="W777" i="5"/>
  <c r="X777" i="5"/>
  <c r="B778" i="5"/>
  <c r="C778" i="5"/>
  <c r="D778" i="5"/>
  <c r="E778" i="5"/>
  <c r="F778" i="5"/>
  <c r="G778" i="5"/>
  <c r="H778" i="5"/>
  <c r="I778" i="5"/>
  <c r="J778" i="5"/>
  <c r="K778" i="5"/>
  <c r="L778" i="5"/>
  <c r="M778" i="5"/>
  <c r="AC778" i="5" s="1"/>
  <c r="N778" i="5"/>
  <c r="O778" i="5"/>
  <c r="P778" i="5"/>
  <c r="Q778" i="5"/>
  <c r="R778" i="5"/>
  <c r="S778" i="5"/>
  <c r="T778" i="5"/>
  <c r="U778" i="5"/>
  <c r="V778" i="5"/>
  <c r="W778" i="5"/>
  <c r="X778" i="5"/>
  <c r="B779" i="5"/>
  <c r="C779" i="5"/>
  <c r="D779" i="5"/>
  <c r="E779" i="5"/>
  <c r="F779" i="5"/>
  <c r="G779" i="5"/>
  <c r="H779" i="5"/>
  <c r="I779" i="5"/>
  <c r="J779" i="5"/>
  <c r="K779" i="5"/>
  <c r="L779" i="5"/>
  <c r="M779" i="5"/>
  <c r="N779" i="5"/>
  <c r="AC779" i="5" s="1"/>
  <c r="O779" i="5"/>
  <c r="P779" i="5"/>
  <c r="Q779" i="5"/>
  <c r="R779" i="5"/>
  <c r="S779" i="5"/>
  <c r="T779" i="5"/>
  <c r="U779" i="5"/>
  <c r="V779" i="5"/>
  <c r="W779" i="5"/>
  <c r="X779" i="5"/>
  <c r="B780" i="5"/>
  <c r="C780" i="5"/>
  <c r="D780" i="5"/>
  <c r="E780" i="5"/>
  <c r="F780" i="5"/>
  <c r="G780" i="5"/>
  <c r="H780" i="5"/>
  <c r="I780" i="5"/>
  <c r="J780" i="5"/>
  <c r="K780" i="5"/>
  <c r="L780" i="5"/>
  <c r="M780" i="5"/>
  <c r="N780" i="5"/>
  <c r="O780" i="5"/>
  <c r="P780" i="5"/>
  <c r="Q780" i="5"/>
  <c r="R780" i="5"/>
  <c r="S780" i="5"/>
  <c r="T780" i="5"/>
  <c r="U780" i="5"/>
  <c r="V780" i="5"/>
  <c r="W780" i="5"/>
  <c r="X780" i="5"/>
  <c r="B781" i="5"/>
  <c r="C781" i="5"/>
  <c r="D781" i="5"/>
  <c r="E781" i="5"/>
  <c r="F781" i="5"/>
  <c r="G781" i="5"/>
  <c r="H781" i="5"/>
  <c r="I781" i="5"/>
  <c r="J781" i="5"/>
  <c r="K781" i="5"/>
  <c r="L781" i="5"/>
  <c r="M781" i="5"/>
  <c r="N781" i="5"/>
  <c r="AC781" i="5" s="1"/>
  <c r="O781" i="5"/>
  <c r="P781" i="5"/>
  <c r="Q781" i="5"/>
  <c r="R781" i="5"/>
  <c r="S781" i="5"/>
  <c r="T781" i="5"/>
  <c r="U781" i="5"/>
  <c r="V781" i="5"/>
  <c r="W781" i="5"/>
  <c r="X781" i="5"/>
  <c r="B782" i="5"/>
  <c r="C782" i="5"/>
  <c r="D782" i="5"/>
  <c r="E782" i="5"/>
  <c r="F782" i="5"/>
  <c r="G782" i="5"/>
  <c r="H782" i="5"/>
  <c r="I782" i="5"/>
  <c r="J782" i="5"/>
  <c r="K782" i="5"/>
  <c r="L782" i="5"/>
  <c r="M782" i="5"/>
  <c r="N782" i="5"/>
  <c r="O782" i="5"/>
  <c r="P782" i="5"/>
  <c r="Q782" i="5"/>
  <c r="R782" i="5"/>
  <c r="S782" i="5"/>
  <c r="T782" i="5"/>
  <c r="U782" i="5"/>
  <c r="V782" i="5"/>
  <c r="W782" i="5"/>
  <c r="X782" i="5"/>
  <c r="B783" i="5"/>
  <c r="C783" i="5"/>
  <c r="D783" i="5"/>
  <c r="E783" i="5"/>
  <c r="F783" i="5"/>
  <c r="G783" i="5"/>
  <c r="H783" i="5"/>
  <c r="I783" i="5"/>
  <c r="J783" i="5"/>
  <c r="K783" i="5"/>
  <c r="L783" i="5"/>
  <c r="M783" i="5"/>
  <c r="N783" i="5"/>
  <c r="O783" i="5"/>
  <c r="P783" i="5"/>
  <c r="Q783" i="5"/>
  <c r="R783" i="5"/>
  <c r="S783" i="5"/>
  <c r="T783" i="5"/>
  <c r="U783" i="5"/>
  <c r="V783" i="5"/>
  <c r="W783" i="5"/>
  <c r="X783" i="5"/>
  <c r="B784" i="5"/>
  <c r="C784" i="5"/>
  <c r="D784" i="5"/>
  <c r="E784" i="5"/>
  <c r="F784" i="5"/>
  <c r="G784" i="5"/>
  <c r="H784" i="5"/>
  <c r="I784" i="5"/>
  <c r="J784" i="5"/>
  <c r="K784" i="5"/>
  <c r="L784" i="5"/>
  <c r="M784" i="5"/>
  <c r="N784" i="5"/>
  <c r="O784" i="5"/>
  <c r="P784" i="5"/>
  <c r="Q784" i="5"/>
  <c r="R784" i="5"/>
  <c r="S784" i="5"/>
  <c r="T784" i="5"/>
  <c r="U784" i="5"/>
  <c r="V784" i="5"/>
  <c r="W784" i="5"/>
  <c r="X784" i="5"/>
  <c r="B785" i="5"/>
  <c r="C785" i="5"/>
  <c r="D785" i="5"/>
  <c r="E785" i="5"/>
  <c r="F785" i="5"/>
  <c r="G785" i="5"/>
  <c r="H785" i="5"/>
  <c r="I785" i="5"/>
  <c r="J785" i="5"/>
  <c r="K785" i="5"/>
  <c r="L785" i="5"/>
  <c r="M785" i="5"/>
  <c r="N785" i="5"/>
  <c r="O785" i="5"/>
  <c r="P785" i="5"/>
  <c r="Q785" i="5"/>
  <c r="R785" i="5"/>
  <c r="S785" i="5"/>
  <c r="T785" i="5"/>
  <c r="U785" i="5"/>
  <c r="V785" i="5"/>
  <c r="W785" i="5"/>
  <c r="X785" i="5"/>
  <c r="B786" i="5"/>
  <c r="C786" i="5"/>
  <c r="D786" i="5"/>
  <c r="E786" i="5"/>
  <c r="F786" i="5"/>
  <c r="G786" i="5"/>
  <c r="H786" i="5"/>
  <c r="I786" i="5"/>
  <c r="J786" i="5"/>
  <c r="K786" i="5"/>
  <c r="L786" i="5"/>
  <c r="M786" i="5"/>
  <c r="N786" i="5"/>
  <c r="O786" i="5"/>
  <c r="P786" i="5"/>
  <c r="Q786" i="5"/>
  <c r="R786" i="5"/>
  <c r="S786" i="5"/>
  <c r="T786" i="5"/>
  <c r="U786" i="5"/>
  <c r="V786" i="5"/>
  <c r="W786" i="5"/>
  <c r="X786" i="5"/>
  <c r="B787" i="5"/>
  <c r="C787" i="5"/>
  <c r="D787" i="5"/>
  <c r="E787" i="5"/>
  <c r="F787" i="5"/>
  <c r="G787" i="5"/>
  <c r="H787" i="5"/>
  <c r="I787" i="5"/>
  <c r="J787" i="5"/>
  <c r="K787" i="5"/>
  <c r="L787" i="5"/>
  <c r="M787" i="5"/>
  <c r="N787" i="5"/>
  <c r="O787" i="5"/>
  <c r="P787" i="5"/>
  <c r="Q787" i="5"/>
  <c r="R787" i="5"/>
  <c r="S787" i="5"/>
  <c r="T787" i="5"/>
  <c r="U787" i="5"/>
  <c r="V787" i="5"/>
  <c r="W787" i="5"/>
  <c r="X787" i="5"/>
  <c r="B788" i="5"/>
  <c r="C788" i="5"/>
  <c r="D788" i="5"/>
  <c r="E788" i="5"/>
  <c r="F788" i="5"/>
  <c r="G788" i="5"/>
  <c r="H788" i="5"/>
  <c r="I788" i="5"/>
  <c r="J788" i="5"/>
  <c r="K788" i="5"/>
  <c r="L788" i="5"/>
  <c r="M788" i="5"/>
  <c r="N788" i="5"/>
  <c r="O788" i="5"/>
  <c r="P788" i="5"/>
  <c r="Q788" i="5"/>
  <c r="R788" i="5"/>
  <c r="S788" i="5"/>
  <c r="T788" i="5"/>
  <c r="U788" i="5"/>
  <c r="V788" i="5"/>
  <c r="W788" i="5"/>
  <c r="X788" i="5"/>
  <c r="B789" i="5"/>
  <c r="C789" i="5"/>
  <c r="D789" i="5"/>
  <c r="E789" i="5"/>
  <c r="F789" i="5"/>
  <c r="G789" i="5"/>
  <c r="H789" i="5"/>
  <c r="I789" i="5"/>
  <c r="J789" i="5"/>
  <c r="K789" i="5"/>
  <c r="L789" i="5"/>
  <c r="M789" i="5"/>
  <c r="N789" i="5"/>
  <c r="O789" i="5"/>
  <c r="P789" i="5"/>
  <c r="Q789" i="5"/>
  <c r="R789" i="5"/>
  <c r="S789" i="5"/>
  <c r="T789" i="5"/>
  <c r="U789" i="5"/>
  <c r="V789" i="5"/>
  <c r="W789" i="5"/>
  <c r="X789" i="5"/>
  <c r="AC789" i="5"/>
  <c r="B790" i="5"/>
  <c r="C790" i="5"/>
  <c r="D790" i="5"/>
  <c r="E790" i="5"/>
  <c r="F790" i="5"/>
  <c r="G790" i="5"/>
  <c r="H790" i="5"/>
  <c r="I790" i="5"/>
  <c r="J790" i="5"/>
  <c r="K790" i="5"/>
  <c r="L790" i="5"/>
  <c r="M790" i="5"/>
  <c r="N790" i="5"/>
  <c r="O790" i="5"/>
  <c r="P790" i="5"/>
  <c r="Q790" i="5"/>
  <c r="R790" i="5"/>
  <c r="S790" i="5"/>
  <c r="T790" i="5"/>
  <c r="U790" i="5"/>
  <c r="V790" i="5"/>
  <c r="W790" i="5"/>
  <c r="X790" i="5"/>
  <c r="B791" i="5"/>
  <c r="C791" i="5"/>
  <c r="D791" i="5"/>
  <c r="E791" i="5"/>
  <c r="F791" i="5"/>
  <c r="G791" i="5"/>
  <c r="H791" i="5"/>
  <c r="I791" i="5"/>
  <c r="J791" i="5"/>
  <c r="K791" i="5"/>
  <c r="L791" i="5"/>
  <c r="M791" i="5"/>
  <c r="N791" i="5"/>
  <c r="AC791" i="5" s="1"/>
  <c r="O791" i="5"/>
  <c r="P791" i="5"/>
  <c r="Q791" i="5"/>
  <c r="R791" i="5"/>
  <c r="S791" i="5"/>
  <c r="T791" i="5"/>
  <c r="U791" i="5"/>
  <c r="V791" i="5"/>
  <c r="W791" i="5"/>
  <c r="X791" i="5"/>
  <c r="B792" i="5"/>
  <c r="C792" i="5"/>
  <c r="D792" i="5"/>
  <c r="E792" i="5"/>
  <c r="F792" i="5"/>
  <c r="G792" i="5"/>
  <c r="H792" i="5"/>
  <c r="I792" i="5"/>
  <c r="J792" i="5"/>
  <c r="K792" i="5"/>
  <c r="L792" i="5"/>
  <c r="M792" i="5"/>
  <c r="N792" i="5"/>
  <c r="O792" i="5"/>
  <c r="P792" i="5"/>
  <c r="Q792" i="5"/>
  <c r="R792" i="5"/>
  <c r="S792" i="5"/>
  <c r="T792" i="5"/>
  <c r="U792" i="5"/>
  <c r="V792" i="5"/>
  <c r="W792" i="5"/>
  <c r="X792" i="5"/>
  <c r="B793" i="5"/>
  <c r="C793" i="5"/>
  <c r="D793" i="5"/>
  <c r="E793" i="5"/>
  <c r="F793" i="5"/>
  <c r="G793" i="5"/>
  <c r="H793" i="5"/>
  <c r="I793" i="5"/>
  <c r="J793" i="5"/>
  <c r="K793" i="5"/>
  <c r="L793" i="5"/>
  <c r="M793" i="5"/>
  <c r="N793" i="5"/>
  <c r="O793" i="5"/>
  <c r="P793" i="5"/>
  <c r="Q793" i="5"/>
  <c r="R793" i="5"/>
  <c r="S793" i="5"/>
  <c r="T793" i="5"/>
  <c r="U793" i="5"/>
  <c r="V793" i="5"/>
  <c r="W793" i="5"/>
  <c r="X793" i="5"/>
  <c r="B794" i="5"/>
  <c r="C794" i="5"/>
  <c r="D794" i="5"/>
  <c r="E794" i="5"/>
  <c r="F794" i="5"/>
  <c r="G794" i="5"/>
  <c r="H794" i="5"/>
  <c r="I794" i="5"/>
  <c r="J794" i="5"/>
  <c r="K794" i="5"/>
  <c r="L794" i="5"/>
  <c r="M794" i="5"/>
  <c r="AC794" i="5" s="1"/>
  <c r="N794" i="5"/>
  <c r="O794" i="5"/>
  <c r="P794" i="5"/>
  <c r="Q794" i="5"/>
  <c r="R794" i="5"/>
  <c r="S794" i="5"/>
  <c r="T794" i="5"/>
  <c r="U794" i="5"/>
  <c r="V794" i="5"/>
  <c r="W794" i="5"/>
  <c r="X794" i="5"/>
  <c r="B795" i="5"/>
  <c r="C795" i="5"/>
  <c r="D795" i="5"/>
  <c r="E795" i="5"/>
  <c r="F795" i="5"/>
  <c r="G795" i="5"/>
  <c r="H795" i="5"/>
  <c r="I795" i="5"/>
  <c r="J795" i="5"/>
  <c r="K795" i="5"/>
  <c r="L795" i="5"/>
  <c r="M795" i="5"/>
  <c r="N795" i="5"/>
  <c r="AC795" i="5" s="1"/>
  <c r="O795" i="5"/>
  <c r="P795" i="5"/>
  <c r="Q795" i="5"/>
  <c r="R795" i="5"/>
  <c r="S795" i="5"/>
  <c r="T795" i="5"/>
  <c r="U795" i="5"/>
  <c r="V795" i="5"/>
  <c r="W795" i="5"/>
  <c r="X795" i="5"/>
  <c r="B796" i="5"/>
  <c r="C796" i="5"/>
  <c r="D796" i="5"/>
  <c r="E796" i="5"/>
  <c r="F796" i="5"/>
  <c r="G796" i="5"/>
  <c r="H796" i="5"/>
  <c r="I796" i="5"/>
  <c r="J796" i="5"/>
  <c r="K796" i="5"/>
  <c r="L796" i="5"/>
  <c r="M796" i="5"/>
  <c r="N796" i="5"/>
  <c r="O796" i="5"/>
  <c r="P796" i="5"/>
  <c r="Q796" i="5"/>
  <c r="R796" i="5"/>
  <c r="S796" i="5"/>
  <c r="T796" i="5"/>
  <c r="U796" i="5"/>
  <c r="V796" i="5"/>
  <c r="W796" i="5"/>
  <c r="X796" i="5"/>
  <c r="B797" i="5"/>
  <c r="C797" i="5"/>
  <c r="D797" i="5"/>
  <c r="E797" i="5"/>
  <c r="F797" i="5"/>
  <c r="G797" i="5"/>
  <c r="H797" i="5"/>
  <c r="I797" i="5"/>
  <c r="J797" i="5"/>
  <c r="K797" i="5"/>
  <c r="L797" i="5"/>
  <c r="M797" i="5"/>
  <c r="N797" i="5"/>
  <c r="O797" i="5"/>
  <c r="P797" i="5"/>
  <c r="AC797" i="5" s="1"/>
  <c r="Q797" i="5"/>
  <c r="R797" i="5"/>
  <c r="S797" i="5"/>
  <c r="T797" i="5"/>
  <c r="U797" i="5"/>
  <c r="V797" i="5"/>
  <c r="W797" i="5"/>
  <c r="X797" i="5"/>
  <c r="B798" i="5"/>
  <c r="C798" i="5"/>
  <c r="D798" i="5"/>
  <c r="E798" i="5"/>
  <c r="F798" i="5"/>
  <c r="G798" i="5"/>
  <c r="H798" i="5"/>
  <c r="I798" i="5"/>
  <c r="J798" i="5"/>
  <c r="K798" i="5"/>
  <c r="L798" i="5"/>
  <c r="M798" i="5"/>
  <c r="N798" i="5"/>
  <c r="O798" i="5"/>
  <c r="P798" i="5"/>
  <c r="Q798" i="5"/>
  <c r="R798" i="5"/>
  <c r="S798" i="5"/>
  <c r="T798" i="5"/>
  <c r="U798" i="5"/>
  <c r="V798" i="5"/>
  <c r="W798" i="5"/>
  <c r="X798" i="5"/>
  <c r="B799" i="5"/>
  <c r="C799" i="5"/>
  <c r="D799" i="5"/>
  <c r="E799" i="5"/>
  <c r="F799" i="5"/>
  <c r="G799" i="5"/>
  <c r="H799" i="5"/>
  <c r="I799" i="5"/>
  <c r="J799" i="5"/>
  <c r="K799" i="5"/>
  <c r="L799" i="5"/>
  <c r="M799" i="5"/>
  <c r="N799" i="5"/>
  <c r="O799" i="5"/>
  <c r="P799" i="5"/>
  <c r="Q799" i="5"/>
  <c r="R799" i="5"/>
  <c r="S799" i="5"/>
  <c r="T799" i="5"/>
  <c r="U799" i="5"/>
  <c r="V799" i="5"/>
  <c r="W799" i="5"/>
  <c r="X799" i="5"/>
  <c r="B800" i="5"/>
  <c r="C800" i="5"/>
  <c r="D800" i="5"/>
  <c r="E800" i="5"/>
  <c r="F800" i="5"/>
  <c r="G800" i="5"/>
  <c r="H800" i="5"/>
  <c r="I800" i="5"/>
  <c r="J800" i="5"/>
  <c r="K800" i="5"/>
  <c r="L800" i="5"/>
  <c r="M800" i="5"/>
  <c r="N800" i="5"/>
  <c r="O800" i="5"/>
  <c r="P800" i="5"/>
  <c r="Q800" i="5"/>
  <c r="R800" i="5"/>
  <c r="S800" i="5"/>
  <c r="T800" i="5"/>
  <c r="U800" i="5"/>
  <c r="V800" i="5"/>
  <c r="W800" i="5"/>
  <c r="X800" i="5"/>
  <c r="B801" i="5"/>
  <c r="C801" i="5"/>
  <c r="D801" i="5"/>
  <c r="E801" i="5"/>
  <c r="F801" i="5"/>
  <c r="G801" i="5"/>
  <c r="H801" i="5"/>
  <c r="I801" i="5"/>
  <c r="J801" i="5"/>
  <c r="K801" i="5"/>
  <c r="L801" i="5"/>
  <c r="M801" i="5"/>
  <c r="N801" i="5"/>
  <c r="O801" i="5"/>
  <c r="P801" i="5"/>
  <c r="Q801" i="5"/>
  <c r="R801" i="5"/>
  <c r="S801" i="5"/>
  <c r="T801" i="5"/>
  <c r="U801" i="5"/>
  <c r="V801" i="5"/>
  <c r="W801" i="5"/>
  <c r="X801" i="5"/>
  <c r="B802" i="5"/>
  <c r="C802" i="5"/>
  <c r="D802" i="5"/>
  <c r="E802" i="5"/>
  <c r="F802" i="5"/>
  <c r="G802" i="5"/>
  <c r="H802" i="5"/>
  <c r="I802" i="5"/>
  <c r="J802" i="5"/>
  <c r="K802" i="5"/>
  <c r="L802" i="5"/>
  <c r="M802" i="5"/>
  <c r="N802" i="5"/>
  <c r="O802" i="5"/>
  <c r="P802" i="5"/>
  <c r="Q802" i="5"/>
  <c r="R802" i="5"/>
  <c r="S802" i="5"/>
  <c r="T802" i="5"/>
  <c r="U802" i="5"/>
  <c r="V802" i="5"/>
  <c r="W802" i="5"/>
  <c r="X802" i="5"/>
  <c r="B803" i="5"/>
  <c r="C803" i="5"/>
  <c r="D803" i="5"/>
  <c r="E803" i="5"/>
  <c r="F803" i="5"/>
  <c r="G803" i="5"/>
  <c r="H803" i="5"/>
  <c r="I803" i="5"/>
  <c r="J803" i="5"/>
  <c r="K803" i="5"/>
  <c r="L803" i="5"/>
  <c r="M803" i="5"/>
  <c r="N803" i="5"/>
  <c r="O803" i="5"/>
  <c r="P803" i="5"/>
  <c r="Q803" i="5"/>
  <c r="R803" i="5"/>
  <c r="S803" i="5"/>
  <c r="T803" i="5"/>
  <c r="U803" i="5"/>
  <c r="V803" i="5"/>
  <c r="W803" i="5"/>
  <c r="X803" i="5"/>
  <c r="B804" i="5"/>
  <c r="C804" i="5"/>
  <c r="D804" i="5"/>
  <c r="E804" i="5"/>
  <c r="F804" i="5"/>
  <c r="G804" i="5"/>
  <c r="H804" i="5"/>
  <c r="I804" i="5"/>
  <c r="J804" i="5"/>
  <c r="K804" i="5"/>
  <c r="L804" i="5"/>
  <c r="M804" i="5"/>
  <c r="N804" i="5"/>
  <c r="O804" i="5"/>
  <c r="P804" i="5"/>
  <c r="Q804" i="5"/>
  <c r="R804" i="5"/>
  <c r="S804" i="5"/>
  <c r="T804" i="5"/>
  <c r="U804" i="5"/>
  <c r="V804" i="5"/>
  <c r="W804" i="5"/>
  <c r="X804" i="5"/>
  <c r="B805" i="5"/>
  <c r="C805" i="5"/>
  <c r="D805" i="5"/>
  <c r="E805" i="5"/>
  <c r="F805" i="5"/>
  <c r="G805" i="5"/>
  <c r="H805" i="5"/>
  <c r="I805" i="5"/>
  <c r="J805" i="5"/>
  <c r="K805" i="5"/>
  <c r="L805" i="5"/>
  <c r="M805" i="5"/>
  <c r="N805" i="5"/>
  <c r="O805" i="5"/>
  <c r="P805" i="5"/>
  <c r="Q805" i="5"/>
  <c r="R805" i="5"/>
  <c r="S805" i="5"/>
  <c r="T805" i="5"/>
  <c r="U805" i="5"/>
  <c r="V805" i="5"/>
  <c r="W805" i="5"/>
  <c r="X805" i="5"/>
  <c r="AC805" i="5"/>
  <c r="B806" i="5"/>
  <c r="C806" i="5"/>
  <c r="D806" i="5"/>
  <c r="E806" i="5"/>
  <c r="F806" i="5"/>
  <c r="G806" i="5"/>
  <c r="H806" i="5"/>
  <c r="I806" i="5"/>
  <c r="J806" i="5"/>
  <c r="K806" i="5"/>
  <c r="L806" i="5"/>
  <c r="M806" i="5"/>
  <c r="N806" i="5"/>
  <c r="O806" i="5"/>
  <c r="P806" i="5"/>
  <c r="Q806" i="5"/>
  <c r="R806" i="5"/>
  <c r="S806" i="5"/>
  <c r="T806" i="5"/>
  <c r="U806" i="5"/>
  <c r="V806" i="5"/>
  <c r="W806" i="5"/>
  <c r="X806" i="5"/>
  <c r="B807" i="5"/>
  <c r="C807" i="5"/>
  <c r="D807" i="5"/>
  <c r="E807" i="5"/>
  <c r="F807" i="5"/>
  <c r="G807" i="5"/>
  <c r="H807" i="5"/>
  <c r="I807" i="5"/>
  <c r="J807" i="5"/>
  <c r="K807" i="5"/>
  <c r="L807" i="5"/>
  <c r="M807" i="5"/>
  <c r="N807" i="5"/>
  <c r="O807" i="5"/>
  <c r="P807" i="5"/>
  <c r="Q807" i="5"/>
  <c r="R807" i="5"/>
  <c r="S807" i="5"/>
  <c r="T807" i="5"/>
  <c r="U807" i="5"/>
  <c r="V807" i="5"/>
  <c r="W807" i="5"/>
  <c r="X807" i="5"/>
  <c r="B808" i="5"/>
  <c r="C808" i="5"/>
  <c r="D808" i="5"/>
  <c r="E808" i="5"/>
  <c r="F808" i="5"/>
  <c r="G808" i="5"/>
  <c r="H808" i="5"/>
  <c r="I808" i="5"/>
  <c r="J808" i="5"/>
  <c r="K808" i="5"/>
  <c r="L808" i="5"/>
  <c r="M808" i="5"/>
  <c r="N808" i="5"/>
  <c r="O808" i="5"/>
  <c r="P808" i="5"/>
  <c r="Q808" i="5"/>
  <c r="R808" i="5"/>
  <c r="S808" i="5"/>
  <c r="T808" i="5"/>
  <c r="U808" i="5"/>
  <c r="V808" i="5"/>
  <c r="W808" i="5"/>
  <c r="X808" i="5"/>
  <c r="B809" i="5"/>
  <c r="C809" i="5"/>
  <c r="D809" i="5"/>
  <c r="E809" i="5"/>
  <c r="F809" i="5"/>
  <c r="G809" i="5"/>
  <c r="H809" i="5"/>
  <c r="I809" i="5"/>
  <c r="J809" i="5"/>
  <c r="K809" i="5"/>
  <c r="L809" i="5"/>
  <c r="M809" i="5"/>
  <c r="N809" i="5"/>
  <c r="O809" i="5"/>
  <c r="P809" i="5"/>
  <c r="Q809" i="5"/>
  <c r="R809" i="5"/>
  <c r="S809" i="5"/>
  <c r="T809" i="5"/>
  <c r="U809" i="5"/>
  <c r="V809" i="5"/>
  <c r="W809" i="5"/>
  <c r="X809" i="5"/>
  <c r="B810" i="5"/>
  <c r="C810" i="5"/>
  <c r="D810" i="5"/>
  <c r="E810" i="5"/>
  <c r="F810" i="5"/>
  <c r="G810" i="5"/>
  <c r="H810" i="5"/>
  <c r="I810" i="5"/>
  <c r="J810" i="5"/>
  <c r="K810" i="5"/>
  <c r="L810" i="5"/>
  <c r="M810" i="5"/>
  <c r="N810" i="5"/>
  <c r="O810" i="5"/>
  <c r="P810" i="5"/>
  <c r="Q810" i="5"/>
  <c r="R810" i="5"/>
  <c r="S810" i="5"/>
  <c r="T810" i="5"/>
  <c r="U810" i="5"/>
  <c r="V810" i="5"/>
  <c r="W810" i="5"/>
  <c r="X810" i="5"/>
  <c r="B811" i="5"/>
  <c r="C811" i="5"/>
  <c r="D811" i="5"/>
  <c r="E811" i="5"/>
  <c r="F811" i="5"/>
  <c r="G811" i="5"/>
  <c r="H811" i="5"/>
  <c r="I811" i="5"/>
  <c r="J811" i="5"/>
  <c r="K811" i="5"/>
  <c r="L811" i="5"/>
  <c r="M811" i="5"/>
  <c r="N811" i="5"/>
  <c r="O811" i="5"/>
  <c r="P811" i="5"/>
  <c r="Q811" i="5"/>
  <c r="R811" i="5"/>
  <c r="S811" i="5"/>
  <c r="T811" i="5"/>
  <c r="U811" i="5"/>
  <c r="V811" i="5"/>
  <c r="W811" i="5"/>
  <c r="X811" i="5"/>
  <c r="B812" i="5"/>
  <c r="C812" i="5"/>
  <c r="D812" i="5"/>
  <c r="E812" i="5"/>
  <c r="F812" i="5"/>
  <c r="G812" i="5"/>
  <c r="H812" i="5"/>
  <c r="I812" i="5"/>
  <c r="J812" i="5"/>
  <c r="K812" i="5"/>
  <c r="L812" i="5"/>
  <c r="M812" i="5"/>
  <c r="N812" i="5"/>
  <c r="O812" i="5"/>
  <c r="P812" i="5"/>
  <c r="Q812" i="5"/>
  <c r="R812" i="5"/>
  <c r="S812" i="5"/>
  <c r="T812" i="5"/>
  <c r="U812" i="5"/>
  <c r="V812" i="5"/>
  <c r="W812" i="5"/>
  <c r="X812" i="5"/>
  <c r="B813" i="5"/>
  <c r="C813" i="5"/>
  <c r="D813" i="5"/>
  <c r="E813" i="5"/>
  <c r="F813" i="5"/>
  <c r="G813" i="5"/>
  <c r="H813" i="5"/>
  <c r="I813" i="5"/>
  <c r="J813" i="5"/>
  <c r="K813" i="5"/>
  <c r="L813" i="5"/>
  <c r="M813" i="5"/>
  <c r="N813" i="5"/>
  <c r="O813" i="5"/>
  <c r="AC813" i="5" s="1"/>
  <c r="P813" i="5"/>
  <c r="Q813" i="5"/>
  <c r="R813" i="5"/>
  <c r="S813" i="5"/>
  <c r="T813" i="5"/>
  <c r="U813" i="5"/>
  <c r="V813" i="5"/>
  <c r="W813" i="5"/>
  <c r="X813" i="5"/>
  <c r="B814" i="5"/>
  <c r="C814" i="5"/>
  <c r="D814" i="5"/>
  <c r="E814" i="5"/>
  <c r="F814" i="5"/>
  <c r="G814" i="5"/>
  <c r="H814" i="5"/>
  <c r="I814" i="5"/>
  <c r="J814" i="5"/>
  <c r="K814" i="5"/>
  <c r="L814" i="5"/>
  <c r="M814" i="5"/>
  <c r="N814" i="5"/>
  <c r="O814" i="5"/>
  <c r="P814" i="5"/>
  <c r="Q814" i="5"/>
  <c r="R814" i="5"/>
  <c r="S814" i="5"/>
  <c r="T814" i="5"/>
  <c r="U814" i="5"/>
  <c r="V814" i="5"/>
  <c r="W814" i="5"/>
  <c r="X814" i="5"/>
  <c r="B815" i="5"/>
  <c r="C815" i="5"/>
  <c r="D815" i="5"/>
  <c r="E815" i="5"/>
  <c r="F815" i="5"/>
  <c r="G815" i="5"/>
  <c r="H815" i="5"/>
  <c r="I815" i="5"/>
  <c r="J815" i="5"/>
  <c r="K815" i="5"/>
  <c r="L815" i="5"/>
  <c r="M815" i="5"/>
  <c r="N815" i="5"/>
  <c r="O815" i="5"/>
  <c r="P815" i="5"/>
  <c r="Q815" i="5"/>
  <c r="R815" i="5"/>
  <c r="S815" i="5"/>
  <c r="T815" i="5"/>
  <c r="U815" i="5"/>
  <c r="V815" i="5"/>
  <c r="W815" i="5"/>
  <c r="X815" i="5"/>
  <c r="B816" i="5"/>
  <c r="C816" i="5"/>
  <c r="D816" i="5"/>
  <c r="E816" i="5"/>
  <c r="F816" i="5"/>
  <c r="G816" i="5"/>
  <c r="H816" i="5"/>
  <c r="I816" i="5"/>
  <c r="J816" i="5"/>
  <c r="K816" i="5"/>
  <c r="L816" i="5"/>
  <c r="M816" i="5"/>
  <c r="N816" i="5"/>
  <c r="O816" i="5"/>
  <c r="P816" i="5"/>
  <c r="Q816" i="5"/>
  <c r="R816" i="5"/>
  <c r="S816" i="5"/>
  <c r="T816" i="5"/>
  <c r="U816" i="5"/>
  <c r="V816" i="5"/>
  <c r="W816" i="5"/>
  <c r="X816" i="5"/>
  <c r="B817" i="5"/>
  <c r="C817" i="5"/>
  <c r="D817" i="5"/>
  <c r="E817" i="5"/>
  <c r="F817" i="5"/>
  <c r="G817" i="5"/>
  <c r="H817" i="5"/>
  <c r="I817" i="5"/>
  <c r="J817" i="5"/>
  <c r="K817" i="5"/>
  <c r="L817" i="5"/>
  <c r="M817" i="5"/>
  <c r="N817" i="5"/>
  <c r="O817" i="5"/>
  <c r="P817" i="5"/>
  <c r="Q817" i="5"/>
  <c r="R817" i="5"/>
  <c r="S817" i="5"/>
  <c r="T817" i="5"/>
  <c r="U817" i="5"/>
  <c r="V817" i="5"/>
  <c r="W817" i="5"/>
  <c r="X817" i="5"/>
  <c r="B818" i="5"/>
  <c r="C818" i="5"/>
  <c r="D818" i="5"/>
  <c r="E818" i="5"/>
  <c r="F818" i="5"/>
  <c r="G818" i="5"/>
  <c r="H818" i="5"/>
  <c r="I818" i="5"/>
  <c r="J818" i="5"/>
  <c r="K818" i="5"/>
  <c r="L818" i="5"/>
  <c r="M818" i="5"/>
  <c r="N818" i="5"/>
  <c r="O818" i="5"/>
  <c r="P818" i="5"/>
  <c r="Q818" i="5"/>
  <c r="R818" i="5"/>
  <c r="S818" i="5"/>
  <c r="T818" i="5"/>
  <c r="U818" i="5"/>
  <c r="V818" i="5"/>
  <c r="W818" i="5"/>
  <c r="X818" i="5"/>
  <c r="B819" i="5"/>
  <c r="C819" i="5"/>
  <c r="D819" i="5"/>
  <c r="E819" i="5"/>
  <c r="F819" i="5"/>
  <c r="G819" i="5"/>
  <c r="H819" i="5"/>
  <c r="I819" i="5"/>
  <c r="J819" i="5"/>
  <c r="K819" i="5"/>
  <c r="L819" i="5"/>
  <c r="M819" i="5"/>
  <c r="N819" i="5"/>
  <c r="O819" i="5"/>
  <c r="P819" i="5"/>
  <c r="Q819" i="5"/>
  <c r="R819" i="5"/>
  <c r="S819" i="5"/>
  <c r="T819" i="5"/>
  <c r="U819" i="5"/>
  <c r="V819" i="5"/>
  <c r="W819" i="5"/>
  <c r="X819" i="5"/>
  <c r="B820" i="5"/>
  <c r="C820" i="5"/>
  <c r="D820" i="5"/>
  <c r="E820" i="5"/>
  <c r="F820" i="5"/>
  <c r="G820" i="5"/>
  <c r="H820" i="5"/>
  <c r="I820" i="5"/>
  <c r="J820" i="5"/>
  <c r="K820" i="5"/>
  <c r="L820" i="5"/>
  <c r="M820" i="5"/>
  <c r="N820" i="5"/>
  <c r="O820" i="5"/>
  <c r="P820" i="5"/>
  <c r="Q820" i="5"/>
  <c r="R820" i="5"/>
  <c r="S820" i="5"/>
  <c r="T820" i="5"/>
  <c r="U820" i="5"/>
  <c r="V820" i="5"/>
  <c r="W820" i="5"/>
  <c r="X820" i="5"/>
  <c r="B821" i="5"/>
  <c r="C821" i="5"/>
  <c r="D821" i="5"/>
  <c r="E821" i="5"/>
  <c r="F821" i="5"/>
  <c r="G821" i="5"/>
  <c r="H821" i="5"/>
  <c r="I821" i="5"/>
  <c r="J821" i="5"/>
  <c r="K821" i="5"/>
  <c r="L821" i="5"/>
  <c r="M821" i="5"/>
  <c r="N821" i="5"/>
  <c r="O821" i="5"/>
  <c r="AC821" i="5" s="1"/>
  <c r="P821" i="5"/>
  <c r="Q821" i="5"/>
  <c r="R821" i="5"/>
  <c r="S821" i="5"/>
  <c r="T821" i="5"/>
  <c r="U821" i="5"/>
  <c r="V821" i="5"/>
  <c r="W821" i="5"/>
  <c r="X821" i="5"/>
  <c r="B822" i="5"/>
  <c r="C822" i="5"/>
  <c r="D822" i="5"/>
  <c r="E822" i="5"/>
  <c r="F822" i="5"/>
  <c r="G822" i="5"/>
  <c r="H822" i="5"/>
  <c r="I822" i="5"/>
  <c r="J822" i="5"/>
  <c r="K822" i="5"/>
  <c r="L822" i="5"/>
  <c r="M822" i="5"/>
  <c r="N822" i="5"/>
  <c r="O822" i="5"/>
  <c r="P822" i="5"/>
  <c r="Q822" i="5"/>
  <c r="R822" i="5"/>
  <c r="S822" i="5"/>
  <c r="T822" i="5"/>
  <c r="U822" i="5"/>
  <c r="V822" i="5"/>
  <c r="W822" i="5"/>
  <c r="X822" i="5"/>
  <c r="B823" i="5"/>
  <c r="C823" i="5"/>
  <c r="D823" i="5"/>
  <c r="E823" i="5"/>
  <c r="F823" i="5"/>
  <c r="G823" i="5"/>
  <c r="H823" i="5"/>
  <c r="I823" i="5"/>
  <c r="J823" i="5"/>
  <c r="K823" i="5"/>
  <c r="L823" i="5"/>
  <c r="M823" i="5"/>
  <c r="N823" i="5"/>
  <c r="O823" i="5"/>
  <c r="P823" i="5"/>
  <c r="Q823" i="5"/>
  <c r="R823" i="5"/>
  <c r="S823" i="5"/>
  <c r="T823" i="5"/>
  <c r="U823" i="5"/>
  <c r="V823" i="5"/>
  <c r="W823" i="5"/>
  <c r="X823" i="5"/>
  <c r="B824" i="5"/>
  <c r="C824" i="5"/>
  <c r="D824" i="5"/>
  <c r="E824" i="5"/>
  <c r="F824" i="5"/>
  <c r="G824" i="5"/>
  <c r="H824" i="5"/>
  <c r="I824" i="5"/>
  <c r="J824" i="5"/>
  <c r="K824" i="5"/>
  <c r="L824" i="5"/>
  <c r="M824" i="5"/>
  <c r="N824" i="5"/>
  <c r="O824" i="5"/>
  <c r="P824" i="5"/>
  <c r="Q824" i="5"/>
  <c r="R824" i="5"/>
  <c r="S824" i="5"/>
  <c r="T824" i="5"/>
  <c r="U824" i="5"/>
  <c r="V824" i="5"/>
  <c r="W824" i="5"/>
  <c r="X824" i="5"/>
  <c r="B825" i="5"/>
  <c r="C825" i="5"/>
  <c r="D825" i="5"/>
  <c r="E825" i="5"/>
  <c r="F825" i="5"/>
  <c r="G825" i="5"/>
  <c r="H825" i="5"/>
  <c r="I825" i="5"/>
  <c r="J825" i="5"/>
  <c r="K825" i="5"/>
  <c r="L825" i="5"/>
  <c r="M825" i="5"/>
  <c r="N825" i="5"/>
  <c r="O825" i="5"/>
  <c r="P825" i="5"/>
  <c r="Q825" i="5"/>
  <c r="R825" i="5"/>
  <c r="S825" i="5"/>
  <c r="T825" i="5"/>
  <c r="U825" i="5"/>
  <c r="V825" i="5"/>
  <c r="W825" i="5"/>
  <c r="X825" i="5"/>
  <c r="B826" i="5"/>
  <c r="C826" i="5"/>
  <c r="D826" i="5"/>
  <c r="E826" i="5"/>
  <c r="F826" i="5"/>
  <c r="G826" i="5"/>
  <c r="H826" i="5"/>
  <c r="I826" i="5"/>
  <c r="J826" i="5"/>
  <c r="K826" i="5"/>
  <c r="L826" i="5"/>
  <c r="M826" i="5"/>
  <c r="N826" i="5"/>
  <c r="O826" i="5"/>
  <c r="P826" i="5"/>
  <c r="Q826" i="5"/>
  <c r="R826" i="5"/>
  <c r="S826" i="5"/>
  <c r="T826" i="5"/>
  <c r="U826" i="5"/>
  <c r="V826" i="5"/>
  <c r="W826" i="5"/>
  <c r="X826" i="5"/>
  <c r="B827" i="5"/>
  <c r="C827" i="5"/>
  <c r="D827" i="5"/>
  <c r="E827" i="5"/>
  <c r="F827" i="5"/>
  <c r="G827" i="5"/>
  <c r="H827" i="5"/>
  <c r="I827" i="5"/>
  <c r="J827" i="5"/>
  <c r="K827" i="5"/>
  <c r="L827" i="5"/>
  <c r="M827" i="5"/>
  <c r="N827" i="5"/>
  <c r="O827" i="5"/>
  <c r="P827" i="5"/>
  <c r="Q827" i="5"/>
  <c r="R827" i="5"/>
  <c r="S827" i="5"/>
  <c r="T827" i="5"/>
  <c r="U827" i="5"/>
  <c r="V827" i="5"/>
  <c r="W827" i="5"/>
  <c r="X827" i="5"/>
  <c r="B828" i="5"/>
  <c r="C828" i="5"/>
  <c r="D828" i="5"/>
  <c r="E828" i="5"/>
  <c r="F828" i="5"/>
  <c r="G828" i="5"/>
  <c r="H828" i="5"/>
  <c r="I828" i="5"/>
  <c r="J828" i="5"/>
  <c r="K828" i="5"/>
  <c r="L828" i="5"/>
  <c r="M828" i="5"/>
  <c r="AC828" i="5" s="1"/>
  <c r="N828" i="5"/>
  <c r="O828" i="5"/>
  <c r="P828" i="5"/>
  <c r="Q828" i="5"/>
  <c r="R828" i="5"/>
  <c r="S828" i="5"/>
  <c r="T828" i="5"/>
  <c r="U828" i="5"/>
  <c r="V828" i="5"/>
  <c r="W828" i="5"/>
  <c r="X828" i="5"/>
  <c r="B829" i="5"/>
  <c r="C829" i="5"/>
  <c r="D829" i="5"/>
  <c r="E829" i="5"/>
  <c r="F829" i="5"/>
  <c r="G829" i="5"/>
  <c r="H829" i="5"/>
  <c r="I829" i="5"/>
  <c r="J829" i="5"/>
  <c r="K829" i="5"/>
  <c r="L829" i="5"/>
  <c r="M829" i="5"/>
  <c r="N829" i="5"/>
  <c r="O829" i="5"/>
  <c r="P829" i="5"/>
  <c r="Q829" i="5"/>
  <c r="R829" i="5"/>
  <c r="S829" i="5"/>
  <c r="T829" i="5"/>
  <c r="U829" i="5"/>
  <c r="V829" i="5"/>
  <c r="W829" i="5"/>
  <c r="X829" i="5"/>
  <c r="AC829" i="5"/>
  <c r="B830" i="5"/>
  <c r="C830" i="5"/>
  <c r="D830" i="5"/>
  <c r="E830" i="5"/>
  <c r="F830" i="5"/>
  <c r="G830" i="5"/>
  <c r="H830" i="5"/>
  <c r="I830" i="5"/>
  <c r="J830" i="5"/>
  <c r="K830" i="5"/>
  <c r="L830" i="5"/>
  <c r="M830" i="5"/>
  <c r="N830" i="5"/>
  <c r="O830" i="5"/>
  <c r="P830" i="5"/>
  <c r="Q830" i="5"/>
  <c r="R830" i="5"/>
  <c r="S830" i="5"/>
  <c r="T830" i="5"/>
  <c r="U830" i="5"/>
  <c r="V830" i="5"/>
  <c r="W830" i="5"/>
  <c r="X830" i="5"/>
  <c r="B831" i="5"/>
  <c r="C831" i="5"/>
  <c r="D831" i="5"/>
  <c r="E831" i="5"/>
  <c r="F831" i="5"/>
  <c r="G831" i="5"/>
  <c r="H831" i="5"/>
  <c r="I831" i="5"/>
  <c r="J831" i="5"/>
  <c r="K831" i="5"/>
  <c r="L831" i="5"/>
  <c r="M831" i="5"/>
  <c r="N831" i="5"/>
  <c r="AC831" i="5" s="1"/>
  <c r="O831" i="5"/>
  <c r="P831" i="5"/>
  <c r="Q831" i="5"/>
  <c r="R831" i="5"/>
  <c r="S831" i="5"/>
  <c r="T831" i="5"/>
  <c r="U831" i="5"/>
  <c r="V831" i="5"/>
  <c r="W831" i="5"/>
  <c r="X831" i="5"/>
  <c r="B832" i="5"/>
  <c r="C832" i="5"/>
  <c r="D832" i="5"/>
  <c r="E832" i="5"/>
  <c r="F832" i="5"/>
  <c r="G832" i="5"/>
  <c r="H832" i="5"/>
  <c r="I832" i="5"/>
  <c r="J832" i="5"/>
  <c r="K832" i="5"/>
  <c r="L832" i="5"/>
  <c r="M832" i="5"/>
  <c r="N832" i="5"/>
  <c r="O832" i="5"/>
  <c r="P832" i="5"/>
  <c r="Q832" i="5"/>
  <c r="R832" i="5"/>
  <c r="S832" i="5"/>
  <c r="T832" i="5"/>
  <c r="U832" i="5"/>
  <c r="V832" i="5"/>
  <c r="W832" i="5"/>
  <c r="X832" i="5"/>
  <c r="B833" i="5"/>
  <c r="C833" i="5"/>
  <c r="D833" i="5"/>
  <c r="E833" i="5"/>
  <c r="F833" i="5"/>
  <c r="G833" i="5"/>
  <c r="H833" i="5"/>
  <c r="I833" i="5"/>
  <c r="J833" i="5"/>
  <c r="K833" i="5"/>
  <c r="L833" i="5"/>
  <c r="M833" i="5"/>
  <c r="N833" i="5"/>
  <c r="O833" i="5"/>
  <c r="P833" i="5"/>
  <c r="Q833" i="5"/>
  <c r="R833" i="5"/>
  <c r="S833" i="5"/>
  <c r="T833" i="5"/>
  <c r="U833" i="5"/>
  <c r="V833" i="5"/>
  <c r="W833" i="5"/>
  <c r="X833" i="5"/>
  <c r="B834" i="5"/>
  <c r="C834" i="5"/>
  <c r="D834" i="5"/>
  <c r="E834" i="5"/>
  <c r="F834" i="5"/>
  <c r="G834" i="5"/>
  <c r="H834" i="5"/>
  <c r="I834" i="5"/>
  <c r="J834" i="5"/>
  <c r="K834" i="5"/>
  <c r="L834" i="5"/>
  <c r="M834" i="5"/>
  <c r="N834" i="5"/>
  <c r="O834" i="5"/>
  <c r="P834" i="5"/>
  <c r="Q834" i="5"/>
  <c r="R834" i="5"/>
  <c r="S834" i="5"/>
  <c r="T834" i="5"/>
  <c r="U834" i="5"/>
  <c r="V834" i="5"/>
  <c r="W834" i="5"/>
  <c r="X834" i="5"/>
  <c r="B835" i="5"/>
  <c r="C835" i="5"/>
  <c r="D835" i="5"/>
  <c r="E835" i="5"/>
  <c r="F835" i="5"/>
  <c r="G835" i="5"/>
  <c r="H835" i="5"/>
  <c r="I835" i="5"/>
  <c r="J835" i="5"/>
  <c r="K835" i="5"/>
  <c r="L835" i="5"/>
  <c r="M835" i="5"/>
  <c r="N835" i="5"/>
  <c r="AC835" i="5" s="1"/>
  <c r="O835" i="5"/>
  <c r="P835" i="5"/>
  <c r="Q835" i="5"/>
  <c r="R835" i="5"/>
  <c r="S835" i="5"/>
  <c r="T835" i="5"/>
  <c r="U835" i="5"/>
  <c r="V835" i="5"/>
  <c r="W835" i="5"/>
  <c r="X835" i="5"/>
  <c r="B836" i="5"/>
  <c r="C836" i="5"/>
  <c r="D836" i="5"/>
  <c r="E836" i="5"/>
  <c r="F836" i="5"/>
  <c r="G836" i="5"/>
  <c r="H836" i="5"/>
  <c r="I836" i="5"/>
  <c r="J836" i="5"/>
  <c r="K836" i="5"/>
  <c r="L836" i="5"/>
  <c r="M836" i="5"/>
  <c r="N836" i="5"/>
  <c r="O836" i="5"/>
  <c r="P836" i="5"/>
  <c r="Q836" i="5"/>
  <c r="R836" i="5"/>
  <c r="S836" i="5"/>
  <c r="T836" i="5"/>
  <c r="U836" i="5"/>
  <c r="V836" i="5"/>
  <c r="W836" i="5"/>
  <c r="X836" i="5"/>
  <c r="B837" i="5"/>
  <c r="C837" i="5"/>
  <c r="D837" i="5"/>
  <c r="E837" i="5"/>
  <c r="F837" i="5"/>
  <c r="G837" i="5"/>
  <c r="H837" i="5"/>
  <c r="I837" i="5"/>
  <c r="J837" i="5"/>
  <c r="K837" i="5"/>
  <c r="L837" i="5"/>
  <c r="M837" i="5"/>
  <c r="N837" i="5"/>
  <c r="O837" i="5"/>
  <c r="P837" i="5"/>
  <c r="AC837" i="5" s="1"/>
  <c r="Q837" i="5"/>
  <c r="R837" i="5"/>
  <c r="S837" i="5"/>
  <c r="T837" i="5"/>
  <c r="U837" i="5"/>
  <c r="V837" i="5"/>
  <c r="W837" i="5"/>
  <c r="X837" i="5"/>
  <c r="B838" i="5"/>
  <c r="C838" i="5"/>
  <c r="D838" i="5"/>
  <c r="E838" i="5"/>
  <c r="F838" i="5"/>
  <c r="G838" i="5"/>
  <c r="H838" i="5"/>
  <c r="I838" i="5"/>
  <c r="J838" i="5"/>
  <c r="K838" i="5"/>
  <c r="L838" i="5"/>
  <c r="M838" i="5"/>
  <c r="N838" i="5"/>
  <c r="O838" i="5"/>
  <c r="P838" i="5"/>
  <c r="Q838" i="5"/>
  <c r="R838" i="5"/>
  <c r="S838" i="5"/>
  <c r="T838" i="5"/>
  <c r="U838" i="5"/>
  <c r="V838" i="5"/>
  <c r="W838" i="5"/>
  <c r="X838" i="5"/>
  <c r="B839" i="5"/>
  <c r="C839" i="5"/>
  <c r="D839" i="5"/>
  <c r="E839" i="5"/>
  <c r="F839" i="5"/>
  <c r="G839" i="5"/>
  <c r="H839" i="5"/>
  <c r="I839" i="5"/>
  <c r="J839" i="5"/>
  <c r="K839" i="5"/>
  <c r="L839" i="5"/>
  <c r="M839" i="5"/>
  <c r="N839" i="5"/>
  <c r="O839" i="5"/>
  <c r="P839" i="5"/>
  <c r="Q839" i="5"/>
  <c r="R839" i="5"/>
  <c r="S839" i="5"/>
  <c r="T839" i="5"/>
  <c r="U839" i="5"/>
  <c r="V839" i="5"/>
  <c r="W839" i="5"/>
  <c r="X839" i="5"/>
  <c r="B840" i="5"/>
  <c r="C840" i="5"/>
  <c r="D840" i="5"/>
  <c r="E840" i="5"/>
  <c r="F840" i="5"/>
  <c r="G840" i="5"/>
  <c r="H840" i="5"/>
  <c r="I840" i="5"/>
  <c r="J840" i="5"/>
  <c r="K840" i="5"/>
  <c r="L840" i="5"/>
  <c r="M840" i="5"/>
  <c r="N840" i="5"/>
  <c r="O840" i="5"/>
  <c r="P840" i="5"/>
  <c r="Q840" i="5"/>
  <c r="R840" i="5"/>
  <c r="S840" i="5"/>
  <c r="T840" i="5"/>
  <c r="U840" i="5"/>
  <c r="V840" i="5"/>
  <c r="W840" i="5"/>
  <c r="X840" i="5"/>
  <c r="B841" i="5"/>
  <c r="C841" i="5"/>
  <c r="D841" i="5"/>
  <c r="E841" i="5"/>
  <c r="F841" i="5"/>
  <c r="G841" i="5"/>
  <c r="H841" i="5"/>
  <c r="I841" i="5"/>
  <c r="J841" i="5"/>
  <c r="K841" i="5"/>
  <c r="L841" i="5"/>
  <c r="M841" i="5"/>
  <c r="N841" i="5"/>
  <c r="O841" i="5"/>
  <c r="P841" i="5"/>
  <c r="Q841" i="5"/>
  <c r="R841" i="5"/>
  <c r="S841" i="5"/>
  <c r="T841" i="5"/>
  <c r="U841" i="5"/>
  <c r="V841" i="5"/>
  <c r="W841" i="5"/>
  <c r="X841" i="5"/>
  <c r="B842" i="5"/>
  <c r="C842" i="5"/>
  <c r="D842" i="5"/>
  <c r="E842" i="5"/>
  <c r="F842" i="5"/>
  <c r="G842" i="5"/>
  <c r="H842" i="5"/>
  <c r="I842" i="5"/>
  <c r="J842" i="5"/>
  <c r="K842" i="5"/>
  <c r="L842" i="5"/>
  <c r="M842" i="5"/>
  <c r="N842" i="5"/>
  <c r="O842" i="5"/>
  <c r="P842" i="5"/>
  <c r="Q842" i="5"/>
  <c r="R842" i="5"/>
  <c r="S842" i="5"/>
  <c r="T842" i="5"/>
  <c r="U842" i="5"/>
  <c r="V842" i="5"/>
  <c r="W842" i="5"/>
  <c r="X842" i="5"/>
  <c r="B843" i="5"/>
  <c r="C843" i="5"/>
  <c r="D843" i="5"/>
  <c r="E843" i="5"/>
  <c r="F843" i="5"/>
  <c r="G843" i="5"/>
  <c r="H843" i="5"/>
  <c r="I843" i="5"/>
  <c r="J843" i="5"/>
  <c r="K843" i="5"/>
  <c r="L843" i="5"/>
  <c r="M843" i="5"/>
  <c r="N843" i="5"/>
  <c r="O843" i="5"/>
  <c r="P843" i="5"/>
  <c r="Q843" i="5"/>
  <c r="R843" i="5"/>
  <c r="S843" i="5"/>
  <c r="T843" i="5"/>
  <c r="U843" i="5"/>
  <c r="V843" i="5"/>
  <c r="W843" i="5"/>
  <c r="X843" i="5"/>
  <c r="B844" i="5"/>
  <c r="C844" i="5"/>
  <c r="D844" i="5"/>
  <c r="E844" i="5"/>
  <c r="F844" i="5"/>
  <c r="G844" i="5"/>
  <c r="H844" i="5"/>
  <c r="I844" i="5"/>
  <c r="J844" i="5"/>
  <c r="K844" i="5"/>
  <c r="L844" i="5"/>
  <c r="M844" i="5"/>
  <c r="N844" i="5"/>
  <c r="O844" i="5"/>
  <c r="P844" i="5"/>
  <c r="Q844" i="5"/>
  <c r="R844" i="5"/>
  <c r="S844" i="5"/>
  <c r="T844" i="5"/>
  <c r="U844" i="5"/>
  <c r="V844" i="5"/>
  <c r="W844" i="5"/>
  <c r="X844" i="5"/>
  <c r="B845" i="5"/>
  <c r="C845" i="5"/>
  <c r="D845" i="5"/>
  <c r="E845" i="5"/>
  <c r="F845" i="5"/>
  <c r="G845" i="5"/>
  <c r="H845" i="5"/>
  <c r="I845" i="5"/>
  <c r="J845" i="5"/>
  <c r="K845" i="5"/>
  <c r="L845" i="5"/>
  <c r="M845" i="5"/>
  <c r="N845" i="5"/>
  <c r="O845" i="5"/>
  <c r="P845" i="5"/>
  <c r="Q845" i="5"/>
  <c r="R845" i="5"/>
  <c r="S845" i="5"/>
  <c r="T845" i="5"/>
  <c r="U845" i="5"/>
  <c r="V845" i="5"/>
  <c r="W845" i="5"/>
  <c r="X845" i="5"/>
  <c r="AC845" i="5"/>
  <c r="B846" i="5"/>
  <c r="C846" i="5"/>
  <c r="D846" i="5"/>
  <c r="E846" i="5"/>
  <c r="F846" i="5"/>
  <c r="G846" i="5"/>
  <c r="H846" i="5"/>
  <c r="I846" i="5"/>
  <c r="J846" i="5"/>
  <c r="K846" i="5"/>
  <c r="L846" i="5"/>
  <c r="M846" i="5"/>
  <c r="N846" i="5"/>
  <c r="O846" i="5"/>
  <c r="P846" i="5"/>
  <c r="Q846" i="5"/>
  <c r="R846" i="5"/>
  <c r="S846" i="5"/>
  <c r="T846" i="5"/>
  <c r="U846" i="5"/>
  <c r="V846" i="5"/>
  <c r="W846" i="5"/>
  <c r="X846" i="5"/>
  <c r="B847" i="5"/>
  <c r="C847" i="5"/>
  <c r="D847" i="5"/>
  <c r="E847" i="5"/>
  <c r="F847" i="5"/>
  <c r="G847" i="5"/>
  <c r="H847" i="5"/>
  <c r="I847" i="5"/>
  <c r="J847" i="5"/>
  <c r="K847" i="5"/>
  <c r="L847" i="5"/>
  <c r="M847" i="5"/>
  <c r="N847" i="5"/>
  <c r="O847" i="5"/>
  <c r="P847" i="5"/>
  <c r="Q847" i="5"/>
  <c r="R847" i="5"/>
  <c r="S847" i="5"/>
  <c r="T847" i="5"/>
  <c r="U847" i="5"/>
  <c r="V847" i="5"/>
  <c r="W847" i="5"/>
  <c r="X847" i="5"/>
  <c r="B848" i="5"/>
  <c r="C848" i="5"/>
  <c r="D848" i="5"/>
  <c r="E848" i="5"/>
  <c r="F848" i="5"/>
  <c r="G848" i="5"/>
  <c r="H848" i="5"/>
  <c r="I848" i="5"/>
  <c r="J848" i="5"/>
  <c r="K848" i="5"/>
  <c r="L848" i="5"/>
  <c r="M848" i="5"/>
  <c r="N848" i="5"/>
  <c r="O848" i="5"/>
  <c r="P848" i="5"/>
  <c r="Q848" i="5"/>
  <c r="R848" i="5"/>
  <c r="S848" i="5"/>
  <c r="T848" i="5"/>
  <c r="U848" i="5"/>
  <c r="V848" i="5"/>
  <c r="W848" i="5"/>
  <c r="X848" i="5"/>
  <c r="B849" i="5"/>
  <c r="C849" i="5"/>
  <c r="D849" i="5"/>
  <c r="E849" i="5"/>
  <c r="F849" i="5"/>
  <c r="G849" i="5"/>
  <c r="H849" i="5"/>
  <c r="I849" i="5"/>
  <c r="J849" i="5"/>
  <c r="K849" i="5"/>
  <c r="L849" i="5"/>
  <c r="M849" i="5"/>
  <c r="N849" i="5"/>
  <c r="O849" i="5"/>
  <c r="P849" i="5"/>
  <c r="Q849" i="5"/>
  <c r="R849" i="5"/>
  <c r="S849" i="5"/>
  <c r="T849" i="5"/>
  <c r="U849" i="5"/>
  <c r="V849" i="5"/>
  <c r="W849" i="5"/>
  <c r="X849" i="5"/>
  <c r="B850" i="5"/>
  <c r="C850" i="5"/>
  <c r="D850" i="5"/>
  <c r="E850" i="5"/>
  <c r="F850" i="5"/>
  <c r="G850" i="5"/>
  <c r="H850" i="5"/>
  <c r="I850" i="5"/>
  <c r="J850" i="5"/>
  <c r="K850" i="5"/>
  <c r="L850" i="5"/>
  <c r="M850" i="5"/>
  <c r="N850" i="5"/>
  <c r="O850" i="5"/>
  <c r="P850" i="5"/>
  <c r="Q850" i="5"/>
  <c r="R850" i="5"/>
  <c r="S850" i="5"/>
  <c r="T850" i="5"/>
  <c r="U850" i="5"/>
  <c r="V850" i="5"/>
  <c r="W850" i="5"/>
  <c r="X850" i="5"/>
  <c r="B851" i="5"/>
  <c r="C851" i="5"/>
  <c r="D851" i="5"/>
  <c r="E851" i="5"/>
  <c r="F851" i="5"/>
  <c r="G851" i="5"/>
  <c r="H851" i="5"/>
  <c r="I851" i="5"/>
  <c r="J851" i="5"/>
  <c r="K851" i="5"/>
  <c r="L851" i="5"/>
  <c r="M851" i="5"/>
  <c r="N851" i="5"/>
  <c r="O851" i="5"/>
  <c r="P851" i="5"/>
  <c r="Q851" i="5"/>
  <c r="R851" i="5"/>
  <c r="S851" i="5"/>
  <c r="T851" i="5"/>
  <c r="U851" i="5"/>
  <c r="V851" i="5"/>
  <c r="W851" i="5"/>
  <c r="X851" i="5"/>
  <c r="B852" i="5"/>
  <c r="C852" i="5"/>
  <c r="D852" i="5"/>
  <c r="E852" i="5"/>
  <c r="F852" i="5"/>
  <c r="G852" i="5"/>
  <c r="H852" i="5"/>
  <c r="I852" i="5"/>
  <c r="J852" i="5"/>
  <c r="K852" i="5"/>
  <c r="L852" i="5"/>
  <c r="M852" i="5"/>
  <c r="N852" i="5"/>
  <c r="O852" i="5"/>
  <c r="P852" i="5"/>
  <c r="Q852" i="5"/>
  <c r="R852" i="5"/>
  <c r="S852" i="5"/>
  <c r="T852" i="5"/>
  <c r="U852" i="5"/>
  <c r="V852" i="5"/>
  <c r="W852" i="5"/>
  <c r="X852" i="5"/>
  <c r="B853" i="5"/>
  <c r="C853" i="5"/>
  <c r="D853" i="5"/>
  <c r="E853" i="5"/>
  <c r="F853" i="5"/>
  <c r="G853" i="5"/>
  <c r="H853" i="5"/>
  <c r="I853" i="5"/>
  <c r="J853" i="5"/>
  <c r="K853" i="5"/>
  <c r="L853" i="5"/>
  <c r="M853" i="5"/>
  <c r="N853" i="5"/>
  <c r="O853" i="5"/>
  <c r="P853" i="5"/>
  <c r="Q853" i="5"/>
  <c r="R853" i="5"/>
  <c r="S853" i="5"/>
  <c r="T853" i="5"/>
  <c r="U853" i="5"/>
  <c r="V853" i="5"/>
  <c r="W853" i="5"/>
  <c r="X853" i="5"/>
  <c r="AC853" i="5"/>
  <c r="B854" i="5"/>
  <c r="C854" i="5"/>
  <c r="D854" i="5"/>
  <c r="E854" i="5"/>
  <c r="F854" i="5"/>
  <c r="G854" i="5"/>
  <c r="H854" i="5"/>
  <c r="I854" i="5"/>
  <c r="J854" i="5"/>
  <c r="K854" i="5"/>
  <c r="L854" i="5"/>
  <c r="M854" i="5"/>
  <c r="N854" i="5"/>
  <c r="O854" i="5"/>
  <c r="P854" i="5"/>
  <c r="Q854" i="5"/>
  <c r="R854" i="5"/>
  <c r="S854" i="5"/>
  <c r="T854" i="5"/>
  <c r="U854" i="5"/>
  <c r="V854" i="5"/>
  <c r="W854" i="5"/>
  <c r="X854" i="5"/>
  <c r="B855" i="5"/>
  <c r="C855" i="5"/>
  <c r="D855" i="5"/>
  <c r="E855" i="5"/>
  <c r="F855" i="5"/>
  <c r="G855" i="5"/>
  <c r="H855" i="5"/>
  <c r="I855" i="5"/>
  <c r="J855" i="5"/>
  <c r="K855" i="5"/>
  <c r="L855" i="5"/>
  <c r="M855" i="5"/>
  <c r="N855" i="5"/>
  <c r="AC855" i="5" s="1"/>
  <c r="O855" i="5"/>
  <c r="P855" i="5"/>
  <c r="Q855" i="5"/>
  <c r="R855" i="5"/>
  <c r="S855" i="5"/>
  <c r="T855" i="5"/>
  <c r="U855" i="5"/>
  <c r="V855" i="5"/>
  <c r="W855" i="5"/>
  <c r="X855" i="5"/>
  <c r="B856" i="5"/>
  <c r="C856" i="5"/>
  <c r="D856" i="5"/>
  <c r="E856" i="5"/>
  <c r="F856" i="5"/>
  <c r="G856" i="5"/>
  <c r="H856" i="5"/>
  <c r="I856" i="5"/>
  <c r="J856" i="5"/>
  <c r="K856" i="5"/>
  <c r="L856" i="5"/>
  <c r="M856" i="5"/>
  <c r="N856" i="5"/>
  <c r="O856" i="5"/>
  <c r="P856" i="5"/>
  <c r="Q856" i="5"/>
  <c r="R856" i="5"/>
  <c r="S856" i="5"/>
  <c r="T856" i="5"/>
  <c r="U856" i="5"/>
  <c r="V856" i="5"/>
  <c r="W856" i="5"/>
  <c r="X856" i="5"/>
  <c r="B857" i="5"/>
  <c r="C857" i="5"/>
  <c r="D857" i="5"/>
  <c r="E857" i="5"/>
  <c r="F857" i="5"/>
  <c r="G857" i="5"/>
  <c r="H857" i="5"/>
  <c r="I857" i="5"/>
  <c r="J857" i="5"/>
  <c r="K857" i="5"/>
  <c r="L857" i="5"/>
  <c r="M857" i="5"/>
  <c r="N857" i="5"/>
  <c r="O857" i="5"/>
  <c r="P857" i="5"/>
  <c r="Q857" i="5"/>
  <c r="R857" i="5"/>
  <c r="S857" i="5"/>
  <c r="T857" i="5"/>
  <c r="U857" i="5"/>
  <c r="V857" i="5"/>
  <c r="W857" i="5"/>
  <c r="X857" i="5"/>
  <c r="B858" i="5"/>
  <c r="C858" i="5"/>
  <c r="D858" i="5"/>
  <c r="E858" i="5"/>
  <c r="F858" i="5"/>
  <c r="G858" i="5"/>
  <c r="H858" i="5"/>
  <c r="I858" i="5"/>
  <c r="J858" i="5"/>
  <c r="K858" i="5"/>
  <c r="L858" i="5"/>
  <c r="M858" i="5"/>
  <c r="AC858" i="5" s="1"/>
  <c r="N858" i="5"/>
  <c r="O858" i="5"/>
  <c r="P858" i="5"/>
  <c r="Q858" i="5"/>
  <c r="R858" i="5"/>
  <c r="S858" i="5"/>
  <c r="T858" i="5"/>
  <c r="U858" i="5"/>
  <c r="V858" i="5"/>
  <c r="W858" i="5"/>
  <c r="X858" i="5"/>
  <c r="B859" i="5"/>
  <c r="C859" i="5"/>
  <c r="D859" i="5"/>
  <c r="E859" i="5"/>
  <c r="F859" i="5"/>
  <c r="G859" i="5"/>
  <c r="H859" i="5"/>
  <c r="I859" i="5"/>
  <c r="J859" i="5"/>
  <c r="K859" i="5"/>
  <c r="L859" i="5"/>
  <c r="M859" i="5"/>
  <c r="N859" i="5"/>
  <c r="AC859" i="5" s="1"/>
  <c r="O859" i="5"/>
  <c r="P859" i="5"/>
  <c r="Q859" i="5"/>
  <c r="R859" i="5"/>
  <c r="S859" i="5"/>
  <c r="T859" i="5"/>
  <c r="U859" i="5"/>
  <c r="V859" i="5"/>
  <c r="W859" i="5"/>
  <c r="X859" i="5"/>
  <c r="B860" i="5"/>
  <c r="C860" i="5"/>
  <c r="D860" i="5"/>
  <c r="E860" i="5"/>
  <c r="F860" i="5"/>
  <c r="G860" i="5"/>
  <c r="H860" i="5"/>
  <c r="I860" i="5"/>
  <c r="J860" i="5"/>
  <c r="K860" i="5"/>
  <c r="L860" i="5"/>
  <c r="M860" i="5"/>
  <c r="N860" i="5"/>
  <c r="O860" i="5"/>
  <c r="P860" i="5"/>
  <c r="Q860" i="5"/>
  <c r="R860" i="5"/>
  <c r="S860" i="5"/>
  <c r="T860" i="5"/>
  <c r="U860" i="5"/>
  <c r="V860" i="5"/>
  <c r="W860" i="5"/>
  <c r="X860" i="5"/>
  <c r="B861" i="5"/>
  <c r="C861" i="5"/>
  <c r="D861" i="5"/>
  <c r="E861" i="5"/>
  <c r="F861" i="5"/>
  <c r="G861" i="5"/>
  <c r="H861" i="5"/>
  <c r="I861" i="5"/>
  <c r="J861" i="5"/>
  <c r="K861" i="5"/>
  <c r="L861" i="5"/>
  <c r="M861" i="5"/>
  <c r="N861" i="5"/>
  <c r="O861" i="5"/>
  <c r="P861" i="5"/>
  <c r="AC861" i="5" s="1"/>
  <c r="Q861" i="5"/>
  <c r="R861" i="5"/>
  <c r="S861" i="5"/>
  <c r="T861" i="5"/>
  <c r="U861" i="5"/>
  <c r="V861" i="5"/>
  <c r="W861" i="5"/>
  <c r="X861" i="5"/>
  <c r="B862" i="5"/>
  <c r="C862" i="5"/>
  <c r="D862" i="5"/>
  <c r="E862" i="5"/>
  <c r="F862" i="5"/>
  <c r="G862" i="5"/>
  <c r="H862" i="5"/>
  <c r="I862" i="5"/>
  <c r="J862" i="5"/>
  <c r="K862" i="5"/>
  <c r="L862" i="5"/>
  <c r="M862" i="5"/>
  <c r="N862" i="5"/>
  <c r="O862" i="5"/>
  <c r="P862" i="5"/>
  <c r="Q862" i="5"/>
  <c r="R862" i="5"/>
  <c r="S862" i="5"/>
  <c r="T862" i="5"/>
  <c r="U862" i="5"/>
  <c r="V862" i="5"/>
  <c r="W862" i="5"/>
  <c r="X862" i="5"/>
  <c r="B863" i="5"/>
  <c r="C863" i="5"/>
  <c r="D863" i="5"/>
  <c r="E863" i="5"/>
  <c r="F863" i="5"/>
  <c r="G863" i="5"/>
  <c r="H863" i="5"/>
  <c r="I863" i="5"/>
  <c r="J863" i="5"/>
  <c r="K863" i="5"/>
  <c r="L863" i="5"/>
  <c r="M863" i="5"/>
  <c r="N863" i="5"/>
  <c r="O863" i="5"/>
  <c r="P863" i="5"/>
  <c r="Q863" i="5"/>
  <c r="R863" i="5"/>
  <c r="S863" i="5"/>
  <c r="T863" i="5"/>
  <c r="U863" i="5"/>
  <c r="V863" i="5"/>
  <c r="W863" i="5"/>
  <c r="X863" i="5"/>
  <c r="B864" i="5"/>
  <c r="C864" i="5"/>
  <c r="D864" i="5"/>
  <c r="E864" i="5"/>
  <c r="F864" i="5"/>
  <c r="G864" i="5"/>
  <c r="H864" i="5"/>
  <c r="I864" i="5"/>
  <c r="J864" i="5"/>
  <c r="K864" i="5"/>
  <c r="L864" i="5"/>
  <c r="M864" i="5"/>
  <c r="N864" i="5"/>
  <c r="O864" i="5"/>
  <c r="P864" i="5"/>
  <c r="Q864" i="5"/>
  <c r="R864" i="5"/>
  <c r="S864" i="5"/>
  <c r="T864" i="5"/>
  <c r="U864" i="5"/>
  <c r="V864" i="5"/>
  <c r="W864" i="5"/>
  <c r="X864" i="5"/>
  <c r="B865" i="5"/>
  <c r="C865" i="5"/>
  <c r="D865" i="5"/>
  <c r="E865" i="5"/>
  <c r="F865" i="5"/>
  <c r="G865" i="5"/>
  <c r="H865" i="5"/>
  <c r="I865" i="5"/>
  <c r="J865" i="5"/>
  <c r="K865" i="5"/>
  <c r="L865" i="5"/>
  <c r="M865" i="5"/>
  <c r="N865" i="5"/>
  <c r="O865" i="5"/>
  <c r="P865" i="5"/>
  <c r="Q865" i="5"/>
  <c r="R865" i="5"/>
  <c r="S865" i="5"/>
  <c r="T865" i="5"/>
  <c r="U865" i="5"/>
  <c r="V865" i="5"/>
  <c r="W865" i="5"/>
  <c r="X865" i="5"/>
  <c r="B866" i="5"/>
  <c r="C866" i="5"/>
  <c r="D866" i="5"/>
  <c r="E866" i="5"/>
  <c r="F866" i="5"/>
  <c r="G866" i="5"/>
  <c r="H866" i="5"/>
  <c r="I866" i="5"/>
  <c r="J866" i="5"/>
  <c r="K866" i="5"/>
  <c r="L866" i="5"/>
  <c r="M866" i="5"/>
  <c r="N866" i="5"/>
  <c r="O866" i="5"/>
  <c r="P866" i="5"/>
  <c r="Q866" i="5"/>
  <c r="R866" i="5"/>
  <c r="S866" i="5"/>
  <c r="T866" i="5"/>
  <c r="U866" i="5"/>
  <c r="V866" i="5"/>
  <c r="W866" i="5"/>
  <c r="X866" i="5"/>
  <c r="B867" i="5"/>
  <c r="C867" i="5"/>
  <c r="D867" i="5"/>
  <c r="E867" i="5"/>
  <c r="F867" i="5"/>
  <c r="G867" i="5"/>
  <c r="H867" i="5"/>
  <c r="I867" i="5"/>
  <c r="J867" i="5"/>
  <c r="K867" i="5"/>
  <c r="L867" i="5"/>
  <c r="M867" i="5"/>
  <c r="N867" i="5"/>
  <c r="AC867" i="5" s="1"/>
  <c r="O867" i="5"/>
  <c r="P867" i="5"/>
  <c r="Q867" i="5"/>
  <c r="R867" i="5"/>
  <c r="S867" i="5"/>
  <c r="T867" i="5"/>
  <c r="U867" i="5"/>
  <c r="V867" i="5"/>
  <c r="W867" i="5"/>
  <c r="X867" i="5"/>
  <c r="B868" i="5"/>
  <c r="C868" i="5"/>
  <c r="D868" i="5"/>
  <c r="E868" i="5"/>
  <c r="F868" i="5"/>
  <c r="G868" i="5"/>
  <c r="H868" i="5"/>
  <c r="I868" i="5"/>
  <c r="J868" i="5"/>
  <c r="K868" i="5"/>
  <c r="L868" i="5"/>
  <c r="M868" i="5"/>
  <c r="N868" i="5"/>
  <c r="O868" i="5"/>
  <c r="P868" i="5"/>
  <c r="Q868" i="5"/>
  <c r="R868" i="5"/>
  <c r="S868" i="5"/>
  <c r="T868" i="5"/>
  <c r="U868" i="5"/>
  <c r="V868" i="5"/>
  <c r="W868" i="5"/>
  <c r="X868" i="5"/>
  <c r="B869" i="5"/>
  <c r="C869" i="5"/>
  <c r="D869" i="5"/>
  <c r="E869" i="5"/>
  <c r="F869" i="5"/>
  <c r="G869" i="5"/>
  <c r="H869" i="5"/>
  <c r="I869" i="5"/>
  <c r="J869" i="5"/>
  <c r="K869" i="5"/>
  <c r="L869" i="5"/>
  <c r="M869" i="5"/>
  <c r="N869" i="5"/>
  <c r="O869" i="5"/>
  <c r="P869" i="5"/>
  <c r="Q869" i="5"/>
  <c r="R869" i="5"/>
  <c r="S869" i="5"/>
  <c r="T869" i="5"/>
  <c r="U869" i="5"/>
  <c r="V869" i="5"/>
  <c r="W869" i="5"/>
  <c r="X869" i="5"/>
  <c r="AC869" i="5"/>
  <c r="B870" i="5"/>
  <c r="C870" i="5"/>
  <c r="D870" i="5"/>
  <c r="E870" i="5"/>
  <c r="F870" i="5"/>
  <c r="G870" i="5"/>
  <c r="H870" i="5"/>
  <c r="I870" i="5"/>
  <c r="J870" i="5"/>
  <c r="K870" i="5"/>
  <c r="L870" i="5"/>
  <c r="M870" i="5"/>
  <c r="N870" i="5"/>
  <c r="O870" i="5"/>
  <c r="P870" i="5"/>
  <c r="Q870" i="5"/>
  <c r="R870" i="5"/>
  <c r="S870" i="5"/>
  <c r="T870" i="5"/>
  <c r="U870" i="5"/>
  <c r="V870" i="5"/>
  <c r="W870" i="5"/>
  <c r="X870" i="5"/>
  <c r="B871" i="5"/>
  <c r="C871" i="5"/>
  <c r="D871" i="5"/>
  <c r="E871" i="5"/>
  <c r="F871" i="5"/>
  <c r="G871" i="5"/>
  <c r="H871" i="5"/>
  <c r="I871" i="5"/>
  <c r="J871" i="5"/>
  <c r="K871" i="5"/>
  <c r="L871" i="5"/>
  <c r="M871" i="5"/>
  <c r="N871" i="5"/>
  <c r="O871" i="5"/>
  <c r="P871" i="5"/>
  <c r="Q871" i="5"/>
  <c r="R871" i="5"/>
  <c r="S871" i="5"/>
  <c r="T871" i="5"/>
  <c r="U871" i="5"/>
  <c r="V871" i="5"/>
  <c r="W871" i="5"/>
  <c r="X871" i="5"/>
  <c r="B872" i="5"/>
  <c r="C872" i="5"/>
  <c r="D872" i="5"/>
  <c r="E872" i="5"/>
  <c r="F872" i="5"/>
  <c r="G872" i="5"/>
  <c r="H872" i="5"/>
  <c r="I872" i="5"/>
  <c r="J872" i="5"/>
  <c r="K872" i="5"/>
  <c r="L872" i="5"/>
  <c r="M872" i="5"/>
  <c r="N872" i="5"/>
  <c r="O872" i="5"/>
  <c r="P872" i="5"/>
  <c r="Q872" i="5"/>
  <c r="R872" i="5"/>
  <c r="S872" i="5"/>
  <c r="T872" i="5"/>
  <c r="U872" i="5"/>
  <c r="V872" i="5"/>
  <c r="W872" i="5"/>
  <c r="X872" i="5"/>
  <c r="B873" i="5"/>
  <c r="C873" i="5"/>
  <c r="D873" i="5"/>
  <c r="E873" i="5"/>
  <c r="F873" i="5"/>
  <c r="G873" i="5"/>
  <c r="H873" i="5"/>
  <c r="I873" i="5"/>
  <c r="J873" i="5"/>
  <c r="K873" i="5"/>
  <c r="L873" i="5"/>
  <c r="M873" i="5"/>
  <c r="N873" i="5"/>
  <c r="O873" i="5"/>
  <c r="P873" i="5"/>
  <c r="Q873" i="5"/>
  <c r="R873" i="5"/>
  <c r="S873" i="5"/>
  <c r="T873" i="5"/>
  <c r="U873" i="5"/>
  <c r="V873" i="5"/>
  <c r="W873" i="5"/>
  <c r="X873" i="5"/>
  <c r="B874" i="5"/>
  <c r="C874" i="5"/>
  <c r="D874" i="5"/>
  <c r="E874" i="5"/>
  <c r="F874" i="5"/>
  <c r="G874" i="5"/>
  <c r="H874" i="5"/>
  <c r="I874" i="5"/>
  <c r="J874" i="5"/>
  <c r="K874" i="5"/>
  <c r="L874" i="5"/>
  <c r="M874" i="5"/>
  <c r="N874" i="5"/>
  <c r="O874" i="5"/>
  <c r="P874" i="5"/>
  <c r="Q874" i="5"/>
  <c r="R874" i="5"/>
  <c r="S874" i="5"/>
  <c r="T874" i="5"/>
  <c r="U874" i="5"/>
  <c r="V874" i="5"/>
  <c r="W874" i="5"/>
  <c r="X874" i="5"/>
  <c r="B875" i="5"/>
  <c r="C875" i="5"/>
  <c r="D875" i="5"/>
  <c r="E875" i="5"/>
  <c r="F875" i="5"/>
  <c r="G875" i="5"/>
  <c r="H875" i="5"/>
  <c r="I875" i="5"/>
  <c r="J875" i="5"/>
  <c r="K875" i="5"/>
  <c r="L875" i="5"/>
  <c r="M875" i="5"/>
  <c r="N875" i="5"/>
  <c r="O875" i="5"/>
  <c r="P875" i="5"/>
  <c r="Q875" i="5"/>
  <c r="R875" i="5"/>
  <c r="S875" i="5"/>
  <c r="T875" i="5"/>
  <c r="U875" i="5"/>
  <c r="V875" i="5"/>
  <c r="W875" i="5"/>
  <c r="X875" i="5"/>
  <c r="B876" i="5"/>
  <c r="C876" i="5"/>
  <c r="D876" i="5"/>
  <c r="E876" i="5"/>
  <c r="F876" i="5"/>
  <c r="G876" i="5"/>
  <c r="H876" i="5"/>
  <c r="I876" i="5"/>
  <c r="J876" i="5"/>
  <c r="K876" i="5"/>
  <c r="L876" i="5"/>
  <c r="M876" i="5"/>
  <c r="N876" i="5"/>
  <c r="O876" i="5"/>
  <c r="P876" i="5"/>
  <c r="Q876" i="5"/>
  <c r="R876" i="5"/>
  <c r="S876" i="5"/>
  <c r="T876" i="5"/>
  <c r="U876" i="5"/>
  <c r="V876" i="5"/>
  <c r="W876" i="5"/>
  <c r="X876" i="5"/>
  <c r="B877" i="5"/>
  <c r="C877" i="5"/>
  <c r="D877" i="5"/>
  <c r="E877" i="5"/>
  <c r="F877" i="5"/>
  <c r="G877" i="5"/>
  <c r="H877" i="5"/>
  <c r="I877" i="5"/>
  <c r="J877" i="5"/>
  <c r="K877" i="5"/>
  <c r="L877" i="5"/>
  <c r="M877" i="5"/>
  <c r="N877" i="5"/>
  <c r="O877" i="5"/>
  <c r="P877" i="5"/>
  <c r="Q877" i="5"/>
  <c r="R877" i="5"/>
  <c r="S877" i="5"/>
  <c r="T877" i="5"/>
  <c r="U877" i="5"/>
  <c r="V877" i="5"/>
  <c r="W877" i="5"/>
  <c r="X877" i="5"/>
  <c r="AC877" i="5"/>
  <c r="B878" i="5"/>
  <c r="C878" i="5"/>
  <c r="D878" i="5"/>
  <c r="E878" i="5"/>
  <c r="F878" i="5"/>
  <c r="G878" i="5"/>
  <c r="H878" i="5"/>
  <c r="I878" i="5"/>
  <c r="J878" i="5"/>
  <c r="K878" i="5"/>
  <c r="L878" i="5"/>
  <c r="M878" i="5"/>
  <c r="N878" i="5"/>
  <c r="O878" i="5"/>
  <c r="P878" i="5"/>
  <c r="Q878" i="5"/>
  <c r="R878" i="5"/>
  <c r="S878" i="5"/>
  <c r="T878" i="5"/>
  <c r="U878" i="5"/>
  <c r="V878" i="5"/>
  <c r="W878" i="5"/>
  <c r="X878" i="5"/>
  <c r="B879" i="5"/>
  <c r="C879" i="5"/>
  <c r="D879" i="5"/>
  <c r="E879" i="5"/>
  <c r="F879" i="5"/>
  <c r="G879" i="5"/>
  <c r="H879" i="5"/>
  <c r="I879" i="5"/>
  <c r="J879" i="5"/>
  <c r="K879" i="5"/>
  <c r="L879" i="5"/>
  <c r="M879" i="5"/>
  <c r="N879" i="5"/>
  <c r="O879" i="5"/>
  <c r="P879" i="5"/>
  <c r="Q879" i="5"/>
  <c r="R879" i="5"/>
  <c r="S879" i="5"/>
  <c r="T879" i="5"/>
  <c r="U879" i="5"/>
  <c r="V879" i="5"/>
  <c r="W879" i="5"/>
  <c r="X879" i="5"/>
  <c r="B880" i="5"/>
  <c r="C880" i="5"/>
  <c r="D880" i="5"/>
  <c r="E880" i="5"/>
  <c r="F880" i="5"/>
  <c r="G880" i="5"/>
  <c r="H880" i="5"/>
  <c r="I880" i="5"/>
  <c r="J880" i="5"/>
  <c r="K880" i="5"/>
  <c r="L880" i="5"/>
  <c r="M880" i="5"/>
  <c r="N880" i="5"/>
  <c r="O880" i="5"/>
  <c r="P880" i="5"/>
  <c r="Q880" i="5"/>
  <c r="R880" i="5"/>
  <c r="S880" i="5"/>
  <c r="T880" i="5"/>
  <c r="U880" i="5"/>
  <c r="V880" i="5"/>
  <c r="W880" i="5"/>
  <c r="X880" i="5"/>
  <c r="B881" i="5"/>
  <c r="C881" i="5"/>
  <c r="D881" i="5"/>
  <c r="E881" i="5"/>
  <c r="F881" i="5"/>
  <c r="G881" i="5"/>
  <c r="H881" i="5"/>
  <c r="I881" i="5"/>
  <c r="J881" i="5"/>
  <c r="K881" i="5"/>
  <c r="L881" i="5"/>
  <c r="M881" i="5"/>
  <c r="N881" i="5"/>
  <c r="O881" i="5"/>
  <c r="P881" i="5"/>
  <c r="Q881" i="5"/>
  <c r="R881" i="5"/>
  <c r="S881" i="5"/>
  <c r="T881" i="5"/>
  <c r="U881" i="5"/>
  <c r="V881" i="5"/>
  <c r="W881" i="5"/>
  <c r="X881" i="5"/>
  <c r="B882" i="5"/>
  <c r="C882" i="5"/>
  <c r="D882" i="5"/>
  <c r="E882" i="5"/>
  <c r="F882" i="5"/>
  <c r="G882" i="5"/>
  <c r="H882" i="5"/>
  <c r="I882" i="5"/>
  <c r="J882" i="5"/>
  <c r="K882" i="5"/>
  <c r="L882" i="5"/>
  <c r="M882" i="5"/>
  <c r="AC882" i="5" s="1"/>
  <c r="N882" i="5"/>
  <c r="O882" i="5"/>
  <c r="P882" i="5"/>
  <c r="Q882" i="5"/>
  <c r="R882" i="5"/>
  <c r="S882" i="5"/>
  <c r="T882" i="5"/>
  <c r="U882" i="5"/>
  <c r="V882" i="5"/>
  <c r="W882" i="5"/>
  <c r="X882" i="5"/>
  <c r="B883" i="5"/>
  <c r="C883" i="5"/>
  <c r="D883" i="5"/>
  <c r="E883" i="5"/>
  <c r="F883" i="5"/>
  <c r="G883" i="5"/>
  <c r="H883" i="5"/>
  <c r="I883" i="5"/>
  <c r="J883" i="5"/>
  <c r="K883" i="5"/>
  <c r="L883" i="5"/>
  <c r="M883" i="5"/>
  <c r="N883" i="5"/>
  <c r="AC883" i="5" s="1"/>
  <c r="O883" i="5"/>
  <c r="P883" i="5"/>
  <c r="Q883" i="5"/>
  <c r="R883" i="5"/>
  <c r="S883" i="5"/>
  <c r="T883" i="5"/>
  <c r="U883" i="5"/>
  <c r="V883" i="5"/>
  <c r="W883" i="5"/>
  <c r="X883" i="5"/>
  <c r="B884" i="5"/>
  <c r="C884" i="5"/>
  <c r="D884" i="5"/>
  <c r="E884" i="5"/>
  <c r="F884" i="5"/>
  <c r="G884" i="5"/>
  <c r="H884" i="5"/>
  <c r="I884" i="5"/>
  <c r="J884" i="5"/>
  <c r="K884" i="5"/>
  <c r="L884" i="5"/>
  <c r="M884" i="5"/>
  <c r="N884" i="5"/>
  <c r="O884" i="5"/>
  <c r="AC884" i="5" s="1"/>
  <c r="P884" i="5"/>
  <c r="Q884" i="5"/>
  <c r="R884" i="5"/>
  <c r="S884" i="5"/>
  <c r="T884" i="5"/>
  <c r="U884" i="5"/>
  <c r="V884" i="5"/>
  <c r="W884" i="5"/>
  <c r="X884" i="5"/>
  <c r="B885" i="5"/>
  <c r="C885" i="5"/>
  <c r="D885" i="5"/>
  <c r="E885" i="5"/>
  <c r="F885" i="5"/>
  <c r="G885" i="5"/>
  <c r="H885" i="5"/>
  <c r="I885" i="5"/>
  <c r="J885" i="5"/>
  <c r="K885" i="5"/>
  <c r="L885" i="5"/>
  <c r="M885" i="5"/>
  <c r="N885" i="5"/>
  <c r="O885" i="5"/>
  <c r="P885" i="5"/>
  <c r="Q885" i="5"/>
  <c r="R885" i="5"/>
  <c r="S885" i="5"/>
  <c r="T885" i="5"/>
  <c r="U885" i="5"/>
  <c r="V885" i="5"/>
  <c r="W885" i="5"/>
  <c r="X885" i="5"/>
  <c r="AB885" i="5"/>
  <c r="AC885" i="5"/>
  <c r="B886" i="5"/>
  <c r="C886" i="5"/>
  <c r="D886" i="5"/>
  <c r="E886" i="5"/>
  <c r="F886" i="5"/>
  <c r="G886" i="5"/>
  <c r="H886" i="5"/>
  <c r="AB886" i="5" s="1"/>
  <c r="I886" i="5"/>
  <c r="J886" i="5"/>
  <c r="K886" i="5"/>
  <c r="L886" i="5"/>
  <c r="M886" i="5"/>
  <c r="N886" i="5"/>
  <c r="O886" i="5"/>
  <c r="P886" i="5"/>
  <c r="Q886" i="5"/>
  <c r="R886" i="5"/>
  <c r="S886" i="5"/>
  <c r="T886" i="5"/>
  <c r="U886" i="5"/>
  <c r="V886" i="5"/>
  <c r="W886" i="5"/>
  <c r="X886" i="5"/>
  <c r="B887" i="5"/>
  <c r="C887" i="5"/>
  <c r="D887" i="5"/>
  <c r="E887" i="5"/>
  <c r="F887" i="5"/>
  <c r="G887" i="5"/>
  <c r="H887" i="5"/>
  <c r="I887" i="5"/>
  <c r="J887" i="5"/>
  <c r="K887" i="5"/>
  <c r="L887" i="5"/>
  <c r="M887" i="5"/>
  <c r="N887" i="5"/>
  <c r="O887" i="5"/>
  <c r="P887" i="5"/>
  <c r="Q887" i="5"/>
  <c r="R887" i="5"/>
  <c r="S887" i="5"/>
  <c r="T887" i="5"/>
  <c r="U887" i="5"/>
  <c r="V887" i="5"/>
  <c r="W887" i="5"/>
  <c r="X887" i="5"/>
  <c r="B888" i="5"/>
  <c r="C888" i="5"/>
  <c r="D888" i="5"/>
  <c r="E888" i="5"/>
  <c r="F888" i="5"/>
  <c r="G888" i="5"/>
  <c r="H888" i="5"/>
  <c r="I888" i="5"/>
  <c r="J888" i="5"/>
  <c r="K888" i="5"/>
  <c r="L888" i="5"/>
  <c r="M888" i="5"/>
  <c r="N888" i="5"/>
  <c r="O888" i="5"/>
  <c r="P888" i="5"/>
  <c r="Q888" i="5"/>
  <c r="R888" i="5"/>
  <c r="S888" i="5"/>
  <c r="T888" i="5"/>
  <c r="U888" i="5"/>
  <c r="V888" i="5"/>
  <c r="W888" i="5"/>
  <c r="X888" i="5"/>
  <c r="B889" i="5"/>
  <c r="C889" i="5"/>
  <c r="D889" i="5"/>
  <c r="E889" i="5"/>
  <c r="F889" i="5"/>
  <c r="G889" i="5"/>
  <c r="H889" i="5"/>
  <c r="I889" i="5"/>
  <c r="J889" i="5"/>
  <c r="K889" i="5"/>
  <c r="L889" i="5"/>
  <c r="M889" i="5"/>
  <c r="N889" i="5"/>
  <c r="O889" i="5"/>
  <c r="P889" i="5"/>
  <c r="Q889" i="5"/>
  <c r="R889" i="5"/>
  <c r="S889" i="5"/>
  <c r="T889" i="5"/>
  <c r="U889" i="5"/>
  <c r="V889" i="5"/>
  <c r="W889" i="5"/>
  <c r="X889" i="5"/>
  <c r="B890" i="5"/>
  <c r="C890" i="5"/>
  <c r="D890" i="5"/>
  <c r="E890" i="5"/>
  <c r="F890" i="5"/>
  <c r="G890" i="5"/>
  <c r="H890" i="5"/>
  <c r="I890" i="5"/>
  <c r="J890" i="5"/>
  <c r="K890" i="5"/>
  <c r="L890" i="5"/>
  <c r="M890" i="5"/>
  <c r="N890" i="5"/>
  <c r="O890" i="5"/>
  <c r="P890" i="5"/>
  <c r="Q890" i="5"/>
  <c r="R890" i="5"/>
  <c r="S890" i="5"/>
  <c r="T890" i="5"/>
  <c r="U890" i="5"/>
  <c r="V890" i="5"/>
  <c r="W890" i="5"/>
  <c r="X890" i="5"/>
  <c r="B891" i="5"/>
  <c r="C891" i="5"/>
  <c r="D891" i="5"/>
  <c r="E891" i="5"/>
  <c r="F891" i="5"/>
  <c r="G891" i="5"/>
  <c r="H891" i="5"/>
  <c r="I891" i="5"/>
  <c r="J891" i="5"/>
  <c r="K891" i="5"/>
  <c r="L891" i="5"/>
  <c r="M891" i="5"/>
  <c r="N891" i="5"/>
  <c r="O891" i="5"/>
  <c r="P891" i="5"/>
  <c r="Q891" i="5"/>
  <c r="R891" i="5"/>
  <c r="S891" i="5"/>
  <c r="T891" i="5"/>
  <c r="U891" i="5"/>
  <c r="V891" i="5"/>
  <c r="W891" i="5"/>
  <c r="X891" i="5"/>
  <c r="B892" i="5"/>
  <c r="C892" i="5"/>
  <c r="D892" i="5"/>
  <c r="E892" i="5"/>
  <c r="F892" i="5"/>
  <c r="G892" i="5"/>
  <c r="H892" i="5"/>
  <c r="I892" i="5"/>
  <c r="J892" i="5"/>
  <c r="K892" i="5"/>
  <c r="L892" i="5"/>
  <c r="M892" i="5"/>
  <c r="N892" i="5"/>
  <c r="AC892" i="5" s="1"/>
  <c r="O892" i="5"/>
  <c r="P892" i="5"/>
  <c r="Q892" i="5"/>
  <c r="R892" i="5"/>
  <c r="S892" i="5"/>
  <c r="T892" i="5"/>
  <c r="U892" i="5"/>
  <c r="V892" i="5"/>
  <c r="W892" i="5"/>
  <c r="X892" i="5"/>
  <c r="B893" i="5"/>
  <c r="C893" i="5"/>
  <c r="D893" i="5"/>
  <c r="E893" i="5"/>
  <c r="F893" i="5"/>
  <c r="G893" i="5"/>
  <c r="H893" i="5"/>
  <c r="I893" i="5"/>
  <c r="J893" i="5"/>
  <c r="K893" i="5"/>
  <c r="L893" i="5"/>
  <c r="M893" i="5"/>
  <c r="N893" i="5"/>
  <c r="O893" i="5"/>
  <c r="P893" i="5"/>
  <c r="Q893" i="5"/>
  <c r="R893" i="5"/>
  <c r="S893" i="5"/>
  <c r="T893" i="5"/>
  <c r="U893" i="5"/>
  <c r="V893" i="5"/>
  <c r="W893" i="5"/>
  <c r="X893" i="5"/>
  <c r="B894" i="5"/>
  <c r="C894" i="5"/>
  <c r="D894" i="5"/>
  <c r="E894" i="5"/>
  <c r="F894" i="5"/>
  <c r="G894" i="5"/>
  <c r="H894" i="5"/>
  <c r="I894" i="5"/>
  <c r="J894" i="5"/>
  <c r="K894" i="5"/>
  <c r="L894" i="5"/>
  <c r="M894" i="5"/>
  <c r="N894" i="5"/>
  <c r="O894" i="5"/>
  <c r="P894" i="5"/>
  <c r="Q894" i="5"/>
  <c r="R894" i="5"/>
  <c r="S894" i="5"/>
  <c r="T894" i="5"/>
  <c r="U894" i="5"/>
  <c r="V894" i="5"/>
  <c r="W894" i="5"/>
  <c r="X894" i="5"/>
  <c r="AB894" i="5"/>
  <c r="B895" i="5"/>
  <c r="C895" i="5"/>
  <c r="D895" i="5"/>
  <c r="E895" i="5"/>
  <c r="F895" i="5"/>
  <c r="G895" i="5"/>
  <c r="H895" i="5"/>
  <c r="I895" i="5"/>
  <c r="J895" i="5"/>
  <c r="K895" i="5"/>
  <c r="L895" i="5"/>
  <c r="M895" i="5"/>
  <c r="N895" i="5"/>
  <c r="O895" i="5"/>
  <c r="P895" i="5"/>
  <c r="Q895" i="5"/>
  <c r="R895" i="5"/>
  <c r="S895" i="5"/>
  <c r="T895" i="5"/>
  <c r="U895" i="5"/>
  <c r="V895" i="5"/>
  <c r="W895" i="5"/>
  <c r="X895" i="5"/>
  <c r="AC895" i="5"/>
  <c r="B896" i="5"/>
  <c r="C896" i="5"/>
  <c r="D896" i="5"/>
  <c r="E896" i="5"/>
  <c r="F896" i="5"/>
  <c r="G896" i="5"/>
  <c r="H896" i="5"/>
  <c r="I896" i="5"/>
  <c r="J896" i="5"/>
  <c r="K896" i="5"/>
  <c r="L896" i="5"/>
  <c r="M896" i="5"/>
  <c r="N896" i="5"/>
  <c r="O896" i="5"/>
  <c r="P896" i="5"/>
  <c r="Q896" i="5"/>
  <c r="R896" i="5"/>
  <c r="S896" i="5"/>
  <c r="T896" i="5"/>
  <c r="U896" i="5"/>
  <c r="V896" i="5"/>
  <c r="W896" i="5"/>
  <c r="X896" i="5"/>
  <c r="AB896" i="5"/>
  <c r="B897" i="5"/>
  <c r="C897" i="5"/>
  <c r="D897" i="5"/>
  <c r="E897" i="5"/>
  <c r="F897" i="5"/>
  <c r="G897" i="5"/>
  <c r="H897" i="5"/>
  <c r="I897" i="5"/>
  <c r="J897" i="5"/>
  <c r="K897" i="5"/>
  <c r="L897" i="5"/>
  <c r="M897" i="5"/>
  <c r="N897" i="5"/>
  <c r="O897" i="5"/>
  <c r="P897" i="5"/>
  <c r="Q897" i="5"/>
  <c r="R897" i="5"/>
  <c r="S897" i="5"/>
  <c r="T897" i="5"/>
  <c r="U897" i="5"/>
  <c r="V897" i="5"/>
  <c r="W897" i="5"/>
  <c r="X897" i="5"/>
  <c r="B898" i="5"/>
  <c r="C898" i="5"/>
  <c r="D898" i="5"/>
  <c r="E898" i="5"/>
  <c r="F898" i="5"/>
  <c r="G898" i="5"/>
  <c r="H898" i="5"/>
  <c r="I898" i="5"/>
  <c r="J898" i="5"/>
  <c r="K898" i="5"/>
  <c r="L898" i="5"/>
  <c r="M898" i="5"/>
  <c r="AC898" i="5" s="1"/>
  <c r="N898" i="5"/>
  <c r="O898" i="5"/>
  <c r="P898" i="5"/>
  <c r="Q898" i="5"/>
  <c r="R898" i="5"/>
  <c r="S898" i="5"/>
  <c r="T898" i="5"/>
  <c r="U898" i="5"/>
  <c r="V898" i="5"/>
  <c r="W898" i="5"/>
  <c r="X898" i="5"/>
  <c r="B899" i="5"/>
  <c r="C899" i="5"/>
  <c r="D899" i="5"/>
  <c r="E899" i="5"/>
  <c r="F899" i="5"/>
  <c r="G899" i="5"/>
  <c r="H899" i="5"/>
  <c r="I899" i="5"/>
  <c r="J899" i="5"/>
  <c r="K899" i="5"/>
  <c r="L899" i="5"/>
  <c r="M899" i="5"/>
  <c r="N899" i="5"/>
  <c r="AC899" i="5" s="1"/>
  <c r="O899" i="5"/>
  <c r="P899" i="5"/>
  <c r="Q899" i="5"/>
  <c r="R899" i="5"/>
  <c r="S899" i="5"/>
  <c r="T899" i="5"/>
  <c r="U899" i="5"/>
  <c r="V899" i="5"/>
  <c r="W899" i="5"/>
  <c r="X899" i="5"/>
  <c r="B900" i="5"/>
  <c r="C900" i="5"/>
  <c r="D900" i="5"/>
  <c r="E900" i="5"/>
  <c r="F900" i="5"/>
  <c r="G900" i="5"/>
  <c r="H900" i="5"/>
  <c r="I900" i="5"/>
  <c r="J900" i="5"/>
  <c r="K900" i="5"/>
  <c r="L900" i="5"/>
  <c r="M900" i="5"/>
  <c r="N900" i="5"/>
  <c r="O900" i="5"/>
  <c r="P900" i="5"/>
  <c r="Q900" i="5"/>
  <c r="R900" i="5"/>
  <c r="S900" i="5"/>
  <c r="T900" i="5"/>
  <c r="U900" i="5"/>
  <c r="V900" i="5"/>
  <c r="W900" i="5"/>
  <c r="X900" i="5"/>
  <c r="B901" i="5"/>
  <c r="C901" i="5"/>
  <c r="D901" i="5"/>
  <c r="E901" i="5"/>
  <c r="F901" i="5"/>
  <c r="G901" i="5"/>
  <c r="H901" i="5"/>
  <c r="I901" i="5"/>
  <c r="J901" i="5"/>
  <c r="K901" i="5"/>
  <c r="L901" i="5"/>
  <c r="M901" i="5"/>
  <c r="N901" i="5"/>
  <c r="O901" i="5"/>
  <c r="P901" i="5"/>
  <c r="AC901" i="5" s="1"/>
  <c r="Q901" i="5"/>
  <c r="R901" i="5"/>
  <c r="S901" i="5"/>
  <c r="T901" i="5"/>
  <c r="U901" i="5"/>
  <c r="V901" i="5"/>
  <c r="W901" i="5"/>
  <c r="X901" i="5"/>
  <c r="B902" i="5"/>
  <c r="C902" i="5"/>
  <c r="D902" i="5"/>
  <c r="E902" i="5"/>
  <c r="F902" i="5"/>
  <c r="G902" i="5"/>
  <c r="H902" i="5"/>
  <c r="I902" i="5"/>
  <c r="J902" i="5"/>
  <c r="K902" i="5"/>
  <c r="L902" i="5"/>
  <c r="M902" i="5"/>
  <c r="N902" i="5"/>
  <c r="O902" i="5"/>
  <c r="P902" i="5"/>
  <c r="Q902" i="5"/>
  <c r="R902" i="5"/>
  <c r="S902" i="5"/>
  <c r="T902" i="5"/>
  <c r="U902" i="5"/>
  <c r="V902" i="5"/>
  <c r="W902" i="5"/>
  <c r="X902" i="5"/>
  <c r="B903" i="5"/>
  <c r="C903" i="5"/>
  <c r="D903" i="5"/>
  <c r="E903" i="5"/>
  <c r="F903" i="5"/>
  <c r="G903" i="5"/>
  <c r="H903" i="5"/>
  <c r="I903" i="5"/>
  <c r="J903" i="5"/>
  <c r="K903" i="5"/>
  <c r="L903" i="5"/>
  <c r="M903" i="5"/>
  <c r="N903" i="5"/>
  <c r="O903" i="5"/>
  <c r="P903" i="5"/>
  <c r="Q903" i="5"/>
  <c r="R903" i="5"/>
  <c r="S903" i="5"/>
  <c r="T903" i="5"/>
  <c r="U903" i="5"/>
  <c r="V903" i="5"/>
  <c r="W903" i="5"/>
  <c r="X903" i="5"/>
  <c r="AC903" i="5"/>
  <c r="B904" i="5"/>
  <c r="C904" i="5"/>
  <c r="D904" i="5"/>
  <c r="E904" i="5"/>
  <c r="F904" i="5"/>
  <c r="G904" i="5"/>
  <c r="H904" i="5"/>
  <c r="I904" i="5"/>
  <c r="J904" i="5"/>
  <c r="K904" i="5"/>
  <c r="L904" i="5"/>
  <c r="M904" i="5"/>
  <c r="N904" i="5"/>
  <c r="O904" i="5"/>
  <c r="P904" i="5"/>
  <c r="Q904" i="5"/>
  <c r="R904" i="5"/>
  <c r="S904" i="5"/>
  <c r="T904" i="5"/>
  <c r="U904" i="5"/>
  <c r="V904" i="5"/>
  <c r="W904" i="5"/>
  <c r="X904" i="5"/>
  <c r="AB904" i="5"/>
  <c r="B905" i="5"/>
  <c r="C905" i="5"/>
  <c r="D905" i="5"/>
  <c r="E905" i="5"/>
  <c r="F905" i="5"/>
  <c r="G905" i="5"/>
  <c r="H905" i="5"/>
  <c r="I905" i="5"/>
  <c r="J905" i="5"/>
  <c r="K905" i="5"/>
  <c r="L905" i="5"/>
  <c r="M905" i="5"/>
  <c r="N905" i="5"/>
  <c r="O905" i="5"/>
  <c r="P905" i="5"/>
  <c r="Q905" i="5"/>
  <c r="R905" i="5"/>
  <c r="S905" i="5"/>
  <c r="T905" i="5"/>
  <c r="U905" i="5"/>
  <c r="V905" i="5"/>
  <c r="W905" i="5"/>
  <c r="X905" i="5"/>
  <c r="B906" i="5"/>
  <c r="C906" i="5"/>
  <c r="D906" i="5"/>
  <c r="E906" i="5"/>
  <c r="F906" i="5"/>
  <c r="G906" i="5"/>
  <c r="H906" i="5"/>
  <c r="I906" i="5"/>
  <c r="J906" i="5"/>
  <c r="K906" i="5"/>
  <c r="L906" i="5"/>
  <c r="M906" i="5"/>
  <c r="N906" i="5"/>
  <c r="O906" i="5"/>
  <c r="P906" i="5"/>
  <c r="Q906" i="5"/>
  <c r="R906" i="5"/>
  <c r="S906" i="5"/>
  <c r="T906" i="5"/>
  <c r="U906" i="5"/>
  <c r="V906" i="5"/>
  <c r="W906" i="5"/>
  <c r="X906" i="5"/>
  <c r="B907" i="5"/>
  <c r="C907" i="5"/>
  <c r="D907" i="5"/>
  <c r="E907" i="5"/>
  <c r="F907" i="5"/>
  <c r="G907" i="5"/>
  <c r="H907" i="5"/>
  <c r="I907" i="5"/>
  <c r="J907" i="5"/>
  <c r="K907" i="5"/>
  <c r="L907" i="5"/>
  <c r="M907" i="5"/>
  <c r="N907" i="5"/>
  <c r="O907" i="5"/>
  <c r="P907" i="5"/>
  <c r="Q907" i="5"/>
  <c r="R907" i="5"/>
  <c r="S907" i="5"/>
  <c r="T907" i="5"/>
  <c r="U907" i="5"/>
  <c r="V907" i="5"/>
  <c r="W907" i="5"/>
  <c r="X907" i="5"/>
  <c r="B908" i="5"/>
  <c r="C908" i="5"/>
  <c r="D908" i="5"/>
  <c r="E908" i="5"/>
  <c r="F908" i="5"/>
  <c r="G908" i="5"/>
  <c r="H908" i="5"/>
  <c r="I908" i="5"/>
  <c r="J908" i="5"/>
  <c r="K908" i="5"/>
  <c r="L908" i="5"/>
  <c r="M908" i="5"/>
  <c r="N908" i="5"/>
  <c r="O908" i="5"/>
  <c r="P908" i="5"/>
  <c r="Q908" i="5"/>
  <c r="R908" i="5"/>
  <c r="S908" i="5"/>
  <c r="T908" i="5"/>
  <c r="U908" i="5"/>
  <c r="V908" i="5"/>
  <c r="W908" i="5"/>
  <c r="X908" i="5"/>
  <c r="B909" i="5"/>
  <c r="C909" i="5"/>
  <c r="D909" i="5"/>
  <c r="E909" i="5"/>
  <c r="F909" i="5"/>
  <c r="G909" i="5"/>
  <c r="H909" i="5"/>
  <c r="I909" i="5"/>
  <c r="J909" i="5"/>
  <c r="K909" i="5"/>
  <c r="L909" i="5"/>
  <c r="M909" i="5"/>
  <c r="N909" i="5"/>
  <c r="O909" i="5"/>
  <c r="P909" i="5"/>
  <c r="Q909" i="5"/>
  <c r="R909" i="5"/>
  <c r="S909" i="5"/>
  <c r="T909" i="5"/>
  <c r="U909" i="5"/>
  <c r="V909" i="5"/>
  <c r="W909" i="5"/>
  <c r="X909" i="5"/>
  <c r="B910" i="5"/>
  <c r="C910" i="5"/>
  <c r="D910" i="5"/>
  <c r="E910" i="5"/>
  <c r="F910" i="5"/>
  <c r="G910" i="5"/>
  <c r="H910" i="5"/>
  <c r="I910" i="5"/>
  <c r="J910" i="5"/>
  <c r="K910" i="5"/>
  <c r="L910" i="5"/>
  <c r="M910" i="5"/>
  <c r="N910" i="5"/>
  <c r="O910" i="5"/>
  <c r="P910" i="5"/>
  <c r="Q910" i="5"/>
  <c r="R910" i="5"/>
  <c r="S910" i="5"/>
  <c r="T910" i="5"/>
  <c r="U910" i="5"/>
  <c r="V910" i="5"/>
  <c r="W910" i="5"/>
  <c r="X910" i="5"/>
  <c r="B911" i="5"/>
  <c r="C911" i="5"/>
  <c r="D911" i="5"/>
  <c r="E911" i="5"/>
  <c r="F911" i="5"/>
  <c r="G911" i="5"/>
  <c r="H911" i="5"/>
  <c r="I911" i="5"/>
  <c r="J911" i="5"/>
  <c r="K911" i="5"/>
  <c r="L911" i="5"/>
  <c r="M911" i="5"/>
  <c r="N911" i="5"/>
  <c r="O911" i="5"/>
  <c r="P911" i="5"/>
  <c r="Q911" i="5"/>
  <c r="R911" i="5"/>
  <c r="S911" i="5"/>
  <c r="T911" i="5"/>
  <c r="U911" i="5"/>
  <c r="V911" i="5"/>
  <c r="W911" i="5"/>
  <c r="X911" i="5"/>
  <c r="B912" i="5"/>
  <c r="C912" i="5"/>
  <c r="D912" i="5"/>
  <c r="E912" i="5"/>
  <c r="F912" i="5"/>
  <c r="G912" i="5"/>
  <c r="H912" i="5"/>
  <c r="I912" i="5"/>
  <c r="J912" i="5"/>
  <c r="K912" i="5"/>
  <c r="L912" i="5"/>
  <c r="M912" i="5"/>
  <c r="N912" i="5"/>
  <c r="O912" i="5"/>
  <c r="P912" i="5"/>
  <c r="Q912" i="5"/>
  <c r="R912" i="5"/>
  <c r="S912" i="5"/>
  <c r="T912" i="5"/>
  <c r="U912" i="5"/>
  <c r="V912" i="5"/>
  <c r="W912" i="5"/>
  <c r="X912" i="5"/>
  <c r="B913" i="5"/>
  <c r="C913" i="5"/>
  <c r="D913" i="5"/>
  <c r="E913" i="5"/>
  <c r="F913" i="5"/>
  <c r="G913" i="5"/>
  <c r="H913" i="5"/>
  <c r="I913" i="5"/>
  <c r="J913" i="5"/>
  <c r="K913" i="5"/>
  <c r="L913" i="5"/>
  <c r="M913" i="5"/>
  <c r="N913" i="5"/>
  <c r="O913" i="5"/>
  <c r="P913" i="5"/>
  <c r="Q913" i="5"/>
  <c r="R913" i="5"/>
  <c r="S913" i="5"/>
  <c r="T913" i="5"/>
  <c r="U913" i="5"/>
  <c r="V913" i="5"/>
  <c r="W913" i="5"/>
  <c r="X913" i="5"/>
  <c r="B914" i="5"/>
  <c r="C914" i="5"/>
  <c r="D914" i="5"/>
  <c r="E914" i="5"/>
  <c r="F914" i="5"/>
  <c r="G914" i="5"/>
  <c r="H914" i="5"/>
  <c r="I914" i="5"/>
  <c r="J914" i="5"/>
  <c r="K914" i="5"/>
  <c r="L914" i="5"/>
  <c r="M914" i="5"/>
  <c r="N914" i="5"/>
  <c r="O914" i="5"/>
  <c r="P914" i="5"/>
  <c r="Q914" i="5"/>
  <c r="R914" i="5"/>
  <c r="S914" i="5"/>
  <c r="T914" i="5"/>
  <c r="U914" i="5"/>
  <c r="V914" i="5"/>
  <c r="W914" i="5"/>
  <c r="X914" i="5"/>
  <c r="B915" i="5"/>
  <c r="C915" i="5"/>
  <c r="D915" i="5"/>
  <c r="E915" i="5"/>
  <c r="F915" i="5"/>
  <c r="G915" i="5"/>
  <c r="H915" i="5"/>
  <c r="I915" i="5"/>
  <c r="J915" i="5"/>
  <c r="K915" i="5"/>
  <c r="L915" i="5"/>
  <c r="M915" i="5"/>
  <c r="N915" i="5"/>
  <c r="AC915" i="5" s="1"/>
  <c r="O915" i="5"/>
  <c r="P915" i="5"/>
  <c r="Q915" i="5"/>
  <c r="R915" i="5"/>
  <c r="S915" i="5"/>
  <c r="T915" i="5"/>
  <c r="U915" i="5"/>
  <c r="V915" i="5"/>
  <c r="W915" i="5"/>
  <c r="X915" i="5"/>
  <c r="B916" i="5"/>
  <c r="C916" i="5"/>
  <c r="D916" i="5"/>
  <c r="E916" i="5"/>
  <c r="F916" i="5"/>
  <c r="G916" i="5"/>
  <c r="H916" i="5"/>
  <c r="I916" i="5"/>
  <c r="J916" i="5"/>
  <c r="K916" i="5"/>
  <c r="L916" i="5"/>
  <c r="M916" i="5"/>
  <c r="N916" i="5"/>
  <c r="O916" i="5"/>
  <c r="AC916" i="5" s="1"/>
  <c r="P916" i="5"/>
  <c r="Q916" i="5"/>
  <c r="R916" i="5"/>
  <c r="S916" i="5"/>
  <c r="T916" i="5"/>
  <c r="U916" i="5"/>
  <c r="V916" i="5"/>
  <c r="W916" i="5"/>
  <c r="X916" i="5"/>
  <c r="B917" i="5"/>
  <c r="C917" i="5"/>
  <c r="D917" i="5"/>
  <c r="E917" i="5"/>
  <c r="F917" i="5"/>
  <c r="G917" i="5"/>
  <c r="H917" i="5"/>
  <c r="I917" i="5"/>
  <c r="J917" i="5"/>
  <c r="K917" i="5"/>
  <c r="L917" i="5"/>
  <c r="M917" i="5"/>
  <c r="N917" i="5"/>
  <c r="O917" i="5"/>
  <c r="AC917" i="5" s="1"/>
  <c r="P917" i="5"/>
  <c r="Q917" i="5"/>
  <c r="R917" i="5"/>
  <c r="S917" i="5"/>
  <c r="T917" i="5"/>
  <c r="U917" i="5"/>
  <c r="V917" i="5"/>
  <c r="W917" i="5"/>
  <c r="X917" i="5"/>
  <c r="AB917" i="5"/>
  <c r="B918" i="5"/>
  <c r="C918" i="5"/>
  <c r="D918" i="5"/>
  <c r="E918" i="5"/>
  <c r="F918" i="5"/>
  <c r="G918" i="5"/>
  <c r="H918" i="5"/>
  <c r="AB918" i="5" s="1"/>
  <c r="I918" i="5"/>
  <c r="J918" i="5"/>
  <c r="K918" i="5"/>
  <c r="L918" i="5"/>
  <c r="M918" i="5"/>
  <c r="N918" i="5"/>
  <c r="O918" i="5"/>
  <c r="P918" i="5"/>
  <c r="Q918" i="5"/>
  <c r="R918" i="5"/>
  <c r="S918" i="5"/>
  <c r="T918" i="5"/>
  <c r="U918" i="5"/>
  <c r="V918" i="5"/>
  <c r="W918" i="5"/>
  <c r="X918" i="5"/>
  <c r="B919" i="5"/>
  <c r="C919" i="5"/>
  <c r="D919" i="5"/>
  <c r="E919" i="5"/>
  <c r="F919" i="5"/>
  <c r="G919" i="5"/>
  <c r="H919" i="5"/>
  <c r="I919" i="5"/>
  <c r="J919" i="5"/>
  <c r="K919" i="5"/>
  <c r="L919" i="5"/>
  <c r="M919" i="5"/>
  <c r="N919" i="5"/>
  <c r="O919" i="5"/>
  <c r="P919" i="5"/>
  <c r="Q919" i="5"/>
  <c r="R919" i="5"/>
  <c r="S919" i="5"/>
  <c r="T919" i="5"/>
  <c r="U919" i="5"/>
  <c r="V919" i="5"/>
  <c r="W919" i="5"/>
  <c r="X919" i="5"/>
  <c r="B920" i="5"/>
  <c r="C920" i="5"/>
  <c r="D920" i="5"/>
  <c r="E920" i="5"/>
  <c r="F920" i="5"/>
  <c r="G920" i="5"/>
  <c r="H920" i="5"/>
  <c r="I920" i="5"/>
  <c r="J920" i="5"/>
  <c r="K920" i="5"/>
  <c r="L920" i="5"/>
  <c r="M920" i="5"/>
  <c r="N920" i="5"/>
  <c r="O920" i="5"/>
  <c r="P920" i="5"/>
  <c r="Q920" i="5"/>
  <c r="R920" i="5"/>
  <c r="S920" i="5"/>
  <c r="T920" i="5"/>
  <c r="U920" i="5"/>
  <c r="V920" i="5"/>
  <c r="W920" i="5"/>
  <c r="X920" i="5"/>
  <c r="B921" i="5"/>
  <c r="C921" i="5"/>
  <c r="D921" i="5"/>
  <c r="E921" i="5"/>
  <c r="F921" i="5"/>
  <c r="G921" i="5"/>
  <c r="H921" i="5"/>
  <c r="I921" i="5"/>
  <c r="J921" i="5"/>
  <c r="K921" i="5"/>
  <c r="L921" i="5"/>
  <c r="M921" i="5"/>
  <c r="N921" i="5"/>
  <c r="O921" i="5"/>
  <c r="P921" i="5"/>
  <c r="Q921" i="5"/>
  <c r="R921" i="5"/>
  <c r="S921" i="5"/>
  <c r="T921" i="5"/>
  <c r="U921" i="5"/>
  <c r="V921" i="5"/>
  <c r="W921" i="5"/>
  <c r="X921" i="5"/>
  <c r="B922" i="5"/>
  <c r="C922" i="5"/>
  <c r="D922" i="5"/>
  <c r="E922" i="5"/>
  <c r="F922" i="5"/>
  <c r="G922" i="5"/>
  <c r="H922" i="5"/>
  <c r="I922" i="5"/>
  <c r="J922" i="5"/>
  <c r="K922" i="5"/>
  <c r="L922" i="5"/>
  <c r="M922" i="5"/>
  <c r="N922" i="5"/>
  <c r="O922" i="5"/>
  <c r="P922" i="5"/>
  <c r="Q922" i="5"/>
  <c r="R922" i="5"/>
  <c r="S922" i="5"/>
  <c r="T922" i="5"/>
  <c r="U922" i="5"/>
  <c r="V922" i="5"/>
  <c r="W922" i="5"/>
  <c r="X922" i="5"/>
  <c r="B923" i="5"/>
  <c r="C923" i="5"/>
  <c r="D923" i="5"/>
  <c r="E923" i="5"/>
  <c r="F923" i="5"/>
  <c r="G923" i="5"/>
  <c r="H923" i="5"/>
  <c r="I923" i="5"/>
  <c r="J923" i="5"/>
  <c r="K923" i="5"/>
  <c r="L923" i="5"/>
  <c r="M923" i="5"/>
  <c r="N923" i="5"/>
  <c r="O923" i="5"/>
  <c r="P923" i="5"/>
  <c r="Q923" i="5"/>
  <c r="R923" i="5"/>
  <c r="S923" i="5"/>
  <c r="T923" i="5"/>
  <c r="U923" i="5"/>
  <c r="V923" i="5"/>
  <c r="W923" i="5"/>
  <c r="X923" i="5"/>
  <c r="B924" i="5"/>
  <c r="C924" i="5"/>
  <c r="D924" i="5"/>
  <c r="E924" i="5"/>
  <c r="F924" i="5"/>
  <c r="G924" i="5"/>
  <c r="H924" i="5"/>
  <c r="I924" i="5"/>
  <c r="J924" i="5"/>
  <c r="K924" i="5"/>
  <c r="L924" i="5"/>
  <c r="M924" i="5"/>
  <c r="N924" i="5"/>
  <c r="O924" i="5"/>
  <c r="P924" i="5"/>
  <c r="Q924" i="5"/>
  <c r="R924" i="5"/>
  <c r="S924" i="5"/>
  <c r="T924" i="5"/>
  <c r="U924" i="5"/>
  <c r="V924" i="5"/>
  <c r="W924" i="5"/>
  <c r="X924" i="5"/>
  <c r="AC924" i="5"/>
  <c r="B925" i="5"/>
  <c r="C925" i="5"/>
  <c r="D925" i="5"/>
  <c r="E925" i="5"/>
  <c r="F925" i="5"/>
  <c r="G925" i="5"/>
  <c r="H925" i="5"/>
  <c r="I925" i="5"/>
  <c r="J925" i="5"/>
  <c r="K925" i="5"/>
  <c r="L925" i="5"/>
  <c r="M925" i="5"/>
  <c r="N925" i="5"/>
  <c r="O925" i="5"/>
  <c r="P925" i="5"/>
  <c r="Q925" i="5"/>
  <c r="R925" i="5"/>
  <c r="S925" i="5"/>
  <c r="T925" i="5"/>
  <c r="U925" i="5"/>
  <c r="V925" i="5"/>
  <c r="W925" i="5"/>
  <c r="X925" i="5"/>
  <c r="AC925" i="5"/>
  <c r="B926" i="5"/>
  <c r="C926" i="5"/>
  <c r="D926" i="5"/>
  <c r="E926" i="5"/>
  <c r="F926" i="5"/>
  <c r="G926" i="5"/>
  <c r="H926" i="5"/>
  <c r="I926" i="5"/>
  <c r="J926" i="5"/>
  <c r="K926" i="5"/>
  <c r="L926" i="5"/>
  <c r="M926" i="5"/>
  <c r="N926" i="5"/>
  <c r="O926" i="5"/>
  <c r="P926" i="5"/>
  <c r="Q926" i="5"/>
  <c r="R926" i="5"/>
  <c r="S926" i="5"/>
  <c r="T926" i="5"/>
  <c r="U926" i="5"/>
  <c r="V926" i="5"/>
  <c r="W926" i="5"/>
  <c r="X926" i="5"/>
  <c r="AB926" i="5"/>
  <c r="B927" i="5"/>
  <c r="C927" i="5"/>
  <c r="D927" i="5"/>
  <c r="E927" i="5"/>
  <c r="F927" i="5"/>
  <c r="G927" i="5"/>
  <c r="H927" i="5"/>
  <c r="I927" i="5"/>
  <c r="J927" i="5"/>
  <c r="K927" i="5"/>
  <c r="L927" i="5"/>
  <c r="M927" i="5"/>
  <c r="N927" i="5"/>
  <c r="O927" i="5"/>
  <c r="P927" i="5"/>
  <c r="Q927" i="5"/>
  <c r="R927" i="5"/>
  <c r="S927" i="5"/>
  <c r="T927" i="5"/>
  <c r="U927" i="5"/>
  <c r="V927" i="5"/>
  <c r="W927" i="5"/>
  <c r="X927" i="5"/>
  <c r="AC927" i="5"/>
  <c r="B928" i="5"/>
  <c r="C928" i="5"/>
  <c r="D928" i="5"/>
  <c r="E928" i="5"/>
  <c r="F928" i="5"/>
  <c r="G928" i="5"/>
  <c r="H928" i="5"/>
  <c r="I928" i="5"/>
  <c r="J928" i="5"/>
  <c r="K928" i="5"/>
  <c r="L928" i="5"/>
  <c r="M928" i="5"/>
  <c r="N928" i="5"/>
  <c r="O928" i="5"/>
  <c r="P928" i="5"/>
  <c r="Q928" i="5"/>
  <c r="R928" i="5"/>
  <c r="S928" i="5"/>
  <c r="T928" i="5"/>
  <c r="U928" i="5"/>
  <c r="V928" i="5"/>
  <c r="W928" i="5"/>
  <c r="X928" i="5"/>
  <c r="AB928" i="5"/>
  <c r="B929" i="5"/>
  <c r="C929" i="5"/>
  <c r="D929" i="5"/>
  <c r="E929" i="5"/>
  <c r="F929" i="5"/>
  <c r="G929" i="5"/>
  <c r="H929" i="5"/>
  <c r="I929" i="5"/>
  <c r="J929" i="5"/>
  <c r="K929" i="5"/>
  <c r="L929" i="5"/>
  <c r="M929" i="5"/>
  <c r="N929" i="5"/>
  <c r="O929" i="5"/>
  <c r="P929" i="5"/>
  <c r="Q929" i="5"/>
  <c r="R929" i="5"/>
  <c r="S929" i="5"/>
  <c r="T929" i="5"/>
  <c r="U929" i="5"/>
  <c r="V929" i="5"/>
  <c r="W929" i="5"/>
  <c r="X929" i="5"/>
  <c r="B930" i="5"/>
  <c r="C930" i="5"/>
  <c r="D930" i="5"/>
  <c r="E930" i="5"/>
  <c r="F930" i="5"/>
  <c r="G930" i="5"/>
  <c r="H930" i="5"/>
  <c r="I930" i="5"/>
  <c r="J930" i="5"/>
  <c r="K930" i="5"/>
  <c r="L930" i="5"/>
  <c r="M930" i="5"/>
  <c r="N930" i="5"/>
  <c r="O930" i="5"/>
  <c r="P930" i="5"/>
  <c r="Q930" i="5"/>
  <c r="R930" i="5"/>
  <c r="S930" i="5"/>
  <c r="T930" i="5"/>
  <c r="U930" i="5"/>
  <c r="V930" i="5"/>
  <c r="W930" i="5"/>
  <c r="X930" i="5"/>
  <c r="B931" i="5"/>
  <c r="C931" i="5"/>
  <c r="D931" i="5"/>
  <c r="E931" i="5"/>
  <c r="F931" i="5"/>
  <c r="G931" i="5"/>
  <c r="H931" i="5"/>
  <c r="I931" i="5"/>
  <c r="J931" i="5"/>
  <c r="K931" i="5"/>
  <c r="L931" i="5"/>
  <c r="M931" i="5"/>
  <c r="N931" i="5"/>
  <c r="AC931" i="5" s="1"/>
  <c r="O931" i="5"/>
  <c r="P931" i="5"/>
  <c r="Q931" i="5"/>
  <c r="R931" i="5"/>
  <c r="S931" i="5"/>
  <c r="T931" i="5"/>
  <c r="U931" i="5"/>
  <c r="V931" i="5"/>
  <c r="W931" i="5"/>
  <c r="X931" i="5"/>
  <c r="B932" i="5"/>
  <c r="C932" i="5"/>
  <c r="D932" i="5"/>
  <c r="E932" i="5"/>
  <c r="F932" i="5"/>
  <c r="G932" i="5"/>
  <c r="H932" i="5"/>
  <c r="I932" i="5"/>
  <c r="J932" i="5"/>
  <c r="K932" i="5"/>
  <c r="L932" i="5"/>
  <c r="M932" i="5"/>
  <c r="N932" i="5"/>
  <c r="O932" i="5"/>
  <c r="AC932" i="5" s="1"/>
  <c r="P932" i="5"/>
  <c r="Q932" i="5"/>
  <c r="R932" i="5"/>
  <c r="S932" i="5"/>
  <c r="T932" i="5"/>
  <c r="U932" i="5"/>
  <c r="V932" i="5"/>
  <c r="W932" i="5"/>
  <c r="X932" i="5"/>
  <c r="B933" i="5"/>
  <c r="C933" i="5"/>
  <c r="D933" i="5"/>
  <c r="E933" i="5"/>
  <c r="F933" i="5"/>
  <c r="G933" i="5"/>
  <c r="H933" i="5"/>
  <c r="I933" i="5"/>
  <c r="J933" i="5"/>
  <c r="K933" i="5"/>
  <c r="L933" i="5"/>
  <c r="M933" i="5"/>
  <c r="N933" i="5"/>
  <c r="O933" i="5"/>
  <c r="AC933" i="5" s="1"/>
  <c r="P933" i="5"/>
  <c r="Q933" i="5"/>
  <c r="R933" i="5"/>
  <c r="S933" i="5"/>
  <c r="T933" i="5"/>
  <c r="U933" i="5"/>
  <c r="V933" i="5"/>
  <c r="W933" i="5"/>
  <c r="X933" i="5"/>
  <c r="B934" i="5"/>
  <c r="C934" i="5"/>
  <c r="D934" i="5"/>
  <c r="E934" i="5"/>
  <c r="F934" i="5"/>
  <c r="G934" i="5"/>
  <c r="AB934" i="5" s="1"/>
  <c r="H934" i="5"/>
  <c r="I934" i="5"/>
  <c r="J934" i="5"/>
  <c r="K934" i="5"/>
  <c r="L934" i="5"/>
  <c r="M934" i="5"/>
  <c r="N934" i="5"/>
  <c r="O934" i="5"/>
  <c r="P934" i="5"/>
  <c r="Q934" i="5"/>
  <c r="R934" i="5"/>
  <c r="S934" i="5"/>
  <c r="T934" i="5"/>
  <c r="U934" i="5"/>
  <c r="V934" i="5"/>
  <c r="W934" i="5"/>
  <c r="X934" i="5"/>
  <c r="B935" i="5"/>
  <c r="C935" i="5"/>
  <c r="D935" i="5"/>
  <c r="E935" i="5"/>
  <c r="F935" i="5"/>
  <c r="G935" i="5"/>
  <c r="H935" i="5"/>
  <c r="I935" i="5"/>
  <c r="J935" i="5"/>
  <c r="K935" i="5"/>
  <c r="L935" i="5"/>
  <c r="M935" i="5"/>
  <c r="N935" i="5"/>
  <c r="O935" i="5"/>
  <c r="P935" i="5"/>
  <c r="Q935" i="5"/>
  <c r="R935" i="5"/>
  <c r="S935" i="5"/>
  <c r="T935" i="5"/>
  <c r="U935" i="5"/>
  <c r="V935" i="5"/>
  <c r="W935" i="5"/>
  <c r="X935" i="5"/>
  <c r="B936" i="5"/>
  <c r="C936" i="5"/>
  <c r="D936" i="5"/>
  <c r="E936" i="5"/>
  <c r="F936" i="5"/>
  <c r="G936" i="5"/>
  <c r="H936" i="5"/>
  <c r="I936" i="5"/>
  <c r="J936" i="5"/>
  <c r="K936" i="5"/>
  <c r="L936" i="5"/>
  <c r="M936" i="5"/>
  <c r="N936" i="5"/>
  <c r="O936" i="5"/>
  <c r="P936" i="5"/>
  <c r="Q936" i="5"/>
  <c r="R936" i="5"/>
  <c r="S936" i="5"/>
  <c r="T936" i="5"/>
  <c r="U936" i="5"/>
  <c r="V936" i="5"/>
  <c r="W936" i="5"/>
  <c r="X936" i="5"/>
  <c r="B937" i="5"/>
  <c r="C937" i="5"/>
  <c r="D937" i="5"/>
  <c r="E937" i="5"/>
  <c r="F937" i="5"/>
  <c r="G937" i="5"/>
  <c r="H937" i="5"/>
  <c r="I937" i="5"/>
  <c r="J937" i="5"/>
  <c r="K937" i="5"/>
  <c r="L937" i="5"/>
  <c r="M937" i="5"/>
  <c r="N937" i="5"/>
  <c r="O937" i="5"/>
  <c r="P937" i="5"/>
  <c r="Q937" i="5"/>
  <c r="R937" i="5"/>
  <c r="S937" i="5"/>
  <c r="T937" i="5"/>
  <c r="U937" i="5"/>
  <c r="V937" i="5"/>
  <c r="W937" i="5"/>
  <c r="X937" i="5"/>
  <c r="B938" i="5"/>
  <c r="C938" i="5"/>
  <c r="D938" i="5"/>
  <c r="E938" i="5"/>
  <c r="F938" i="5"/>
  <c r="G938" i="5"/>
  <c r="H938" i="5"/>
  <c r="I938" i="5"/>
  <c r="J938" i="5"/>
  <c r="K938" i="5"/>
  <c r="L938" i="5"/>
  <c r="M938" i="5"/>
  <c r="N938" i="5"/>
  <c r="O938" i="5"/>
  <c r="P938" i="5"/>
  <c r="Q938" i="5"/>
  <c r="R938" i="5"/>
  <c r="S938" i="5"/>
  <c r="T938" i="5"/>
  <c r="U938" i="5"/>
  <c r="V938" i="5"/>
  <c r="W938" i="5"/>
  <c r="X938" i="5"/>
  <c r="B939" i="5"/>
  <c r="C939" i="5"/>
  <c r="D939" i="5"/>
  <c r="E939" i="5"/>
  <c r="F939" i="5"/>
  <c r="G939" i="5"/>
  <c r="H939" i="5"/>
  <c r="I939" i="5"/>
  <c r="J939" i="5"/>
  <c r="K939" i="5"/>
  <c r="L939" i="5"/>
  <c r="M939" i="5"/>
  <c r="N939" i="5"/>
  <c r="O939" i="5"/>
  <c r="P939" i="5"/>
  <c r="Q939" i="5"/>
  <c r="R939" i="5"/>
  <c r="S939" i="5"/>
  <c r="T939" i="5"/>
  <c r="U939" i="5"/>
  <c r="V939" i="5"/>
  <c r="W939" i="5"/>
  <c r="X939" i="5"/>
  <c r="AC939" i="5"/>
  <c r="B940" i="5"/>
  <c r="C940" i="5"/>
  <c r="D940" i="5"/>
  <c r="E940" i="5"/>
  <c r="F940" i="5"/>
  <c r="G940" i="5"/>
  <c r="H940" i="5"/>
  <c r="I940" i="5"/>
  <c r="J940" i="5"/>
  <c r="K940" i="5"/>
  <c r="L940" i="5"/>
  <c r="M940" i="5"/>
  <c r="N940" i="5"/>
  <c r="O940" i="5"/>
  <c r="P940" i="5"/>
  <c r="Q940" i="5"/>
  <c r="R940" i="5"/>
  <c r="S940" i="5"/>
  <c r="T940" i="5"/>
  <c r="U940" i="5"/>
  <c r="V940" i="5"/>
  <c r="W940" i="5"/>
  <c r="X940" i="5"/>
  <c r="AB940" i="5"/>
  <c r="AC940" i="5"/>
  <c r="B941" i="5"/>
  <c r="C941" i="5"/>
  <c r="D941" i="5"/>
  <c r="E941" i="5"/>
  <c r="F941" i="5"/>
  <c r="G941" i="5"/>
  <c r="H941" i="5"/>
  <c r="I941" i="5"/>
  <c r="J941" i="5"/>
  <c r="K941" i="5"/>
  <c r="L941" i="5"/>
  <c r="M941" i="5"/>
  <c r="N941" i="5"/>
  <c r="O941" i="5"/>
  <c r="P941" i="5"/>
  <c r="AC941" i="5" s="1"/>
  <c r="Q941" i="5"/>
  <c r="R941" i="5"/>
  <c r="S941" i="5"/>
  <c r="T941" i="5"/>
  <c r="U941" i="5"/>
  <c r="V941" i="5"/>
  <c r="W941" i="5"/>
  <c r="X941" i="5"/>
  <c r="B942" i="5"/>
  <c r="C942" i="5"/>
  <c r="D942" i="5"/>
  <c r="E942" i="5"/>
  <c r="F942" i="5"/>
  <c r="G942" i="5"/>
  <c r="H942" i="5"/>
  <c r="I942" i="5"/>
  <c r="J942" i="5"/>
  <c r="K942" i="5"/>
  <c r="L942" i="5"/>
  <c r="M942" i="5"/>
  <c r="N942" i="5"/>
  <c r="O942" i="5"/>
  <c r="P942" i="5"/>
  <c r="Q942" i="5"/>
  <c r="R942" i="5"/>
  <c r="S942" i="5"/>
  <c r="T942" i="5"/>
  <c r="U942" i="5"/>
  <c r="V942" i="5"/>
  <c r="W942" i="5"/>
  <c r="X942" i="5"/>
  <c r="B943" i="5"/>
  <c r="C943" i="5"/>
  <c r="D943" i="5"/>
  <c r="E943" i="5"/>
  <c r="F943" i="5"/>
  <c r="G943" i="5"/>
  <c r="H943" i="5"/>
  <c r="I943" i="5"/>
  <c r="J943" i="5"/>
  <c r="K943" i="5"/>
  <c r="L943" i="5"/>
  <c r="M943" i="5"/>
  <c r="N943" i="5"/>
  <c r="O943" i="5"/>
  <c r="P943" i="5"/>
  <c r="Q943" i="5"/>
  <c r="R943" i="5"/>
  <c r="S943" i="5"/>
  <c r="T943" i="5"/>
  <c r="U943" i="5"/>
  <c r="V943" i="5"/>
  <c r="W943" i="5"/>
  <c r="X943" i="5"/>
  <c r="B944" i="5"/>
  <c r="C944" i="5"/>
  <c r="D944" i="5"/>
  <c r="E944" i="5"/>
  <c r="F944" i="5"/>
  <c r="G944" i="5"/>
  <c r="AB944" i="5" s="1"/>
  <c r="H944" i="5"/>
  <c r="I944" i="5"/>
  <c r="J944" i="5"/>
  <c r="K944" i="5"/>
  <c r="L944" i="5"/>
  <c r="M944" i="5"/>
  <c r="N944" i="5"/>
  <c r="O944" i="5"/>
  <c r="P944" i="5"/>
  <c r="Q944" i="5"/>
  <c r="R944" i="5"/>
  <c r="S944" i="5"/>
  <c r="T944" i="5"/>
  <c r="U944" i="5"/>
  <c r="V944" i="5"/>
  <c r="W944" i="5"/>
  <c r="X944" i="5"/>
  <c r="B945" i="5"/>
  <c r="C945" i="5"/>
  <c r="D945" i="5"/>
  <c r="E945" i="5"/>
  <c r="F945" i="5"/>
  <c r="G945" i="5"/>
  <c r="H945" i="5"/>
  <c r="I945" i="5"/>
  <c r="J945" i="5"/>
  <c r="K945" i="5"/>
  <c r="L945" i="5"/>
  <c r="M945" i="5"/>
  <c r="N945" i="5"/>
  <c r="O945" i="5"/>
  <c r="P945" i="5"/>
  <c r="Q945" i="5"/>
  <c r="R945" i="5"/>
  <c r="S945" i="5"/>
  <c r="T945" i="5"/>
  <c r="U945" i="5"/>
  <c r="V945" i="5"/>
  <c r="W945" i="5"/>
  <c r="X945" i="5"/>
  <c r="B946" i="5"/>
  <c r="C946" i="5"/>
  <c r="D946" i="5"/>
  <c r="E946" i="5"/>
  <c r="F946" i="5"/>
  <c r="G946" i="5"/>
  <c r="H946" i="5"/>
  <c r="I946" i="5"/>
  <c r="J946" i="5"/>
  <c r="K946" i="5"/>
  <c r="L946" i="5"/>
  <c r="M946" i="5"/>
  <c r="AC946" i="5" s="1"/>
  <c r="N946" i="5"/>
  <c r="O946" i="5"/>
  <c r="P946" i="5"/>
  <c r="Q946" i="5"/>
  <c r="R946" i="5"/>
  <c r="S946" i="5"/>
  <c r="T946" i="5"/>
  <c r="U946" i="5"/>
  <c r="V946" i="5"/>
  <c r="W946" i="5"/>
  <c r="X946" i="5"/>
  <c r="B947" i="5"/>
  <c r="C947" i="5"/>
  <c r="D947" i="5"/>
  <c r="E947" i="5"/>
  <c r="F947" i="5"/>
  <c r="G947" i="5"/>
  <c r="H947" i="5"/>
  <c r="I947" i="5"/>
  <c r="J947" i="5"/>
  <c r="K947" i="5"/>
  <c r="L947" i="5"/>
  <c r="M947" i="5"/>
  <c r="N947" i="5"/>
  <c r="AC947" i="5" s="1"/>
  <c r="O947" i="5"/>
  <c r="P947" i="5"/>
  <c r="Q947" i="5"/>
  <c r="R947" i="5"/>
  <c r="S947" i="5"/>
  <c r="T947" i="5"/>
  <c r="U947" i="5"/>
  <c r="V947" i="5"/>
  <c r="W947" i="5"/>
  <c r="X947" i="5"/>
  <c r="B948" i="5"/>
  <c r="C948" i="5"/>
  <c r="D948" i="5"/>
  <c r="E948" i="5"/>
  <c r="F948" i="5"/>
  <c r="AB948" i="5" s="1"/>
  <c r="G948" i="5"/>
  <c r="H948" i="5"/>
  <c r="I948" i="5"/>
  <c r="J948" i="5"/>
  <c r="K948" i="5"/>
  <c r="L948" i="5"/>
  <c r="M948" i="5"/>
  <c r="N948" i="5"/>
  <c r="O948" i="5"/>
  <c r="P948" i="5"/>
  <c r="Q948" i="5"/>
  <c r="R948" i="5"/>
  <c r="S948" i="5"/>
  <c r="T948" i="5"/>
  <c r="U948" i="5"/>
  <c r="V948" i="5"/>
  <c r="W948" i="5"/>
  <c r="X948" i="5"/>
  <c r="AC948" i="5"/>
  <c r="B949" i="5"/>
  <c r="C949" i="5"/>
  <c r="D949" i="5"/>
  <c r="E949" i="5"/>
  <c r="F949" i="5"/>
  <c r="G949" i="5"/>
  <c r="H949" i="5"/>
  <c r="I949" i="5"/>
  <c r="J949" i="5"/>
  <c r="K949" i="5"/>
  <c r="L949" i="5"/>
  <c r="M949" i="5"/>
  <c r="N949" i="5"/>
  <c r="O949" i="5"/>
  <c r="P949" i="5"/>
  <c r="Q949" i="5"/>
  <c r="R949" i="5"/>
  <c r="S949" i="5"/>
  <c r="T949" i="5"/>
  <c r="U949" i="5"/>
  <c r="V949" i="5"/>
  <c r="W949" i="5"/>
  <c r="X949" i="5"/>
  <c r="AC949" i="5"/>
  <c r="B950" i="5"/>
  <c r="C950" i="5"/>
  <c r="D950" i="5"/>
  <c r="E950" i="5"/>
  <c r="F950" i="5"/>
  <c r="G950" i="5"/>
  <c r="H950" i="5"/>
  <c r="I950" i="5"/>
  <c r="J950" i="5"/>
  <c r="K950" i="5"/>
  <c r="L950" i="5"/>
  <c r="M950" i="5"/>
  <c r="N950" i="5"/>
  <c r="O950" i="5"/>
  <c r="P950" i="5"/>
  <c r="Q950" i="5"/>
  <c r="R950" i="5"/>
  <c r="S950" i="5"/>
  <c r="T950" i="5"/>
  <c r="U950" i="5"/>
  <c r="V950" i="5"/>
  <c r="W950" i="5"/>
  <c r="X950" i="5"/>
  <c r="AB950" i="5"/>
  <c r="B951" i="5"/>
  <c r="C951" i="5"/>
  <c r="D951" i="5"/>
  <c r="E951" i="5"/>
  <c r="F951" i="5"/>
  <c r="G951" i="5"/>
  <c r="H951" i="5"/>
  <c r="I951" i="5"/>
  <c r="J951" i="5"/>
  <c r="K951" i="5"/>
  <c r="L951" i="5"/>
  <c r="M951" i="5"/>
  <c r="N951" i="5"/>
  <c r="O951" i="5"/>
  <c r="P951" i="5"/>
  <c r="Q951" i="5"/>
  <c r="R951" i="5"/>
  <c r="S951" i="5"/>
  <c r="T951" i="5"/>
  <c r="U951" i="5"/>
  <c r="V951" i="5"/>
  <c r="W951" i="5"/>
  <c r="X951" i="5"/>
  <c r="AC951" i="5"/>
  <c r="B952" i="5"/>
  <c r="C952" i="5"/>
  <c r="D952" i="5"/>
  <c r="E952" i="5"/>
  <c r="F952" i="5"/>
  <c r="G952" i="5"/>
  <c r="H952" i="5"/>
  <c r="I952" i="5"/>
  <c r="J952" i="5"/>
  <c r="K952" i="5"/>
  <c r="L952" i="5"/>
  <c r="M952" i="5"/>
  <c r="N952" i="5"/>
  <c r="O952" i="5"/>
  <c r="P952" i="5"/>
  <c r="Q952" i="5"/>
  <c r="R952" i="5"/>
  <c r="S952" i="5"/>
  <c r="T952" i="5"/>
  <c r="U952" i="5"/>
  <c r="V952" i="5"/>
  <c r="W952" i="5"/>
  <c r="X952" i="5"/>
  <c r="AB952" i="5"/>
  <c r="B953" i="5"/>
  <c r="C953" i="5"/>
  <c r="D953" i="5"/>
  <c r="E953" i="5"/>
  <c r="F953" i="5"/>
  <c r="G953" i="5"/>
  <c r="H953" i="5"/>
  <c r="I953" i="5"/>
  <c r="J953" i="5"/>
  <c r="K953" i="5"/>
  <c r="L953" i="5"/>
  <c r="M953" i="5"/>
  <c r="N953" i="5"/>
  <c r="O953" i="5"/>
  <c r="P953" i="5"/>
  <c r="Q953" i="5"/>
  <c r="R953" i="5"/>
  <c r="S953" i="5"/>
  <c r="T953" i="5"/>
  <c r="U953" i="5"/>
  <c r="V953" i="5"/>
  <c r="W953" i="5"/>
  <c r="X953" i="5"/>
  <c r="B954" i="5"/>
  <c r="C954" i="5"/>
  <c r="D954" i="5"/>
  <c r="E954" i="5"/>
  <c r="F954" i="5"/>
  <c r="G954" i="5"/>
  <c r="H954" i="5"/>
  <c r="I954" i="5"/>
  <c r="J954" i="5"/>
  <c r="K954" i="5"/>
  <c r="L954" i="5"/>
  <c r="M954" i="5"/>
  <c r="N954" i="5"/>
  <c r="O954" i="5"/>
  <c r="P954" i="5"/>
  <c r="Q954" i="5"/>
  <c r="R954" i="5"/>
  <c r="S954" i="5"/>
  <c r="T954" i="5"/>
  <c r="U954" i="5"/>
  <c r="V954" i="5"/>
  <c r="W954" i="5"/>
  <c r="X954" i="5"/>
  <c r="B955" i="5"/>
  <c r="C955" i="5"/>
  <c r="D955" i="5"/>
  <c r="E955" i="5"/>
  <c r="F955" i="5"/>
  <c r="G955" i="5"/>
  <c r="H955" i="5"/>
  <c r="I955" i="5"/>
  <c r="J955" i="5"/>
  <c r="K955" i="5"/>
  <c r="L955" i="5"/>
  <c r="M955" i="5"/>
  <c r="N955" i="5"/>
  <c r="O955" i="5"/>
  <c r="AC955" i="5" s="1"/>
  <c r="P955" i="5"/>
  <c r="Q955" i="5"/>
  <c r="R955" i="5"/>
  <c r="S955" i="5"/>
  <c r="T955" i="5"/>
  <c r="U955" i="5"/>
  <c r="V955" i="5"/>
  <c r="W955" i="5"/>
  <c r="X955" i="5"/>
  <c r="B956" i="5"/>
  <c r="C956" i="5"/>
  <c r="D956" i="5"/>
  <c r="E956" i="5"/>
  <c r="F956" i="5"/>
  <c r="G956" i="5"/>
  <c r="H956" i="5"/>
  <c r="I956" i="5"/>
  <c r="J956" i="5"/>
  <c r="K956" i="5"/>
  <c r="L956" i="5"/>
  <c r="M956" i="5"/>
  <c r="N956" i="5"/>
  <c r="O956" i="5"/>
  <c r="AC956" i="5" s="1"/>
  <c r="P956" i="5"/>
  <c r="Q956" i="5"/>
  <c r="R956" i="5"/>
  <c r="S956" i="5"/>
  <c r="T956" i="5"/>
  <c r="U956" i="5"/>
  <c r="V956" i="5"/>
  <c r="W956" i="5"/>
  <c r="X956" i="5"/>
  <c r="B957" i="5"/>
  <c r="C957" i="5"/>
  <c r="D957" i="5"/>
  <c r="E957" i="5"/>
  <c r="F957" i="5"/>
  <c r="G957" i="5"/>
  <c r="H957" i="5"/>
  <c r="I957" i="5"/>
  <c r="J957" i="5"/>
  <c r="K957" i="5"/>
  <c r="L957" i="5"/>
  <c r="M957" i="5"/>
  <c r="N957" i="5"/>
  <c r="O957" i="5"/>
  <c r="P957" i="5"/>
  <c r="Q957" i="5"/>
  <c r="R957" i="5"/>
  <c r="S957" i="5"/>
  <c r="T957" i="5"/>
  <c r="U957" i="5"/>
  <c r="V957" i="5"/>
  <c r="W957" i="5"/>
  <c r="X957" i="5"/>
  <c r="AC957" i="5"/>
  <c r="B958" i="5"/>
  <c r="C958" i="5"/>
  <c r="D958" i="5"/>
  <c r="E958" i="5"/>
  <c r="F958" i="5"/>
  <c r="G958" i="5"/>
  <c r="H958" i="5"/>
  <c r="I958" i="5"/>
  <c r="J958" i="5"/>
  <c r="K958" i="5"/>
  <c r="L958" i="5"/>
  <c r="M958" i="5"/>
  <c r="N958" i="5"/>
  <c r="O958" i="5"/>
  <c r="P958" i="5"/>
  <c r="Q958" i="5"/>
  <c r="R958" i="5"/>
  <c r="S958" i="5"/>
  <c r="T958" i="5"/>
  <c r="U958" i="5"/>
  <c r="V958" i="5"/>
  <c r="W958" i="5"/>
  <c r="X958" i="5"/>
  <c r="AB958" i="5"/>
  <c r="B959" i="5"/>
  <c r="C959" i="5"/>
  <c r="D959" i="5"/>
  <c r="E959" i="5"/>
  <c r="F959" i="5"/>
  <c r="G959" i="5"/>
  <c r="H959" i="5"/>
  <c r="I959" i="5"/>
  <c r="J959" i="5"/>
  <c r="K959" i="5"/>
  <c r="L959" i="5"/>
  <c r="M959" i="5"/>
  <c r="N959" i="5"/>
  <c r="O959" i="5"/>
  <c r="P959" i="5"/>
  <c r="Q959" i="5"/>
  <c r="R959" i="5"/>
  <c r="S959" i="5"/>
  <c r="T959" i="5"/>
  <c r="U959" i="5"/>
  <c r="V959" i="5"/>
  <c r="W959" i="5"/>
  <c r="X959" i="5"/>
  <c r="AC959" i="5"/>
  <c r="B960" i="5"/>
  <c r="C960" i="5"/>
  <c r="D960" i="5"/>
  <c r="E960" i="5"/>
  <c r="F960" i="5"/>
  <c r="G960" i="5"/>
  <c r="H960" i="5"/>
  <c r="I960" i="5"/>
  <c r="J960" i="5"/>
  <c r="K960" i="5"/>
  <c r="L960" i="5"/>
  <c r="M960" i="5"/>
  <c r="N960" i="5"/>
  <c r="O960" i="5"/>
  <c r="P960" i="5"/>
  <c r="Q960" i="5"/>
  <c r="R960" i="5"/>
  <c r="S960" i="5"/>
  <c r="T960" i="5"/>
  <c r="U960" i="5"/>
  <c r="V960" i="5"/>
  <c r="W960" i="5"/>
  <c r="X960" i="5"/>
  <c r="AB960" i="5"/>
  <c r="B961" i="5"/>
  <c r="C961" i="5"/>
  <c r="D961" i="5"/>
  <c r="E961" i="5"/>
  <c r="F961" i="5"/>
  <c r="G961" i="5"/>
  <c r="H961" i="5"/>
  <c r="I961" i="5"/>
  <c r="J961" i="5"/>
  <c r="K961" i="5"/>
  <c r="L961" i="5"/>
  <c r="M961" i="5"/>
  <c r="N961" i="5"/>
  <c r="O961" i="5"/>
  <c r="P961" i="5"/>
  <c r="Q961" i="5"/>
  <c r="R961" i="5"/>
  <c r="S961" i="5"/>
  <c r="T961" i="5"/>
  <c r="U961" i="5"/>
  <c r="V961" i="5"/>
  <c r="W961" i="5"/>
  <c r="X961" i="5"/>
  <c r="B962" i="5"/>
  <c r="C962" i="5"/>
  <c r="D962" i="5"/>
  <c r="E962" i="5"/>
  <c r="F962" i="5"/>
  <c r="G962" i="5"/>
  <c r="H962" i="5"/>
  <c r="I962" i="5"/>
  <c r="J962" i="5"/>
  <c r="K962" i="5"/>
  <c r="L962" i="5"/>
  <c r="M962" i="5"/>
  <c r="N962" i="5"/>
  <c r="O962" i="5"/>
  <c r="P962" i="5"/>
  <c r="Q962" i="5"/>
  <c r="R962" i="5"/>
  <c r="S962" i="5"/>
  <c r="T962" i="5"/>
  <c r="U962" i="5"/>
  <c r="V962" i="5"/>
  <c r="W962" i="5"/>
  <c r="X962" i="5"/>
  <c r="B963" i="5"/>
  <c r="C963" i="5"/>
  <c r="D963" i="5"/>
  <c r="E963" i="5"/>
  <c r="F963" i="5"/>
  <c r="G963" i="5"/>
  <c r="H963" i="5"/>
  <c r="I963" i="5"/>
  <c r="J963" i="5"/>
  <c r="K963" i="5"/>
  <c r="L963" i="5"/>
  <c r="M963" i="5"/>
  <c r="N963" i="5"/>
  <c r="O963" i="5"/>
  <c r="AC963" i="5" s="1"/>
  <c r="P963" i="5"/>
  <c r="Q963" i="5"/>
  <c r="R963" i="5"/>
  <c r="S963" i="5"/>
  <c r="T963" i="5"/>
  <c r="U963" i="5"/>
  <c r="V963" i="5"/>
  <c r="W963" i="5"/>
  <c r="X963" i="5"/>
  <c r="B964" i="5"/>
  <c r="C964" i="5"/>
  <c r="D964" i="5"/>
  <c r="E964" i="5"/>
  <c r="F964" i="5"/>
  <c r="G964" i="5"/>
  <c r="H964" i="5"/>
  <c r="I964" i="5"/>
  <c r="J964" i="5"/>
  <c r="K964" i="5"/>
  <c r="L964" i="5"/>
  <c r="M964" i="5"/>
  <c r="N964" i="5"/>
  <c r="O964" i="5"/>
  <c r="AC964" i="5" s="1"/>
  <c r="P964" i="5"/>
  <c r="Q964" i="5"/>
  <c r="R964" i="5"/>
  <c r="S964" i="5"/>
  <c r="T964" i="5"/>
  <c r="U964" i="5"/>
  <c r="V964" i="5"/>
  <c r="W964" i="5"/>
  <c r="X964" i="5"/>
  <c r="B965" i="5"/>
  <c r="C965" i="5"/>
  <c r="D965" i="5"/>
  <c r="E965" i="5"/>
  <c r="F965" i="5"/>
  <c r="G965" i="5"/>
  <c r="H965" i="5"/>
  <c r="I965" i="5"/>
  <c r="J965" i="5"/>
  <c r="K965" i="5"/>
  <c r="L965" i="5"/>
  <c r="M965" i="5"/>
  <c r="N965" i="5"/>
  <c r="O965" i="5"/>
  <c r="AC965" i="5" s="1"/>
  <c r="P965" i="5"/>
  <c r="Q965" i="5"/>
  <c r="R965" i="5"/>
  <c r="S965" i="5"/>
  <c r="T965" i="5"/>
  <c r="U965" i="5"/>
  <c r="V965" i="5"/>
  <c r="W965" i="5"/>
  <c r="X965" i="5"/>
  <c r="B966" i="5"/>
  <c r="C966" i="5"/>
  <c r="D966" i="5"/>
  <c r="E966" i="5"/>
  <c r="F966" i="5"/>
  <c r="G966" i="5"/>
  <c r="H966" i="5"/>
  <c r="I966" i="5"/>
  <c r="J966" i="5"/>
  <c r="K966" i="5"/>
  <c r="L966" i="5"/>
  <c r="M966" i="5"/>
  <c r="N966" i="5"/>
  <c r="O966" i="5"/>
  <c r="P966" i="5"/>
  <c r="Q966" i="5"/>
  <c r="R966" i="5"/>
  <c r="S966" i="5"/>
  <c r="T966" i="5"/>
  <c r="U966" i="5"/>
  <c r="V966" i="5"/>
  <c r="W966" i="5"/>
  <c r="X966" i="5"/>
  <c r="AB966" i="5"/>
  <c r="B967" i="5"/>
  <c r="C967" i="5"/>
  <c r="D967" i="5"/>
  <c r="E967" i="5"/>
  <c r="F967" i="5"/>
  <c r="G967" i="5"/>
  <c r="H967" i="5"/>
  <c r="I967" i="5"/>
  <c r="J967" i="5"/>
  <c r="K967" i="5"/>
  <c r="L967" i="5"/>
  <c r="M967" i="5"/>
  <c r="N967" i="5"/>
  <c r="O967" i="5"/>
  <c r="P967" i="5"/>
  <c r="Q967" i="5"/>
  <c r="R967" i="5"/>
  <c r="S967" i="5"/>
  <c r="T967" i="5"/>
  <c r="U967" i="5"/>
  <c r="V967" i="5"/>
  <c r="W967" i="5"/>
  <c r="X967" i="5"/>
  <c r="AC967" i="5"/>
  <c r="B968" i="5"/>
  <c r="C968" i="5"/>
  <c r="D968" i="5"/>
  <c r="E968" i="5"/>
  <c r="F968" i="5"/>
  <c r="G968" i="5"/>
  <c r="H968" i="5"/>
  <c r="I968" i="5"/>
  <c r="J968" i="5"/>
  <c r="K968" i="5"/>
  <c r="L968" i="5"/>
  <c r="M968" i="5"/>
  <c r="N968" i="5"/>
  <c r="O968" i="5"/>
  <c r="P968" i="5"/>
  <c r="Q968" i="5"/>
  <c r="R968" i="5"/>
  <c r="S968" i="5"/>
  <c r="T968" i="5"/>
  <c r="U968" i="5"/>
  <c r="V968" i="5"/>
  <c r="W968" i="5"/>
  <c r="X968" i="5"/>
  <c r="AB968" i="5"/>
  <c r="B969" i="5"/>
  <c r="C969" i="5"/>
  <c r="D969" i="5"/>
  <c r="E969" i="5"/>
  <c r="F969" i="5"/>
  <c r="G969" i="5"/>
  <c r="H969" i="5"/>
  <c r="I969" i="5"/>
  <c r="J969" i="5"/>
  <c r="K969" i="5"/>
  <c r="L969" i="5"/>
  <c r="M969" i="5"/>
  <c r="N969" i="5"/>
  <c r="O969" i="5"/>
  <c r="P969" i="5"/>
  <c r="Q969" i="5"/>
  <c r="R969" i="5"/>
  <c r="S969" i="5"/>
  <c r="T969" i="5"/>
  <c r="U969" i="5"/>
  <c r="V969" i="5"/>
  <c r="W969" i="5"/>
  <c r="X969" i="5"/>
  <c r="B970" i="5"/>
  <c r="C970" i="5"/>
  <c r="D970" i="5"/>
  <c r="E970" i="5"/>
  <c r="F970" i="5"/>
  <c r="G970" i="5"/>
  <c r="H970" i="5"/>
  <c r="I970" i="5"/>
  <c r="J970" i="5"/>
  <c r="K970" i="5"/>
  <c r="L970" i="5"/>
  <c r="M970" i="5"/>
  <c r="AC970" i="5" s="1"/>
  <c r="N970" i="5"/>
  <c r="O970" i="5"/>
  <c r="P970" i="5"/>
  <c r="Q970" i="5"/>
  <c r="R970" i="5"/>
  <c r="S970" i="5"/>
  <c r="T970" i="5"/>
  <c r="U970" i="5"/>
  <c r="V970" i="5"/>
  <c r="W970" i="5"/>
  <c r="X970" i="5"/>
  <c r="B971" i="5"/>
  <c r="C971" i="5"/>
  <c r="D971" i="5"/>
  <c r="E971" i="5"/>
  <c r="F971" i="5"/>
  <c r="G971" i="5"/>
  <c r="H971" i="5"/>
  <c r="I971" i="5"/>
  <c r="J971" i="5"/>
  <c r="K971" i="5"/>
  <c r="L971" i="5"/>
  <c r="M971" i="5"/>
  <c r="N971" i="5"/>
  <c r="AC971" i="5" s="1"/>
  <c r="O971" i="5"/>
  <c r="P971" i="5"/>
  <c r="Q971" i="5"/>
  <c r="R971" i="5"/>
  <c r="S971" i="5"/>
  <c r="T971" i="5"/>
  <c r="U971" i="5"/>
  <c r="V971" i="5"/>
  <c r="W971" i="5"/>
  <c r="X971" i="5"/>
  <c r="B972" i="5"/>
  <c r="C972" i="5"/>
  <c r="D972" i="5"/>
  <c r="E972" i="5"/>
  <c r="F972" i="5"/>
  <c r="G972" i="5"/>
  <c r="H972" i="5"/>
  <c r="I972" i="5"/>
  <c r="J972" i="5"/>
  <c r="K972" i="5"/>
  <c r="L972" i="5"/>
  <c r="M972" i="5"/>
  <c r="N972" i="5"/>
  <c r="AC972" i="5" s="1"/>
  <c r="O972" i="5"/>
  <c r="P972" i="5"/>
  <c r="Q972" i="5"/>
  <c r="R972" i="5"/>
  <c r="S972" i="5"/>
  <c r="T972" i="5"/>
  <c r="U972" i="5"/>
  <c r="V972" i="5"/>
  <c r="W972" i="5"/>
  <c r="X972" i="5"/>
  <c r="B973" i="5"/>
  <c r="C973" i="5"/>
  <c r="D973" i="5"/>
  <c r="E973" i="5"/>
  <c r="F973" i="5"/>
  <c r="G973" i="5"/>
  <c r="H973" i="5"/>
  <c r="I973" i="5"/>
  <c r="J973" i="5"/>
  <c r="K973" i="5"/>
  <c r="L973" i="5"/>
  <c r="M973" i="5"/>
  <c r="N973" i="5"/>
  <c r="AC973" i="5" s="1"/>
  <c r="O973" i="5"/>
  <c r="P973" i="5"/>
  <c r="Q973" i="5"/>
  <c r="R973" i="5"/>
  <c r="S973" i="5"/>
  <c r="T973" i="5"/>
  <c r="U973" i="5"/>
  <c r="V973" i="5"/>
  <c r="W973" i="5"/>
  <c r="X973" i="5"/>
  <c r="B974" i="5"/>
  <c r="C974" i="5"/>
  <c r="D974" i="5"/>
  <c r="E974" i="5"/>
  <c r="F974" i="5"/>
  <c r="AB974" i="5" s="1"/>
  <c r="G974" i="5"/>
  <c r="H974" i="5"/>
  <c r="I974" i="5"/>
  <c r="J974" i="5"/>
  <c r="K974" i="5"/>
  <c r="L974" i="5"/>
  <c r="M974" i="5"/>
  <c r="N974" i="5"/>
  <c r="O974" i="5"/>
  <c r="P974" i="5"/>
  <c r="Q974" i="5"/>
  <c r="R974" i="5"/>
  <c r="S974" i="5"/>
  <c r="T974" i="5"/>
  <c r="U974" i="5"/>
  <c r="V974" i="5"/>
  <c r="W974" i="5"/>
  <c r="X974" i="5"/>
  <c r="B975" i="5"/>
  <c r="C975" i="5"/>
  <c r="D975" i="5"/>
  <c r="E975" i="5"/>
  <c r="F975" i="5"/>
  <c r="G975" i="5"/>
  <c r="H975" i="5"/>
  <c r="I975" i="5"/>
  <c r="J975" i="5"/>
  <c r="K975" i="5"/>
  <c r="L975" i="5"/>
  <c r="M975" i="5"/>
  <c r="N975" i="5"/>
  <c r="AC975" i="5" s="1"/>
  <c r="O975" i="5"/>
  <c r="P975" i="5"/>
  <c r="Q975" i="5"/>
  <c r="R975" i="5"/>
  <c r="S975" i="5"/>
  <c r="T975" i="5"/>
  <c r="U975" i="5"/>
  <c r="V975" i="5"/>
  <c r="W975" i="5"/>
  <c r="X975" i="5"/>
  <c r="B976" i="5"/>
  <c r="C976" i="5"/>
  <c r="D976" i="5"/>
  <c r="E976" i="5"/>
  <c r="F976" i="5"/>
  <c r="G976" i="5"/>
  <c r="H976" i="5"/>
  <c r="I976" i="5"/>
  <c r="J976" i="5"/>
  <c r="K976" i="5"/>
  <c r="L976" i="5"/>
  <c r="M976" i="5"/>
  <c r="N976" i="5"/>
  <c r="O976" i="5"/>
  <c r="P976" i="5"/>
  <c r="Q976" i="5"/>
  <c r="R976" i="5"/>
  <c r="S976" i="5"/>
  <c r="T976" i="5"/>
  <c r="U976" i="5"/>
  <c r="V976" i="5"/>
  <c r="W976" i="5"/>
  <c r="X976" i="5"/>
  <c r="AB976" i="5"/>
  <c r="B977" i="5"/>
  <c r="C977" i="5"/>
  <c r="D977" i="5"/>
  <c r="E977" i="5"/>
  <c r="F977" i="5"/>
  <c r="G977" i="5"/>
  <c r="H977" i="5"/>
  <c r="I977" i="5"/>
  <c r="J977" i="5"/>
  <c r="K977" i="5"/>
  <c r="L977" i="5"/>
  <c r="M977" i="5"/>
  <c r="N977" i="5"/>
  <c r="O977" i="5"/>
  <c r="P977" i="5"/>
  <c r="Q977" i="5"/>
  <c r="R977" i="5"/>
  <c r="S977" i="5"/>
  <c r="T977" i="5"/>
  <c r="U977" i="5"/>
  <c r="V977" i="5"/>
  <c r="W977" i="5"/>
  <c r="X977" i="5"/>
  <c r="B978" i="5"/>
  <c r="C978" i="5"/>
  <c r="D978" i="5"/>
  <c r="E978" i="5"/>
  <c r="F978" i="5"/>
  <c r="G978" i="5"/>
  <c r="H978" i="5"/>
  <c r="I978" i="5"/>
  <c r="J978" i="5"/>
  <c r="K978" i="5"/>
  <c r="L978" i="5"/>
  <c r="M978" i="5"/>
  <c r="AC978" i="5" s="1"/>
  <c r="N978" i="5"/>
  <c r="O978" i="5"/>
  <c r="P978" i="5"/>
  <c r="Q978" i="5"/>
  <c r="R978" i="5"/>
  <c r="S978" i="5"/>
  <c r="T978" i="5"/>
  <c r="U978" i="5"/>
  <c r="V978" i="5"/>
  <c r="W978" i="5"/>
  <c r="X978" i="5"/>
  <c r="B979" i="5"/>
  <c r="C979" i="5"/>
  <c r="D979" i="5"/>
  <c r="E979" i="5"/>
  <c r="F979" i="5"/>
  <c r="G979" i="5"/>
  <c r="H979" i="5"/>
  <c r="I979" i="5"/>
  <c r="J979" i="5"/>
  <c r="K979" i="5"/>
  <c r="L979" i="5"/>
  <c r="M979" i="5"/>
  <c r="N979" i="5"/>
  <c r="AC979" i="5" s="1"/>
  <c r="O979" i="5"/>
  <c r="P979" i="5"/>
  <c r="Q979" i="5"/>
  <c r="R979" i="5"/>
  <c r="S979" i="5"/>
  <c r="T979" i="5"/>
  <c r="U979" i="5"/>
  <c r="V979" i="5"/>
  <c r="W979" i="5"/>
  <c r="X979" i="5"/>
  <c r="B980" i="5"/>
  <c r="C980" i="5"/>
  <c r="D980" i="5"/>
  <c r="E980" i="5"/>
  <c r="F980" i="5"/>
  <c r="G980" i="5"/>
  <c r="H980" i="5"/>
  <c r="I980" i="5"/>
  <c r="J980" i="5"/>
  <c r="K980" i="5"/>
  <c r="L980" i="5"/>
  <c r="M980" i="5"/>
  <c r="N980" i="5"/>
  <c r="AC980" i="5" s="1"/>
  <c r="O980" i="5"/>
  <c r="P980" i="5"/>
  <c r="Q980" i="5"/>
  <c r="R980" i="5"/>
  <c r="S980" i="5"/>
  <c r="T980" i="5"/>
  <c r="U980" i="5"/>
  <c r="V980" i="5"/>
  <c r="W980" i="5"/>
  <c r="X980" i="5"/>
  <c r="B981" i="5"/>
  <c r="C981" i="5"/>
  <c r="D981" i="5"/>
  <c r="E981" i="5"/>
  <c r="F981" i="5"/>
  <c r="G981" i="5"/>
  <c r="H981" i="5"/>
  <c r="I981" i="5"/>
  <c r="J981" i="5"/>
  <c r="K981" i="5"/>
  <c r="L981" i="5"/>
  <c r="M981" i="5"/>
  <c r="N981" i="5"/>
  <c r="AC981" i="5" s="1"/>
  <c r="O981" i="5"/>
  <c r="P981" i="5"/>
  <c r="Q981" i="5"/>
  <c r="R981" i="5"/>
  <c r="S981" i="5"/>
  <c r="T981" i="5"/>
  <c r="U981" i="5"/>
  <c r="V981" i="5"/>
  <c r="W981" i="5"/>
  <c r="X981" i="5"/>
  <c r="B982" i="5"/>
  <c r="C982" i="5"/>
  <c r="D982" i="5"/>
  <c r="E982" i="5"/>
  <c r="F982" i="5"/>
  <c r="G982" i="5"/>
  <c r="H982" i="5"/>
  <c r="I982" i="5"/>
  <c r="J982" i="5"/>
  <c r="K982" i="5"/>
  <c r="L982" i="5"/>
  <c r="M982" i="5"/>
  <c r="N982" i="5"/>
  <c r="O982" i="5"/>
  <c r="P982" i="5"/>
  <c r="Q982" i="5"/>
  <c r="R982" i="5"/>
  <c r="S982" i="5"/>
  <c r="T982" i="5"/>
  <c r="U982" i="5"/>
  <c r="V982" i="5"/>
  <c r="W982" i="5"/>
  <c r="X982" i="5"/>
  <c r="B983" i="5"/>
  <c r="C983" i="5"/>
  <c r="D983" i="5"/>
  <c r="E983" i="5"/>
  <c r="F983" i="5"/>
  <c r="G983" i="5"/>
  <c r="H983" i="5"/>
  <c r="I983" i="5"/>
  <c r="J983" i="5"/>
  <c r="K983" i="5"/>
  <c r="L983" i="5"/>
  <c r="M983" i="5"/>
  <c r="N983" i="5"/>
  <c r="O983" i="5"/>
  <c r="AC983" i="5" s="1"/>
  <c r="P983" i="5"/>
  <c r="Q983" i="5"/>
  <c r="R983" i="5"/>
  <c r="S983" i="5"/>
  <c r="T983" i="5"/>
  <c r="U983" i="5"/>
  <c r="V983" i="5"/>
  <c r="W983" i="5"/>
  <c r="X983" i="5"/>
  <c r="B984" i="5"/>
  <c r="C984" i="5"/>
  <c r="D984" i="5"/>
  <c r="E984" i="5"/>
  <c r="F984" i="5"/>
  <c r="G984" i="5"/>
  <c r="H984" i="5"/>
  <c r="I984" i="5"/>
  <c r="J984" i="5"/>
  <c r="K984" i="5"/>
  <c r="L984" i="5"/>
  <c r="M984" i="5"/>
  <c r="N984" i="5"/>
  <c r="O984" i="5"/>
  <c r="P984" i="5"/>
  <c r="Q984" i="5"/>
  <c r="R984" i="5"/>
  <c r="S984" i="5"/>
  <c r="T984" i="5"/>
  <c r="U984" i="5"/>
  <c r="V984" i="5"/>
  <c r="W984" i="5"/>
  <c r="X984" i="5"/>
  <c r="B985" i="5"/>
  <c r="C985" i="5"/>
  <c r="D985" i="5"/>
  <c r="E985" i="5"/>
  <c r="F985" i="5"/>
  <c r="G985" i="5"/>
  <c r="H985" i="5"/>
  <c r="I985" i="5"/>
  <c r="J985" i="5"/>
  <c r="K985" i="5"/>
  <c r="L985" i="5"/>
  <c r="M985" i="5"/>
  <c r="N985" i="5"/>
  <c r="O985" i="5"/>
  <c r="P985" i="5"/>
  <c r="Q985" i="5"/>
  <c r="R985" i="5"/>
  <c r="S985" i="5"/>
  <c r="T985" i="5"/>
  <c r="U985" i="5"/>
  <c r="V985" i="5"/>
  <c r="W985" i="5"/>
  <c r="X985" i="5"/>
  <c r="B986" i="5"/>
  <c r="C986" i="5"/>
  <c r="D986" i="5"/>
  <c r="E986" i="5"/>
  <c r="F986" i="5"/>
  <c r="G986" i="5"/>
  <c r="H986" i="5"/>
  <c r="I986" i="5"/>
  <c r="J986" i="5"/>
  <c r="K986" i="5"/>
  <c r="L986" i="5"/>
  <c r="M986" i="5"/>
  <c r="N986" i="5"/>
  <c r="O986" i="5"/>
  <c r="P986" i="5"/>
  <c r="Q986" i="5"/>
  <c r="R986" i="5"/>
  <c r="S986" i="5"/>
  <c r="T986" i="5"/>
  <c r="U986" i="5"/>
  <c r="V986" i="5"/>
  <c r="W986" i="5"/>
  <c r="X986" i="5"/>
  <c r="B987" i="5"/>
  <c r="C987" i="5"/>
  <c r="D987" i="5"/>
  <c r="E987" i="5"/>
  <c r="F987" i="5"/>
  <c r="G987" i="5"/>
  <c r="H987" i="5"/>
  <c r="I987" i="5"/>
  <c r="J987" i="5"/>
  <c r="K987" i="5"/>
  <c r="L987" i="5"/>
  <c r="M987" i="5"/>
  <c r="N987" i="5"/>
  <c r="AC987" i="5" s="1"/>
  <c r="O987" i="5"/>
  <c r="P987" i="5"/>
  <c r="Q987" i="5"/>
  <c r="R987" i="5"/>
  <c r="S987" i="5"/>
  <c r="T987" i="5"/>
  <c r="U987" i="5"/>
  <c r="V987" i="5"/>
  <c r="W987" i="5"/>
  <c r="X987" i="5"/>
  <c r="B988" i="5"/>
  <c r="AB988" i="5" s="1"/>
  <c r="C988" i="5"/>
  <c r="D988" i="5"/>
  <c r="E988" i="5"/>
  <c r="F988" i="5"/>
  <c r="G988" i="5"/>
  <c r="H988" i="5"/>
  <c r="I988" i="5"/>
  <c r="J988" i="5"/>
  <c r="K988" i="5"/>
  <c r="L988" i="5"/>
  <c r="M988" i="5"/>
  <c r="N988" i="5"/>
  <c r="O988" i="5"/>
  <c r="AC988" i="5" s="1"/>
  <c r="P988" i="5"/>
  <c r="Q988" i="5"/>
  <c r="R988" i="5"/>
  <c r="S988" i="5"/>
  <c r="T988" i="5"/>
  <c r="U988" i="5"/>
  <c r="V988" i="5"/>
  <c r="W988" i="5"/>
  <c r="X988" i="5"/>
  <c r="B989" i="5"/>
  <c r="C989" i="5"/>
  <c r="D989" i="5"/>
  <c r="E989" i="5"/>
  <c r="F989" i="5"/>
  <c r="G989" i="5"/>
  <c r="H989" i="5"/>
  <c r="I989" i="5"/>
  <c r="J989" i="5"/>
  <c r="K989" i="5"/>
  <c r="L989" i="5"/>
  <c r="M989" i="5"/>
  <c r="N989" i="5"/>
  <c r="O989" i="5"/>
  <c r="P989" i="5"/>
  <c r="Q989" i="5"/>
  <c r="R989" i="5"/>
  <c r="S989" i="5"/>
  <c r="T989" i="5"/>
  <c r="U989" i="5"/>
  <c r="V989" i="5"/>
  <c r="W989" i="5"/>
  <c r="X989" i="5"/>
  <c r="B990" i="5"/>
  <c r="AB990" i="5" s="1"/>
  <c r="C990" i="5"/>
  <c r="D990" i="5"/>
  <c r="E990" i="5"/>
  <c r="F990" i="5"/>
  <c r="G990" i="5"/>
  <c r="H990" i="5"/>
  <c r="I990" i="5"/>
  <c r="J990" i="5"/>
  <c r="K990" i="5"/>
  <c r="L990" i="5"/>
  <c r="M990" i="5"/>
  <c r="N990" i="5"/>
  <c r="O990" i="5"/>
  <c r="P990" i="5"/>
  <c r="Q990" i="5"/>
  <c r="R990" i="5"/>
  <c r="S990" i="5"/>
  <c r="T990" i="5"/>
  <c r="U990" i="5"/>
  <c r="V990" i="5"/>
  <c r="W990" i="5"/>
  <c r="X990" i="5"/>
  <c r="B991" i="5"/>
  <c r="C991" i="5"/>
  <c r="D991" i="5"/>
  <c r="E991" i="5"/>
  <c r="F991" i="5"/>
  <c r="G991" i="5"/>
  <c r="H991" i="5"/>
  <c r="I991" i="5"/>
  <c r="J991" i="5"/>
  <c r="K991" i="5"/>
  <c r="L991" i="5"/>
  <c r="M991" i="5"/>
  <c r="N991" i="5"/>
  <c r="AC991" i="5" s="1"/>
  <c r="O991" i="5"/>
  <c r="P991" i="5"/>
  <c r="Q991" i="5"/>
  <c r="R991" i="5"/>
  <c r="S991" i="5"/>
  <c r="T991" i="5"/>
  <c r="U991" i="5"/>
  <c r="V991" i="5"/>
  <c r="W991" i="5"/>
  <c r="X991" i="5"/>
  <c r="B992" i="5"/>
  <c r="AB992" i="5" s="1"/>
  <c r="C992" i="5"/>
  <c r="D992" i="5"/>
  <c r="E992" i="5"/>
  <c r="F992" i="5"/>
  <c r="G992" i="5"/>
  <c r="H992" i="5"/>
  <c r="I992" i="5"/>
  <c r="J992" i="5"/>
  <c r="K992" i="5"/>
  <c r="L992" i="5"/>
  <c r="M992" i="5"/>
  <c r="N992" i="5"/>
  <c r="O992" i="5"/>
  <c r="P992" i="5"/>
  <c r="Q992" i="5"/>
  <c r="R992" i="5"/>
  <c r="S992" i="5"/>
  <c r="T992" i="5"/>
  <c r="U992" i="5"/>
  <c r="V992" i="5"/>
  <c r="W992" i="5"/>
  <c r="X992" i="5"/>
  <c r="B993" i="5"/>
  <c r="C993" i="5"/>
  <c r="D993" i="5"/>
  <c r="E993" i="5"/>
  <c r="F993" i="5"/>
  <c r="G993" i="5"/>
  <c r="H993" i="5"/>
  <c r="I993" i="5"/>
  <c r="J993" i="5"/>
  <c r="K993" i="5"/>
  <c r="L993" i="5"/>
  <c r="M993" i="5"/>
  <c r="N993" i="5"/>
  <c r="O993" i="5"/>
  <c r="P993" i="5"/>
  <c r="Q993" i="5"/>
  <c r="R993" i="5"/>
  <c r="S993" i="5"/>
  <c r="T993" i="5"/>
  <c r="U993" i="5"/>
  <c r="V993" i="5"/>
  <c r="W993" i="5"/>
  <c r="X993" i="5"/>
  <c r="B994" i="5"/>
  <c r="C994" i="5"/>
  <c r="D994" i="5"/>
  <c r="E994" i="5"/>
  <c r="F994" i="5"/>
  <c r="G994" i="5"/>
  <c r="H994" i="5"/>
  <c r="I994" i="5"/>
  <c r="J994" i="5"/>
  <c r="K994" i="5"/>
  <c r="L994" i="5"/>
  <c r="M994" i="5"/>
  <c r="N994" i="5"/>
  <c r="O994" i="5"/>
  <c r="P994" i="5"/>
  <c r="Q994" i="5"/>
  <c r="R994" i="5"/>
  <c r="S994" i="5"/>
  <c r="T994" i="5"/>
  <c r="U994" i="5"/>
  <c r="V994" i="5"/>
  <c r="W994" i="5"/>
  <c r="X994" i="5"/>
  <c r="B995" i="5"/>
  <c r="C995" i="5"/>
  <c r="D995" i="5"/>
  <c r="E995" i="5"/>
  <c r="F995" i="5"/>
  <c r="G995" i="5"/>
  <c r="H995" i="5"/>
  <c r="I995" i="5"/>
  <c r="J995" i="5"/>
  <c r="K995" i="5"/>
  <c r="L995" i="5"/>
  <c r="M995" i="5"/>
  <c r="N995" i="5"/>
  <c r="O995" i="5"/>
  <c r="P995" i="5"/>
  <c r="Q995" i="5"/>
  <c r="R995" i="5"/>
  <c r="S995" i="5"/>
  <c r="T995" i="5"/>
  <c r="U995" i="5"/>
  <c r="V995" i="5"/>
  <c r="W995" i="5"/>
  <c r="X995" i="5"/>
  <c r="AC995" i="5"/>
  <c r="B996" i="5"/>
  <c r="C996" i="5"/>
  <c r="D996" i="5"/>
  <c r="E996" i="5"/>
  <c r="F996" i="5"/>
  <c r="G996" i="5"/>
  <c r="H996" i="5"/>
  <c r="I996" i="5"/>
  <c r="J996" i="5"/>
  <c r="K996" i="5"/>
  <c r="L996" i="5"/>
  <c r="M996" i="5"/>
  <c r="N996" i="5"/>
  <c r="O996" i="5"/>
  <c r="P996" i="5"/>
  <c r="Q996" i="5"/>
  <c r="R996" i="5"/>
  <c r="S996" i="5"/>
  <c r="T996" i="5"/>
  <c r="U996" i="5"/>
  <c r="V996" i="5"/>
  <c r="W996" i="5"/>
  <c r="X996" i="5"/>
  <c r="AC996" i="5"/>
  <c r="B997" i="5"/>
  <c r="C997" i="5"/>
  <c r="D997" i="5"/>
  <c r="E997" i="5"/>
  <c r="F997" i="5"/>
  <c r="G997" i="5"/>
  <c r="H997" i="5"/>
  <c r="I997" i="5"/>
  <c r="J997" i="5"/>
  <c r="K997" i="5"/>
  <c r="L997" i="5"/>
  <c r="M997" i="5"/>
  <c r="N997" i="5"/>
  <c r="O997" i="5"/>
  <c r="P997" i="5"/>
  <c r="Q997" i="5"/>
  <c r="R997" i="5"/>
  <c r="S997" i="5"/>
  <c r="T997" i="5"/>
  <c r="U997" i="5"/>
  <c r="V997" i="5"/>
  <c r="W997" i="5"/>
  <c r="X997" i="5"/>
  <c r="AC997" i="5"/>
  <c r="B998" i="5"/>
  <c r="C998" i="5"/>
  <c r="D998" i="5"/>
  <c r="E998" i="5"/>
  <c r="F998" i="5"/>
  <c r="G998" i="5"/>
  <c r="H998" i="5"/>
  <c r="I998" i="5"/>
  <c r="J998" i="5"/>
  <c r="K998" i="5"/>
  <c r="L998" i="5"/>
  <c r="M998" i="5"/>
  <c r="N998" i="5"/>
  <c r="O998" i="5"/>
  <c r="P998" i="5"/>
  <c r="Q998" i="5"/>
  <c r="R998" i="5"/>
  <c r="S998" i="5"/>
  <c r="T998" i="5"/>
  <c r="U998" i="5"/>
  <c r="V998" i="5"/>
  <c r="W998" i="5"/>
  <c r="X998" i="5"/>
  <c r="B999" i="5"/>
  <c r="C999" i="5"/>
  <c r="D999" i="5"/>
  <c r="E999" i="5"/>
  <c r="F999" i="5"/>
  <c r="G999" i="5"/>
  <c r="H999" i="5"/>
  <c r="I999" i="5"/>
  <c r="J999" i="5"/>
  <c r="K999" i="5"/>
  <c r="L999" i="5"/>
  <c r="M999" i="5"/>
  <c r="N999" i="5"/>
  <c r="O999" i="5"/>
  <c r="P999" i="5"/>
  <c r="Q999" i="5"/>
  <c r="R999" i="5"/>
  <c r="S999" i="5"/>
  <c r="T999" i="5"/>
  <c r="U999" i="5"/>
  <c r="V999" i="5"/>
  <c r="W999" i="5"/>
  <c r="X999" i="5"/>
  <c r="B1000" i="5"/>
  <c r="C1000" i="5"/>
  <c r="D1000" i="5"/>
  <c r="E1000" i="5"/>
  <c r="F1000" i="5"/>
  <c r="G1000" i="5"/>
  <c r="AB1000" i="5" s="1"/>
  <c r="H1000" i="5"/>
  <c r="I1000" i="5"/>
  <c r="J1000" i="5"/>
  <c r="K1000" i="5"/>
  <c r="L1000" i="5"/>
  <c r="M1000" i="5"/>
  <c r="N1000" i="5"/>
  <c r="O1000" i="5"/>
  <c r="P1000" i="5"/>
  <c r="Q1000" i="5"/>
  <c r="R1000" i="5"/>
  <c r="S1000" i="5"/>
  <c r="T1000" i="5"/>
  <c r="U1000" i="5"/>
  <c r="V1000" i="5"/>
  <c r="W1000" i="5"/>
  <c r="X1000" i="5"/>
  <c r="B1001" i="5"/>
  <c r="C1001" i="5"/>
  <c r="D1001" i="5"/>
  <c r="E1001" i="5"/>
  <c r="F1001" i="5"/>
  <c r="G1001" i="5"/>
  <c r="H1001" i="5"/>
  <c r="I1001" i="5"/>
  <c r="J1001" i="5"/>
  <c r="K1001" i="5"/>
  <c r="L1001" i="5"/>
  <c r="M1001" i="5"/>
  <c r="N1001" i="5"/>
  <c r="O1001" i="5"/>
  <c r="P1001" i="5"/>
  <c r="Q1001" i="5"/>
  <c r="R1001" i="5"/>
  <c r="S1001" i="5"/>
  <c r="T1001" i="5"/>
  <c r="U1001" i="5"/>
  <c r="V1001" i="5"/>
  <c r="W1001" i="5"/>
  <c r="X1001" i="5"/>
  <c r="B1002" i="5"/>
  <c r="C1002" i="5"/>
  <c r="D1002" i="5"/>
  <c r="E1002" i="5"/>
  <c r="F1002" i="5"/>
  <c r="G1002" i="5"/>
  <c r="H1002" i="5"/>
  <c r="I1002" i="5"/>
  <c r="J1002" i="5"/>
  <c r="K1002" i="5"/>
  <c r="L1002" i="5"/>
  <c r="M1002" i="5"/>
  <c r="AC1002" i="5" s="1"/>
  <c r="N1002" i="5"/>
  <c r="O1002" i="5"/>
  <c r="P1002" i="5"/>
  <c r="Q1002" i="5"/>
  <c r="R1002" i="5"/>
  <c r="S1002" i="5"/>
  <c r="T1002" i="5"/>
  <c r="U1002" i="5"/>
  <c r="V1002" i="5"/>
  <c r="W1002" i="5"/>
  <c r="X1002" i="5"/>
  <c r="B1003" i="5"/>
  <c r="C1003" i="5"/>
  <c r="D1003" i="5"/>
  <c r="E1003" i="5"/>
  <c r="F1003" i="5"/>
  <c r="G1003" i="5"/>
  <c r="H1003" i="5"/>
  <c r="I1003" i="5"/>
  <c r="J1003" i="5"/>
  <c r="K1003" i="5"/>
  <c r="L1003" i="5"/>
  <c r="M1003" i="5"/>
  <c r="N1003" i="5"/>
  <c r="AC1003" i="5" s="1"/>
  <c r="O1003" i="5"/>
  <c r="P1003" i="5"/>
  <c r="Q1003" i="5"/>
  <c r="R1003" i="5"/>
  <c r="S1003" i="5"/>
  <c r="T1003" i="5"/>
  <c r="U1003" i="5"/>
  <c r="V1003" i="5"/>
  <c r="W1003" i="5"/>
  <c r="X1003" i="5"/>
  <c r="B1004" i="5"/>
  <c r="AB1004" i="5" s="1"/>
  <c r="C1004" i="5"/>
  <c r="D1004" i="5"/>
  <c r="E1004" i="5"/>
  <c r="F1004" i="5"/>
  <c r="G1004" i="5"/>
  <c r="H1004" i="5"/>
  <c r="I1004" i="5"/>
  <c r="J1004" i="5"/>
  <c r="K1004" i="5"/>
  <c r="L1004" i="5"/>
  <c r="M1004" i="5"/>
  <c r="N1004" i="5"/>
  <c r="O1004" i="5"/>
  <c r="P1004" i="5"/>
  <c r="Q1004" i="5"/>
  <c r="R1004" i="5"/>
  <c r="S1004" i="5"/>
  <c r="T1004" i="5"/>
  <c r="U1004" i="5"/>
  <c r="V1004" i="5"/>
  <c r="W1004" i="5"/>
  <c r="X1004" i="5"/>
  <c r="AC1004" i="5"/>
  <c r="B1005" i="5"/>
  <c r="C1005" i="5"/>
  <c r="D1005" i="5"/>
  <c r="E1005" i="5"/>
  <c r="F1005" i="5"/>
  <c r="G1005" i="5"/>
  <c r="H1005" i="5"/>
  <c r="I1005" i="5"/>
  <c r="J1005" i="5"/>
  <c r="K1005" i="5"/>
  <c r="L1005" i="5"/>
  <c r="M1005" i="5"/>
  <c r="N1005" i="5"/>
  <c r="O1005" i="5"/>
  <c r="P1005" i="5"/>
  <c r="Q1005" i="5"/>
  <c r="R1005" i="5"/>
  <c r="S1005" i="5"/>
  <c r="T1005" i="5"/>
  <c r="U1005" i="5"/>
  <c r="V1005" i="5"/>
  <c r="W1005" i="5"/>
  <c r="X1005" i="5"/>
  <c r="B1006" i="5"/>
  <c r="C1006" i="5"/>
  <c r="D1006" i="5"/>
  <c r="E1006" i="5"/>
  <c r="F1006" i="5"/>
  <c r="G1006" i="5"/>
  <c r="H1006" i="5"/>
  <c r="I1006" i="5"/>
  <c r="J1006" i="5"/>
  <c r="K1006" i="5"/>
  <c r="L1006" i="5"/>
  <c r="M1006" i="5"/>
  <c r="N1006" i="5"/>
  <c r="O1006" i="5"/>
  <c r="P1006" i="5"/>
  <c r="Q1006" i="5"/>
  <c r="R1006" i="5"/>
  <c r="S1006" i="5"/>
  <c r="T1006" i="5"/>
  <c r="U1006" i="5"/>
  <c r="V1006" i="5"/>
  <c r="W1006" i="5"/>
  <c r="X1006" i="5"/>
  <c r="B1007" i="5"/>
  <c r="C1007" i="5"/>
  <c r="D1007" i="5"/>
  <c r="E1007" i="5"/>
  <c r="F1007" i="5"/>
  <c r="G1007" i="5"/>
  <c r="H1007" i="5"/>
  <c r="I1007" i="5"/>
  <c r="J1007" i="5"/>
  <c r="K1007" i="5"/>
  <c r="L1007" i="5"/>
  <c r="M1007" i="5"/>
  <c r="N1007" i="5"/>
  <c r="O1007" i="5"/>
  <c r="AC1007" i="5" s="1"/>
  <c r="P1007" i="5"/>
  <c r="Q1007" i="5"/>
  <c r="R1007" i="5"/>
  <c r="S1007" i="5"/>
  <c r="T1007" i="5"/>
  <c r="U1007" i="5"/>
  <c r="V1007" i="5"/>
  <c r="W1007" i="5"/>
  <c r="X1007" i="5"/>
  <c r="B1008" i="5"/>
  <c r="C1008" i="5"/>
  <c r="D1008" i="5"/>
  <c r="E1008" i="5"/>
  <c r="F1008" i="5"/>
  <c r="G1008" i="5"/>
  <c r="H1008" i="5"/>
  <c r="I1008" i="5"/>
  <c r="J1008" i="5"/>
  <c r="K1008" i="5"/>
  <c r="L1008" i="5"/>
  <c r="M1008" i="5"/>
  <c r="N1008" i="5"/>
  <c r="O1008" i="5"/>
  <c r="P1008" i="5"/>
  <c r="Q1008" i="5"/>
  <c r="R1008" i="5"/>
  <c r="S1008" i="5"/>
  <c r="T1008" i="5"/>
  <c r="U1008" i="5"/>
  <c r="V1008" i="5"/>
  <c r="W1008" i="5"/>
  <c r="X1008" i="5"/>
  <c r="B1009" i="5"/>
  <c r="C1009" i="5"/>
  <c r="D1009" i="5"/>
  <c r="E1009" i="5"/>
  <c r="F1009" i="5"/>
  <c r="G1009" i="5"/>
  <c r="H1009" i="5"/>
  <c r="I1009" i="5"/>
  <c r="J1009" i="5"/>
  <c r="K1009" i="5"/>
  <c r="L1009" i="5"/>
  <c r="M1009" i="5"/>
  <c r="N1009" i="5"/>
  <c r="O1009" i="5"/>
  <c r="P1009" i="5"/>
  <c r="Q1009" i="5"/>
  <c r="R1009" i="5"/>
  <c r="S1009" i="5"/>
  <c r="T1009" i="5"/>
  <c r="U1009" i="5"/>
  <c r="V1009" i="5"/>
  <c r="W1009" i="5"/>
  <c r="X1009" i="5"/>
  <c r="B1010" i="5"/>
  <c r="C1010" i="5"/>
  <c r="D1010" i="5"/>
  <c r="E1010" i="5"/>
  <c r="F1010" i="5"/>
  <c r="G1010" i="5"/>
  <c r="H1010" i="5"/>
  <c r="I1010" i="5"/>
  <c r="J1010" i="5"/>
  <c r="K1010" i="5"/>
  <c r="L1010" i="5"/>
  <c r="M1010" i="5"/>
  <c r="N1010" i="5"/>
  <c r="O1010" i="5"/>
  <c r="P1010" i="5"/>
  <c r="Q1010" i="5"/>
  <c r="R1010" i="5"/>
  <c r="S1010" i="5"/>
  <c r="T1010" i="5"/>
  <c r="U1010" i="5"/>
  <c r="V1010" i="5"/>
  <c r="W1010" i="5"/>
  <c r="X1010" i="5"/>
  <c r="B1011" i="5"/>
  <c r="C1011" i="5"/>
  <c r="D1011" i="5"/>
  <c r="E1011" i="5"/>
  <c r="F1011" i="5"/>
  <c r="G1011" i="5"/>
  <c r="H1011" i="5"/>
  <c r="I1011" i="5"/>
  <c r="J1011" i="5"/>
  <c r="K1011" i="5"/>
  <c r="L1011" i="5"/>
  <c r="M1011" i="5"/>
  <c r="N1011" i="5"/>
  <c r="AC1011" i="5" s="1"/>
  <c r="O1011" i="5"/>
  <c r="P1011" i="5"/>
  <c r="Q1011" i="5"/>
  <c r="R1011" i="5"/>
  <c r="S1011" i="5"/>
  <c r="T1011" i="5"/>
  <c r="U1011" i="5"/>
  <c r="V1011" i="5"/>
  <c r="W1011" i="5"/>
  <c r="X1011" i="5"/>
  <c r="B1012" i="5"/>
  <c r="AB1012" i="5" s="1"/>
  <c r="C1012" i="5"/>
  <c r="D1012" i="5"/>
  <c r="E1012" i="5"/>
  <c r="F1012" i="5"/>
  <c r="G1012" i="5"/>
  <c r="H1012" i="5"/>
  <c r="I1012" i="5"/>
  <c r="J1012" i="5"/>
  <c r="K1012" i="5"/>
  <c r="L1012" i="5"/>
  <c r="M1012" i="5"/>
  <c r="N1012" i="5"/>
  <c r="O1012" i="5"/>
  <c r="AC1012" i="5" s="1"/>
  <c r="P1012" i="5"/>
  <c r="Q1012" i="5"/>
  <c r="R1012" i="5"/>
  <c r="S1012" i="5"/>
  <c r="T1012" i="5"/>
  <c r="U1012" i="5"/>
  <c r="V1012" i="5"/>
  <c r="W1012" i="5"/>
  <c r="X1012" i="5"/>
  <c r="B1013" i="5"/>
  <c r="C1013" i="5"/>
  <c r="D1013" i="5"/>
  <c r="E1013" i="5"/>
  <c r="F1013" i="5"/>
  <c r="G1013" i="5"/>
  <c r="H1013" i="5"/>
  <c r="I1013" i="5"/>
  <c r="J1013" i="5"/>
  <c r="K1013" i="5"/>
  <c r="L1013" i="5"/>
  <c r="M1013" i="5"/>
  <c r="N1013" i="5"/>
  <c r="O1013" i="5"/>
  <c r="P1013" i="5"/>
  <c r="Q1013" i="5"/>
  <c r="R1013" i="5"/>
  <c r="S1013" i="5"/>
  <c r="T1013" i="5"/>
  <c r="U1013" i="5"/>
  <c r="V1013" i="5"/>
  <c r="W1013" i="5"/>
  <c r="X1013" i="5"/>
  <c r="B1014" i="5"/>
  <c r="AB1014" i="5" s="1"/>
  <c r="C1014" i="5"/>
  <c r="D1014" i="5"/>
  <c r="E1014" i="5"/>
  <c r="F1014" i="5"/>
  <c r="G1014" i="5"/>
  <c r="H1014" i="5"/>
  <c r="I1014" i="5"/>
  <c r="J1014" i="5"/>
  <c r="K1014" i="5"/>
  <c r="L1014" i="5"/>
  <c r="M1014" i="5"/>
  <c r="N1014" i="5"/>
  <c r="O1014" i="5"/>
  <c r="P1014" i="5"/>
  <c r="Q1014" i="5"/>
  <c r="R1014" i="5"/>
  <c r="S1014" i="5"/>
  <c r="T1014" i="5"/>
  <c r="U1014" i="5"/>
  <c r="V1014" i="5"/>
  <c r="W1014" i="5"/>
  <c r="X1014" i="5"/>
  <c r="B1015" i="5"/>
  <c r="C1015" i="5"/>
  <c r="D1015" i="5"/>
  <c r="E1015" i="5"/>
  <c r="F1015" i="5"/>
  <c r="G1015" i="5"/>
  <c r="H1015" i="5"/>
  <c r="I1015" i="5"/>
  <c r="J1015" i="5"/>
  <c r="K1015" i="5"/>
  <c r="L1015" i="5"/>
  <c r="M1015" i="5"/>
  <c r="N1015" i="5"/>
  <c r="AC1015" i="5" s="1"/>
  <c r="O1015" i="5"/>
  <c r="P1015" i="5"/>
  <c r="Q1015" i="5"/>
  <c r="R1015" i="5"/>
  <c r="S1015" i="5"/>
  <c r="T1015" i="5"/>
  <c r="U1015" i="5"/>
  <c r="V1015" i="5"/>
  <c r="W1015" i="5"/>
  <c r="X1015" i="5"/>
  <c r="B1016" i="5"/>
  <c r="AB1016" i="5" s="1"/>
  <c r="C1016" i="5"/>
  <c r="D1016" i="5"/>
  <c r="E1016" i="5"/>
  <c r="F1016" i="5"/>
  <c r="G1016" i="5"/>
  <c r="H1016" i="5"/>
  <c r="I1016" i="5"/>
  <c r="J1016" i="5"/>
  <c r="K1016" i="5"/>
  <c r="L1016" i="5"/>
  <c r="M1016" i="5"/>
  <c r="N1016" i="5"/>
  <c r="O1016" i="5"/>
  <c r="P1016" i="5"/>
  <c r="Q1016" i="5"/>
  <c r="R1016" i="5"/>
  <c r="S1016" i="5"/>
  <c r="T1016" i="5"/>
  <c r="U1016" i="5"/>
  <c r="V1016" i="5"/>
  <c r="W1016" i="5"/>
  <c r="X1016" i="5"/>
  <c r="B1017" i="5"/>
  <c r="C1017" i="5"/>
  <c r="D1017" i="5"/>
  <c r="E1017" i="5"/>
  <c r="F1017" i="5"/>
  <c r="G1017" i="5"/>
  <c r="H1017" i="5"/>
  <c r="I1017" i="5"/>
  <c r="J1017" i="5"/>
  <c r="K1017" i="5"/>
  <c r="L1017" i="5"/>
  <c r="M1017" i="5"/>
  <c r="N1017" i="5"/>
  <c r="O1017" i="5"/>
  <c r="P1017" i="5"/>
  <c r="Q1017" i="5"/>
  <c r="R1017" i="5"/>
  <c r="S1017" i="5"/>
  <c r="T1017" i="5"/>
  <c r="U1017" i="5"/>
  <c r="V1017" i="5"/>
  <c r="W1017" i="5"/>
  <c r="X1017" i="5"/>
  <c r="B1018" i="5"/>
  <c r="C1018" i="5"/>
  <c r="D1018" i="5"/>
  <c r="E1018" i="5"/>
  <c r="F1018" i="5"/>
  <c r="G1018" i="5"/>
  <c r="H1018" i="5"/>
  <c r="I1018" i="5"/>
  <c r="J1018" i="5"/>
  <c r="K1018" i="5"/>
  <c r="L1018" i="5"/>
  <c r="M1018" i="5"/>
  <c r="N1018" i="5"/>
  <c r="O1018" i="5"/>
  <c r="P1018" i="5"/>
  <c r="Q1018" i="5"/>
  <c r="R1018" i="5"/>
  <c r="S1018" i="5"/>
  <c r="T1018" i="5"/>
  <c r="U1018" i="5"/>
  <c r="V1018" i="5"/>
  <c r="W1018" i="5"/>
  <c r="X1018" i="5"/>
  <c r="B1019" i="5"/>
  <c r="C1019" i="5"/>
  <c r="D1019" i="5"/>
  <c r="E1019" i="5"/>
  <c r="F1019" i="5"/>
  <c r="G1019" i="5"/>
  <c r="H1019" i="5"/>
  <c r="I1019" i="5"/>
  <c r="J1019" i="5"/>
  <c r="K1019" i="5"/>
  <c r="L1019" i="5"/>
  <c r="M1019" i="5"/>
  <c r="N1019" i="5"/>
  <c r="O1019" i="5"/>
  <c r="P1019" i="5"/>
  <c r="Q1019" i="5"/>
  <c r="R1019" i="5"/>
  <c r="S1019" i="5"/>
  <c r="T1019" i="5"/>
  <c r="U1019" i="5"/>
  <c r="V1019" i="5"/>
  <c r="W1019" i="5"/>
  <c r="X1019" i="5"/>
  <c r="AC1019" i="5"/>
  <c r="B1020" i="5"/>
  <c r="C1020" i="5"/>
  <c r="D1020" i="5"/>
  <c r="E1020" i="5"/>
  <c r="F1020" i="5"/>
  <c r="G1020" i="5"/>
  <c r="H1020" i="5"/>
  <c r="I1020" i="5"/>
  <c r="J1020" i="5"/>
  <c r="K1020" i="5"/>
  <c r="L1020" i="5"/>
  <c r="M1020" i="5"/>
  <c r="N1020" i="5"/>
  <c r="O1020" i="5"/>
  <c r="P1020" i="5"/>
  <c r="Q1020" i="5"/>
  <c r="R1020" i="5"/>
  <c r="S1020" i="5"/>
  <c r="T1020" i="5"/>
  <c r="U1020" i="5"/>
  <c r="V1020" i="5"/>
  <c r="W1020" i="5"/>
  <c r="X1020" i="5"/>
  <c r="AC1020" i="5"/>
  <c r="B1021" i="5"/>
  <c r="C1021" i="5"/>
  <c r="D1021" i="5"/>
  <c r="E1021" i="5"/>
  <c r="F1021" i="5"/>
  <c r="G1021" i="5"/>
  <c r="H1021" i="5"/>
  <c r="I1021" i="5"/>
  <c r="J1021" i="5"/>
  <c r="K1021" i="5"/>
  <c r="L1021" i="5"/>
  <c r="M1021" i="5"/>
  <c r="N1021" i="5"/>
  <c r="O1021" i="5"/>
  <c r="P1021" i="5"/>
  <c r="Q1021" i="5"/>
  <c r="R1021" i="5"/>
  <c r="S1021" i="5"/>
  <c r="T1021" i="5"/>
  <c r="U1021" i="5"/>
  <c r="V1021" i="5"/>
  <c r="W1021" i="5"/>
  <c r="X1021" i="5"/>
  <c r="AC1021" i="5"/>
  <c r="B1022" i="5"/>
  <c r="C1022" i="5"/>
  <c r="D1022" i="5"/>
  <c r="E1022" i="5"/>
  <c r="F1022" i="5"/>
  <c r="G1022" i="5"/>
  <c r="H1022" i="5"/>
  <c r="I1022" i="5"/>
  <c r="J1022" i="5"/>
  <c r="K1022" i="5"/>
  <c r="L1022" i="5"/>
  <c r="M1022" i="5"/>
  <c r="N1022" i="5"/>
  <c r="O1022" i="5"/>
  <c r="P1022" i="5"/>
  <c r="Q1022" i="5"/>
  <c r="R1022" i="5"/>
  <c r="S1022" i="5"/>
  <c r="T1022" i="5"/>
  <c r="U1022" i="5"/>
  <c r="V1022" i="5"/>
  <c r="W1022" i="5"/>
  <c r="X1022" i="5"/>
  <c r="AB1022" i="5"/>
  <c r="B1023" i="5"/>
  <c r="C1023" i="5"/>
  <c r="D1023" i="5"/>
  <c r="E1023" i="5"/>
  <c r="F1023" i="5"/>
  <c r="G1023" i="5"/>
  <c r="H1023" i="5"/>
  <c r="I1023" i="5"/>
  <c r="J1023" i="5"/>
  <c r="K1023" i="5"/>
  <c r="L1023" i="5"/>
  <c r="M1023" i="5"/>
  <c r="N1023" i="5"/>
  <c r="O1023" i="5"/>
  <c r="P1023" i="5"/>
  <c r="Q1023" i="5"/>
  <c r="R1023" i="5"/>
  <c r="S1023" i="5"/>
  <c r="T1023" i="5"/>
  <c r="U1023" i="5"/>
  <c r="V1023" i="5"/>
  <c r="W1023" i="5"/>
  <c r="X1023" i="5"/>
  <c r="AC1023" i="5"/>
  <c r="B1024" i="5"/>
  <c r="C1024" i="5"/>
  <c r="D1024" i="5"/>
  <c r="E1024" i="5"/>
  <c r="F1024" i="5"/>
  <c r="G1024" i="5"/>
  <c r="H1024" i="5"/>
  <c r="I1024" i="5"/>
  <c r="J1024" i="5"/>
  <c r="K1024" i="5"/>
  <c r="L1024" i="5"/>
  <c r="M1024" i="5"/>
  <c r="N1024" i="5"/>
  <c r="O1024" i="5"/>
  <c r="P1024" i="5"/>
  <c r="Q1024" i="5"/>
  <c r="R1024" i="5"/>
  <c r="S1024" i="5"/>
  <c r="T1024" i="5"/>
  <c r="U1024" i="5"/>
  <c r="V1024" i="5"/>
  <c r="W1024" i="5"/>
  <c r="X1024" i="5"/>
  <c r="AB1024" i="5"/>
  <c r="B1025" i="5"/>
  <c r="C1025" i="5"/>
  <c r="D1025" i="5"/>
  <c r="E1025" i="5"/>
  <c r="F1025" i="5"/>
  <c r="G1025" i="5"/>
  <c r="H1025" i="5"/>
  <c r="I1025" i="5"/>
  <c r="J1025" i="5"/>
  <c r="K1025" i="5"/>
  <c r="L1025" i="5"/>
  <c r="M1025" i="5"/>
  <c r="N1025" i="5"/>
  <c r="O1025" i="5"/>
  <c r="P1025" i="5"/>
  <c r="Q1025" i="5"/>
  <c r="R1025" i="5"/>
  <c r="S1025" i="5"/>
  <c r="T1025" i="5"/>
  <c r="U1025" i="5"/>
  <c r="V1025" i="5"/>
  <c r="W1025" i="5"/>
  <c r="X1025" i="5"/>
  <c r="B1026" i="5"/>
  <c r="C1026" i="5"/>
  <c r="D1026" i="5"/>
  <c r="E1026" i="5"/>
  <c r="F1026" i="5"/>
  <c r="G1026" i="5"/>
  <c r="H1026" i="5"/>
  <c r="I1026" i="5"/>
  <c r="J1026" i="5"/>
  <c r="K1026" i="5"/>
  <c r="L1026" i="5"/>
  <c r="M1026" i="5"/>
  <c r="N1026" i="5"/>
  <c r="O1026" i="5"/>
  <c r="P1026" i="5"/>
  <c r="Q1026" i="5"/>
  <c r="R1026" i="5"/>
  <c r="S1026" i="5"/>
  <c r="T1026" i="5"/>
  <c r="U1026" i="5"/>
  <c r="V1026" i="5"/>
  <c r="W1026" i="5"/>
  <c r="X1026" i="5"/>
  <c r="B1027" i="5"/>
  <c r="C1027" i="5"/>
  <c r="D1027" i="5"/>
  <c r="E1027" i="5"/>
  <c r="F1027" i="5"/>
  <c r="G1027" i="5"/>
  <c r="H1027" i="5"/>
  <c r="I1027" i="5"/>
  <c r="J1027" i="5"/>
  <c r="K1027" i="5"/>
  <c r="L1027" i="5"/>
  <c r="M1027" i="5"/>
  <c r="N1027" i="5"/>
  <c r="AC1027" i="5" s="1"/>
  <c r="O1027" i="5"/>
  <c r="P1027" i="5"/>
  <c r="Q1027" i="5"/>
  <c r="R1027" i="5"/>
  <c r="S1027" i="5"/>
  <c r="T1027" i="5"/>
  <c r="U1027" i="5"/>
  <c r="V1027" i="5"/>
  <c r="W1027" i="5"/>
  <c r="X1027" i="5"/>
  <c r="B1028" i="5"/>
  <c r="C1028" i="5"/>
  <c r="D1028" i="5"/>
  <c r="E1028" i="5"/>
  <c r="F1028" i="5"/>
  <c r="G1028" i="5"/>
  <c r="H1028" i="5"/>
  <c r="I1028" i="5"/>
  <c r="J1028" i="5"/>
  <c r="K1028" i="5"/>
  <c r="L1028" i="5"/>
  <c r="M1028" i="5"/>
  <c r="N1028" i="5"/>
  <c r="AC1028" i="5" s="1"/>
  <c r="O1028" i="5"/>
  <c r="P1028" i="5"/>
  <c r="Q1028" i="5"/>
  <c r="R1028" i="5"/>
  <c r="S1028" i="5"/>
  <c r="T1028" i="5"/>
  <c r="U1028" i="5"/>
  <c r="V1028" i="5"/>
  <c r="W1028" i="5"/>
  <c r="X1028" i="5"/>
  <c r="B1029" i="5"/>
  <c r="C1029" i="5"/>
  <c r="D1029" i="5"/>
  <c r="E1029" i="5"/>
  <c r="F1029" i="5"/>
  <c r="G1029" i="5"/>
  <c r="H1029" i="5"/>
  <c r="I1029" i="5"/>
  <c r="J1029" i="5"/>
  <c r="K1029" i="5"/>
  <c r="L1029" i="5"/>
  <c r="M1029" i="5"/>
  <c r="N1029" i="5"/>
  <c r="AC1029" i="5" s="1"/>
  <c r="O1029" i="5"/>
  <c r="P1029" i="5"/>
  <c r="Q1029" i="5"/>
  <c r="R1029" i="5"/>
  <c r="S1029" i="5"/>
  <c r="T1029" i="5"/>
  <c r="U1029" i="5"/>
  <c r="V1029" i="5"/>
  <c r="W1029" i="5"/>
  <c r="X1029" i="5"/>
  <c r="B1030" i="5"/>
  <c r="C1030" i="5"/>
  <c r="D1030" i="5"/>
  <c r="E1030" i="5"/>
  <c r="F1030" i="5"/>
  <c r="G1030" i="5"/>
  <c r="H1030" i="5"/>
  <c r="I1030" i="5"/>
  <c r="J1030" i="5"/>
  <c r="K1030" i="5"/>
  <c r="L1030" i="5"/>
  <c r="M1030" i="5"/>
  <c r="N1030" i="5"/>
  <c r="O1030" i="5"/>
  <c r="P1030" i="5"/>
  <c r="Q1030" i="5"/>
  <c r="R1030" i="5"/>
  <c r="S1030" i="5"/>
  <c r="T1030" i="5"/>
  <c r="U1030" i="5"/>
  <c r="V1030" i="5"/>
  <c r="W1030" i="5"/>
  <c r="X1030" i="5"/>
  <c r="B1031" i="5"/>
  <c r="C1031" i="5"/>
  <c r="D1031" i="5"/>
  <c r="E1031" i="5"/>
  <c r="F1031" i="5"/>
  <c r="G1031" i="5"/>
  <c r="H1031" i="5"/>
  <c r="I1031" i="5"/>
  <c r="J1031" i="5"/>
  <c r="K1031" i="5"/>
  <c r="L1031" i="5"/>
  <c r="M1031" i="5"/>
  <c r="N1031" i="5"/>
  <c r="O1031" i="5"/>
  <c r="AC1031" i="5" s="1"/>
  <c r="P1031" i="5"/>
  <c r="Q1031" i="5"/>
  <c r="R1031" i="5"/>
  <c r="S1031" i="5"/>
  <c r="T1031" i="5"/>
  <c r="U1031" i="5"/>
  <c r="V1031" i="5"/>
  <c r="W1031" i="5"/>
  <c r="X1031" i="5"/>
  <c r="B1032" i="5"/>
  <c r="C1032" i="5"/>
  <c r="AB1032" i="5" s="1"/>
  <c r="D1032" i="5"/>
  <c r="E1032" i="5"/>
  <c r="F1032" i="5"/>
  <c r="G1032" i="5"/>
  <c r="H1032" i="5"/>
  <c r="I1032" i="5"/>
  <c r="J1032" i="5"/>
  <c r="K1032" i="5"/>
  <c r="L1032" i="5"/>
  <c r="M1032" i="5"/>
  <c r="N1032" i="5"/>
  <c r="O1032" i="5"/>
  <c r="P1032" i="5"/>
  <c r="Q1032" i="5"/>
  <c r="R1032" i="5"/>
  <c r="S1032" i="5"/>
  <c r="T1032" i="5"/>
  <c r="U1032" i="5"/>
  <c r="V1032" i="5"/>
  <c r="W1032" i="5"/>
  <c r="X1032" i="5"/>
  <c r="B1033" i="5"/>
  <c r="C1033" i="5"/>
  <c r="D1033" i="5"/>
  <c r="E1033" i="5"/>
  <c r="F1033" i="5"/>
  <c r="G1033" i="5"/>
  <c r="H1033" i="5"/>
  <c r="I1033" i="5"/>
  <c r="J1033" i="5"/>
  <c r="K1033" i="5"/>
  <c r="L1033" i="5"/>
  <c r="M1033" i="5"/>
  <c r="N1033" i="5"/>
  <c r="O1033" i="5"/>
  <c r="P1033" i="5"/>
  <c r="Q1033" i="5"/>
  <c r="R1033" i="5"/>
  <c r="S1033" i="5"/>
  <c r="T1033" i="5"/>
  <c r="U1033" i="5"/>
  <c r="V1033" i="5"/>
  <c r="W1033" i="5"/>
  <c r="X1033" i="5"/>
  <c r="B1034" i="5"/>
  <c r="C1034" i="5"/>
  <c r="D1034" i="5"/>
  <c r="E1034" i="5"/>
  <c r="F1034" i="5"/>
  <c r="G1034" i="5"/>
  <c r="H1034" i="5"/>
  <c r="I1034" i="5"/>
  <c r="J1034" i="5"/>
  <c r="K1034" i="5"/>
  <c r="L1034" i="5"/>
  <c r="M1034" i="5"/>
  <c r="AC1034" i="5" s="1"/>
  <c r="N1034" i="5"/>
  <c r="O1034" i="5"/>
  <c r="P1034" i="5"/>
  <c r="Q1034" i="5"/>
  <c r="R1034" i="5"/>
  <c r="S1034" i="5"/>
  <c r="T1034" i="5"/>
  <c r="U1034" i="5"/>
  <c r="V1034" i="5"/>
  <c r="W1034" i="5"/>
  <c r="X1034" i="5"/>
  <c r="B1035" i="5"/>
  <c r="C1035" i="5"/>
  <c r="D1035" i="5"/>
  <c r="E1035" i="5"/>
  <c r="F1035" i="5"/>
  <c r="G1035" i="5"/>
  <c r="H1035" i="5"/>
  <c r="I1035" i="5"/>
  <c r="J1035" i="5"/>
  <c r="K1035" i="5"/>
  <c r="L1035" i="5"/>
  <c r="M1035" i="5"/>
  <c r="N1035" i="5"/>
  <c r="AC1035" i="5" s="1"/>
  <c r="O1035" i="5"/>
  <c r="P1035" i="5"/>
  <c r="Q1035" i="5"/>
  <c r="R1035" i="5"/>
  <c r="S1035" i="5"/>
  <c r="T1035" i="5"/>
  <c r="U1035" i="5"/>
  <c r="V1035" i="5"/>
  <c r="W1035" i="5"/>
  <c r="X1035" i="5"/>
  <c r="B1036" i="5"/>
  <c r="C1036" i="5"/>
  <c r="D1036" i="5"/>
  <c r="E1036" i="5"/>
  <c r="F1036" i="5"/>
  <c r="G1036" i="5"/>
  <c r="H1036" i="5"/>
  <c r="I1036" i="5"/>
  <c r="J1036" i="5"/>
  <c r="K1036" i="5"/>
  <c r="L1036" i="5"/>
  <c r="M1036" i="5"/>
  <c r="N1036" i="5"/>
  <c r="AC1036" i="5" s="1"/>
  <c r="O1036" i="5"/>
  <c r="P1036" i="5"/>
  <c r="Q1036" i="5"/>
  <c r="R1036" i="5"/>
  <c r="S1036" i="5"/>
  <c r="T1036" i="5"/>
  <c r="U1036" i="5"/>
  <c r="V1036" i="5"/>
  <c r="W1036" i="5"/>
  <c r="X1036" i="5"/>
  <c r="B1037" i="5"/>
  <c r="C1037" i="5"/>
  <c r="D1037" i="5"/>
  <c r="E1037" i="5"/>
  <c r="F1037" i="5"/>
  <c r="G1037" i="5"/>
  <c r="H1037" i="5"/>
  <c r="I1037" i="5"/>
  <c r="J1037" i="5"/>
  <c r="K1037" i="5"/>
  <c r="L1037" i="5"/>
  <c r="M1037" i="5"/>
  <c r="N1037" i="5"/>
  <c r="AC1037" i="5" s="1"/>
  <c r="O1037" i="5"/>
  <c r="P1037" i="5"/>
  <c r="Q1037" i="5"/>
  <c r="R1037" i="5"/>
  <c r="S1037" i="5"/>
  <c r="T1037" i="5"/>
  <c r="U1037" i="5"/>
  <c r="V1037" i="5"/>
  <c r="W1037" i="5"/>
  <c r="X1037" i="5"/>
  <c r="B1038" i="5"/>
  <c r="AB1038" i="5" s="1"/>
  <c r="C1038" i="5"/>
  <c r="D1038" i="5"/>
  <c r="E1038" i="5"/>
  <c r="F1038" i="5"/>
  <c r="G1038" i="5"/>
  <c r="H1038" i="5"/>
  <c r="I1038" i="5"/>
  <c r="J1038" i="5"/>
  <c r="K1038" i="5"/>
  <c r="L1038" i="5"/>
  <c r="M1038" i="5"/>
  <c r="N1038" i="5"/>
  <c r="O1038" i="5"/>
  <c r="P1038" i="5"/>
  <c r="Q1038" i="5"/>
  <c r="R1038" i="5"/>
  <c r="S1038" i="5"/>
  <c r="T1038" i="5"/>
  <c r="U1038" i="5"/>
  <c r="V1038" i="5"/>
  <c r="W1038" i="5"/>
  <c r="X1038" i="5"/>
  <c r="B1039" i="5"/>
  <c r="C1039" i="5"/>
  <c r="D1039" i="5"/>
  <c r="E1039" i="5"/>
  <c r="F1039" i="5"/>
  <c r="G1039" i="5"/>
  <c r="H1039" i="5"/>
  <c r="I1039" i="5"/>
  <c r="J1039" i="5"/>
  <c r="K1039" i="5"/>
  <c r="L1039" i="5"/>
  <c r="M1039" i="5"/>
  <c r="N1039" i="5"/>
  <c r="AC1039" i="5" s="1"/>
  <c r="O1039" i="5"/>
  <c r="P1039" i="5"/>
  <c r="Q1039" i="5"/>
  <c r="R1039" i="5"/>
  <c r="S1039" i="5"/>
  <c r="T1039" i="5"/>
  <c r="U1039" i="5"/>
  <c r="V1039" i="5"/>
  <c r="W1039" i="5"/>
  <c r="X1039" i="5"/>
  <c r="B1040" i="5"/>
  <c r="AB1040" i="5" s="1"/>
  <c r="C1040" i="5"/>
  <c r="D1040" i="5"/>
  <c r="E1040" i="5"/>
  <c r="F1040" i="5"/>
  <c r="G1040" i="5"/>
  <c r="H1040" i="5"/>
  <c r="I1040" i="5"/>
  <c r="J1040" i="5"/>
  <c r="K1040" i="5"/>
  <c r="L1040" i="5"/>
  <c r="M1040" i="5"/>
  <c r="N1040" i="5"/>
  <c r="O1040" i="5"/>
  <c r="P1040" i="5"/>
  <c r="Q1040" i="5"/>
  <c r="R1040" i="5"/>
  <c r="S1040" i="5"/>
  <c r="T1040" i="5"/>
  <c r="U1040" i="5"/>
  <c r="V1040" i="5"/>
  <c r="W1040" i="5"/>
  <c r="X1040" i="5"/>
  <c r="B1041" i="5"/>
  <c r="C1041" i="5"/>
  <c r="D1041" i="5"/>
  <c r="E1041" i="5"/>
  <c r="F1041" i="5"/>
  <c r="G1041" i="5"/>
  <c r="H1041" i="5"/>
  <c r="I1041" i="5"/>
  <c r="J1041" i="5"/>
  <c r="K1041" i="5"/>
  <c r="L1041" i="5"/>
  <c r="M1041" i="5"/>
  <c r="N1041" i="5"/>
  <c r="O1041" i="5"/>
  <c r="P1041" i="5"/>
  <c r="Q1041" i="5"/>
  <c r="R1041" i="5"/>
  <c r="S1041" i="5"/>
  <c r="T1041" i="5"/>
  <c r="U1041" i="5"/>
  <c r="V1041" i="5"/>
  <c r="W1041" i="5"/>
  <c r="X1041" i="5"/>
  <c r="B1042" i="5"/>
  <c r="C1042" i="5"/>
  <c r="D1042" i="5"/>
  <c r="E1042" i="5"/>
  <c r="F1042" i="5"/>
  <c r="G1042" i="5"/>
  <c r="H1042" i="5"/>
  <c r="I1042" i="5"/>
  <c r="J1042" i="5"/>
  <c r="K1042" i="5"/>
  <c r="L1042" i="5"/>
  <c r="M1042" i="5"/>
  <c r="N1042" i="5"/>
  <c r="O1042" i="5"/>
  <c r="P1042" i="5"/>
  <c r="Q1042" i="5"/>
  <c r="R1042" i="5"/>
  <c r="S1042" i="5"/>
  <c r="T1042" i="5"/>
  <c r="U1042" i="5"/>
  <c r="V1042" i="5"/>
  <c r="W1042" i="5"/>
  <c r="X1042" i="5"/>
  <c r="B1043" i="5"/>
  <c r="C1043" i="5"/>
  <c r="D1043" i="5"/>
  <c r="E1043" i="5"/>
  <c r="F1043" i="5"/>
  <c r="G1043" i="5"/>
  <c r="H1043" i="5"/>
  <c r="I1043" i="5"/>
  <c r="J1043" i="5"/>
  <c r="K1043" i="5"/>
  <c r="L1043" i="5"/>
  <c r="M1043" i="5"/>
  <c r="N1043" i="5"/>
  <c r="AC1043" i="5" s="1"/>
  <c r="O1043" i="5"/>
  <c r="P1043" i="5"/>
  <c r="Q1043" i="5"/>
  <c r="R1043" i="5"/>
  <c r="S1043" i="5"/>
  <c r="T1043" i="5"/>
  <c r="U1043" i="5"/>
  <c r="V1043" i="5"/>
  <c r="W1043" i="5"/>
  <c r="X1043" i="5"/>
  <c r="B1044" i="5"/>
  <c r="C1044" i="5"/>
  <c r="D1044" i="5"/>
  <c r="E1044" i="5"/>
  <c r="F1044" i="5"/>
  <c r="G1044" i="5"/>
  <c r="H1044" i="5"/>
  <c r="I1044" i="5"/>
  <c r="J1044" i="5"/>
  <c r="K1044" i="5"/>
  <c r="L1044" i="5"/>
  <c r="M1044" i="5"/>
  <c r="N1044" i="5"/>
  <c r="AC1044" i="5" s="1"/>
  <c r="O1044" i="5"/>
  <c r="P1044" i="5"/>
  <c r="Q1044" i="5"/>
  <c r="R1044" i="5"/>
  <c r="S1044" i="5"/>
  <c r="T1044" i="5"/>
  <c r="U1044" i="5"/>
  <c r="V1044" i="5"/>
  <c r="W1044" i="5"/>
  <c r="X1044" i="5"/>
  <c r="B1045" i="5"/>
  <c r="C1045" i="5"/>
  <c r="D1045" i="5"/>
  <c r="E1045" i="5"/>
  <c r="F1045" i="5"/>
  <c r="G1045" i="5"/>
  <c r="H1045" i="5"/>
  <c r="I1045" i="5"/>
  <c r="J1045" i="5"/>
  <c r="K1045" i="5"/>
  <c r="L1045" i="5"/>
  <c r="M1045" i="5"/>
  <c r="N1045" i="5"/>
  <c r="AC1045" i="5" s="1"/>
  <c r="O1045" i="5"/>
  <c r="P1045" i="5"/>
  <c r="Q1045" i="5"/>
  <c r="R1045" i="5"/>
  <c r="S1045" i="5"/>
  <c r="T1045" i="5"/>
  <c r="U1045" i="5"/>
  <c r="V1045" i="5"/>
  <c r="W1045" i="5"/>
  <c r="X1045" i="5"/>
  <c r="B1046" i="5"/>
  <c r="C1046" i="5"/>
  <c r="D1046" i="5"/>
  <c r="E1046" i="5"/>
  <c r="F1046" i="5"/>
  <c r="G1046" i="5"/>
  <c r="H1046" i="5"/>
  <c r="I1046" i="5"/>
  <c r="J1046" i="5"/>
  <c r="K1046" i="5"/>
  <c r="L1046" i="5"/>
  <c r="M1046" i="5"/>
  <c r="N1046" i="5"/>
  <c r="O1046" i="5"/>
  <c r="P1046" i="5"/>
  <c r="Q1046" i="5"/>
  <c r="R1046" i="5"/>
  <c r="S1046" i="5"/>
  <c r="T1046" i="5"/>
  <c r="U1046" i="5"/>
  <c r="V1046" i="5"/>
  <c r="W1046" i="5"/>
  <c r="X1046" i="5"/>
  <c r="B1047" i="5"/>
  <c r="C1047" i="5"/>
  <c r="D1047" i="5"/>
  <c r="E1047" i="5"/>
  <c r="F1047" i="5"/>
  <c r="G1047" i="5"/>
  <c r="H1047" i="5"/>
  <c r="I1047" i="5"/>
  <c r="J1047" i="5"/>
  <c r="K1047" i="5"/>
  <c r="L1047" i="5"/>
  <c r="M1047" i="5"/>
  <c r="N1047" i="5"/>
  <c r="O1047" i="5"/>
  <c r="P1047" i="5"/>
  <c r="Q1047" i="5"/>
  <c r="R1047" i="5"/>
  <c r="S1047" i="5"/>
  <c r="T1047" i="5"/>
  <c r="U1047" i="5"/>
  <c r="V1047" i="5"/>
  <c r="W1047" i="5"/>
  <c r="X1047" i="5"/>
  <c r="B1048" i="5"/>
  <c r="C1048" i="5"/>
  <c r="D1048" i="5"/>
  <c r="E1048" i="5"/>
  <c r="F1048" i="5"/>
  <c r="G1048" i="5"/>
  <c r="H1048" i="5"/>
  <c r="I1048" i="5"/>
  <c r="J1048" i="5"/>
  <c r="K1048" i="5"/>
  <c r="L1048" i="5"/>
  <c r="M1048" i="5"/>
  <c r="N1048" i="5"/>
  <c r="O1048" i="5"/>
  <c r="P1048" i="5"/>
  <c r="Q1048" i="5"/>
  <c r="R1048" i="5"/>
  <c r="S1048" i="5"/>
  <c r="T1048" i="5"/>
  <c r="U1048" i="5"/>
  <c r="V1048" i="5"/>
  <c r="W1048" i="5"/>
  <c r="X1048" i="5"/>
  <c r="B1049" i="5"/>
  <c r="C1049" i="5"/>
  <c r="D1049" i="5"/>
  <c r="E1049" i="5"/>
  <c r="F1049" i="5"/>
  <c r="G1049" i="5"/>
  <c r="H1049" i="5"/>
  <c r="I1049" i="5"/>
  <c r="J1049" i="5"/>
  <c r="K1049" i="5"/>
  <c r="L1049" i="5"/>
  <c r="M1049" i="5"/>
  <c r="N1049" i="5"/>
  <c r="O1049" i="5"/>
  <c r="P1049" i="5"/>
  <c r="Q1049" i="5"/>
  <c r="R1049" i="5"/>
  <c r="S1049" i="5"/>
  <c r="T1049" i="5"/>
  <c r="U1049" i="5"/>
  <c r="V1049" i="5"/>
  <c r="W1049" i="5"/>
  <c r="X1049" i="5"/>
  <c r="B1050" i="5"/>
  <c r="C1050" i="5"/>
  <c r="D1050" i="5"/>
  <c r="E1050" i="5"/>
  <c r="F1050" i="5"/>
  <c r="G1050" i="5"/>
  <c r="H1050" i="5"/>
  <c r="I1050" i="5"/>
  <c r="J1050" i="5"/>
  <c r="K1050" i="5"/>
  <c r="L1050" i="5"/>
  <c r="M1050" i="5"/>
  <c r="N1050" i="5"/>
  <c r="O1050" i="5"/>
  <c r="P1050" i="5"/>
  <c r="Q1050" i="5"/>
  <c r="R1050" i="5"/>
  <c r="S1050" i="5"/>
  <c r="T1050" i="5"/>
  <c r="U1050" i="5"/>
  <c r="V1050" i="5"/>
  <c r="W1050" i="5"/>
  <c r="X1050" i="5"/>
  <c r="B1051" i="5"/>
  <c r="C1051" i="5"/>
  <c r="D1051" i="5"/>
  <c r="E1051" i="5"/>
  <c r="F1051" i="5"/>
  <c r="G1051" i="5"/>
  <c r="H1051" i="5"/>
  <c r="I1051" i="5"/>
  <c r="J1051" i="5"/>
  <c r="K1051" i="5"/>
  <c r="L1051" i="5"/>
  <c r="M1051" i="5"/>
  <c r="N1051" i="5"/>
  <c r="O1051" i="5"/>
  <c r="P1051" i="5"/>
  <c r="Q1051" i="5"/>
  <c r="R1051" i="5"/>
  <c r="S1051" i="5"/>
  <c r="T1051" i="5"/>
  <c r="U1051" i="5"/>
  <c r="V1051" i="5"/>
  <c r="W1051" i="5"/>
  <c r="X1051" i="5"/>
  <c r="AC1051" i="5"/>
  <c r="B1052" i="5"/>
  <c r="C1052" i="5"/>
  <c r="D1052" i="5"/>
  <c r="E1052" i="5"/>
  <c r="F1052" i="5"/>
  <c r="G1052" i="5"/>
  <c r="H1052" i="5"/>
  <c r="I1052" i="5"/>
  <c r="J1052" i="5"/>
  <c r="K1052" i="5"/>
  <c r="L1052" i="5"/>
  <c r="M1052" i="5"/>
  <c r="AC1052" i="5" s="1"/>
  <c r="N1052" i="5"/>
  <c r="O1052" i="5"/>
  <c r="P1052" i="5"/>
  <c r="Q1052" i="5"/>
  <c r="R1052" i="5"/>
  <c r="S1052" i="5"/>
  <c r="T1052" i="5"/>
  <c r="U1052" i="5"/>
  <c r="V1052" i="5"/>
  <c r="W1052" i="5"/>
  <c r="X1052" i="5"/>
  <c r="AB1052" i="5"/>
  <c r="B1053" i="5"/>
  <c r="C1053" i="5"/>
  <c r="D1053" i="5"/>
  <c r="E1053" i="5"/>
  <c r="F1053" i="5"/>
  <c r="G1053" i="5"/>
  <c r="H1053" i="5"/>
  <c r="I1053" i="5"/>
  <c r="J1053" i="5"/>
  <c r="K1053" i="5"/>
  <c r="L1053" i="5"/>
  <c r="M1053" i="5"/>
  <c r="N1053" i="5"/>
  <c r="O1053" i="5"/>
  <c r="P1053" i="5"/>
  <c r="Q1053" i="5"/>
  <c r="R1053" i="5"/>
  <c r="S1053" i="5"/>
  <c r="T1053" i="5"/>
  <c r="U1053" i="5"/>
  <c r="V1053" i="5"/>
  <c r="W1053" i="5"/>
  <c r="X1053" i="5"/>
  <c r="B1054" i="5"/>
  <c r="C1054" i="5"/>
  <c r="D1054" i="5"/>
  <c r="E1054" i="5"/>
  <c r="F1054" i="5"/>
  <c r="G1054" i="5"/>
  <c r="H1054" i="5"/>
  <c r="I1054" i="5"/>
  <c r="J1054" i="5"/>
  <c r="K1054" i="5"/>
  <c r="L1054" i="5"/>
  <c r="M1054" i="5"/>
  <c r="N1054" i="5"/>
  <c r="O1054" i="5"/>
  <c r="P1054" i="5"/>
  <c r="Q1054" i="5"/>
  <c r="R1054" i="5"/>
  <c r="S1054" i="5"/>
  <c r="T1054" i="5"/>
  <c r="U1054" i="5"/>
  <c r="V1054" i="5"/>
  <c r="W1054" i="5"/>
  <c r="X1054" i="5"/>
  <c r="AB1054" i="5"/>
  <c r="B1055" i="5"/>
  <c r="C1055" i="5"/>
  <c r="D1055" i="5"/>
  <c r="E1055" i="5"/>
  <c r="F1055" i="5"/>
  <c r="G1055" i="5"/>
  <c r="H1055" i="5"/>
  <c r="I1055" i="5"/>
  <c r="J1055" i="5"/>
  <c r="K1055" i="5"/>
  <c r="L1055" i="5"/>
  <c r="M1055" i="5"/>
  <c r="N1055" i="5"/>
  <c r="O1055" i="5"/>
  <c r="P1055" i="5"/>
  <c r="Q1055" i="5"/>
  <c r="R1055" i="5"/>
  <c r="S1055" i="5"/>
  <c r="T1055" i="5"/>
  <c r="U1055" i="5"/>
  <c r="V1055" i="5"/>
  <c r="W1055" i="5"/>
  <c r="X1055" i="5"/>
  <c r="AC1055" i="5"/>
  <c r="B1056" i="5"/>
  <c r="C1056" i="5"/>
  <c r="D1056" i="5"/>
  <c r="E1056" i="5"/>
  <c r="F1056" i="5"/>
  <c r="G1056" i="5"/>
  <c r="H1056" i="5"/>
  <c r="I1056" i="5"/>
  <c r="J1056" i="5"/>
  <c r="K1056" i="5"/>
  <c r="L1056" i="5"/>
  <c r="M1056" i="5"/>
  <c r="N1056" i="5"/>
  <c r="O1056" i="5"/>
  <c r="P1056" i="5"/>
  <c r="Q1056" i="5"/>
  <c r="R1056" i="5"/>
  <c r="S1056" i="5"/>
  <c r="T1056" i="5"/>
  <c r="U1056" i="5"/>
  <c r="V1056" i="5"/>
  <c r="W1056" i="5"/>
  <c r="X1056" i="5"/>
  <c r="AB1056" i="5"/>
  <c r="B1057" i="5"/>
  <c r="C1057" i="5"/>
  <c r="D1057" i="5"/>
  <c r="E1057" i="5"/>
  <c r="F1057" i="5"/>
  <c r="G1057" i="5"/>
  <c r="H1057" i="5"/>
  <c r="I1057" i="5"/>
  <c r="J1057" i="5"/>
  <c r="K1057" i="5"/>
  <c r="L1057" i="5"/>
  <c r="M1057" i="5"/>
  <c r="AC1057" i="5" s="1"/>
  <c r="N1057" i="5"/>
  <c r="O1057" i="5"/>
  <c r="P1057" i="5"/>
  <c r="Q1057" i="5"/>
  <c r="R1057" i="5"/>
  <c r="S1057" i="5"/>
  <c r="T1057" i="5"/>
  <c r="U1057" i="5"/>
  <c r="V1057" i="5"/>
  <c r="W1057" i="5"/>
  <c r="X1057" i="5"/>
  <c r="AB1057" i="5"/>
  <c r="B1058" i="5"/>
  <c r="C1058" i="5"/>
  <c r="D1058" i="5"/>
  <c r="E1058" i="5"/>
  <c r="F1058" i="5"/>
  <c r="G1058" i="5"/>
  <c r="H1058" i="5"/>
  <c r="AB1058" i="5" s="1"/>
  <c r="I1058" i="5"/>
  <c r="J1058" i="5"/>
  <c r="K1058" i="5"/>
  <c r="L1058" i="5"/>
  <c r="M1058" i="5"/>
  <c r="N1058" i="5"/>
  <c r="O1058" i="5"/>
  <c r="P1058" i="5"/>
  <c r="Q1058" i="5"/>
  <c r="R1058" i="5"/>
  <c r="S1058" i="5"/>
  <c r="T1058" i="5"/>
  <c r="U1058" i="5"/>
  <c r="V1058" i="5"/>
  <c r="W1058" i="5"/>
  <c r="X1058" i="5"/>
  <c r="B1059" i="5"/>
  <c r="C1059" i="5"/>
  <c r="D1059" i="5"/>
  <c r="E1059" i="5"/>
  <c r="F1059" i="5"/>
  <c r="G1059" i="5"/>
  <c r="H1059" i="5"/>
  <c r="I1059" i="5"/>
  <c r="J1059" i="5"/>
  <c r="K1059" i="5"/>
  <c r="L1059" i="5"/>
  <c r="M1059" i="5"/>
  <c r="N1059" i="5"/>
  <c r="O1059" i="5"/>
  <c r="P1059" i="5"/>
  <c r="Q1059" i="5"/>
  <c r="R1059" i="5"/>
  <c r="S1059" i="5"/>
  <c r="T1059" i="5"/>
  <c r="U1059" i="5"/>
  <c r="V1059" i="5"/>
  <c r="W1059" i="5"/>
  <c r="X1059" i="5"/>
  <c r="B1060" i="5"/>
  <c r="C1060" i="5"/>
  <c r="D1060" i="5"/>
  <c r="E1060" i="5"/>
  <c r="F1060" i="5"/>
  <c r="G1060" i="5"/>
  <c r="H1060" i="5"/>
  <c r="I1060" i="5"/>
  <c r="J1060" i="5"/>
  <c r="K1060" i="5"/>
  <c r="L1060" i="5"/>
  <c r="M1060" i="5"/>
  <c r="N1060" i="5"/>
  <c r="O1060" i="5"/>
  <c r="P1060" i="5"/>
  <c r="Q1060" i="5"/>
  <c r="R1060" i="5"/>
  <c r="S1060" i="5"/>
  <c r="T1060" i="5"/>
  <c r="U1060" i="5"/>
  <c r="V1060" i="5"/>
  <c r="W1060" i="5"/>
  <c r="X1060" i="5"/>
  <c r="B1061" i="5"/>
  <c r="C1061" i="5"/>
  <c r="D1061" i="5"/>
  <c r="E1061" i="5"/>
  <c r="F1061" i="5"/>
  <c r="G1061" i="5"/>
  <c r="H1061" i="5"/>
  <c r="I1061" i="5"/>
  <c r="J1061" i="5"/>
  <c r="K1061" i="5"/>
  <c r="L1061" i="5"/>
  <c r="M1061" i="5"/>
  <c r="N1061" i="5"/>
  <c r="O1061" i="5"/>
  <c r="P1061" i="5"/>
  <c r="Q1061" i="5"/>
  <c r="R1061" i="5"/>
  <c r="S1061" i="5"/>
  <c r="T1061" i="5"/>
  <c r="U1061" i="5"/>
  <c r="V1061" i="5"/>
  <c r="W1061" i="5"/>
  <c r="X1061" i="5"/>
  <c r="B1062" i="5"/>
  <c r="C1062" i="5"/>
  <c r="D1062" i="5"/>
  <c r="E1062" i="5"/>
  <c r="F1062" i="5"/>
  <c r="G1062" i="5"/>
  <c r="H1062" i="5"/>
  <c r="I1062" i="5"/>
  <c r="J1062" i="5"/>
  <c r="K1062" i="5"/>
  <c r="L1062" i="5"/>
  <c r="M1062" i="5"/>
  <c r="N1062" i="5"/>
  <c r="O1062" i="5"/>
  <c r="P1062" i="5"/>
  <c r="Q1062" i="5"/>
  <c r="R1062" i="5"/>
  <c r="S1062" i="5"/>
  <c r="T1062" i="5"/>
  <c r="U1062" i="5"/>
  <c r="V1062" i="5"/>
  <c r="W1062" i="5"/>
  <c r="X1062" i="5"/>
  <c r="B1063" i="5"/>
  <c r="C1063" i="5"/>
  <c r="D1063" i="5"/>
  <c r="E1063" i="5"/>
  <c r="F1063" i="5"/>
  <c r="G1063" i="5"/>
  <c r="H1063" i="5"/>
  <c r="I1063" i="5"/>
  <c r="J1063" i="5"/>
  <c r="K1063" i="5"/>
  <c r="L1063" i="5"/>
  <c r="M1063" i="5"/>
  <c r="AC1063" i="5" s="1"/>
  <c r="N1063" i="5"/>
  <c r="O1063" i="5"/>
  <c r="P1063" i="5"/>
  <c r="Q1063" i="5"/>
  <c r="R1063" i="5"/>
  <c r="S1063" i="5"/>
  <c r="T1063" i="5"/>
  <c r="U1063" i="5"/>
  <c r="V1063" i="5"/>
  <c r="W1063" i="5"/>
  <c r="X1063" i="5"/>
  <c r="B1064" i="5"/>
  <c r="C1064" i="5"/>
  <c r="D1064" i="5"/>
  <c r="E1064" i="5"/>
  <c r="F1064" i="5"/>
  <c r="G1064" i="5"/>
  <c r="H1064" i="5"/>
  <c r="I1064" i="5"/>
  <c r="J1064" i="5"/>
  <c r="K1064" i="5"/>
  <c r="L1064" i="5"/>
  <c r="M1064" i="5"/>
  <c r="N1064" i="5"/>
  <c r="O1064" i="5"/>
  <c r="P1064" i="5"/>
  <c r="Q1064" i="5"/>
  <c r="R1064" i="5"/>
  <c r="S1064" i="5"/>
  <c r="T1064" i="5"/>
  <c r="U1064" i="5"/>
  <c r="V1064" i="5"/>
  <c r="W1064" i="5"/>
  <c r="X1064" i="5"/>
  <c r="B1065" i="5"/>
  <c r="C1065" i="5"/>
  <c r="D1065" i="5"/>
  <c r="E1065" i="5"/>
  <c r="F1065" i="5"/>
  <c r="G1065" i="5"/>
  <c r="H1065" i="5"/>
  <c r="I1065" i="5"/>
  <c r="J1065" i="5"/>
  <c r="K1065" i="5"/>
  <c r="L1065" i="5"/>
  <c r="M1065" i="5"/>
  <c r="N1065" i="5"/>
  <c r="O1065" i="5"/>
  <c r="P1065" i="5"/>
  <c r="Q1065" i="5"/>
  <c r="R1065" i="5"/>
  <c r="S1065" i="5"/>
  <c r="T1065" i="5"/>
  <c r="U1065" i="5"/>
  <c r="V1065" i="5"/>
  <c r="W1065" i="5"/>
  <c r="X1065" i="5"/>
  <c r="B1066" i="5"/>
  <c r="C1066" i="5"/>
  <c r="D1066" i="5"/>
  <c r="E1066" i="5"/>
  <c r="F1066" i="5"/>
  <c r="G1066" i="5"/>
  <c r="H1066" i="5"/>
  <c r="I1066" i="5"/>
  <c r="J1066" i="5"/>
  <c r="K1066" i="5"/>
  <c r="L1066" i="5"/>
  <c r="M1066" i="5"/>
  <c r="N1066" i="5"/>
  <c r="O1066" i="5"/>
  <c r="P1066" i="5"/>
  <c r="Q1066" i="5"/>
  <c r="R1066" i="5"/>
  <c r="S1066" i="5"/>
  <c r="T1066" i="5"/>
  <c r="U1066" i="5"/>
  <c r="V1066" i="5"/>
  <c r="W1066" i="5"/>
  <c r="X1066" i="5"/>
  <c r="B1067" i="5"/>
  <c r="C1067" i="5"/>
  <c r="D1067" i="5"/>
  <c r="E1067" i="5"/>
  <c r="F1067" i="5"/>
  <c r="G1067" i="5"/>
  <c r="H1067" i="5"/>
  <c r="I1067" i="5"/>
  <c r="J1067" i="5"/>
  <c r="K1067" i="5"/>
  <c r="L1067" i="5"/>
  <c r="M1067" i="5"/>
  <c r="N1067" i="5"/>
  <c r="O1067" i="5"/>
  <c r="P1067" i="5"/>
  <c r="Q1067" i="5"/>
  <c r="R1067" i="5"/>
  <c r="S1067" i="5"/>
  <c r="T1067" i="5"/>
  <c r="U1067" i="5"/>
  <c r="V1067" i="5"/>
  <c r="W1067" i="5"/>
  <c r="X1067" i="5"/>
  <c r="AC1067" i="5"/>
  <c r="B1068" i="5"/>
  <c r="C1068" i="5"/>
  <c r="D1068" i="5"/>
  <c r="E1068" i="5"/>
  <c r="F1068" i="5"/>
  <c r="G1068" i="5"/>
  <c r="H1068" i="5"/>
  <c r="I1068" i="5"/>
  <c r="J1068" i="5"/>
  <c r="K1068" i="5"/>
  <c r="L1068" i="5"/>
  <c r="M1068" i="5"/>
  <c r="N1068" i="5"/>
  <c r="O1068" i="5"/>
  <c r="P1068" i="5"/>
  <c r="Q1068" i="5"/>
  <c r="R1068" i="5"/>
  <c r="S1068" i="5"/>
  <c r="T1068" i="5"/>
  <c r="U1068" i="5"/>
  <c r="V1068" i="5"/>
  <c r="W1068" i="5"/>
  <c r="X1068" i="5"/>
  <c r="AC1068" i="5"/>
  <c r="B1070" i="5"/>
  <c r="C1070" i="5"/>
  <c r="D1070" i="5"/>
  <c r="E1070" i="5"/>
  <c r="F1070" i="5"/>
  <c r="G1070" i="5"/>
  <c r="H1070" i="5"/>
  <c r="I1070" i="5"/>
  <c r="J1070" i="5"/>
  <c r="L1070" i="5"/>
  <c r="M1070" i="5"/>
  <c r="N1070" i="5"/>
  <c r="O1070" i="5"/>
  <c r="P1070" i="5"/>
  <c r="Q1070" i="5"/>
  <c r="R1070" i="5"/>
  <c r="S1070" i="5"/>
  <c r="T1070" i="5"/>
  <c r="U1070" i="5"/>
  <c r="V1070" i="5"/>
  <c r="W1070" i="5"/>
  <c r="X1070" i="5"/>
  <c r="Y1070" i="5"/>
  <c r="Z1070" i="5"/>
  <c r="AA1070" i="5"/>
  <c r="AB1070" i="5"/>
  <c r="AC1070" i="5"/>
  <c r="D1071" i="5"/>
  <c r="E1071" i="5"/>
  <c r="F1071" i="5"/>
  <c r="L1071" i="5"/>
  <c r="N1071" i="5"/>
  <c r="O1071" i="5"/>
  <c r="R1071" i="5"/>
  <c r="T1071" i="5"/>
  <c r="V1071" i="5"/>
  <c r="AA1071" i="5"/>
  <c r="B1072" i="5"/>
  <c r="F1072" i="5"/>
  <c r="G1072" i="5"/>
  <c r="L1072" i="5"/>
  <c r="M1072" i="5"/>
  <c r="O1072" i="5"/>
  <c r="P1072" i="5"/>
  <c r="T1072" i="5"/>
  <c r="W1072" i="5"/>
  <c r="X1072" i="5"/>
  <c r="AA1072" i="5"/>
  <c r="D1073" i="5"/>
  <c r="E1073" i="5"/>
  <c r="F1073" i="5"/>
  <c r="G1073" i="5"/>
  <c r="I1073" i="5"/>
  <c r="M1073" i="5"/>
  <c r="N1073" i="5"/>
  <c r="O1073" i="5"/>
  <c r="P1073" i="5"/>
  <c r="Q1073" i="5"/>
  <c r="R1073" i="5"/>
  <c r="V1073" i="5"/>
  <c r="W1073" i="5"/>
  <c r="X1073" i="5"/>
  <c r="B1074" i="5"/>
  <c r="D1074" i="5"/>
  <c r="E1074" i="5"/>
  <c r="G1074" i="5"/>
  <c r="H1074" i="5"/>
  <c r="I1074" i="5"/>
  <c r="J1074" i="5"/>
  <c r="L1074" i="5"/>
  <c r="M1074" i="5"/>
  <c r="O1074" i="5"/>
  <c r="P1074" i="5"/>
  <c r="Q1074" i="5"/>
  <c r="R1074" i="5"/>
  <c r="T1074" i="5"/>
  <c r="U1074" i="5"/>
  <c r="W1074" i="5"/>
  <c r="X1074" i="5"/>
  <c r="B1075" i="5"/>
  <c r="C1075" i="5"/>
  <c r="D1075" i="5"/>
  <c r="E1075" i="5"/>
  <c r="G1075" i="5"/>
  <c r="I1075" i="5"/>
  <c r="J1075" i="5"/>
  <c r="K1075" i="5"/>
  <c r="L1075" i="5"/>
  <c r="M1075" i="5"/>
  <c r="O1075" i="5"/>
  <c r="P1075" i="5"/>
  <c r="Q1075" i="5"/>
  <c r="R1075" i="5"/>
  <c r="S1075" i="5"/>
  <c r="T1075" i="5"/>
  <c r="U1075" i="5"/>
  <c r="W1075" i="5"/>
  <c r="X1075" i="5"/>
  <c r="D1076" i="5"/>
  <c r="G1076" i="5"/>
  <c r="H1076" i="5"/>
  <c r="J1076" i="5"/>
  <c r="L1076" i="5"/>
  <c r="M1076" i="5"/>
  <c r="O1076" i="5"/>
  <c r="R1076" i="5"/>
  <c r="S1076" i="5"/>
  <c r="T1076" i="5"/>
  <c r="W1076" i="5"/>
  <c r="B1077" i="5"/>
  <c r="C1077" i="5"/>
  <c r="D1077" i="5"/>
  <c r="J1077" i="5"/>
  <c r="K1077" i="5"/>
  <c r="L1077" i="5"/>
  <c r="M1077" i="5"/>
  <c r="R1077" i="5"/>
  <c r="S1077" i="5"/>
  <c r="T1077" i="5"/>
  <c r="W1077" i="5"/>
  <c r="C1078" i="5"/>
  <c r="H1078" i="5"/>
  <c r="I1078" i="5"/>
  <c r="J1078" i="5"/>
  <c r="K1078" i="5"/>
  <c r="L1078" i="5"/>
  <c r="P1078" i="5"/>
  <c r="Q1078" i="5"/>
  <c r="R1078" i="5"/>
  <c r="S1078" i="5"/>
  <c r="X1078" i="5"/>
  <c r="B1079" i="5"/>
  <c r="C1079" i="5"/>
  <c r="H1079" i="5"/>
  <c r="I1079" i="5"/>
  <c r="J1079" i="5"/>
  <c r="K1079" i="5"/>
  <c r="P1079" i="5"/>
  <c r="Q1079" i="5"/>
  <c r="R1079" i="5"/>
  <c r="X1079" i="5"/>
  <c r="B1080" i="5"/>
  <c r="C1080" i="5"/>
  <c r="E1080" i="5"/>
  <c r="G1080" i="5"/>
  <c r="H1080" i="5"/>
  <c r="I1080" i="5"/>
  <c r="J1080" i="5"/>
  <c r="K1080" i="5"/>
  <c r="O1080" i="5"/>
  <c r="P1080" i="5"/>
  <c r="Q1080" i="5"/>
  <c r="R1080" i="5"/>
  <c r="S1080" i="5"/>
  <c r="W1080" i="5"/>
  <c r="X1080" i="5"/>
  <c r="B1081" i="5"/>
  <c r="D1081" i="5"/>
  <c r="F1081" i="5"/>
  <c r="G1081" i="5"/>
  <c r="H1081" i="5"/>
  <c r="I1081" i="5"/>
  <c r="J1081" i="5"/>
  <c r="M1081" i="5"/>
  <c r="N1081" i="5"/>
  <c r="O1081" i="5"/>
  <c r="P1081" i="5"/>
  <c r="Q1081" i="5"/>
  <c r="R1081" i="5"/>
  <c r="T1081" i="5"/>
  <c r="V1081" i="5"/>
  <c r="W1081" i="5"/>
  <c r="X1081" i="5"/>
  <c r="C1082" i="5"/>
  <c r="D1082" i="5"/>
  <c r="E1082" i="5"/>
  <c r="F1082" i="5"/>
  <c r="G1082" i="5"/>
  <c r="H1082" i="5"/>
  <c r="I1082" i="5"/>
  <c r="L1082" i="5"/>
  <c r="M1082" i="5"/>
  <c r="N1082" i="5"/>
  <c r="O1082" i="5"/>
  <c r="P1082" i="5"/>
  <c r="Q1082" i="5"/>
  <c r="T1082" i="5"/>
  <c r="U1082" i="5"/>
  <c r="V1082" i="5"/>
  <c r="W1082" i="5"/>
  <c r="X1082" i="5"/>
  <c r="F1083" i="5"/>
  <c r="G1083" i="5"/>
  <c r="H1083" i="5"/>
  <c r="L1083" i="5"/>
  <c r="N1083" i="5"/>
  <c r="O1083" i="5"/>
  <c r="P1083" i="5"/>
  <c r="R1083" i="5"/>
  <c r="V1083" i="5"/>
  <c r="W1083" i="5"/>
  <c r="X1083" i="5"/>
  <c r="B1084" i="5"/>
  <c r="C1084" i="5"/>
  <c r="E1084" i="5"/>
  <c r="F1084" i="5"/>
  <c r="G1084" i="5"/>
  <c r="I1084" i="5"/>
  <c r="J1084" i="5"/>
  <c r="K1084" i="5"/>
  <c r="N1084" i="5"/>
  <c r="O1084" i="5"/>
  <c r="Q1084" i="5"/>
  <c r="R1084" i="5"/>
  <c r="S1084" i="5"/>
  <c r="T1084" i="5"/>
  <c r="V1084" i="5"/>
  <c r="W1084" i="5"/>
  <c r="B1085" i="5"/>
  <c r="F1085" i="5"/>
  <c r="H1085" i="5"/>
  <c r="I1085" i="5"/>
  <c r="J1085" i="5"/>
  <c r="N1085" i="5"/>
  <c r="P1085" i="5"/>
  <c r="Q1085" i="5"/>
  <c r="R1085" i="5"/>
  <c r="V1085" i="5"/>
  <c r="X1085" i="5"/>
  <c r="B1086" i="5"/>
  <c r="C1086" i="5"/>
  <c r="D1086" i="5"/>
  <c r="E1086" i="5"/>
  <c r="H1086" i="5"/>
  <c r="I1086" i="5"/>
  <c r="J1086" i="5"/>
  <c r="K1086" i="5"/>
  <c r="L1086" i="5"/>
  <c r="M1086" i="5"/>
  <c r="P1086" i="5"/>
  <c r="Q1086" i="5"/>
  <c r="R1086" i="5"/>
  <c r="S1086" i="5"/>
  <c r="T1086" i="5"/>
  <c r="U1086" i="5"/>
  <c r="X1086" i="5"/>
  <c r="C1087" i="5"/>
  <c r="D1087" i="5"/>
  <c r="H1087" i="5"/>
  <c r="I1087" i="5"/>
  <c r="K1087" i="5"/>
  <c r="P1087" i="5"/>
  <c r="Q1087" i="5"/>
  <c r="R1087" i="5"/>
  <c r="S1087" i="5"/>
  <c r="X1087" i="5"/>
  <c r="B1088" i="5"/>
  <c r="F1088" i="5"/>
  <c r="G1088" i="5"/>
  <c r="J1088" i="5"/>
  <c r="K1088" i="5"/>
  <c r="N1088" i="5"/>
  <c r="O1088" i="5"/>
  <c r="P1088" i="5"/>
  <c r="R1088" i="5"/>
  <c r="S1088" i="5"/>
  <c r="U1088" i="5"/>
  <c r="V1088" i="5"/>
  <c r="W1088" i="5"/>
  <c r="B1089" i="5"/>
  <c r="D1089" i="5"/>
  <c r="E1089" i="5"/>
  <c r="H1089" i="5"/>
  <c r="I1089" i="5"/>
  <c r="J1089" i="5"/>
  <c r="L1089" i="5"/>
  <c r="M1089" i="5"/>
  <c r="Q1089" i="5"/>
  <c r="R1089" i="5"/>
  <c r="T1089" i="5"/>
  <c r="U1089" i="5"/>
  <c r="W1089" i="5"/>
  <c r="C1090" i="5"/>
  <c r="D1090" i="5"/>
  <c r="E1090" i="5"/>
  <c r="F1090" i="5"/>
  <c r="G1090" i="5"/>
  <c r="H1090" i="5"/>
  <c r="I1090" i="5"/>
  <c r="K1090" i="5"/>
  <c r="L1090" i="5"/>
  <c r="M1090" i="5"/>
  <c r="N1090" i="5"/>
  <c r="O1090" i="5"/>
  <c r="P1090" i="5"/>
  <c r="Q1090" i="5"/>
  <c r="T1090" i="5"/>
  <c r="U1090" i="5"/>
  <c r="V1090" i="5"/>
  <c r="W1090" i="5"/>
  <c r="X1090" i="5"/>
  <c r="D1091" i="5"/>
  <c r="E1091" i="5"/>
  <c r="F1091" i="5"/>
  <c r="G1091" i="5"/>
  <c r="H1091" i="5"/>
  <c r="L1091" i="5"/>
  <c r="M1091" i="5"/>
  <c r="N1091" i="5"/>
  <c r="O1091" i="5"/>
  <c r="P1091" i="5"/>
  <c r="S1091" i="5"/>
  <c r="T1091" i="5"/>
  <c r="U1091" i="5"/>
  <c r="V1091" i="5"/>
  <c r="W1091" i="5"/>
  <c r="X1091" i="5"/>
  <c r="B1092" i="5"/>
  <c r="C1092" i="5"/>
  <c r="D1092" i="5"/>
  <c r="E1092" i="5"/>
  <c r="F1092" i="5"/>
  <c r="G1092" i="5"/>
  <c r="I1092" i="5"/>
  <c r="J1092" i="5"/>
  <c r="K1092" i="5"/>
  <c r="L1092" i="5"/>
  <c r="M1092" i="5"/>
  <c r="O1092" i="5"/>
  <c r="Q1092" i="5"/>
  <c r="R1092" i="5"/>
  <c r="S1092" i="5"/>
  <c r="T1092" i="5"/>
  <c r="U1092" i="5"/>
  <c r="W1092" i="5"/>
  <c r="B1093" i="5"/>
  <c r="D1093" i="5"/>
  <c r="E1093" i="5"/>
  <c r="H1093" i="5"/>
  <c r="I1093" i="5"/>
  <c r="J1093" i="5"/>
  <c r="L1093" i="5"/>
  <c r="M1093" i="5"/>
  <c r="P1093" i="5"/>
  <c r="Q1093" i="5"/>
  <c r="R1093" i="5"/>
  <c r="T1093" i="5"/>
  <c r="U1093" i="5"/>
  <c r="X1093" i="5"/>
  <c r="B1094" i="5"/>
  <c r="E1094" i="5"/>
  <c r="H1094" i="5"/>
  <c r="I1094" i="5"/>
  <c r="J1094" i="5"/>
  <c r="M1094" i="5"/>
  <c r="Q1094" i="5"/>
  <c r="R1094" i="5"/>
  <c r="U1094" i="5"/>
  <c r="A1095" i="5"/>
  <c r="C1095" i="5"/>
  <c r="G1095" i="5"/>
  <c r="H1095" i="5"/>
  <c r="I1095" i="5"/>
  <c r="M1095" i="5"/>
  <c r="O1095" i="5"/>
  <c r="P1095" i="5"/>
  <c r="Q1095" i="5"/>
  <c r="R1095" i="5"/>
  <c r="W1095" i="5"/>
  <c r="X1095" i="5"/>
  <c r="A1096" i="5"/>
  <c r="C1096" i="5"/>
  <c r="K1096" i="5"/>
  <c r="S1096" i="5"/>
  <c r="W1096" i="5"/>
  <c r="A1097" i="5"/>
  <c r="A1098" i="5" s="1"/>
  <c r="A1099" i="5" s="1"/>
  <c r="A1100" i="5" s="1"/>
  <c r="A1101" i="5" s="1"/>
  <c r="B1097" i="5"/>
  <c r="C1097" i="5"/>
  <c r="F1097" i="5"/>
  <c r="G1097" i="5"/>
  <c r="I1097" i="5"/>
  <c r="J1097" i="5"/>
  <c r="K1097" i="5"/>
  <c r="L1097" i="5"/>
  <c r="O1097" i="5"/>
  <c r="Q1097" i="5"/>
  <c r="R1097" i="5"/>
  <c r="S1097" i="5"/>
  <c r="T1097" i="5"/>
  <c r="U1097" i="5"/>
  <c r="W1097" i="5"/>
  <c r="B1098" i="5"/>
  <c r="C1098" i="5"/>
  <c r="D1098" i="5"/>
  <c r="G1098" i="5"/>
  <c r="H1098" i="5"/>
  <c r="I1098" i="5"/>
  <c r="J1098" i="5"/>
  <c r="L1098" i="5"/>
  <c r="M1098" i="5"/>
  <c r="O1098" i="5"/>
  <c r="P1098" i="5"/>
  <c r="Q1098" i="5"/>
  <c r="R1098" i="5"/>
  <c r="T1098" i="5"/>
  <c r="U1098" i="5"/>
  <c r="W1098" i="5"/>
  <c r="X1098" i="5"/>
  <c r="B1099" i="5"/>
  <c r="C1099" i="5"/>
  <c r="E1099" i="5"/>
  <c r="H1099" i="5"/>
  <c r="I1099" i="5"/>
  <c r="J1099" i="5"/>
  <c r="K1099" i="5"/>
  <c r="M1099" i="5"/>
  <c r="P1099" i="5"/>
  <c r="Q1099" i="5"/>
  <c r="R1099" i="5"/>
  <c r="S1099" i="5"/>
  <c r="U1099" i="5"/>
  <c r="X1099" i="5"/>
  <c r="C1100" i="5"/>
  <c r="D1100" i="5"/>
  <c r="E1100" i="5"/>
  <c r="H1100" i="5"/>
  <c r="I1100" i="5"/>
  <c r="L1100" i="5"/>
  <c r="M1100" i="5"/>
  <c r="N1100" i="5"/>
  <c r="P1100" i="5"/>
  <c r="Q1100" i="5"/>
  <c r="W1100" i="5"/>
  <c r="X1100" i="5"/>
  <c r="C1101" i="5"/>
  <c r="G1101" i="5"/>
  <c r="H1101" i="5"/>
  <c r="I1101" i="5"/>
  <c r="L1101" i="5"/>
  <c r="O1101" i="5"/>
  <c r="P1101" i="5"/>
  <c r="Q1101" i="5"/>
  <c r="S1101" i="5"/>
  <c r="W1101" i="5"/>
  <c r="X1101" i="5"/>
  <c r="A1102" i="5"/>
  <c r="A1103" i="5" s="1"/>
  <c r="A1104" i="5" s="1"/>
  <c r="A1105" i="5" s="1"/>
  <c r="A1106" i="5" s="1"/>
  <c r="A1107" i="5" s="1"/>
  <c r="A1108" i="5" s="1"/>
  <c r="A1109" i="5" s="1"/>
  <c r="A1110" i="5" s="1"/>
  <c r="A1111" i="5" s="1"/>
  <c r="A1112" i="5" s="1"/>
  <c r="A1113" i="5" s="1"/>
  <c r="A1114" i="5" s="1"/>
  <c r="A1115" i="5" s="1"/>
  <c r="A1116" i="5" s="1"/>
  <c r="A1117" i="5" s="1"/>
  <c r="A1118" i="5" s="1"/>
  <c r="A1119" i="5" s="1"/>
  <c r="B1102" i="5"/>
  <c r="C1102" i="5"/>
  <c r="E1102" i="5"/>
  <c r="G1102" i="5"/>
  <c r="H1102" i="5"/>
  <c r="I1102" i="5"/>
  <c r="J1102" i="5"/>
  <c r="K1102" i="5"/>
  <c r="M1102" i="5"/>
  <c r="O1102" i="5"/>
  <c r="P1102" i="5"/>
  <c r="Q1102" i="5"/>
  <c r="S1102" i="5"/>
  <c r="T1102" i="5"/>
  <c r="U1102" i="5"/>
  <c r="W1102" i="5"/>
  <c r="X1102" i="5"/>
  <c r="B1103" i="5"/>
  <c r="F1103" i="5"/>
  <c r="G1103" i="5"/>
  <c r="H1103" i="5"/>
  <c r="I1103" i="5"/>
  <c r="J1103" i="5"/>
  <c r="O1103" i="5"/>
  <c r="P1103" i="5"/>
  <c r="Q1103" i="5"/>
  <c r="R1103" i="5"/>
  <c r="U1103" i="5"/>
  <c r="W1103" i="5"/>
  <c r="X1103" i="5"/>
  <c r="E1104" i="5"/>
  <c r="H1104" i="5"/>
  <c r="I1104" i="5"/>
  <c r="M1104" i="5"/>
  <c r="O1104" i="5"/>
  <c r="P1104" i="5"/>
  <c r="Q1104" i="5"/>
  <c r="U1104" i="5"/>
  <c r="W1104" i="5"/>
  <c r="X1104" i="5"/>
  <c r="B1105" i="5"/>
  <c r="H1105" i="5"/>
  <c r="I1105" i="5"/>
  <c r="J1105" i="5"/>
  <c r="P1105" i="5"/>
  <c r="Q1105" i="5"/>
  <c r="R1105" i="5"/>
  <c r="U1105" i="5"/>
  <c r="V1105" i="5"/>
  <c r="X1105" i="5"/>
  <c r="C1106" i="5"/>
  <c r="D1106" i="5"/>
  <c r="E1106" i="5"/>
  <c r="G1106" i="5"/>
  <c r="H1106" i="5"/>
  <c r="I1106" i="5"/>
  <c r="M1106" i="5"/>
  <c r="O1106" i="5"/>
  <c r="P1106" i="5"/>
  <c r="Q1106" i="5"/>
  <c r="R1106" i="5"/>
  <c r="U1106" i="5"/>
  <c r="W1106" i="5"/>
  <c r="X1106" i="5"/>
  <c r="G1107" i="5"/>
  <c r="H1107" i="5"/>
  <c r="I1107" i="5"/>
  <c r="J1107" i="5"/>
  <c r="O1107" i="5"/>
  <c r="P1107" i="5"/>
  <c r="Q1107" i="5"/>
  <c r="R1107" i="5"/>
  <c r="S1107" i="5"/>
  <c r="W1107" i="5"/>
  <c r="X1107" i="5"/>
  <c r="C1108" i="5"/>
  <c r="G1108" i="5"/>
  <c r="H1108" i="5"/>
  <c r="I1108" i="5"/>
  <c r="L1108" i="5"/>
  <c r="O1108" i="5"/>
  <c r="P1108" i="5"/>
  <c r="Q1108" i="5"/>
  <c r="S1108" i="5"/>
  <c r="W1108" i="5"/>
  <c r="X1108" i="5"/>
  <c r="B1109" i="5"/>
  <c r="C1109" i="5"/>
  <c r="D1109" i="5"/>
  <c r="H1109" i="5"/>
  <c r="I1109" i="5"/>
  <c r="J1109" i="5"/>
  <c r="K1109" i="5"/>
  <c r="L1109" i="5"/>
  <c r="O1109" i="5"/>
  <c r="P1109" i="5"/>
  <c r="Q1109" i="5"/>
  <c r="R1109" i="5"/>
  <c r="S1109" i="5"/>
  <c r="T1109" i="5"/>
  <c r="W1109" i="5"/>
  <c r="X1109" i="5"/>
  <c r="E1110" i="5"/>
  <c r="G1110" i="5"/>
  <c r="H1110" i="5"/>
  <c r="I1110" i="5"/>
  <c r="J1110" i="5"/>
  <c r="M1110" i="5"/>
  <c r="O1110" i="5"/>
  <c r="P1110" i="5"/>
  <c r="Q1110" i="5"/>
  <c r="T1110" i="5"/>
  <c r="U1110" i="5"/>
  <c r="X1110" i="5"/>
  <c r="B1111" i="5"/>
  <c r="C1111" i="5"/>
  <c r="H1111" i="5"/>
  <c r="I1111" i="5"/>
  <c r="J1111" i="5"/>
  <c r="K1111" i="5"/>
  <c r="M1111" i="5"/>
  <c r="P1111" i="5"/>
  <c r="Q1111" i="5"/>
  <c r="R1111" i="5"/>
  <c r="S1111" i="5"/>
  <c r="X1111" i="5"/>
  <c r="C1112" i="5"/>
  <c r="G1112" i="5"/>
  <c r="H1112" i="5"/>
  <c r="I1112" i="5"/>
  <c r="K1112" i="5"/>
  <c r="O1112" i="5"/>
  <c r="P1112" i="5"/>
  <c r="Q1112" i="5"/>
  <c r="S1112" i="5"/>
  <c r="T1112" i="5"/>
  <c r="W1112" i="5"/>
  <c r="X1112" i="5"/>
  <c r="B1113" i="5"/>
  <c r="D1113" i="5"/>
  <c r="F1113" i="5"/>
  <c r="G1113" i="5"/>
  <c r="H1113" i="5"/>
  <c r="I1113" i="5"/>
  <c r="J1113" i="5"/>
  <c r="N1113" i="5"/>
  <c r="O1113" i="5"/>
  <c r="P1113" i="5"/>
  <c r="Q1113" i="5"/>
  <c r="R1113" i="5"/>
  <c r="V1113" i="5"/>
  <c r="W1113" i="5"/>
  <c r="X1113" i="5"/>
  <c r="B1114" i="5"/>
  <c r="D1114" i="5"/>
  <c r="G1114" i="5"/>
  <c r="H1114" i="5"/>
  <c r="I1114" i="5"/>
  <c r="J1114" i="5"/>
  <c r="K1114" i="5"/>
  <c r="M1114" i="5"/>
  <c r="O1114" i="5"/>
  <c r="P1114" i="5"/>
  <c r="Q1114" i="5"/>
  <c r="R1114" i="5"/>
  <c r="S1114" i="5"/>
  <c r="T1114" i="5"/>
  <c r="U1114" i="5"/>
  <c r="W1114" i="5"/>
  <c r="X1114" i="5"/>
  <c r="B1115" i="5"/>
  <c r="C1115" i="5"/>
  <c r="E1115" i="5"/>
  <c r="H1115" i="5"/>
  <c r="I1115" i="5"/>
  <c r="J1115" i="5"/>
  <c r="K1115" i="5"/>
  <c r="M1115" i="5"/>
  <c r="O1115" i="5"/>
  <c r="P1115" i="5"/>
  <c r="Q1115" i="5"/>
  <c r="R1115" i="5"/>
  <c r="S1115" i="5"/>
  <c r="U1115" i="5"/>
  <c r="W1115" i="5"/>
  <c r="X1115" i="5"/>
  <c r="D1116" i="5"/>
  <c r="H1116" i="5"/>
  <c r="I1116" i="5"/>
  <c r="K1116" i="5"/>
  <c r="P1116" i="5"/>
  <c r="Q1116" i="5"/>
  <c r="T1116" i="5"/>
  <c r="U1116" i="5"/>
  <c r="W1116" i="5"/>
  <c r="X1116" i="5"/>
  <c r="D1117" i="5"/>
  <c r="G1117" i="5"/>
  <c r="H1117" i="5"/>
  <c r="I1117" i="5"/>
  <c r="M1117" i="5"/>
  <c r="O1117" i="5"/>
  <c r="P1117" i="5"/>
  <c r="Q1117" i="5"/>
  <c r="W1117" i="5"/>
  <c r="X1117" i="5"/>
  <c r="B1118" i="5"/>
  <c r="C1118" i="5"/>
  <c r="G1118" i="5"/>
  <c r="H1118" i="5"/>
  <c r="I1118" i="5"/>
  <c r="J1118" i="5"/>
  <c r="K1118" i="5"/>
  <c r="O1118" i="5"/>
  <c r="P1118" i="5"/>
  <c r="Q1118" i="5"/>
  <c r="S1118" i="5"/>
  <c r="U1118" i="5"/>
  <c r="W1118" i="5"/>
  <c r="X1118" i="5"/>
  <c r="C9" i="4"/>
  <c r="E9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B80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B81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B88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B89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B90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B92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B93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B94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B100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B101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B102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B103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B104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B105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B106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B107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B108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B109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B110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B111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B112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B113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B114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B115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B116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B117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B118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B119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B120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B121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B122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B123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B124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B125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B126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B127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B128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B129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B130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B131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B132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B133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B134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B135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B136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B137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B138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B139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B140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B141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B142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B143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B144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B145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B146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B147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B148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B149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B150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B151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B152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B153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B154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B155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B156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B157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B158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B159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B160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B161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B162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B163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B164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B165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B166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B167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B168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B169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B170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B171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B172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B173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B174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B175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B176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B177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B178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B179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B180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B181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B182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B183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B184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B185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B186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B187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B188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B189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B190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B191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B192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B193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B194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B195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B196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B197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B198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B199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B200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B201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B202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B203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B204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B205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B206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B207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B208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B209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B210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B211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B212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B213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B214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B215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B216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B217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B218" i="4"/>
  <c r="C218" i="4"/>
  <c r="D218" i="4"/>
  <c r="E218" i="4"/>
  <c r="F218" i="4"/>
  <c r="G218" i="4"/>
  <c r="H218" i="4"/>
  <c r="I218" i="4"/>
  <c r="J218" i="4"/>
  <c r="K218" i="4"/>
  <c r="L218" i="4"/>
  <c r="M218" i="4"/>
  <c r="N218" i="4"/>
  <c r="O218" i="4"/>
  <c r="B219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B220" i="4"/>
  <c r="C220" i="4"/>
  <c r="D220" i="4"/>
  <c r="E220" i="4"/>
  <c r="F220" i="4"/>
  <c r="G220" i="4"/>
  <c r="H220" i="4"/>
  <c r="I220" i="4"/>
  <c r="J220" i="4"/>
  <c r="K220" i="4"/>
  <c r="L220" i="4"/>
  <c r="M220" i="4"/>
  <c r="N220" i="4"/>
  <c r="O220" i="4"/>
  <c r="B221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B222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B223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O223" i="4"/>
  <c r="B224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B225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O225" i="4"/>
  <c r="B226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O226" i="4"/>
  <c r="B227" i="4"/>
  <c r="C227" i="4"/>
  <c r="D227" i="4"/>
  <c r="E227" i="4"/>
  <c r="F227" i="4"/>
  <c r="G227" i="4"/>
  <c r="H227" i="4"/>
  <c r="I227" i="4"/>
  <c r="J227" i="4"/>
  <c r="K227" i="4"/>
  <c r="L227" i="4"/>
  <c r="M227" i="4"/>
  <c r="N227" i="4"/>
  <c r="O227" i="4"/>
  <c r="B228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O228" i="4"/>
  <c r="B229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B230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B231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O231" i="4"/>
  <c r="B232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O232" i="4"/>
  <c r="B233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O233" i="4"/>
  <c r="B234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B235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O235" i="4"/>
  <c r="B236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O236" i="4"/>
  <c r="B237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O237" i="4"/>
  <c r="B238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O238" i="4"/>
  <c r="B239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B240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O240" i="4"/>
  <c r="B241" i="4"/>
  <c r="C241" i="4"/>
  <c r="D241" i="4"/>
  <c r="E241" i="4"/>
  <c r="F241" i="4"/>
  <c r="G241" i="4"/>
  <c r="H241" i="4"/>
  <c r="I241" i="4"/>
  <c r="J241" i="4"/>
  <c r="K241" i="4"/>
  <c r="L241" i="4"/>
  <c r="M241" i="4"/>
  <c r="N241" i="4"/>
  <c r="O241" i="4"/>
  <c r="B242" i="4"/>
  <c r="C242" i="4"/>
  <c r="D242" i="4"/>
  <c r="E242" i="4"/>
  <c r="F242" i="4"/>
  <c r="G242" i="4"/>
  <c r="H242" i="4"/>
  <c r="I242" i="4"/>
  <c r="J242" i="4"/>
  <c r="K242" i="4"/>
  <c r="L242" i="4"/>
  <c r="M242" i="4"/>
  <c r="N242" i="4"/>
  <c r="O242" i="4"/>
  <c r="B243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B244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O244" i="4"/>
  <c r="B245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O245" i="4"/>
  <c r="B246" i="4"/>
  <c r="C246" i="4"/>
  <c r="D246" i="4"/>
  <c r="E246" i="4"/>
  <c r="F246" i="4"/>
  <c r="G246" i="4"/>
  <c r="H246" i="4"/>
  <c r="I246" i="4"/>
  <c r="J246" i="4"/>
  <c r="K246" i="4"/>
  <c r="L246" i="4"/>
  <c r="M246" i="4"/>
  <c r="N246" i="4"/>
  <c r="O246" i="4"/>
  <c r="B247" i="4"/>
  <c r="C247" i="4"/>
  <c r="D247" i="4"/>
  <c r="E247" i="4"/>
  <c r="F247" i="4"/>
  <c r="G247" i="4"/>
  <c r="H247" i="4"/>
  <c r="I247" i="4"/>
  <c r="J247" i="4"/>
  <c r="K247" i="4"/>
  <c r="L247" i="4"/>
  <c r="M247" i="4"/>
  <c r="N247" i="4"/>
  <c r="O247" i="4"/>
  <c r="B248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O248" i="4"/>
  <c r="B249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B250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B251" i="4"/>
  <c r="C251" i="4"/>
  <c r="D251" i="4"/>
  <c r="E251" i="4"/>
  <c r="F251" i="4"/>
  <c r="G251" i="4"/>
  <c r="H251" i="4"/>
  <c r="I251" i="4"/>
  <c r="J251" i="4"/>
  <c r="K251" i="4"/>
  <c r="L251" i="4"/>
  <c r="M251" i="4"/>
  <c r="N251" i="4"/>
  <c r="O251" i="4"/>
  <c r="B252" i="4"/>
  <c r="C252" i="4"/>
  <c r="D252" i="4"/>
  <c r="E252" i="4"/>
  <c r="F252" i="4"/>
  <c r="G252" i="4"/>
  <c r="H252" i="4"/>
  <c r="I252" i="4"/>
  <c r="J252" i="4"/>
  <c r="K252" i="4"/>
  <c r="L252" i="4"/>
  <c r="M252" i="4"/>
  <c r="N252" i="4"/>
  <c r="O252" i="4"/>
  <c r="B253" i="4"/>
  <c r="C253" i="4"/>
  <c r="D253" i="4"/>
  <c r="E253" i="4"/>
  <c r="F253" i="4"/>
  <c r="G253" i="4"/>
  <c r="H253" i="4"/>
  <c r="I253" i="4"/>
  <c r="J253" i="4"/>
  <c r="K253" i="4"/>
  <c r="L253" i="4"/>
  <c r="M253" i="4"/>
  <c r="N253" i="4"/>
  <c r="O253" i="4"/>
  <c r="B254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B255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B256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B257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B258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B259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B260" i="4"/>
  <c r="C260" i="4"/>
  <c r="D260" i="4"/>
  <c r="E260" i="4"/>
  <c r="F260" i="4"/>
  <c r="G260" i="4"/>
  <c r="H260" i="4"/>
  <c r="I260" i="4"/>
  <c r="J260" i="4"/>
  <c r="K260" i="4"/>
  <c r="L260" i="4"/>
  <c r="M260" i="4"/>
  <c r="N260" i="4"/>
  <c r="O260" i="4"/>
  <c r="B261" i="4"/>
  <c r="C261" i="4"/>
  <c r="D261" i="4"/>
  <c r="E261" i="4"/>
  <c r="F261" i="4"/>
  <c r="G261" i="4"/>
  <c r="H261" i="4"/>
  <c r="I261" i="4"/>
  <c r="J261" i="4"/>
  <c r="K261" i="4"/>
  <c r="L261" i="4"/>
  <c r="M261" i="4"/>
  <c r="N261" i="4"/>
  <c r="O261" i="4"/>
  <c r="B262" i="4"/>
  <c r="C262" i="4"/>
  <c r="D262" i="4"/>
  <c r="E262" i="4"/>
  <c r="F262" i="4"/>
  <c r="G262" i="4"/>
  <c r="H262" i="4"/>
  <c r="I262" i="4"/>
  <c r="J262" i="4"/>
  <c r="K262" i="4"/>
  <c r="L262" i="4"/>
  <c r="M262" i="4"/>
  <c r="N262" i="4"/>
  <c r="O262" i="4"/>
  <c r="B263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O263" i="4"/>
  <c r="B264" i="4"/>
  <c r="C264" i="4"/>
  <c r="D264" i="4"/>
  <c r="E264" i="4"/>
  <c r="F264" i="4"/>
  <c r="G264" i="4"/>
  <c r="H264" i="4"/>
  <c r="I264" i="4"/>
  <c r="J264" i="4"/>
  <c r="K264" i="4"/>
  <c r="L264" i="4"/>
  <c r="M264" i="4"/>
  <c r="N264" i="4"/>
  <c r="O264" i="4"/>
  <c r="B265" i="4"/>
  <c r="C265" i="4"/>
  <c r="D265" i="4"/>
  <c r="E265" i="4"/>
  <c r="F265" i="4"/>
  <c r="G265" i="4"/>
  <c r="H265" i="4"/>
  <c r="I265" i="4"/>
  <c r="J265" i="4"/>
  <c r="K265" i="4"/>
  <c r="L265" i="4"/>
  <c r="M265" i="4"/>
  <c r="N265" i="4"/>
  <c r="O265" i="4"/>
  <c r="B266" i="4"/>
  <c r="C266" i="4"/>
  <c r="D266" i="4"/>
  <c r="E266" i="4"/>
  <c r="F266" i="4"/>
  <c r="G266" i="4"/>
  <c r="H266" i="4"/>
  <c r="I266" i="4"/>
  <c r="J266" i="4"/>
  <c r="K266" i="4"/>
  <c r="L266" i="4"/>
  <c r="M266" i="4"/>
  <c r="N266" i="4"/>
  <c r="O266" i="4"/>
  <c r="B267" i="4"/>
  <c r="C267" i="4"/>
  <c r="D267" i="4"/>
  <c r="E267" i="4"/>
  <c r="F267" i="4"/>
  <c r="G267" i="4"/>
  <c r="H267" i="4"/>
  <c r="I267" i="4"/>
  <c r="J267" i="4"/>
  <c r="K267" i="4"/>
  <c r="L267" i="4"/>
  <c r="M267" i="4"/>
  <c r="N267" i="4"/>
  <c r="O267" i="4"/>
  <c r="B268" i="4"/>
  <c r="C268" i="4"/>
  <c r="D268" i="4"/>
  <c r="E268" i="4"/>
  <c r="F268" i="4"/>
  <c r="G268" i="4"/>
  <c r="H268" i="4"/>
  <c r="I268" i="4"/>
  <c r="J268" i="4"/>
  <c r="K268" i="4"/>
  <c r="L268" i="4"/>
  <c r="M268" i="4"/>
  <c r="N268" i="4"/>
  <c r="O268" i="4"/>
  <c r="B269" i="4"/>
  <c r="C269" i="4"/>
  <c r="D269" i="4"/>
  <c r="E269" i="4"/>
  <c r="F269" i="4"/>
  <c r="G269" i="4"/>
  <c r="H269" i="4"/>
  <c r="I269" i="4"/>
  <c r="J269" i="4"/>
  <c r="K269" i="4"/>
  <c r="L269" i="4"/>
  <c r="M269" i="4"/>
  <c r="N269" i="4"/>
  <c r="O269" i="4"/>
  <c r="B270" i="4"/>
  <c r="C270" i="4"/>
  <c r="D270" i="4"/>
  <c r="E270" i="4"/>
  <c r="F270" i="4"/>
  <c r="G270" i="4"/>
  <c r="H270" i="4"/>
  <c r="I270" i="4"/>
  <c r="J270" i="4"/>
  <c r="K270" i="4"/>
  <c r="L270" i="4"/>
  <c r="M270" i="4"/>
  <c r="N270" i="4"/>
  <c r="O270" i="4"/>
  <c r="B271" i="4"/>
  <c r="C271" i="4"/>
  <c r="D271" i="4"/>
  <c r="E271" i="4"/>
  <c r="F271" i="4"/>
  <c r="G271" i="4"/>
  <c r="H271" i="4"/>
  <c r="I271" i="4"/>
  <c r="J271" i="4"/>
  <c r="K271" i="4"/>
  <c r="L271" i="4"/>
  <c r="M271" i="4"/>
  <c r="N271" i="4"/>
  <c r="O271" i="4"/>
  <c r="B272" i="4"/>
  <c r="C272" i="4"/>
  <c r="D272" i="4"/>
  <c r="E272" i="4"/>
  <c r="F272" i="4"/>
  <c r="G272" i="4"/>
  <c r="H272" i="4"/>
  <c r="I272" i="4"/>
  <c r="J272" i="4"/>
  <c r="K272" i="4"/>
  <c r="L272" i="4"/>
  <c r="M272" i="4"/>
  <c r="N272" i="4"/>
  <c r="O272" i="4"/>
  <c r="B273" i="4"/>
  <c r="C273" i="4"/>
  <c r="D273" i="4"/>
  <c r="E273" i="4"/>
  <c r="F273" i="4"/>
  <c r="G273" i="4"/>
  <c r="H273" i="4"/>
  <c r="I273" i="4"/>
  <c r="J273" i="4"/>
  <c r="K273" i="4"/>
  <c r="L273" i="4"/>
  <c r="M273" i="4"/>
  <c r="N273" i="4"/>
  <c r="O273" i="4"/>
  <c r="B274" i="4"/>
  <c r="C274" i="4"/>
  <c r="D274" i="4"/>
  <c r="E274" i="4"/>
  <c r="F274" i="4"/>
  <c r="G274" i="4"/>
  <c r="H274" i="4"/>
  <c r="I274" i="4"/>
  <c r="J274" i="4"/>
  <c r="K274" i="4"/>
  <c r="L274" i="4"/>
  <c r="M274" i="4"/>
  <c r="N274" i="4"/>
  <c r="O274" i="4"/>
  <c r="B275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O275" i="4"/>
  <c r="B276" i="4"/>
  <c r="C276" i="4"/>
  <c r="D276" i="4"/>
  <c r="E276" i="4"/>
  <c r="F276" i="4"/>
  <c r="G276" i="4"/>
  <c r="H276" i="4"/>
  <c r="I276" i="4"/>
  <c r="J276" i="4"/>
  <c r="K276" i="4"/>
  <c r="L276" i="4"/>
  <c r="M276" i="4"/>
  <c r="N276" i="4"/>
  <c r="O276" i="4"/>
  <c r="B277" i="4"/>
  <c r="C277" i="4"/>
  <c r="D277" i="4"/>
  <c r="E277" i="4"/>
  <c r="F277" i="4"/>
  <c r="G277" i="4"/>
  <c r="H277" i="4"/>
  <c r="I277" i="4"/>
  <c r="J277" i="4"/>
  <c r="K277" i="4"/>
  <c r="L277" i="4"/>
  <c r="M277" i="4"/>
  <c r="N277" i="4"/>
  <c r="O277" i="4"/>
  <c r="B278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O278" i="4"/>
  <c r="B279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O279" i="4"/>
  <c r="B280" i="4"/>
  <c r="C280" i="4"/>
  <c r="D280" i="4"/>
  <c r="E280" i="4"/>
  <c r="F280" i="4"/>
  <c r="G280" i="4"/>
  <c r="H280" i="4"/>
  <c r="I280" i="4"/>
  <c r="J280" i="4"/>
  <c r="K280" i="4"/>
  <c r="L280" i="4"/>
  <c r="M280" i="4"/>
  <c r="N280" i="4"/>
  <c r="O280" i="4"/>
  <c r="B281" i="4"/>
  <c r="C281" i="4"/>
  <c r="D281" i="4"/>
  <c r="E281" i="4"/>
  <c r="F281" i="4"/>
  <c r="G281" i="4"/>
  <c r="H281" i="4"/>
  <c r="I281" i="4"/>
  <c r="J281" i="4"/>
  <c r="K281" i="4"/>
  <c r="L281" i="4"/>
  <c r="M281" i="4"/>
  <c r="N281" i="4"/>
  <c r="O281" i="4"/>
  <c r="B282" i="4"/>
  <c r="C282" i="4"/>
  <c r="D282" i="4"/>
  <c r="E282" i="4"/>
  <c r="F282" i="4"/>
  <c r="G282" i="4"/>
  <c r="H282" i="4"/>
  <c r="I282" i="4"/>
  <c r="J282" i="4"/>
  <c r="K282" i="4"/>
  <c r="L282" i="4"/>
  <c r="M282" i="4"/>
  <c r="N282" i="4"/>
  <c r="O282" i="4"/>
  <c r="B283" i="4"/>
  <c r="C283" i="4"/>
  <c r="D283" i="4"/>
  <c r="E283" i="4"/>
  <c r="F283" i="4"/>
  <c r="G283" i="4"/>
  <c r="H283" i="4"/>
  <c r="I283" i="4"/>
  <c r="J283" i="4"/>
  <c r="K283" i="4"/>
  <c r="L283" i="4"/>
  <c r="M283" i="4"/>
  <c r="N283" i="4"/>
  <c r="O283" i="4"/>
  <c r="B284" i="4"/>
  <c r="C284" i="4"/>
  <c r="D284" i="4"/>
  <c r="E284" i="4"/>
  <c r="F284" i="4"/>
  <c r="G284" i="4"/>
  <c r="H284" i="4"/>
  <c r="I284" i="4"/>
  <c r="J284" i="4"/>
  <c r="K284" i="4"/>
  <c r="L284" i="4"/>
  <c r="M284" i="4"/>
  <c r="N284" i="4"/>
  <c r="O284" i="4"/>
  <c r="B285" i="4"/>
  <c r="C285" i="4"/>
  <c r="D285" i="4"/>
  <c r="E285" i="4"/>
  <c r="F285" i="4"/>
  <c r="G285" i="4"/>
  <c r="H285" i="4"/>
  <c r="I285" i="4"/>
  <c r="J285" i="4"/>
  <c r="K285" i="4"/>
  <c r="L285" i="4"/>
  <c r="M285" i="4"/>
  <c r="N285" i="4"/>
  <c r="O285" i="4"/>
  <c r="B286" i="4"/>
  <c r="C286" i="4"/>
  <c r="D286" i="4"/>
  <c r="E286" i="4"/>
  <c r="F286" i="4"/>
  <c r="G286" i="4"/>
  <c r="H286" i="4"/>
  <c r="I286" i="4"/>
  <c r="J286" i="4"/>
  <c r="K286" i="4"/>
  <c r="L286" i="4"/>
  <c r="M286" i="4"/>
  <c r="N286" i="4"/>
  <c r="O286" i="4"/>
  <c r="B287" i="4"/>
  <c r="C287" i="4"/>
  <c r="D287" i="4"/>
  <c r="E287" i="4"/>
  <c r="F287" i="4"/>
  <c r="G287" i="4"/>
  <c r="H287" i="4"/>
  <c r="I287" i="4"/>
  <c r="J287" i="4"/>
  <c r="K287" i="4"/>
  <c r="L287" i="4"/>
  <c r="M287" i="4"/>
  <c r="N287" i="4"/>
  <c r="O287" i="4"/>
  <c r="B288" i="4"/>
  <c r="C288" i="4"/>
  <c r="D288" i="4"/>
  <c r="E288" i="4"/>
  <c r="F288" i="4"/>
  <c r="G288" i="4"/>
  <c r="H288" i="4"/>
  <c r="I288" i="4"/>
  <c r="J288" i="4"/>
  <c r="K288" i="4"/>
  <c r="L288" i="4"/>
  <c r="M288" i="4"/>
  <c r="N288" i="4"/>
  <c r="O288" i="4"/>
  <c r="B289" i="4"/>
  <c r="C289" i="4"/>
  <c r="D289" i="4"/>
  <c r="E289" i="4"/>
  <c r="F289" i="4"/>
  <c r="G289" i="4"/>
  <c r="H289" i="4"/>
  <c r="I289" i="4"/>
  <c r="J289" i="4"/>
  <c r="K289" i="4"/>
  <c r="L289" i="4"/>
  <c r="M289" i="4"/>
  <c r="N289" i="4"/>
  <c r="O289" i="4"/>
  <c r="B290" i="4"/>
  <c r="C290" i="4"/>
  <c r="D290" i="4"/>
  <c r="E290" i="4"/>
  <c r="F290" i="4"/>
  <c r="G290" i="4"/>
  <c r="H290" i="4"/>
  <c r="I290" i="4"/>
  <c r="J290" i="4"/>
  <c r="K290" i="4"/>
  <c r="L290" i="4"/>
  <c r="M290" i="4"/>
  <c r="N290" i="4"/>
  <c r="O290" i="4"/>
  <c r="B291" i="4"/>
  <c r="C291" i="4"/>
  <c r="D291" i="4"/>
  <c r="E291" i="4"/>
  <c r="F291" i="4"/>
  <c r="G291" i="4"/>
  <c r="H291" i="4"/>
  <c r="I291" i="4"/>
  <c r="J291" i="4"/>
  <c r="K291" i="4"/>
  <c r="L291" i="4"/>
  <c r="M291" i="4"/>
  <c r="N291" i="4"/>
  <c r="O291" i="4"/>
  <c r="B292" i="4"/>
  <c r="C292" i="4"/>
  <c r="D292" i="4"/>
  <c r="E292" i="4"/>
  <c r="F292" i="4"/>
  <c r="G292" i="4"/>
  <c r="H292" i="4"/>
  <c r="I292" i="4"/>
  <c r="J292" i="4"/>
  <c r="K292" i="4"/>
  <c r="L292" i="4"/>
  <c r="M292" i="4"/>
  <c r="N292" i="4"/>
  <c r="O292" i="4"/>
  <c r="B293" i="4"/>
  <c r="C293" i="4"/>
  <c r="D293" i="4"/>
  <c r="E293" i="4"/>
  <c r="F293" i="4"/>
  <c r="G293" i="4"/>
  <c r="H293" i="4"/>
  <c r="I293" i="4"/>
  <c r="J293" i="4"/>
  <c r="K293" i="4"/>
  <c r="L293" i="4"/>
  <c r="M293" i="4"/>
  <c r="N293" i="4"/>
  <c r="O293" i="4"/>
  <c r="B294" i="4"/>
  <c r="C294" i="4"/>
  <c r="D294" i="4"/>
  <c r="E294" i="4"/>
  <c r="F294" i="4"/>
  <c r="G294" i="4"/>
  <c r="H294" i="4"/>
  <c r="I294" i="4"/>
  <c r="J294" i="4"/>
  <c r="K294" i="4"/>
  <c r="L294" i="4"/>
  <c r="M294" i="4"/>
  <c r="N294" i="4"/>
  <c r="O294" i="4"/>
  <c r="B295" i="4"/>
  <c r="C295" i="4"/>
  <c r="D295" i="4"/>
  <c r="E295" i="4"/>
  <c r="F295" i="4"/>
  <c r="G295" i="4"/>
  <c r="H295" i="4"/>
  <c r="I295" i="4"/>
  <c r="J295" i="4"/>
  <c r="K295" i="4"/>
  <c r="L295" i="4"/>
  <c r="M295" i="4"/>
  <c r="N295" i="4"/>
  <c r="O295" i="4"/>
  <c r="B296" i="4"/>
  <c r="C296" i="4"/>
  <c r="D296" i="4"/>
  <c r="E296" i="4"/>
  <c r="F296" i="4"/>
  <c r="G296" i="4"/>
  <c r="H296" i="4"/>
  <c r="I296" i="4"/>
  <c r="J296" i="4"/>
  <c r="K296" i="4"/>
  <c r="L296" i="4"/>
  <c r="M296" i="4"/>
  <c r="N296" i="4"/>
  <c r="O296" i="4"/>
  <c r="B297" i="4"/>
  <c r="C297" i="4"/>
  <c r="D297" i="4"/>
  <c r="E297" i="4"/>
  <c r="F297" i="4"/>
  <c r="G297" i="4"/>
  <c r="H297" i="4"/>
  <c r="I297" i="4"/>
  <c r="J297" i="4"/>
  <c r="K297" i="4"/>
  <c r="L297" i="4"/>
  <c r="M297" i="4"/>
  <c r="N297" i="4"/>
  <c r="O297" i="4"/>
  <c r="B298" i="4"/>
  <c r="C298" i="4"/>
  <c r="D298" i="4"/>
  <c r="E298" i="4"/>
  <c r="F298" i="4"/>
  <c r="G298" i="4"/>
  <c r="H298" i="4"/>
  <c r="I298" i="4"/>
  <c r="J298" i="4"/>
  <c r="K298" i="4"/>
  <c r="L298" i="4"/>
  <c r="M298" i="4"/>
  <c r="N298" i="4"/>
  <c r="O298" i="4"/>
  <c r="B299" i="4"/>
  <c r="C299" i="4"/>
  <c r="D299" i="4"/>
  <c r="E299" i="4"/>
  <c r="F299" i="4"/>
  <c r="G299" i="4"/>
  <c r="H299" i="4"/>
  <c r="I299" i="4"/>
  <c r="J299" i="4"/>
  <c r="K299" i="4"/>
  <c r="L299" i="4"/>
  <c r="M299" i="4"/>
  <c r="N299" i="4"/>
  <c r="O299" i="4"/>
  <c r="B300" i="4"/>
  <c r="C300" i="4"/>
  <c r="D300" i="4"/>
  <c r="E300" i="4"/>
  <c r="F300" i="4"/>
  <c r="G300" i="4"/>
  <c r="H300" i="4"/>
  <c r="I300" i="4"/>
  <c r="J300" i="4"/>
  <c r="K300" i="4"/>
  <c r="L300" i="4"/>
  <c r="M300" i="4"/>
  <c r="N300" i="4"/>
  <c r="O300" i="4"/>
  <c r="B301" i="4"/>
  <c r="C301" i="4"/>
  <c r="D301" i="4"/>
  <c r="E301" i="4"/>
  <c r="F301" i="4"/>
  <c r="G301" i="4"/>
  <c r="H301" i="4"/>
  <c r="I301" i="4"/>
  <c r="J301" i="4"/>
  <c r="K301" i="4"/>
  <c r="L301" i="4"/>
  <c r="M301" i="4"/>
  <c r="N301" i="4"/>
  <c r="O301" i="4"/>
  <c r="B302" i="4"/>
  <c r="C302" i="4"/>
  <c r="D302" i="4"/>
  <c r="E302" i="4"/>
  <c r="F302" i="4"/>
  <c r="G302" i="4"/>
  <c r="H302" i="4"/>
  <c r="I302" i="4"/>
  <c r="J302" i="4"/>
  <c r="K302" i="4"/>
  <c r="L302" i="4"/>
  <c r="M302" i="4"/>
  <c r="N302" i="4"/>
  <c r="O302" i="4"/>
  <c r="B303" i="4"/>
  <c r="C303" i="4"/>
  <c r="D303" i="4"/>
  <c r="E303" i="4"/>
  <c r="F303" i="4"/>
  <c r="G303" i="4"/>
  <c r="H303" i="4"/>
  <c r="I303" i="4"/>
  <c r="J303" i="4"/>
  <c r="K303" i="4"/>
  <c r="L303" i="4"/>
  <c r="M303" i="4"/>
  <c r="N303" i="4"/>
  <c r="O303" i="4"/>
  <c r="B304" i="4"/>
  <c r="C304" i="4"/>
  <c r="D304" i="4"/>
  <c r="E304" i="4"/>
  <c r="F304" i="4"/>
  <c r="G304" i="4"/>
  <c r="H304" i="4"/>
  <c r="I304" i="4"/>
  <c r="J304" i="4"/>
  <c r="K304" i="4"/>
  <c r="L304" i="4"/>
  <c r="M304" i="4"/>
  <c r="N304" i="4"/>
  <c r="O304" i="4"/>
  <c r="B305" i="4"/>
  <c r="C305" i="4"/>
  <c r="D305" i="4"/>
  <c r="E305" i="4"/>
  <c r="F305" i="4"/>
  <c r="G305" i="4"/>
  <c r="H305" i="4"/>
  <c r="I305" i="4"/>
  <c r="J305" i="4"/>
  <c r="K305" i="4"/>
  <c r="L305" i="4"/>
  <c r="M305" i="4"/>
  <c r="N305" i="4"/>
  <c r="O305" i="4"/>
  <c r="B306" i="4"/>
  <c r="C306" i="4"/>
  <c r="D306" i="4"/>
  <c r="E306" i="4"/>
  <c r="F306" i="4"/>
  <c r="G306" i="4"/>
  <c r="H306" i="4"/>
  <c r="I306" i="4"/>
  <c r="J306" i="4"/>
  <c r="K306" i="4"/>
  <c r="L306" i="4"/>
  <c r="M306" i="4"/>
  <c r="N306" i="4"/>
  <c r="O306" i="4"/>
  <c r="B307" i="4"/>
  <c r="C307" i="4"/>
  <c r="D307" i="4"/>
  <c r="E307" i="4"/>
  <c r="F307" i="4"/>
  <c r="G307" i="4"/>
  <c r="H307" i="4"/>
  <c r="I307" i="4"/>
  <c r="J307" i="4"/>
  <c r="K307" i="4"/>
  <c r="L307" i="4"/>
  <c r="M307" i="4"/>
  <c r="N307" i="4"/>
  <c r="O307" i="4"/>
  <c r="B308" i="4"/>
  <c r="C308" i="4"/>
  <c r="D308" i="4"/>
  <c r="E308" i="4"/>
  <c r="F308" i="4"/>
  <c r="G308" i="4"/>
  <c r="H308" i="4"/>
  <c r="I308" i="4"/>
  <c r="J308" i="4"/>
  <c r="K308" i="4"/>
  <c r="L308" i="4"/>
  <c r="M308" i="4"/>
  <c r="N308" i="4"/>
  <c r="O308" i="4"/>
  <c r="B309" i="4"/>
  <c r="C309" i="4"/>
  <c r="D309" i="4"/>
  <c r="E309" i="4"/>
  <c r="F309" i="4"/>
  <c r="G309" i="4"/>
  <c r="H309" i="4"/>
  <c r="I309" i="4"/>
  <c r="J309" i="4"/>
  <c r="K309" i="4"/>
  <c r="L309" i="4"/>
  <c r="M309" i="4"/>
  <c r="N309" i="4"/>
  <c r="O309" i="4"/>
  <c r="B310" i="4"/>
  <c r="C310" i="4"/>
  <c r="D310" i="4"/>
  <c r="E310" i="4"/>
  <c r="F310" i="4"/>
  <c r="G310" i="4"/>
  <c r="H310" i="4"/>
  <c r="I310" i="4"/>
  <c r="J310" i="4"/>
  <c r="K310" i="4"/>
  <c r="L310" i="4"/>
  <c r="M310" i="4"/>
  <c r="N310" i="4"/>
  <c r="O310" i="4"/>
  <c r="B311" i="4"/>
  <c r="C311" i="4"/>
  <c r="D311" i="4"/>
  <c r="E311" i="4"/>
  <c r="F311" i="4"/>
  <c r="G311" i="4"/>
  <c r="H311" i="4"/>
  <c r="I311" i="4"/>
  <c r="J311" i="4"/>
  <c r="K311" i="4"/>
  <c r="L311" i="4"/>
  <c r="M311" i="4"/>
  <c r="N311" i="4"/>
  <c r="O311" i="4"/>
  <c r="B312" i="4"/>
  <c r="C312" i="4"/>
  <c r="D312" i="4"/>
  <c r="E312" i="4"/>
  <c r="F312" i="4"/>
  <c r="G312" i="4"/>
  <c r="H312" i="4"/>
  <c r="I312" i="4"/>
  <c r="J312" i="4"/>
  <c r="K312" i="4"/>
  <c r="L312" i="4"/>
  <c r="M312" i="4"/>
  <c r="N312" i="4"/>
  <c r="O312" i="4"/>
  <c r="B313" i="4"/>
  <c r="C313" i="4"/>
  <c r="D313" i="4"/>
  <c r="E313" i="4"/>
  <c r="F313" i="4"/>
  <c r="G313" i="4"/>
  <c r="H313" i="4"/>
  <c r="I313" i="4"/>
  <c r="J313" i="4"/>
  <c r="K313" i="4"/>
  <c r="L313" i="4"/>
  <c r="M313" i="4"/>
  <c r="N313" i="4"/>
  <c r="O313" i="4"/>
  <c r="B314" i="4"/>
  <c r="C314" i="4"/>
  <c r="D314" i="4"/>
  <c r="E314" i="4"/>
  <c r="F314" i="4"/>
  <c r="G314" i="4"/>
  <c r="H314" i="4"/>
  <c r="I314" i="4"/>
  <c r="J314" i="4"/>
  <c r="K314" i="4"/>
  <c r="L314" i="4"/>
  <c r="M314" i="4"/>
  <c r="N314" i="4"/>
  <c r="O314" i="4"/>
  <c r="B315" i="4"/>
  <c r="C315" i="4"/>
  <c r="D315" i="4"/>
  <c r="E315" i="4"/>
  <c r="F315" i="4"/>
  <c r="G315" i="4"/>
  <c r="H315" i="4"/>
  <c r="I315" i="4"/>
  <c r="J315" i="4"/>
  <c r="K315" i="4"/>
  <c r="L315" i="4"/>
  <c r="M315" i="4"/>
  <c r="N315" i="4"/>
  <c r="O315" i="4"/>
  <c r="B316" i="4"/>
  <c r="C316" i="4"/>
  <c r="D316" i="4"/>
  <c r="E316" i="4"/>
  <c r="F316" i="4"/>
  <c r="G316" i="4"/>
  <c r="H316" i="4"/>
  <c r="I316" i="4"/>
  <c r="J316" i="4"/>
  <c r="K316" i="4"/>
  <c r="L316" i="4"/>
  <c r="M316" i="4"/>
  <c r="N316" i="4"/>
  <c r="O316" i="4"/>
  <c r="B317" i="4"/>
  <c r="C317" i="4"/>
  <c r="D317" i="4"/>
  <c r="E317" i="4"/>
  <c r="F317" i="4"/>
  <c r="G317" i="4"/>
  <c r="H317" i="4"/>
  <c r="I317" i="4"/>
  <c r="J317" i="4"/>
  <c r="K317" i="4"/>
  <c r="L317" i="4"/>
  <c r="M317" i="4"/>
  <c r="N317" i="4"/>
  <c r="O317" i="4"/>
  <c r="B318" i="4"/>
  <c r="C318" i="4"/>
  <c r="D318" i="4"/>
  <c r="E318" i="4"/>
  <c r="F318" i="4"/>
  <c r="G318" i="4"/>
  <c r="H318" i="4"/>
  <c r="I318" i="4"/>
  <c r="J318" i="4"/>
  <c r="K318" i="4"/>
  <c r="L318" i="4"/>
  <c r="M318" i="4"/>
  <c r="N318" i="4"/>
  <c r="O318" i="4"/>
  <c r="B319" i="4"/>
  <c r="C319" i="4"/>
  <c r="D319" i="4"/>
  <c r="E319" i="4"/>
  <c r="F319" i="4"/>
  <c r="G319" i="4"/>
  <c r="H319" i="4"/>
  <c r="I319" i="4"/>
  <c r="J319" i="4"/>
  <c r="K319" i="4"/>
  <c r="L319" i="4"/>
  <c r="M319" i="4"/>
  <c r="N319" i="4"/>
  <c r="O319" i="4"/>
  <c r="B320" i="4"/>
  <c r="C320" i="4"/>
  <c r="D320" i="4"/>
  <c r="E320" i="4"/>
  <c r="F320" i="4"/>
  <c r="G320" i="4"/>
  <c r="H320" i="4"/>
  <c r="I320" i="4"/>
  <c r="J320" i="4"/>
  <c r="K320" i="4"/>
  <c r="L320" i="4"/>
  <c r="M320" i="4"/>
  <c r="N320" i="4"/>
  <c r="O320" i="4"/>
  <c r="B321" i="4"/>
  <c r="C321" i="4"/>
  <c r="D321" i="4"/>
  <c r="E321" i="4"/>
  <c r="F321" i="4"/>
  <c r="G321" i="4"/>
  <c r="H321" i="4"/>
  <c r="I321" i="4"/>
  <c r="J321" i="4"/>
  <c r="K321" i="4"/>
  <c r="L321" i="4"/>
  <c r="M321" i="4"/>
  <c r="N321" i="4"/>
  <c r="O321" i="4"/>
  <c r="B322" i="4"/>
  <c r="C322" i="4"/>
  <c r="D322" i="4"/>
  <c r="E322" i="4"/>
  <c r="F322" i="4"/>
  <c r="G322" i="4"/>
  <c r="H322" i="4"/>
  <c r="I322" i="4"/>
  <c r="J322" i="4"/>
  <c r="K322" i="4"/>
  <c r="L322" i="4"/>
  <c r="M322" i="4"/>
  <c r="N322" i="4"/>
  <c r="O322" i="4"/>
  <c r="B323" i="4"/>
  <c r="C323" i="4"/>
  <c r="D323" i="4"/>
  <c r="E323" i="4"/>
  <c r="F323" i="4"/>
  <c r="G323" i="4"/>
  <c r="H323" i="4"/>
  <c r="I323" i="4"/>
  <c r="J323" i="4"/>
  <c r="K323" i="4"/>
  <c r="L323" i="4"/>
  <c r="M323" i="4"/>
  <c r="N323" i="4"/>
  <c r="O323" i="4"/>
  <c r="B324" i="4"/>
  <c r="C324" i="4"/>
  <c r="D324" i="4"/>
  <c r="E324" i="4"/>
  <c r="F324" i="4"/>
  <c r="G324" i="4"/>
  <c r="H324" i="4"/>
  <c r="I324" i="4"/>
  <c r="J324" i="4"/>
  <c r="K324" i="4"/>
  <c r="L324" i="4"/>
  <c r="M324" i="4"/>
  <c r="N324" i="4"/>
  <c r="O324" i="4"/>
  <c r="B325" i="4"/>
  <c r="C325" i="4"/>
  <c r="D325" i="4"/>
  <c r="E325" i="4"/>
  <c r="F325" i="4"/>
  <c r="G325" i="4"/>
  <c r="H325" i="4"/>
  <c r="I325" i="4"/>
  <c r="J325" i="4"/>
  <c r="K325" i="4"/>
  <c r="L325" i="4"/>
  <c r="M325" i="4"/>
  <c r="N325" i="4"/>
  <c r="O325" i="4"/>
  <c r="B326" i="4"/>
  <c r="C326" i="4"/>
  <c r="D326" i="4"/>
  <c r="E326" i="4"/>
  <c r="F326" i="4"/>
  <c r="G326" i="4"/>
  <c r="H326" i="4"/>
  <c r="I326" i="4"/>
  <c r="J326" i="4"/>
  <c r="K326" i="4"/>
  <c r="L326" i="4"/>
  <c r="M326" i="4"/>
  <c r="N326" i="4"/>
  <c r="O326" i="4"/>
  <c r="B327" i="4"/>
  <c r="C327" i="4"/>
  <c r="D327" i="4"/>
  <c r="E327" i="4"/>
  <c r="F327" i="4"/>
  <c r="G327" i="4"/>
  <c r="H327" i="4"/>
  <c r="I327" i="4"/>
  <c r="J327" i="4"/>
  <c r="K327" i="4"/>
  <c r="L327" i="4"/>
  <c r="M327" i="4"/>
  <c r="N327" i="4"/>
  <c r="O327" i="4"/>
  <c r="B328" i="4"/>
  <c r="C328" i="4"/>
  <c r="D328" i="4"/>
  <c r="E328" i="4"/>
  <c r="F328" i="4"/>
  <c r="G328" i="4"/>
  <c r="H328" i="4"/>
  <c r="I328" i="4"/>
  <c r="J328" i="4"/>
  <c r="K328" i="4"/>
  <c r="L328" i="4"/>
  <c r="M328" i="4"/>
  <c r="N328" i="4"/>
  <c r="O328" i="4"/>
  <c r="B329" i="4"/>
  <c r="C329" i="4"/>
  <c r="D329" i="4"/>
  <c r="E329" i="4"/>
  <c r="F329" i="4"/>
  <c r="G329" i="4"/>
  <c r="H329" i="4"/>
  <c r="I329" i="4"/>
  <c r="J329" i="4"/>
  <c r="K329" i="4"/>
  <c r="L329" i="4"/>
  <c r="M329" i="4"/>
  <c r="N329" i="4"/>
  <c r="O329" i="4"/>
  <c r="B330" i="4"/>
  <c r="C330" i="4"/>
  <c r="D330" i="4"/>
  <c r="E330" i="4"/>
  <c r="F330" i="4"/>
  <c r="G330" i="4"/>
  <c r="H330" i="4"/>
  <c r="I330" i="4"/>
  <c r="J330" i="4"/>
  <c r="K330" i="4"/>
  <c r="L330" i="4"/>
  <c r="M330" i="4"/>
  <c r="N330" i="4"/>
  <c r="O330" i="4"/>
  <c r="B331" i="4"/>
  <c r="C331" i="4"/>
  <c r="D331" i="4"/>
  <c r="E331" i="4"/>
  <c r="F331" i="4"/>
  <c r="G331" i="4"/>
  <c r="H331" i="4"/>
  <c r="I331" i="4"/>
  <c r="J331" i="4"/>
  <c r="K331" i="4"/>
  <c r="L331" i="4"/>
  <c r="M331" i="4"/>
  <c r="N331" i="4"/>
  <c r="O331" i="4"/>
  <c r="B332" i="4"/>
  <c r="C332" i="4"/>
  <c r="D332" i="4"/>
  <c r="E332" i="4"/>
  <c r="F332" i="4"/>
  <c r="G332" i="4"/>
  <c r="H332" i="4"/>
  <c r="I332" i="4"/>
  <c r="J332" i="4"/>
  <c r="K332" i="4"/>
  <c r="L332" i="4"/>
  <c r="M332" i="4"/>
  <c r="N332" i="4"/>
  <c r="O332" i="4"/>
  <c r="B333" i="4"/>
  <c r="C333" i="4"/>
  <c r="D333" i="4"/>
  <c r="E333" i="4"/>
  <c r="F333" i="4"/>
  <c r="G333" i="4"/>
  <c r="H333" i="4"/>
  <c r="I333" i="4"/>
  <c r="J333" i="4"/>
  <c r="K333" i="4"/>
  <c r="L333" i="4"/>
  <c r="M333" i="4"/>
  <c r="N333" i="4"/>
  <c r="O333" i="4"/>
  <c r="B334" i="4"/>
  <c r="C334" i="4"/>
  <c r="D334" i="4"/>
  <c r="E334" i="4"/>
  <c r="F334" i="4"/>
  <c r="G334" i="4"/>
  <c r="H334" i="4"/>
  <c r="I334" i="4"/>
  <c r="J334" i="4"/>
  <c r="K334" i="4"/>
  <c r="L334" i="4"/>
  <c r="M334" i="4"/>
  <c r="N334" i="4"/>
  <c r="O334" i="4"/>
  <c r="B335" i="4"/>
  <c r="C335" i="4"/>
  <c r="D335" i="4"/>
  <c r="E335" i="4"/>
  <c r="F335" i="4"/>
  <c r="G335" i="4"/>
  <c r="H335" i="4"/>
  <c r="I335" i="4"/>
  <c r="J335" i="4"/>
  <c r="K335" i="4"/>
  <c r="L335" i="4"/>
  <c r="M335" i="4"/>
  <c r="N335" i="4"/>
  <c r="O335" i="4"/>
  <c r="B336" i="4"/>
  <c r="C336" i="4"/>
  <c r="D336" i="4"/>
  <c r="E336" i="4"/>
  <c r="F336" i="4"/>
  <c r="G336" i="4"/>
  <c r="H336" i="4"/>
  <c r="I336" i="4"/>
  <c r="J336" i="4"/>
  <c r="K336" i="4"/>
  <c r="L336" i="4"/>
  <c r="M336" i="4"/>
  <c r="N336" i="4"/>
  <c r="O336" i="4"/>
  <c r="B337" i="4"/>
  <c r="C337" i="4"/>
  <c r="D337" i="4"/>
  <c r="E337" i="4"/>
  <c r="F337" i="4"/>
  <c r="G337" i="4"/>
  <c r="H337" i="4"/>
  <c r="I337" i="4"/>
  <c r="J337" i="4"/>
  <c r="K337" i="4"/>
  <c r="L337" i="4"/>
  <c r="M337" i="4"/>
  <c r="N337" i="4"/>
  <c r="O337" i="4"/>
  <c r="B338" i="4"/>
  <c r="C338" i="4"/>
  <c r="D338" i="4"/>
  <c r="E338" i="4"/>
  <c r="F338" i="4"/>
  <c r="G338" i="4"/>
  <c r="H338" i="4"/>
  <c r="I338" i="4"/>
  <c r="J338" i="4"/>
  <c r="K338" i="4"/>
  <c r="L338" i="4"/>
  <c r="M338" i="4"/>
  <c r="N338" i="4"/>
  <c r="O338" i="4"/>
  <c r="B339" i="4"/>
  <c r="C339" i="4"/>
  <c r="D339" i="4"/>
  <c r="E339" i="4"/>
  <c r="F339" i="4"/>
  <c r="G339" i="4"/>
  <c r="H339" i="4"/>
  <c r="I339" i="4"/>
  <c r="J339" i="4"/>
  <c r="K339" i="4"/>
  <c r="L339" i="4"/>
  <c r="M339" i="4"/>
  <c r="N339" i="4"/>
  <c r="O339" i="4"/>
  <c r="B340" i="4"/>
  <c r="C340" i="4"/>
  <c r="D340" i="4"/>
  <c r="E340" i="4"/>
  <c r="F340" i="4"/>
  <c r="G340" i="4"/>
  <c r="H340" i="4"/>
  <c r="I340" i="4"/>
  <c r="J340" i="4"/>
  <c r="K340" i="4"/>
  <c r="L340" i="4"/>
  <c r="M340" i="4"/>
  <c r="N340" i="4"/>
  <c r="O340" i="4"/>
  <c r="B341" i="4"/>
  <c r="C341" i="4"/>
  <c r="D341" i="4"/>
  <c r="E341" i="4"/>
  <c r="F341" i="4"/>
  <c r="G341" i="4"/>
  <c r="H341" i="4"/>
  <c r="I341" i="4"/>
  <c r="J341" i="4"/>
  <c r="K341" i="4"/>
  <c r="L341" i="4"/>
  <c r="M341" i="4"/>
  <c r="N341" i="4"/>
  <c r="O341" i="4"/>
  <c r="B342" i="4"/>
  <c r="C342" i="4"/>
  <c r="D342" i="4"/>
  <c r="E342" i="4"/>
  <c r="F342" i="4"/>
  <c r="G342" i="4"/>
  <c r="H342" i="4"/>
  <c r="I342" i="4"/>
  <c r="J342" i="4"/>
  <c r="K342" i="4"/>
  <c r="L342" i="4"/>
  <c r="M342" i="4"/>
  <c r="N342" i="4"/>
  <c r="O342" i="4"/>
  <c r="B343" i="4"/>
  <c r="C343" i="4"/>
  <c r="D343" i="4"/>
  <c r="E343" i="4"/>
  <c r="F343" i="4"/>
  <c r="G343" i="4"/>
  <c r="H343" i="4"/>
  <c r="I343" i="4"/>
  <c r="J343" i="4"/>
  <c r="K343" i="4"/>
  <c r="L343" i="4"/>
  <c r="M343" i="4"/>
  <c r="N343" i="4"/>
  <c r="O343" i="4"/>
  <c r="B344" i="4"/>
  <c r="C344" i="4"/>
  <c r="D344" i="4"/>
  <c r="E344" i="4"/>
  <c r="F344" i="4"/>
  <c r="G344" i="4"/>
  <c r="H344" i="4"/>
  <c r="I344" i="4"/>
  <c r="J344" i="4"/>
  <c r="K344" i="4"/>
  <c r="L344" i="4"/>
  <c r="M344" i="4"/>
  <c r="N344" i="4"/>
  <c r="O344" i="4"/>
  <c r="B345" i="4"/>
  <c r="C345" i="4"/>
  <c r="D345" i="4"/>
  <c r="E345" i="4"/>
  <c r="F345" i="4"/>
  <c r="G345" i="4"/>
  <c r="H345" i="4"/>
  <c r="I345" i="4"/>
  <c r="J345" i="4"/>
  <c r="K345" i="4"/>
  <c r="L345" i="4"/>
  <c r="M345" i="4"/>
  <c r="N345" i="4"/>
  <c r="O345" i="4"/>
  <c r="B346" i="4"/>
  <c r="C346" i="4"/>
  <c r="D346" i="4"/>
  <c r="E346" i="4"/>
  <c r="F346" i="4"/>
  <c r="G346" i="4"/>
  <c r="H346" i="4"/>
  <c r="I346" i="4"/>
  <c r="J346" i="4"/>
  <c r="K346" i="4"/>
  <c r="L346" i="4"/>
  <c r="M346" i="4"/>
  <c r="N346" i="4"/>
  <c r="O346" i="4"/>
  <c r="B347" i="4"/>
  <c r="C347" i="4"/>
  <c r="D347" i="4"/>
  <c r="E347" i="4"/>
  <c r="F347" i="4"/>
  <c r="G347" i="4"/>
  <c r="H347" i="4"/>
  <c r="I347" i="4"/>
  <c r="J347" i="4"/>
  <c r="K347" i="4"/>
  <c r="L347" i="4"/>
  <c r="M347" i="4"/>
  <c r="N347" i="4"/>
  <c r="O347" i="4"/>
  <c r="B348" i="4"/>
  <c r="C348" i="4"/>
  <c r="D348" i="4"/>
  <c r="E348" i="4"/>
  <c r="F348" i="4"/>
  <c r="G348" i="4"/>
  <c r="H348" i="4"/>
  <c r="I348" i="4"/>
  <c r="J348" i="4"/>
  <c r="K348" i="4"/>
  <c r="L348" i="4"/>
  <c r="M348" i="4"/>
  <c r="N348" i="4"/>
  <c r="O348" i="4"/>
  <c r="B349" i="4"/>
  <c r="C349" i="4"/>
  <c r="D349" i="4"/>
  <c r="E349" i="4"/>
  <c r="F349" i="4"/>
  <c r="G349" i="4"/>
  <c r="H349" i="4"/>
  <c r="I349" i="4"/>
  <c r="J349" i="4"/>
  <c r="K349" i="4"/>
  <c r="L349" i="4"/>
  <c r="M349" i="4"/>
  <c r="N349" i="4"/>
  <c r="O349" i="4"/>
  <c r="B350" i="4"/>
  <c r="C350" i="4"/>
  <c r="D350" i="4"/>
  <c r="E350" i="4"/>
  <c r="F350" i="4"/>
  <c r="G350" i="4"/>
  <c r="H350" i="4"/>
  <c r="I350" i="4"/>
  <c r="J350" i="4"/>
  <c r="K350" i="4"/>
  <c r="L350" i="4"/>
  <c r="M350" i="4"/>
  <c r="N350" i="4"/>
  <c r="O350" i="4"/>
  <c r="B351" i="4"/>
  <c r="C351" i="4"/>
  <c r="D351" i="4"/>
  <c r="E351" i="4"/>
  <c r="F351" i="4"/>
  <c r="G351" i="4"/>
  <c r="H351" i="4"/>
  <c r="I351" i="4"/>
  <c r="J351" i="4"/>
  <c r="K351" i="4"/>
  <c r="L351" i="4"/>
  <c r="M351" i="4"/>
  <c r="N351" i="4"/>
  <c r="O351" i="4"/>
  <c r="B352" i="4"/>
  <c r="C352" i="4"/>
  <c r="D352" i="4"/>
  <c r="E352" i="4"/>
  <c r="F352" i="4"/>
  <c r="G352" i="4"/>
  <c r="H352" i="4"/>
  <c r="I352" i="4"/>
  <c r="J352" i="4"/>
  <c r="K352" i="4"/>
  <c r="L352" i="4"/>
  <c r="M352" i="4"/>
  <c r="N352" i="4"/>
  <c r="O352" i="4"/>
  <c r="B353" i="4"/>
  <c r="C353" i="4"/>
  <c r="D353" i="4"/>
  <c r="E353" i="4"/>
  <c r="F353" i="4"/>
  <c r="G353" i="4"/>
  <c r="H353" i="4"/>
  <c r="I353" i="4"/>
  <c r="J353" i="4"/>
  <c r="K353" i="4"/>
  <c r="L353" i="4"/>
  <c r="M353" i="4"/>
  <c r="N353" i="4"/>
  <c r="O353" i="4"/>
  <c r="B354" i="4"/>
  <c r="C354" i="4"/>
  <c r="D354" i="4"/>
  <c r="E354" i="4"/>
  <c r="F354" i="4"/>
  <c r="G354" i="4"/>
  <c r="H354" i="4"/>
  <c r="I354" i="4"/>
  <c r="J354" i="4"/>
  <c r="K354" i="4"/>
  <c r="L354" i="4"/>
  <c r="M354" i="4"/>
  <c r="N354" i="4"/>
  <c r="O354" i="4"/>
  <c r="B355" i="4"/>
  <c r="C355" i="4"/>
  <c r="D355" i="4"/>
  <c r="E355" i="4"/>
  <c r="F355" i="4"/>
  <c r="G355" i="4"/>
  <c r="H355" i="4"/>
  <c r="I355" i="4"/>
  <c r="J355" i="4"/>
  <c r="K355" i="4"/>
  <c r="L355" i="4"/>
  <c r="M355" i="4"/>
  <c r="N355" i="4"/>
  <c r="O355" i="4"/>
  <c r="B356" i="4"/>
  <c r="C356" i="4"/>
  <c r="D356" i="4"/>
  <c r="E356" i="4"/>
  <c r="F356" i="4"/>
  <c r="G356" i="4"/>
  <c r="H356" i="4"/>
  <c r="I356" i="4"/>
  <c r="J356" i="4"/>
  <c r="K356" i="4"/>
  <c r="L356" i="4"/>
  <c r="M356" i="4"/>
  <c r="N356" i="4"/>
  <c r="O356" i="4"/>
  <c r="B357" i="4"/>
  <c r="C357" i="4"/>
  <c r="D357" i="4"/>
  <c r="E357" i="4"/>
  <c r="F357" i="4"/>
  <c r="G357" i="4"/>
  <c r="H357" i="4"/>
  <c r="I357" i="4"/>
  <c r="J357" i="4"/>
  <c r="K357" i="4"/>
  <c r="L357" i="4"/>
  <c r="M357" i="4"/>
  <c r="N357" i="4"/>
  <c r="O357" i="4"/>
  <c r="B358" i="4"/>
  <c r="C358" i="4"/>
  <c r="D358" i="4"/>
  <c r="E358" i="4"/>
  <c r="F358" i="4"/>
  <c r="G358" i="4"/>
  <c r="H358" i="4"/>
  <c r="I358" i="4"/>
  <c r="J358" i="4"/>
  <c r="K358" i="4"/>
  <c r="L358" i="4"/>
  <c r="M358" i="4"/>
  <c r="N358" i="4"/>
  <c r="O358" i="4"/>
  <c r="B359" i="4"/>
  <c r="C359" i="4"/>
  <c r="D359" i="4"/>
  <c r="E359" i="4"/>
  <c r="F359" i="4"/>
  <c r="G359" i="4"/>
  <c r="H359" i="4"/>
  <c r="I359" i="4"/>
  <c r="J359" i="4"/>
  <c r="K359" i="4"/>
  <c r="L359" i="4"/>
  <c r="M359" i="4"/>
  <c r="N359" i="4"/>
  <c r="O359" i="4"/>
  <c r="B360" i="4"/>
  <c r="C360" i="4"/>
  <c r="D360" i="4"/>
  <c r="E360" i="4"/>
  <c r="F360" i="4"/>
  <c r="G360" i="4"/>
  <c r="H360" i="4"/>
  <c r="I360" i="4"/>
  <c r="J360" i="4"/>
  <c r="K360" i="4"/>
  <c r="L360" i="4"/>
  <c r="M360" i="4"/>
  <c r="N360" i="4"/>
  <c r="O360" i="4"/>
  <c r="B361" i="4"/>
  <c r="C361" i="4"/>
  <c r="D361" i="4"/>
  <c r="E361" i="4"/>
  <c r="F361" i="4"/>
  <c r="G361" i="4"/>
  <c r="H361" i="4"/>
  <c r="I361" i="4"/>
  <c r="J361" i="4"/>
  <c r="K361" i="4"/>
  <c r="L361" i="4"/>
  <c r="M361" i="4"/>
  <c r="N361" i="4"/>
  <c r="O361" i="4"/>
  <c r="B362" i="4"/>
  <c r="C362" i="4"/>
  <c r="D362" i="4"/>
  <c r="E362" i="4"/>
  <c r="F362" i="4"/>
  <c r="G362" i="4"/>
  <c r="H362" i="4"/>
  <c r="I362" i="4"/>
  <c r="J362" i="4"/>
  <c r="K362" i="4"/>
  <c r="L362" i="4"/>
  <c r="M362" i="4"/>
  <c r="N362" i="4"/>
  <c r="O362" i="4"/>
  <c r="B363" i="4"/>
  <c r="C363" i="4"/>
  <c r="D363" i="4"/>
  <c r="E363" i="4"/>
  <c r="F363" i="4"/>
  <c r="G363" i="4"/>
  <c r="H363" i="4"/>
  <c r="I363" i="4"/>
  <c r="J363" i="4"/>
  <c r="K363" i="4"/>
  <c r="L363" i="4"/>
  <c r="M363" i="4"/>
  <c r="N363" i="4"/>
  <c r="O363" i="4"/>
  <c r="B364" i="4"/>
  <c r="C364" i="4"/>
  <c r="D364" i="4"/>
  <c r="E364" i="4"/>
  <c r="F364" i="4"/>
  <c r="G364" i="4"/>
  <c r="H364" i="4"/>
  <c r="I364" i="4"/>
  <c r="J364" i="4"/>
  <c r="K364" i="4"/>
  <c r="L364" i="4"/>
  <c r="M364" i="4"/>
  <c r="N364" i="4"/>
  <c r="O364" i="4"/>
  <c r="B365" i="4"/>
  <c r="C365" i="4"/>
  <c r="D365" i="4"/>
  <c r="E365" i="4"/>
  <c r="F365" i="4"/>
  <c r="G365" i="4"/>
  <c r="H365" i="4"/>
  <c r="I365" i="4"/>
  <c r="J365" i="4"/>
  <c r="K365" i="4"/>
  <c r="L365" i="4"/>
  <c r="M365" i="4"/>
  <c r="N365" i="4"/>
  <c r="O365" i="4"/>
  <c r="B366" i="4"/>
  <c r="C366" i="4"/>
  <c r="D366" i="4"/>
  <c r="E366" i="4"/>
  <c r="F366" i="4"/>
  <c r="G366" i="4"/>
  <c r="H366" i="4"/>
  <c r="I366" i="4"/>
  <c r="J366" i="4"/>
  <c r="K366" i="4"/>
  <c r="L366" i="4"/>
  <c r="M366" i="4"/>
  <c r="N366" i="4"/>
  <c r="O366" i="4"/>
  <c r="B367" i="4"/>
  <c r="C367" i="4"/>
  <c r="D367" i="4"/>
  <c r="E367" i="4"/>
  <c r="F367" i="4"/>
  <c r="G367" i="4"/>
  <c r="H367" i="4"/>
  <c r="I367" i="4"/>
  <c r="J367" i="4"/>
  <c r="K367" i="4"/>
  <c r="L367" i="4"/>
  <c r="M367" i="4"/>
  <c r="N367" i="4"/>
  <c r="O367" i="4"/>
  <c r="B368" i="4"/>
  <c r="C368" i="4"/>
  <c r="D368" i="4"/>
  <c r="E368" i="4"/>
  <c r="F368" i="4"/>
  <c r="G368" i="4"/>
  <c r="H368" i="4"/>
  <c r="I368" i="4"/>
  <c r="J368" i="4"/>
  <c r="K368" i="4"/>
  <c r="L368" i="4"/>
  <c r="M368" i="4"/>
  <c r="N368" i="4"/>
  <c r="O368" i="4"/>
  <c r="B369" i="4"/>
  <c r="C369" i="4"/>
  <c r="D369" i="4"/>
  <c r="E369" i="4"/>
  <c r="F369" i="4"/>
  <c r="G369" i="4"/>
  <c r="H369" i="4"/>
  <c r="I369" i="4"/>
  <c r="J369" i="4"/>
  <c r="K369" i="4"/>
  <c r="L369" i="4"/>
  <c r="M369" i="4"/>
  <c r="N369" i="4"/>
  <c r="O369" i="4"/>
  <c r="B370" i="4"/>
  <c r="C370" i="4"/>
  <c r="D370" i="4"/>
  <c r="E370" i="4"/>
  <c r="F370" i="4"/>
  <c r="G370" i="4"/>
  <c r="H370" i="4"/>
  <c r="I370" i="4"/>
  <c r="J370" i="4"/>
  <c r="K370" i="4"/>
  <c r="L370" i="4"/>
  <c r="M370" i="4"/>
  <c r="N370" i="4"/>
  <c r="O370" i="4"/>
  <c r="B371" i="4"/>
  <c r="C371" i="4"/>
  <c r="D371" i="4"/>
  <c r="E371" i="4"/>
  <c r="F371" i="4"/>
  <c r="G371" i="4"/>
  <c r="H371" i="4"/>
  <c r="I371" i="4"/>
  <c r="J371" i="4"/>
  <c r="K371" i="4"/>
  <c r="L371" i="4"/>
  <c r="M371" i="4"/>
  <c r="N371" i="4"/>
  <c r="O371" i="4"/>
  <c r="B372" i="4"/>
  <c r="C372" i="4"/>
  <c r="D372" i="4"/>
  <c r="E372" i="4"/>
  <c r="F372" i="4"/>
  <c r="G372" i="4"/>
  <c r="H372" i="4"/>
  <c r="I372" i="4"/>
  <c r="J372" i="4"/>
  <c r="K372" i="4"/>
  <c r="L372" i="4"/>
  <c r="M372" i="4"/>
  <c r="N372" i="4"/>
  <c r="O372" i="4"/>
  <c r="B373" i="4"/>
  <c r="C373" i="4"/>
  <c r="D373" i="4"/>
  <c r="E373" i="4"/>
  <c r="F373" i="4"/>
  <c r="G373" i="4"/>
  <c r="H373" i="4"/>
  <c r="I373" i="4"/>
  <c r="J373" i="4"/>
  <c r="K373" i="4"/>
  <c r="L373" i="4"/>
  <c r="M373" i="4"/>
  <c r="N373" i="4"/>
  <c r="O373" i="4"/>
  <c r="B374" i="4"/>
  <c r="C374" i="4"/>
  <c r="D374" i="4"/>
  <c r="E374" i="4"/>
  <c r="F374" i="4"/>
  <c r="G374" i="4"/>
  <c r="H374" i="4"/>
  <c r="I374" i="4"/>
  <c r="J374" i="4"/>
  <c r="K374" i="4"/>
  <c r="L374" i="4"/>
  <c r="M374" i="4"/>
  <c r="N374" i="4"/>
  <c r="O374" i="4"/>
  <c r="B375" i="4"/>
  <c r="C375" i="4"/>
  <c r="D375" i="4"/>
  <c r="E375" i="4"/>
  <c r="F375" i="4"/>
  <c r="G375" i="4"/>
  <c r="H375" i="4"/>
  <c r="I375" i="4"/>
  <c r="J375" i="4"/>
  <c r="K375" i="4"/>
  <c r="L375" i="4"/>
  <c r="M375" i="4"/>
  <c r="N375" i="4"/>
  <c r="O375" i="4"/>
  <c r="B376" i="4"/>
  <c r="C376" i="4"/>
  <c r="D376" i="4"/>
  <c r="E376" i="4"/>
  <c r="F376" i="4"/>
  <c r="G376" i="4"/>
  <c r="H376" i="4"/>
  <c r="I376" i="4"/>
  <c r="J376" i="4"/>
  <c r="K376" i="4"/>
  <c r="L376" i="4"/>
  <c r="M376" i="4"/>
  <c r="N376" i="4"/>
  <c r="O376" i="4"/>
  <c r="B377" i="4"/>
  <c r="C377" i="4"/>
  <c r="D377" i="4"/>
  <c r="E377" i="4"/>
  <c r="F377" i="4"/>
  <c r="G377" i="4"/>
  <c r="H377" i="4"/>
  <c r="I377" i="4"/>
  <c r="J377" i="4"/>
  <c r="K377" i="4"/>
  <c r="L377" i="4"/>
  <c r="M377" i="4"/>
  <c r="N377" i="4"/>
  <c r="O377" i="4"/>
  <c r="B378" i="4"/>
  <c r="C378" i="4"/>
  <c r="D378" i="4"/>
  <c r="E378" i="4"/>
  <c r="F378" i="4"/>
  <c r="G378" i="4"/>
  <c r="H378" i="4"/>
  <c r="I378" i="4"/>
  <c r="J378" i="4"/>
  <c r="K378" i="4"/>
  <c r="L378" i="4"/>
  <c r="M378" i="4"/>
  <c r="N378" i="4"/>
  <c r="O378" i="4"/>
  <c r="B379" i="4"/>
  <c r="C379" i="4"/>
  <c r="D379" i="4"/>
  <c r="E379" i="4"/>
  <c r="F379" i="4"/>
  <c r="G379" i="4"/>
  <c r="H379" i="4"/>
  <c r="I379" i="4"/>
  <c r="J379" i="4"/>
  <c r="K379" i="4"/>
  <c r="L379" i="4"/>
  <c r="M379" i="4"/>
  <c r="N379" i="4"/>
  <c r="O379" i="4"/>
  <c r="B380" i="4"/>
  <c r="C380" i="4"/>
  <c r="D380" i="4"/>
  <c r="E380" i="4"/>
  <c r="F380" i="4"/>
  <c r="G380" i="4"/>
  <c r="H380" i="4"/>
  <c r="I380" i="4"/>
  <c r="J380" i="4"/>
  <c r="K380" i="4"/>
  <c r="L380" i="4"/>
  <c r="M380" i="4"/>
  <c r="N380" i="4"/>
  <c r="O380" i="4"/>
  <c r="B381" i="4"/>
  <c r="C381" i="4"/>
  <c r="D381" i="4"/>
  <c r="E381" i="4"/>
  <c r="F381" i="4"/>
  <c r="G381" i="4"/>
  <c r="H381" i="4"/>
  <c r="I381" i="4"/>
  <c r="J381" i="4"/>
  <c r="K381" i="4"/>
  <c r="L381" i="4"/>
  <c r="M381" i="4"/>
  <c r="N381" i="4"/>
  <c r="O381" i="4"/>
  <c r="B382" i="4"/>
  <c r="C382" i="4"/>
  <c r="D382" i="4"/>
  <c r="E382" i="4"/>
  <c r="F382" i="4"/>
  <c r="G382" i="4"/>
  <c r="H382" i="4"/>
  <c r="I382" i="4"/>
  <c r="J382" i="4"/>
  <c r="K382" i="4"/>
  <c r="L382" i="4"/>
  <c r="M382" i="4"/>
  <c r="N382" i="4"/>
  <c r="O382" i="4"/>
  <c r="B383" i="4"/>
  <c r="C383" i="4"/>
  <c r="D383" i="4"/>
  <c r="E383" i="4"/>
  <c r="F383" i="4"/>
  <c r="G383" i="4"/>
  <c r="H383" i="4"/>
  <c r="I383" i="4"/>
  <c r="J383" i="4"/>
  <c r="K383" i="4"/>
  <c r="L383" i="4"/>
  <c r="M383" i="4"/>
  <c r="N383" i="4"/>
  <c r="O383" i="4"/>
  <c r="B384" i="4"/>
  <c r="C384" i="4"/>
  <c r="D384" i="4"/>
  <c r="E384" i="4"/>
  <c r="F384" i="4"/>
  <c r="G384" i="4"/>
  <c r="H384" i="4"/>
  <c r="I384" i="4"/>
  <c r="J384" i="4"/>
  <c r="K384" i="4"/>
  <c r="L384" i="4"/>
  <c r="M384" i="4"/>
  <c r="N384" i="4"/>
  <c r="O384" i="4"/>
  <c r="B385" i="4"/>
  <c r="C385" i="4"/>
  <c r="D385" i="4"/>
  <c r="E385" i="4"/>
  <c r="F385" i="4"/>
  <c r="G385" i="4"/>
  <c r="H385" i="4"/>
  <c r="I385" i="4"/>
  <c r="J385" i="4"/>
  <c r="K385" i="4"/>
  <c r="L385" i="4"/>
  <c r="M385" i="4"/>
  <c r="N385" i="4"/>
  <c r="O385" i="4"/>
  <c r="B386" i="4"/>
  <c r="C386" i="4"/>
  <c r="D386" i="4"/>
  <c r="E386" i="4"/>
  <c r="F386" i="4"/>
  <c r="G386" i="4"/>
  <c r="H386" i="4"/>
  <c r="I386" i="4"/>
  <c r="J386" i="4"/>
  <c r="K386" i="4"/>
  <c r="L386" i="4"/>
  <c r="M386" i="4"/>
  <c r="N386" i="4"/>
  <c r="O386" i="4"/>
  <c r="B387" i="4"/>
  <c r="C387" i="4"/>
  <c r="D387" i="4"/>
  <c r="E387" i="4"/>
  <c r="F387" i="4"/>
  <c r="G387" i="4"/>
  <c r="H387" i="4"/>
  <c r="I387" i="4"/>
  <c r="J387" i="4"/>
  <c r="K387" i="4"/>
  <c r="L387" i="4"/>
  <c r="M387" i="4"/>
  <c r="N387" i="4"/>
  <c r="O387" i="4"/>
  <c r="B388" i="4"/>
  <c r="C388" i="4"/>
  <c r="D388" i="4"/>
  <c r="E388" i="4"/>
  <c r="F388" i="4"/>
  <c r="G388" i="4"/>
  <c r="H388" i="4"/>
  <c r="I388" i="4"/>
  <c r="J388" i="4"/>
  <c r="K388" i="4"/>
  <c r="L388" i="4"/>
  <c r="M388" i="4"/>
  <c r="N388" i="4"/>
  <c r="O388" i="4"/>
  <c r="B389" i="4"/>
  <c r="C389" i="4"/>
  <c r="D389" i="4"/>
  <c r="E389" i="4"/>
  <c r="F389" i="4"/>
  <c r="G389" i="4"/>
  <c r="H389" i="4"/>
  <c r="I389" i="4"/>
  <c r="J389" i="4"/>
  <c r="K389" i="4"/>
  <c r="L389" i="4"/>
  <c r="M389" i="4"/>
  <c r="N389" i="4"/>
  <c r="O389" i="4"/>
  <c r="B390" i="4"/>
  <c r="C390" i="4"/>
  <c r="D390" i="4"/>
  <c r="E390" i="4"/>
  <c r="F390" i="4"/>
  <c r="G390" i="4"/>
  <c r="H390" i="4"/>
  <c r="I390" i="4"/>
  <c r="J390" i="4"/>
  <c r="K390" i="4"/>
  <c r="L390" i="4"/>
  <c r="M390" i="4"/>
  <c r="N390" i="4"/>
  <c r="O390" i="4"/>
  <c r="B391" i="4"/>
  <c r="C391" i="4"/>
  <c r="D391" i="4"/>
  <c r="E391" i="4"/>
  <c r="F391" i="4"/>
  <c r="G391" i="4"/>
  <c r="H391" i="4"/>
  <c r="I391" i="4"/>
  <c r="J391" i="4"/>
  <c r="K391" i="4"/>
  <c r="L391" i="4"/>
  <c r="M391" i="4"/>
  <c r="N391" i="4"/>
  <c r="O391" i="4"/>
  <c r="B392" i="4"/>
  <c r="C392" i="4"/>
  <c r="D392" i="4"/>
  <c r="E392" i="4"/>
  <c r="F392" i="4"/>
  <c r="G392" i="4"/>
  <c r="H392" i="4"/>
  <c r="I392" i="4"/>
  <c r="J392" i="4"/>
  <c r="K392" i="4"/>
  <c r="L392" i="4"/>
  <c r="M392" i="4"/>
  <c r="N392" i="4"/>
  <c r="O392" i="4"/>
  <c r="B393" i="4"/>
  <c r="C393" i="4"/>
  <c r="D393" i="4"/>
  <c r="E393" i="4"/>
  <c r="F393" i="4"/>
  <c r="G393" i="4"/>
  <c r="H393" i="4"/>
  <c r="I393" i="4"/>
  <c r="J393" i="4"/>
  <c r="K393" i="4"/>
  <c r="L393" i="4"/>
  <c r="M393" i="4"/>
  <c r="N393" i="4"/>
  <c r="O393" i="4"/>
  <c r="B394" i="4"/>
  <c r="C394" i="4"/>
  <c r="D394" i="4"/>
  <c r="E394" i="4"/>
  <c r="F394" i="4"/>
  <c r="G394" i="4"/>
  <c r="H394" i="4"/>
  <c r="I394" i="4"/>
  <c r="J394" i="4"/>
  <c r="K394" i="4"/>
  <c r="L394" i="4"/>
  <c r="M394" i="4"/>
  <c r="N394" i="4"/>
  <c r="O394" i="4"/>
  <c r="B395" i="4"/>
  <c r="C395" i="4"/>
  <c r="D395" i="4"/>
  <c r="E395" i="4"/>
  <c r="F395" i="4"/>
  <c r="G395" i="4"/>
  <c r="H395" i="4"/>
  <c r="I395" i="4"/>
  <c r="J395" i="4"/>
  <c r="K395" i="4"/>
  <c r="L395" i="4"/>
  <c r="M395" i="4"/>
  <c r="N395" i="4"/>
  <c r="O395" i="4"/>
  <c r="B396" i="4"/>
  <c r="C396" i="4"/>
  <c r="D396" i="4"/>
  <c r="E396" i="4"/>
  <c r="F396" i="4"/>
  <c r="G396" i="4"/>
  <c r="H396" i="4"/>
  <c r="I396" i="4"/>
  <c r="J396" i="4"/>
  <c r="K396" i="4"/>
  <c r="L396" i="4"/>
  <c r="M396" i="4"/>
  <c r="N396" i="4"/>
  <c r="O396" i="4"/>
  <c r="B397" i="4"/>
  <c r="C397" i="4"/>
  <c r="D397" i="4"/>
  <c r="E397" i="4"/>
  <c r="F397" i="4"/>
  <c r="G397" i="4"/>
  <c r="H397" i="4"/>
  <c r="I397" i="4"/>
  <c r="J397" i="4"/>
  <c r="K397" i="4"/>
  <c r="L397" i="4"/>
  <c r="M397" i="4"/>
  <c r="N397" i="4"/>
  <c r="O397" i="4"/>
  <c r="B398" i="4"/>
  <c r="C398" i="4"/>
  <c r="D398" i="4"/>
  <c r="E398" i="4"/>
  <c r="F398" i="4"/>
  <c r="G398" i="4"/>
  <c r="H398" i="4"/>
  <c r="I398" i="4"/>
  <c r="J398" i="4"/>
  <c r="K398" i="4"/>
  <c r="L398" i="4"/>
  <c r="M398" i="4"/>
  <c r="N398" i="4"/>
  <c r="O398" i="4"/>
  <c r="B399" i="4"/>
  <c r="C399" i="4"/>
  <c r="D399" i="4"/>
  <c r="E399" i="4"/>
  <c r="F399" i="4"/>
  <c r="G399" i="4"/>
  <c r="H399" i="4"/>
  <c r="I399" i="4"/>
  <c r="J399" i="4"/>
  <c r="K399" i="4"/>
  <c r="L399" i="4"/>
  <c r="M399" i="4"/>
  <c r="N399" i="4"/>
  <c r="O399" i="4"/>
  <c r="B400" i="4"/>
  <c r="C400" i="4"/>
  <c r="D400" i="4"/>
  <c r="E400" i="4"/>
  <c r="F400" i="4"/>
  <c r="G400" i="4"/>
  <c r="H400" i="4"/>
  <c r="I400" i="4"/>
  <c r="J400" i="4"/>
  <c r="K400" i="4"/>
  <c r="L400" i="4"/>
  <c r="M400" i="4"/>
  <c r="N400" i="4"/>
  <c r="O400" i="4"/>
  <c r="B401" i="4"/>
  <c r="C401" i="4"/>
  <c r="D401" i="4"/>
  <c r="E401" i="4"/>
  <c r="F401" i="4"/>
  <c r="G401" i="4"/>
  <c r="H401" i="4"/>
  <c r="I401" i="4"/>
  <c r="J401" i="4"/>
  <c r="K401" i="4"/>
  <c r="L401" i="4"/>
  <c r="M401" i="4"/>
  <c r="N401" i="4"/>
  <c r="O401" i="4"/>
  <c r="B402" i="4"/>
  <c r="C402" i="4"/>
  <c r="D402" i="4"/>
  <c r="E402" i="4"/>
  <c r="F402" i="4"/>
  <c r="G402" i="4"/>
  <c r="H402" i="4"/>
  <c r="I402" i="4"/>
  <c r="J402" i="4"/>
  <c r="K402" i="4"/>
  <c r="L402" i="4"/>
  <c r="M402" i="4"/>
  <c r="N402" i="4"/>
  <c r="O402" i="4"/>
  <c r="B403" i="4"/>
  <c r="C403" i="4"/>
  <c r="D403" i="4"/>
  <c r="E403" i="4"/>
  <c r="F403" i="4"/>
  <c r="G403" i="4"/>
  <c r="H403" i="4"/>
  <c r="I403" i="4"/>
  <c r="J403" i="4"/>
  <c r="K403" i="4"/>
  <c r="L403" i="4"/>
  <c r="M403" i="4"/>
  <c r="N403" i="4"/>
  <c r="O403" i="4"/>
  <c r="B404" i="4"/>
  <c r="C404" i="4"/>
  <c r="D404" i="4"/>
  <c r="E404" i="4"/>
  <c r="F404" i="4"/>
  <c r="G404" i="4"/>
  <c r="H404" i="4"/>
  <c r="I404" i="4"/>
  <c r="J404" i="4"/>
  <c r="K404" i="4"/>
  <c r="L404" i="4"/>
  <c r="M404" i="4"/>
  <c r="N404" i="4"/>
  <c r="O404" i="4"/>
  <c r="B405" i="4"/>
  <c r="C405" i="4"/>
  <c r="D405" i="4"/>
  <c r="E405" i="4"/>
  <c r="F405" i="4"/>
  <c r="G405" i="4"/>
  <c r="H405" i="4"/>
  <c r="I405" i="4"/>
  <c r="J405" i="4"/>
  <c r="K405" i="4"/>
  <c r="L405" i="4"/>
  <c r="M405" i="4"/>
  <c r="N405" i="4"/>
  <c r="O405" i="4"/>
  <c r="B406" i="4"/>
  <c r="C406" i="4"/>
  <c r="D406" i="4"/>
  <c r="E406" i="4"/>
  <c r="F406" i="4"/>
  <c r="G406" i="4"/>
  <c r="H406" i="4"/>
  <c r="I406" i="4"/>
  <c r="J406" i="4"/>
  <c r="K406" i="4"/>
  <c r="L406" i="4"/>
  <c r="M406" i="4"/>
  <c r="N406" i="4"/>
  <c r="O406" i="4"/>
  <c r="B407" i="4"/>
  <c r="C407" i="4"/>
  <c r="D407" i="4"/>
  <c r="E407" i="4"/>
  <c r="F407" i="4"/>
  <c r="G407" i="4"/>
  <c r="H407" i="4"/>
  <c r="I407" i="4"/>
  <c r="J407" i="4"/>
  <c r="K407" i="4"/>
  <c r="L407" i="4"/>
  <c r="M407" i="4"/>
  <c r="N407" i="4"/>
  <c r="O407" i="4"/>
  <c r="B408" i="4"/>
  <c r="C408" i="4"/>
  <c r="D408" i="4"/>
  <c r="E408" i="4"/>
  <c r="F408" i="4"/>
  <c r="G408" i="4"/>
  <c r="H408" i="4"/>
  <c r="I408" i="4"/>
  <c r="J408" i="4"/>
  <c r="K408" i="4"/>
  <c r="L408" i="4"/>
  <c r="M408" i="4"/>
  <c r="N408" i="4"/>
  <c r="O408" i="4"/>
  <c r="B409" i="4"/>
  <c r="C409" i="4"/>
  <c r="D409" i="4"/>
  <c r="E409" i="4"/>
  <c r="F409" i="4"/>
  <c r="G409" i="4"/>
  <c r="H409" i="4"/>
  <c r="I409" i="4"/>
  <c r="J409" i="4"/>
  <c r="K409" i="4"/>
  <c r="L409" i="4"/>
  <c r="M409" i="4"/>
  <c r="N409" i="4"/>
  <c r="O409" i="4"/>
  <c r="B410" i="4"/>
  <c r="C410" i="4"/>
  <c r="D410" i="4"/>
  <c r="E410" i="4"/>
  <c r="F410" i="4"/>
  <c r="G410" i="4"/>
  <c r="H410" i="4"/>
  <c r="I410" i="4"/>
  <c r="J410" i="4"/>
  <c r="K410" i="4"/>
  <c r="L410" i="4"/>
  <c r="M410" i="4"/>
  <c r="N410" i="4"/>
  <c r="O410" i="4"/>
  <c r="B411" i="4"/>
  <c r="C411" i="4"/>
  <c r="D411" i="4"/>
  <c r="E411" i="4"/>
  <c r="F411" i="4"/>
  <c r="G411" i="4"/>
  <c r="H411" i="4"/>
  <c r="I411" i="4"/>
  <c r="J411" i="4"/>
  <c r="K411" i="4"/>
  <c r="L411" i="4"/>
  <c r="M411" i="4"/>
  <c r="N411" i="4"/>
  <c r="O411" i="4"/>
  <c r="B412" i="4"/>
  <c r="C412" i="4"/>
  <c r="D412" i="4"/>
  <c r="E412" i="4"/>
  <c r="F412" i="4"/>
  <c r="G412" i="4"/>
  <c r="H412" i="4"/>
  <c r="I412" i="4"/>
  <c r="J412" i="4"/>
  <c r="K412" i="4"/>
  <c r="L412" i="4"/>
  <c r="M412" i="4"/>
  <c r="N412" i="4"/>
  <c r="O412" i="4"/>
  <c r="B413" i="4"/>
  <c r="C413" i="4"/>
  <c r="D413" i="4"/>
  <c r="E413" i="4"/>
  <c r="F413" i="4"/>
  <c r="G413" i="4"/>
  <c r="H413" i="4"/>
  <c r="I413" i="4"/>
  <c r="J413" i="4"/>
  <c r="K413" i="4"/>
  <c r="L413" i="4"/>
  <c r="M413" i="4"/>
  <c r="N413" i="4"/>
  <c r="O413" i="4"/>
  <c r="B414" i="4"/>
  <c r="C414" i="4"/>
  <c r="D414" i="4"/>
  <c r="E414" i="4"/>
  <c r="F414" i="4"/>
  <c r="G414" i="4"/>
  <c r="H414" i="4"/>
  <c r="I414" i="4"/>
  <c r="J414" i="4"/>
  <c r="K414" i="4"/>
  <c r="L414" i="4"/>
  <c r="M414" i="4"/>
  <c r="N414" i="4"/>
  <c r="O414" i="4"/>
  <c r="B415" i="4"/>
  <c r="C415" i="4"/>
  <c r="D415" i="4"/>
  <c r="E415" i="4"/>
  <c r="F415" i="4"/>
  <c r="G415" i="4"/>
  <c r="H415" i="4"/>
  <c r="I415" i="4"/>
  <c r="J415" i="4"/>
  <c r="K415" i="4"/>
  <c r="L415" i="4"/>
  <c r="M415" i="4"/>
  <c r="N415" i="4"/>
  <c r="O415" i="4"/>
  <c r="B416" i="4"/>
  <c r="C416" i="4"/>
  <c r="D416" i="4"/>
  <c r="E416" i="4"/>
  <c r="F416" i="4"/>
  <c r="G416" i="4"/>
  <c r="H416" i="4"/>
  <c r="I416" i="4"/>
  <c r="J416" i="4"/>
  <c r="K416" i="4"/>
  <c r="L416" i="4"/>
  <c r="M416" i="4"/>
  <c r="N416" i="4"/>
  <c r="O416" i="4"/>
  <c r="B417" i="4"/>
  <c r="C417" i="4"/>
  <c r="D417" i="4"/>
  <c r="E417" i="4"/>
  <c r="F417" i="4"/>
  <c r="G417" i="4"/>
  <c r="H417" i="4"/>
  <c r="I417" i="4"/>
  <c r="J417" i="4"/>
  <c r="K417" i="4"/>
  <c r="L417" i="4"/>
  <c r="M417" i="4"/>
  <c r="N417" i="4"/>
  <c r="O417" i="4"/>
  <c r="B418" i="4"/>
  <c r="C418" i="4"/>
  <c r="D418" i="4"/>
  <c r="E418" i="4"/>
  <c r="F418" i="4"/>
  <c r="G418" i="4"/>
  <c r="H418" i="4"/>
  <c r="I418" i="4"/>
  <c r="J418" i="4"/>
  <c r="K418" i="4"/>
  <c r="L418" i="4"/>
  <c r="M418" i="4"/>
  <c r="N418" i="4"/>
  <c r="O418" i="4"/>
  <c r="B419" i="4"/>
  <c r="C419" i="4"/>
  <c r="D419" i="4"/>
  <c r="E419" i="4"/>
  <c r="F419" i="4"/>
  <c r="G419" i="4"/>
  <c r="H419" i="4"/>
  <c r="I419" i="4"/>
  <c r="J419" i="4"/>
  <c r="K419" i="4"/>
  <c r="L419" i="4"/>
  <c r="M419" i="4"/>
  <c r="N419" i="4"/>
  <c r="O419" i="4"/>
  <c r="B420" i="4"/>
  <c r="C420" i="4"/>
  <c r="D420" i="4"/>
  <c r="E420" i="4"/>
  <c r="F420" i="4"/>
  <c r="G420" i="4"/>
  <c r="H420" i="4"/>
  <c r="I420" i="4"/>
  <c r="J420" i="4"/>
  <c r="K420" i="4"/>
  <c r="L420" i="4"/>
  <c r="M420" i="4"/>
  <c r="N420" i="4"/>
  <c r="O420" i="4"/>
  <c r="B421" i="4"/>
  <c r="C421" i="4"/>
  <c r="D421" i="4"/>
  <c r="E421" i="4"/>
  <c r="F421" i="4"/>
  <c r="G421" i="4"/>
  <c r="H421" i="4"/>
  <c r="I421" i="4"/>
  <c r="J421" i="4"/>
  <c r="K421" i="4"/>
  <c r="L421" i="4"/>
  <c r="M421" i="4"/>
  <c r="N421" i="4"/>
  <c r="O421" i="4"/>
  <c r="B422" i="4"/>
  <c r="C422" i="4"/>
  <c r="D422" i="4"/>
  <c r="E422" i="4"/>
  <c r="F422" i="4"/>
  <c r="G422" i="4"/>
  <c r="H422" i="4"/>
  <c r="I422" i="4"/>
  <c r="J422" i="4"/>
  <c r="K422" i="4"/>
  <c r="L422" i="4"/>
  <c r="M422" i="4"/>
  <c r="N422" i="4"/>
  <c r="O422" i="4"/>
  <c r="B423" i="4"/>
  <c r="C423" i="4"/>
  <c r="D423" i="4"/>
  <c r="E423" i="4"/>
  <c r="F423" i="4"/>
  <c r="G423" i="4"/>
  <c r="H423" i="4"/>
  <c r="I423" i="4"/>
  <c r="J423" i="4"/>
  <c r="K423" i="4"/>
  <c r="L423" i="4"/>
  <c r="M423" i="4"/>
  <c r="N423" i="4"/>
  <c r="O423" i="4"/>
  <c r="B424" i="4"/>
  <c r="C424" i="4"/>
  <c r="D424" i="4"/>
  <c r="E424" i="4"/>
  <c r="F424" i="4"/>
  <c r="G424" i="4"/>
  <c r="H424" i="4"/>
  <c r="I424" i="4"/>
  <c r="J424" i="4"/>
  <c r="K424" i="4"/>
  <c r="L424" i="4"/>
  <c r="M424" i="4"/>
  <c r="N424" i="4"/>
  <c r="O424" i="4"/>
  <c r="B425" i="4"/>
  <c r="C425" i="4"/>
  <c r="D425" i="4"/>
  <c r="E425" i="4"/>
  <c r="F425" i="4"/>
  <c r="G425" i="4"/>
  <c r="H425" i="4"/>
  <c r="I425" i="4"/>
  <c r="J425" i="4"/>
  <c r="K425" i="4"/>
  <c r="L425" i="4"/>
  <c r="M425" i="4"/>
  <c r="N425" i="4"/>
  <c r="O425" i="4"/>
  <c r="B426" i="4"/>
  <c r="C426" i="4"/>
  <c r="D426" i="4"/>
  <c r="E426" i="4"/>
  <c r="F426" i="4"/>
  <c r="G426" i="4"/>
  <c r="H426" i="4"/>
  <c r="I426" i="4"/>
  <c r="J426" i="4"/>
  <c r="K426" i="4"/>
  <c r="L426" i="4"/>
  <c r="M426" i="4"/>
  <c r="N426" i="4"/>
  <c r="O426" i="4"/>
  <c r="B427" i="4"/>
  <c r="C427" i="4"/>
  <c r="D427" i="4"/>
  <c r="E427" i="4"/>
  <c r="F427" i="4"/>
  <c r="G427" i="4"/>
  <c r="H427" i="4"/>
  <c r="I427" i="4"/>
  <c r="J427" i="4"/>
  <c r="K427" i="4"/>
  <c r="L427" i="4"/>
  <c r="M427" i="4"/>
  <c r="N427" i="4"/>
  <c r="O427" i="4"/>
  <c r="B428" i="4"/>
  <c r="C428" i="4"/>
  <c r="D428" i="4"/>
  <c r="E428" i="4"/>
  <c r="F428" i="4"/>
  <c r="G428" i="4"/>
  <c r="H428" i="4"/>
  <c r="I428" i="4"/>
  <c r="J428" i="4"/>
  <c r="K428" i="4"/>
  <c r="L428" i="4"/>
  <c r="M428" i="4"/>
  <c r="N428" i="4"/>
  <c r="O428" i="4"/>
  <c r="B429" i="4"/>
  <c r="C429" i="4"/>
  <c r="D429" i="4"/>
  <c r="E429" i="4"/>
  <c r="F429" i="4"/>
  <c r="G429" i="4"/>
  <c r="H429" i="4"/>
  <c r="I429" i="4"/>
  <c r="J429" i="4"/>
  <c r="K429" i="4"/>
  <c r="L429" i="4"/>
  <c r="M429" i="4"/>
  <c r="N429" i="4"/>
  <c r="O429" i="4"/>
  <c r="B430" i="4"/>
  <c r="C430" i="4"/>
  <c r="D430" i="4"/>
  <c r="E430" i="4"/>
  <c r="F430" i="4"/>
  <c r="G430" i="4"/>
  <c r="H430" i="4"/>
  <c r="I430" i="4"/>
  <c r="J430" i="4"/>
  <c r="K430" i="4"/>
  <c r="L430" i="4"/>
  <c r="M430" i="4"/>
  <c r="N430" i="4"/>
  <c r="O430" i="4"/>
  <c r="B431" i="4"/>
  <c r="C431" i="4"/>
  <c r="D431" i="4"/>
  <c r="E431" i="4"/>
  <c r="F431" i="4"/>
  <c r="G431" i="4"/>
  <c r="H431" i="4"/>
  <c r="I431" i="4"/>
  <c r="J431" i="4"/>
  <c r="K431" i="4"/>
  <c r="L431" i="4"/>
  <c r="M431" i="4"/>
  <c r="N431" i="4"/>
  <c r="O431" i="4"/>
  <c r="B432" i="4"/>
  <c r="C432" i="4"/>
  <c r="D432" i="4"/>
  <c r="E432" i="4"/>
  <c r="F432" i="4"/>
  <c r="G432" i="4"/>
  <c r="H432" i="4"/>
  <c r="I432" i="4"/>
  <c r="J432" i="4"/>
  <c r="K432" i="4"/>
  <c r="L432" i="4"/>
  <c r="M432" i="4"/>
  <c r="N432" i="4"/>
  <c r="O432" i="4"/>
  <c r="B433" i="4"/>
  <c r="C433" i="4"/>
  <c r="D433" i="4"/>
  <c r="E433" i="4"/>
  <c r="F433" i="4"/>
  <c r="G433" i="4"/>
  <c r="H433" i="4"/>
  <c r="I433" i="4"/>
  <c r="J433" i="4"/>
  <c r="K433" i="4"/>
  <c r="L433" i="4"/>
  <c r="M433" i="4"/>
  <c r="N433" i="4"/>
  <c r="O433" i="4"/>
  <c r="B434" i="4"/>
  <c r="C434" i="4"/>
  <c r="D434" i="4"/>
  <c r="E434" i="4"/>
  <c r="F434" i="4"/>
  <c r="G434" i="4"/>
  <c r="H434" i="4"/>
  <c r="I434" i="4"/>
  <c r="J434" i="4"/>
  <c r="K434" i="4"/>
  <c r="L434" i="4"/>
  <c r="M434" i="4"/>
  <c r="N434" i="4"/>
  <c r="O434" i="4"/>
  <c r="B435" i="4"/>
  <c r="C435" i="4"/>
  <c r="D435" i="4"/>
  <c r="E435" i="4"/>
  <c r="F435" i="4"/>
  <c r="G435" i="4"/>
  <c r="H435" i="4"/>
  <c r="I435" i="4"/>
  <c r="J435" i="4"/>
  <c r="K435" i="4"/>
  <c r="L435" i="4"/>
  <c r="M435" i="4"/>
  <c r="N435" i="4"/>
  <c r="O435" i="4"/>
  <c r="B436" i="4"/>
  <c r="C436" i="4"/>
  <c r="D436" i="4"/>
  <c r="E436" i="4"/>
  <c r="F436" i="4"/>
  <c r="G436" i="4"/>
  <c r="H436" i="4"/>
  <c r="I436" i="4"/>
  <c r="J436" i="4"/>
  <c r="K436" i="4"/>
  <c r="L436" i="4"/>
  <c r="M436" i="4"/>
  <c r="N436" i="4"/>
  <c r="O436" i="4"/>
  <c r="B437" i="4"/>
  <c r="C437" i="4"/>
  <c r="D437" i="4"/>
  <c r="E437" i="4"/>
  <c r="F437" i="4"/>
  <c r="G437" i="4"/>
  <c r="H437" i="4"/>
  <c r="I437" i="4"/>
  <c r="J437" i="4"/>
  <c r="K437" i="4"/>
  <c r="L437" i="4"/>
  <c r="M437" i="4"/>
  <c r="N437" i="4"/>
  <c r="O437" i="4"/>
  <c r="B438" i="4"/>
  <c r="C438" i="4"/>
  <c r="D438" i="4"/>
  <c r="E438" i="4"/>
  <c r="F438" i="4"/>
  <c r="G438" i="4"/>
  <c r="H438" i="4"/>
  <c r="I438" i="4"/>
  <c r="J438" i="4"/>
  <c r="K438" i="4"/>
  <c r="L438" i="4"/>
  <c r="M438" i="4"/>
  <c r="N438" i="4"/>
  <c r="O438" i="4"/>
  <c r="B439" i="4"/>
  <c r="C439" i="4"/>
  <c r="D439" i="4"/>
  <c r="E439" i="4"/>
  <c r="F439" i="4"/>
  <c r="G439" i="4"/>
  <c r="H439" i="4"/>
  <c r="I439" i="4"/>
  <c r="J439" i="4"/>
  <c r="K439" i="4"/>
  <c r="L439" i="4"/>
  <c r="M439" i="4"/>
  <c r="N439" i="4"/>
  <c r="O439" i="4"/>
  <c r="B440" i="4"/>
  <c r="C440" i="4"/>
  <c r="D440" i="4"/>
  <c r="E440" i="4"/>
  <c r="F440" i="4"/>
  <c r="G440" i="4"/>
  <c r="H440" i="4"/>
  <c r="I440" i="4"/>
  <c r="J440" i="4"/>
  <c r="K440" i="4"/>
  <c r="L440" i="4"/>
  <c r="M440" i="4"/>
  <c r="N440" i="4"/>
  <c r="O440" i="4"/>
  <c r="B441" i="4"/>
  <c r="C441" i="4"/>
  <c r="D441" i="4"/>
  <c r="E441" i="4"/>
  <c r="F441" i="4"/>
  <c r="G441" i="4"/>
  <c r="H441" i="4"/>
  <c r="I441" i="4"/>
  <c r="J441" i="4"/>
  <c r="K441" i="4"/>
  <c r="L441" i="4"/>
  <c r="M441" i="4"/>
  <c r="N441" i="4"/>
  <c r="O441" i="4"/>
  <c r="B442" i="4"/>
  <c r="C442" i="4"/>
  <c r="D442" i="4"/>
  <c r="E442" i="4"/>
  <c r="F442" i="4"/>
  <c r="G442" i="4"/>
  <c r="H442" i="4"/>
  <c r="I442" i="4"/>
  <c r="J442" i="4"/>
  <c r="K442" i="4"/>
  <c r="L442" i="4"/>
  <c r="M442" i="4"/>
  <c r="N442" i="4"/>
  <c r="O442" i="4"/>
  <c r="B443" i="4"/>
  <c r="C443" i="4"/>
  <c r="D443" i="4"/>
  <c r="E443" i="4"/>
  <c r="F443" i="4"/>
  <c r="G443" i="4"/>
  <c r="H443" i="4"/>
  <c r="I443" i="4"/>
  <c r="J443" i="4"/>
  <c r="K443" i="4"/>
  <c r="L443" i="4"/>
  <c r="M443" i="4"/>
  <c r="N443" i="4"/>
  <c r="O443" i="4"/>
  <c r="B444" i="4"/>
  <c r="C444" i="4"/>
  <c r="D444" i="4"/>
  <c r="E444" i="4"/>
  <c r="F444" i="4"/>
  <c r="G444" i="4"/>
  <c r="H444" i="4"/>
  <c r="I444" i="4"/>
  <c r="J444" i="4"/>
  <c r="K444" i="4"/>
  <c r="L444" i="4"/>
  <c r="M444" i="4"/>
  <c r="N444" i="4"/>
  <c r="O444" i="4"/>
  <c r="B445" i="4"/>
  <c r="C445" i="4"/>
  <c r="D445" i="4"/>
  <c r="E445" i="4"/>
  <c r="F445" i="4"/>
  <c r="G445" i="4"/>
  <c r="H445" i="4"/>
  <c r="I445" i="4"/>
  <c r="J445" i="4"/>
  <c r="K445" i="4"/>
  <c r="L445" i="4"/>
  <c r="M445" i="4"/>
  <c r="N445" i="4"/>
  <c r="O445" i="4"/>
  <c r="B446" i="4"/>
  <c r="C446" i="4"/>
  <c r="D446" i="4"/>
  <c r="E446" i="4"/>
  <c r="F446" i="4"/>
  <c r="G446" i="4"/>
  <c r="H446" i="4"/>
  <c r="I446" i="4"/>
  <c r="J446" i="4"/>
  <c r="K446" i="4"/>
  <c r="L446" i="4"/>
  <c r="M446" i="4"/>
  <c r="N446" i="4"/>
  <c r="O446" i="4"/>
  <c r="B447" i="4"/>
  <c r="C447" i="4"/>
  <c r="D447" i="4"/>
  <c r="E447" i="4"/>
  <c r="F447" i="4"/>
  <c r="G447" i="4"/>
  <c r="H447" i="4"/>
  <c r="I447" i="4"/>
  <c r="J447" i="4"/>
  <c r="K447" i="4"/>
  <c r="L447" i="4"/>
  <c r="M447" i="4"/>
  <c r="N447" i="4"/>
  <c r="O447" i="4"/>
  <c r="B448" i="4"/>
  <c r="C448" i="4"/>
  <c r="D448" i="4"/>
  <c r="E448" i="4"/>
  <c r="F448" i="4"/>
  <c r="G448" i="4"/>
  <c r="H448" i="4"/>
  <c r="I448" i="4"/>
  <c r="J448" i="4"/>
  <c r="K448" i="4"/>
  <c r="L448" i="4"/>
  <c r="M448" i="4"/>
  <c r="N448" i="4"/>
  <c r="O448" i="4"/>
  <c r="B449" i="4"/>
  <c r="C449" i="4"/>
  <c r="D449" i="4"/>
  <c r="E449" i="4"/>
  <c r="F449" i="4"/>
  <c r="G449" i="4"/>
  <c r="H449" i="4"/>
  <c r="I449" i="4"/>
  <c r="J449" i="4"/>
  <c r="K449" i="4"/>
  <c r="L449" i="4"/>
  <c r="M449" i="4"/>
  <c r="N449" i="4"/>
  <c r="O449" i="4"/>
  <c r="B450" i="4"/>
  <c r="C450" i="4"/>
  <c r="D450" i="4"/>
  <c r="E450" i="4"/>
  <c r="F450" i="4"/>
  <c r="G450" i="4"/>
  <c r="H450" i="4"/>
  <c r="I450" i="4"/>
  <c r="J450" i="4"/>
  <c r="K450" i="4"/>
  <c r="L450" i="4"/>
  <c r="M450" i="4"/>
  <c r="N450" i="4"/>
  <c r="O450" i="4"/>
  <c r="B451" i="4"/>
  <c r="C451" i="4"/>
  <c r="D451" i="4"/>
  <c r="E451" i="4"/>
  <c r="F451" i="4"/>
  <c r="G451" i="4"/>
  <c r="H451" i="4"/>
  <c r="I451" i="4"/>
  <c r="J451" i="4"/>
  <c r="K451" i="4"/>
  <c r="L451" i="4"/>
  <c r="M451" i="4"/>
  <c r="N451" i="4"/>
  <c r="O451" i="4"/>
  <c r="B452" i="4"/>
  <c r="C452" i="4"/>
  <c r="D452" i="4"/>
  <c r="E452" i="4"/>
  <c r="F452" i="4"/>
  <c r="G452" i="4"/>
  <c r="H452" i="4"/>
  <c r="I452" i="4"/>
  <c r="J452" i="4"/>
  <c r="K452" i="4"/>
  <c r="L452" i="4"/>
  <c r="M452" i="4"/>
  <c r="N452" i="4"/>
  <c r="O452" i="4"/>
  <c r="B453" i="4"/>
  <c r="C453" i="4"/>
  <c r="D453" i="4"/>
  <c r="E453" i="4"/>
  <c r="F453" i="4"/>
  <c r="G453" i="4"/>
  <c r="H453" i="4"/>
  <c r="I453" i="4"/>
  <c r="J453" i="4"/>
  <c r="K453" i="4"/>
  <c r="L453" i="4"/>
  <c r="M453" i="4"/>
  <c r="N453" i="4"/>
  <c r="O453" i="4"/>
  <c r="B454" i="4"/>
  <c r="C454" i="4"/>
  <c r="D454" i="4"/>
  <c r="E454" i="4"/>
  <c r="F454" i="4"/>
  <c r="G454" i="4"/>
  <c r="H454" i="4"/>
  <c r="I454" i="4"/>
  <c r="J454" i="4"/>
  <c r="K454" i="4"/>
  <c r="L454" i="4"/>
  <c r="M454" i="4"/>
  <c r="N454" i="4"/>
  <c r="O454" i="4"/>
  <c r="B455" i="4"/>
  <c r="C455" i="4"/>
  <c r="D455" i="4"/>
  <c r="E455" i="4"/>
  <c r="F455" i="4"/>
  <c r="G455" i="4"/>
  <c r="H455" i="4"/>
  <c r="I455" i="4"/>
  <c r="J455" i="4"/>
  <c r="K455" i="4"/>
  <c r="L455" i="4"/>
  <c r="M455" i="4"/>
  <c r="N455" i="4"/>
  <c r="O455" i="4"/>
  <c r="B456" i="4"/>
  <c r="C456" i="4"/>
  <c r="D456" i="4"/>
  <c r="E456" i="4"/>
  <c r="F456" i="4"/>
  <c r="G456" i="4"/>
  <c r="H456" i="4"/>
  <c r="I456" i="4"/>
  <c r="J456" i="4"/>
  <c r="K456" i="4"/>
  <c r="L456" i="4"/>
  <c r="M456" i="4"/>
  <c r="N456" i="4"/>
  <c r="O456" i="4"/>
  <c r="B457" i="4"/>
  <c r="C457" i="4"/>
  <c r="D457" i="4"/>
  <c r="E457" i="4"/>
  <c r="F457" i="4"/>
  <c r="G457" i="4"/>
  <c r="H457" i="4"/>
  <c r="I457" i="4"/>
  <c r="J457" i="4"/>
  <c r="K457" i="4"/>
  <c r="L457" i="4"/>
  <c r="M457" i="4"/>
  <c r="N457" i="4"/>
  <c r="O457" i="4"/>
  <c r="B458" i="4"/>
  <c r="C458" i="4"/>
  <c r="D458" i="4"/>
  <c r="E458" i="4"/>
  <c r="F458" i="4"/>
  <c r="G458" i="4"/>
  <c r="H458" i="4"/>
  <c r="I458" i="4"/>
  <c r="J458" i="4"/>
  <c r="K458" i="4"/>
  <c r="L458" i="4"/>
  <c r="M458" i="4"/>
  <c r="N458" i="4"/>
  <c r="O458" i="4"/>
  <c r="B459" i="4"/>
  <c r="C459" i="4"/>
  <c r="D459" i="4"/>
  <c r="E459" i="4"/>
  <c r="F459" i="4"/>
  <c r="G459" i="4"/>
  <c r="H459" i="4"/>
  <c r="I459" i="4"/>
  <c r="J459" i="4"/>
  <c r="K459" i="4"/>
  <c r="L459" i="4"/>
  <c r="M459" i="4"/>
  <c r="N459" i="4"/>
  <c r="O459" i="4"/>
  <c r="B460" i="4"/>
  <c r="C460" i="4"/>
  <c r="D460" i="4"/>
  <c r="E460" i="4"/>
  <c r="F460" i="4"/>
  <c r="G460" i="4"/>
  <c r="H460" i="4"/>
  <c r="I460" i="4"/>
  <c r="J460" i="4"/>
  <c r="K460" i="4"/>
  <c r="L460" i="4"/>
  <c r="M460" i="4"/>
  <c r="N460" i="4"/>
  <c r="O460" i="4"/>
  <c r="B461" i="4"/>
  <c r="C461" i="4"/>
  <c r="D461" i="4"/>
  <c r="E461" i="4"/>
  <c r="F461" i="4"/>
  <c r="G461" i="4"/>
  <c r="H461" i="4"/>
  <c r="I461" i="4"/>
  <c r="J461" i="4"/>
  <c r="K461" i="4"/>
  <c r="L461" i="4"/>
  <c r="M461" i="4"/>
  <c r="N461" i="4"/>
  <c r="O461" i="4"/>
  <c r="B462" i="4"/>
  <c r="C462" i="4"/>
  <c r="D462" i="4"/>
  <c r="E462" i="4"/>
  <c r="F462" i="4"/>
  <c r="G462" i="4"/>
  <c r="H462" i="4"/>
  <c r="I462" i="4"/>
  <c r="J462" i="4"/>
  <c r="K462" i="4"/>
  <c r="L462" i="4"/>
  <c r="M462" i="4"/>
  <c r="N462" i="4"/>
  <c r="O462" i="4"/>
  <c r="B463" i="4"/>
  <c r="C463" i="4"/>
  <c r="D463" i="4"/>
  <c r="E463" i="4"/>
  <c r="F463" i="4"/>
  <c r="G463" i="4"/>
  <c r="H463" i="4"/>
  <c r="I463" i="4"/>
  <c r="J463" i="4"/>
  <c r="K463" i="4"/>
  <c r="L463" i="4"/>
  <c r="M463" i="4"/>
  <c r="N463" i="4"/>
  <c r="O463" i="4"/>
  <c r="B464" i="4"/>
  <c r="C464" i="4"/>
  <c r="D464" i="4"/>
  <c r="E464" i="4"/>
  <c r="F464" i="4"/>
  <c r="G464" i="4"/>
  <c r="H464" i="4"/>
  <c r="I464" i="4"/>
  <c r="J464" i="4"/>
  <c r="K464" i="4"/>
  <c r="L464" i="4"/>
  <c r="M464" i="4"/>
  <c r="N464" i="4"/>
  <c r="O464" i="4"/>
  <c r="B465" i="4"/>
  <c r="C465" i="4"/>
  <c r="D465" i="4"/>
  <c r="E465" i="4"/>
  <c r="F465" i="4"/>
  <c r="G465" i="4"/>
  <c r="H465" i="4"/>
  <c r="I465" i="4"/>
  <c r="J465" i="4"/>
  <c r="K465" i="4"/>
  <c r="L465" i="4"/>
  <c r="M465" i="4"/>
  <c r="N465" i="4"/>
  <c r="O465" i="4"/>
  <c r="B466" i="4"/>
  <c r="C466" i="4"/>
  <c r="D466" i="4"/>
  <c r="E466" i="4"/>
  <c r="F466" i="4"/>
  <c r="G466" i="4"/>
  <c r="H466" i="4"/>
  <c r="I466" i="4"/>
  <c r="J466" i="4"/>
  <c r="K466" i="4"/>
  <c r="L466" i="4"/>
  <c r="M466" i="4"/>
  <c r="N466" i="4"/>
  <c r="O466" i="4"/>
  <c r="B467" i="4"/>
  <c r="C467" i="4"/>
  <c r="D467" i="4"/>
  <c r="E467" i="4"/>
  <c r="F467" i="4"/>
  <c r="G467" i="4"/>
  <c r="H467" i="4"/>
  <c r="I467" i="4"/>
  <c r="J467" i="4"/>
  <c r="K467" i="4"/>
  <c r="L467" i="4"/>
  <c r="M467" i="4"/>
  <c r="N467" i="4"/>
  <c r="O467" i="4"/>
  <c r="B468" i="4"/>
  <c r="C468" i="4"/>
  <c r="D468" i="4"/>
  <c r="E468" i="4"/>
  <c r="F468" i="4"/>
  <c r="G468" i="4"/>
  <c r="H468" i="4"/>
  <c r="I468" i="4"/>
  <c r="J468" i="4"/>
  <c r="K468" i="4"/>
  <c r="L468" i="4"/>
  <c r="M468" i="4"/>
  <c r="N468" i="4"/>
  <c r="O468" i="4"/>
  <c r="B469" i="4"/>
  <c r="C469" i="4"/>
  <c r="D469" i="4"/>
  <c r="E469" i="4"/>
  <c r="F469" i="4"/>
  <c r="G469" i="4"/>
  <c r="H469" i="4"/>
  <c r="I469" i="4"/>
  <c r="J469" i="4"/>
  <c r="K469" i="4"/>
  <c r="L469" i="4"/>
  <c r="M469" i="4"/>
  <c r="N469" i="4"/>
  <c r="O469" i="4"/>
  <c r="B470" i="4"/>
  <c r="C470" i="4"/>
  <c r="D470" i="4"/>
  <c r="E470" i="4"/>
  <c r="F470" i="4"/>
  <c r="G470" i="4"/>
  <c r="H470" i="4"/>
  <c r="I470" i="4"/>
  <c r="J470" i="4"/>
  <c r="K470" i="4"/>
  <c r="L470" i="4"/>
  <c r="M470" i="4"/>
  <c r="N470" i="4"/>
  <c r="O470" i="4"/>
  <c r="B471" i="4"/>
  <c r="C471" i="4"/>
  <c r="D471" i="4"/>
  <c r="E471" i="4"/>
  <c r="F471" i="4"/>
  <c r="G471" i="4"/>
  <c r="H471" i="4"/>
  <c r="I471" i="4"/>
  <c r="J471" i="4"/>
  <c r="K471" i="4"/>
  <c r="L471" i="4"/>
  <c r="M471" i="4"/>
  <c r="N471" i="4"/>
  <c r="O471" i="4"/>
  <c r="B472" i="4"/>
  <c r="C472" i="4"/>
  <c r="D472" i="4"/>
  <c r="E472" i="4"/>
  <c r="F472" i="4"/>
  <c r="G472" i="4"/>
  <c r="H472" i="4"/>
  <c r="I472" i="4"/>
  <c r="J472" i="4"/>
  <c r="K472" i="4"/>
  <c r="L472" i="4"/>
  <c r="M472" i="4"/>
  <c r="N472" i="4"/>
  <c r="O472" i="4"/>
  <c r="B473" i="4"/>
  <c r="C473" i="4"/>
  <c r="D473" i="4"/>
  <c r="E473" i="4"/>
  <c r="F473" i="4"/>
  <c r="G473" i="4"/>
  <c r="H473" i="4"/>
  <c r="I473" i="4"/>
  <c r="J473" i="4"/>
  <c r="K473" i="4"/>
  <c r="L473" i="4"/>
  <c r="M473" i="4"/>
  <c r="N473" i="4"/>
  <c r="O473" i="4"/>
  <c r="B474" i="4"/>
  <c r="C474" i="4"/>
  <c r="D474" i="4"/>
  <c r="E474" i="4"/>
  <c r="F474" i="4"/>
  <c r="G474" i="4"/>
  <c r="H474" i="4"/>
  <c r="I474" i="4"/>
  <c r="J474" i="4"/>
  <c r="K474" i="4"/>
  <c r="L474" i="4"/>
  <c r="M474" i="4"/>
  <c r="N474" i="4"/>
  <c r="O474" i="4"/>
  <c r="B475" i="4"/>
  <c r="C475" i="4"/>
  <c r="D475" i="4"/>
  <c r="E475" i="4"/>
  <c r="F475" i="4"/>
  <c r="G475" i="4"/>
  <c r="H475" i="4"/>
  <c r="I475" i="4"/>
  <c r="J475" i="4"/>
  <c r="K475" i="4"/>
  <c r="L475" i="4"/>
  <c r="M475" i="4"/>
  <c r="N475" i="4"/>
  <c r="O475" i="4"/>
  <c r="B476" i="4"/>
  <c r="C476" i="4"/>
  <c r="D476" i="4"/>
  <c r="E476" i="4"/>
  <c r="F476" i="4"/>
  <c r="G476" i="4"/>
  <c r="H476" i="4"/>
  <c r="I476" i="4"/>
  <c r="J476" i="4"/>
  <c r="K476" i="4"/>
  <c r="L476" i="4"/>
  <c r="M476" i="4"/>
  <c r="N476" i="4"/>
  <c r="O476" i="4"/>
  <c r="B477" i="4"/>
  <c r="C477" i="4"/>
  <c r="D477" i="4"/>
  <c r="E477" i="4"/>
  <c r="F477" i="4"/>
  <c r="G477" i="4"/>
  <c r="H477" i="4"/>
  <c r="I477" i="4"/>
  <c r="J477" i="4"/>
  <c r="K477" i="4"/>
  <c r="L477" i="4"/>
  <c r="M477" i="4"/>
  <c r="N477" i="4"/>
  <c r="O477" i="4"/>
  <c r="B478" i="4"/>
  <c r="C478" i="4"/>
  <c r="D478" i="4"/>
  <c r="E478" i="4"/>
  <c r="F478" i="4"/>
  <c r="G478" i="4"/>
  <c r="H478" i="4"/>
  <c r="I478" i="4"/>
  <c r="J478" i="4"/>
  <c r="K478" i="4"/>
  <c r="L478" i="4"/>
  <c r="M478" i="4"/>
  <c r="N478" i="4"/>
  <c r="O478" i="4"/>
  <c r="B479" i="4"/>
  <c r="C479" i="4"/>
  <c r="D479" i="4"/>
  <c r="E479" i="4"/>
  <c r="F479" i="4"/>
  <c r="G479" i="4"/>
  <c r="H479" i="4"/>
  <c r="I479" i="4"/>
  <c r="J479" i="4"/>
  <c r="K479" i="4"/>
  <c r="L479" i="4"/>
  <c r="M479" i="4"/>
  <c r="N479" i="4"/>
  <c r="O479" i="4"/>
  <c r="B480" i="4"/>
  <c r="C480" i="4"/>
  <c r="D480" i="4"/>
  <c r="E480" i="4"/>
  <c r="F480" i="4"/>
  <c r="G480" i="4"/>
  <c r="H480" i="4"/>
  <c r="I480" i="4"/>
  <c r="J480" i="4"/>
  <c r="K480" i="4"/>
  <c r="L480" i="4"/>
  <c r="M480" i="4"/>
  <c r="N480" i="4"/>
  <c r="O480" i="4"/>
  <c r="B481" i="4"/>
  <c r="C481" i="4"/>
  <c r="D481" i="4"/>
  <c r="E481" i="4"/>
  <c r="F481" i="4"/>
  <c r="G481" i="4"/>
  <c r="H481" i="4"/>
  <c r="I481" i="4"/>
  <c r="J481" i="4"/>
  <c r="K481" i="4"/>
  <c r="L481" i="4"/>
  <c r="M481" i="4"/>
  <c r="N481" i="4"/>
  <c r="O481" i="4"/>
  <c r="B482" i="4"/>
  <c r="C482" i="4"/>
  <c r="D482" i="4"/>
  <c r="E482" i="4"/>
  <c r="F482" i="4"/>
  <c r="G482" i="4"/>
  <c r="H482" i="4"/>
  <c r="I482" i="4"/>
  <c r="J482" i="4"/>
  <c r="K482" i="4"/>
  <c r="L482" i="4"/>
  <c r="M482" i="4"/>
  <c r="N482" i="4"/>
  <c r="O482" i="4"/>
  <c r="B483" i="4"/>
  <c r="C483" i="4"/>
  <c r="D483" i="4"/>
  <c r="E483" i="4"/>
  <c r="F483" i="4"/>
  <c r="G483" i="4"/>
  <c r="H483" i="4"/>
  <c r="I483" i="4"/>
  <c r="J483" i="4"/>
  <c r="K483" i="4"/>
  <c r="L483" i="4"/>
  <c r="M483" i="4"/>
  <c r="N483" i="4"/>
  <c r="O483" i="4"/>
  <c r="B484" i="4"/>
  <c r="C484" i="4"/>
  <c r="D484" i="4"/>
  <c r="E484" i="4"/>
  <c r="F484" i="4"/>
  <c r="G484" i="4"/>
  <c r="H484" i="4"/>
  <c r="I484" i="4"/>
  <c r="J484" i="4"/>
  <c r="K484" i="4"/>
  <c r="L484" i="4"/>
  <c r="M484" i="4"/>
  <c r="N484" i="4"/>
  <c r="O484" i="4"/>
  <c r="B485" i="4"/>
  <c r="C485" i="4"/>
  <c r="D485" i="4"/>
  <c r="E485" i="4"/>
  <c r="F485" i="4"/>
  <c r="G485" i="4"/>
  <c r="H485" i="4"/>
  <c r="I485" i="4"/>
  <c r="J485" i="4"/>
  <c r="K485" i="4"/>
  <c r="L485" i="4"/>
  <c r="M485" i="4"/>
  <c r="N485" i="4"/>
  <c r="O485" i="4"/>
  <c r="B486" i="4"/>
  <c r="C486" i="4"/>
  <c r="D486" i="4"/>
  <c r="E486" i="4"/>
  <c r="F486" i="4"/>
  <c r="G486" i="4"/>
  <c r="H486" i="4"/>
  <c r="I486" i="4"/>
  <c r="J486" i="4"/>
  <c r="K486" i="4"/>
  <c r="L486" i="4"/>
  <c r="M486" i="4"/>
  <c r="N486" i="4"/>
  <c r="O486" i="4"/>
  <c r="B487" i="4"/>
  <c r="C487" i="4"/>
  <c r="D487" i="4"/>
  <c r="E487" i="4"/>
  <c r="F487" i="4"/>
  <c r="G487" i="4"/>
  <c r="H487" i="4"/>
  <c r="I487" i="4"/>
  <c r="J487" i="4"/>
  <c r="K487" i="4"/>
  <c r="L487" i="4"/>
  <c r="M487" i="4"/>
  <c r="N487" i="4"/>
  <c r="O487" i="4"/>
  <c r="B488" i="4"/>
  <c r="C488" i="4"/>
  <c r="D488" i="4"/>
  <c r="E488" i="4"/>
  <c r="F488" i="4"/>
  <c r="G488" i="4"/>
  <c r="H488" i="4"/>
  <c r="I488" i="4"/>
  <c r="J488" i="4"/>
  <c r="K488" i="4"/>
  <c r="L488" i="4"/>
  <c r="M488" i="4"/>
  <c r="N488" i="4"/>
  <c r="O488" i="4"/>
  <c r="B489" i="4"/>
  <c r="C489" i="4"/>
  <c r="D489" i="4"/>
  <c r="E489" i="4"/>
  <c r="F489" i="4"/>
  <c r="G489" i="4"/>
  <c r="H489" i="4"/>
  <c r="I489" i="4"/>
  <c r="J489" i="4"/>
  <c r="K489" i="4"/>
  <c r="L489" i="4"/>
  <c r="M489" i="4"/>
  <c r="N489" i="4"/>
  <c r="O489" i="4"/>
  <c r="B490" i="4"/>
  <c r="C490" i="4"/>
  <c r="D490" i="4"/>
  <c r="E490" i="4"/>
  <c r="F490" i="4"/>
  <c r="G490" i="4"/>
  <c r="H490" i="4"/>
  <c r="I490" i="4"/>
  <c r="J490" i="4"/>
  <c r="K490" i="4"/>
  <c r="L490" i="4"/>
  <c r="M490" i="4"/>
  <c r="N490" i="4"/>
  <c r="O490" i="4"/>
  <c r="B491" i="4"/>
  <c r="C491" i="4"/>
  <c r="D491" i="4"/>
  <c r="E491" i="4"/>
  <c r="F491" i="4"/>
  <c r="G491" i="4"/>
  <c r="H491" i="4"/>
  <c r="I491" i="4"/>
  <c r="J491" i="4"/>
  <c r="K491" i="4"/>
  <c r="L491" i="4"/>
  <c r="M491" i="4"/>
  <c r="N491" i="4"/>
  <c r="O491" i="4"/>
  <c r="B492" i="4"/>
  <c r="C492" i="4"/>
  <c r="D492" i="4"/>
  <c r="E492" i="4"/>
  <c r="F492" i="4"/>
  <c r="G492" i="4"/>
  <c r="H492" i="4"/>
  <c r="I492" i="4"/>
  <c r="J492" i="4"/>
  <c r="K492" i="4"/>
  <c r="L492" i="4"/>
  <c r="M492" i="4"/>
  <c r="N492" i="4"/>
  <c r="O492" i="4"/>
  <c r="B493" i="4"/>
  <c r="C493" i="4"/>
  <c r="D493" i="4"/>
  <c r="E493" i="4"/>
  <c r="F493" i="4"/>
  <c r="G493" i="4"/>
  <c r="H493" i="4"/>
  <c r="I493" i="4"/>
  <c r="J493" i="4"/>
  <c r="K493" i="4"/>
  <c r="L493" i="4"/>
  <c r="M493" i="4"/>
  <c r="N493" i="4"/>
  <c r="O493" i="4"/>
  <c r="B494" i="4"/>
  <c r="C494" i="4"/>
  <c r="D494" i="4"/>
  <c r="E494" i="4"/>
  <c r="F494" i="4"/>
  <c r="G494" i="4"/>
  <c r="H494" i="4"/>
  <c r="I494" i="4"/>
  <c r="J494" i="4"/>
  <c r="K494" i="4"/>
  <c r="L494" i="4"/>
  <c r="M494" i="4"/>
  <c r="N494" i="4"/>
  <c r="O494" i="4"/>
  <c r="B495" i="4"/>
  <c r="C495" i="4"/>
  <c r="D495" i="4"/>
  <c r="E495" i="4"/>
  <c r="F495" i="4"/>
  <c r="G495" i="4"/>
  <c r="H495" i="4"/>
  <c r="I495" i="4"/>
  <c r="J495" i="4"/>
  <c r="K495" i="4"/>
  <c r="L495" i="4"/>
  <c r="M495" i="4"/>
  <c r="N495" i="4"/>
  <c r="O495" i="4"/>
  <c r="B496" i="4"/>
  <c r="C496" i="4"/>
  <c r="D496" i="4"/>
  <c r="E496" i="4"/>
  <c r="F496" i="4"/>
  <c r="G496" i="4"/>
  <c r="H496" i="4"/>
  <c r="I496" i="4"/>
  <c r="J496" i="4"/>
  <c r="K496" i="4"/>
  <c r="L496" i="4"/>
  <c r="M496" i="4"/>
  <c r="N496" i="4"/>
  <c r="O496" i="4"/>
  <c r="B497" i="4"/>
  <c r="C497" i="4"/>
  <c r="D497" i="4"/>
  <c r="E497" i="4"/>
  <c r="F497" i="4"/>
  <c r="G497" i="4"/>
  <c r="H497" i="4"/>
  <c r="I497" i="4"/>
  <c r="J497" i="4"/>
  <c r="K497" i="4"/>
  <c r="L497" i="4"/>
  <c r="M497" i="4"/>
  <c r="N497" i="4"/>
  <c r="O497" i="4"/>
  <c r="B498" i="4"/>
  <c r="C498" i="4"/>
  <c r="D498" i="4"/>
  <c r="E498" i="4"/>
  <c r="F498" i="4"/>
  <c r="G498" i="4"/>
  <c r="H498" i="4"/>
  <c r="I498" i="4"/>
  <c r="J498" i="4"/>
  <c r="K498" i="4"/>
  <c r="L498" i="4"/>
  <c r="M498" i="4"/>
  <c r="N498" i="4"/>
  <c r="O498" i="4"/>
  <c r="B499" i="4"/>
  <c r="C499" i="4"/>
  <c r="D499" i="4"/>
  <c r="E499" i="4"/>
  <c r="F499" i="4"/>
  <c r="G499" i="4"/>
  <c r="H499" i="4"/>
  <c r="I499" i="4"/>
  <c r="J499" i="4"/>
  <c r="K499" i="4"/>
  <c r="L499" i="4"/>
  <c r="M499" i="4"/>
  <c r="N499" i="4"/>
  <c r="O499" i="4"/>
  <c r="B500" i="4"/>
  <c r="C500" i="4"/>
  <c r="D500" i="4"/>
  <c r="E500" i="4"/>
  <c r="F500" i="4"/>
  <c r="G500" i="4"/>
  <c r="H500" i="4"/>
  <c r="I500" i="4"/>
  <c r="J500" i="4"/>
  <c r="K500" i="4"/>
  <c r="L500" i="4"/>
  <c r="M500" i="4"/>
  <c r="N500" i="4"/>
  <c r="O500" i="4"/>
  <c r="B501" i="4"/>
  <c r="C501" i="4"/>
  <c r="D501" i="4"/>
  <c r="E501" i="4"/>
  <c r="F501" i="4"/>
  <c r="G501" i="4"/>
  <c r="H501" i="4"/>
  <c r="I501" i="4"/>
  <c r="J501" i="4"/>
  <c r="K501" i="4"/>
  <c r="L501" i="4"/>
  <c r="M501" i="4"/>
  <c r="N501" i="4"/>
  <c r="O501" i="4"/>
  <c r="B502" i="4"/>
  <c r="C502" i="4"/>
  <c r="D502" i="4"/>
  <c r="E502" i="4"/>
  <c r="F502" i="4"/>
  <c r="G502" i="4"/>
  <c r="H502" i="4"/>
  <c r="I502" i="4"/>
  <c r="J502" i="4"/>
  <c r="K502" i="4"/>
  <c r="L502" i="4"/>
  <c r="M502" i="4"/>
  <c r="N502" i="4"/>
  <c r="O502" i="4"/>
  <c r="B503" i="4"/>
  <c r="C503" i="4"/>
  <c r="D503" i="4"/>
  <c r="E503" i="4"/>
  <c r="F503" i="4"/>
  <c r="G503" i="4"/>
  <c r="H503" i="4"/>
  <c r="I503" i="4"/>
  <c r="J503" i="4"/>
  <c r="K503" i="4"/>
  <c r="L503" i="4"/>
  <c r="M503" i="4"/>
  <c r="N503" i="4"/>
  <c r="O503" i="4"/>
  <c r="B504" i="4"/>
  <c r="C504" i="4"/>
  <c r="D504" i="4"/>
  <c r="E504" i="4"/>
  <c r="F504" i="4"/>
  <c r="G504" i="4"/>
  <c r="H504" i="4"/>
  <c r="I504" i="4"/>
  <c r="J504" i="4"/>
  <c r="K504" i="4"/>
  <c r="L504" i="4"/>
  <c r="M504" i="4"/>
  <c r="N504" i="4"/>
  <c r="O504" i="4"/>
  <c r="B505" i="4"/>
  <c r="C505" i="4"/>
  <c r="D505" i="4"/>
  <c r="E505" i="4"/>
  <c r="F505" i="4"/>
  <c r="G505" i="4"/>
  <c r="H505" i="4"/>
  <c r="I505" i="4"/>
  <c r="J505" i="4"/>
  <c r="K505" i="4"/>
  <c r="L505" i="4"/>
  <c r="M505" i="4"/>
  <c r="N505" i="4"/>
  <c r="O505" i="4"/>
  <c r="B506" i="4"/>
  <c r="C506" i="4"/>
  <c r="D506" i="4"/>
  <c r="E506" i="4"/>
  <c r="F506" i="4"/>
  <c r="G506" i="4"/>
  <c r="H506" i="4"/>
  <c r="I506" i="4"/>
  <c r="J506" i="4"/>
  <c r="K506" i="4"/>
  <c r="L506" i="4"/>
  <c r="M506" i="4"/>
  <c r="N506" i="4"/>
  <c r="O506" i="4"/>
  <c r="B507" i="4"/>
  <c r="C507" i="4"/>
  <c r="D507" i="4"/>
  <c r="E507" i="4"/>
  <c r="F507" i="4"/>
  <c r="G507" i="4"/>
  <c r="H507" i="4"/>
  <c r="I507" i="4"/>
  <c r="J507" i="4"/>
  <c r="K507" i="4"/>
  <c r="L507" i="4"/>
  <c r="M507" i="4"/>
  <c r="N507" i="4"/>
  <c r="O507" i="4"/>
  <c r="B508" i="4"/>
  <c r="C508" i="4"/>
  <c r="D508" i="4"/>
  <c r="E508" i="4"/>
  <c r="F508" i="4"/>
  <c r="G508" i="4"/>
  <c r="H508" i="4"/>
  <c r="I508" i="4"/>
  <c r="J508" i="4"/>
  <c r="K508" i="4"/>
  <c r="L508" i="4"/>
  <c r="M508" i="4"/>
  <c r="N508" i="4"/>
  <c r="O508" i="4"/>
  <c r="B509" i="4"/>
  <c r="C509" i="4"/>
  <c r="D509" i="4"/>
  <c r="E509" i="4"/>
  <c r="F509" i="4"/>
  <c r="G509" i="4"/>
  <c r="H509" i="4"/>
  <c r="I509" i="4"/>
  <c r="J509" i="4"/>
  <c r="K509" i="4"/>
  <c r="L509" i="4"/>
  <c r="M509" i="4"/>
  <c r="N509" i="4"/>
  <c r="O509" i="4"/>
  <c r="B510" i="4"/>
  <c r="C510" i="4"/>
  <c r="D510" i="4"/>
  <c r="E510" i="4"/>
  <c r="F510" i="4"/>
  <c r="G510" i="4"/>
  <c r="H510" i="4"/>
  <c r="I510" i="4"/>
  <c r="J510" i="4"/>
  <c r="K510" i="4"/>
  <c r="L510" i="4"/>
  <c r="M510" i="4"/>
  <c r="N510" i="4"/>
  <c r="O510" i="4"/>
  <c r="B511" i="4"/>
  <c r="C511" i="4"/>
  <c r="D511" i="4"/>
  <c r="E511" i="4"/>
  <c r="F511" i="4"/>
  <c r="G511" i="4"/>
  <c r="H511" i="4"/>
  <c r="I511" i="4"/>
  <c r="J511" i="4"/>
  <c r="K511" i="4"/>
  <c r="L511" i="4"/>
  <c r="M511" i="4"/>
  <c r="N511" i="4"/>
  <c r="O511" i="4"/>
  <c r="B512" i="4"/>
  <c r="C512" i="4"/>
  <c r="D512" i="4"/>
  <c r="E512" i="4"/>
  <c r="F512" i="4"/>
  <c r="G512" i="4"/>
  <c r="H512" i="4"/>
  <c r="I512" i="4"/>
  <c r="J512" i="4"/>
  <c r="K512" i="4"/>
  <c r="L512" i="4"/>
  <c r="M512" i="4"/>
  <c r="N512" i="4"/>
  <c r="O512" i="4"/>
  <c r="B513" i="4"/>
  <c r="C513" i="4"/>
  <c r="D513" i="4"/>
  <c r="E513" i="4"/>
  <c r="F513" i="4"/>
  <c r="G513" i="4"/>
  <c r="H513" i="4"/>
  <c r="I513" i="4"/>
  <c r="J513" i="4"/>
  <c r="K513" i="4"/>
  <c r="L513" i="4"/>
  <c r="M513" i="4"/>
  <c r="N513" i="4"/>
  <c r="O513" i="4"/>
  <c r="B514" i="4"/>
  <c r="C514" i="4"/>
  <c r="D514" i="4"/>
  <c r="E514" i="4"/>
  <c r="F514" i="4"/>
  <c r="G514" i="4"/>
  <c r="H514" i="4"/>
  <c r="I514" i="4"/>
  <c r="J514" i="4"/>
  <c r="K514" i="4"/>
  <c r="L514" i="4"/>
  <c r="M514" i="4"/>
  <c r="N514" i="4"/>
  <c r="O514" i="4"/>
  <c r="B515" i="4"/>
  <c r="C515" i="4"/>
  <c r="D515" i="4"/>
  <c r="E515" i="4"/>
  <c r="F515" i="4"/>
  <c r="G515" i="4"/>
  <c r="H515" i="4"/>
  <c r="I515" i="4"/>
  <c r="J515" i="4"/>
  <c r="K515" i="4"/>
  <c r="L515" i="4"/>
  <c r="M515" i="4"/>
  <c r="N515" i="4"/>
  <c r="O515" i="4"/>
  <c r="B516" i="4"/>
  <c r="C516" i="4"/>
  <c r="D516" i="4"/>
  <c r="E516" i="4"/>
  <c r="F516" i="4"/>
  <c r="G516" i="4"/>
  <c r="H516" i="4"/>
  <c r="I516" i="4"/>
  <c r="J516" i="4"/>
  <c r="K516" i="4"/>
  <c r="L516" i="4"/>
  <c r="M516" i="4"/>
  <c r="N516" i="4"/>
  <c r="O516" i="4"/>
  <c r="B517" i="4"/>
  <c r="C517" i="4"/>
  <c r="D517" i="4"/>
  <c r="E517" i="4"/>
  <c r="F517" i="4"/>
  <c r="G517" i="4"/>
  <c r="H517" i="4"/>
  <c r="I517" i="4"/>
  <c r="J517" i="4"/>
  <c r="K517" i="4"/>
  <c r="L517" i="4"/>
  <c r="M517" i="4"/>
  <c r="N517" i="4"/>
  <c r="O517" i="4"/>
  <c r="B518" i="4"/>
  <c r="C518" i="4"/>
  <c r="D518" i="4"/>
  <c r="E518" i="4"/>
  <c r="F518" i="4"/>
  <c r="G518" i="4"/>
  <c r="H518" i="4"/>
  <c r="I518" i="4"/>
  <c r="J518" i="4"/>
  <c r="K518" i="4"/>
  <c r="L518" i="4"/>
  <c r="M518" i="4"/>
  <c r="N518" i="4"/>
  <c r="O518" i="4"/>
  <c r="B519" i="4"/>
  <c r="C519" i="4"/>
  <c r="D519" i="4"/>
  <c r="E519" i="4"/>
  <c r="F519" i="4"/>
  <c r="G519" i="4"/>
  <c r="H519" i="4"/>
  <c r="I519" i="4"/>
  <c r="J519" i="4"/>
  <c r="K519" i="4"/>
  <c r="L519" i="4"/>
  <c r="M519" i="4"/>
  <c r="N519" i="4"/>
  <c r="O519" i="4"/>
  <c r="B520" i="4"/>
  <c r="C520" i="4"/>
  <c r="D520" i="4"/>
  <c r="E520" i="4"/>
  <c r="F520" i="4"/>
  <c r="G520" i="4"/>
  <c r="H520" i="4"/>
  <c r="I520" i="4"/>
  <c r="J520" i="4"/>
  <c r="K520" i="4"/>
  <c r="L520" i="4"/>
  <c r="M520" i="4"/>
  <c r="N520" i="4"/>
  <c r="O520" i="4"/>
  <c r="B521" i="4"/>
  <c r="C521" i="4"/>
  <c r="D521" i="4"/>
  <c r="E521" i="4"/>
  <c r="F521" i="4"/>
  <c r="G521" i="4"/>
  <c r="H521" i="4"/>
  <c r="I521" i="4"/>
  <c r="J521" i="4"/>
  <c r="K521" i="4"/>
  <c r="L521" i="4"/>
  <c r="M521" i="4"/>
  <c r="N521" i="4"/>
  <c r="O521" i="4"/>
  <c r="B522" i="4"/>
  <c r="C522" i="4"/>
  <c r="D522" i="4"/>
  <c r="E522" i="4"/>
  <c r="F522" i="4"/>
  <c r="G522" i="4"/>
  <c r="H522" i="4"/>
  <c r="I522" i="4"/>
  <c r="J522" i="4"/>
  <c r="K522" i="4"/>
  <c r="L522" i="4"/>
  <c r="M522" i="4"/>
  <c r="N522" i="4"/>
  <c r="O522" i="4"/>
  <c r="B523" i="4"/>
  <c r="C523" i="4"/>
  <c r="D523" i="4"/>
  <c r="E523" i="4"/>
  <c r="F523" i="4"/>
  <c r="G523" i="4"/>
  <c r="H523" i="4"/>
  <c r="I523" i="4"/>
  <c r="J523" i="4"/>
  <c r="K523" i="4"/>
  <c r="L523" i="4"/>
  <c r="M523" i="4"/>
  <c r="N523" i="4"/>
  <c r="O523" i="4"/>
  <c r="B524" i="4"/>
  <c r="C524" i="4"/>
  <c r="D524" i="4"/>
  <c r="E524" i="4"/>
  <c r="F524" i="4"/>
  <c r="G524" i="4"/>
  <c r="H524" i="4"/>
  <c r="I524" i="4"/>
  <c r="J524" i="4"/>
  <c r="K524" i="4"/>
  <c r="L524" i="4"/>
  <c r="M524" i="4"/>
  <c r="N524" i="4"/>
  <c r="O524" i="4"/>
  <c r="B525" i="4"/>
  <c r="C525" i="4"/>
  <c r="D525" i="4"/>
  <c r="E525" i="4"/>
  <c r="F525" i="4"/>
  <c r="G525" i="4"/>
  <c r="H525" i="4"/>
  <c r="I525" i="4"/>
  <c r="J525" i="4"/>
  <c r="K525" i="4"/>
  <c r="L525" i="4"/>
  <c r="M525" i="4"/>
  <c r="N525" i="4"/>
  <c r="O525" i="4"/>
  <c r="B526" i="4"/>
  <c r="C526" i="4"/>
  <c r="D526" i="4"/>
  <c r="E526" i="4"/>
  <c r="F526" i="4"/>
  <c r="G526" i="4"/>
  <c r="H526" i="4"/>
  <c r="I526" i="4"/>
  <c r="J526" i="4"/>
  <c r="K526" i="4"/>
  <c r="L526" i="4"/>
  <c r="M526" i="4"/>
  <c r="N526" i="4"/>
  <c r="O526" i="4"/>
  <c r="B527" i="4"/>
  <c r="C527" i="4"/>
  <c r="D527" i="4"/>
  <c r="E527" i="4"/>
  <c r="F527" i="4"/>
  <c r="G527" i="4"/>
  <c r="H527" i="4"/>
  <c r="I527" i="4"/>
  <c r="J527" i="4"/>
  <c r="K527" i="4"/>
  <c r="L527" i="4"/>
  <c r="M527" i="4"/>
  <c r="N527" i="4"/>
  <c r="O527" i="4"/>
  <c r="B528" i="4"/>
  <c r="C528" i="4"/>
  <c r="D528" i="4"/>
  <c r="E528" i="4"/>
  <c r="F528" i="4"/>
  <c r="G528" i="4"/>
  <c r="H528" i="4"/>
  <c r="I528" i="4"/>
  <c r="J528" i="4"/>
  <c r="K528" i="4"/>
  <c r="L528" i="4"/>
  <c r="M528" i="4"/>
  <c r="N528" i="4"/>
  <c r="O528" i="4"/>
  <c r="B529" i="4"/>
  <c r="C529" i="4"/>
  <c r="D529" i="4"/>
  <c r="E529" i="4"/>
  <c r="F529" i="4"/>
  <c r="G529" i="4"/>
  <c r="H529" i="4"/>
  <c r="I529" i="4"/>
  <c r="J529" i="4"/>
  <c r="K529" i="4"/>
  <c r="L529" i="4"/>
  <c r="M529" i="4"/>
  <c r="N529" i="4"/>
  <c r="O529" i="4"/>
  <c r="B530" i="4"/>
  <c r="C530" i="4"/>
  <c r="D530" i="4"/>
  <c r="E530" i="4"/>
  <c r="F530" i="4"/>
  <c r="G530" i="4"/>
  <c r="H530" i="4"/>
  <c r="I530" i="4"/>
  <c r="J530" i="4"/>
  <c r="K530" i="4"/>
  <c r="L530" i="4"/>
  <c r="M530" i="4"/>
  <c r="N530" i="4"/>
  <c r="O530" i="4"/>
  <c r="B531" i="4"/>
  <c r="C531" i="4"/>
  <c r="D531" i="4"/>
  <c r="E531" i="4"/>
  <c r="F531" i="4"/>
  <c r="G531" i="4"/>
  <c r="H531" i="4"/>
  <c r="I531" i="4"/>
  <c r="J531" i="4"/>
  <c r="K531" i="4"/>
  <c r="L531" i="4"/>
  <c r="M531" i="4"/>
  <c r="N531" i="4"/>
  <c r="O531" i="4"/>
  <c r="B532" i="4"/>
  <c r="C532" i="4"/>
  <c r="D532" i="4"/>
  <c r="E532" i="4"/>
  <c r="F532" i="4"/>
  <c r="G532" i="4"/>
  <c r="H532" i="4"/>
  <c r="I532" i="4"/>
  <c r="J532" i="4"/>
  <c r="K532" i="4"/>
  <c r="L532" i="4"/>
  <c r="M532" i="4"/>
  <c r="N532" i="4"/>
  <c r="O532" i="4"/>
  <c r="B533" i="4"/>
  <c r="C533" i="4"/>
  <c r="D533" i="4"/>
  <c r="E533" i="4"/>
  <c r="F533" i="4"/>
  <c r="G533" i="4"/>
  <c r="H533" i="4"/>
  <c r="I533" i="4"/>
  <c r="J533" i="4"/>
  <c r="K533" i="4"/>
  <c r="L533" i="4"/>
  <c r="M533" i="4"/>
  <c r="N533" i="4"/>
  <c r="O533" i="4"/>
  <c r="B534" i="4"/>
  <c r="C534" i="4"/>
  <c r="D534" i="4"/>
  <c r="E534" i="4"/>
  <c r="F534" i="4"/>
  <c r="G534" i="4"/>
  <c r="H534" i="4"/>
  <c r="I534" i="4"/>
  <c r="J534" i="4"/>
  <c r="K534" i="4"/>
  <c r="L534" i="4"/>
  <c r="M534" i="4"/>
  <c r="N534" i="4"/>
  <c r="O534" i="4"/>
  <c r="B535" i="4"/>
  <c r="C535" i="4"/>
  <c r="D535" i="4"/>
  <c r="E535" i="4"/>
  <c r="F535" i="4"/>
  <c r="G535" i="4"/>
  <c r="H535" i="4"/>
  <c r="I535" i="4"/>
  <c r="J535" i="4"/>
  <c r="K535" i="4"/>
  <c r="L535" i="4"/>
  <c r="M535" i="4"/>
  <c r="N535" i="4"/>
  <c r="O535" i="4"/>
  <c r="B536" i="4"/>
  <c r="C536" i="4"/>
  <c r="D536" i="4"/>
  <c r="E536" i="4"/>
  <c r="F536" i="4"/>
  <c r="G536" i="4"/>
  <c r="H536" i="4"/>
  <c r="I536" i="4"/>
  <c r="J536" i="4"/>
  <c r="K536" i="4"/>
  <c r="L536" i="4"/>
  <c r="M536" i="4"/>
  <c r="N536" i="4"/>
  <c r="O536" i="4"/>
  <c r="B537" i="4"/>
  <c r="C537" i="4"/>
  <c r="D537" i="4"/>
  <c r="E537" i="4"/>
  <c r="F537" i="4"/>
  <c r="G537" i="4"/>
  <c r="H537" i="4"/>
  <c r="I537" i="4"/>
  <c r="J537" i="4"/>
  <c r="K537" i="4"/>
  <c r="L537" i="4"/>
  <c r="M537" i="4"/>
  <c r="N537" i="4"/>
  <c r="O537" i="4"/>
  <c r="B538" i="4"/>
  <c r="C538" i="4"/>
  <c r="D538" i="4"/>
  <c r="E538" i="4"/>
  <c r="F538" i="4"/>
  <c r="G538" i="4"/>
  <c r="H538" i="4"/>
  <c r="I538" i="4"/>
  <c r="J538" i="4"/>
  <c r="K538" i="4"/>
  <c r="L538" i="4"/>
  <c r="M538" i="4"/>
  <c r="N538" i="4"/>
  <c r="O538" i="4"/>
  <c r="B539" i="4"/>
  <c r="C539" i="4"/>
  <c r="D539" i="4"/>
  <c r="E539" i="4"/>
  <c r="F539" i="4"/>
  <c r="G539" i="4"/>
  <c r="H539" i="4"/>
  <c r="I539" i="4"/>
  <c r="J539" i="4"/>
  <c r="K539" i="4"/>
  <c r="L539" i="4"/>
  <c r="M539" i="4"/>
  <c r="N539" i="4"/>
  <c r="O539" i="4"/>
  <c r="B540" i="4"/>
  <c r="C540" i="4"/>
  <c r="D540" i="4"/>
  <c r="E540" i="4"/>
  <c r="F540" i="4"/>
  <c r="G540" i="4"/>
  <c r="H540" i="4"/>
  <c r="I540" i="4"/>
  <c r="J540" i="4"/>
  <c r="K540" i="4"/>
  <c r="L540" i="4"/>
  <c r="M540" i="4"/>
  <c r="N540" i="4"/>
  <c r="O540" i="4"/>
  <c r="B541" i="4"/>
  <c r="C541" i="4"/>
  <c r="D541" i="4"/>
  <c r="E541" i="4"/>
  <c r="F541" i="4"/>
  <c r="G541" i="4"/>
  <c r="H541" i="4"/>
  <c r="I541" i="4"/>
  <c r="J541" i="4"/>
  <c r="K541" i="4"/>
  <c r="L541" i="4"/>
  <c r="M541" i="4"/>
  <c r="N541" i="4"/>
  <c r="O541" i="4"/>
  <c r="B542" i="4"/>
  <c r="C542" i="4"/>
  <c r="D542" i="4"/>
  <c r="E542" i="4"/>
  <c r="F542" i="4"/>
  <c r="G542" i="4"/>
  <c r="H542" i="4"/>
  <c r="I542" i="4"/>
  <c r="J542" i="4"/>
  <c r="K542" i="4"/>
  <c r="L542" i="4"/>
  <c r="M542" i="4"/>
  <c r="N542" i="4"/>
  <c r="O542" i="4"/>
  <c r="B543" i="4"/>
  <c r="C543" i="4"/>
  <c r="D543" i="4"/>
  <c r="E543" i="4"/>
  <c r="F543" i="4"/>
  <c r="G543" i="4"/>
  <c r="H543" i="4"/>
  <c r="I543" i="4"/>
  <c r="J543" i="4"/>
  <c r="K543" i="4"/>
  <c r="L543" i="4"/>
  <c r="M543" i="4"/>
  <c r="N543" i="4"/>
  <c r="O543" i="4"/>
  <c r="B544" i="4"/>
  <c r="C544" i="4"/>
  <c r="D544" i="4"/>
  <c r="E544" i="4"/>
  <c r="F544" i="4"/>
  <c r="G544" i="4"/>
  <c r="H544" i="4"/>
  <c r="I544" i="4"/>
  <c r="J544" i="4"/>
  <c r="K544" i="4"/>
  <c r="L544" i="4"/>
  <c r="M544" i="4"/>
  <c r="N544" i="4"/>
  <c r="O544" i="4"/>
  <c r="B545" i="4"/>
  <c r="C545" i="4"/>
  <c r="D545" i="4"/>
  <c r="E545" i="4"/>
  <c r="F545" i="4"/>
  <c r="G545" i="4"/>
  <c r="H545" i="4"/>
  <c r="I545" i="4"/>
  <c r="J545" i="4"/>
  <c r="K545" i="4"/>
  <c r="L545" i="4"/>
  <c r="M545" i="4"/>
  <c r="N545" i="4"/>
  <c r="O545" i="4"/>
  <c r="B546" i="4"/>
  <c r="C546" i="4"/>
  <c r="D546" i="4"/>
  <c r="E546" i="4"/>
  <c r="F546" i="4"/>
  <c r="G546" i="4"/>
  <c r="H546" i="4"/>
  <c r="I546" i="4"/>
  <c r="J546" i="4"/>
  <c r="K546" i="4"/>
  <c r="L546" i="4"/>
  <c r="M546" i="4"/>
  <c r="N546" i="4"/>
  <c r="O546" i="4"/>
  <c r="B547" i="4"/>
  <c r="C547" i="4"/>
  <c r="D547" i="4"/>
  <c r="E547" i="4"/>
  <c r="F547" i="4"/>
  <c r="G547" i="4"/>
  <c r="H547" i="4"/>
  <c r="I547" i="4"/>
  <c r="J547" i="4"/>
  <c r="K547" i="4"/>
  <c r="L547" i="4"/>
  <c r="M547" i="4"/>
  <c r="N547" i="4"/>
  <c r="O547" i="4"/>
  <c r="B548" i="4"/>
  <c r="C548" i="4"/>
  <c r="D548" i="4"/>
  <c r="E548" i="4"/>
  <c r="F548" i="4"/>
  <c r="G548" i="4"/>
  <c r="H548" i="4"/>
  <c r="I548" i="4"/>
  <c r="J548" i="4"/>
  <c r="K548" i="4"/>
  <c r="L548" i="4"/>
  <c r="M548" i="4"/>
  <c r="N548" i="4"/>
  <c r="O548" i="4"/>
  <c r="B549" i="4"/>
  <c r="C549" i="4"/>
  <c r="D549" i="4"/>
  <c r="E549" i="4"/>
  <c r="F549" i="4"/>
  <c r="G549" i="4"/>
  <c r="H549" i="4"/>
  <c r="I549" i="4"/>
  <c r="J549" i="4"/>
  <c r="K549" i="4"/>
  <c r="L549" i="4"/>
  <c r="M549" i="4"/>
  <c r="N549" i="4"/>
  <c r="O549" i="4"/>
  <c r="B550" i="4"/>
  <c r="C550" i="4"/>
  <c r="D550" i="4"/>
  <c r="E550" i="4"/>
  <c r="F550" i="4"/>
  <c r="G550" i="4"/>
  <c r="H550" i="4"/>
  <c r="I550" i="4"/>
  <c r="J550" i="4"/>
  <c r="K550" i="4"/>
  <c r="L550" i="4"/>
  <c r="M550" i="4"/>
  <c r="N550" i="4"/>
  <c r="O550" i="4"/>
  <c r="B551" i="4"/>
  <c r="C551" i="4"/>
  <c r="D551" i="4"/>
  <c r="E551" i="4"/>
  <c r="F551" i="4"/>
  <c r="G551" i="4"/>
  <c r="H551" i="4"/>
  <c r="I551" i="4"/>
  <c r="J551" i="4"/>
  <c r="K551" i="4"/>
  <c r="L551" i="4"/>
  <c r="M551" i="4"/>
  <c r="N551" i="4"/>
  <c r="O551" i="4"/>
  <c r="B552" i="4"/>
  <c r="C552" i="4"/>
  <c r="D552" i="4"/>
  <c r="E552" i="4"/>
  <c r="F552" i="4"/>
  <c r="G552" i="4"/>
  <c r="H552" i="4"/>
  <c r="I552" i="4"/>
  <c r="J552" i="4"/>
  <c r="K552" i="4"/>
  <c r="L552" i="4"/>
  <c r="M552" i="4"/>
  <c r="N552" i="4"/>
  <c r="O552" i="4"/>
  <c r="B553" i="4"/>
  <c r="C553" i="4"/>
  <c r="D553" i="4"/>
  <c r="E553" i="4"/>
  <c r="F553" i="4"/>
  <c r="G553" i="4"/>
  <c r="H553" i="4"/>
  <c r="I553" i="4"/>
  <c r="J553" i="4"/>
  <c r="K553" i="4"/>
  <c r="L553" i="4"/>
  <c r="M553" i="4"/>
  <c r="N553" i="4"/>
  <c r="O553" i="4"/>
  <c r="B554" i="4"/>
  <c r="C554" i="4"/>
  <c r="D554" i="4"/>
  <c r="E554" i="4"/>
  <c r="F554" i="4"/>
  <c r="G554" i="4"/>
  <c r="H554" i="4"/>
  <c r="I554" i="4"/>
  <c r="J554" i="4"/>
  <c r="K554" i="4"/>
  <c r="L554" i="4"/>
  <c r="M554" i="4"/>
  <c r="N554" i="4"/>
  <c r="O554" i="4"/>
  <c r="B555" i="4"/>
  <c r="C555" i="4"/>
  <c r="D555" i="4"/>
  <c r="E555" i="4"/>
  <c r="F555" i="4"/>
  <c r="G555" i="4"/>
  <c r="H555" i="4"/>
  <c r="I555" i="4"/>
  <c r="J555" i="4"/>
  <c r="K555" i="4"/>
  <c r="L555" i="4"/>
  <c r="M555" i="4"/>
  <c r="N555" i="4"/>
  <c r="O555" i="4"/>
  <c r="B556" i="4"/>
  <c r="C556" i="4"/>
  <c r="D556" i="4"/>
  <c r="E556" i="4"/>
  <c r="F556" i="4"/>
  <c r="G556" i="4"/>
  <c r="H556" i="4"/>
  <c r="I556" i="4"/>
  <c r="J556" i="4"/>
  <c r="K556" i="4"/>
  <c r="L556" i="4"/>
  <c r="M556" i="4"/>
  <c r="N556" i="4"/>
  <c r="O556" i="4"/>
  <c r="B557" i="4"/>
  <c r="C557" i="4"/>
  <c r="D557" i="4"/>
  <c r="E557" i="4"/>
  <c r="F557" i="4"/>
  <c r="G557" i="4"/>
  <c r="H557" i="4"/>
  <c r="I557" i="4"/>
  <c r="J557" i="4"/>
  <c r="K557" i="4"/>
  <c r="L557" i="4"/>
  <c r="M557" i="4"/>
  <c r="N557" i="4"/>
  <c r="O557" i="4"/>
  <c r="B558" i="4"/>
  <c r="C558" i="4"/>
  <c r="D558" i="4"/>
  <c r="E558" i="4"/>
  <c r="F558" i="4"/>
  <c r="G558" i="4"/>
  <c r="H558" i="4"/>
  <c r="I558" i="4"/>
  <c r="J558" i="4"/>
  <c r="K558" i="4"/>
  <c r="L558" i="4"/>
  <c r="M558" i="4"/>
  <c r="N558" i="4"/>
  <c r="O558" i="4"/>
  <c r="B559" i="4"/>
  <c r="C559" i="4"/>
  <c r="D559" i="4"/>
  <c r="E559" i="4"/>
  <c r="F559" i="4"/>
  <c r="G559" i="4"/>
  <c r="H559" i="4"/>
  <c r="I559" i="4"/>
  <c r="J559" i="4"/>
  <c r="K559" i="4"/>
  <c r="L559" i="4"/>
  <c r="M559" i="4"/>
  <c r="N559" i="4"/>
  <c r="O559" i="4"/>
  <c r="B560" i="4"/>
  <c r="C560" i="4"/>
  <c r="D560" i="4"/>
  <c r="E560" i="4"/>
  <c r="F560" i="4"/>
  <c r="G560" i="4"/>
  <c r="H560" i="4"/>
  <c r="I560" i="4"/>
  <c r="J560" i="4"/>
  <c r="K560" i="4"/>
  <c r="L560" i="4"/>
  <c r="M560" i="4"/>
  <c r="N560" i="4"/>
  <c r="O560" i="4"/>
  <c r="B561" i="4"/>
  <c r="C561" i="4"/>
  <c r="D561" i="4"/>
  <c r="E561" i="4"/>
  <c r="F561" i="4"/>
  <c r="G561" i="4"/>
  <c r="H561" i="4"/>
  <c r="I561" i="4"/>
  <c r="J561" i="4"/>
  <c r="K561" i="4"/>
  <c r="L561" i="4"/>
  <c r="M561" i="4"/>
  <c r="N561" i="4"/>
  <c r="O561" i="4"/>
  <c r="B562" i="4"/>
  <c r="C562" i="4"/>
  <c r="D562" i="4"/>
  <c r="E562" i="4"/>
  <c r="F562" i="4"/>
  <c r="G562" i="4"/>
  <c r="H562" i="4"/>
  <c r="I562" i="4"/>
  <c r="J562" i="4"/>
  <c r="K562" i="4"/>
  <c r="L562" i="4"/>
  <c r="M562" i="4"/>
  <c r="N562" i="4"/>
  <c r="O562" i="4"/>
  <c r="B563" i="4"/>
  <c r="C563" i="4"/>
  <c r="D563" i="4"/>
  <c r="E563" i="4"/>
  <c r="F563" i="4"/>
  <c r="G563" i="4"/>
  <c r="H563" i="4"/>
  <c r="I563" i="4"/>
  <c r="J563" i="4"/>
  <c r="K563" i="4"/>
  <c r="L563" i="4"/>
  <c r="M563" i="4"/>
  <c r="N563" i="4"/>
  <c r="O563" i="4"/>
  <c r="B564" i="4"/>
  <c r="C564" i="4"/>
  <c r="D564" i="4"/>
  <c r="E564" i="4"/>
  <c r="F564" i="4"/>
  <c r="G564" i="4"/>
  <c r="H564" i="4"/>
  <c r="I564" i="4"/>
  <c r="J564" i="4"/>
  <c r="K564" i="4"/>
  <c r="L564" i="4"/>
  <c r="M564" i="4"/>
  <c r="N564" i="4"/>
  <c r="O564" i="4"/>
  <c r="B565" i="4"/>
  <c r="C565" i="4"/>
  <c r="D565" i="4"/>
  <c r="E565" i="4"/>
  <c r="F565" i="4"/>
  <c r="G565" i="4"/>
  <c r="H565" i="4"/>
  <c r="I565" i="4"/>
  <c r="J565" i="4"/>
  <c r="K565" i="4"/>
  <c r="L565" i="4"/>
  <c r="M565" i="4"/>
  <c r="N565" i="4"/>
  <c r="O565" i="4"/>
  <c r="B566" i="4"/>
  <c r="C566" i="4"/>
  <c r="D566" i="4"/>
  <c r="E566" i="4"/>
  <c r="F566" i="4"/>
  <c r="G566" i="4"/>
  <c r="H566" i="4"/>
  <c r="I566" i="4"/>
  <c r="J566" i="4"/>
  <c r="K566" i="4"/>
  <c r="L566" i="4"/>
  <c r="M566" i="4"/>
  <c r="N566" i="4"/>
  <c r="O566" i="4"/>
  <c r="B567" i="4"/>
  <c r="C567" i="4"/>
  <c r="D567" i="4"/>
  <c r="E567" i="4"/>
  <c r="F567" i="4"/>
  <c r="G567" i="4"/>
  <c r="H567" i="4"/>
  <c r="I567" i="4"/>
  <c r="J567" i="4"/>
  <c r="K567" i="4"/>
  <c r="L567" i="4"/>
  <c r="M567" i="4"/>
  <c r="N567" i="4"/>
  <c r="O567" i="4"/>
  <c r="B568" i="4"/>
  <c r="C568" i="4"/>
  <c r="D568" i="4"/>
  <c r="E568" i="4"/>
  <c r="F568" i="4"/>
  <c r="G568" i="4"/>
  <c r="H568" i="4"/>
  <c r="I568" i="4"/>
  <c r="J568" i="4"/>
  <c r="K568" i="4"/>
  <c r="L568" i="4"/>
  <c r="M568" i="4"/>
  <c r="N568" i="4"/>
  <c r="O568" i="4"/>
  <c r="B569" i="4"/>
  <c r="C569" i="4"/>
  <c r="D569" i="4"/>
  <c r="E569" i="4"/>
  <c r="F569" i="4"/>
  <c r="G569" i="4"/>
  <c r="H569" i="4"/>
  <c r="I569" i="4"/>
  <c r="J569" i="4"/>
  <c r="K569" i="4"/>
  <c r="L569" i="4"/>
  <c r="M569" i="4"/>
  <c r="N569" i="4"/>
  <c r="O569" i="4"/>
  <c r="B570" i="4"/>
  <c r="C570" i="4"/>
  <c r="D570" i="4"/>
  <c r="E570" i="4"/>
  <c r="F570" i="4"/>
  <c r="G570" i="4"/>
  <c r="H570" i="4"/>
  <c r="I570" i="4"/>
  <c r="J570" i="4"/>
  <c r="K570" i="4"/>
  <c r="L570" i="4"/>
  <c r="M570" i="4"/>
  <c r="N570" i="4"/>
  <c r="O570" i="4"/>
  <c r="B571" i="4"/>
  <c r="C571" i="4"/>
  <c r="D571" i="4"/>
  <c r="E571" i="4"/>
  <c r="F571" i="4"/>
  <c r="G571" i="4"/>
  <c r="H571" i="4"/>
  <c r="I571" i="4"/>
  <c r="J571" i="4"/>
  <c r="K571" i="4"/>
  <c r="L571" i="4"/>
  <c r="M571" i="4"/>
  <c r="N571" i="4"/>
  <c r="O571" i="4"/>
  <c r="B572" i="4"/>
  <c r="C572" i="4"/>
  <c r="D572" i="4"/>
  <c r="E572" i="4"/>
  <c r="F572" i="4"/>
  <c r="G572" i="4"/>
  <c r="H572" i="4"/>
  <c r="I572" i="4"/>
  <c r="J572" i="4"/>
  <c r="K572" i="4"/>
  <c r="L572" i="4"/>
  <c r="M572" i="4"/>
  <c r="N572" i="4"/>
  <c r="O572" i="4"/>
  <c r="B573" i="4"/>
  <c r="C573" i="4"/>
  <c r="D573" i="4"/>
  <c r="E573" i="4"/>
  <c r="F573" i="4"/>
  <c r="G573" i="4"/>
  <c r="H573" i="4"/>
  <c r="I573" i="4"/>
  <c r="J573" i="4"/>
  <c r="K573" i="4"/>
  <c r="L573" i="4"/>
  <c r="M573" i="4"/>
  <c r="N573" i="4"/>
  <c r="O573" i="4"/>
  <c r="B574" i="4"/>
  <c r="C574" i="4"/>
  <c r="D574" i="4"/>
  <c r="E574" i="4"/>
  <c r="F574" i="4"/>
  <c r="G574" i="4"/>
  <c r="H574" i="4"/>
  <c r="I574" i="4"/>
  <c r="J574" i="4"/>
  <c r="K574" i="4"/>
  <c r="L574" i="4"/>
  <c r="M574" i="4"/>
  <c r="N574" i="4"/>
  <c r="O574" i="4"/>
  <c r="B575" i="4"/>
  <c r="C575" i="4"/>
  <c r="D575" i="4"/>
  <c r="E575" i="4"/>
  <c r="F575" i="4"/>
  <c r="G575" i="4"/>
  <c r="H575" i="4"/>
  <c r="I575" i="4"/>
  <c r="J575" i="4"/>
  <c r="K575" i="4"/>
  <c r="L575" i="4"/>
  <c r="M575" i="4"/>
  <c r="N575" i="4"/>
  <c r="O575" i="4"/>
  <c r="B576" i="4"/>
  <c r="C576" i="4"/>
  <c r="D576" i="4"/>
  <c r="E576" i="4"/>
  <c r="F576" i="4"/>
  <c r="G576" i="4"/>
  <c r="H576" i="4"/>
  <c r="I576" i="4"/>
  <c r="J576" i="4"/>
  <c r="K576" i="4"/>
  <c r="L576" i="4"/>
  <c r="M576" i="4"/>
  <c r="N576" i="4"/>
  <c r="O576" i="4"/>
  <c r="B577" i="4"/>
  <c r="C577" i="4"/>
  <c r="D577" i="4"/>
  <c r="E577" i="4"/>
  <c r="F577" i="4"/>
  <c r="G577" i="4"/>
  <c r="H577" i="4"/>
  <c r="I577" i="4"/>
  <c r="J577" i="4"/>
  <c r="K577" i="4"/>
  <c r="L577" i="4"/>
  <c r="M577" i="4"/>
  <c r="N577" i="4"/>
  <c r="O577" i="4"/>
  <c r="B578" i="4"/>
  <c r="C578" i="4"/>
  <c r="D578" i="4"/>
  <c r="E578" i="4"/>
  <c r="F578" i="4"/>
  <c r="G578" i="4"/>
  <c r="H578" i="4"/>
  <c r="I578" i="4"/>
  <c r="J578" i="4"/>
  <c r="K578" i="4"/>
  <c r="L578" i="4"/>
  <c r="M578" i="4"/>
  <c r="N578" i="4"/>
  <c r="O578" i="4"/>
  <c r="B579" i="4"/>
  <c r="C579" i="4"/>
  <c r="D579" i="4"/>
  <c r="E579" i="4"/>
  <c r="F579" i="4"/>
  <c r="G579" i="4"/>
  <c r="H579" i="4"/>
  <c r="I579" i="4"/>
  <c r="J579" i="4"/>
  <c r="K579" i="4"/>
  <c r="L579" i="4"/>
  <c r="M579" i="4"/>
  <c r="N579" i="4"/>
  <c r="O579" i="4"/>
  <c r="B580" i="4"/>
  <c r="C580" i="4"/>
  <c r="D580" i="4"/>
  <c r="E580" i="4"/>
  <c r="F580" i="4"/>
  <c r="G580" i="4"/>
  <c r="H580" i="4"/>
  <c r="I580" i="4"/>
  <c r="J580" i="4"/>
  <c r="K580" i="4"/>
  <c r="L580" i="4"/>
  <c r="M580" i="4"/>
  <c r="N580" i="4"/>
  <c r="O580" i="4"/>
  <c r="B581" i="4"/>
  <c r="C581" i="4"/>
  <c r="D581" i="4"/>
  <c r="E581" i="4"/>
  <c r="F581" i="4"/>
  <c r="G581" i="4"/>
  <c r="H581" i="4"/>
  <c r="I581" i="4"/>
  <c r="J581" i="4"/>
  <c r="K581" i="4"/>
  <c r="L581" i="4"/>
  <c r="M581" i="4"/>
  <c r="N581" i="4"/>
  <c r="O581" i="4"/>
  <c r="B582" i="4"/>
  <c r="C582" i="4"/>
  <c r="D582" i="4"/>
  <c r="E582" i="4"/>
  <c r="F582" i="4"/>
  <c r="G582" i="4"/>
  <c r="H582" i="4"/>
  <c r="I582" i="4"/>
  <c r="J582" i="4"/>
  <c r="K582" i="4"/>
  <c r="L582" i="4"/>
  <c r="M582" i="4"/>
  <c r="N582" i="4"/>
  <c r="O582" i="4"/>
  <c r="B583" i="4"/>
  <c r="C583" i="4"/>
  <c r="D583" i="4"/>
  <c r="E583" i="4"/>
  <c r="F583" i="4"/>
  <c r="G583" i="4"/>
  <c r="H583" i="4"/>
  <c r="I583" i="4"/>
  <c r="J583" i="4"/>
  <c r="K583" i="4"/>
  <c r="L583" i="4"/>
  <c r="M583" i="4"/>
  <c r="N583" i="4"/>
  <c r="O583" i="4"/>
  <c r="B584" i="4"/>
  <c r="C584" i="4"/>
  <c r="D584" i="4"/>
  <c r="E584" i="4"/>
  <c r="F584" i="4"/>
  <c r="G584" i="4"/>
  <c r="H584" i="4"/>
  <c r="I584" i="4"/>
  <c r="J584" i="4"/>
  <c r="K584" i="4"/>
  <c r="L584" i="4"/>
  <c r="M584" i="4"/>
  <c r="N584" i="4"/>
  <c r="O584" i="4"/>
  <c r="B585" i="4"/>
  <c r="C585" i="4"/>
  <c r="D585" i="4"/>
  <c r="E585" i="4"/>
  <c r="F585" i="4"/>
  <c r="G585" i="4"/>
  <c r="H585" i="4"/>
  <c r="I585" i="4"/>
  <c r="J585" i="4"/>
  <c r="K585" i="4"/>
  <c r="L585" i="4"/>
  <c r="M585" i="4"/>
  <c r="N585" i="4"/>
  <c r="O585" i="4"/>
  <c r="B586" i="4"/>
  <c r="C586" i="4"/>
  <c r="D586" i="4"/>
  <c r="E586" i="4"/>
  <c r="F586" i="4"/>
  <c r="G586" i="4"/>
  <c r="H586" i="4"/>
  <c r="I586" i="4"/>
  <c r="J586" i="4"/>
  <c r="K586" i="4"/>
  <c r="L586" i="4"/>
  <c r="M586" i="4"/>
  <c r="N586" i="4"/>
  <c r="O586" i="4"/>
  <c r="B587" i="4"/>
  <c r="C587" i="4"/>
  <c r="D587" i="4"/>
  <c r="E587" i="4"/>
  <c r="F587" i="4"/>
  <c r="G587" i="4"/>
  <c r="H587" i="4"/>
  <c r="I587" i="4"/>
  <c r="J587" i="4"/>
  <c r="K587" i="4"/>
  <c r="L587" i="4"/>
  <c r="M587" i="4"/>
  <c r="N587" i="4"/>
  <c r="O587" i="4"/>
  <c r="B588" i="4"/>
  <c r="C588" i="4"/>
  <c r="D588" i="4"/>
  <c r="E588" i="4"/>
  <c r="F588" i="4"/>
  <c r="G588" i="4"/>
  <c r="H588" i="4"/>
  <c r="I588" i="4"/>
  <c r="J588" i="4"/>
  <c r="K588" i="4"/>
  <c r="L588" i="4"/>
  <c r="M588" i="4"/>
  <c r="N588" i="4"/>
  <c r="O588" i="4"/>
  <c r="B589" i="4"/>
  <c r="C589" i="4"/>
  <c r="D589" i="4"/>
  <c r="E589" i="4"/>
  <c r="F589" i="4"/>
  <c r="G589" i="4"/>
  <c r="H589" i="4"/>
  <c r="I589" i="4"/>
  <c r="J589" i="4"/>
  <c r="K589" i="4"/>
  <c r="L589" i="4"/>
  <c r="M589" i="4"/>
  <c r="N589" i="4"/>
  <c r="O589" i="4"/>
  <c r="B590" i="4"/>
  <c r="C590" i="4"/>
  <c r="D590" i="4"/>
  <c r="E590" i="4"/>
  <c r="F590" i="4"/>
  <c r="G590" i="4"/>
  <c r="H590" i="4"/>
  <c r="I590" i="4"/>
  <c r="J590" i="4"/>
  <c r="K590" i="4"/>
  <c r="L590" i="4"/>
  <c r="M590" i="4"/>
  <c r="N590" i="4"/>
  <c r="O590" i="4"/>
  <c r="B591" i="4"/>
  <c r="C591" i="4"/>
  <c r="D591" i="4"/>
  <c r="E591" i="4"/>
  <c r="F591" i="4"/>
  <c r="G591" i="4"/>
  <c r="H591" i="4"/>
  <c r="I591" i="4"/>
  <c r="J591" i="4"/>
  <c r="K591" i="4"/>
  <c r="L591" i="4"/>
  <c r="M591" i="4"/>
  <c r="N591" i="4"/>
  <c r="O591" i="4"/>
  <c r="B592" i="4"/>
  <c r="C592" i="4"/>
  <c r="D592" i="4"/>
  <c r="E592" i="4"/>
  <c r="F592" i="4"/>
  <c r="G592" i="4"/>
  <c r="H592" i="4"/>
  <c r="I592" i="4"/>
  <c r="J592" i="4"/>
  <c r="K592" i="4"/>
  <c r="L592" i="4"/>
  <c r="M592" i="4"/>
  <c r="N592" i="4"/>
  <c r="O592" i="4"/>
  <c r="B593" i="4"/>
  <c r="C593" i="4"/>
  <c r="D593" i="4"/>
  <c r="E593" i="4"/>
  <c r="F593" i="4"/>
  <c r="G593" i="4"/>
  <c r="H593" i="4"/>
  <c r="I593" i="4"/>
  <c r="J593" i="4"/>
  <c r="K593" i="4"/>
  <c r="L593" i="4"/>
  <c r="M593" i="4"/>
  <c r="N593" i="4"/>
  <c r="O593" i="4"/>
  <c r="B594" i="4"/>
  <c r="C594" i="4"/>
  <c r="D594" i="4"/>
  <c r="E594" i="4"/>
  <c r="F594" i="4"/>
  <c r="G594" i="4"/>
  <c r="H594" i="4"/>
  <c r="I594" i="4"/>
  <c r="J594" i="4"/>
  <c r="K594" i="4"/>
  <c r="L594" i="4"/>
  <c r="M594" i="4"/>
  <c r="N594" i="4"/>
  <c r="O594" i="4"/>
  <c r="B595" i="4"/>
  <c r="C595" i="4"/>
  <c r="D595" i="4"/>
  <c r="E595" i="4"/>
  <c r="F595" i="4"/>
  <c r="G595" i="4"/>
  <c r="H595" i="4"/>
  <c r="I595" i="4"/>
  <c r="J595" i="4"/>
  <c r="K595" i="4"/>
  <c r="L595" i="4"/>
  <c r="M595" i="4"/>
  <c r="N595" i="4"/>
  <c r="O595" i="4"/>
  <c r="B596" i="4"/>
  <c r="C596" i="4"/>
  <c r="D596" i="4"/>
  <c r="E596" i="4"/>
  <c r="F596" i="4"/>
  <c r="G596" i="4"/>
  <c r="H596" i="4"/>
  <c r="I596" i="4"/>
  <c r="J596" i="4"/>
  <c r="K596" i="4"/>
  <c r="L596" i="4"/>
  <c r="M596" i="4"/>
  <c r="N596" i="4"/>
  <c r="O596" i="4"/>
  <c r="B597" i="4"/>
  <c r="C597" i="4"/>
  <c r="D597" i="4"/>
  <c r="E597" i="4"/>
  <c r="F597" i="4"/>
  <c r="G597" i="4"/>
  <c r="H597" i="4"/>
  <c r="I597" i="4"/>
  <c r="J597" i="4"/>
  <c r="K597" i="4"/>
  <c r="L597" i="4"/>
  <c r="M597" i="4"/>
  <c r="N597" i="4"/>
  <c r="O597" i="4"/>
  <c r="B598" i="4"/>
  <c r="C598" i="4"/>
  <c r="D598" i="4"/>
  <c r="E598" i="4"/>
  <c r="F598" i="4"/>
  <c r="G598" i="4"/>
  <c r="H598" i="4"/>
  <c r="I598" i="4"/>
  <c r="J598" i="4"/>
  <c r="K598" i="4"/>
  <c r="L598" i="4"/>
  <c r="M598" i="4"/>
  <c r="N598" i="4"/>
  <c r="O598" i="4"/>
  <c r="B599" i="4"/>
  <c r="C599" i="4"/>
  <c r="D599" i="4"/>
  <c r="E599" i="4"/>
  <c r="F599" i="4"/>
  <c r="G599" i="4"/>
  <c r="H599" i="4"/>
  <c r="I599" i="4"/>
  <c r="J599" i="4"/>
  <c r="K599" i="4"/>
  <c r="L599" i="4"/>
  <c r="M599" i="4"/>
  <c r="N599" i="4"/>
  <c r="O599" i="4"/>
  <c r="B600" i="4"/>
  <c r="C600" i="4"/>
  <c r="D600" i="4"/>
  <c r="E600" i="4"/>
  <c r="F600" i="4"/>
  <c r="G600" i="4"/>
  <c r="H600" i="4"/>
  <c r="I600" i="4"/>
  <c r="J600" i="4"/>
  <c r="K600" i="4"/>
  <c r="L600" i="4"/>
  <c r="M600" i="4"/>
  <c r="N600" i="4"/>
  <c r="O600" i="4"/>
  <c r="B601" i="4"/>
  <c r="C601" i="4"/>
  <c r="D601" i="4"/>
  <c r="E601" i="4"/>
  <c r="F601" i="4"/>
  <c r="G601" i="4"/>
  <c r="H601" i="4"/>
  <c r="I601" i="4"/>
  <c r="J601" i="4"/>
  <c r="K601" i="4"/>
  <c r="L601" i="4"/>
  <c r="M601" i="4"/>
  <c r="N601" i="4"/>
  <c r="O601" i="4"/>
  <c r="B602" i="4"/>
  <c r="C602" i="4"/>
  <c r="D602" i="4"/>
  <c r="E602" i="4"/>
  <c r="F602" i="4"/>
  <c r="G602" i="4"/>
  <c r="H602" i="4"/>
  <c r="I602" i="4"/>
  <c r="J602" i="4"/>
  <c r="K602" i="4"/>
  <c r="L602" i="4"/>
  <c r="M602" i="4"/>
  <c r="N602" i="4"/>
  <c r="O602" i="4"/>
  <c r="B603" i="4"/>
  <c r="C603" i="4"/>
  <c r="D603" i="4"/>
  <c r="E603" i="4"/>
  <c r="F603" i="4"/>
  <c r="G603" i="4"/>
  <c r="H603" i="4"/>
  <c r="I603" i="4"/>
  <c r="J603" i="4"/>
  <c r="K603" i="4"/>
  <c r="L603" i="4"/>
  <c r="M603" i="4"/>
  <c r="N603" i="4"/>
  <c r="O603" i="4"/>
  <c r="B604" i="4"/>
  <c r="C604" i="4"/>
  <c r="D604" i="4"/>
  <c r="E604" i="4"/>
  <c r="F604" i="4"/>
  <c r="G604" i="4"/>
  <c r="H604" i="4"/>
  <c r="I604" i="4"/>
  <c r="J604" i="4"/>
  <c r="K604" i="4"/>
  <c r="L604" i="4"/>
  <c r="M604" i="4"/>
  <c r="N604" i="4"/>
  <c r="O604" i="4"/>
  <c r="B605" i="4"/>
  <c r="C605" i="4"/>
  <c r="D605" i="4"/>
  <c r="E605" i="4"/>
  <c r="F605" i="4"/>
  <c r="G605" i="4"/>
  <c r="H605" i="4"/>
  <c r="I605" i="4"/>
  <c r="J605" i="4"/>
  <c r="K605" i="4"/>
  <c r="L605" i="4"/>
  <c r="M605" i="4"/>
  <c r="N605" i="4"/>
  <c r="O605" i="4"/>
  <c r="B606" i="4"/>
  <c r="C606" i="4"/>
  <c r="D606" i="4"/>
  <c r="E606" i="4"/>
  <c r="F606" i="4"/>
  <c r="G606" i="4"/>
  <c r="H606" i="4"/>
  <c r="I606" i="4"/>
  <c r="J606" i="4"/>
  <c r="K606" i="4"/>
  <c r="L606" i="4"/>
  <c r="M606" i="4"/>
  <c r="N606" i="4"/>
  <c r="O606" i="4"/>
  <c r="B607" i="4"/>
  <c r="C607" i="4"/>
  <c r="D607" i="4"/>
  <c r="E607" i="4"/>
  <c r="F607" i="4"/>
  <c r="G607" i="4"/>
  <c r="H607" i="4"/>
  <c r="I607" i="4"/>
  <c r="J607" i="4"/>
  <c r="K607" i="4"/>
  <c r="L607" i="4"/>
  <c r="M607" i="4"/>
  <c r="N607" i="4"/>
  <c r="O607" i="4"/>
  <c r="B608" i="4"/>
  <c r="C608" i="4"/>
  <c r="D608" i="4"/>
  <c r="E608" i="4"/>
  <c r="F608" i="4"/>
  <c r="G608" i="4"/>
  <c r="H608" i="4"/>
  <c r="I608" i="4"/>
  <c r="J608" i="4"/>
  <c r="K608" i="4"/>
  <c r="L608" i="4"/>
  <c r="M608" i="4"/>
  <c r="N608" i="4"/>
  <c r="O608" i="4"/>
  <c r="B609" i="4"/>
  <c r="C609" i="4"/>
  <c r="D609" i="4"/>
  <c r="E609" i="4"/>
  <c r="F609" i="4"/>
  <c r="G609" i="4"/>
  <c r="H609" i="4"/>
  <c r="I609" i="4"/>
  <c r="J609" i="4"/>
  <c r="K609" i="4"/>
  <c r="L609" i="4"/>
  <c r="M609" i="4"/>
  <c r="N609" i="4"/>
  <c r="O609" i="4"/>
  <c r="B610" i="4"/>
  <c r="C610" i="4"/>
  <c r="D610" i="4"/>
  <c r="E610" i="4"/>
  <c r="F610" i="4"/>
  <c r="G610" i="4"/>
  <c r="H610" i="4"/>
  <c r="I610" i="4"/>
  <c r="J610" i="4"/>
  <c r="K610" i="4"/>
  <c r="L610" i="4"/>
  <c r="M610" i="4"/>
  <c r="N610" i="4"/>
  <c r="O610" i="4"/>
  <c r="B611" i="4"/>
  <c r="C611" i="4"/>
  <c r="D611" i="4"/>
  <c r="E611" i="4"/>
  <c r="F611" i="4"/>
  <c r="G611" i="4"/>
  <c r="H611" i="4"/>
  <c r="I611" i="4"/>
  <c r="J611" i="4"/>
  <c r="K611" i="4"/>
  <c r="L611" i="4"/>
  <c r="M611" i="4"/>
  <c r="N611" i="4"/>
  <c r="O611" i="4"/>
  <c r="B612" i="4"/>
  <c r="C612" i="4"/>
  <c r="D612" i="4"/>
  <c r="E612" i="4"/>
  <c r="F612" i="4"/>
  <c r="G612" i="4"/>
  <c r="H612" i="4"/>
  <c r="I612" i="4"/>
  <c r="J612" i="4"/>
  <c r="K612" i="4"/>
  <c r="L612" i="4"/>
  <c r="M612" i="4"/>
  <c r="N612" i="4"/>
  <c r="O612" i="4"/>
  <c r="B613" i="4"/>
  <c r="C613" i="4"/>
  <c r="D613" i="4"/>
  <c r="E613" i="4"/>
  <c r="F613" i="4"/>
  <c r="G613" i="4"/>
  <c r="H613" i="4"/>
  <c r="I613" i="4"/>
  <c r="J613" i="4"/>
  <c r="K613" i="4"/>
  <c r="L613" i="4"/>
  <c r="M613" i="4"/>
  <c r="N613" i="4"/>
  <c r="O613" i="4"/>
  <c r="B614" i="4"/>
  <c r="C614" i="4"/>
  <c r="D614" i="4"/>
  <c r="E614" i="4"/>
  <c r="F614" i="4"/>
  <c r="G614" i="4"/>
  <c r="H614" i="4"/>
  <c r="I614" i="4"/>
  <c r="J614" i="4"/>
  <c r="K614" i="4"/>
  <c r="L614" i="4"/>
  <c r="M614" i="4"/>
  <c r="N614" i="4"/>
  <c r="O614" i="4"/>
  <c r="B615" i="4"/>
  <c r="C615" i="4"/>
  <c r="D615" i="4"/>
  <c r="E615" i="4"/>
  <c r="F615" i="4"/>
  <c r="G615" i="4"/>
  <c r="H615" i="4"/>
  <c r="I615" i="4"/>
  <c r="J615" i="4"/>
  <c r="K615" i="4"/>
  <c r="L615" i="4"/>
  <c r="M615" i="4"/>
  <c r="N615" i="4"/>
  <c r="O615" i="4"/>
  <c r="B616" i="4"/>
  <c r="C616" i="4"/>
  <c r="D616" i="4"/>
  <c r="E616" i="4"/>
  <c r="F616" i="4"/>
  <c r="G616" i="4"/>
  <c r="H616" i="4"/>
  <c r="I616" i="4"/>
  <c r="J616" i="4"/>
  <c r="K616" i="4"/>
  <c r="L616" i="4"/>
  <c r="M616" i="4"/>
  <c r="N616" i="4"/>
  <c r="O616" i="4"/>
  <c r="B617" i="4"/>
  <c r="C617" i="4"/>
  <c r="D617" i="4"/>
  <c r="E617" i="4"/>
  <c r="F617" i="4"/>
  <c r="G617" i="4"/>
  <c r="H617" i="4"/>
  <c r="I617" i="4"/>
  <c r="J617" i="4"/>
  <c r="K617" i="4"/>
  <c r="L617" i="4"/>
  <c r="M617" i="4"/>
  <c r="N617" i="4"/>
  <c r="O617" i="4"/>
  <c r="B618" i="4"/>
  <c r="C618" i="4"/>
  <c r="D618" i="4"/>
  <c r="E618" i="4"/>
  <c r="F618" i="4"/>
  <c r="G618" i="4"/>
  <c r="H618" i="4"/>
  <c r="I618" i="4"/>
  <c r="J618" i="4"/>
  <c r="K618" i="4"/>
  <c r="L618" i="4"/>
  <c r="M618" i="4"/>
  <c r="N618" i="4"/>
  <c r="O618" i="4"/>
  <c r="B619" i="4"/>
  <c r="C619" i="4"/>
  <c r="D619" i="4"/>
  <c r="E619" i="4"/>
  <c r="F619" i="4"/>
  <c r="G619" i="4"/>
  <c r="H619" i="4"/>
  <c r="I619" i="4"/>
  <c r="J619" i="4"/>
  <c r="K619" i="4"/>
  <c r="L619" i="4"/>
  <c r="M619" i="4"/>
  <c r="N619" i="4"/>
  <c r="O619" i="4"/>
  <c r="B620" i="4"/>
  <c r="C620" i="4"/>
  <c r="D620" i="4"/>
  <c r="E620" i="4"/>
  <c r="F620" i="4"/>
  <c r="G620" i="4"/>
  <c r="H620" i="4"/>
  <c r="I620" i="4"/>
  <c r="J620" i="4"/>
  <c r="K620" i="4"/>
  <c r="L620" i="4"/>
  <c r="M620" i="4"/>
  <c r="N620" i="4"/>
  <c r="O620" i="4"/>
  <c r="B621" i="4"/>
  <c r="C621" i="4"/>
  <c r="D621" i="4"/>
  <c r="E621" i="4"/>
  <c r="F621" i="4"/>
  <c r="G621" i="4"/>
  <c r="H621" i="4"/>
  <c r="I621" i="4"/>
  <c r="J621" i="4"/>
  <c r="K621" i="4"/>
  <c r="L621" i="4"/>
  <c r="M621" i="4"/>
  <c r="N621" i="4"/>
  <c r="O621" i="4"/>
  <c r="B622" i="4"/>
  <c r="C622" i="4"/>
  <c r="D622" i="4"/>
  <c r="E622" i="4"/>
  <c r="F622" i="4"/>
  <c r="G622" i="4"/>
  <c r="H622" i="4"/>
  <c r="I622" i="4"/>
  <c r="J622" i="4"/>
  <c r="K622" i="4"/>
  <c r="L622" i="4"/>
  <c r="M622" i="4"/>
  <c r="N622" i="4"/>
  <c r="O622" i="4"/>
  <c r="B623" i="4"/>
  <c r="C623" i="4"/>
  <c r="D623" i="4"/>
  <c r="E623" i="4"/>
  <c r="F623" i="4"/>
  <c r="G623" i="4"/>
  <c r="H623" i="4"/>
  <c r="I623" i="4"/>
  <c r="J623" i="4"/>
  <c r="K623" i="4"/>
  <c r="L623" i="4"/>
  <c r="M623" i="4"/>
  <c r="N623" i="4"/>
  <c r="O623" i="4"/>
  <c r="B624" i="4"/>
  <c r="C624" i="4"/>
  <c r="D624" i="4"/>
  <c r="E624" i="4"/>
  <c r="F624" i="4"/>
  <c r="G624" i="4"/>
  <c r="H624" i="4"/>
  <c r="I624" i="4"/>
  <c r="J624" i="4"/>
  <c r="K624" i="4"/>
  <c r="L624" i="4"/>
  <c r="M624" i="4"/>
  <c r="N624" i="4"/>
  <c r="O624" i="4"/>
  <c r="B625" i="4"/>
  <c r="C625" i="4"/>
  <c r="D625" i="4"/>
  <c r="E625" i="4"/>
  <c r="F625" i="4"/>
  <c r="G625" i="4"/>
  <c r="H625" i="4"/>
  <c r="I625" i="4"/>
  <c r="J625" i="4"/>
  <c r="K625" i="4"/>
  <c r="L625" i="4"/>
  <c r="M625" i="4"/>
  <c r="N625" i="4"/>
  <c r="O625" i="4"/>
  <c r="B626" i="4"/>
  <c r="C626" i="4"/>
  <c r="D626" i="4"/>
  <c r="E626" i="4"/>
  <c r="F626" i="4"/>
  <c r="G626" i="4"/>
  <c r="H626" i="4"/>
  <c r="I626" i="4"/>
  <c r="J626" i="4"/>
  <c r="K626" i="4"/>
  <c r="L626" i="4"/>
  <c r="M626" i="4"/>
  <c r="N626" i="4"/>
  <c r="O626" i="4"/>
  <c r="B627" i="4"/>
  <c r="C627" i="4"/>
  <c r="D627" i="4"/>
  <c r="E627" i="4"/>
  <c r="F627" i="4"/>
  <c r="G627" i="4"/>
  <c r="H627" i="4"/>
  <c r="I627" i="4"/>
  <c r="J627" i="4"/>
  <c r="K627" i="4"/>
  <c r="L627" i="4"/>
  <c r="M627" i="4"/>
  <c r="N627" i="4"/>
  <c r="O627" i="4"/>
  <c r="B628" i="4"/>
  <c r="C628" i="4"/>
  <c r="D628" i="4"/>
  <c r="E628" i="4"/>
  <c r="F628" i="4"/>
  <c r="G628" i="4"/>
  <c r="H628" i="4"/>
  <c r="I628" i="4"/>
  <c r="J628" i="4"/>
  <c r="K628" i="4"/>
  <c r="L628" i="4"/>
  <c r="M628" i="4"/>
  <c r="N628" i="4"/>
  <c r="O628" i="4"/>
  <c r="B629" i="4"/>
  <c r="C629" i="4"/>
  <c r="D629" i="4"/>
  <c r="E629" i="4"/>
  <c r="F629" i="4"/>
  <c r="G629" i="4"/>
  <c r="H629" i="4"/>
  <c r="I629" i="4"/>
  <c r="J629" i="4"/>
  <c r="K629" i="4"/>
  <c r="L629" i="4"/>
  <c r="M629" i="4"/>
  <c r="N629" i="4"/>
  <c r="O629" i="4"/>
  <c r="B630" i="4"/>
  <c r="C630" i="4"/>
  <c r="D630" i="4"/>
  <c r="E630" i="4"/>
  <c r="F630" i="4"/>
  <c r="G630" i="4"/>
  <c r="H630" i="4"/>
  <c r="I630" i="4"/>
  <c r="J630" i="4"/>
  <c r="K630" i="4"/>
  <c r="L630" i="4"/>
  <c r="M630" i="4"/>
  <c r="N630" i="4"/>
  <c r="O630" i="4"/>
  <c r="B631" i="4"/>
  <c r="C631" i="4"/>
  <c r="D631" i="4"/>
  <c r="E631" i="4"/>
  <c r="F631" i="4"/>
  <c r="G631" i="4"/>
  <c r="H631" i="4"/>
  <c r="I631" i="4"/>
  <c r="J631" i="4"/>
  <c r="K631" i="4"/>
  <c r="L631" i="4"/>
  <c r="M631" i="4"/>
  <c r="N631" i="4"/>
  <c r="O631" i="4"/>
  <c r="B632" i="4"/>
  <c r="C632" i="4"/>
  <c r="D632" i="4"/>
  <c r="E632" i="4"/>
  <c r="F632" i="4"/>
  <c r="G632" i="4"/>
  <c r="H632" i="4"/>
  <c r="I632" i="4"/>
  <c r="J632" i="4"/>
  <c r="K632" i="4"/>
  <c r="L632" i="4"/>
  <c r="M632" i="4"/>
  <c r="N632" i="4"/>
  <c r="O632" i="4"/>
  <c r="B633" i="4"/>
  <c r="C633" i="4"/>
  <c r="D633" i="4"/>
  <c r="E633" i="4"/>
  <c r="F633" i="4"/>
  <c r="G633" i="4"/>
  <c r="H633" i="4"/>
  <c r="I633" i="4"/>
  <c r="J633" i="4"/>
  <c r="K633" i="4"/>
  <c r="L633" i="4"/>
  <c r="M633" i="4"/>
  <c r="N633" i="4"/>
  <c r="O633" i="4"/>
  <c r="B634" i="4"/>
  <c r="C634" i="4"/>
  <c r="D634" i="4"/>
  <c r="E634" i="4"/>
  <c r="F634" i="4"/>
  <c r="G634" i="4"/>
  <c r="H634" i="4"/>
  <c r="I634" i="4"/>
  <c r="J634" i="4"/>
  <c r="K634" i="4"/>
  <c r="L634" i="4"/>
  <c r="M634" i="4"/>
  <c r="N634" i="4"/>
  <c r="O634" i="4"/>
  <c r="B635" i="4"/>
  <c r="C635" i="4"/>
  <c r="D635" i="4"/>
  <c r="E635" i="4"/>
  <c r="F635" i="4"/>
  <c r="G635" i="4"/>
  <c r="H635" i="4"/>
  <c r="I635" i="4"/>
  <c r="J635" i="4"/>
  <c r="K635" i="4"/>
  <c r="L635" i="4"/>
  <c r="M635" i="4"/>
  <c r="N635" i="4"/>
  <c r="O635" i="4"/>
  <c r="B636" i="4"/>
  <c r="C636" i="4"/>
  <c r="D636" i="4"/>
  <c r="E636" i="4"/>
  <c r="F636" i="4"/>
  <c r="G636" i="4"/>
  <c r="H636" i="4"/>
  <c r="I636" i="4"/>
  <c r="J636" i="4"/>
  <c r="K636" i="4"/>
  <c r="L636" i="4"/>
  <c r="M636" i="4"/>
  <c r="N636" i="4"/>
  <c r="O636" i="4"/>
  <c r="B637" i="4"/>
  <c r="C637" i="4"/>
  <c r="D637" i="4"/>
  <c r="E637" i="4"/>
  <c r="F637" i="4"/>
  <c r="G637" i="4"/>
  <c r="H637" i="4"/>
  <c r="I637" i="4"/>
  <c r="J637" i="4"/>
  <c r="K637" i="4"/>
  <c r="L637" i="4"/>
  <c r="M637" i="4"/>
  <c r="N637" i="4"/>
  <c r="O637" i="4"/>
  <c r="B638" i="4"/>
  <c r="C638" i="4"/>
  <c r="D638" i="4"/>
  <c r="E638" i="4"/>
  <c r="F638" i="4"/>
  <c r="G638" i="4"/>
  <c r="H638" i="4"/>
  <c r="I638" i="4"/>
  <c r="J638" i="4"/>
  <c r="K638" i="4"/>
  <c r="L638" i="4"/>
  <c r="M638" i="4"/>
  <c r="N638" i="4"/>
  <c r="O638" i="4"/>
  <c r="B639" i="4"/>
  <c r="C639" i="4"/>
  <c r="D639" i="4"/>
  <c r="E639" i="4"/>
  <c r="F639" i="4"/>
  <c r="G639" i="4"/>
  <c r="H639" i="4"/>
  <c r="I639" i="4"/>
  <c r="J639" i="4"/>
  <c r="K639" i="4"/>
  <c r="L639" i="4"/>
  <c r="M639" i="4"/>
  <c r="N639" i="4"/>
  <c r="O639" i="4"/>
  <c r="B640" i="4"/>
  <c r="C640" i="4"/>
  <c r="D640" i="4"/>
  <c r="E640" i="4"/>
  <c r="F640" i="4"/>
  <c r="G640" i="4"/>
  <c r="H640" i="4"/>
  <c r="I640" i="4"/>
  <c r="J640" i="4"/>
  <c r="K640" i="4"/>
  <c r="L640" i="4"/>
  <c r="M640" i="4"/>
  <c r="N640" i="4"/>
  <c r="O640" i="4"/>
  <c r="B641" i="4"/>
  <c r="C641" i="4"/>
  <c r="D641" i="4"/>
  <c r="E641" i="4"/>
  <c r="F641" i="4"/>
  <c r="G641" i="4"/>
  <c r="H641" i="4"/>
  <c r="I641" i="4"/>
  <c r="J641" i="4"/>
  <c r="K641" i="4"/>
  <c r="L641" i="4"/>
  <c r="M641" i="4"/>
  <c r="N641" i="4"/>
  <c r="O641" i="4"/>
  <c r="B642" i="4"/>
  <c r="C642" i="4"/>
  <c r="D642" i="4"/>
  <c r="E642" i="4"/>
  <c r="F642" i="4"/>
  <c r="G642" i="4"/>
  <c r="H642" i="4"/>
  <c r="I642" i="4"/>
  <c r="J642" i="4"/>
  <c r="K642" i="4"/>
  <c r="L642" i="4"/>
  <c r="M642" i="4"/>
  <c r="N642" i="4"/>
  <c r="O642" i="4"/>
  <c r="B643" i="4"/>
  <c r="C643" i="4"/>
  <c r="D643" i="4"/>
  <c r="E643" i="4"/>
  <c r="F643" i="4"/>
  <c r="G643" i="4"/>
  <c r="H643" i="4"/>
  <c r="I643" i="4"/>
  <c r="J643" i="4"/>
  <c r="K643" i="4"/>
  <c r="L643" i="4"/>
  <c r="M643" i="4"/>
  <c r="N643" i="4"/>
  <c r="O643" i="4"/>
  <c r="B644" i="4"/>
  <c r="C644" i="4"/>
  <c r="D644" i="4"/>
  <c r="E644" i="4"/>
  <c r="F644" i="4"/>
  <c r="G644" i="4"/>
  <c r="H644" i="4"/>
  <c r="I644" i="4"/>
  <c r="J644" i="4"/>
  <c r="K644" i="4"/>
  <c r="L644" i="4"/>
  <c r="M644" i="4"/>
  <c r="N644" i="4"/>
  <c r="O644" i="4"/>
  <c r="B645" i="4"/>
  <c r="C645" i="4"/>
  <c r="D645" i="4"/>
  <c r="E645" i="4"/>
  <c r="F645" i="4"/>
  <c r="G645" i="4"/>
  <c r="H645" i="4"/>
  <c r="I645" i="4"/>
  <c r="J645" i="4"/>
  <c r="K645" i="4"/>
  <c r="L645" i="4"/>
  <c r="M645" i="4"/>
  <c r="N645" i="4"/>
  <c r="O645" i="4"/>
  <c r="B646" i="4"/>
  <c r="C646" i="4"/>
  <c r="D646" i="4"/>
  <c r="E646" i="4"/>
  <c r="F646" i="4"/>
  <c r="G646" i="4"/>
  <c r="H646" i="4"/>
  <c r="I646" i="4"/>
  <c r="J646" i="4"/>
  <c r="K646" i="4"/>
  <c r="L646" i="4"/>
  <c r="M646" i="4"/>
  <c r="N646" i="4"/>
  <c r="O646" i="4"/>
  <c r="B647" i="4"/>
  <c r="C647" i="4"/>
  <c r="D647" i="4"/>
  <c r="E647" i="4"/>
  <c r="F647" i="4"/>
  <c r="G647" i="4"/>
  <c r="H647" i="4"/>
  <c r="I647" i="4"/>
  <c r="J647" i="4"/>
  <c r="K647" i="4"/>
  <c r="L647" i="4"/>
  <c r="M647" i="4"/>
  <c r="N647" i="4"/>
  <c r="O647" i="4"/>
  <c r="B648" i="4"/>
  <c r="C648" i="4"/>
  <c r="D648" i="4"/>
  <c r="E648" i="4"/>
  <c r="F648" i="4"/>
  <c r="G648" i="4"/>
  <c r="H648" i="4"/>
  <c r="I648" i="4"/>
  <c r="J648" i="4"/>
  <c r="K648" i="4"/>
  <c r="L648" i="4"/>
  <c r="M648" i="4"/>
  <c r="N648" i="4"/>
  <c r="O648" i="4"/>
  <c r="B649" i="4"/>
  <c r="C649" i="4"/>
  <c r="D649" i="4"/>
  <c r="E649" i="4"/>
  <c r="F649" i="4"/>
  <c r="G649" i="4"/>
  <c r="H649" i="4"/>
  <c r="I649" i="4"/>
  <c r="J649" i="4"/>
  <c r="K649" i="4"/>
  <c r="L649" i="4"/>
  <c r="M649" i="4"/>
  <c r="N649" i="4"/>
  <c r="O649" i="4"/>
  <c r="B650" i="4"/>
  <c r="C650" i="4"/>
  <c r="D650" i="4"/>
  <c r="E650" i="4"/>
  <c r="F650" i="4"/>
  <c r="G650" i="4"/>
  <c r="H650" i="4"/>
  <c r="I650" i="4"/>
  <c r="J650" i="4"/>
  <c r="K650" i="4"/>
  <c r="L650" i="4"/>
  <c r="M650" i="4"/>
  <c r="N650" i="4"/>
  <c r="O650" i="4"/>
  <c r="B651" i="4"/>
  <c r="C651" i="4"/>
  <c r="D651" i="4"/>
  <c r="E651" i="4"/>
  <c r="F651" i="4"/>
  <c r="G651" i="4"/>
  <c r="H651" i="4"/>
  <c r="I651" i="4"/>
  <c r="J651" i="4"/>
  <c r="K651" i="4"/>
  <c r="L651" i="4"/>
  <c r="M651" i="4"/>
  <c r="N651" i="4"/>
  <c r="O651" i="4"/>
  <c r="B652" i="4"/>
  <c r="C652" i="4"/>
  <c r="D652" i="4"/>
  <c r="E652" i="4"/>
  <c r="F652" i="4"/>
  <c r="G652" i="4"/>
  <c r="H652" i="4"/>
  <c r="I652" i="4"/>
  <c r="J652" i="4"/>
  <c r="K652" i="4"/>
  <c r="L652" i="4"/>
  <c r="M652" i="4"/>
  <c r="N652" i="4"/>
  <c r="O652" i="4"/>
  <c r="B653" i="4"/>
  <c r="C653" i="4"/>
  <c r="D653" i="4"/>
  <c r="E653" i="4"/>
  <c r="F653" i="4"/>
  <c r="G653" i="4"/>
  <c r="H653" i="4"/>
  <c r="I653" i="4"/>
  <c r="J653" i="4"/>
  <c r="K653" i="4"/>
  <c r="L653" i="4"/>
  <c r="M653" i="4"/>
  <c r="N653" i="4"/>
  <c r="O653" i="4"/>
  <c r="B654" i="4"/>
  <c r="C654" i="4"/>
  <c r="D654" i="4"/>
  <c r="E654" i="4"/>
  <c r="F654" i="4"/>
  <c r="G654" i="4"/>
  <c r="H654" i="4"/>
  <c r="I654" i="4"/>
  <c r="J654" i="4"/>
  <c r="K654" i="4"/>
  <c r="L654" i="4"/>
  <c r="M654" i="4"/>
  <c r="N654" i="4"/>
  <c r="O654" i="4"/>
  <c r="B655" i="4"/>
  <c r="C655" i="4"/>
  <c r="D655" i="4"/>
  <c r="E655" i="4"/>
  <c r="F655" i="4"/>
  <c r="G655" i="4"/>
  <c r="H655" i="4"/>
  <c r="I655" i="4"/>
  <c r="J655" i="4"/>
  <c r="K655" i="4"/>
  <c r="L655" i="4"/>
  <c r="M655" i="4"/>
  <c r="N655" i="4"/>
  <c r="O655" i="4"/>
  <c r="B656" i="4"/>
  <c r="C656" i="4"/>
  <c r="D656" i="4"/>
  <c r="E656" i="4"/>
  <c r="F656" i="4"/>
  <c r="G656" i="4"/>
  <c r="H656" i="4"/>
  <c r="I656" i="4"/>
  <c r="J656" i="4"/>
  <c r="K656" i="4"/>
  <c r="L656" i="4"/>
  <c r="M656" i="4"/>
  <c r="N656" i="4"/>
  <c r="O656" i="4"/>
  <c r="B657" i="4"/>
  <c r="C657" i="4"/>
  <c r="D657" i="4"/>
  <c r="E657" i="4"/>
  <c r="F657" i="4"/>
  <c r="G657" i="4"/>
  <c r="H657" i="4"/>
  <c r="I657" i="4"/>
  <c r="J657" i="4"/>
  <c r="K657" i="4"/>
  <c r="L657" i="4"/>
  <c r="M657" i="4"/>
  <c r="N657" i="4"/>
  <c r="O657" i="4"/>
  <c r="B658" i="4"/>
  <c r="C658" i="4"/>
  <c r="D658" i="4"/>
  <c r="E658" i="4"/>
  <c r="F658" i="4"/>
  <c r="G658" i="4"/>
  <c r="H658" i="4"/>
  <c r="I658" i="4"/>
  <c r="J658" i="4"/>
  <c r="K658" i="4"/>
  <c r="L658" i="4"/>
  <c r="M658" i="4"/>
  <c r="N658" i="4"/>
  <c r="O658" i="4"/>
  <c r="B659" i="4"/>
  <c r="C659" i="4"/>
  <c r="D659" i="4"/>
  <c r="E659" i="4"/>
  <c r="F659" i="4"/>
  <c r="G659" i="4"/>
  <c r="H659" i="4"/>
  <c r="I659" i="4"/>
  <c r="J659" i="4"/>
  <c r="K659" i="4"/>
  <c r="L659" i="4"/>
  <c r="M659" i="4"/>
  <c r="N659" i="4"/>
  <c r="O659" i="4"/>
  <c r="B660" i="4"/>
  <c r="C660" i="4"/>
  <c r="D660" i="4"/>
  <c r="E660" i="4"/>
  <c r="F660" i="4"/>
  <c r="G660" i="4"/>
  <c r="H660" i="4"/>
  <c r="I660" i="4"/>
  <c r="J660" i="4"/>
  <c r="K660" i="4"/>
  <c r="L660" i="4"/>
  <c r="M660" i="4"/>
  <c r="N660" i="4"/>
  <c r="O660" i="4"/>
  <c r="B661" i="4"/>
  <c r="C661" i="4"/>
  <c r="D661" i="4"/>
  <c r="E661" i="4"/>
  <c r="F661" i="4"/>
  <c r="G661" i="4"/>
  <c r="H661" i="4"/>
  <c r="I661" i="4"/>
  <c r="J661" i="4"/>
  <c r="K661" i="4"/>
  <c r="L661" i="4"/>
  <c r="M661" i="4"/>
  <c r="N661" i="4"/>
  <c r="O661" i="4"/>
  <c r="B662" i="4"/>
  <c r="C662" i="4"/>
  <c r="D662" i="4"/>
  <c r="E662" i="4"/>
  <c r="F662" i="4"/>
  <c r="G662" i="4"/>
  <c r="H662" i="4"/>
  <c r="I662" i="4"/>
  <c r="J662" i="4"/>
  <c r="K662" i="4"/>
  <c r="L662" i="4"/>
  <c r="M662" i="4"/>
  <c r="N662" i="4"/>
  <c r="O662" i="4"/>
  <c r="B663" i="4"/>
  <c r="C663" i="4"/>
  <c r="D663" i="4"/>
  <c r="E663" i="4"/>
  <c r="F663" i="4"/>
  <c r="G663" i="4"/>
  <c r="H663" i="4"/>
  <c r="I663" i="4"/>
  <c r="J663" i="4"/>
  <c r="K663" i="4"/>
  <c r="L663" i="4"/>
  <c r="M663" i="4"/>
  <c r="N663" i="4"/>
  <c r="O663" i="4"/>
  <c r="B664" i="4"/>
  <c r="C664" i="4"/>
  <c r="D664" i="4"/>
  <c r="E664" i="4"/>
  <c r="F664" i="4"/>
  <c r="G664" i="4"/>
  <c r="H664" i="4"/>
  <c r="I664" i="4"/>
  <c r="J664" i="4"/>
  <c r="K664" i="4"/>
  <c r="L664" i="4"/>
  <c r="M664" i="4"/>
  <c r="N664" i="4"/>
  <c r="O664" i="4"/>
  <c r="B665" i="4"/>
  <c r="C665" i="4"/>
  <c r="D665" i="4"/>
  <c r="E665" i="4"/>
  <c r="F665" i="4"/>
  <c r="G665" i="4"/>
  <c r="H665" i="4"/>
  <c r="I665" i="4"/>
  <c r="J665" i="4"/>
  <c r="K665" i="4"/>
  <c r="L665" i="4"/>
  <c r="M665" i="4"/>
  <c r="N665" i="4"/>
  <c r="O665" i="4"/>
  <c r="B666" i="4"/>
  <c r="C666" i="4"/>
  <c r="D666" i="4"/>
  <c r="E666" i="4"/>
  <c r="F666" i="4"/>
  <c r="G666" i="4"/>
  <c r="H666" i="4"/>
  <c r="I666" i="4"/>
  <c r="J666" i="4"/>
  <c r="K666" i="4"/>
  <c r="L666" i="4"/>
  <c r="M666" i="4"/>
  <c r="N666" i="4"/>
  <c r="O666" i="4"/>
  <c r="B667" i="4"/>
  <c r="C667" i="4"/>
  <c r="D667" i="4"/>
  <c r="E667" i="4"/>
  <c r="F667" i="4"/>
  <c r="G667" i="4"/>
  <c r="H667" i="4"/>
  <c r="I667" i="4"/>
  <c r="J667" i="4"/>
  <c r="K667" i="4"/>
  <c r="L667" i="4"/>
  <c r="M667" i="4"/>
  <c r="N667" i="4"/>
  <c r="O667" i="4"/>
  <c r="B668" i="4"/>
  <c r="C668" i="4"/>
  <c r="D668" i="4"/>
  <c r="E668" i="4"/>
  <c r="F668" i="4"/>
  <c r="G668" i="4"/>
  <c r="H668" i="4"/>
  <c r="I668" i="4"/>
  <c r="J668" i="4"/>
  <c r="K668" i="4"/>
  <c r="L668" i="4"/>
  <c r="M668" i="4"/>
  <c r="N668" i="4"/>
  <c r="O668" i="4"/>
  <c r="B669" i="4"/>
  <c r="C669" i="4"/>
  <c r="D669" i="4"/>
  <c r="E669" i="4"/>
  <c r="F669" i="4"/>
  <c r="G669" i="4"/>
  <c r="H669" i="4"/>
  <c r="I669" i="4"/>
  <c r="J669" i="4"/>
  <c r="K669" i="4"/>
  <c r="L669" i="4"/>
  <c r="M669" i="4"/>
  <c r="N669" i="4"/>
  <c r="O669" i="4"/>
  <c r="B670" i="4"/>
  <c r="C670" i="4"/>
  <c r="D670" i="4"/>
  <c r="E670" i="4"/>
  <c r="F670" i="4"/>
  <c r="G670" i="4"/>
  <c r="H670" i="4"/>
  <c r="I670" i="4"/>
  <c r="J670" i="4"/>
  <c r="K670" i="4"/>
  <c r="L670" i="4"/>
  <c r="M670" i="4"/>
  <c r="N670" i="4"/>
  <c r="O670" i="4"/>
  <c r="B671" i="4"/>
  <c r="C671" i="4"/>
  <c r="D671" i="4"/>
  <c r="E671" i="4"/>
  <c r="F671" i="4"/>
  <c r="G671" i="4"/>
  <c r="H671" i="4"/>
  <c r="I671" i="4"/>
  <c r="J671" i="4"/>
  <c r="K671" i="4"/>
  <c r="L671" i="4"/>
  <c r="M671" i="4"/>
  <c r="N671" i="4"/>
  <c r="O671" i="4"/>
  <c r="B672" i="4"/>
  <c r="C672" i="4"/>
  <c r="D672" i="4"/>
  <c r="E672" i="4"/>
  <c r="F672" i="4"/>
  <c r="G672" i="4"/>
  <c r="H672" i="4"/>
  <c r="I672" i="4"/>
  <c r="J672" i="4"/>
  <c r="K672" i="4"/>
  <c r="L672" i="4"/>
  <c r="M672" i="4"/>
  <c r="N672" i="4"/>
  <c r="O672" i="4"/>
  <c r="B673" i="4"/>
  <c r="C673" i="4"/>
  <c r="D673" i="4"/>
  <c r="E673" i="4"/>
  <c r="F673" i="4"/>
  <c r="G673" i="4"/>
  <c r="H673" i="4"/>
  <c r="I673" i="4"/>
  <c r="J673" i="4"/>
  <c r="K673" i="4"/>
  <c r="L673" i="4"/>
  <c r="M673" i="4"/>
  <c r="N673" i="4"/>
  <c r="O673" i="4"/>
  <c r="B674" i="4"/>
  <c r="C674" i="4"/>
  <c r="D674" i="4"/>
  <c r="E674" i="4"/>
  <c r="F674" i="4"/>
  <c r="G674" i="4"/>
  <c r="H674" i="4"/>
  <c r="I674" i="4"/>
  <c r="J674" i="4"/>
  <c r="K674" i="4"/>
  <c r="L674" i="4"/>
  <c r="M674" i="4"/>
  <c r="N674" i="4"/>
  <c r="O674" i="4"/>
  <c r="B675" i="4"/>
  <c r="C675" i="4"/>
  <c r="D675" i="4"/>
  <c r="E675" i="4"/>
  <c r="F675" i="4"/>
  <c r="G675" i="4"/>
  <c r="H675" i="4"/>
  <c r="I675" i="4"/>
  <c r="J675" i="4"/>
  <c r="K675" i="4"/>
  <c r="L675" i="4"/>
  <c r="M675" i="4"/>
  <c r="N675" i="4"/>
  <c r="O675" i="4"/>
  <c r="B676" i="4"/>
  <c r="C676" i="4"/>
  <c r="D676" i="4"/>
  <c r="E676" i="4"/>
  <c r="F676" i="4"/>
  <c r="G676" i="4"/>
  <c r="H676" i="4"/>
  <c r="I676" i="4"/>
  <c r="J676" i="4"/>
  <c r="K676" i="4"/>
  <c r="L676" i="4"/>
  <c r="M676" i="4"/>
  <c r="N676" i="4"/>
  <c r="O676" i="4"/>
  <c r="B677" i="4"/>
  <c r="C677" i="4"/>
  <c r="D677" i="4"/>
  <c r="E677" i="4"/>
  <c r="F677" i="4"/>
  <c r="G677" i="4"/>
  <c r="H677" i="4"/>
  <c r="I677" i="4"/>
  <c r="J677" i="4"/>
  <c r="K677" i="4"/>
  <c r="L677" i="4"/>
  <c r="M677" i="4"/>
  <c r="N677" i="4"/>
  <c r="O677" i="4"/>
  <c r="B678" i="4"/>
  <c r="C678" i="4"/>
  <c r="D678" i="4"/>
  <c r="E678" i="4"/>
  <c r="F678" i="4"/>
  <c r="G678" i="4"/>
  <c r="H678" i="4"/>
  <c r="I678" i="4"/>
  <c r="J678" i="4"/>
  <c r="K678" i="4"/>
  <c r="L678" i="4"/>
  <c r="M678" i="4"/>
  <c r="N678" i="4"/>
  <c r="O678" i="4"/>
  <c r="B679" i="4"/>
  <c r="C679" i="4"/>
  <c r="D679" i="4"/>
  <c r="E679" i="4"/>
  <c r="F679" i="4"/>
  <c r="G679" i="4"/>
  <c r="H679" i="4"/>
  <c r="I679" i="4"/>
  <c r="J679" i="4"/>
  <c r="K679" i="4"/>
  <c r="L679" i="4"/>
  <c r="M679" i="4"/>
  <c r="N679" i="4"/>
  <c r="O679" i="4"/>
  <c r="B680" i="4"/>
  <c r="C680" i="4"/>
  <c r="D680" i="4"/>
  <c r="E680" i="4"/>
  <c r="F680" i="4"/>
  <c r="G680" i="4"/>
  <c r="H680" i="4"/>
  <c r="I680" i="4"/>
  <c r="J680" i="4"/>
  <c r="K680" i="4"/>
  <c r="L680" i="4"/>
  <c r="M680" i="4"/>
  <c r="N680" i="4"/>
  <c r="O680" i="4"/>
  <c r="B681" i="4"/>
  <c r="C681" i="4"/>
  <c r="D681" i="4"/>
  <c r="E681" i="4"/>
  <c r="F681" i="4"/>
  <c r="G681" i="4"/>
  <c r="H681" i="4"/>
  <c r="I681" i="4"/>
  <c r="J681" i="4"/>
  <c r="K681" i="4"/>
  <c r="L681" i="4"/>
  <c r="M681" i="4"/>
  <c r="N681" i="4"/>
  <c r="O681" i="4"/>
  <c r="B682" i="4"/>
  <c r="C682" i="4"/>
  <c r="D682" i="4"/>
  <c r="E682" i="4"/>
  <c r="F682" i="4"/>
  <c r="G682" i="4"/>
  <c r="H682" i="4"/>
  <c r="I682" i="4"/>
  <c r="J682" i="4"/>
  <c r="K682" i="4"/>
  <c r="L682" i="4"/>
  <c r="M682" i="4"/>
  <c r="N682" i="4"/>
  <c r="O682" i="4"/>
  <c r="B683" i="4"/>
  <c r="C683" i="4"/>
  <c r="D683" i="4"/>
  <c r="E683" i="4"/>
  <c r="F683" i="4"/>
  <c r="G683" i="4"/>
  <c r="H683" i="4"/>
  <c r="I683" i="4"/>
  <c r="J683" i="4"/>
  <c r="K683" i="4"/>
  <c r="L683" i="4"/>
  <c r="M683" i="4"/>
  <c r="N683" i="4"/>
  <c r="O683" i="4"/>
  <c r="B684" i="4"/>
  <c r="C684" i="4"/>
  <c r="D684" i="4"/>
  <c r="E684" i="4"/>
  <c r="F684" i="4"/>
  <c r="G684" i="4"/>
  <c r="H684" i="4"/>
  <c r="I684" i="4"/>
  <c r="J684" i="4"/>
  <c r="K684" i="4"/>
  <c r="L684" i="4"/>
  <c r="M684" i="4"/>
  <c r="N684" i="4"/>
  <c r="O684" i="4"/>
  <c r="B685" i="4"/>
  <c r="C685" i="4"/>
  <c r="D685" i="4"/>
  <c r="E685" i="4"/>
  <c r="F685" i="4"/>
  <c r="G685" i="4"/>
  <c r="H685" i="4"/>
  <c r="I685" i="4"/>
  <c r="J685" i="4"/>
  <c r="K685" i="4"/>
  <c r="L685" i="4"/>
  <c r="M685" i="4"/>
  <c r="N685" i="4"/>
  <c r="O685" i="4"/>
  <c r="B686" i="4"/>
  <c r="C686" i="4"/>
  <c r="D686" i="4"/>
  <c r="E686" i="4"/>
  <c r="F686" i="4"/>
  <c r="G686" i="4"/>
  <c r="H686" i="4"/>
  <c r="I686" i="4"/>
  <c r="J686" i="4"/>
  <c r="K686" i="4"/>
  <c r="L686" i="4"/>
  <c r="M686" i="4"/>
  <c r="N686" i="4"/>
  <c r="O686" i="4"/>
  <c r="B687" i="4"/>
  <c r="C687" i="4"/>
  <c r="D687" i="4"/>
  <c r="E687" i="4"/>
  <c r="F687" i="4"/>
  <c r="G687" i="4"/>
  <c r="H687" i="4"/>
  <c r="I687" i="4"/>
  <c r="J687" i="4"/>
  <c r="K687" i="4"/>
  <c r="L687" i="4"/>
  <c r="M687" i="4"/>
  <c r="N687" i="4"/>
  <c r="O687" i="4"/>
  <c r="B688" i="4"/>
  <c r="C688" i="4"/>
  <c r="D688" i="4"/>
  <c r="E688" i="4"/>
  <c r="F688" i="4"/>
  <c r="G688" i="4"/>
  <c r="H688" i="4"/>
  <c r="I688" i="4"/>
  <c r="J688" i="4"/>
  <c r="K688" i="4"/>
  <c r="L688" i="4"/>
  <c r="M688" i="4"/>
  <c r="N688" i="4"/>
  <c r="O688" i="4"/>
  <c r="B689" i="4"/>
  <c r="C689" i="4"/>
  <c r="D689" i="4"/>
  <c r="E689" i="4"/>
  <c r="F689" i="4"/>
  <c r="G689" i="4"/>
  <c r="H689" i="4"/>
  <c r="I689" i="4"/>
  <c r="J689" i="4"/>
  <c r="K689" i="4"/>
  <c r="L689" i="4"/>
  <c r="M689" i="4"/>
  <c r="N689" i="4"/>
  <c r="O689" i="4"/>
  <c r="B690" i="4"/>
  <c r="C690" i="4"/>
  <c r="D690" i="4"/>
  <c r="E690" i="4"/>
  <c r="F690" i="4"/>
  <c r="G690" i="4"/>
  <c r="H690" i="4"/>
  <c r="I690" i="4"/>
  <c r="J690" i="4"/>
  <c r="K690" i="4"/>
  <c r="L690" i="4"/>
  <c r="M690" i="4"/>
  <c r="N690" i="4"/>
  <c r="O690" i="4"/>
  <c r="B691" i="4"/>
  <c r="C691" i="4"/>
  <c r="D691" i="4"/>
  <c r="E691" i="4"/>
  <c r="F691" i="4"/>
  <c r="G691" i="4"/>
  <c r="H691" i="4"/>
  <c r="I691" i="4"/>
  <c r="J691" i="4"/>
  <c r="K691" i="4"/>
  <c r="L691" i="4"/>
  <c r="M691" i="4"/>
  <c r="N691" i="4"/>
  <c r="O691" i="4"/>
  <c r="B692" i="4"/>
  <c r="C692" i="4"/>
  <c r="D692" i="4"/>
  <c r="E692" i="4"/>
  <c r="F692" i="4"/>
  <c r="G692" i="4"/>
  <c r="H692" i="4"/>
  <c r="I692" i="4"/>
  <c r="J692" i="4"/>
  <c r="K692" i="4"/>
  <c r="L692" i="4"/>
  <c r="M692" i="4"/>
  <c r="N692" i="4"/>
  <c r="O692" i="4"/>
  <c r="B693" i="4"/>
  <c r="C693" i="4"/>
  <c r="D693" i="4"/>
  <c r="E693" i="4"/>
  <c r="F693" i="4"/>
  <c r="G693" i="4"/>
  <c r="H693" i="4"/>
  <c r="I693" i="4"/>
  <c r="J693" i="4"/>
  <c r="K693" i="4"/>
  <c r="L693" i="4"/>
  <c r="M693" i="4"/>
  <c r="N693" i="4"/>
  <c r="O693" i="4"/>
  <c r="B694" i="4"/>
  <c r="C694" i="4"/>
  <c r="D694" i="4"/>
  <c r="E694" i="4"/>
  <c r="F694" i="4"/>
  <c r="G694" i="4"/>
  <c r="H694" i="4"/>
  <c r="I694" i="4"/>
  <c r="J694" i="4"/>
  <c r="K694" i="4"/>
  <c r="L694" i="4"/>
  <c r="M694" i="4"/>
  <c r="N694" i="4"/>
  <c r="O694" i="4"/>
  <c r="B695" i="4"/>
  <c r="C695" i="4"/>
  <c r="D695" i="4"/>
  <c r="E695" i="4"/>
  <c r="F695" i="4"/>
  <c r="G695" i="4"/>
  <c r="H695" i="4"/>
  <c r="I695" i="4"/>
  <c r="J695" i="4"/>
  <c r="K695" i="4"/>
  <c r="L695" i="4"/>
  <c r="M695" i="4"/>
  <c r="N695" i="4"/>
  <c r="O695" i="4"/>
  <c r="B696" i="4"/>
  <c r="C696" i="4"/>
  <c r="D696" i="4"/>
  <c r="E696" i="4"/>
  <c r="F696" i="4"/>
  <c r="G696" i="4"/>
  <c r="H696" i="4"/>
  <c r="I696" i="4"/>
  <c r="J696" i="4"/>
  <c r="K696" i="4"/>
  <c r="L696" i="4"/>
  <c r="M696" i="4"/>
  <c r="N696" i="4"/>
  <c r="O696" i="4"/>
  <c r="B697" i="4"/>
  <c r="C697" i="4"/>
  <c r="D697" i="4"/>
  <c r="E697" i="4"/>
  <c r="F697" i="4"/>
  <c r="G697" i="4"/>
  <c r="H697" i="4"/>
  <c r="I697" i="4"/>
  <c r="J697" i="4"/>
  <c r="K697" i="4"/>
  <c r="L697" i="4"/>
  <c r="M697" i="4"/>
  <c r="N697" i="4"/>
  <c r="O697" i="4"/>
  <c r="B698" i="4"/>
  <c r="C698" i="4"/>
  <c r="D698" i="4"/>
  <c r="E698" i="4"/>
  <c r="F698" i="4"/>
  <c r="G698" i="4"/>
  <c r="H698" i="4"/>
  <c r="I698" i="4"/>
  <c r="J698" i="4"/>
  <c r="K698" i="4"/>
  <c r="L698" i="4"/>
  <c r="M698" i="4"/>
  <c r="N698" i="4"/>
  <c r="O698" i="4"/>
  <c r="B699" i="4"/>
  <c r="C699" i="4"/>
  <c r="D699" i="4"/>
  <c r="E699" i="4"/>
  <c r="F699" i="4"/>
  <c r="G699" i="4"/>
  <c r="H699" i="4"/>
  <c r="I699" i="4"/>
  <c r="J699" i="4"/>
  <c r="K699" i="4"/>
  <c r="L699" i="4"/>
  <c r="M699" i="4"/>
  <c r="N699" i="4"/>
  <c r="O699" i="4"/>
  <c r="B700" i="4"/>
  <c r="C700" i="4"/>
  <c r="D700" i="4"/>
  <c r="E700" i="4"/>
  <c r="F700" i="4"/>
  <c r="G700" i="4"/>
  <c r="H700" i="4"/>
  <c r="I700" i="4"/>
  <c r="J700" i="4"/>
  <c r="K700" i="4"/>
  <c r="L700" i="4"/>
  <c r="M700" i="4"/>
  <c r="N700" i="4"/>
  <c r="O700" i="4"/>
  <c r="B701" i="4"/>
  <c r="C701" i="4"/>
  <c r="D701" i="4"/>
  <c r="E701" i="4"/>
  <c r="F701" i="4"/>
  <c r="G701" i="4"/>
  <c r="H701" i="4"/>
  <c r="I701" i="4"/>
  <c r="J701" i="4"/>
  <c r="K701" i="4"/>
  <c r="L701" i="4"/>
  <c r="M701" i="4"/>
  <c r="N701" i="4"/>
  <c r="O701" i="4"/>
  <c r="B702" i="4"/>
  <c r="C702" i="4"/>
  <c r="D702" i="4"/>
  <c r="E702" i="4"/>
  <c r="F702" i="4"/>
  <c r="G702" i="4"/>
  <c r="H702" i="4"/>
  <c r="I702" i="4"/>
  <c r="J702" i="4"/>
  <c r="K702" i="4"/>
  <c r="L702" i="4"/>
  <c r="M702" i="4"/>
  <c r="N702" i="4"/>
  <c r="O702" i="4"/>
  <c r="B703" i="4"/>
  <c r="C703" i="4"/>
  <c r="D703" i="4"/>
  <c r="E703" i="4"/>
  <c r="F703" i="4"/>
  <c r="G703" i="4"/>
  <c r="H703" i="4"/>
  <c r="I703" i="4"/>
  <c r="J703" i="4"/>
  <c r="K703" i="4"/>
  <c r="L703" i="4"/>
  <c r="M703" i="4"/>
  <c r="N703" i="4"/>
  <c r="O703" i="4"/>
  <c r="B704" i="4"/>
  <c r="C704" i="4"/>
  <c r="D704" i="4"/>
  <c r="E704" i="4"/>
  <c r="F704" i="4"/>
  <c r="G704" i="4"/>
  <c r="H704" i="4"/>
  <c r="I704" i="4"/>
  <c r="J704" i="4"/>
  <c r="K704" i="4"/>
  <c r="L704" i="4"/>
  <c r="M704" i="4"/>
  <c r="N704" i="4"/>
  <c r="O704" i="4"/>
  <c r="B705" i="4"/>
  <c r="C705" i="4"/>
  <c r="D705" i="4"/>
  <c r="E705" i="4"/>
  <c r="F705" i="4"/>
  <c r="G705" i="4"/>
  <c r="H705" i="4"/>
  <c r="I705" i="4"/>
  <c r="J705" i="4"/>
  <c r="K705" i="4"/>
  <c r="L705" i="4"/>
  <c r="M705" i="4"/>
  <c r="N705" i="4"/>
  <c r="O705" i="4"/>
  <c r="B706" i="4"/>
  <c r="C706" i="4"/>
  <c r="D706" i="4"/>
  <c r="E706" i="4"/>
  <c r="F706" i="4"/>
  <c r="G706" i="4"/>
  <c r="H706" i="4"/>
  <c r="I706" i="4"/>
  <c r="J706" i="4"/>
  <c r="K706" i="4"/>
  <c r="L706" i="4"/>
  <c r="M706" i="4"/>
  <c r="N706" i="4"/>
  <c r="O706" i="4"/>
  <c r="B707" i="4"/>
  <c r="C707" i="4"/>
  <c r="D707" i="4"/>
  <c r="E707" i="4"/>
  <c r="F707" i="4"/>
  <c r="G707" i="4"/>
  <c r="H707" i="4"/>
  <c r="I707" i="4"/>
  <c r="J707" i="4"/>
  <c r="K707" i="4"/>
  <c r="L707" i="4"/>
  <c r="M707" i="4"/>
  <c r="N707" i="4"/>
  <c r="O707" i="4"/>
  <c r="B708" i="4"/>
  <c r="C708" i="4"/>
  <c r="D708" i="4"/>
  <c r="E708" i="4"/>
  <c r="F708" i="4"/>
  <c r="G708" i="4"/>
  <c r="H708" i="4"/>
  <c r="I708" i="4"/>
  <c r="J708" i="4"/>
  <c r="K708" i="4"/>
  <c r="L708" i="4"/>
  <c r="M708" i="4"/>
  <c r="N708" i="4"/>
  <c r="O708" i="4"/>
  <c r="B709" i="4"/>
  <c r="C709" i="4"/>
  <c r="D709" i="4"/>
  <c r="E709" i="4"/>
  <c r="F709" i="4"/>
  <c r="G709" i="4"/>
  <c r="H709" i="4"/>
  <c r="I709" i="4"/>
  <c r="J709" i="4"/>
  <c r="K709" i="4"/>
  <c r="L709" i="4"/>
  <c r="M709" i="4"/>
  <c r="N709" i="4"/>
  <c r="O709" i="4"/>
  <c r="B710" i="4"/>
  <c r="C710" i="4"/>
  <c r="D710" i="4"/>
  <c r="E710" i="4"/>
  <c r="F710" i="4"/>
  <c r="G710" i="4"/>
  <c r="H710" i="4"/>
  <c r="I710" i="4"/>
  <c r="J710" i="4"/>
  <c r="K710" i="4"/>
  <c r="L710" i="4"/>
  <c r="M710" i="4"/>
  <c r="N710" i="4"/>
  <c r="O710" i="4"/>
  <c r="B711" i="4"/>
  <c r="C711" i="4"/>
  <c r="D711" i="4"/>
  <c r="E711" i="4"/>
  <c r="F711" i="4"/>
  <c r="G711" i="4"/>
  <c r="H711" i="4"/>
  <c r="I711" i="4"/>
  <c r="J711" i="4"/>
  <c r="K711" i="4"/>
  <c r="L711" i="4"/>
  <c r="M711" i="4"/>
  <c r="N711" i="4"/>
  <c r="O711" i="4"/>
  <c r="B712" i="4"/>
  <c r="C712" i="4"/>
  <c r="D712" i="4"/>
  <c r="E712" i="4"/>
  <c r="F712" i="4"/>
  <c r="G712" i="4"/>
  <c r="H712" i="4"/>
  <c r="I712" i="4"/>
  <c r="J712" i="4"/>
  <c r="K712" i="4"/>
  <c r="L712" i="4"/>
  <c r="M712" i="4"/>
  <c r="N712" i="4"/>
  <c r="O712" i="4"/>
  <c r="B713" i="4"/>
  <c r="C713" i="4"/>
  <c r="D713" i="4"/>
  <c r="E713" i="4"/>
  <c r="F713" i="4"/>
  <c r="G713" i="4"/>
  <c r="H713" i="4"/>
  <c r="I713" i="4"/>
  <c r="J713" i="4"/>
  <c r="K713" i="4"/>
  <c r="L713" i="4"/>
  <c r="M713" i="4"/>
  <c r="N713" i="4"/>
  <c r="O713" i="4"/>
  <c r="B714" i="4"/>
  <c r="C714" i="4"/>
  <c r="D714" i="4"/>
  <c r="E714" i="4"/>
  <c r="F714" i="4"/>
  <c r="G714" i="4"/>
  <c r="H714" i="4"/>
  <c r="I714" i="4"/>
  <c r="J714" i="4"/>
  <c r="K714" i="4"/>
  <c r="L714" i="4"/>
  <c r="M714" i="4"/>
  <c r="N714" i="4"/>
  <c r="O714" i="4"/>
  <c r="B715" i="4"/>
  <c r="C715" i="4"/>
  <c r="D715" i="4"/>
  <c r="E715" i="4"/>
  <c r="F715" i="4"/>
  <c r="G715" i="4"/>
  <c r="H715" i="4"/>
  <c r="I715" i="4"/>
  <c r="J715" i="4"/>
  <c r="K715" i="4"/>
  <c r="L715" i="4"/>
  <c r="M715" i="4"/>
  <c r="N715" i="4"/>
  <c r="O715" i="4"/>
  <c r="B716" i="4"/>
  <c r="C716" i="4"/>
  <c r="D716" i="4"/>
  <c r="E716" i="4"/>
  <c r="F716" i="4"/>
  <c r="G716" i="4"/>
  <c r="H716" i="4"/>
  <c r="I716" i="4"/>
  <c r="J716" i="4"/>
  <c r="K716" i="4"/>
  <c r="L716" i="4"/>
  <c r="M716" i="4"/>
  <c r="N716" i="4"/>
  <c r="O716" i="4"/>
  <c r="B717" i="4"/>
  <c r="C717" i="4"/>
  <c r="D717" i="4"/>
  <c r="E717" i="4"/>
  <c r="F717" i="4"/>
  <c r="G717" i="4"/>
  <c r="H717" i="4"/>
  <c r="I717" i="4"/>
  <c r="J717" i="4"/>
  <c r="K717" i="4"/>
  <c r="L717" i="4"/>
  <c r="M717" i="4"/>
  <c r="N717" i="4"/>
  <c r="O717" i="4"/>
  <c r="B718" i="4"/>
  <c r="C718" i="4"/>
  <c r="D718" i="4"/>
  <c r="E718" i="4"/>
  <c r="F718" i="4"/>
  <c r="G718" i="4"/>
  <c r="H718" i="4"/>
  <c r="I718" i="4"/>
  <c r="J718" i="4"/>
  <c r="K718" i="4"/>
  <c r="L718" i="4"/>
  <c r="M718" i="4"/>
  <c r="N718" i="4"/>
  <c r="O718" i="4"/>
  <c r="B719" i="4"/>
  <c r="C719" i="4"/>
  <c r="D719" i="4"/>
  <c r="E719" i="4"/>
  <c r="F719" i="4"/>
  <c r="G719" i="4"/>
  <c r="H719" i="4"/>
  <c r="I719" i="4"/>
  <c r="J719" i="4"/>
  <c r="K719" i="4"/>
  <c r="L719" i="4"/>
  <c r="M719" i="4"/>
  <c r="N719" i="4"/>
  <c r="O719" i="4"/>
  <c r="B720" i="4"/>
  <c r="C720" i="4"/>
  <c r="D720" i="4"/>
  <c r="E720" i="4"/>
  <c r="F720" i="4"/>
  <c r="G720" i="4"/>
  <c r="H720" i="4"/>
  <c r="I720" i="4"/>
  <c r="J720" i="4"/>
  <c r="K720" i="4"/>
  <c r="L720" i="4"/>
  <c r="M720" i="4"/>
  <c r="N720" i="4"/>
  <c r="O720" i="4"/>
  <c r="B721" i="4"/>
  <c r="C721" i="4"/>
  <c r="D721" i="4"/>
  <c r="E721" i="4"/>
  <c r="F721" i="4"/>
  <c r="G721" i="4"/>
  <c r="H721" i="4"/>
  <c r="I721" i="4"/>
  <c r="J721" i="4"/>
  <c r="K721" i="4"/>
  <c r="L721" i="4"/>
  <c r="M721" i="4"/>
  <c r="N721" i="4"/>
  <c r="O721" i="4"/>
  <c r="B722" i="4"/>
  <c r="C722" i="4"/>
  <c r="D722" i="4"/>
  <c r="E722" i="4"/>
  <c r="F722" i="4"/>
  <c r="G722" i="4"/>
  <c r="H722" i="4"/>
  <c r="I722" i="4"/>
  <c r="J722" i="4"/>
  <c r="K722" i="4"/>
  <c r="L722" i="4"/>
  <c r="M722" i="4"/>
  <c r="N722" i="4"/>
  <c r="O722" i="4"/>
  <c r="B723" i="4"/>
  <c r="C723" i="4"/>
  <c r="D723" i="4"/>
  <c r="E723" i="4"/>
  <c r="F723" i="4"/>
  <c r="G723" i="4"/>
  <c r="H723" i="4"/>
  <c r="I723" i="4"/>
  <c r="J723" i="4"/>
  <c r="K723" i="4"/>
  <c r="L723" i="4"/>
  <c r="M723" i="4"/>
  <c r="N723" i="4"/>
  <c r="O723" i="4"/>
  <c r="B724" i="4"/>
  <c r="C724" i="4"/>
  <c r="D724" i="4"/>
  <c r="E724" i="4"/>
  <c r="F724" i="4"/>
  <c r="G724" i="4"/>
  <c r="H724" i="4"/>
  <c r="I724" i="4"/>
  <c r="J724" i="4"/>
  <c r="K724" i="4"/>
  <c r="L724" i="4"/>
  <c r="M724" i="4"/>
  <c r="N724" i="4"/>
  <c r="O724" i="4"/>
  <c r="B725" i="4"/>
  <c r="C725" i="4"/>
  <c r="D725" i="4"/>
  <c r="E725" i="4"/>
  <c r="F725" i="4"/>
  <c r="G725" i="4"/>
  <c r="H725" i="4"/>
  <c r="I725" i="4"/>
  <c r="J725" i="4"/>
  <c r="K725" i="4"/>
  <c r="L725" i="4"/>
  <c r="M725" i="4"/>
  <c r="N725" i="4"/>
  <c r="O725" i="4"/>
  <c r="B726" i="4"/>
  <c r="C726" i="4"/>
  <c r="D726" i="4"/>
  <c r="E726" i="4"/>
  <c r="F726" i="4"/>
  <c r="G726" i="4"/>
  <c r="H726" i="4"/>
  <c r="I726" i="4"/>
  <c r="J726" i="4"/>
  <c r="K726" i="4"/>
  <c r="L726" i="4"/>
  <c r="M726" i="4"/>
  <c r="N726" i="4"/>
  <c r="O726" i="4"/>
  <c r="B727" i="4"/>
  <c r="C727" i="4"/>
  <c r="D727" i="4"/>
  <c r="E727" i="4"/>
  <c r="F727" i="4"/>
  <c r="G727" i="4"/>
  <c r="H727" i="4"/>
  <c r="I727" i="4"/>
  <c r="J727" i="4"/>
  <c r="K727" i="4"/>
  <c r="L727" i="4"/>
  <c r="M727" i="4"/>
  <c r="N727" i="4"/>
  <c r="O727" i="4"/>
  <c r="B728" i="4"/>
  <c r="C728" i="4"/>
  <c r="D728" i="4"/>
  <c r="E728" i="4"/>
  <c r="F728" i="4"/>
  <c r="G728" i="4"/>
  <c r="H728" i="4"/>
  <c r="I728" i="4"/>
  <c r="J728" i="4"/>
  <c r="K728" i="4"/>
  <c r="L728" i="4"/>
  <c r="M728" i="4"/>
  <c r="N728" i="4"/>
  <c r="O728" i="4"/>
  <c r="B729" i="4"/>
  <c r="C729" i="4"/>
  <c r="D729" i="4"/>
  <c r="E729" i="4"/>
  <c r="F729" i="4"/>
  <c r="G729" i="4"/>
  <c r="H729" i="4"/>
  <c r="I729" i="4"/>
  <c r="J729" i="4"/>
  <c r="K729" i="4"/>
  <c r="L729" i="4"/>
  <c r="M729" i="4"/>
  <c r="N729" i="4"/>
  <c r="O729" i="4"/>
  <c r="B730" i="4"/>
  <c r="C730" i="4"/>
  <c r="D730" i="4"/>
  <c r="E730" i="4"/>
  <c r="F730" i="4"/>
  <c r="G730" i="4"/>
  <c r="H730" i="4"/>
  <c r="I730" i="4"/>
  <c r="J730" i="4"/>
  <c r="K730" i="4"/>
  <c r="L730" i="4"/>
  <c r="M730" i="4"/>
  <c r="N730" i="4"/>
  <c r="O730" i="4"/>
  <c r="B731" i="4"/>
  <c r="C731" i="4"/>
  <c r="D731" i="4"/>
  <c r="E731" i="4"/>
  <c r="F731" i="4"/>
  <c r="G731" i="4"/>
  <c r="H731" i="4"/>
  <c r="I731" i="4"/>
  <c r="J731" i="4"/>
  <c r="K731" i="4"/>
  <c r="L731" i="4"/>
  <c r="M731" i="4"/>
  <c r="N731" i="4"/>
  <c r="O731" i="4"/>
  <c r="B732" i="4"/>
  <c r="C732" i="4"/>
  <c r="D732" i="4"/>
  <c r="E732" i="4"/>
  <c r="F732" i="4"/>
  <c r="G732" i="4"/>
  <c r="H732" i="4"/>
  <c r="I732" i="4"/>
  <c r="J732" i="4"/>
  <c r="K732" i="4"/>
  <c r="L732" i="4"/>
  <c r="M732" i="4"/>
  <c r="N732" i="4"/>
  <c r="O732" i="4"/>
  <c r="B733" i="4"/>
  <c r="C733" i="4"/>
  <c r="D733" i="4"/>
  <c r="E733" i="4"/>
  <c r="F733" i="4"/>
  <c r="G733" i="4"/>
  <c r="H733" i="4"/>
  <c r="I733" i="4"/>
  <c r="J733" i="4"/>
  <c r="K733" i="4"/>
  <c r="L733" i="4"/>
  <c r="M733" i="4"/>
  <c r="N733" i="4"/>
  <c r="O733" i="4"/>
  <c r="B734" i="4"/>
  <c r="C734" i="4"/>
  <c r="D734" i="4"/>
  <c r="E734" i="4"/>
  <c r="F734" i="4"/>
  <c r="G734" i="4"/>
  <c r="H734" i="4"/>
  <c r="I734" i="4"/>
  <c r="J734" i="4"/>
  <c r="K734" i="4"/>
  <c r="L734" i="4"/>
  <c r="M734" i="4"/>
  <c r="N734" i="4"/>
  <c r="O734" i="4"/>
  <c r="B735" i="4"/>
  <c r="C735" i="4"/>
  <c r="D735" i="4"/>
  <c r="E735" i="4"/>
  <c r="F735" i="4"/>
  <c r="G735" i="4"/>
  <c r="H735" i="4"/>
  <c r="I735" i="4"/>
  <c r="J735" i="4"/>
  <c r="K735" i="4"/>
  <c r="L735" i="4"/>
  <c r="M735" i="4"/>
  <c r="N735" i="4"/>
  <c r="O735" i="4"/>
  <c r="B736" i="4"/>
  <c r="C736" i="4"/>
  <c r="D736" i="4"/>
  <c r="E736" i="4"/>
  <c r="F736" i="4"/>
  <c r="G736" i="4"/>
  <c r="H736" i="4"/>
  <c r="I736" i="4"/>
  <c r="J736" i="4"/>
  <c r="K736" i="4"/>
  <c r="L736" i="4"/>
  <c r="M736" i="4"/>
  <c r="N736" i="4"/>
  <c r="O736" i="4"/>
  <c r="B737" i="4"/>
  <c r="C737" i="4"/>
  <c r="D737" i="4"/>
  <c r="E737" i="4"/>
  <c r="F737" i="4"/>
  <c r="G737" i="4"/>
  <c r="H737" i="4"/>
  <c r="I737" i="4"/>
  <c r="J737" i="4"/>
  <c r="K737" i="4"/>
  <c r="L737" i="4"/>
  <c r="M737" i="4"/>
  <c r="N737" i="4"/>
  <c r="O737" i="4"/>
  <c r="B738" i="4"/>
  <c r="C738" i="4"/>
  <c r="D738" i="4"/>
  <c r="E738" i="4"/>
  <c r="F738" i="4"/>
  <c r="G738" i="4"/>
  <c r="H738" i="4"/>
  <c r="I738" i="4"/>
  <c r="J738" i="4"/>
  <c r="K738" i="4"/>
  <c r="L738" i="4"/>
  <c r="M738" i="4"/>
  <c r="N738" i="4"/>
  <c r="O738" i="4"/>
  <c r="B739" i="4"/>
  <c r="C739" i="4"/>
  <c r="D739" i="4"/>
  <c r="E739" i="4"/>
  <c r="F739" i="4"/>
  <c r="G739" i="4"/>
  <c r="H739" i="4"/>
  <c r="I739" i="4"/>
  <c r="J739" i="4"/>
  <c r="K739" i="4"/>
  <c r="L739" i="4"/>
  <c r="M739" i="4"/>
  <c r="N739" i="4"/>
  <c r="O739" i="4"/>
  <c r="B740" i="4"/>
  <c r="C740" i="4"/>
  <c r="D740" i="4"/>
  <c r="E740" i="4"/>
  <c r="F740" i="4"/>
  <c r="G740" i="4"/>
  <c r="H740" i="4"/>
  <c r="I740" i="4"/>
  <c r="J740" i="4"/>
  <c r="K740" i="4"/>
  <c r="L740" i="4"/>
  <c r="M740" i="4"/>
  <c r="N740" i="4"/>
  <c r="O740" i="4"/>
  <c r="B741" i="4"/>
  <c r="C741" i="4"/>
  <c r="D741" i="4"/>
  <c r="E741" i="4"/>
  <c r="F741" i="4"/>
  <c r="G741" i="4"/>
  <c r="H741" i="4"/>
  <c r="I741" i="4"/>
  <c r="J741" i="4"/>
  <c r="K741" i="4"/>
  <c r="L741" i="4"/>
  <c r="M741" i="4"/>
  <c r="N741" i="4"/>
  <c r="O741" i="4"/>
  <c r="B742" i="4"/>
  <c r="C742" i="4"/>
  <c r="D742" i="4"/>
  <c r="E742" i="4"/>
  <c r="F742" i="4"/>
  <c r="G742" i="4"/>
  <c r="H742" i="4"/>
  <c r="I742" i="4"/>
  <c r="J742" i="4"/>
  <c r="K742" i="4"/>
  <c r="L742" i="4"/>
  <c r="M742" i="4"/>
  <c r="N742" i="4"/>
  <c r="O742" i="4"/>
  <c r="B743" i="4"/>
  <c r="C743" i="4"/>
  <c r="D743" i="4"/>
  <c r="E743" i="4"/>
  <c r="F743" i="4"/>
  <c r="G743" i="4"/>
  <c r="H743" i="4"/>
  <c r="I743" i="4"/>
  <c r="J743" i="4"/>
  <c r="K743" i="4"/>
  <c r="L743" i="4"/>
  <c r="M743" i="4"/>
  <c r="N743" i="4"/>
  <c r="O743" i="4"/>
  <c r="B744" i="4"/>
  <c r="C744" i="4"/>
  <c r="D744" i="4"/>
  <c r="E744" i="4"/>
  <c r="F744" i="4"/>
  <c r="G744" i="4"/>
  <c r="H744" i="4"/>
  <c r="I744" i="4"/>
  <c r="J744" i="4"/>
  <c r="K744" i="4"/>
  <c r="L744" i="4"/>
  <c r="M744" i="4"/>
  <c r="N744" i="4"/>
  <c r="O744" i="4"/>
  <c r="B745" i="4"/>
  <c r="C745" i="4"/>
  <c r="D745" i="4"/>
  <c r="E745" i="4"/>
  <c r="F745" i="4"/>
  <c r="G745" i="4"/>
  <c r="H745" i="4"/>
  <c r="I745" i="4"/>
  <c r="J745" i="4"/>
  <c r="K745" i="4"/>
  <c r="L745" i="4"/>
  <c r="M745" i="4"/>
  <c r="N745" i="4"/>
  <c r="O745" i="4"/>
  <c r="B746" i="4"/>
  <c r="C746" i="4"/>
  <c r="D746" i="4"/>
  <c r="E746" i="4"/>
  <c r="F746" i="4"/>
  <c r="G746" i="4"/>
  <c r="H746" i="4"/>
  <c r="I746" i="4"/>
  <c r="J746" i="4"/>
  <c r="K746" i="4"/>
  <c r="L746" i="4"/>
  <c r="M746" i="4"/>
  <c r="N746" i="4"/>
  <c r="O746" i="4"/>
  <c r="B747" i="4"/>
  <c r="C747" i="4"/>
  <c r="D747" i="4"/>
  <c r="E747" i="4"/>
  <c r="F747" i="4"/>
  <c r="G747" i="4"/>
  <c r="H747" i="4"/>
  <c r="I747" i="4"/>
  <c r="J747" i="4"/>
  <c r="K747" i="4"/>
  <c r="L747" i="4"/>
  <c r="M747" i="4"/>
  <c r="N747" i="4"/>
  <c r="O747" i="4"/>
  <c r="B748" i="4"/>
  <c r="C748" i="4"/>
  <c r="D748" i="4"/>
  <c r="E748" i="4"/>
  <c r="F748" i="4"/>
  <c r="G748" i="4"/>
  <c r="H748" i="4"/>
  <c r="I748" i="4"/>
  <c r="J748" i="4"/>
  <c r="K748" i="4"/>
  <c r="L748" i="4"/>
  <c r="M748" i="4"/>
  <c r="N748" i="4"/>
  <c r="O748" i="4"/>
  <c r="B749" i="4"/>
  <c r="C749" i="4"/>
  <c r="D749" i="4"/>
  <c r="E749" i="4"/>
  <c r="F749" i="4"/>
  <c r="G749" i="4"/>
  <c r="H749" i="4"/>
  <c r="I749" i="4"/>
  <c r="J749" i="4"/>
  <c r="K749" i="4"/>
  <c r="L749" i="4"/>
  <c r="M749" i="4"/>
  <c r="N749" i="4"/>
  <c r="O749" i="4"/>
  <c r="B750" i="4"/>
  <c r="C750" i="4"/>
  <c r="D750" i="4"/>
  <c r="E750" i="4"/>
  <c r="F750" i="4"/>
  <c r="G750" i="4"/>
  <c r="H750" i="4"/>
  <c r="I750" i="4"/>
  <c r="J750" i="4"/>
  <c r="K750" i="4"/>
  <c r="L750" i="4"/>
  <c r="M750" i="4"/>
  <c r="N750" i="4"/>
  <c r="O750" i="4"/>
  <c r="B751" i="4"/>
  <c r="C751" i="4"/>
  <c r="D751" i="4"/>
  <c r="E751" i="4"/>
  <c r="F751" i="4"/>
  <c r="G751" i="4"/>
  <c r="H751" i="4"/>
  <c r="I751" i="4"/>
  <c r="J751" i="4"/>
  <c r="K751" i="4"/>
  <c r="L751" i="4"/>
  <c r="M751" i="4"/>
  <c r="N751" i="4"/>
  <c r="O751" i="4"/>
  <c r="B752" i="4"/>
  <c r="C752" i="4"/>
  <c r="D752" i="4"/>
  <c r="E752" i="4"/>
  <c r="F752" i="4"/>
  <c r="G752" i="4"/>
  <c r="H752" i="4"/>
  <c r="I752" i="4"/>
  <c r="J752" i="4"/>
  <c r="K752" i="4"/>
  <c r="L752" i="4"/>
  <c r="M752" i="4"/>
  <c r="N752" i="4"/>
  <c r="O752" i="4"/>
  <c r="B753" i="4"/>
  <c r="C753" i="4"/>
  <c r="D753" i="4"/>
  <c r="E753" i="4"/>
  <c r="F753" i="4"/>
  <c r="G753" i="4"/>
  <c r="H753" i="4"/>
  <c r="I753" i="4"/>
  <c r="J753" i="4"/>
  <c r="K753" i="4"/>
  <c r="L753" i="4"/>
  <c r="M753" i="4"/>
  <c r="N753" i="4"/>
  <c r="O753" i="4"/>
  <c r="B754" i="4"/>
  <c r="C754" i="4"/>
  <c r="D754" i="4"/>
  <c r="E754" i="4"/>
  <c r="F754" i="4"/>
  <c r="G754" i="4"/>
  <c r="H754" i="4"/>
  <c r="I754" i="4"/>
  <c r="J754" i="4"/>
  <c r="K754" i="4"/>
  <c r="L754" i="4"/>
  <c r="M754" i="4"/>
  <c r="N754" i="4"/>
  <c r="O754" i="4"/>
  <c r="B755" i="4"/>
  <c r="C755" i="4"/>
  <c r="D755" i="4"/>
  <c r="E755" i="4"/>
  <c r="F755" i="4"/>
  <c r="G755" i="4"/>
  <c r="H755" i="4"/>
  <c r="I755" i="4"/>
  <c r="J755" i="4"/>
  <c r="K755" i="4"/>
  <c r="L755" i="4"/>
  <c r="M755" i="4"/>
  <c r="N755" i="4"/>
  <c r="O755" i="4"/>
  <c r="B756" i="4"/>
  <c r="C756" i="4"/>
  <c r="D756" i="4"/>
  <c r="E756" i="4"/>
  <c r="F756" i="4"/>
  <c r="G756" i="4"/>
  <c r="H756" i="4"/>
  <c r="I756" i="4"/>
  <c r="J756" i="4"/>
  <c r="K756" i="4"/>
  <c r="L756" i="4"/>
  <c r="M756" i="4"/>
  <c r="N756" i="4"/>
  <c r="O756" i="4"/>
  <c r="B757" i="4"/>
  <c r="C757" i="4"/>
  <c r="D757" i="4"/>
  <c r="E757" i="4"/>
  <c r="F757" i="4"/>
  <c r="G757" i="4"/>
  <c r="H757" i="4"/>
  <c r="I757" i="4"/>
  <c r="J757" i="4"/>
  <c r="K757" i="4"/>
  <c r="L757" i="4"/>
  <c r="M757" i="4"/>
  <c r="N757" i="4"/>
  <c r="O757" i="4"/>
  <c r="B758" i="4"/>
  <c r="C758" i="4"/>
  <c r="D758" i="4"/>
  <c r="E758" i="4"/>
  <c r="F758" i="4"/>
  <c r="G758" i="4"/>
  <c r="H758" i="4"/>
  <c r="I758" i="4"/>
  <c r="J758" i="4"/>
  <c r="K758" i="4"/>
  <c r="L758" i="4"/>
  <c r="M758" i="4"/>
  <c r="N758" i="4"/>
  <c r="O758" i="4"/>
  <c r="B759" i="4"/>
  <c r="C759" i="4"/>
  <c r="D759" i="4"/>
  <c r="E759" i="4"/>
  <c r="F759" i="4"/>
  <c r="G759" i="4"/>
  <c r="H759" i="4"/>
  <c r="I759" i="4"/>
  <c r="J759" i="4"/>
  <c r="K759" i="4"/>
  <c r="L759" i="4"/>
  <c r="M759" i="4"/>
  <c r="N759" i="4"/>
  <c r="O759" i="4"/>
  <c r="B760" i="4"/>
  <c r="C760" i="4"/>
  <c r="D760" i="4"/>
  <c r="E760" i="4"/>
  <c r="F760" i="4"/>
  <c r="G760" i="4"/>
  <c r="H760" i="4"/>
  <c r="I760" i="4"/>
  <c r="J760" i="4"/>
  <c r="K760" i="4"/>
  <c r="L760" i="4"/>
  <c r="M760" i="4"/>
  <c r="N760" i="4"/>
  <c r="O760" i="4"/>
  <c r="B761" i="4"/>
  <c r="C761" i="4"/>
  <c r="D761" i="4"/>
  <c r="E761" i="4"/>
  <c r="F761" i="4"/>
  <c r="G761" i="4"/>
  <c r="H761" i="4"/>
  <c r="I761" i="4"/>
  <c r="J761" i="4"/>
  <c r="K761" i="4"/>
  <c r="L761" i="4"/>
  <c r="M761" i="4"/>
  <c r="N761" i="4"/>
  <c r="O761" i="4"/>
  <c r="B762" i="4"/>
  <c r="C762" i="4"/>
  <c r="D762" i="4"/>
  <c r="E762" i="4"/>
  <c r="F762" i="4"/>
  <c r="G762" i="4"/>
  <c r="H762" i="4"/>
  <c r="I762" i="4"/>
  <c r="J762" i="4"/>
  <c r="K762" i="4"/>
  <c r="L762" i="4"/>
  <c r="M762" i="4"/>
  <c r="N762" i="4"/>
  <c r="O762" i="4"/>
  <c r="B763" i="4"/>
  <c r="C763" i="4"/>
  <c r="D763" i="4"/>
  <c r="E763" i="4"/>
  <c r="F763" i="4"/>
  <c r="G763" i="4"/>
  <c r="H763" i="4"/>
  <c r="I763" i="4"/>
  <c r="J763" i="4"/>
  <c r="K763" i="4"/>
  <c r="L763" i="4"/>
  <c r="M763" i="4"/>
  <c r="N763" i="4"/>
  <c r="O763" i="4"/>
  <c r="B764" i="4"/>
  <c r="C764" i="4"/>
  <c r="D764" i="4"/>
  <c r="E764" i="4"/>
  <c r="F764" i="4"/>
  <c r="G764" i="4"/>
  <c r="H764" i="4"/>
  <c r="I764" i="4"/>
  <c r="J764" i="4"/>
  <c r="K764" i="4"/>
  <c r="L764" i="4"/>
  <c r="M764" i="4"/>
  <c r="N764" i="4"/>
  <c r="O764" i="4"/>
  <c r="B765" i="4"/>
  <c r="C765" i="4"/>
  <c r="D765" i="4"/>
  <c r="E765" i="4"/>
  <c r="F765" i="4"/>
  <c r="G765" i="4"/>
  <c r="H765" i="4"/>
  <c r="I765" i="4"/>
  <c r="J765" i="4"/>
  <c r="K765" i="4"/>
  <c r="L765" i="4"/>
  <c r="M765" i="4"/>
  <c r="N765" i="4"/>
  <c r="O765" i="4"/>
  <c r="B766" i="4"/>
  <c r="C766" i="4"/>
  <c r="D766" i="4"/>
  <c r="E766" i="4"/>
  <c r="F766" i="4"/>
  <c r="G766" i="4"/>
  <c r="H766" i="4"/>
  <c r="I766" i="4"/>
  <c r="J766" i="4"/>
  <c r="K766" i="4"/>
  <c r="L766" i="4"/>
  <c r="M766" i="4"/>
  <c r="N766" i="4"/>
  <c r="O766" i="4"/>
  <c r="B767" i="4"/>
  <c r="C767" i="4"/>
  <c r="D767" i="4"/>
  <c r="E767" i="4"/>
  <c r="F767" i="4"/>
  <c r="G767" i="4"/>
  <c r="H767" i="4"/>
  <c r="I767" i="4"/>
  <c r="J767" i="4"/>
  <c r="K767" i="4"/>
  <c r="L767" i="4"/>
  <c r="M767" i="4"/>
  <c r="N767" i="4"/>
  <c r="O767" i="4"/>
  <c r="B768" i="4"/>
  <c r="C768" i="4"/>
  <c r="D768" i="4"/>
  <c r="E768" i="4"/>
  <c r="F768" i="4"/>
  <c r="G768" i="4"/>
  <c r="H768" i="4"/>
  <c r="I768" i="4"/>
  <c r="J768" i="4"/>
  <c r="K768" i="4"/>
  <c r="L768" i="4"/>
  <c r="M768" i="4"/>
  <c r="N768" i="4"/>
  <c r="O768" i="4"/>
  <c r="B769" i="4"/>
  <c r="C769" i="4"/>
  <c r="D769" i="4"/>
  <c r="E769" i="4"/>
  <c r="F769" i="4"/>
  <c r="G769" i="4"/>
  <c r="H769" i="4"/>
  <c r="I769" i="4"/>
  <c r="J769" i="4"/>
  <c r="K769" i="4"/>
  <c r="L769" i="4"/>
  <c r="M769" i="4"/>
  <c r="N769" i="4"/>
  <c r="O769" i="4"/>
  <c r="B770" i="4"/>
  <c r="C770" i="4"/>
  <c r="D770" i="4"/>
  <c r="E770" i="4"/>
  <c r="F770" i="4"/>
  <c r="G770" i="4"/>
  <c r="H770" i="4"/>
  <c r="I770" i="4"/>
  <c r="J770" i="4"/>
  <c r="K770" i="4"/>
  <c r="L770" i="4"/>
  <c r="M770" i="4"/>
  <c r="N770" i="4"/>
  <c r="O770" i="4"/>
  <c r="B771" i="4"/>
  <c r="C771" i="4"/>
  <c r="D771" i="4"/>
  <c r="E771" i="4"/>
  <c r="F771" i="4"/>
  <c r="G771" i="4"/>
  <c r="H771" i="4"/>
  <c r="I771" i="4"/>
  <c r="J771" i="4"/>
  <c r="K771" i="4"/>
  <c r="L771" i="4"/>
  <c r="M771" i="4"/>
  <c r="N771" i="4"/>
  <c r="O771" i="4"/>
  <c r="B772" i="4"/>
  <c r="C772" i="4"/>
  <c r="D772" i="4"/>
  <c r="E772" i="4"/>
  <c r="F772" i="4"/>
  <c r="G772" i="4"/>
  <c r="H772" i="4"/>
  <c r="I772" i="4"/>
  <c r="J772" i="4"/>
  <c r="K772" i="4"/>
  <c r="L772" i="4"/>
  <c r="M772" i="4"/>
  <c r="N772" i="4"/>
  <c r="O772" i="4"/>
  <c r="B773" i="4"/>
  <c r="C773" i="4"/>
  <c r="D773" i="4"/>
  <c r="E773" i="4"/>
  <c r="F773" i="4"/>
  <c r="G773" i="4"/>
  <c r="H773" i="4"/>
  <c r="I773" i="4"/>
  <c r="J773" i="4"/>
  <c r="K773" i="4"/>
  <c r="L773" i="4"/>
  <c r="M773" i="4"/>
  <c r="N773" i="4"/>
  <c r="O773" i="4"/>
  <c r="B774" i="4"/>
  <c r="C774" i="4"/>
  <c r="D774" i="4"/>
  <c r="E774" i="4"/>
  <c r="F774" i="4"/>
  <c r="G774" i="4"/>
  <c r="H774" i="4"/>
  <c r="I774" i="4"/>
  <c r="J774" i="4"/>
  <c r="K774" i="4"/>
  <c r="L774" i="4"/>
  <c r="M774" i="4"/>
  <c r="N774" i="4"/>
  <c r="O774" i="4"/>
  <c r="B775" i="4"/>
  <c r="C775" i="4"/>
  <c r="D775" i="4"/>
  <c r="E775" i="4"/>
  <c r="F775" i="4"/>
  <c r="G775" i="4"/>
  <c r="H775" i="4"/>
  <c r="I775" i="4"/>
  <c r="J775" i="4"/>
  <c r="K775" i="4"/>
  <c r="L775" i="4"/>
  <c r="M775" i="4"/>
  <c r="N775" i="4"/>
  <c r="O775" i="4"/>
  <c r="B776" i="4"/>
  <c r="C776" i="4"/>
  <c r="D776" i="4"/>
  <c r="E776" i="4"/>
  <c r="F776" i="4"/>
  <c r="G776" i="4"/>
  <c r="H776" i="4"/>
  <c r="I776" i="4"/>
  <c r="J776" i="4"/>
  <c r="K776" i="4"/>
  <c r="L776" i="4"/>
  <c r="M776" i="4"/>
  <c r="N776" i="4"/>
  <c r="O776" i="4"/>
  <c r="B777" i="4"/>
  <c r="C777" i="4"/>
  <c r="D777" i="4"/>
  <c r="E777" i="4"/>
  <c r="F777" i="4"/>
  <c r="G777" i="4"/>
  <c r="H777" i="4"/>
  <c r="I777" i="4"/>
  <c r="J777" i="4"/>
  <c r="K777" i="4"/>
  <c r="L777" i="4"/>
  <c r="M777" i="4"/>
  <c r="N777" i="4"/>
  <c r="O777" i="4"/>
  <c r="B778" i="4"/>
  <c r="C778" i="4"/>
  <c r="D778" i="4"/>
  <c r="E778" i="4"/>
  <c r="F778" i="4"/>
  <c r="G778" i="4"/>
  <c r="H778" i="4"/>
  <c r="I778" i="4"/>
  <c r="J778" i="4"/>
  <c r="K778" i="4"/>
  <c r="L778" i="4"/>
  <c r="M778" i="4"/>
  <c r="N778" i="4"/>
  <c r="O778" i="4"/>
  <c r="B779" i="4"/>
  <c r="C779" i="4"/>
  <c r="D779" i="4"/>
  <c r="E779" i="4"/>
  <c r="F779" i="4"/>
  <c r="G779" i="4"/>
  <c r="H779" i="4"/>
  <c r="I779" i="4"/>
  <c r="J779" i="4"/>
  <c r="K779" i="4"/>
  <c r="L779" i="4"/>
  <c r="M779" i="4"/>
  <c r="N779" i="4"/>
  <c r="O779" i="4"/>
  <c r="B780" i="4"/>
  <c r="C780" i="4"/>
  <c r="D780" i="4"/>
  <c r="E780" i="4"/>
  <c r="F780" i="4"/>
  <c r="G780" i="4"/>
  <c r="H780" i="4"/>
  <c r="I780" i="4"/>
  <c r="J780" i="4"/>
  <c r="K780" i="4"/>
  <c r="L780" i="4"/>
  <c r="M780" i="4"/>
  <c r="N780" i="4"/>
  <c r="O780" i="4"/>
  <c r="B781" i="4"/>
  <c r="C781" i="4"/>
  <c r="D781" i="4"/>
  <c r="E781" i="4"/>
  <c r="F781" i="4"/>
  <c r="G781" i="4"/>
  <c r="H781" i="4"/>
  <c r="I781" i="4"/>
  <c r="J781" i="4"/>
  <c r="K781" i="4"/>
  <c r="L781" i="4"/>
  <c r="M781" i="4"/>
  <c r="N781" i="4"/>
  <c r="O781" i="4"/>
  <c r="B782" i="4"/>
  <c r="C782" i="4"/>
  <c r="D782" i="4"/>
  <c r="E782" i="4"/>
  <c r="F782" i="4"/>
  <c r="G782" i="4"/>
  <c r="H782" i="4"/>
  <c r="I782" i="4"/>
  <c r="J782" i="4"/>
  <c r="K782" i="4"/>
  <c r="L782" i="4"/>
  <c r="M782" i="4"/>
  <c r="N782" i="4"/>
  <c r="O782" i="4"/>
  <c r="B783" i="4"/>
  <c r="C783" i="4"/>
  <c r="D783" i="4"/>
  <c r="E783" i="4"/>
  <c r="F783" i="4"/>
  <c r="G783" i="4"/>
  <c r="H783" i="4"/>
  <c r="I783" i="4"/>
  <c r="J783" i="4"/>
  <c r="K783" i="4"/>
  <c r="L783" i="4"/>
  <c r="M783" i="4"/>
  <c r="N783" i="4"/>
  <c r="O783" i="4"/>
  <c r="B784" i="4"/>
  <c r="C784" i="4"/>
  <c r="D784" i="4"/>
  <c r="E784" i="4"/>
  <c r="F784" i="4"/>
  <c r="G784" i="4"/>
  <c r="H784" i="4"/>
  <c r="I784" i="4"/>
  <c r="J784" i="4"/>
  <c r="K784" i="4"/>
  <c r="L784" i="4"/>
  <c r="M784" i="4"/>
  <c r="N784" i="4"/>
  <c r="O784" i="4"/>
  <c r="B785" i="4"/>
  <c r="C785" i="4"/>
  <c r="D785" i="4"/>
  <c r="E785" i="4"/>
  <c r="F785" i="4"/>
  <c r="G785" i="4"/>
  <c r="H785" i="4"/>
  <c r="I785" i="4"/>
  <c r="J785" i="4"/>
  <c r="K785" i="4"/>
  <c r="L785" i="4"/>
  <c r="M785" i="4"/>
  <c r="N785" i="4"/>
  <c r="O785" i="4"/>
  <c r="B786" i="4"/>
  <c r="C786" i="4"/>
  <c r="D786" i="4"/>
  <c r="E786" i="4"/>
  <c r="F786" i="4"/>
  <c r="G786" i="4"/>
  <c r="H786" i="4"/>
  <c r="I786" i="4"/>
  <c r="J786" i="4"/>
  <c r="K786" i="4"/>
  <c r="L786" i="4"/>
  <c r="M786" i="4"/>
  <c r="N786" i="4"/>
  <c r="O786" i="4"/>
  <c r="B787" i="4"/>
  <c r="C787" i="4"/>
  <c r="D787" i="4"/>
  <c r="E787" i="4"/>
  <c r="F787" i="4"/>
  <c r="G787" i="4"/>
  <c r="H787" i="4"/>
  <c r="I787" i="4"/>
  <c r="J787" i="4"/>
  <c r="K787" i="4"/>
  <c r="L787" i="4"/>
  <c r="M787" i="4"/>
  <c r="N787" i="4"/>
  <c r="O787" i="4"/>
  <c r="B788" i="4"/>
  <c r="C788" i="4"/>
  <c r="D788" i="4"/>
  <c r="E788" i="4"/>
  <c r="F788" i="4"/>
  <c r="G788" i="4"/>
  <c r="H788" i="4"/>
  <c r="I788" i="4"/>
  <c r="J788" i="4"/>
  <c r="K788" i="4"/>
  <c r="L788" i="4"/>
  <c r="M788" i="4"/>
  <c r="N788" i="4"/>
  <c r="O788" i="4"/>
  <c r="B789" i="4"/>
  <c r="C789" i="4"/>
  <c r="D789" i="4"/>
  <c r="E789" i="4"/>
  <c r="F789" i="4"/>
  <c r="G789" i="4"/>
  <c r="H789" i="4"/>
  <c r="I789" i="4"/>
  <c r="J789" i="4"/>
  <c r="K789" i="4"/>
  <c r="L789" i="4"/>
  <c r="M789" i="4"/>
  <c r="N789" i="4"/>
  <c r="O789" i="4"/>
  <c r="B790" i="4"/>
  <c r="C790" i="4"/>
  <c r="D790" i="4"/>
  <c r="E790" i="4"/>
  <c r="F790" i="4"/>
  <c r="G790" i="4"/>
  <c r="H790" i="4"/>
  <c r="I790" i="4"/>
  <c r="J790" i="4"/>
  <c r="K790" i="4"/>
  <c r="L790" i="4"/>
  <c r="M790" i="4"/>
  <c r="N790" i="4"/>
  <c r="O790" i="4"/>
  <c r="B791" i="4"/>
  <c r="C791" i="4"/>
  <c r="D791" i="4"/>
  <c r="E791" i="4"/>
  <c r="F791" i="4"/>
  <c r="G791" i="4"/>
  <c r="H791" i="4"/>
  <c r="I791" i="4"/>
  <c r="J791" i="4"/>
  <c r="K791" i="4"/>
  <c r="L791" i="4"/>
  <c r="M791" i="4"/>
  <c r="N791" i="4"/>
  <c r="O791" i="4"/>
  <c r="B792" i="4"/>
  <c r="C792" i="4"/>
  <c r="D792" i="4"/>
  <c r="E792" i="4"/>
  <c r="F792" i="4"/>
  <c r="G792" i="4"/>
  <c r="H792" i="4"/>
  <c r="I792" i="4"/>
  <c r="J792" i="4"/>
  <c r="K792" i="4"/>
  <c r="L792" i="4"/>
  <c r="M792" i="4"/>
  <c r="N792" i="4"/>
  <c r="O792" i="4"/>
  <c r="B793" i="4"/>
  <c r="C793" i="4"/>
  <c r="D793" i="4"/>
  <c r="E793" i="4"/>
  <c r="F793" i="4"/>
  <c r="G793" i="4"/>
  <c r="H793" i="4"/>
  <c r="I793" i="4"/>
  <c r="J793" i="4"/>
  <c r="K793" i="4"/>
  <c r="L793" i="4"/>
  <c r="M793" i="4"/>
  <c r="N793" i="4"/>
  <c r="O793" i="4"/>
  <c r="B794" i="4"/>
  <c r="C794" i="4"/>
  <c r="D794" i="4"/>
  <c r="E794" i="4"/>
  <c r="F794" i="4"/>
  <c r="G794" i="4"/>
  <c r="H794" i="4"/>
  <c r="I794" i="4"/>
  <c r="J794" i="4"/>
  <c r="K794" i="4"/>
  <c r="L794" i="4"/>
  <c r="M794" i="4"/>
  <c r="N794" i="4"/>
  <c r="O794" i="4"/>
  <c r="B795" i="4"/>
  <c r="C795" i="4"/>
  <c r="D795" i="4"/>
  <c r="E795" i="4"/>
  <c r="F795" i="4"/>
  <c r="G795" i="4"/>
  <c r="H795" i="4"/>
  <c r="I795" i="4"/>
  <c r="J795" i="4"/>
  <c r="K795" i="4"/>
  <c r="L795" i="4"/>
  <c r="M795" i="4"/>
  <c r="N795" i="4"/>
  <c r="O795" i="4"/>
  <c r="B796" i="4"/>
  <c r="C796" i="4"/>
  <c r="D796" i="4"/>
  <c r="E796" i="4"/>
  <c r="F796" i="4"/>
  <c r="G796" i="4"/>
  <c r="H796" i="4"/>
  <c r="I796" i="4"/>
  <c r="J796" i="4"/>
  <c r="K796" i="4"/>
  <c r="L796" i="4"/>
  <c r="M796" i="4"/>
  <c r="N796" i="4"/>
  <c r="O796" i="4"/>
  <c r="B797" i="4"/>
  <c r="C797" i="4"/>
  <c r="D797" i="4"/>
  <c r="E797" i="4"/>
  <c r="F797" i="4"/>
  <c r="G797" i="4"/>
  <c r="H797" i="4"/>
  <c r="I797" i="4"/>
  <c r="J797" i="4"/>
  <c r="K797" i="4"/>
  <c r="L797" i="4"/>
  <c r="M797" i="4"/>
  <c r="N797" i="4"/>
  <c r="O797" i="4"/>
  <c r="B798" i="4"/>
  <c r="C798" i="4"/>
  <c r="D798" i="4"/>
  <c r="E798" i="4"/>
  <c r="F798" i="4"/>
  <c r="G798" i="4"/>
  <c r="H798" i="4"/>
  <c r="I798" i="4"/>
  <c r="J798" i="4"/>
  <c r="K798" i="4"/>
  <c r="L798" i="4"/>
  <c r="M798" i="4"/>
  <c r="N798" i="4"/>
  <c r="O798" i="4"/>
  <c r="B799" i="4"/>
  <c r="C799" i="4"/>
  <c r="D799" i="4"/>
  <c r="E799" i="4"/>
  <c r="F799" i="4"/>
  <c r="G799" i="4"/>
  <c r="H799" i="4"/>
  <c r="I799" i="4"/>
  <c r="J799" i="4"/>
  <c r="K799" i="4"/>
  <c r="L799" i="4"/>
  <c r="M799" i="4"/>
  <c r="N799" i="4"/>
  <c r="O799" i="4"/>
  <c r="B800" i="4"/>
  <c r="C800" i="4"/>
  <c r="D800" i="4"/>
  <c r="E800" i="4"/>
  <c r="F800" i="4"/>
  <c r="G800" i="4"/>
  <c r="H800" i="4"/>
  <c r="I800" i="4"/>
  <c r="J800" i="4"/>
  <c r="K800" i="4"/>
  <c r="L800" i="4"/>
  <c r="M800" i="4"/>
  <c r="N800" i="4"/>
  <c r="O800" i="4"/>
  <c r="B801" i="4"/>
  <c r="C801" i="4"/>
  <c r="D801" i="4"/>
  <c r="E801" i="4"/>
  <c r="F801" i="4"/>
  <c r="G801" i="4"/>
  <c r="H801" i="4"/>
  <c r="I801" i="4"/>
  <c r="J801" i="4"/>
  <c r="K801" i="4"/>
  <c r="L801" i="4"/>
  <c r="M801" i="4"/>
  <c r="N801" i="4"/>
  <c r="O801" i="4"/>
  <c r="B802" i="4"/>
  <c r="C802" i="4"/>
  <c r="D802" i="4"/>
  <c r="E802" i="4"/>
  <c r="F802" i="4"/>
  <c r="G802" i="4"/>
  <c r="H802" i="4"/>
  <c r="I802" i="4"/>
  <c r="J802" i="4"/>
  <c r="K802" i="4"/>
  <c r="L802" i="4"/>
  <c r="M802" i="4"/>
  <c r="N802" i="4"/>
  <c r="O802" i="4"/>
  <c r="B803" i="4"/>
  <c r="C803" i="4"/>
  <c r="D803" i="4"/>
  <c r="E803" i="4"/>
  <c r="F803" i="4"/>
  <c r="G803" i="4"/>
  <c r="H803" i="4"/>
  <c r="I803" i="4"/>
  <c r="J803" i="4"/>
  <c r="K803" i="4"/>
  <c r="L803" i="4"/>
  <c r="M803" i="4"/>
  <c r="N803" i="4"/>
  <c r="O803" i="4"/>
  <c r="B804" i="4"/>
  <c r="C804" i="4"/>
  <c r="D804" i="4"/>
  <c r="E804" i="4"/>
  <c r="F804" i="4"/>
  <c r="G804" i="4"/>
  <c r="H804" i="4"/>
  <c r="I804" i="4"/>
  <c r="J804" i="4"/>
  <c r="K804" i="4"/>
  <c r="L804" i="4"/>
  <c r="M804" i="4"/>
  <c r="N804" i="4"/>
  <c r="O804" i="4"/>
  <c r="B805" i="4"/>
  <c r="C805" i="4"/>
  <c r="D805" i="4"/>
  <c r="E805" i="4"/>
  <c r="F805" i="4"/>
  <c r="G805" i="4"/>
  <c r="H805" i="4"/>
  <c r="I805" i="4"/>
  <c r="J805" i="4"/>
  <c r="K805" i="4"/>
  <c r="L805" i="4"/>
  <c r="M805" i="4"/>
  <c r="N805" i="4"/>
  <c r="O805" i="4"/>
  <c r="B806" i="4"/>
  <c r="C806" i="4"/>
  <c r="D806" i="4"/>
  <c r="E806" i="4"/>
  <c r="F806" i="4"/>
  <c r="G806" i="4"/>
  <c r="H806" i="4"/>
  <c r="I806" i="4"/>
  <c r="J806" i="4"/>
  <c r="K806" i="4"/>
  <c r="L806" i="4"/>
  <c r="M806" i="4"/>
  <c r="N806" i="4"/>
  <c r="O806" i="4"/>
  <c r="B807" i="4"/>
  <c r="C807" i="4"/>
  <c r="D807" i="4"/>
  <c r="E807" i="4"/>
  <c r="F807" i="4"/>
  <c r="G807" i="4"/>
  <c r="H807" i="4"/>
  <c r="I807" i="4"/>
  <c r="J807" i="4"/>
  <c r="K807" i="4"/>
  <c r="L807" i="4"/>
  <c r="M807" i="4"/>
  <c r="N807" i="4"/>
  <c r="O807" i="4"/>
  <c r="B808" i="4"/>
  <c r="C808" i="4"/>
  <c r="D808" i="4"/>
  <c r="E808" i="4"/>
  <c r="F808" i="4"/>
  <c r="G808" i="4"/>
  <c r="H808" i="4"/>
  <c r="I808" i="4"/>
  <c r="J808" i="4"/>
  <c r="K808" i="4"/>
  <c r="L808" i="4"/>
  <c r="M808" i="4"/>
  <c r="N808" i="4"/>
  <c r="O808" i="4"/>
  <c r="B809" i="4"/>
  <c r="C809" i="4"/>
  <c r="D809" i="4"/>
  <c r="E809" i="4"/>
  <c r="F809" i="4"/>
  <c r="G809" i="4"/>
  <c r="H809" i="4"/>
  <c r="I809" i="4"/>
  <c r="J809" i="4"/>
  <c r="K809" i="4"/>
  <c r="L809" i="4"/>
  <c r="M809" i="4"/>
  <c r="N809" i="4"/>
  <c r="O809" i="4"/>
  <c r="B810" i="4"/>
  <c r="C810" i="4"/>
  <c r="D810" i="4"/>
  <c r="E810" i="4"/>
  <c r="F810" i="4"/>
  <c r="G810" i="4"/>
  <c r="H810" i="4"/>
  <c r="I810" i="4"/>
  <c r="J810" i="4"/>
  <c r="K810" i="4"/>
  <c r="L810" i="4"/>
  <c r="M810" i="4"/>
  <c r="N810" i="4"/>
  <c r="O810" i="4"/>
  <c r="B811" i="4"/>
  <c r="C811" i="4"/>
  <c r="D811" i="4"/>
  <c r="E811" i="4"/>
  <c r="F811" i="4"/>
  <c r="G811" i="4"/>
  <c r="H811" i="4"/>
  <c r="I811" i="4"/>
  <c r="J811" i="4"/>
  <c r="K811" i="4"/>
  <c r="L811" i="4"/>
  <c r="M811" i="4"/>
  <c r="N811" i="4"/>
  <c r="O811" i="4"/>
  <c r="B812" i="4"/>
  <c r="C812" i="4"/>
  <c r="D812" i="4"/>
  <c r="E812" i="4"/>
  <c r="F812" i="4"/>
  <c r="G812" i="4"/>
  <c r="H812" i="4"/>
  <c r="I812" i="4"/>
  <c r="J812" i="4"/>
  <c r="K812" i="4"/>
  <c r="L812" i="4"/>
  <c r="M812" i="4"/>
  <c r="N812" i="4"/>
  <c r="O812" i="4"/>
  <c r="B813" i="4"/>
  <c r="C813" i="4"/>
  <c r="D813" i="4"/>
  <c r="E813" i="4"/>
  <c r="F813" i="4"/>
  <c r="G813" i="4"/>
  <c r="H813" i="4"/>
  <c r="I813" i="4"/>
  <c r="J813" i="4"/>
  <c r="K813" i="4"/>
  <c r="L813" i="4"/>
  <c r="M813" i="4"/>
  <c r="N813" i="4"/>
  <c r="O813" i="4"/>
  <c r="B814" i="4"/>
  <c r="C814" i="4"/>
  <c r="D814" i="4"/>
  <c r="E814" i="4"/>
  <c r="F814" i="4"/>
  <c r="G814" i="4"/>
  <c r="H814" i="4"/>
  <c r="I814" i="4"/>
  <c r="J814" i="4"/>
  <c r="K814" i="4"/>
  <c r="L814" i="4"/>
  <c r="M814" i="4"/>
  <c r="N814" i="4"/>
  <c r="O814" i="4"/>
  <c r="B815" i="4"/>
  <c r="C815" i="4"/>
  <c r="D815" i="4"/>
  <c r="E815" i="4"/>
  <c r="F815" i="4"/>
  <c r="G815" i="4"/>
  <c r="H815" i="4"/>
  <c r="I815" i="4"/>
  <c r="J815" i="4"/>
  <c r="K815" i="4"/>
  <c r="L815" i="4"/>
  <c r="M815" i="4"/>
  <c r="N815" i="4"/>
  <c r="O815" i="4"/>
  <c r="B816" i="4"/>
  <c r="C816" i="4"/>
  <c r="D816" i="4"/>
  <c r="E816" i="4"/>
  <c r="F816" i="4"/>
  <c r="G816" i="4"/>
  <c r="H816" i="4"/>
  <c r="I816" i="4"/>
  <c r="J816" i="4"/>
  <c r="K816" i="4"/>
  <c r="L816" i="4"/>
  <c r="M816" i="4"/>
  <c r="N816" i="4"/>
  <c r="O816" i="4"/>
  <c r="B817" i="4"/>
  <c r="C817" i="4"/>
  <c r="D817" i="4"/>
  <c r="E817" i="4"/>
  <c r="F817" i="4"/>
  <c r="G817" i="4"/>
  <c r="H817" i="4"/>
  <c r="I817" i="4"/>
  <c r="J817" i="4"/>
  <c r="K817" i="4"/>
  <c r="L817" i="4"/>
  <c r="M817" i="4"/>
  <c r="N817" i="4"/>
  <c r="O817" i="4"/>
  <c r="B818" i="4"/>
  <c r="C818" i="4"/>
  <c r="D818" i="4"/>
  <c r="E818" i="4"/>
  <c r="F818" i="4"/>
  <c r="G818" i="4"/>
  <c r="H818" i="4"/>
  <c r="I818" i="4"/>
  <c r="J818" i="4"/>
  <c r="K818" i="4"/>
  <c r="L818" i="4"/>
  <c r="M818" i="4"/>
  <c r="N818" i="4"/>
  <c r="O818" i="4"/>
  <c r="B819" i="4"/>
  <c r="C819" i="4"/>
  <c r="D819" i="4"/>
  <c r="E819" i="4"/>
  <c r="F819" i="4"/>
  <c r="G819" i="4"/>
  <c r="H819" i="4"/>
  <c r="I819" i="4"/>
  <c r="J819" i="4"/>
  <c r="K819" i="4"/>
  <c r="L819" i="4"/>
  <c r="M819" i="4"/>
  <c r="N819" i="4"/>
  <c r="O819" i="4"/>
  <c r="B820" i="4"/>
  <c r="C820" i="4"/>
  <c r="D820" i="4"/>
  <c r="E820" i="4"/>
  <c r="F820" i="4"/>
  <c r="G820" i="4"/>
  <c r="H820" i="4"/>
  <c r="I820" i="4"/>
  <c r="J820" i="4"/>
  <c r="K820" i="4"/>
  <c r="L820" i="4"/>
  <c r="M820" i="4"/>
  <c r="N820" i="4"/>
  <c r="O820" i="4"/>
  <c r="B821" i="4"/>
  <c r="C821" i="4"/>
  <c r="D821" i="4"/>
  <c r="E821" i="4"/>
  <c r="F821" i="4"/>
  <c r="G821" i="4"/>
  <c r="H821" i="4"/>
  <c r="I821" i="4"/>
  <c r="J821" i="4"/>
  <c r="K821" i="4"/>
  <c r="L821" i="4"/>
  <c r="M821" i="4"/>
  <c r="N821" i="4"/>
  <c r="O821" i="4"/>
  <c r="B822" i="4"/>
  <c r="C822" i="4"/>
  <c r="D822" i="4"/>
  <c r="E822" i="4"/>
  <c r="F822" i="4"/>
  <c r="G822" i="4"/>
  <c r="H822" i="4"/>
  <c r="I822" i="4"/>
  <c r="J822" i="4"/>
  <c r="K822" i="4"/>
  <c r="L822" i="4"/>
  <c r="M822" i="4"/>
  <c r="N822" i="4"/>
  <c r="O822" i="4"/>
  <c r="B823" i="4"/>
  <c r="C823" i="4"/>
  <c r="D823" i="4"/>
  <c r="E823" i="4"/>
  <c r="F823" i="4"/>
  <c r="G823" i="4"/>
  <c r="H823" i="4"/>
  <c r="I823" i="4"/>
  <c r="J823" i="4"/>
  <c r="K823" i="4"/>
  <c r="L823" i="4"/>
  <c r="M823" i="4"/>
  <c r="N823" i="4"/>
  <c r="O823" i="4"/>
  <c r="B824" i="4"/>
  <c r="C824" i="4"/>
  <c r="D824" i="4"/>
  <c r="E824" i="4"/>
  <c r="F824" i="4"/>
  <c r="G824" i="4"/>
  <c r="H824" i="4"/>
  <c r="I824" i="4"/>
  <c r="J824" i="4"/>
  <c r="K824" i="4"/>
  <c r="L824" i="4"/>
  <c r="M824" i="4"/>
  <c r="N824" i="4"/>
  <c r="O824" i="4"/>
  <c r="B825" i="4"/>
  <c r="C825" i="4"/>
  <c r="D825" i="4"/>
  <c r="E825" i="4"/>
  <c r="F825" i="4"/>
  <c r="G825" i="4"/>
  <c r="H825" i="4"/>
  <c r="I825" i="4"/>
  <c r="J825" i="4"/>
  <c r="K825" i="4"/>
  <c r="L825" i="4"/>
  <c r="M825" i="4"/>
  <c r="N825" i="4"/>
  <c r="O825" i="4"/>
  <c r="B826" i="4"/>
  <c r="C826" i="4"/>
  <c r="D826" i="4"/>
  <c r="E826" i="4"/>
  <c r="F826" i="4"/>
  <c r="G826" i="4"/>
  <c r="H826" i="4"/>
  <c r="I826" i="4"/>
  <c r="J826" i="4"/>
  <c r="K826" i="4"/>
  <c r="L826" i="4"/>
  <c r="M826" i="4"/>
  <c r="N826" i="4"/>
  <c r="O826" i="4"/>
  <c r="B827" i="4"/>
  <c r="C827" i="4"/>
  <c r="D827" i="4"/>
  <c r="E827" i="4"/>
  <c r="F827" i="4"/>
  <c r="G827" i="4"/>
  <c r="H827" i="4"/>
  <c r="I827" i="4"/>
  <c r="J827" i="4"/>
  <c r="K827" i="4"/>
  <c r="L827" i="4"/>
  <c r="M827" i="4"/>
  <c r="N827" i="4"/>
  <c r="O827" i="4"/>
  <c r="B828" i="4"/>
  <c r="C828" i="4"/>
  <c r="D828" i="4"/>
  <c r="E828" i="4"/>
  <c r="F828" i="4"/>
  <c r="G828" i="4"/>
  <c r="H828" i="4"/>
  <c r="I828" i="4"/>
  <c r="J828" i="4"/>
  <c r="K828" i="4"/>
  <c r="L828" i="4"/>
  <c r="M828" i="4"/>
  <c r="N828" i="4"/>
  <c r="O828" i="4"/>
  <c r="B829" i="4"/>
  <c r="C829" i="4"/>
  <c r="D829" i="4"/>
  <c r="E829" i="4"/>
  <c r="F829" i="4"/>
  <c r="G829" i="4"/>
  <c r="H829" i="4"/>
  <c r="I829" i="4"/>
  <c r="J829" i="4"/>
  <c r="K829" i="4"/>
  <c r="L829" i="4"/>
  <c r="M829" i="4"/>
  <c r="N829" i="4"/>
  <c r="O829" i="4"/>
  <c r="B830" i="4"/>
  <c r="C830" i="4"/>
  <c r="D830" i="4"/>
  <c r="E830" i="4"/>
  <c r="F830" i="4"/>
  <c r="G830" i="4"/>
  <c r="H830" i="4"/>
  <c r="I830" i="4"/>
  <c r="J830" i="4"/>
  <c r="K830" i="4"/>
  <c r="L830" i="4"/>
  <c r="M830" i="4"/>
  <c r="N830" i="4"/>
  <c r="O830" i="4"/>
  <c r="B831" i="4"/>
  <c r="C831" i="4"/>
  <c r="D831" i="4"/>
  <c r="E831" i="4"/>
  <c r="F831" i="4"/>
  <c r="G831" i="4"/>
  <c r="H831" i="4"/>
  <c r="I831" i="4"/>
  <c r="J831" i="4"/>
  <c r="K831" i="4"/>
  <c r="L831" i="4"/>
  <c r="M831" i="4"/>
  <c r="N831" i="4"/>
  <c r="O831" i="4"/>
  <c r="B832" i="4"/>
  <c r="C832" i="4"/>
  <c r="D832" i="4"/>
  <c r="E832" i="4"/>
  <c r="F832" i="4"/>
  <c r="G832" i="4"/>
  <c r="H832" i="4"/>
  <c r="I832" i="4"/>
  <c r="J832" i="4"/>
  <c r="K832" i="4"/>
  <c r="L832" i="4"/>
  <c r="M832" i="4"/>
  <c r="N832" i="4"/>
  <c r="O832" i="4"/>
  <c r="B833" i="4"/>
  <c r="C833" i="4"/>
  <c r="D833" i="4"/>
  <c r="E833" i="4"/>
  <c r="F833" i="4"/>
  <c r="G833" i="4"/>
  <c r="H833" i="4"/>
  <c r="I833" i="4"/>
  <c r="J833" i="4"/>
  <c r="K833" i="4"/>
  <c r="L833" i="4"/>
  <c r="M833" i="4"/>
  <c r="N833" i="4"/>
  <c r="O833" i="4"/>
  <c r="B834" i="4"/>
  <c r="C834" i="4"/>
  <c r="D834" i="4"/>
  <c r="E834" i="4"/>
  <c r="F834" i="4"/>
  <c r="G834" i="4"/>
  <c r="H834" i="4"/>
  <c r="I834" i="4"/>
  <c r="J834" i="4"/>
  <c r="K834" i="4"/>
  <c r="L834" i="4"/>
  <c r="M834" i="4"/>
  <c r="N834" i="4"/>
  <c r="O834" i="4"/>
  <c r="B835" i="4"/>
  <c r="C835" i="4"/>
  <c r="D835" i="4"/>
  <c r="E835" i="4"/>
  <c r="F835" i="4"/>
  <c r="G835" i="4"/>
  <c r="H835" i="4"/>
  <c r="I835" i="4"/>
  <c r="J835" i="4"/>
  <c r="K835" i="4"/>
  <c r="L835" i="4"/>
  <c r="M835" i="4"/>
  <c r="N835" i="4"/>
  <c r="O835" i="4"/>
  <c r="B836" i="4"/>
  <c r="C836" i="4"/>
  <c r="D836" i="4"/>
  <c r="E836" i="4"/>
  <c r="F836" i="4"/>
  <c r="G836" i="4"/>
  <c r="H836" i="4"/>
  <c r="I836" i="4"/>
  <c r="J836" i="4"/>
  <c r="K836" i="4"/>
  <c r="L836" i="4"/>
  <c r="M836" i="4"/>
  <c r="N836" i="4"/>
  <c r="O836" i="4"/>
  <c r="B837" i="4"/>
  <c r="C837" i="4"/>
  <c r="D837" i="4"/>
  <c r="E837" i="4"/>
  <c r="F837" i="4"/>
  <c r="G837" i="4"/>
  <c r="H837" i="4"/>
  <c r="I837" i="4"/>
  <c r="J837" i="4"/>
  <c r="K837" i="4"/>
  <c r="L837" i="4"/>
  <c r="M837" i="4"/>
  <c r="N837" i="4"/>
  <c r="O837" i="4"/>
  <c r="B838" i="4"/>
  <c r="C838" i="4"/>
  <c r="D838" i="4"/>
  <c r="E838" i="4"/>
  <c r="F838" i="4"/>
  <c r="G838" i="4"/>
  <c r="H838" i="4"/>
  <c r="I838" i="4"/>
  <c r="J838" i="4"/>
  <c r="K838" i="4"/>
  <c r="L838" i="4"/>
  <c r="M838" i="4"/>
  <c r="N838" i="4"/>
  <c r="O838" i="4"/>
  <c r="B839" i="4"/>
  <c r="C839" i="4"/>
  <c r="D839" i="4"/>
  <c r="E839" i="4"/>
  <c r="F839" i="4"/>
  <c r="G839" i="4"/>
  <c r="H839" i="4"/>
  <c r="I839" i="4"/>
  <c r="J839" i="4"/>
  <c r="K839" i="4"/>
  <c r="L839" i="4"/>
  <c r="M839" i="4"/>
  <c r="N839" i="4"/>
  <c r="O839" i="4"/>
  <c r="B840" i="4"/>
  <c r="C840" i="4"/>
  <c r="D840" i="4"/>
  <c r="E840" i="4"/>
  <c r="F840" i="4"/>
  <c r="G840" i="4"/>
  <c r="H840" i="4"/>
  <c r="I840" i="4"/>
  <c r="J840" i="4"/>
  <c r="K840" i="4"/>
  <c r="L840" i="4"/>
  <c r="M840" i="4"/>
  <c r="N840" i="4"/>
  <c r="O840" i="4"/>
  <c r="B841" i="4"/>
  <c r="C841" i="4"/>
  <c r="D841" i="4"/>
  <c r="E841" i="4"/>
  <c r="F841" i="4"/>
  <c r="G841" i="4"/>
  <c r="H841" i="4"/>
  <c r="I841" i="4"/>
  <c r="J841" i="4"/>
  <c r="K841" i="4"/>
  <c r="L841" i="4"/>
  <c r="M841" i="4"/>
  <c r="N841" i="4"/>
  <c r="O841" i="4"/>
  <c r="B842" i="4"/>
  <c r="C842" i="4"/>
  <c r="D842" i="4"/>
  <c r="E842" i="4"/>
  <c r="F842" i="4"/>
  <c r="G842" i="4"/>
  <c r="H842" i="4"/>
  <c r="I842" i="4"/>
  <c r="J842" i="4"/>
  <c r="K842" i="4"/>
  <c r="L842" i="4"/>
  <c r="M842" i="4"/>
  <c r="N842" i="4"/>
  <c r="O842" i="4"/>
  <c r="B843" i="4"/>
  <c r="C843" i="4"/>
  <c r="D843" i="4"/>
  <c r="E843" i="4"/>
  <c r="F843" i="4"/>
  <c r="G843" i="4"/>
  <c r="H843" i="4"/>
  <c r="I843" i="4"/>
  <c r="J843" i="4"/>
  <c r="K843" i="4"/>
  <c r="L843" i="4"/>
  <c r="M843" i="4"/>
  <c r="N843" i="4"/>
  <c r="O843" i="4"/>
  <c r="B844" i="4"/>
  <c r="C844" i="4"/>
  <c r="D844" i="4"/>
  <c r="E844" i="4"/>
  <c r="F844" i="4"/>
  <c r="G844" i="4"/>
  <c r="H844" i="4"/>
  <c r="I844" i="4"/>
  <c r="J844" i="4"/>
  <c r="K844" i="4"/>
  <c r="L844" i="4"/>
  <c r="M844" i="4"/>
  <c r="N844" i="4"/>
  <c r="O844" i="4"/>
  <c r="B845" i="4"/>
  <c r="C845" i="4"/>
  <c r="D845" i="4"/>
  <c r="E845" i="4"/>
  <c r="F845" i="4"/>
  <c r="G845" i="4"/>
  <c r="H845" i="4"/>
  <c r="I845" i="4"/>
  <c r="J845" i="4"/>
  <c r="K845" i="4"/>
  <c r="L845" i="4"/>
  <c r="M845" i="4"/>
  <c r="N845" i="4"/>
  <c r="O845" i="4"/>
  <c r="B846" i="4"/>
  <c r="C846" i="4"/>
  <c r="D846" i="4"/>
  <c r="E846" i="4"/>
  <c r="F846" i="4"/>
  <c r="G846" i="4"/>
  <c r="H846" i="4"/>
  <c r="I846" i="4"/>
  <c r="J846" i="4"/>
  <c r="K846" i="4"/>
  <c r="L846" i="4"/>
  <c r="M846" i="4"/>
  <c r="N846" i="4"/>
  <c r="O846" i="4"/>
  <c r="B847" i="4"/>
  <c r="C847" i="4"/>
  <c r="D847" i="4"/>
  <c r="E847" i="4"/>
  <c r="F847" i="4"/>
  <c r="G847" i="4"/>
  <c r="H847" i="4"/>
  <c r="I847" i="4"/>
  <c r="J847" i="4"/>
  <c r="K847" i="4"/>
  <c r="L847" i="4"/>
  <c r="M847" i="4"/>
  <c r="N847" i="4"/>
  <c r="O847" i="4"/>
  <c r="B848" i="4"/>
  <c r="C848" i="4"/>
  <c r="D848" i="4"/>
  <c r="E848" i="4"/>
  <c r="F848" i="4"/>
  <c r="G848" i="4"/>
  <c r="H848" i="4"/>
  <c r="I848" i="4"/>
  <c r="J848" i="4"/>
  <c r="K848" i="4"/>
  <c r="L848" i="4"/>
  <c r="M848" i="4"/>
  <c r="N848" i="4"/>
  <c r="O848" i="4"/>
  <c r="B849" i="4"/>
  <c r="C849" i="4"/>
  <c r="D849" i="4"/>
  <c r="E849" i="4"/>
  <c r="F849" i="4"/>
  <c r="G849" i="4"/>
  <c r="H849" i="4"/>
  <c r="I849" i="4"/>
  <c r="J849" i="4"/>
  <c r="K849" i="4"/>
  <c r="L849" i="4"/>
  <c r="M849" i="4"/>
  <c r="N849" i="4"/>
  <c r="O849" i="4"/>
  <c r="B850" i="4"/>
  <c r="C850" i="4"/>
  <c r="D850" i="4"/>
  <c r="E850" i="4"/>
  <c r="F850" i="4"/>
  <c r="G850" i="4"/>
  <c r="H850" i="4"/>
  <c r="I850" i="4"/>
  <c r="J850" i="4"/>
  <c r="K850" i="4"/>
  <c r="L850" i="4"/>
  <c r="M850" i="4"/>
  <c r="N850" i="4"/>
  <c r="O850" i="4"/>
  <c r="B851" i="4"/>
  <c r="C851" i="4"/>
  <c r="D851" i="4"/>
  <c r="E851" i="4"/>
  <c r="F851" i="4"/>
  <c r="G851" i="4"/>
  <c r="H851" i="4"/>
  <c r="I851" i="4"/>
  <c r="J851" i="4"/>
  <c r="K851" i="4"/>
  <c r="L851" i="4"/>
  <c r="M851" i="4"/>
  <c r="N851" i="4"/>
  <c r="O851" i="4"/>
  <c r="B852" i="4"/>
  <c r="C852" i="4"/>
  <c r="D852" i="4"/>
  <c r="E852" i="4"/>
  <c r="F852" i="4"/>
  <c r="G852" i="4"/>
  <c r="H852" i="4"/>
  <c r="I852" i="4"/>
  <c r="J852" i="4"/>
  <c r="K852" i="4"/>
  <c r="L852" i="4"/>
  <c r="M852" i="4"/>
  <c r="N852" i="4"/>
  <c r="O852" i="4"/>
  <c r="B853" i="4"/>
  <c r="C853" i="4"/>
  <c r="D853" i="4"/>
  <c r="E853" i="4"/>
  <c r="F853" i="4"/>
  <c r="G853" i="4"/>
  <c r="H853" i="4"/>
  <c r="I853" i="4"/>
  <c r="J853" i="4"/>
  <c r="K853" i="4"/>
  <c r="L853" i="4"/>
  <c r="M853" i="4"/>
  <c r="N853" i="4"/>
  <c r="O853" i="4"/>
  <c r="B854" i="4"/>
  <c r="C854" i="4"/>
  <c r="D854" i="4"/>
  <c r="E854" i="4"/>
  <c r="F854" i="4"/>
  <c r="G854" i="4"/>
  <c r="H854" i="4"/>
  <c r="I854" i="4"/>
  <c r="J854" i="4"/>
  <c r="K854" i="4"/>
  <c r="L854" i="4"/>
  <c r="M854" i="4"/>
  <c r="N854" i="4"/>
  <c r="O854" i="4"/>
  <c r="B855" i="4"/>
  <c r="C855" i="4"/>
  <c r="D855" i="4"/>
  <c r="E855" i="4"/>
  <c r="F855" i="4"/>
  <c r="G855" i="4"/>
  <c r="H855" i="4"/>
  <c r="I855" i="4"/>
  <c r="J855" i="4"/>
  <c r="K855" i="4"/>
  <c r="L855" i="4"/>
  <c r="M855" i="4"/>
  <c r="N855" i="4"/>
  <c r="O855" i="4"/>
  <c r="B856" i="4"/>
  <c r="C856" i="4"/>
  <c r="D856" i="4"/>
  <c r="E856" i="4"/>
  <c r="F856" i="4"/>
  <c r="G856" i="4"/>
  <c r="H856" i="4"/>
  <c r="I856" i="4"/>
  <c r="J856" i="4"/>
  <c r="K856" i="4"/>
  <c r="L856" i="4"/>
  <c r="M856" i="4"/>
  <c r="N856" i="4"/>
  <c r="O856" i="4"/>
  <c r="B857" i="4"/>
  <c r="C857" i="4"/>
  <c r="D857" i="4"/>
  <c r="E857" i="4"/>
  <c r="F857" i="4"/>
  <c r="G857" i="4"/>
  <c r="H857" i="4"/>
  <c r="I857" i="4"/>
  <c r="J857" i="4"/>
  <c r="K857" i="4"/>
  <c r="L857" i="4"/>
  <c r="M857" i="4"/>
  <c r="N857" i="4"/>
  <c r="O857" i="4"/>
  <c r="B858" i="4"/>
  <c r="C858" i="4"/>
  <c r="D858" i="4"/>
  <c r="E858" i="4"/>
  <c r="F858" i="4"/>
  <c r="G858" i="4"/>
  <c r="H858" i="4"/>
  <c r="I858" i="4"/>
  <c r="J858" i="4"/>
  <c r="K858" i="4"/>
  <c r="L858" i="4"/>
  <c r="M858" i="4"/>
  <c r="N858" i="4"/>
  <c r="O858" i="4"/>
  <c r="B859" i="4"/>
  <c r="C859" i="4"/>
  <c r="D859" i="4"/>
  <c r="E859" i="4"/>
  <c r="F859" i="4"/>
  <c r="G859" i="4"/>
  <c r="H859" i="4"/>
  <c r="I859" i="4"/>
  <c r="J859" i="4"/>
  <c r="K859" i="4"/>
  <c r="L859" i="4"/>
  <c r="M859" i="4"/>
  <c r="N859" i="4"/>
  <c r="O859" i="4"/>
  <c r="B860" i="4"/>
  <c r="C860" i="4"/>
  <c r="D860" i="4"/>
  <c r="E860" i="4"/>
  <c r="F860" i="4"/>
  <c r="G860" i="4"/>
  <c r="H860" i="4"/>
  <c r="I860" i="4"/>
  <c r="J860" i="4"/>
  <c r="K860" i="4"/>
  <c r="L860" i="4"/>
  <c r="M860" i="4"/>
  <c r="N860" i="4"/>
  <c r="O860" i="4"/>
  <c r="B861" i="4"/>
  <c r="C861" i="4"/>
  <c r="D861" i="4"/>
  <c r="E861" i="4"/>
  <c r="F861" i="4"/>
  <c r="G861" i="4"/>
  <c r="H861" i="4"/>
  <c r="I861" i="4"/>
  <c r="J861" i="4"/>
  <c r="K861" i="4"/>
  <c r="L861" i="4"/>
  <c r="M861" i="4"/>
  <c r="N861" i="4"/>
  <c r="O861" i="4"/>
  <c r="B862" i="4"/>
  <c r="C862" i="4"/>
  <c r="D862" i="4"/>
  <c r="E862" i="4"/>
  <c r="F862" i="4"/>
  <c r="G862" i="4"/>
  <c r="H862" i="4"/>
  <c r="I862" i="4"/>
  <c r="J862" i="4"/>
  <c r="K862" i="4"/>
  <c r="L862" i="4"/>
  <c r="M862" i="4"/>
  <c r="N862" i="4"/>
  <c r="O862" i="4"/>
  <c r="B863" i="4"/>
  <c r="C863" i="4"/>
  <c r="D863" i="4"/>
  <c r="E863" i="4"/>
  <c r="F863" i="4"/>
  <c r="G863" i="4"/>
  <c r="H863" i="4"/>
  <c r="I863" i="4"/>
  <c r="J863" i="4"/>
  <c r="K863" i="4"/>
  <c r="L863" i="4"/>
  <c r="M863" i="4"/>
  <c r="N863" i="4"/>
  <c r="O863" i="4"/>
  <c r="B864" i="4"/>
  <c r="C864" i="4"/>
  <c r="D864" i="4"/>
  <c r="E864" i="4"/>
  <c r="F864" i="4"/>
  <c r="G864" i="4"/>
  <c r="H864" i="4"/>
  <c r="I864" i="4"/>
  <c r="J864" i="4"/>
  <c r="K864" i="4"/>
  <c r="L864" i="4"/>
  <c r="M864" i="4"/>
  <c r="N864" i="4"/>
  <c r="O864" i="4"/>
  <c r="B865" i="4"/>
  <c r="C865" i="4"/>
  <c r="D865" i="4"/>
  <c r="E865" i="4"/>
  <c r="F865" i="4"/>
  <c r="G865" i="4"/>
  <c r="H865" i="4"/>
  <c r="I865" i="4"/>
  <c r="J865" i="4"/>
  <c r="K865" i="4"/>
  <c r="L865" i="4"/>
  <c r="M865" i="4"/>
  <c r="N865" i="4"/>
  <c r="O865" i="4"/>
  <c r="B866" i="4"/>
  <c r="C866" i="4"/>
  <c r="D866" i="4"/>
  <c r="E866" i="4"/>
  <c r="F866" i="4"/>
  <c r="G866" i="4"/>
  <c r="H866" i="4"/>
  <c r="I866" i="4"/>
  <c r="J866" i="4"/>
  <c r="K866" i="4"/>
  <c r="L866" i="4"/>
  <c r="M866" i="4"/>
  <c r="N866" i="4"/>
  <c r="O866" i="4"/>
  <c r="B867" i="4"/>
  <c r="C867" i="4"/>
  <c r="D867" i="4"/>
  <c r="E867" i="4"/>
  <c r="F867" i="4"/>
  <c r="G867" i="4"/>
  <c r="H867" i="4"/>
  <c r="I867" i="4"/>
  <c r="J867" i="4"/>
  <c r="K867" i="4"/>
  <c r="L867" i="4"/>
  <c r="M867" i="4"/>
  <c r="N867" i="4"/>
  <c r="O867" i="4"/>
  <c r="B868" i="4"/>
  <c r="C868" i="4"/>
  <c r="D868" i="4"/>
  <c r="E868" i="4"/>
  <c r="F868" i="4"/>
  <c r="G868" i="4"/>
  <c r="H868" i="4"/>
  <c r="I868" i="4"/>
  <c r="J868" i="4"/>
  <c r="K868" i="4"/>
  <c r="L868" i="4"/>
  <c r="M868" i="4"/>
  <c r="N868" i="4"/>
  <c r="O868" i="4"/>
  <c r="B869" i="4"/>
  <c r="C869" i="4"/>
  <c r="D869" i="4"/>
  <c r="E869" i="4"/>
  <c r="F869" i="4"/>
  <c r="G869" i="4"/>
  <c r="H869" i="4"/>
  <c r="I869" i="4"/>
  <c r="J869" i="4"/>
  <c r="K869" i="4"/>
  <c r="L869" i="4"/>
  <c r="M869" i="4"/>
  <c r="N869" i="4"/>
  <c r="O869" i="4"/>
  <c r="B870" i="4"/>
  <c r="C870" i="4"/>
  <c r="D870" i="4"/>
  <c r="E870" i="4"/>
  <c r="F870" i="4"/>
  <c r="G870" i="4"/>
  <c r="H870" i="4"/>
  <c r="I870" i="4"/>
  <c r="J870" i="4"/>
  <c r="K870" i="4"/>
  <c r="L870" i="4"/>
  <c r="M870" i="4"/>
  <c r="N870" i="4"/>
  <c r="O870" i="4"/>
  <c r="B871" i="4"/>
  <c r="C871" i="4"/>
  <c r="D871" i="4"/>
  <c r="E871" i="4"/>
  <c r="F871" i="4"/>
  <c r="G871" i="4"/>
  <c r="H871" i="4"/>
  <c r="I871" i="4"/>
  <c r="J871" i="4"/>
  <c r="K871" i="4"/>
  <c r="L871" i="4"/>
  <c r="M871" i="4"/>
  <c r="N871" i="4"/>
  <c r="O871" i="4"/>
  <c r="B872" i="4"/>
  <c r="C872" i="4"/>
  <c r="D872" i="4"/>
  <c r="E872" i="4"/>
  <c r="F872" i="4"/>
  <c r="G872" i="4"/>
  <c r="H872" i="4"/>
  <c r="I872" i="4"/>
  <c r="J872" i="4"/>
  <c r="K872" i="4"/>
  <c r="L872" i="4"/>
  <c r="M872" i="4"/>
  <c r="N872" i="4"/>
  <c r="O872" i="4"/>
  <c r="B873" i="4"/>
  <c r="C873" i="4"/>
  <c r="D873" i="4"/>
  <c r="E873" i="4"/>
  <c r="F873" i="4"/>
  <c r="G873" i="4"/>
  <c r="H873" i="4"/>
  <c r="I873" i="4"/>
  <c r="J873" i="4"/>
  <c r="K873" i="4"/>
  <c r="L873" i="4"/>
  <c r="M873" i="4"/>
  <c r="N873" i="4"/>
  <c r="O873" i="4"/>
  <c r="B874" i="4"/>
  <c r="C874" i="4"/>
  <c r="D874" i="4"/>
  <c r="E874" i="4"/>
  <c r="F874" i="4"/>
  <c r="G874" i="4"/>
  <c r="H874" i="4"/>
  <c r="I874" i="4"/>
  <c r="J874" i="4"/>
  <c r="K874" i="4"/>
  <c r="L874" i="4"/>
  <c r="M874" i="4"/>
  <c r="N874" i="4"/>
  <c r="O874" i="4"/>
  <c r="B875" i="4"/>
  <c r="C875" i="4"/>
  <c r="D875" i="4"/>
  <c r="E875" i="4"/>
  <c r="F875" i="4"/>
  <c r="G875" i="4"/>
  <c r="H875" i="4"/>
  <c r="I875" i="4"/>
  <c r="J875" i="4"/>
  <c r="K875" i="4"/>
  <c r="L875" i="4"/>
  <c r="M875" i="4"/>
  <c r="N875" i="4"/>
  <c r="O875" i="4"/>
  <c r="B876" i="4"/>
  <c r="C876" i="4"/>
  <c r="D876" i="4"/>
  <c r="E876" i="4"/>
  <c r="F876" i="4"/>
  <c r="G876" i="4"/>
  <c r="H876" i="4"/>
  <c r="I876" i="4"/>
  <c r="J876" i="4"/>
  <c r="K876" i="4"/>
  <c r="L876" i="4"/>
  <c r="M876" i="4"/>
  <c r="N876" i="4"/>
  <c r="O876" i="4"/>
  <c r="B877" i="4"/>
  <c r="C877" i="4"/>
  <c r="D877" i="4"/>
  <c r="E877" i="4"/>
  <c r="F877" i="4"/>
  <c r="G877" i="4"/>
  <c r="H877" i="4"/>
  <c r="I877" i="4"/>
  <c r="J877" i="4"/>
  <c r="K877" i="4"/>
  <c r="L877" i="4"/>
  <c r="M877" i="4"/>
  <c r="N877" i="4"/>
  <c r="O877" i="4"/>
  <c r="B878" i="4"/>
  <c r="C878" i="4"/>
  <c r="D878" i="4"/>
  <c r="E878" i="4"/>
  <c r="F878" i="4"/>
  <c r="G878" i="4"/>
  <c r="H878" i="4"/>
  <c r="I878" i="4"/>
  <c r="J878" i="4"/>
  <c r="K878" i="4"/>
  <c r="L878" i="4"/>
  <c r="M878" i="4"/>
  <c r="N878" i="4"/>
  <c r="O878" i="4"/>
  <c r="B879" i="4"/>
  <c r="C879" i="4"/>
  <c r="D879" i="4"/>
  <c r="E879" i="4"/>
  <c r="F879" i="4"/>
  <c r="G879" i="4"/>
  <c r="H879" i="4"/>
  <c r="I879" i="4"/>
  <c r="J879" i="4"/>
  <c r="K879" i="4"/>
  <c r="L879" i="4"/>
  <c r="M879" i="4"/>
  <c r="N879" i="4"/>
  <c r="O879" i="4"/>
  <c r="B880" i="4"/>
  <c r="C880" i="4"/>
  <c r="D880" i="4"/>
  <c r="E880" i="4"/>
  <c r="F880" i="4"/>
  <c r="G880" i="4"/>
  <c r="H880" i="4"/>
  <c r="I880" i="4"/>
  <c r="J880" i="4"/>
  <c r="K880" i="4"/>
  <c r="L880" i="4"/>
  <c r="M880" i="4"/>
  <c r="N880" i="4"/>
  <c r="O880" i="4"/>
  <c r="B881" i="4"/>
  <c r="C881" i="4"/>
  <c r="D881" i="4"/>
  <c r="E881" i="4"/>
  <c r="F881" i="4"/>
  <c r="G881" i="4"/>
  <c r="H881" i="4"/>
  <c r="I881" i="4"/>
  <c r="J881" i="4"/>
  <c r="K881" i="4"/>
  <c r="L881" i="4"/>
  <c r="M881" i="4"/>
  <c r="N881" i="4"/>
  <c r="O881" i="4"/>
  <c r="B882" i="4"/>
  <c r="C882" i="4"/>
  <c r="D882" i="4"/>
  <c r="E882" i="4"/>
  <c r="F882" i="4"/>
  <c r="G882" i="4"/>
  <c r="H882" i="4"/>
  <c r="I882" i="4"/>
  <c r="J882" i="4"/>
  <c r="K882" i="4"/>
  <c r="L882" i="4"/>
  <c r="M882" i="4"/>
  <c r="N882" i="4"/>
  <c r="O882" i="4"/>
  <c r="B883" i="4"/>
  <c r="C883" i="4"/>
  <c r="D883" i="4"/>
  <c r="E883" i="4"/>
  <c r="F883" i="4"/>
  <c r="G883" i="4"/>
  <c r="H883" i="4"/>
  <c r="I883" i="4"/>
  <c r="J883" i="4"/>
  <c r="K883" i="4"/>
  <c r="L883" i="4"/>
  <c r="M883" i="4"/>
  <c r="N883" i="4"/>
  <c r="O883" i="4"/>
  <c r="B884" i="4"/>
  <c r="C884" i="4"/>
  <c r="D884" i="4"/>
  <c r="E884" i="4"/>
  <c r="F884" i="4"/>
  <c r="G884" i="4"/>
  <c r="H884" i="4"/>
  <c r="I884" i="4"/>
  <c r="J884" i="4"/>
  <c r="K884" i="4"/>
  <c r="L884" i="4"/>
  <c r="M884" i="4"/>
  <c r="N884" i="4"/>
  <c r="O884" i="4"/>
  <c r="B885" i="4"/>
  <c r="C885" i="4"/>
  <c r="D885" i="4"/>
  <c r="E885" i="4"/>
  <c r="F885" i="4"/>
  <c r="G885" i="4"/>
  <c r="H885" i="4"/>
  <c r="I885" i="4"/>
  <c r="J885" i="4"/>
  <c r="K885" i="4"/>
  <c r="L885" i="4"/>
  <c r="M885" i="4"/>
  <c r="N885" i="4"/>
  <c r="O885" i="4"/>
  <c r="B886" i="4"/>
  <c r="C886" i="4"/>
  <c r="D886" i="4"/>
  <c r="E886" i="4"/>
  <c r="F886" i="4"/>
  <c r="G886" i="4"/>
  <c r="H886" i="4"/>
  <c r="I886" i="4"/>
  <c r="J886" i="4"/>
  <c r="K886" i="4"/>
  <c r="L886" i="4"/>
  <c r="M886" i="4"/>
  <c r="N886" i="4"/>
  <c r="O886" i="4"/>
  <c r="B887" i="4"/>
  <c r="C887" i="4"/>
  <c r="D887" i="4"/>
  <c r="E887" i="4"/>
  <c r="F887" i="4"/>
  <c r="G887" i="4"/>
  <c r="H887" i="4"/>
  <c r="I887" i="4"/>
  <c r="J887" i="4"/>
  <c r="K887" i="4"/>
  <c r="L887" i="4"/>
  <c r="M887" i="4"/>
  <c r="N887" i="4"/>
  <c r="O887" i="4"/>
  <c r="B888" i="4"/>
  <c r="C888" i="4"/>
  <c r="D888" i="4"/>
  <c r="E888" i="4"/>
  <c r="F888" i="4"/>
  <c r="G888" i="4"/>
  <c r="H888" i="4"/>
  <c r="I888" i="4"/>
  <c r="J888" i="4"/>
  <c r="K888" i="4"/>
  <c r="L888" i="4"/>
  <c r="M888" i="4"/>
  <c r="N888" i="4"/>
  <c r="O888" i="4"/>
  <c r="B889" i="4"/>
  <c r="C889" i="4"/>
  <c r="D889" i="4"/>
  <c r="E889" i="4"/>
  <c r="F889" i="4"/>
  <c r="G889" i="4"/>
  <c r="H889" i="4"/>
  <c r="I889" i="4"/>
  <c r="J889" i="4"/>
  <c r="K889" i="4"/>
  <c r="L889" i="4"/>
  <c r="M889" i="4"/>
  <c r="N889" i="4"/>
  <c r="O889" i="4"/>
  <c r="B890" i="4"/>
  <c r="C890" i="4"/>
  <c r="D890" i="4"/>
  <c r="E890" i="4"/>
  <c r="F890" i="4"/>
  <c r="G890" i="4"/>
  <c r="H890" i="4"/>
  <c r="I890" i="4"/>
  <c r="J890" i="4"/>
  <c r="K890" i="4"/>
  <c r="L890" i="4"/>
  <c r="M890" i="4"/>
  <c r="N890" i="4"/>
  <c r="O890" i="4"/>
  <c r="B891" i="4"/>
  <c r="C891" i="4"/>
  <c r="D891" i="4"/>
  <c r="E891" i="4"/>
  <c r="F891" i="4"/>
  <c r="G891" i="4"/>
  <c r="H891" i="4"/>
  <c r="I891" i="4"/>
  <c r="J891" i="4"/>
  <c r="K891" i="4"/>
  <c r="L891" i="4"/>
  <c r="M891" i="4"/>
  <c r="N891" i="4"/>
  <c r="O891" i="4"/>
  <c r="B892" i="4"/>
  <c r="C892" i="4"/>
  <c r="D892" i="4"/>
  <c r="E892" i="4"/>
  <c r="F892" i="4"/>
  <c r="G892" i="4"/>
  <c r="H892" i="4"/>
  <c r="I892" i="4"/>
  <c r="J892" i="4"/>
  <c r="K892" i="4"/>
  <c r="L892" i="4"/>
  <c r="M892" i="4"/>
  <c r="N892" i="4"/>
  <c r="O892" i="4"/>
  <c r="B893" i="4"/>
  <c r="C893" i="4"/>
  <c r="D893" i="4"/>
  <c r="E893" i="4"/>
  <c r="F893" i="4"/>
  <c r="G893" i="4"/>
  <c r="H893" i="4"/>
  <c r="I893" i="4"/>
  <c r="J893" i="4"/>
  <c r="K893" i="4"/>
  <c r="L893" i="4"/>
  <c r="M893" i="4"/>
  <c r="N893" i="4"/>
  <c r="O893" i="4"/>
  <c r="B894" i="4"/>
  <c r="C894" i="4"/>
  <c r="D894" i="4"/>
  <c r="E894" i="4"/>
  <c r="F894" i="4"/>
  <c r="G894" i="4"/>
  <c r="H894" i="4"/>
  <c r="I894" i="4"/>
  <c r="J894" i="4"/>
  <c r="K894" i="4"/>
  <c r="L894" i="4"/>
  <c r="M894" i="4"/>
  <c r="N894" i="4"/>
  <c r="O894" i="4"/>
  <c r="B895" i="4"/>
  <c r="C895" i="4"/>
  <c r="D895" i="4"/>
  <c r="E895" i="4"/>
  <c r="F895" i="4"/>
  <c r="G895" i="4"/>
  <c r="H895" i="4"/>
  <c r="I895" i="4"/>
  <c r="J895" i="4"/>
  <c r="K895" i="4"/>
  <c r="L895" i="4"/>
  <c r="M895" i="4"/>
  <c r="N895" i="4"/>
  <c r="O895" i="4"/>
  <c r="B896" i="4"/>
  <c r="C896" i="4"/>
  <c r="D896" i="4"/>
  <c r="E896" i="4"/>
  <c r="F896" i="4"/>
  <c r="G896" i="4"/>
  <c r="H896" i="4"/>
  <c r="I896" i="4"/>
  <c r="J896" i="4"/>
  <c r="K896" i="4"/>
  <c r="L896" i="4"/>
  <c r="M896" i="4"/>
  <c r="N896" i="4"/>
  <c r="O896" i="4"/>
  <c r="B897" i="4"/>
  <c r="C897" i="4"/>
  <c r="D897" i="4"/>
  <c r="E897" i="4"/>
  <c r="F897" i="4"/>
  <c r="G897" i="4"/>
  <c r="H897" i="4"/>
  <c r="I897" i="4"/>
  <c r="J897" i="4"/>
  <c r="K897" i="4"/>
  <c r="L897" i="4"/>
  <c r="M897" i="4"/>
  <c r="N897" i="4"/>
  <c r="O897" i="4"/>
  <c r="B898" i="4"/>
  <c r="C898" i="4"/>
  <c r="D898" i="4"/>
  <c r="E898" i="4"/>
  <c r="F898" i="4"/>
  <c r="G898" i="4"/>
  <c r="H898" i="4"/>
  <c r="I898" i="4"/>
  <c r="J898" i="4"/>
  <c r="K898" i="4"/>
  <c r="L898" i="4"/>
  <c r="M898" i="4"/>
  <c r="N898" i="4"/>
  <c r="O898" i="4"/>
  <c r="B899" i="4"/>
  <c r="C899" i="4"/>
  <c r="D899" i="4"/>
  <c r="E899" i="4"/>
  <c r="F899" i="4"/>
  <c r="G899" i="4"/>
  <c r="H899" i="4"/>
  <c r="I899" i="4"/>
  <c r="J899" i="4"/>
  <c r="K899" i="4"/>
  <c r="L899" i="4"/>
  <c r="M899" i="4"/>
  <c r="N899" i="4"/>
  <c r="O899" i="4"/>
  <c r="B900" i="4"/>
  <c r="C900" i="4"/>
  <c r="D900" i="4"/>
  <c r="E900" i="4"/>
  <c r="F900" i="4"/>
  <c r="G900" i="4"/>
  <c r="H900" i="4"/>
  <c r="I900" i="4"/>
  <c r="J900" i="4"/>
  <c r="K900" i="4"/>
  <c r="L900" i="4"/>
  <c r="M900" i="4"/>
  <c r="N900" i="4"/>
  <c r="O900" i="4"/>
  <c r="B901" i="4"/>
  <c r="C901" i="4"/>
  <c r="D901" i="4"/>
  <c r="E901" i="4"/>
  <c r="F901" i="4"/>
  <c r="G901" i="4"/>
  <c r="H901" i="4"/>
  <c r="I901" i="4"/>
  <c r="J901" i="4"/>
  <c r="K901" i="4"/>
  <c r="L901" i="4"/>
  <c r="M901" i="4"/>
  <c r="N901" i="4"/>
  <c r="O901" i="4"/>
  <c r="B902" i="4"/>
  <c r="C902" i="4"/>
  <c r="D902" i="4"/>
  <c r="E902" i="4"/>
  <c r="F902" i="4"/>
  <c r="G902" i="4"/>
  <c r="H902" i="4"/>
  <c r="I902" i="4"/>
  <c r="J902" i="4"/>
  <c r="K902" i="4"/>
  <c r="L902" i="4"/>
  <c r="M902" i="4"/>
  <c r="N902" i="4"/>
  <c r="O902" i="4"/>
  <c r="B903" i="4"/>
  <c r="C903" i="4"/>
  <c r="D903" i="4"/>
  <c r="E903" i="4"/>
  <c r="F903" i="4"/>
  <c r="G903" i="4"/>
  <c r="H903" i="4"/>
  <c r="I903" i="4"/>
  <c r="J903" i="4"/>
  <c r="K903" i="4"/>
  <c r="L903" i="4"/>
  <c r="M903" i="4"/>
  <c r="N903" i="4"/>
  <c r="O903" i="4"/>
  <c r="B904" i="4"/>
  <c r="C904" i="4"/>
  <c r="D904" i="4"/>
  <c r="E904" i="4"/>
  <c r="F904" i="4"/>
  <c r="G904" i="4"/>
  <c r="H904" i="4"/>
  <c r="I904" i="4"/>
  <c r="J904" i="4"/>
  <c r="K904" i="4"/>
  <c r="L904" i="4"/>
  <c r="M904" i="4"/>
  <c r="N904" i="4"/>
  <c r="O904" i="4"/>
  <c r="B905" i="4"/>
  <c r="C905" i="4"/>
  <c r="D905" i="4"/>
  <c r="E905" i="4"/>
  <c r="F905" i="4"/>
  <c r="G905" i="4"/>
  <c r="H905" i="4"/>
  <c r="I905" i="4"/>
  <c r="J905" i="4"/>
  <c r="K905" i="4"/>
  <c r="L905" i="4"/>
  <c r="M905" i="4"/>
  <c r="N905" i="4"/>
  <c r="O905" i="4"/>
  <c r="B906" i="4"/>
  <c r="C906" i="4"/>
  <c r="D906" i="4"/>
  <c r="E906" i="4"/>
  <c r="F906" i="4"/>
  <c r="G906" i="4"/>
  <c r="H906" i="4"/>
  <c r="I906" i="4"/>
  <c r="J906" i="4"/>
  <c r="K906" i="4"/>
  <c r="L906" i="4"/>
  <c r="M906" i="4"/>
  <c r="N906" i="4"/>
  <c r="O906" i="4"/>
  <c r="B907" i="4"/>
  <c r="C907" i="4"/>
  <c r="D907" i="4"/>
  <c r="E907" i="4"/>
  <c r="F907" i="4"/>
  <c r="G907" i="4"/>
  <c r="H907" i="4"/>
  <c r="I907" i="4"/>
  <c r="J907" i="4"/>
  <c r="K907" i="4"/>
  <c r="L907" i="4"/>
  <c r="M907" i="4"/>
  <c r="N907" i="4"/>
  <c r="O907" i="4"/>
  <c r="B908" i="4"/>
  <c r="C908" i="4"/>
  <c r="D908" i="4"/>
  <c r="E908" i="4"/>
  <c r="F908" i="4"/>
  <c r="G908" i="4"/>
  <c r="H908" i="4"/>
  <c r="I908" i="4"/>
  <c r="J908" i="4"/>
  <c r="K908" i="4"/>
  <c r="L908" i="4"/>
  <c r="M908" i="4"/>
  <c r="N908" i="4"/>
  <c r="O908" i="4"/>
  <c r="B909" i="4"/>
  <c r="C909" i="4"/>
  <c r="D909" i="4"/>
  <c r="E909" i="4"/>
  <c r="F909" i="4"/>
  <c r="G909" i="4"/>
  <c r="H909" i="4"/>
  <c r="I909" i="4"/>
  <c r="J909" i="4"/>
  <c r="K909" i="4"/>
  <c r="L909" i="4"/>
  <c r="M909" i="4"/>
  <c r="N909" i="4"/>
  <c r="O909" i="4"/>
  <c r="B910" i="4"/>
  <c r="C910" i="4"/>
  <c r="D910" i="4"/>
  <c r="E910" i="4"/>
  <c r="F910" i="4"/>
  <c r="G910" i="4"/>
  <c r="H910" i="4"/>
  <c r="I910" i="4"/>
  <c r="J910" i="4"/>
  <c r="K910" i="4"/>
  <c r="L910" i="4"/>
  <c r="M910" i="4"/>
  <c r="N910" i="4"/>
  <c r="O910" i="4"/>
  <c r="B911" i="4"/>
  <c r="C911" i="4"/>
  <c r="D911" i="4"/>
  <c r="E911" i="4"/>
  <c r="F911" i="4"/>
  <c r="G911" i="4"/>
  <c r="H911" i="4"/>
  <c r="I911" i="4"/>
  <c r="J911" i="4"/>
  <c r="K911" i="4"/>
  <c r="L911" i="4"/>
  <c r="M911" i="4"/>
  <c r="N911" i="4"/>
  <c r="O911" i="4"/>
  <c r="B912" i="4"/>
  <c r="C912" i="4"/>
  <c r="D912" i="4"/>
  <c r="E912" i="4"/>
  <c r="F912" i="4"/>
  <c r="G912" i="4"/>
  <c r="H912" i="4"/>
  <c r="I912" i="4"/>
  <c r="J912" i="4"/>
  <c r="K912" i="4"/>
  <c r="L912" i="4"/>
  <c r="M912" i="4"/>
  <c r="N912" i="4"/>
  <c r="O912" i="4"/>
  <c r="B913" i="4"/>
  <c r="C913" i="4"/>
  <c r="D913" i="4"/>
  <c r="E913" i="4"/>
  <c r="F913" i="4"/>
  <c r="G913" i="4"/>
  <c r="H913" i="4"/>
  <c r="I913" i="4"/>
  <c r="J913" i="4"/>
  <c r="K913" i="4"/>
  <c r="L913" i="4"/>
  <c r="M913" i="4"/>
  <c r="N913" i="4"/>
  <c r="O913" i="4"/>
  <c r="B914" i="4"/>
  <c r="C914" i="4"/>
  <c r="D914" i="4"/>
  <c r="E914" i="4"/>
  <c r="F914" i="4"/>
  <c r="G914" i="4"/>
  <c r="H914" i="4"/>
  <c r="I914" i="4"/>
  <c r="J914" i="4"/>
  <c r="K914" i="4"/>
  <c r="L914" i="4"/>
  <c r="M914" i="4"/>
  <c r="N914" i="4"/>
  <c r="O914" i="4"/>
  <c r="B915" i="4"/>
  <c r="C915" i="4"/>
  <c r="D915" i="4"/>
  <c r="E915" i="4"/>
  <c r="F915" i="4"/>
  <c r="G915" i="4"/>
  <c r="H915" i="4"/>
  <c r="I915" i="4"/>
  <c r="J915" i="4"/>
  <c r="K915" i="4"/>
  <c r="L915" i="4"/>
  <c r="M915" i="4"/>
  <c r="N915" i="4"/>
  <c r="O915" i="4"/>
  <c r="B916" i="4"/>
  <c r="C916" i="4"/>
  <c r="D916" i="4"/>
  <c r="E916" i="4"/>
  <c r="F916" i="4"/>
  <c r="G916" i="4"/>
  <c r="H916" i="4"/>
  <c r="I916" i="4"/>
  <c r="J916" i="4"/>
  <c r="K916" i="4"/>
  <c r="L916" i="4"/>
  <c r="M916" i="4"/>
  <c r="N916" i="4"/>
  <c r="O916" i="4"/>
  <c r="B917" i="4"/>
  <c r="C917" i="4"/>
  <c r="D917" i="4"/>
  <c r="E917" i="4"/>
  <c r="F917" i="4"/>
  <c r="G917" i="4"/>
  <c r="H917" i="4"/>
  <c r="I917" i="4"/>
  <c r="J917" i="4"/>
  <c r="K917" i="4"/>
  <c r="L917" i="4"/>
  <c r="M917" i="4"/>
  <c r="N917" i="4"/>
  <c r="O917" i="4"/>
  <c r="B918" i="4"/>
  <c r="C918" i="4"/>
  <c r="D918" i="4"/>
  <c r="E918" i="4"/>
  <c r="F918" i="4"/>
  <c r="G918" i="4"/>
  <c r="H918" i="4"/>
  <c r="I918" i="4"/>
  <c r="J918" i="4"/>
  <c r="K918" i="4"/>
  <c r="L918" i="4"/>
  <c r="M918" i="4"/>
  <c r="N918" i="4"/>
  <c r="O918" i="4"/>
  <c r="B919" i="4"/>
  <c r="C919" i="4"/>
  <c r="D919" i="4"/>
  <c r="E919" i="4"/>
  <c r="F919" i="4"/>
  <c r="G919" i="4"/>
  <c r="H919" i="4"/>
  <c r="I919" i="4"/>
  <c r="J919" i="4"/>
  <c r="K919" i="4"/>
  <c r="L919" i="4"/>
  <c r="M919" i="4"/>
  <c r="N919" i="4"/>
  <c r="O919" i="4"/>
  <c r="B920" i="4"/>
  <c r="C920" i="4"/>
  <c r="D920" i="4"/>
  <c r="E920" i="4"/>
  <c r="F920" i="4"/>
  <c r="G920" i="4"/>
  <c r="H920" i="4"/>
  <c r="I920" i="4"/>
  <c r="J920" i="4"/>
  <c r="K920" i="4"/>
  <c r="L920" i="4"/>
  <c r="M920" i="4"/>
  <c r="N920" i="4"/>
  <c r="O920" i="4"/>
  <c r="B921" i="4"/>
  <c r="C921" i="4"/>
  <c r="D921" i="4"/>
  <c r="E921" i="4"/>
  <c r="F921" i="4"/>
  <c r="G921" i="4"/>
  <c r="H921" i="4"/>
  <c r="I921" i="4"/>
  <c r="J921" i="4"/>
  <c r="K921" i="4"/>
  <c r="L921" i="4"/>
  <c r="M921" i="4"/>
  <c r="N921" i="4"/>
  <c r="O921" i="4"/>
  <c r="B922" i="4"/>
  <c r="C922" i="4"/>
  <c r="D922" i="4"/>
  <c r="E922" i="4"/>
  <c r="F922" i="4"/>
  <c r="G922" i="4"/>
  <c r="H922" i="4"/>
  <c r="I922" i="4"/>
  <c r="J922" i="4"/>
  <c r="K922" i="4"/>
  <c r="L922" i="4"/>
  <c r="M922" i="4"/>
  <c r="N922" i="4"/>
  <c r="O922" i="4"/>
  <c r="B923" i="4"/>
  <c r="C923" i="4"/>
  <c r="D923" i="4"/>
  <c r="E923" i="4"/>
  <c r="F923" i="4"/>
  <c r="G923" i="4"/>
  <c r="H923" i="4"/>
  <c r="I923" i="4"/>
  <c r="J923" i="4"/>
  <c r="K923" i="4"/>
  <c r="L923" i="4"/>
  <c r="M923" i="4"/>
  <c r="N923" i="4"/>
  <c r="O923" i="4"/>
  <c r="B924" i="4"/>
  <c r="C924" i="4"/>
  <c r="D924" i="4"/>
  <c r="E924" i="4"/>
  <c r="F924" i="4"/>
  <c r="G924" i="4"/>
  <c r="H924" i="4"/>
  <c r="I924" i="4"/>
  <c r="J924" i="4"/>
  <c r="K924" i="4"/>
  <c r="L924" i="4"/>
  <c r="M924" i="4"/>
  <c r="N924" i="4"/>
  <c r="O924" i="4"/>
  <c r="B925" i="4"/>
  <c r="C925" i="4"/>
  <c r="D925" i="4"/>
  <c r="E925" i="4"/>
  <c r="F925" i="4"/>
  <c r="G925" i="4"/>
  <c r="H925" i="4"/>
  <c r="I925" i="4"/>
  <c r="J925" i="4"/>
  <c r="K925" i="4"/>
  <c r="L925" i="4"/>
  <c r="M925" i="4"/>
  <c r="N925" i="4"/>
  <c r="O925" i="4"/>
  <c r="B926" i="4"/>
  <c r="C926" i="4"/>
  <c r="D926" i="4"/>
  <c r="E926" i="4"/>
  <c r="F926" i="4"/>
  <c r="G926" i="4"/>
  <c r="H926" i="4"/>
  <c r="I926" i="4"/>
  <c r="J926" i="4"/>
  <c r="K926" i="4"/>
  <c r="L926" i="4"/>
  <c r="M926" i="4"/>
  <c r="N926" i="4"/>
  <c r="O926" i="4"/>
  <c r="B927" i="4"/>
  <c r="C927" i="4"/>
  <c r="D927" i="4"/>
  <c r="E927" i="4"/>
  <c r="F927" i="4"/>
  <c r="G927" i="4"/>
  <c r="H927" i="4"/>
  <c r="I927" i="4"/>
  <c r="J927" i="4"/>
  <c r="K927" i="4"/>
  <c r="L927" i="4"/>
  <c r="M927" i="4"/>
  <c r="N927" i="4"/>
  <c r="O927" i="4"/>
  <c r="B928" i="4"/>
  <c r="C928" i="4"/>
  <c r="D928" i="4"/>
  <c r="E928" i="4"/>
  <c r="F928" i="4"/>
  <c r="G928" i="4"/>
  <c r="H928" i="4"/>
  <c r="I928" i="4"/>
  <c r="J928" i="4"/>
  <c r="K928" i="4"/>
  <c r="L928" i="4"/>
  <c r="M928" i="4"/>
  <c r="N928" i="4"/>
  <c r="O928" i="4"/>
  <c r="B929" i="4"/>
  <c r="C929" i="4"/>
  <c r="D929" i="4"/>
  <c r="E929" i="4"/>
  <c r="F929" i="4"/>
  <c r="G929" i="4"/>
  <c r="H929" i="4"/>
  <c r="I929" i="4"/>
  <c r="J929" i="4"/>
  <c r="K929" i="4"/>
  <c r="L929" i="4"/>
  <c r="M929" i="4"/>
  <c r="N929" i="4"/>
  <c r="O929" i="4"/>
  <c r="B930" i="4"/>
  <c r="C930" i="4"/>
  <c r="D930" i="4"/>
  <c r="E930" i="4"/>
  <c r="F930" i="4"/>
  <c r="G930" i="4"/>
  <c r="H930" i="4"/>
  <c r="I930" i="4"/>
  <c r="J930" i="4"/>
  <c r="K930" i="4"/>
  <c r="L930" i="4"/>
  <c r="M930" i="4"/>
  <c r="N930" i="4"/>
  <c r="O930" i="4"/>
  <c r="B931" i="4"/>
  <c r="C931" i="4"/>
  <c r="D931" i="4"/>
  <c r="E931" i="4"/>
  <c r="F931" i="4"/>
  <c r="G931" i="4"/>
  <c r="H931" i="4"/>
  <c r="I931" i="4"/>
  <c r="J931" i="4"/>
  <c r="K931" i="4"/>
  <c r="L931" i="4"/>
  <c r="M931" i="4"/>
  <c r="N931" i="4"/>
  <c r="O931" i="4"/>
  <c r="B932" i="4"/>
  <c r="C932" i="4"/>
  <c r="D932" i="4"/>
  <c r="E932" i="4"/>
  <c r="F932" i="4"/>
  <c r="G932" i="4"/>
  <c r="H932" i="4"/>
  <c r="I932" i="4"/>
  <c r="J932" i="4"/>
  <c r="K932" i="4"/>
  <c r="L932" i="4"/>
  <c r="M932" i="4"/>
  <c r="N932" i="4"/>
  <c r="O932" i="4"/>
  <c r="B933" i="4"/>
  <c r="C933" i="4"/>
  <c r="D933" i="4"/>
  <c r="E933" i="4"/>
  <c r="F933" i="4"/>
  <c r="G933" i="4"/>
  <c r="H933" i="4"/>
  <c r="I933" i="4"/>
  <c r="J933" i="4"/>
  <c r="K933" i="4"/>
  <c r="L933" i="4"/>
  <c r="M933" i="4"/>
  <c r="N933" i="4"/>
  <c r="O933" i="4"/>
  <c r="B934" i="4"/>
  <c r="C934" i="4"/>
  <c r="D934" i="4"/>
  <c r="E934" i="4"/>
  <c r="F934" i="4"/>
  <c r="G934" i="4"/>
  <c r="H934" i="4"/>
  <c r="I934" i="4"/>
  <c r="J934" i="4"/>
  <c r="K934" i="4"/>
  <c r="L934" i="4"/>
  <c r="M934" i="4"/>
  <c r="N934" i="4"/>
  <c r="O934" i="4"/>
  <c r="B935" i="4"/>
  <c r="C935" i="4"/>
  <c r="D935" i="4"/>
  <c r="E935" i="4"/>
  <c r="F935" i="4"/>
  <c r="G935" i="4"/>
  <c r="H935" i="4"/>
  <c r="I935" i="4"/>
  <c r="J935" i="4"/>
  <c r="K935" i="4"/>
  <c r="L935" i="4"/>
  <c r="M935" i="4"/>
  <c r="N935" i="4"/>
  <c r="O935" i="4"/>
  <c r="B936" i="4"/>
  <c r="C936" i="4"/>
  <c r="D936" i="4"/>
  <c r="E936" i="4"/>
  <c r="F936" i="4"/>
  <c r="G936" i="4"/>
  <c r="H936" i="4"/>
  <c r="I936" i="4"/>
  <c r="J936" i="4"/>
  <c r="K936" i="4"/>
  <c r="L936" i="4"/>
  <c r="M936" i="4"/>
  <c r="N936" i="4"/>
  <c r="O936" i="4"/>
  <c r="B937" i="4"/>
  <c r="C937" i="4"/>
  <c r="D937" i="4"/>
  <c r="E937" i="4"/>
  <c r="F937" i="4"/>
  <c r="G937" i="4"/>
  <c r="H937" i="4"/>
  <c r="I937" i="4"/>
  <c r="J937" i="4"/>
  <c r="K937" i="4"/>
  <c r="L937" i="4"/>
  <c r="M937" i="4"/>
  <c r="N937" i="4"/>
  <c r="O937" i="4"/>
  <c r="B938" i="4"/>
  <c r="C938" i="4"/>
  <c r="D938" i="4"/>
  <c r="E938" i="4"/>
  <c r="F938" i="4"/>
  <c r="G938" i="4"/>
  <c r="H938" i="4"/>
  <c r="I938" i="4"/>
  <c r="J938" i="4"/>
  <c r="K938" i="4"/>
  <c r="L938" i="4"/>
  <c r="M938" i="4"/>
  <c r="N938" i="4"/>
  <c r="O938" i="4"/>
  <c r="B939" i="4"/>
  <c r="C939" i="4"/>
  <c r="D939" i="4"/>
  <c r="E939" i="4"/>
  <c r="F939" i="4"/>
  <c r="G939" i="4"/>
  <c r="H939" i="4"/>
  <c r="I939" i="4"/>
  <c r="J939" i="4"/>
  <c r="K939" i="4"/>
  <c r="L939" i="4"/>
  <c r="M939" i="4"/>
  <c r="N939" i="4"/>
  <c r="O939" i="4"/>
  <c r="B940" i="4"/>
  <c r="C940" i="4"/>
  <c r="D940" i="4"/>
  <c r="E940" i="4"/>
  <c r="F940" i="4"/>
  <c r="G940" i="4"/>
  <c r="H940" i="4"/>
  <c r="I940" i="4"/>
  <c r="J940" i="4"/>
  <c r="K940" i="4"/>
  <c r="L940" i="4"/>
  <c r="M940" i="4"/>
  <c r="N940" i="4"/>
  <c r="O940" i="4"/>
  <c r="B941" i="4"/>
  <c r="C941" i="4"/>
  <c r="D941" i="4"/>
  <c r="E941" i="4"/>
  <c r="F941" i="4"/>
  <c r="G941" i="4"/>
  <c r="H941" i="4"/>
  <c r="I941" i="4"/>
  <c r="J941" i="4"/>
  <c r="K941" i="4"/>
  <c r="L941" i="4"/>
  <c r="M941" i="4"/>
  <c r="N941" i="4"/>
  <c r="O941" i="4"/>
  <c r="B942" i="4"/>
  <c r="C942" i="4"/>
  <c r="D942" i="4"/>
  <c r="E942" i="4"/>
  <c r="F942" i="4"/>
  <c r="G942" i="4"/>
  <c r="H942" i="4"/>
  <c r="I942" i="4"/>
  <c r="J942" i="4"/>
  <c r="K942" i="4"/>
  <c r="L942" i="4"/>
  <c r="M942" i="4"/>
  <c r="N942" i="4"/>
  <c r="O942" i="4"/>
  <c r="B943" i="4"/>
  <c r="C943" i="4"/>
  <c r="D943" i="4"/>
  <c r="E943" i="4"/>
  <c r="F943" i="4"/>
  <c r="G943" i="4"/>
  <c r="H943" i="4"/>
  <c r="I943" i="4"/>
  <c r="J943" i="4"/>
  <c r="K943" i="4"/>
  <c r="L943" i="4"/>
  <c r="M943" i="4"/>
  <c r="N943" i="4"/>
  <c r="O943" i="4"/>
  <c r="B944" i="4"/>
  <c r="C944" i="4"/>
  <c r="D944" i="4"/>
  <c r="E944" i="4"/>
  <c r="F944" i="4"/>
  <c r="G944" i="4"/>
  <c r="H944" i="4"/>
  <c r="I944" i="4"/>
  <c r="J944" i="4"/>
  <c r="K944" i="4"/>
  <c r="L944" i="4"/>
  <c r="M944" i="4"/>
  <c r="N944" i="4"/>
  <c r="O944" i="4"/>
  <c r="B945" i="4"/>
  <c r="C945" i="4"/>
  <c r="D945" i="4"/>
  <c r="E945" i="4"/>
  <c r="F945" i="4"/>
  <c r="G945" i="4"/>
  <c r="H945" i="4"/>
  <c r="I945" i="4"/>
  <c r="J945" i="4"/>
  <c r="K945" i="4"/>
  <c r="L945" i="4"/>
  <c r="M945" i="4"/>
  <c r="N945" i="4"/>
  <c r="O945" i="4"/>
  <c r="B946" i="4"/>
  <c r="C946" i="4"/>
  <c r="D946" i="4"/>
  <c r="E946" i="4"/>
  <c r="F946" i="4"/>
  <c r="G946" i="4"/>
  <c r="H946" i="4"/>
  <c r="I946" i="4"/>
  <c r="J946" i="4"/>
  <c r="K946" i="4"/>
  <c r="L946" i="4"/>
  <c r="M946" i="4"/>
  <c r="N946" i="4"/>
  <c r="O946" i="4"/>
  <c r="B947" i="4"/>
  <c r="C947" i="4"/>
  <c r="D947" i="4"/>
  <c r="E947" i="4"/>
  <c r="F947" i="4"/>
  <c r="G947" i="4"/>
  <c r="H947" i="4"/>
  <c r="I947" i="4"/>
  <c r="J947" i="4"/>
  <c r="K947" i="4"/>
  <c r="L947" i="4"/>
  <c r="M947" i="4"/>
  <c r="N947" i="4"/>
  <c r="O947" i="4"/>
  <c r="B948" i="4"/>
  <c r="C948" i="4"/>
  <c r="D948" i="4"/>
  <c r="E948" i="4"/>
  <c r="F948" i="4"/>
  <c r="G948" i="4"/>
  <c r="H948" i="4"/>
  <c r="I948" i="4"/>
  <c r="J948" i="4"/>
  <c r="K948" i="4"/>
  <c r="L948" i="4"/>
  <c r="M948" i="4"/>
  <c r="N948" i="4"/>
  <c r="O948" i="4"/>
  <c r="B949" i="4"/>
  <c r="C949" i="4"/>
  <c r="D949" i="4"/>
  <c r="E949" i="4"/>
  <c r="F949" i="4"/>
  <c r="G949" i="4"/>
  <c r="H949" i="4"/>
  <c r="I949" i="4"/>
  <c r="J949" i="4"/>
  <c r="K949" i="4"/>
  <c r="L949" i="4"/>
  <c r="M949" i="4"/>
  <c r="N949" i="4"/>
  <c r="O949" i="4"/>
  <c r="B950" i="4"/>
  <c r="C950" i="4"/>
  <c r="D950" i="4"/>
  <c r="E950" i="4"/>
  <c r="F950" i="4"/>
  <c r="G950" i="4"/>
  <c r="H950" i="4"/>
  <c r="I950" i="4"/>
  <c r="J950" i="4"/>
  <c r="K950" i="4"/>
  <c r="L950" i="4"/>
  <c r="M950" i="4"/>
  <c r="N950" i="4"/>
  <c r="O950" i="4"/>
  <c r="B951" i="4"/>
  <c r="C951" i="4"/>
  <c r="D951" i="4"/>
  <c r="E951" i="4"/>
  <c r="F951" i="4"/>
  <c r="G951" i="4"/>
  <c r="H951" i="4"/>
  <c r="I951" i="4"/>
  <c r="J951" i="4"/>
  <c r="K951" i="4"/>
  <c r="L951" i="4"/>
  <c r="M951" i="4"/>
  <c r="N951" i="4"/>
  <c r="O951" i="4"/>
  <c r="B952" i="4"/>
  <c r="C952" i="4"/>
  <c r="D952" i="4"/>
  <c r="E952" i="4"/>
  <c r="F952" i="4"/>
  <c r="G952" i="4"/>
  <c r="H952" i="4"/>
  <c r="I952" i="4"/>
  <c r="J952" i="4"/>
  <c r="K952" i="4"/>
  <c r="L952" i="4"/>
  <c r="M952" i="4"/>
  <c r="N952" i="4"/>
  <c r="O952" i="4"/>
  <c r="B953" i="4"/>
  <c r="C953" i="4"/>
  <c r="D953" i="4"/>
  <c r="E953" i="4"/>
  <c r="F953" i="4"/>
  <c r="G953" i="4"/>
  <c r="H953" i="4"/>
  <c r="I953" i="4"/>
  <c r="J953" i="4"/>
  <c r="K953" i="4"/>
  <c r="L953" i="4"/>
  <c r="M953" i="4"/>
  <c r="N953" i="4"/>
  <c r="O953" i="4"/>
  <c r="B954" i="4"/>
  <c r="C954" i="4"/>
  <c r="D954" i="4"/>
  <c r="E954" i="4"/>
  <c r="F954" i="4"/>
  <c r="G954" i="4"/>
  <c r="H954" i="4"/>
  <c r="I954" i="4"/>
  <c r="J954" i="4"/>
  <c r="K954" i="4"/>
  <c r="L954" i="4"/>
  <c r="M954" i="4"/>
  <c r="N954" i="4"/>
  <c r="O954" i="4"/>
  <c r="B955" i="4"/>
  <c r="C955" i="4"/>
  <c r="D955" i="4"/>
  <c r="E955" i="4"/>
  <c r="F955" i="4"/>
  <c r="G955" i="4"/>
  <c r="H955" i="4"/>
  <c r="I955" i="4"/>
  <c r="J955" i="4"/>
  <c r="K955" i="4"/>
  <c r="L955" i="4"/>
  <c r="M955" i="4"/>
  <c r="N955" i="4"/>
  <c r="O955" i="4"/>
  <c r="B956" i="4"/>
  <c r="C956" i="4"/>
  <c r="D956" i="4"/>
  <c r="E956" i="4"/>
  <c r="F956" i="4"/>
  <c r="G956" i="4"/>
  <c r="H956" i="4"/>
  <c r="I956" i="4"/>
  <c r="J956" i="4"/>
  <c r="K956" i="4"/>
  <c r="L956" i="4"/>
  <c r="M956" i="4"/>
  <c r="N956" i="4"/>
  <c r="O956" i="4"/>
  <c r="B957" i="4"/>
  <c r="C957" i="4"/>
  <c r="D957" i="4"/>
  <c r="E957" i="4"/>
  <c r="F957" i="4"/>
  <c r="G957" i="4"/>
  <c r="H957" i="4"/>
  <c r="I957" i="4"/>
  <c r="J957" i="4"/>
  <c r="K957" i="4"/>
  <c r="L957" i="4"/>
  <c r="M957" i="4"/>
  <c r="N957" i="4"/>
  <c r="O957" i="4"/>
  <c r="B958" i="4"/>
  <c r="C958" i="4"/>
  <c r="D958" i="4"/>
  <c r="E958" i="4"/>
  <c r="F958" i="4"/>
  <c r="G958" i="4"/>
  <c r="H958" i="4"/>
  <c r="I958" i="4"/>
  <c r="J958" i="4"/>
  <c r="K958" i="4"/>
  <c r="L958" i="4"/>
  <c r="M958" i="4"/>
  <c r="N958" i="4"/>
  <c r="O958" i="4"/>
  <c r="B959" i="4"/>
  <c r="C959" i="4"/>
  <c r="D959" i="4"/>
  <c r="E959" i="4"/>
  <c r="F959" i="4"/>
  <c r="G959" i="4"/>
  <c r="H959" i="4"/>
  <c r="I959" i="4"/>
  <c r="J959" i="4"/>
  <c r="K959" i="4"/>
  <c r="L959" i="4"/>
  <c r="M959" i="4"/>
  <c r="N959" i="4"/>
  <c r="O959" i="4"/>
  <c r="B960" i="4"/>
  <c r="C960" i="4"/>
  <c r="D960" i="4"/>
  <c r="E960" i="4"/>
  <c r="F960" i="4"/>
  <c r="G960" i="4"/>
  <c r="H960" i="4"/>
  <c r="I960" i="4"/>
  <c r="J960" i="4"/>
  <c r="K960" i="4"/>
  <c r="L960" i="4"/>
  <c r="M960" i="4"/>
  <c r="N960" i="4"/>
  <c r="O960" i="4"/>
  <c r="B961" i="4"/>
  <c r="C961" i="4"/>
  <c r="D961" i="4"/>
  <c r="E961" i="4"/>
  <c r="F961" i="4"/>
  <c r="G961" i="4"/>
  <c r="H961" i="4"/>
  <c r="I961" i="4"/>
  <c r="J961" i="4"/>
  <c r="K961" i="4"/>
  <c r="L961" i="4"/>
  <c r="M961" i="4"/>
  <c r="N961" i="4"/>
  <c r="O961" i="4"/>
  <c r="B962" i="4"/>
  <c r="C962" i="4"/>
  <c r="D962" i="4"/>
  <c r="E962" i="4"/>
  <c r="F962" i="4"/>
  <c r="G962" i="4"/>
  <c r="H962" i="4"/>
  <c r="I962" i="4"/>
  <c r="J962" i="4"/>
  <c r="K962" i="4"/>
  <c r="L962" i="4"/>
  <c r="M962" i="4"/>
  <c r="N962" i="4"/>
  <c r="O962" i="4"/>
  <c r="B963" i="4"/>
  <c r="C963" i="4"/>
  <c r="D963" i="4"/>
  <c r="E963" i="4"/>
  <c r="F963" i="4"/>
  <c r="G963" i="4"/>
  <c r="H963" i="4"/>
  <c r="I963" i="4"/>
  <c r="J963" i="4"/>
  <c r="K963" i="4"/>
  <c r="L963" i="4"/>
  <c r="M963" i="4"/>
  <c r="N963" i="4"/>
  <c r="O963" i="4"/>
  <c r="B964" i="4"/>
  <c r="C964" i="4"/>
  <c r="D964" i="4"/>
  <c r="E964" i="4"/>
  <c r="F964" i="4"/>
  <c r="G964" i="4"/>
  <c r="H964" i="4"/>
  <c r="I964" i="4"/>
  <c r="J964" i="4"/>
  <c r="K964" i="4"/>
  <c r="L964" i="4"/>
  <c r="M964" i="4"/>
  <c r="N964" i="4"/>
  <c r="O964" i="4"/>
  <c r="B965" i="4"/>
  <c r="C965" i="4"/>
  <c r="D965" i="4"/>
  <c r="E965" i="4"/>
  <c r="F965" i="4"/>
  <c r="G965" i="4"/>
  <c r="H965" i="4"/>
  <c r="I965" i="4"/>
  <c r="J965" i="4"/>
  <c r="K965" i="4"/>
  <c r="L965" i="4"/>
  <c r="M965" i="4"/>
  <c r="N965" i="4"/>
  <c r="O965" i="4"/>
  <c r="B966" i="4"/>
  <c r="C966" i="4"/>
  <c r="D966" i="4"/>
  <c r="E966" i="4"/>
  <c r="F966" i="4"/>
  <c r="G966" i="4"/>
  <c r="H966" i="4"/>
  <c r="I966" i="4"/>
  <c r="J966" i="4"/>
  <c r="K966" i="4"/>
  <c r="L966" i="4"/>
  <c r="M966" i="4"/>
  <c r="N966" i="4"/>
  <c r="O966" i="4"/>
  <c r="B967" i="4"/>
  <c r="C967" i="4"/>
  <c r="D967" i="4"/>
  <c r="E967" i="4"/>
  <c r="F967" i="4"/>
  <c r="G967" i="4"/>
  <c r="H967" i="4"/>
  <c r="I967" i="4"/>
  <c r="J967" i="4"/>
  <c r="K967" i="4"/>
  <c r="L967" i="4"/>
  <c r="M967" i="4"/>
  <c r="N967" i="4"/>
  <c r="O967" i="4"/>
  <c r="B968" i="4"/>
  <c r="C968" i="4"/>
  <c r="D968" i="4"/>
  <c r="E968" i="4"/>
  <c r="F968" i="4"/>
  <c r="G968" i="4"/>
  <c r="H968" i="4"/>
  <c r="I968" i="4"/>
  <c r="J968" i="4"/>
  <c r="K968" i="4"/>
  <c r="L968" i="4"/>
  <c r="M968" i="4"/>
  <c r="N968" i="4"/>
  <c r="O968" i="4"/>
  <c r="B969" i="4"/>
  <c r="C969" i="4"/>
  <c r="D969" i="4"/>
  <c r="E969" i="4"/>
  <c r="F969" i="4"/>
  <c r="G969" i="4"/>
  <c r="H969" i="4"/>
  <c r="I969" i="4"/>
  <c r="J969" i="4"/>
  <c r="K969" i="4"/>
  <c r="L969" i="4"/>
  <c r="M969" i="4"/>
  <c r="N969" i="4"/>
  <c r="O969" i="4"/>
  <c r="B970" i="4"/>
  <c r="C970" i="4"/>
  <c r="D970" i="4"/>
  <c r="E970" i="4"/>
  <c r="F970" i="4"/>
  <c r="G970" i="4"/>
  <c r="H970" i="4"/>
  <c r="I970" i="4"/>
  <c r="J970" i="4"/>
  <c r="K970" i="4"/>
  <c r="L970" i="4"/>
  <c r="M970" i="4"/>
  <c r="N970" i="4"/>
  <c r="O970" i="4"/>
  <c r="B971" i="4"/>
  <c r="C971" i="4"/>
  <c r="D971" i="4"/>
  <c r="E971" i="4"/>
  <c r="F971" i="4"/>
  <c r="G971" i="4"/>
  <c r="H971" i="4"/>
  <c r="I971" i="4"/>
  <c r="J971" i="4"/>
  <c r="K971" i="4"/>
  <c r="L971" i="4"/>
  <c r="M971" i="4"/>
  <c r="N971" i="4"/>
  <c r="O971" i="4"/>
  <c r="B972" i="4"/>
  <c r="C972" i="4"/>
  <c r="D972" i="4"/>
  <c r="E972" i="4"/>
  <c r="F972" i="4"/>
  <c r="G972" i="4"/>
  <c r="H972" i="4"/>
  <c r="I972" i="4"/>
  <c r="J972" i="4"/>
  <c r="K972" i="4"/>
  <c r="L972" i="4"/>
  <c r="M972" i="4"/>
  <c r="N972" i="4"/>
  <c r="O972" i="4"/>
  <c r="B973" i="4"/>
  <c r="C973" i="4"/>
  <c r="D973" i="4"/>
  <c r="E973" i="4"/>
  <c r="F973" i="4"/>
  <c r="G973" i="4"/>
  <c r="H973" i="4"/>
  <c r="I973" i="4"/>
  <c r="J973" i="4"/>
  <c r="K973" i="4"/>
  <c r="L973" i="4"/>
  <c r="M973" i="4"/>
  <c r="N973" i="4"/>
  <c r="O973" i="4"/>
  <c r="B974" i="4"/>
  <c r="C974" i="4"/>
  <c r="D974" i="4"/>
  <c r="E974" i="4"/>
  <c r="F974" i="4"/>
  <c r="G974" i="4"/>
  <c r="H974" i="4"/>
  <c r="I974" i="4"/>
  <c r="J974" i="4"/>
  <c r="K974" i="4"/>
  <c r="L974" i="4"/>
  <c r="M974" i="4"/>
  <c r="N974" i="4"/>
  <c r="O974" i="4"/>
  <c r="B975" i="4"/>
  <c r="C975" i="4"/>
  <c r="D975" i="4"/>
  <c r="E975" i="4"/>
  <c r="F975" i="4"/>
  <c r="G975" i="4"/>
  <c r="H975" i="4"/>
  <c r="I975" i="4"/>
  <c r="J975" i="4"/>
  <c r="K975" i="4"/>
  <c r="L975" i="4"/>
  <c r="M975" i="4"/>
  <c r="N975" i="4"/>
  <c r="O975" i="4"/>
  <c r="B976" i="4"/>
  <c r="C976" i="4"/>
  <c r="D976" i="4"/>
  <c r="E976" i="4"/>
  <c r="F976" i="4"/>
  <c r="G976" i="4"/>
  <c r="H976" i="4"/>
  <c r="I976" i="4"/>
  <c r="J976" i="4"/>
  <c r="K976" i="4"/>
  <c r="L976" i="4"/>
  <c r="M976" i="4"/>
  <c r="N976" i="4"/>
  <c r="O976" i="4"/>
  <c r="B977" i="4"/>
  <c r="C977" i="4"/>
  <c r="D977" i="4"/>
  <c r="E977" i="4"/>
  <c r="F977" i="4"/>
  <c r="G977" i="4"/>
  <c r="H977" i="4"/>
  <c r="I977" i="4"/>
  <c r="J977" i="4"/>
  <c r="K977" i="4"/>
  <c r="L977" i="4"/>
  <c r="M977" i="4"/>
  <c r="N977" i="4"/>
  <c r="O977" i="4"/>
  <c r="B978" i="4"/>
  <c r="C978" i="4"/>
  <c r="D978" i="4"/>
  <c r="E978" i="4"/>
  <c r="F978" i="4"/>
  <c r="G978" i="4"/>
  <c r="H978" i="4"/>
  <c r="I978" i="4"/>
  <c r="J978" i="4"/>
  <c r="K978" i="4"/>
  <c r="L978" i="4"/>
  <c r="M978" i="4"/>
  <c r="N978" i="4"/>
  <c r="O978" i="4"/>
  <c r="B979" i="4"/>
  <c r="C979" i="4"/>
  <c r="D979" i="4"/>
  <c r="E979" i="4"/>
  <c r="F979" i="4"/>
  <c r="G979" i="4"/>
  <c r="H979" i="4"/>
  <c r="I979" i="4"/>
  <c r="J979" i="4"/>
  <c r="K979" i="4"/>
  <c r="L979" i="4"/>
  <c r="M979" i="4"/>
  <c r="N979" i="4"/>
  <c r="O979" i="4"/>
  <c r="B980" i="4"/>
  <c r="C980" i="4"/>
  <c r="D980" i="4"/>
  <c r="E980" i="4"/>
  <c r="F980" i="4"/>
  <c r="G980" i="4"/>
  <c r="H980" i="4"/>
  <c r="I980" i="4"/>
  <c r="J980" i="4"/>
  <c r="K980" i="4"/>
  <c r="L980" i="4"/>
  <c r="M980" i="4"/>
  <c r="N980" i="4"/>
  <c r="O980" i="4"/>
  <c r="B981" i="4"/>
  <c r="C981" i="4"/>
  <c r="D981" i="4"/>
  <c r="E981" i="4"/>
  <c r="F981" i="4"/>
  <c r="G981" i="4"/>
  <c r="H981" i="4"/>
  <c r="I981" i="4"/>
  <c r="J981" i="4"/>
  <c r="K981" i="4"/>
  <c r="L981" i="4"/>
  <c r="M981" i="4"/>
  <c r="N981" i="4"/>
  <c r="O981" i="4"/>
  <c r="B982" i="4"/>
  <c r="C982" i="4"/>
  <c r="D982" i="4"/>
  <c r="E982" i="4"/>
  <c r="F982" i="4"/>
  <c r="G982" i="4"/>
  <c r="H982" i="4"/>
  <c r="I982" i="4"/>
  <c r="J982" i="4"/>
  <c r="K982" i="4"/>
  <c r="L982" i="4"/>
  <c r="M982" i="4"/>
  <c r="N982" i="4"/>
  <c r="O982" i="4"/>
  <c r="B983" i="4"/>
  <c r="C983" i="4"/>
  <c r="D983" i="4"/>
  <c r="E983" i="4"/>
  <c r="F983" i="4"/>
  <c r="G983" i="4"/>
  <c r="H983" i="4"/>
  <c r="I983" i="4"/>
  <c r="J983" i="4"/>
  <c r="K983" i="4"/>
  <c r="L983" i="4"/>
  <c r="M983" i="4"/>
  <c r="N983" i="4"/>
  <c r="O983" i="4"/>
  <c r="B984" i="4"/>
  <c r="C984" i="4"/>
  <c r="D984" i="4"/>
  <c r="E984" i="4"/>
  <c r="F984" i="4"/>
  <c r="G984" i="4"/>
  <c r="H984" i="4"/>
  <c r="I984" i="4"/>
  <c r="J984" i="4"/>
  <c r="K984" i="4"/>
  <c r="L984" i="4"/>
  <c r="M984" i="4"/>
  <c r="N984" i="4"/>
  <c r="O984" i="4"/>
  <c r="B985" i="4"/>
  <c r="C985" i="4"/>
  <c r="D985" i="4"/>
  <c r="E985" i="4"/>
  <c r="F985" i="4"/>
  <c r="G985" i="4"/>
  <c r="H985" i="4"/>
  <c r="I985" i="4"/>
  <c r="J985" i="4"/>
  <c r="K985" i="4"/>
  <c r="L985" i="4"/>
  <c r="M985" i="4"/>
  <c r="N985" i="4"/>
  <c r="O985" i="4"/>
  <c r="B986" i="4"/>
  <c r="C986" i="4"/>
  <c r="D986" i="4"/>
  <c r="E986" i="4"/>
  <c r="F986" i="4"/>
  <c r="G986" i="4"/>
  <c r="H986" i="4"/>
  <c r="I986" i="4"/>
  <c r="J986" i="4"/>
  <c r="K986" i="4"/>
  <c r="L986" i="4"/>
  <c r="M986" i="4"/>
  <c r="N986" i="4"/>
  <c r="O986" i="4"/>
  <c r="B987" i="4"/>
  <c r="C987" i="4"/>
  <c r="D987" i="4"/>
  <c r="E987" i="4"/>
  <c r="F987" i="4"/>
  <c r="G987" i="4"/>
  <c r="H987" i="4"/>
  <c r="I987" i="4"/>
  <c r="J987" i="4"/>
  <c r="K987" i="4"/>
  <c r="L987" i="4"/>
  <c r="M987" i="4"/>
  <c r="N987" i="4"/>
  <c r="O987" i="4"/>
  <c r="B988" i="4"/>
  <c r="C988" i="4"/>
  <c r="D988" i="4"/>
  <c r="E988" i="4"/>
  <c r="F988" i="4"/>
  <c r="G988" i="4"/>
  <c r="H988" i="4"/>
  <c r="I988" i="4"/>
  <c r="J988" i="4"/>
  <c r="K988" i="4"/>
  <c r="L988" i="4"/>
  <c r="M988" i="4"/>
  <c r="N988" i="4"/>
  <c r="O988" i="4"/>
  <c r="B989" i="4"/>
  <c r="C989" i="4"/>
  <c r="D989" i="4"/>
  <c r="E989" i="4"/>
  <c r="F989" i="4"/>
  <c r="G989" i="4"/>
  <c r="H989" i="4"/>
  <c r="I989" i="4"/>
  <c r="J989" i="4"/>
  <c r="K989" i="4"/>
  <c r="L989" i="4"/>
  <c r="M989" i="4"/>
  <c r="N989" i="4"/>
  <c r="O989" i="4"/>
  <c r="B990" i="4"/>
  <c r="C990" i="4"/>
  <c r="D990" i="4"/>
  <c r="E990" i="4"/>
  <c r="F990" i="4"/>
  <c r="G990" i="4"/>
  <c r="H990" i="4"/>
  <c r="I990" i="4"/>
  <c r="J990" i="4"/>
  <c r="K990" i="4"/>
  <c r="L990" i="4"/>
  <c r="M990" i="4"/>
  <c r="N990" i="4"/>
  <c r="O990" i="4"/>
  <c r="B991" i="4"/>
  <c r="C991" i="4"/>
  <c r="D991" i="4"/>
  <c r="E991" i="4"/>
  <c r="F991" i="4"/>
  <c r="G991" i="4"/>
  <c r="H991" i="4"/>
  <c r="I991" i="4"/>
  <c r="J991" i="4"/>
  <c r="K991" i="4"/>
  <c r="L991" i="4"/>
  <c r="M991" i="4"/>
  <c r="N991" i="4"/>
  <c r="O991" i="4"/>
  <c r="B992" i="4"/>
  <c r="C992" i="4"/>
  <c r="D992" i="4"/>
  <c r="E992" i="4"/>
  <c r="F992" i="4"/>
  <c r="G992" i="4"/>
  <c r="H992" i="4"/>
  <c r="I992" i="4"/>
  <c r="J992" i="4"/>
  <c r="K992" i="4"/>
  <c r="L992" i="4"/>
  <c r="M992" i="4"/>
  <c r="N992" i="4"/>
  <c r="O992" i="4"/>
  <c r="B993" i="4"/>
  <c r="C993" i="4"/>
  <c r="D993" i="4"/>
  <c r="E993" i="4"/>
  <c r="F993" i="4"/>
  <c r="G993" i="4"/>
  <c r="H993" i="4"/>
  <c r="I993" i="4"/>
  <c r="J993" i="4"/>
  <c r="K993" i="4"/>
  <c r="L993" i="4"/>
  <c r="M993" i="4"/>
  <c r="N993" i="4"/>
  <c r="O993" i="4"/>
  <c r="B994" i="4"/>
  <c r="C994" i="4"/>
  <c r="D994" i="4"/>
  <c r="E994" i="4"/>
  <c r="F994" i="4"/>
  <c r="G994" i="4"/>
  <c r="H994" i="4"/>
  <c r="I994" i="4"/>
  <c r="J994" i="4"/>
  <c r="K994" i="4"/>
  <c r="L994" i="4"/>
  <c r="M994" i="4"/>
  <c r="N994" i="4"/>
  <c r="O994" i="4"/>
  <c r="B995" i="4"/>
  <c r="C995" i="4"/>
  <c r="D995" i="4"/>
  <c r="E995" i="4"/>
  <c r="F995" i="4"/>
  <c r="G995" i="4"/>
  <c r="H995" i="4"/>
  <c r="I995" i="4"/>
  <c r="J995" i="4"/>
  <c r="K995" i="4"/>
  <c r="L995" i="4"/>
  <c r="M995" i="4"/>
  <c r="N995" i="4"/>
  <c r="O995" i="4"/>
  <c r="B996" i="4"/>
  <c r="C996" i="4"/>
  <c r="D996" i="4"/>
  <c r="E996" i="4"/>
  <c r="F996" i="4"/>
  <c r="G996" i="4"/>
  <c r="H996" i="4"/>
  <c r="I996" i="4"/>
  <c r="J996" i="4"/>
  <c r="K996" i="4"/>
  <c r="L996" i="4"/>
  <c r="M996" i="4"/>
  <c r="N996" i="4"/>
  <c r="O996" i="4"/>
  <c r="B997" i="4"/>
  <c r="C997" i="4"/>
  <c r="D997" i="4"/>
  <c r="E997" i="4"/>
  <c r="F997" i="4"/>
  <c r="G997" i="4"/>
  <c r="H997" i="4"/>
  <c r="I997" i="4"/>
  <c r="J997" i="4"/>
  <c r="K997" i="4"/>
  <c r="L997" i="4"/>
  <c r="M997" i="4"/>
  <c r="N997" i="4"/>
  <c r="O997" i="4"/>
  <c r="B998" i="4"/>
  <c r="C998" i="4"/>
  <c r="D998" i="4"/>
  <c r="E998" i="4"/>
  <c r="F998" i="4"/>
  <c r="G998" i="4"/>
  <c r="H998" i="4"/>
  <c r="I998" i="4"/>
  <c r="J998" i="4"/>
  <c r="K998" i="4"/>
  <c r="L998" i="4"/>
  <c r="M998" i="4"/>
  <c r="N998" i="4"/>
  <c r="O998" i="4"/>
  <c r="B999" i="4"/>
  <c r="C999" i="4"/>
  <c r="D999" i="4"/>
  <c r="E999" i="4"/>
  <c r="F999" i="4"/>
  <c r="G999" i="4"/>
  <c r="H999" i="4"/>
  <c r="I999" i="4"/>
  <c r="J999" i="4"/>
  <c r="K999" i="4"/>
  <c r="L999" i="4"/>
  <c r="M999" i="4"/>
  <c r="N999" i="4"/>
  <c r="O999" i="4"/>
  <c r="B1000" i="4"/>
  <c r="C1000" i="4"/>
  <c r="D1000" i="4"/>
  <c r="E1000" i="4"/>
  <c r="F1000" i="4"/>
  <c r="G1000" i="4"/>
  <c r="H1000" i="4"/>
  <c r="I1000" i="4"/>
  <c r="J1000" i="4"/>
  <c r="K1000" i="4"/>
  <c r="L1000" i="4"/>
  <c r="M1000" i="4"/>
  <c r="N1000" i="4"/>
  <c r="O1000" i="4"/>
  <c r="B1001" i="4"/>
  <c r="C1001" i="4"/>
  <c r="D1001" i="4"/>
  <c r="E1001" i="4"/>
  <c r="F1001" i="4"/>
  <c r="G1001" i="4"/>
  <c r="H1001" i="4"/>
  <c r="I1001" i="4"/>
  <c r="J1001" i="4"/>
  <c r="K1001" i="4"/>
  <c r="L1001" i="4"/>
  <c r="M1001" i="4"/>
  <c r="N1001" i="4"/>
  <c r="O1001" i="4"/>
  <c r="B1002" i="4"/>
  <c r="C1002" i="4"/>
  <c r="D1002" i="4"/>
  <c r="E1002" i="4"/>
  <c r="F1002" i="4"/>
  <c r="G1002" i="4"/>
  <c r="H1002" i="4"/>
  <c r="I1002" i="4"/>
  <c r="J1002" i="4"/>
  <c r="K1002" i="4"/>
  <c r="L1002" i="4"/>
  <c r="M1002" i="4"/>
  <c r="N1002" i="4"/>
  <c r="O1002" i="4"/>
  <c r="B1003" i="4"/>
  <c r="C1003" i="4"/>
  <c r="D1003" i="4"/>
  <c r="E1003" i="4"/>
  <c r="F1003" i="4"/>
  <c r="G1003" i="4"/>
  <c r="H1003" i="4"/>
  <c r="I1003" i="4"/>
  <c r="J1003" i="4"/>
  <c r="K1003" i="4"/>
  <c r="L1003" i="4"/>
  <c r="M1003" i="4"/>
  <c r="N1003" i="4"/>
  <c r="O1003" i="4"/>
  <c r="B1004" i="4"/>
  <c r="C1004" i="4"/>
  <c r="D1004" i="4"/>
  <c r="E1004" i="4"/>
  <c r="F1004" i="4"/>
  <c r="G1004" i="4"/>
  <c r="H1004" i="4"/>
  <c r="I1004" i="4"/>
  <c r="J1004" i="4"/>
  <c r="K1004" i="4"/>
  <c r="L1004" i="4"/>
  <c r="M1004" i="4"/>
  <c r="N1004" i="4"/>
  <c r="O1004" i="4"/>
  <c r="B1005" i="4"/>
  <c r="C1005" i="4"/>
  <c r="D1005" i="4"/>
  <c r="E1005" i="4"/>
  <c r="F1005" i="4"/>
  <c r="G1005" i="4"/>
  <c r="H1005" i="4"/>
  <c r="I1005" i="4"/>
  <c r="J1005" i="4"/>
  <c r="K1005" i="4"/>
  <c r="L1005" i="4"/>
  <c r="M1005" i="4"/>
  <c r="N1005" i="4"/>
  <c r="O1005" i="4"/>
  <c r="B1006" i="4"/>
  <c r="C1006" i="4"/>
  <c r="D1006" i="4"/>
  <c r="E1006" i="4"/>
  <c r="F1006" i="4"/>
  <c r="G1006" i="4"/>
  <c r="H1006" i="4"/>
  <c r="I1006" i="4"/>
  <c r="J1006" i="4"/>
  <c r="K1006" i="4"/>
  <c r="L1006" i="4"/>
  <c r="M1006" i="4"/>
  <c r="N1006" i="4"/>
  <c r="O1006" i="4"/>
  <c r="B1007" i="4"/>
  <c r="C1007" i="4"/>
  <c r="D1007" i="4"/>
  <c r="E1007" i="4"/>
  <c r="F1007" i="4"/>
  <c r="G1007" i="4"/>
  <c r="H1007" i="4"/>
  <c r="I1007" i="4"/>
  <c r="J1007" i="4"/>
  <c r="K1007" i="4"/>
  <c r="L1007" i="4"/>
  <c r="M1007" i="4"/>
  <c r="N1007" i="4"/>
  <c r="O1007" i="4"/>
  <c r="B1008" i="4"/>
  <c r="C1008" i="4"/>
  <c r="D1008" i="4"/>
  <c r="E1008" i="4"/>
  <c r="F1008" i="4"/>
  <c r="G1008" i="4"/>
  <c r="H1008" i="4"/>
  <c r="I1008" i="4"/>
  <c r="J1008" i="4"/>
  <c r="K1008" i="4"/>
  <c r="L1008" i="4"/>
  <c r="M1008" i="4"/>
  <c r="N1008" i="4"/>
  <c r="O1008" i="4"/>
  <c r="B1009" i="4"/>
  <c r="C1009" i="4"/>
  <c r="D1009" i="4"/>
  <c r="E1009" i="4"/>
  <c r="F1009" i="4"/>
  <c r="G1009" i="4"/>
  <c r="H1009" i="4"/>
  <c r="I1009" i="4"/>
  <c r="J1009" i="4"/>
  <c r="K1009" i="4"/>
  <c r="L1009" i="4"/>
  <c r="M1009" i="4"/>
  <c r="N1009" i="4"/>
  <c r="O1009" i="4"/>
  <c r="B1010" i="4"/>
  <c r="C1010" i="4"/>
  <c r="D1010" i="4"/>
  <c r="E1010" i="4"/>
  <c r="F1010" i="4"/>
  <c r="G1010" i="4"/>
  <c r="H1010" i="4"/>
  <c r="I1010" i="4"/>
  <c r="J1010" i="4"/>
  <c r="K1010" i="4"/>
  <c r="L1010" i="4"/>
  <c r="M1010" i="4"/>
  <c r="N1010" i="4"/>
  <c r="O1010" i="4"/>
  <c r="B1011" i="4"/>
  <c r="C1011" i="4"/>
  <c r="D1011" i="4"/>
  <c r="E1011" i="4"/>
  <c r="F1011" i="4"/>
  <c r="G1011" i="4"/>
  <c r="H1011" i="4"/>
  <c r="I1011" i="4"/>
  <c r="J1011" i="4"/>
  <c r="K1011" i="4"/>
  <c r="L1011" i="4"/>
  <c r="M1011" i="4"/>
  <c r="N1011" i="4"/>
  <c r="O1011" i="4"/>
  <c r="B1012" i="4"/>
  <c r="C1012" i="4"/>
  <c r="D1012" i="4"/>
  <c r="E1012" i="4"/>
  <c r="F1012" i="4"/>
  <c r="G1012" i="4"/>
  <c r="H1012" i="4"/>
  <c r="I1012" i="4"/>
  <c r="J1012" i="4"/>
  <c r="K1012" i="4"/>
  <c r="L1012" i="4"/>
  <c r="M1012" i="4"/>
  <c r="N1012" i="4"/>
  <c r="O1012" i="4"/>
  <c r="B1013" i="4"/>
  <c r="C1013" i="4"/>
  <c r="D1013" i="4"/>
  <c r="E1013" i="4"/>
  <c r="F1013" i="4"/>
  <c r="G1013" i="4"/>
  <c r="H1013" i="4"/>
  <c r="I1013" i="4"/>
  <c r="J1013" i="4"/>
  <c r="K1013" i="4"/>
  <c r="L1013" i="4"/>
  <c r="M1013" i="4"/>
  <c r="N1013" i="4"/>
  <c r="O1013" i="4"/>
  <c r="B1014" i="4"/>
  <c r="C1014" i="4"/>
  <c r="D1014" i="4"/>
  <c r="E1014" i="4"/>
  <c r="F1014" i="4"/>
  <c r="G1014" i="4"/>
  <c r="H1014" i="4"/>
  <c r="I1014" i="4"/>
  <c r="J1014" i="4"/>
  <c r="K1014" i="4"/>
  <c r="L1014" i="4"/>
  <c r="M1014" i="4"/>
  <c r="N1014" i="4"/>
  <c r="O1014" i="4"/>
  <c r="B1015" i="4"/>
  <c r="C1015" i="4"/>
  <c r="D1015" i="4"/>
  <c r="E1015" i="4"/>
  <c r="F1015" i="4"/>
  <c r="G1015" i="4"/>
  <c r="H1015" i="4"/>
  <c r="I1015" i="4"/>
  <c r="J1015" i="4"/>
  <c r="K1015" i="4"/>
  <c r="L1015" i="4"/>
  <c r="M1015" i="4"/>
  <c r="N1015" i="4"/>
  <c r="O1015" i="4"/>
  <c r="B1016" i="4"/>
  <c r="C1016" i="4"/>
  <c r="D1016" i="4"/>
  <c r="E1016" i="4"/>
  <c r="F1016" i="4"/>
  <c r="G1016" i="4"/>
  <c r="H1016" i="4"/>
  <c r="I1016" i="4"/>
  <c r="J1016" i="4"/>
  <c r="K1016" i="4"/>
  <c r="L1016" i="4"/>
  <c r="M1016" i="4"/>
  <c r="N1016" i="4"/>
  <c r="O1016" i="4"/>
  <c r="B1017" i="4"/>
  <c r="C1017" i="4"/>
  <c r="D1017" i="4"/>
  <c r="E1017" i="4"/>
  <c r="F1017" i="4"/>
  <c r="G1017" i="4"/>
  <c r="H1017" i="4"/>
  <c r="I1017" i="4"/>
  <c r="J1017" i="4"/>
  <c r="K1017" i="4"/>
  <c r="L1017" i="4"/>
  <c r="M1017" i="4"/>
  <c r="N1017" i="4"/>
  <c r="O1017" i="4"/>
  <c r="B1018" i="4"/>
  <c r="C1018" i="4"/>
  <c r="D1018" i="4"/>
  <c r="E1018" i="4"/>
  <c r="F1018" i="4"/>
  <c r="G1018" i="4"/>
  <c r="H1018" i="4"/>
  <c r="I1018" i="4"/>
  <c r="J1018" i="4"/>
  <c r="K1018" i="4"/>
  <c r="L1018" i="4"/>
  <c r="M1018" i="4"/>
  <c r="N1018" i="4"/>
  <c r="O1018" i="4"/>
  <c r="B1019" i="4"/>
  <c r="C1019" i="4"/>
  <c r="D1019" i="4"/>
  <c r="E1019" i="4"/>
  <c r="F1019" i="4"/>
  <c r="G1019" i="4"/>
  <c r="H1019" i="4"/>
  <c r="I1019" i="4"/>
  <c r="J1019" i="4"/>
  <c r="K1019" i="4"/>
  <c r="L1019" i="4"/>
  <c r="M1019" i="4"/>
  <c r="N1019" i="4"/>
  <c r="O1019" i="4"/>
  <c r="B1020" i="4"/>
  <c r="C1020" i="4"/>
  <c r="D1020" i="4"/>
  <c r="E1020" i="4"/>
  <c r="F1020" i="4"/>
  <c r="G1020" i="4"/>
  <c r="H1020" i="4"/>
  <c r="I1020" i="4"/>
  <c r="J1020" i="4"/>
  <c r="K1020" i="4"/>
  <c r="L1020" i="4"/>
  <c r="M1020" i="4"/>
  <c r="N1020" i="4"/>
  <c r="O1020" i="4"/>
  <c r="B1021" i="4"/>
  <c r="C1021" i="4"/>
  <c r="D1021" i="4"/>
  <c r="E1021" i="4"/>
  <c r="F1021" i="4"/>
  <c r="G1021" i="4"/>
  <c r="H1021" i="4"/>
  <c r="I1021" i="4"/>
  <c r="J1021" i="4"/>
  <c r="K1021" i="4"/>
  <c r="L1021" i="4"/>
  <c r="M1021" i="4"/>
  <c r="N1021" i="4"/>
  <c r="O1021" i="4"/>
  <c r="B1022" i="4"/>
  <c r="C1022" i="4"/>
  <c r="D1022" i="4"/>
  <c r="E1022" i="4"/>
  <c r="F1022" i="4"/>
  <c r="G1022" i="4"/>
  <c r="H1022" i="4"/>
  <c r="I1022" i="4"/>
  <c r="J1022" i="4"/>
  <c r="K1022" i="4"/>
  <c r="L1022" i="4"/>
  <c r="M1022" i="4"/>
  <c r="N1022" i="4"/>
  <c r="O1022" i="4"/>
  <c r="B1023" i="4"/>
  <c r="C1023" i="4"/>
  <c r="D1023" i="4"/>
  <c r="E1023" i="4"/>
  <c r="F1023" i="4"/>
  <c r="G1023" i="4"/>
  <c r="H1023" i="4"/>
  <c r="I1023" i="4"/>
  <c r="J1023" i="4"/>
  <c r="K1023" i="4"/>
  <c r="L1023" i="4"/>
  <c r="M1023" i="4"/>
  <c r="N1023" i="4"/>
  <c r="O1023" i="4"/>
  <c r="B1024" i="4"/>
  <c r="C1024" i="4"/>
  <c r="D1024" i="4"/>
  <c r="E1024" i="4"/>
  <c r="F1024" i="4"/>
  <c r="G1024" i="4"/>
  <c r="H1024" i="4"/>
  <c r="I1024" i="4"/>
  <c r="J1024" i="4"/>
  <c r="K1024" i="4"/>
  <c r="L1024" i="4"/>
  <c r="M1024" i="4"/>
  <c r="N1024" i="4"/>
  <c r="O1024" i="4"/>
  <c r="B1025" i="4"/>
  <c r="C1025" i="4"/>
  <c r="D1025" i="4"/>
  <c r="E1025" i="4"/>
  <c r="F1025" i="4"/>
  <c r="G1025" i="4"/>
  <c r="H1025" i="4"/>
  <c r="I1025" i="4"/>
  <c r="J1025" i="4"/>
  <c r="K1025" i="4"/>
  <c r="L1025" i="4"/>
  <c r="M1025" i="4"/>
  <c r="N1025" i="4"/>
  <c r="O1025" i="4"/>
  <c r="B1026" i="4"/>
  <c r="C1026" i="4"/>
  <c r="D1026" i="4"/>
  <c r="E1026" i="4"/>
  <c r="F1026" i="4"/>
  <c r="G1026" i="4"/>
  <c r="H1026" i="4"/>
  <c r="I1026" i="4"/>
  <c r="J1026" i="4"/>
  <c r="K1026" i="4"/>
  <c r="L1026" i="4"/>
  <c r="M1026" i="4"/>
  <c r="N1026" i="4"/>
  <c r="O1026" i="4"/>
  <c r="B1027" i="4"/>
  <c r="C1027" i="4"/>
  <c r="D1027" i="4"/>
  <c r="E1027" i="4"/>
  <c r="F1027" i="4"/>
  <c r="G1027" i="4"/>
  <c r="H1027" i="4"/>
  <c r="I1027" i="4"/>
  <c r="J1027" i="4"/>
  <c r="K1027" i="4"/>
  <c r="L1027" i="4"/>
  <c r="M1027" i="4"/>
  <c r="N1027" i="4"/>
  <c r="O1027" i="4"/>
  <c r="B1028" i="4"/>
  <c r="C1028" i="4"/>
  <c r="D1028" i="4"/>
  <c r="E1028" i="4"/>
  <c r="F1028" i="4"/>
  <c r="G1028" i="4"/>
  <c r="H1028" i="4"/>
  <c r="I1028" i="4"/>
  <c r="J1028" i="4"/>
  <c r="K1028" i="4"/>
  <c r="L1028" i="4"/>
  <c r="M1028" i="4"/>
  <c r="N1028" i="4"/>
  <c r="O1028" i="4"/>
  <c r="B1029" i="4"/>
  <c r="C1029" i="4"/>
  <c r="D1029" i="4"/>
  <c r="E1029" i="4"/>
  <c r="F1029" i="4"/>
  <c r="G1029" i="4"/>
  <c r="H1029" i="4"/>
  <c r="I1029" i="4"/>
  <c r="J1029" i="4"/>
  <c r="K1029" i="4"/>
  <c r="L1029" i="4"/>
  <c r="M1029" i="4"/>
  <c r="N1029" i="4"/>
  <c r="O1029" i="4"/>
  <c r="B1030" i="4"/>
  <c r="C1030" i="4"/>
  <c r="D1030" i="4"/>
  <c r="E1030" i="4"/>
  <c r="F1030" i="4"/>
  <c r="G1030" i="4"/>
  <c r="H1030" i="4"/>
  <c r="I1030" i="4"/>
  <c r="J1030" i="4"/>
  <c r="K1030" i="4"/>
  <c r="L1030" i="4"/>
  <c r="M1030" i="4"/>
  <c r="N1030" i="4"/>
  <c r="O1030" i="4"/>
  <c r="B1031" i="4"/>
  <c r="C1031" i="4"/>
  <c r="D1031" i="4"/>
  <c r="E1031" i="4"/>
  <c r="F1031" i="4"/>
  <c r="G1031" i="4"/>
  <c r="H1031" i="4"/>
  <c r="I1031" i="4"/>
  <c r="J1031" i="4"/>
  <c r="K1031" i="4"/>
  <c r="L1031" i="4"/>
  <c r="M1031" i="4"/>
  <c r="N1031" i="4"/>
  <c r="O1031" i="4"/>
  <c r="B1032" i="4"/>
  <c r="C1032" i="4"/>
  <c r="D1032" i="4"/>
  <c r="E1032" i="4"/>
  <c r="F1032" i="4"/>
  <c r="G1032" i="4"/>
  <c r="H1032" i="4"/>
  <c r="I1032" i="4"/>
  <c r="J1032" i="4"/>
  <c r="K1032" i="4"/>
  <c r="L1032" i="4"/>
  <c r="M1032" i="4"/>
  <c r="N1032" i="4"/>
  <c r="O1032" i="4"/>
  <c r="B1033" i="4"/>
  <c r="C1033" i="4"/>
  <c r="D1033" i="4"/>
  <c r="E1033" i="4"/>
  <c r="F1033" i="4"/>
  <c r="G1033" i="4"/>
  <c r="H1033" i="4"/>
  <c r="I1033" i="4"/>
  <c r="J1033" i="4"/>
  <c r="K1033" i="4"/>
  <c r="L1033" i="4"/>
  <c r="M1033" i="4"/>
  <c r="N1033" i="4"/>
  <c r="O1033" i="4"/>
  <c r="B1034" i="4"/>
  <c r="C1034" i="4"/>
  <c r="D1034" i="4"/>
  <c r="E1034" i="4"/>
  <c r="F1034" i="4"/>
  <c r="G1034" i="4"/>
  <c r="H1034" i="4"/>
  <c r="I1034" i="4"/>
  <c r="J1034" i="4"/>
  <c r="K1034" i="4"/>
  <c r="L1034" i="4"/>
  <c r="M1034" i="4"/>
  <c r="N1034" i="4"/>
  <c r="O1034" i="4"/>
  <c r="B1035" i="4"/>
  <c r="C1035" i="4"/>
  <c r="D1035" i="4"/>
  <c r="E1035" i="4"/>
  <c r="F1035" i="4"/>
  <c r="G1035" i="4"/>
  <c r="H1035" i="4"/>
  <c r="I1035" i="4"/>
  <c r="J1035" i="4"/>
  <c r="K1035" i="4"/>
  <c r="L1035" i="4"/>
  <c r="M1035" i="4"/>
  <c r="N1035" i="4"/>
  <c r="O1035" i="4"/>
  <c r="B1036" i="4"/>
  <c r="C1036" i="4"/>
  <c r="D1036" i="4"/>
  <c r="E1036" i="4"/>
  <c r="F1036" i="4"/>
  <c r="G1036" i="4"/>
  <c r="H1036" i="4"/>
  <c r="I1036" i="4"/>
  <c r="J1036" i="4"/>
  <c r="K1036" i="4"/>
  <c r="L1036" i="4"/>
  <c r="M1036" i="4"/>
  <c r="N1036" i="4"/>
  <c r="O1036" i="4"/>
  <c r="B1037" i="4"/>
  <c r="C1037" i="4"/>
  <c r="D1037" i="4"/>
  <c r="E1037" i="4"/>
  <c r="F1037" i="4"/>
  <c r="G1037" i="4"/>
  <c r="H1037" i="4"/>
  <c r="I1037" i="4"/>
  <c r="J1037" i="4"/>
  <c r="K1037" i="4"/>
  <c r="L1037" i="4"/>
  <c r="M1037" i="4"/>
  <c r="N1037" i="4"/>
  <c r="O1037" i="4"/>
  <c r="B1038" i="4"/>
  <c r="C1038" i="4"/>
  <c r="D1038" i="4"/>
  <c r="E1038" i="4"/>
  <c r="F1038" i="4"/>
  <c r="G1038" i="4"/>
  <c r="H1038" i="4"/>
  <c r="I1038" i="4"/>
  <c r="J1038" i="4"/>
  <c r="K1038" i="4"/>
  <c r="L1038" i="4"/>
  <c r="M1038" i="4"/>
  <c r="N1038" i="4"/>
  <c r="O1038" i="4"/>
  <c r="B1039" i="4"/>
  <c r="C1039" i="4"/>
  <c r="D1039" i="4"/>
  <c r="E1039" i="4"/>
  <c r="F1039" i="4"/>
  <c r="G1039" i="4"/>
  <c r="H1039" i="4"/>
  <c r="I1039" i="4"/>
  <c r="J1039" i="4"/>
  <c r="K1039" i="4"/>
  <c r="L1039" i="4"/>
  <c r="M1039" i="4"/>
  <c r="N1039" i="4"/>
  <c r="O1039" i="4"/>
  <c r="B1040" i="4"/>
  <c r="C1040" i="4"/>
  <c r="D1040" i="4"/>
  <c r="E1040" i="4"/>
  <c r="F1040" i="4"/>
  <c r="G1040" i="4"/>
  <c r="H1040" i="4"/>
  <c r="I1040" i="4"/>
  <c r="J1040" i="4"/>
  <c r="K1040" i="4"/>
  <c r="L1040" i="4"/>
  <c r="M1040" i="4"/>
  <c r="N1040" i="4"/>
  <c r="O1040" i="4"/>
  <c r="B1041" i="4"/>
  <c r="C1041" i="4"/>
  <c r="D1041" i="4"/>
  <c r="E1041" i="4"/>
  <c r="F1041" i="4"/>
  <c r="G1041" i="4"/>
  <c r="H1041" i="4"/>
  <c r="I1041" i="4"/>
  <c r="J1041" i="4"/>
  <c r="K1041" i="4"/>
  <c r="L1041" i="4"/>
  <c r="M1041" i="4"/>
  <c r="N1041" i="4"/>
  <c r="O1041" i="4"/>
  <c r="B1042" i="4"/>
  <c r="C1042" i="4"/>
  <c r="D1042" i="4"/>
  <c r="E1042" i="4"/>
  <c r="F1042" i="4"/>
  <c r="G1042" i="4"/>
  <c r="H1042" i="4"/>
  <c r="I1042" i="4"/>
  <c r="J1042" i="4"/>
  <c r="K1042" i="4"/>
  <c r="L1042" i="4"/>
  <c r="M1042" i="4"/>
  <c r="N1042" i="4"/>
  <c r="O1042" i="4"/>
  <c r="B1043" i="4"/>
  <c r="C1043" i="4"/>
  <c r="D1043" i="4"/>
  <c r="E1043" i="4"/>
  <c r="F1043" i="4"/>
  <c r="G1043" i="4"/>
  <c r="H1043" i="4"/>
  <c r="I1043" i="4"/>
  <c r="J1043" i="4"/>
  <c r="K1043" i="4"/>
  <c r="L1043" i="4"/>
  <c r="M1043" i="4"/>
  <c r="N1043" i="4"/>
  <c r="O1043" i="4"/>
  <c r="B1044" i="4"/>
  <c r="C1044" i="4"/>
  <c r="D1044" i="4"/>
  <c r="E1044" i="4"/>
  <c r="F1044" i="4"/>
  <c r="G1044" i="4"/>
  <c r="H1044" i="4"/>
  <c r="I1044" i="4"/>
  <c r="J1044" i="4"/>
  <c r="K1044" i="4"/>
  <c r="L1044" i="4"/>
  <c r="M1044" i="4"/>
  <c r="N1044" i="4"/>
  <c r="O1044" i="4"/>
  <c r="B1045" i="4"/>
  <c r="C1045" i="4"/>
  <c r="D1045" i="4"/>
  <c r="E1045" i="4"/>
  <c r="F1045" i="4"/>
  <c r="G1045" i="4"/>
  <c r="H1045" i="4"/>
  <c r="I1045" i="4"/>
  <c r="J1045" i="4"/>
  <c r="K1045" i="4"/>
  <c r="L1045" i="4"/>
  <c r="M1045" i="4"/>
  <c r="N1045" i="4"/>
  <c r="O1045" i="4"/>
  <c r="B1046" i="4"/>
  <c r="C1046" i="4"/>
  <c r="D1046" i="4"/>
  <c r="E1046" i="4"/>
  <c r="F1046" i="4"/>
  <c r="G1046" i="4"/>
  <c r="H1046" i="4"/>
  <c r="I1046" i="4"/>
  <c r="J1046" i="4"/>
  <c r="K1046" i="4"/>
  <c r="L1046" i="4"/>
  <c r="M1046" i="4"/>
  <c r="N1046" i="4"/>
  <c r="O1046" i="4"/>
  <c r="B1047" i="4"/>
  <c r="C1047" i="4"/>
  <c r="D1047" i="4"/>
  <c r="E1047" i="4"/>
  <c r="F1047" i="4"/>
  <c r="G1047" i="4"/>
  <c r="H1047" i="4"/>
  <c r="I1047" i="4"/>
  <c r="J1047" i="4"/>
  <c r="K1047" i="4"/>
  <c r="L1047" i="4"/>
  <c r="M1047" i="4"/>
  <c r="N1047" i="4"/>
  <c r="O1047" i="4"/>
  <c r="B1048" i="4"/>
  <c r="C1048" i="4"/>
  <c r="D1048" i="4"/>
  <c r="E1048" i="4"/>
  <c r="F1048" i="4"/>
  <c r="G1048" i="4"/>
  <c r="H1048" i="4"/>
  <c r="I1048" i="4"/>
  <c r="J1048" i="4"/>
  <c r="K1048" i="4"/>
  <c r="L1048" i="4"/>
  <c r="M1048" i="4"/>
  <c r="N1048" i="4"/>
  <c r="O1048" i="4"/>
  <c r="B1049" i="4"/>
  <c r="C1049" i="4"/>
  <c r="D1049" i="4"/>
  <c r="E1049" i="4"/>
  <c r="F1049" i="4"/>
  <c r="G1049" i="4"/>
  <c r="H1049" i="4"/>
  <c r="I1049" i="4"/>
  <c r="J1049" i="4"/>
  <c r="K1049" i="4"/>
  <c r="L1049" i="4"/>
  <c r="M1049" i="4"/>
  <c r="N1049" i="4"/>
  <c r="O1049" i="4"/>
  <c r="B1050" i="4"/>
  <c r="C1050" i="4"/>
  <c r="D1050" i="4"/>
  <c r="E1050" i="4"/>
  <c r="F1050" i="4"/>
  <c r="G1050" i="4"/>
  <c r="H1050" i="4"/>
  <c r="I1050" i="4"/>
  <c r="J1050" i="4"/>
  <c r="K1050" i="4"/>
  <c r="L1050" i="4"/>
  <c r="M1050" i="4"/>
  <c r="N1050" i="4"/>
  <c r="O1050" i="4"/>
  <c r="B1051" i="4"/>
  <c r="C1051" i="4"/>
  <c r="D1051" i="4"/>
  <c r="E1051" i="4"/>
  <c r="F1051" i="4"/>
  <c r="G1051" i="4"/>
  <c r="H1051" i="4"/>
  <c r="I1051" i="4"/>
  <c r="J1051" i="4"/>
  <c r="K1051" i="4"/>
  <c r="L1051" i="4"/>
  <c r="M1051" i="4"/>
  <c r="N1051" i="4"/>
  <c r="O1051" i="4"/>
  <c r="B1052" i="4"/>
  <c r="C1052" i="4"/>
  <c r="D1052" i="4"/>
  <c r="E1052" i="4"/>
  <c r="F1052" i="4"/>
  <c r="G1052" i="4"/>
  <c r="H1052" i="4"/>
  <c r="I1052" i="4"/>
  <c r="J1052" i="4"/>
  <c r="K1052" i="4"/>
  <c r="L1052" i="4"/>
  <c r="M1052" i="4"/>
  <c r="N1052" i="4"/>
  <c r="O1052" i="4"/>
  <c r="B1053" i="4"/>
  <c r="C1053" i="4"/>
  <c r="D1053" i="4"/>
  <c r="E1053" i="4"/>
  <c r="F1053" i="4"/>
  <c r="G1053" i="4"/>
  <c r="H1053" i="4"/>
  <c r="I1053" i="4"/>
  <c r="J1053" i="4"/>
  <c r="K1053" i="4"/>
  <c r="L1053" i="4"/>
  <c r="M1053" i="4"/>
  <c r="N1053" i="4"/>
  <c r="O1053" i="4"/>
  <c r="B1054" i="4"/>
  <c r="C1054" i="4"/>
  <c r="D1054" i="4"/>
  <c r="E1054" i="4"/>
  <c r="F1054" i="4"/>
  <c r="G1054" i="4"/>
  <c r="H1054" i="4"/>
  <c r="I1054" i="4"/>
  <c r="J1054" i="4"/>
  <c r="K1054" i="4"/>
  <c r="L1054" i="4"/>
  <c r="M1054" i="4"/>
  <c r="N1054" i="4"/>
  <c r="O1054" i="4"/>
  <c r="B1055" i="4"/>
  <c r="C1055" i="4"/>
  <c r="D1055" i="4"/>
  <c r="E1055" i="4"/>
  <c r="F1055" i="4"/>
  <c r="G1055" i="4"/>
  <c r="H1055" i="4"/>
  <c r="I1055" i="4"/>
  <c r="J1055" i="4"/>
  <c r="K1055" i="4"/>
  <c r="L1055" i="4"/>
  <c r="M1055" i="4"/>
  <c r="N1055" i="4"/>
  <c r="O1055" i="4"/>
  <c r="B1056" i="4"/>
  <c r="C1056" i="4"/>
  <c r="D1056" i="4"/>
  <c r="E1056" i="4"/>
  <c r="F1056" i="4"/>
  <c r="G1056" i="4"/>
  <c r="H1056" i="4"/>
  <c r="I1056" i="4"/>
  <c r="J1056" i="4"/>
  <c r="K1056" i="4"/>
  <c r="L1056" i="4"/>
  <c r="M1056" i="4"/>
  <c r="N1056" i="4"/>
  <c r="O1056" i="4"/>
  <c r="B1057" i="4"/>
  <c r="C1057" i="4"/>
  <c r="D1057" i="4"/>
  <c r="E1057" i="4"/>
  <c r="F1057" i="4"/>
  <c r="G1057" i="4"/>
  <c r="H1057" i="4"/>
  <c r="I1057" i="4"/>
  <c r="J1057" i="4"/>
  <c r="K1057" i="4"/>
  <c r="L1057" i="4"/>
  <c r="M1057" i="4"/>
  <c r="N1057" i="4"/>
  <c r="O1057" i="4"/>
  <c r="B1058" i="4"/>
  <c r="C1058" i="4"/>
  <c r="D1058" i="4"/>
  <c r="E1058" i="4"/>
  <c r="F1058" i="4"/>
  <c r="G1058" i="4"/>
  <c r="H1058" i="4"/>
  <c r="I1058" i="4"/>
  <c r="J1058" i="4"/>
  <c r="K1058" i="4"/>
  <c r="L1058" i="4"/>
  <c r="M1058" i="4"/>
  <c r="N1058" i="4"/>
  <c r="O1058" i="4"/>
  <c r="B1059" i="4"/>
  <c r="C1059" i="4"/>
  <c r="D1059" i="4"/>
  <c r="E1059" i="4"/>
  <c r="F1059" i="4"/>
  <c r="G1059" i="4"/>
  <c r="H1059" i="4"/>
  <c r="I1059" i="4"/>
  <c r="J1059" i="4"/>
  <c r="K1059" i="4"/>
  <c r="L1059" i="4"/>
  <c r="M1059" i="4"/>
  <c r="N1059" i="4"/>
  <c r="O1059" i="4"/>
  <c r="B1060" i="4"/>
  <c r="C1060" i="4"/>
  <c r="D1060" i="4"/>
  <c r="E1060" i="4"/>
  <c r="F1060" i="4"/>
  <c r="G1060" i="4"/>
  <c r="H1060" i="4"/>
  <c r="I1060" i="4"/>
  <c r="J1060" i="4"/>
  <c r="K1060" i="4"/>
  <c r="L1060" i="4"/>
  <c r="M1060" i="4"/>
  <c r="N1060" i="4"/>
  <c r="O1060" i="4"/>
  <c r="B1061" i="4"/>
  <c r="C1061" i="4"/>
  <c r="D1061" i="4"/>
  <c r="E1061" i="4"/>
  <c r="F1061" i="4"/>
  <c r="G1061" i="4"/>
  <c r="H1061" i="4"/>
  <c r="I1061" i="4"/>
  <c r="J1061" i="4"/>
  <c r="K1061" i="4"/>
  <c r="L1061" i="4"/>
  <c r="M1061" i="4"/>
  <c r="N1061" i="4"/>
  <c r="O1061" i="4"/>
  <c r="B1062" i="4"/>
  <c r="C1062" i="4"/>
  <c r="D1062" i="4"/>
  <c r="E1062" i="4"/>
  <c r="F1062" i="4"/>
  <c r="G1062" i="4"/>
  <c r="H1062" i="4"/>
  <c r="I1062" i="4"/>
  <c r="J1062" i="4"/>
  <c r="K1062" i="4"/>
  <c r="L1062" i="4"/>
  <c r="M1062" i="4"/>
  <c r="N1062" i="4"/>
  <c r="O1062" i="4"/>
  <c r="B1063" i="4"/>
  <c r="C1063" i="4"/>
  <c r="D1063" i="4"/>
  <c r="E1063" i="4"/>
  <c r="F1063" i="4"/>
  <c r="G1063" i="4"/>
  <c r="H1063" i="4"/>
  <c r="I1063" i="4"/>
  <c r="J1063" i="4"/>
  <c r="K1063" i="4"/>
  <c r="L1063" i="4"/>
  <c r="M1063" i="4"/>
  <c r="N1063" i="4"/>
  <c r="O1063" i="4"/>
  <c r="B1064" i="4"/>
  <c r="C1064" i="4"/>
  <c r="D1064" i="4"/>
  <c r="E1064" i="4"/>
  <c r="F1064" i="4"/>
  <c r="G1064" i="4"/>
  <c r="H1064" i="4"/>
  <c r="I1064" i="4"/>
  <c r="J1064" i="4"/>
  <c r="K1064" i="4"/>
  <c r="L1064" i="4"/>
  <c r="M1064" i="4"/>
  <c r="N1064" i="4"/>
  <c r="O1064" i="4"/>
  <c r="B1065" i="4"/>
  <c r="C1065" i="4"/>
  <c r="D1065" i="4"/>
  <c r="E1065" i="4"/>
  <c r="F1065" i="4"/>
  <c r="G1065" i="4"/>
  <c r="H1065" i="4"/>
  <c r="I1065" i="4"/>
  <c r="J1065" i="4"/>
  <c r="K1065" i="4"/>
  <c r="L1065" i="4"/>
  <c r="M1065" i="4"/>
  <c r="N1065" i="4"/>
  <c r="O1065" i="4"/>
  <c r="B1066" i="4"/>
  <c r="C1066" i="4"/>
  <c r="D1066" i="4"/>
  <c r="E1066" i="4"/>
  <c r="F1066" i="4"/>
  <c r="G1066" i="4"/>
  <c r="H1066" i="4"/>
  <c r="I1066" i="4"/>
  <c r="J1066" i="4"/>
  <c r="K1066" i="4"/>
  <c r="L1066" i="4"/>
  <c r="M1066" i="4"/>
  <c r="N1066" i="4"/>
  <c r="O1066" i="4"/>
  <c r="B1067" i="4"/>
  <c r="C1067" i="4"/>
  <c r="D1067" i="4"/>
  <c r="E1067" i="4"/>
  <c r="F1067" i="4"/>
  <c r="G1067" i="4"/>
  <c r="H1067" i="4"/>
  <c r="I1067" i="4"/>
  <c r="J1067" i="4"/>
  <c r="K1067" i="4"/>
  <c r="L1067" i="4"/>
  <c r="M1067" i="4"/>
  <c r="N1067" i="4"/>
  <c r="O1067" i="4"/>
  <c r="B1068" i="4"/>
  <c r="C1068" i="4"/>
  <c r="D1068" i="4"/>
  <c r="E1068" i="4"/>
  <c r="F1068" i="4"/>
  <c r="G1068" i="4"/>
  <c r="H1068" i="4"/>
  <c r="I1068" i="4"/>
  <c r="J1068" i="4"/>
  <c r="K1068" i="4"/>
  <c r="L1068" i="4"/>
  <c r="M1068" i="4"/>
  <c r="N1068" i="4"/>
  <c r="O1068" i="4"/>
  <c r="B1069" i="4"/>
  <c r="C1069" i="4"/>
  <c r="D1069" i="4"/>
  <c r="E1069" i="4"/>
  <c r="F1069" i="4"/>
  <c r="G1069" i="4"/>
  <c r="H1069" i="4"/>
  <c r="I1069" i="4"/>
  <c r="J1069" i="4"/>
  <c r="K1069" i="4"/>
  <c r="L1069" i="4"/>
  <c r="M1069" i="4"/>
  <c r="N1069" i="4"/>
  <c r="O1069" i="4"/>
  <c r="B1071" i="4"/>
  <c r="C1071" i="4"/>
  <c r="D1071" i="4"/>
  <c r="E1071" i="4"/>
  <c r="F1071" i="4"/>
  <c r="G1071" i="4"/>
  <c r="I1071" i="4"/>
  <c r="J1071" i="4"/>
  <c r="K1071" i="4"/>
  <c r="L1071" i="4"/>
  <c r="M1071" i="4"/>
  <c r="N1071" i="4"/>
  <c r="O1071" i="4"/>
  <c r="C1072" i="4"/>
  <c r="D1072" i="4"/>
  <c r="E1072" i="4"/>
  <c r="F1072" i="4"/>
  <c r="G1072" i="4"/>
  <c r="H1072" i="4"/>
  <c r="I1072" i="4"/>
  <c r="K1072" i="4"/>
  <c r="L1072" i="4"/>
  <c r="M1072" i="4"/>
  <c r="N1072" i="4"/>
  <c r="O1072" i="4"/>
  <c r="B1073" i="4"/>
  <c r="C1073" i="4"/>
  <c r="E1073" i="4"/>
  <c r="F1073" i="4"/>
  <c r="G1073" i="4"/>
  <c r="H1073" i="4"/>
  <c r="I1073" i="4"/>
  <c r="J1073" i="4"/>
  <c r="K1073" i="4"/>
  <c r="M1073" i="4"/>
  <c r="N1073" i="4"/>
  <c r="O1073" i="4"/>
  <c r="B1074" i="4"/>
  <c r="C1074" i="4"/>
  <c r="D1074" i="4"/>
  <c r="E1074" i="4"/>
  <c r="G1074" i="4"/>
  <c r="H1074" i="4"/>
  <c r="I1074" i="4"/>
  <c r="J1074" i="4"/>
  <c r="K1074" i="4"/>
  <c r="L1074" i="4"/>
  <c r="M1074" i="4"/>
  <c r="O1074" i="4"/>
  <c r="B1075" i="4"/>
  <c r="C1075" i="4"/>
  <c r="D1075" i="4"/>
  <c r="E1075" i="4"/>
  <c r="F1075" i="4"/>
  <c r="G1075" i="4"/>
  <c r="I1075" i="4"/>
  <c r="J1075" i="4"/>
  <c r="K1075" i="4"/>
  <c r="L1075" i="4"/>
  <c r="M1075" i="4"/>
  <c r="N1075" i="4"/>
  <c r="O1075" i="4"/>
  <c r="C1076" i="4"/>
  <c r="D1076" i="4"/>
  <c r="E1076" i="4"/>
  <c r="F1076" i="4"/>
  <c r="G1076" i="4"/>
  <c r="H1076" i="4"/>
  <c r="I1076" i="4"/>
  <c r="K1076" i="4"/>
  <c r="L1076" i="4"/>
  <c r="M1076" i="4"/>
  <c r="N1076" i="4"/>
  <c r="O1076" i="4"/>
  <c r="B1077" i="4"/>
  <c r="C1077" i="4"/>
  <c r="E1077" i="4"/>
  <c r="F1077" i="4"/>
  <c r="G1077" i="4"/>
  <c r="H1077" i="4"/>
  <c r="I1077" i="4"/>
  <c r="J1077" i="4"/>
  <c r="K1077" i="4"/>
  <c r="M1077" i="4"/>
  <c r="N1077" i="4"/>
  <c r="O1077" i="4"/>
  <c r="B1078" i="4"/>
  <c r="C1078" i="4"/>
  <c r="D1078" i="4"/>
  <c r="E1078" i="4"/>
  <c r="G1078" i="4"/>
  <c r="H1078" i="4"/>
  <c r="I1078" i="4"/>
  <c r="J1078" i="4"/>
  <c r="K1078" i="4"/>
  <c r="L1078" i="4"/>
  <c r="M1078" i="4"/>
  <c r="O1078" i="4"/>
  <c r="B1079" i="4"/>
  <c r="C1079" i="4"/>
  <c r="D1079" i="4"/>
  <c r="E1079" i="4"/>
  <c r="F1079" i="4"/>
  <c r="G1079" i="4"/>
  <c r="I1079" i="4"/>
  <c r="J1079" i="4"/>
  <c r="K1079" i="4"/>
  <c r="L1079" i="4"/>
  <c r="M1079" i="4"/>
  <c r="N1079" i="4"/>
  <c r="O1079" i="4"/>
  <c r="C1080" i="4"/>
  <c r="D1080" i="4"/>
  <c r="E1080" i="4"/>
  <c r="F1080" i="4"/>
  <c r="G1080" i="4"/>
  <c r="H1080" i="4"/>
  <c r="I1080" i="4"/>
  <c r="K1080" i="4"/>
  <c r="L1080" i="4"/>
  <c r="M1080" i="4"/>
  <c r="N1080" i="4"/>
  <c r="O1080" i="4"/>
  <c r="B1081" i="4"/>
  <c r="C1081" i="4"/>
  <c r="E1081" i="4"/>
  <c r="F1081" i="4"/>
  <c r="G1081" i="4"/>
  <c r="H1081" i="4"/>
  <c r="I1081" i="4"/>
  <c r="J1081" i="4"/>
  <c r="K1081" i="4"/>
  <c r="M1081" i="4"/>
  <c r="N1081" i="4"/>
  <c r="O1081" i="4"/>
  <c r="B1082" i="4"/>
  <c r="C1082" i="4"/>
  <c r="D1082" i="4"/>
  <c r="E1082" i="4"/>
  <c r="G1082" i="4"/>
  <c r="H1082" i="4"/>
  <c r="I1082" i="4"/>
  <c r="J1082" i="4"/>
  <c r="K1082" i="4"/>
  <c r="L1082" i="4"/>
  <c r="M1082" i="4"/>
  <c r="O1082" i="4"/>
  <c r="B1083" i="4"/>
  <c r="C1083" i="4"/>
  <c r="D1083" i="4"/>
  <c r="E1083" i="4"/>
  <c r="F1083" i="4"/>
  <c r="G1083" i="4"/>
  <c r="I1083" i="4"/>
  <c r="J1083" i="4"/>
  <c r="K1083" i="4"/>
  <c r="L1083" i="4"/>
  <c r="M1083" i="4"/>
  <c r="N1083" i="4"/>
  <c r="O1083" i="4"/>
  <c r="C1084" i="4"/>
  <c r="D1084" i="4"/>
  <c r="E1084" i="4"/>
  <c r="F1084" i="4"/>
  <c r="G1084" i="4"/>
  <c r="H1084" i="4"/>
  <c r="I1084" i="4"/>
  <c r="K1084" i="4"/>
  <c r="L1084" i="4"/>
  <c r="M1084" i="4"/>
  <c r="N1084" i="4"/>
  <c r="O1084" i="4"/>
  <c r="B1085" i="4"/>
  <c r="C1085" i="4"/>
  <c r="E1085" i="4"/>
  <c r="F1085" i="4"/>
  <c r="G1085" i="4"/>
  <c r="H1085" i="4"/>
  <c r="I1085" i="4"/>
  <c r="K1085" i="4"/>
  <c r="M1085" i="4"/>
  <c r="N1085" i="4"/>
  <c r="O1085" i="4"/>
  <c r="B1086" i="4"/>
  <c r="C1086" i="4"/>
  <c r="D1086" i="4"/>
  <c r="E1086" i="4"/>
  <c r="G1086" i="4"/>
  <c r="H1086" i="4"/>
  <c r="I1086" i="4"/>
  <c r="J1086" i="4"/>
  <c r="K1086" i="4"/>
  <c r="L1086" i="4"/>
  <c r="M1086" i="4"/>
  <c r="O1086" i="4"/>
  <c r="B1087" i="4"/>
  <c r="C1087" i="4"/>
  <c r="D1087" i="4"/>
  <c r="E1087" i="4"/>
  <c r="F1087" i="4"/>
  <c r="G1087" i="4"/>
  <c r="I1087" i="4"/>
  <c r="K1087" i="4"/>
  <c r="L1087" i="4"/>
  <c r="M1087" i="4"/>
  <c r="N1087" i="4"/>
  <c r="O1087" i="4"/>
  <c r="C1088" i="4"/>
  <c r="D1088" i="4"/>
  <c r="E1088" i="4"/>
  <c r="F1088" i="4"/>
  <c r="G1088" i="4"/>
  <c r="H1088" i="4"/>
  <c r="I1088" i="4"/>
  <c r="K1088" i="4"/>
  <c r="L1088" i="4"/>
  <c r="M1088" i="4"/>
  <c r="O1088" i="4"/>
  <c r="B1089" i="4"/>
  <c r="C1089" i="4"/>
  <c r="E1089" i="4"/>
  <c r="F1089" i="4"/>
  <c r="G1089" i="4"/>
  <c r="H1089" i="4"/>
  <c r="I1089" i="4"/>
  <c r="J1089" i="4"/>
  <c r="K1089" i="4"/>
  <c r="M1089" i="4"/>
  <c r="N1089" i="4"/>
  <c r="O1089" i="4"/>
  <c r="B1090" i="4"/>
  <c r="C1090" i="4"/>
  <c r="E1090" i="4"/>
  <c r="G1090" i="4"/>
  <c r="H1090" i="4"/>
  <c r="I1090" i="4"/>
  <c r="J1090" i="4"/>
  <c r="K1090" i="4"/>
  <c r="L1090" i="4"/>
  <c r="M1090" i="4"/>
  <c r="O1090" i="4"/>
  <c r="B1091" i="4"/>
  <c r="C1091" i="4"/>
  <c r="D1091" i="4"/>
  <c r="E1091" i="4"/>
  <c r="F1091" i="4"/>
  <c r="G1091" i="4"/>
  <c r="I1091" i="4"/>
  <c r="J1091" i="4"/>
  <c r="K1091" i="4"/>
  <c r="L1091" i="4"/>
  <c r="M1091" i="4"/>
  <c r="N1091" i="4"/>
  <c r="O1091" i="4"/>
  <c r="C1092" i="4"/>
  <c r="E1092" i="4"/>
  <c r="F1092" i="4"/>
  <c r="G1092" i="4"/>
  <c r="H1092" i="4"/>
  <c r="I1092" i="4"/>
  <c r="K1092" i="4"/>
  <c r="L1092" i="4"/>
  <c r="M1092" i="4"/>
  <c r="N1092" i="4"/>
  <c r="O1092" i="4"/>
  <c r="B1093" i="4"/>
  <c r="C1093" i="4"/>
  <c r="E1093" i="4"/>
  <c r="F1093" i="4"/>
  <c r="G1093" i="4"/>
  <c r="J1093" i="4"/>
  <c r="K1093" i="4"/>
  <c r="M1093" i="4"/>
  <c r="N1093" i="4"/>
  <c r="B1094" i="4"/>
  <c r="D1094" i="4"/>
  <c r="J1094" i="4"/>
  <c r="L1094" i="4"/>
  <c r="B1095" i="4"/>
  <c r="D1095" i="4"/>
  <c r="F1095" i="4"/>
  <c r="L1095" i="4"/>
  <c r="N1095" i="4"/>
  <c r="D1096" i="4"/>
  <c r="F1096" i="4"/>
  <c r="H1096" i="4"/>
  <c r="N1096" i="4"/>
  <c r="B1097" i="4"/>
  <c r="F1097" i="4"/>
  <c r="H1097" i="4"/>
  <c r="J1097" i="4"/>
  <c r="B1098" i="4"/>
  <c r="D1098" i="4"/>
  <c r="H1098" i="4"/>
  <c r="J1098" i="4"/>
  <c r="L1098" i="4"/>
  <c r="D1099" i="4"/>
  <c r="F1099" i="4"/>
  <c r="J1099" i="4"/>
  <c r="L1099" i="4"/>
  <c r="N1099" i="4"/>
  <c r="F1100" i="4"/>
  <c r="H1100" i="4"/>
  <c r="L1100" i="4"/>
  <c r="N1100" i="4"/>
  <c r="B1101" i="4"/>
  <c r="H1101" i="4"/>
  <c r="J1101" i="4"/>
  <c r="N1101" i="4"/>
  <c r="B1102" i="4"/>
  <c r="D1102" i="4"/>
  <c r="J1102" i="4"/>
  <c r="L1102" i="4"/>
  <c r="B1103" i="4"/>
  <c r="D1103" i="4"/>
  <c r="F1103" i="4"/>
  <c r="L1103" i="4"/>
  <c r="N1103" i="4"/>
  <c r="D1104" i="4"/>
  <c r="F1104" i="4"/>
  <c r="H1104" i="4"/>
  <c r="N1104" i="4"/>
  <c r="B1105" i="4"/>
  <c r="F1105" i="4"/>
  <c r="H1105" i="4"/>
  <c r="J1105" i="4"/>
  <c r="B1106" i="4"/>
  <c r="D1106" i="4"/>
  <c r="H1106" i="4"/>
  <c r="J1106" i="4"/>
  <c r="L1106" i="4"/>
  <c r="D1107" i="4"/>
  <c r="F1107" i="4"/>
  <c r="J1107" i="4"/>
  <c r="L1107" i="4"/>
  <c r="N1107" i="4"/>
  <c r="F1108" i="4"/>
  <c r="H1108" i="4"/>
  <c r="L1108" i="4"/>
  <c r="N1108" i="4"/>
  <c r="B1109" i="4"/>
  <c r="H1109" i="4"/>
  <c r="J1109" i="4"/>
  <c r="N1109" i="4"/>
  <c r="B1110" i="4"/>
  <c r="D1110" i="4"/>
  <c r="J1110" i="4"/>
  <c r="L1110" i="4"/>
  <c r="B1111" i="4"/>
  <c r="D1111" i="4"/>
  <c r="F1111" i="4"/>
  <c r="L1111" i="4"/>
  <c r="N1111" i="4"/>
  <c r="D1112" i="4"/>
  <c r="F1112" i="4"/>
  <c r="H1112" i="4"/>
  <c r="N1112" i="4"/>
  <c r="B1113" i="4"/>
  <c r="F1113" i="4"/>
  <c r="H1113" i="4"/>
  <c r="J1113" i="4"/>
  <c r="B1114" i="4"/>
  <c r="D1114" i="4"/>
  <c r="H1114" i="4"/>
  <c r="J1114" i="4"/>
  <c r="L1114" i="4"/>
  <c r="D1115" i="4"/>
  <c r="F1115" i="4"/>
  <c r="J1115" i="4"/>
  <c r="L1115" i="4"/>
  <c r="N1115" i="4"/>
  <c r="F1116" i="4"/>
  <c r="H1116" i="4"/>
  <c r="L1116" i="4"/>
  <c r="N1116" i="4"/>
  <c r="B1117" i="4"/>
  <c r="H1117" i="4"/>
  <c r="J1117" i="4"/>
  <c r="N1117" i="4"/>
  <c r="B1118" i="4"/>
  <c r="D1118" i="4"/>
  <c r="J1118" i="4"/>
  <c r="L1118" i="4"/>
  <c r="B1119" i="4"/>
  <c r="D1119" i="4"/>
  <c r="F1119" i="4"/>
  <c r="L1119" i="4"/>
  <c r="N1119" i="4"/>
  <c r="D1120" i="4"/>
  <c r="F1120" i="4"/>
  <c r="H1120" i="4"/>
  <c r="N1120" i="4"/>
  <c r="B1121" i="4"/>
  <c r="F1121" i="4"/>
  <c r="H1121" i="4"/>
  <c r="J1121" i="4"/>
  <c r="B1122" i="4"/>
  <c r="D1122" i="4"/>
  <c r="H1122" i="4"/>
  <c r="J1122" i="4"/>
  <c r="L1122" i="4"/>
  <c r="D1123" i="4"/>
  <c r="F1123" i="4"/>
  <c r="J1123" i="4"/>
  <c r="L1123" i="4"/>
  <c r="F1124" i="4"/>
  <c r="H1124" i="4"/>
  <c r="L1124" i="4"/>
  <c r="N1124" i="4"/>
  <c r="H1125" i="4"/>
  <c r="J1125" i="4"/>
  <c r="N1125" i="4"/>
  <c r="B1126" i="4"/>
  <c r="J1126" i="4"/>
  <c r="L1126" i="4"/>
  <c r="B1127" i="4"/>
  <c r="D1127" i="4"/>
  <c r="L1127" i="4"/>
  <c r="N1127" i="4"/>
  <c r="D1128" i="4"/>
  <c r="F1128" i="4"/>
  <c r="N1128" i="4"/>
  <c r="B1129" i="4"/>
  <c r="F1129" i="4"/>
  <c r="H1129" i="4"/>
  <c r="B1130" i="4"/>
  <c r="D1130" i="4"/>
  <c r="H1130" i="4"/>
  <c r="J1130" i="4"/>
  <c r="D1131" i="4"/>
  <c r="F1131" i="4"/>
  <c r="J1131" i="4"/>
  <c r="L1131" i="4"/>
  <c r="F1132" i="4"/>
  <c r="H1132" i="4"/>
  <c r="L1132" i="4"/>
  <c r="N1132" i="4"/>
  <c r="H1133" i="4"/>
  <c r="J1133" i="4"/>
  <c r="N1133" i="4"/>
  <c r="B1134" i="4"/>
  <c r="J1134" i="4"/>
  <c r="L1134" i="4"/>
  <c r="B1135" i="4"/>
  <c r="D1135" i="4"/>
  <c r="L1135" i="4"/>
  <c r="N1135" i="4"/>
  <c r="D1136" i="4"/>
  <c r="F1136" i="4"/>
  <c r="N1136" i="4"/>
  <c r="B1137" i="4"/>
  <c r="F1137" i="4"/>
  <c r="H1137" i="4"/>
  <c r="B1138" i="4"/>
  <c r="D1138" i="4"/>
  <c r="H1138" i="4"/>
  <c r="J1138" i="4"/>
  <c r="D1139" i="4"/>
  <c r="F1139" i="4"/>
  <c r="J1139" i="4"/>
  <c r="L1139" i="4"/>
  <c r="F1140" i="4"/>
  <c r="H1140" i="4"/>
  <c r="L1140" i="4"/>
  <c r="N1140" i="4"/>
  <c r="H1141" i="4"/>
  <c r="J1141" i="4"/>
  <c r="N1141" i="4"/>
  <c r="B1142" i="4"/>
  <c r="J1142" i="4"/>
  <c r="L1142" i="4"/>
  <c r="B1143" i="4"/>
  <c r="D1143" i="4"/>
  <c r="L1143" i="4"/>
  <c r="N1143" i="4"/>
  <c r="D1144" i="4"/>
  <c r="F1144" i="4"/>
  <c r="N1144" i="4"/>
  <c r="B1145" i="4"/>
  <c r="F1145" i="4"/>
  <c r="H1145" i="4"/>
  <c r="B1146" i="4"/>
  <c r="D1146" i="4"/>
  <c r="H1146" i="4"/>
  <c r="J1146" i="4"/>
  <c r="D1147" i="4"/>
  <c r="F1147" i="4"/>
  <c r="J1147" i="4"/>
  <c r="L1147" i="4"/>
  <c r="F1148" i="4"/>
  <c r="H1148" i="4"/>
  <c r="L1148" i="4"/>
  <c r="N1148" i="4"/>
  <c r="H1149" i="4"/>
  <c r="J1149" i="4"/>
  <c r="N1149" i="4"/>
  <c r="B1150" i="4"/>
  <c r="J1150" i="4"/>
  <c r="L1150" i="4"/>
  <c r="B1151" i="4"/>
  <c r="D1151" i="4"/>
  <c r="L1151" i="4"/>
  <c r="N1151" i="4"/>
  <c r="D1152" i="4"/>
  <c r="F1152" i="4"/>
  <c r="N1152" i="4"/>
  <c r="B1153" i="4"/>
  <c r="F1153" i="4"/>
  <c r="H1153" i="4"/>
  <c r="B1154" i="4"/>
  <c r="D1154" i="4"/>
  <c r="H1154" i="4"/>
  <c r="J1154" i="4"/>
  <c r="D1155" i="4"/>
  <c r="F1155" i="4"/>
  <c r="J1155" i="4"/>
  <c r="L1155" i="4"/>
  <c r="F1156" i="4"/>
  <c r="H1156" i="4"/>
  <c r="L1156" i="4"/>
  <c r="N1156" i="4"/>
  <c r="H1157" i="4"/>
  <c r="J1157" i="4"/>
  <c r="N1157" i="4"/>
  <c r="B1158" i="4"/>
  <c r="J1158" i="4"/>
  <c r="L1158" i="4"/>
  <c r="E9" i="3"/>
  <c r="G9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B25" i="3"/>
  <c r="C25" i="3"/>
  <c r="D25" i="3"/>
  <c r="E25" i="3"/>
  <c r="F25" i="3"/>
  <c r="G25" i="3"/>
  <c r="H25" i="3"/>
  <c r="I25" i="3"/>
  <c r="J25" i="3"/>
  <c r="B26" i="3"/>
  <c r="C26" i="3"/>
  <c r="D26" i="3"/>
  <c r="E26" i="3"/>
  <c r="F26" i="3"/>
  <c r="G26" i="3"/>
  <c r="H26" i="3"/>
  <c r="I26" i="3"/>
  <c r="J26" i="3"/>
  <c r="B27" i="3"/>
  <c r="C27" i="3"/>
  <c r="D27" i="3"/>
  <c r="E27" i="3"/>
  <c r="F27" i="3"/>
  <c r="G27" i="3"/>
  <c r="H27" i="3"/>
  <c r="I27" i="3"/>
  <c r="J27" i="3"/>
  <c r="B28" i="3"/>
  <c r="C28" i="3"/>
  <c r="D28" i="3"/>
  <c r="E28" i="3"/>
  <c r="F28" i="3"/>
  <c r="G28" i="3"/>
  <c r="H28" i="3"/>
  <c r="I28" i="3"/>
  <c r="J28" i="3"/>
  <c r="B29" i="3"/>
  <c r="C29" i="3"/>
  <c r="D29" i="3"/>
  <c r="E29" i="3"/>
  <c r="F29" i="3"/>
  <c r="G29" i="3"/>
  <c r="H29" i="3"/>
  <c r="I29" i="3"/>
  <c r="J29" i="3"/>
  <c r="B30" i="3"/>
  <c r="C30" i="3"/>
  <c r="D30" i="3"/>
  <c r="E30" i="3"/>
  <c r="F30" i="3"/>
  <c r="G30" i="3"/>
  <c r="H30" i="3"/>
  <c r="I30" i="3"/>
  <c r="J30" i="3"/>
  <c r="B31" i="3"/>
  <c r="C31" i="3"/>
  <c r="D31" i="3"/>
  <c r="E31" i="3"/>
  <c r="F31" i="3"/>
  <c r="G31" i="3"/>
  <c r="H31" i="3"/>
  <c r="I31" i="3"/>
  <c r="J31" i="3"/>
  <c r="B32" i="3"/>
  <c r="C32" i="3"/>
  <c r="D32" i="3"/>
  <c r="E32" i="3"/>
  <c r="F32" i="3"/>
  <c r="G32" i="3"/>
  <c r="H32" i="3"/>
  <c r="I32" i="3"/>
  <c r="J32" i="3"/>
  <c r="B33" i="3"/>
  <c r="C33" i="3"/>
  <c r="D33" i="3"/>
  <c r="E33" i="3"/>
  <c r="F33" i="3"/>
  <c r="G33" i="3"/>
  <c r="H33" i="3"/>
  <c r="I33" i="3"/>
  <c r="J33" i="3"/>
  <c r="B34" i="3"/>
  <c r="C34" i="3"/>
  <c r="D34" i="3"/>
  <c r="E34" i="3"/>
  <c r="F34" i="3"/>
  <c r="G34" i="3"/>
  <c r="H34" i="3"/>
  <c r="I34" i="3"/>
  <c r="J34" i="3"/>
  <c r="B35" i="3"/>
  <c r="C35" i="3"/>
  <c r="D35" i="3"/>
  <c r="E35" i="3"/>
  <c r="F35" i="3"/>
  <c r="G35" i="3"/>
  <c r="H35" i="3"/>
  <c r="I35" i="3"/>
  <c r="J35" i="3"/>
  <c r="B36" i="3"/>
  <c r="C36" i="3"/>
  <c r="D36" i="3"/>
  <c r="E36" i="3"/>
  <c r="F36" i="3"/>
  <c r="G36" i="3"/>
  <c r="H36" i="3"/>
  <c r="I36" i="3"/>
  <c r="J36" i="3"/>
  <c r="B37" i="3"/>
  <c r="C37" i="3"/>
  <c r="D37" i="3"/>
  <c r="E37" i="3"/>
  <c r="F37" i="3"/>
  <c r="G37" i="3"/>
  <c r="H37" i="3"/>
  <c r="I37" i="3"/>
  <c r="J37" i="3"/>
  <c r="B38" i="3"/>
  <c r="C38" i="3"/>
  <c r="D38" i="3"/>
  <c r="E38" i="3"/>
  <c r="F38" i="3"/>
  <c r="G38" i="3"/>
  <c r="H38" i="3"/>
  <c r="I38" i="3"/>
  <c r="J38" i="3"/>
  <c r="B39" i="3"/>
  <c r="C39" i="3"/>
  <c r="D39" i="3"/>
  <c r="E39" i="3"/>
  <c r="F39" i="3"/>
  <c r="G39" i="3"/>
  <c r="H39" i="3"/>
  <c r="I39" i="3"/>
  <c r="J39" i="3"/>
  <c r="B40" i="3"/>
  <c r="C40" i="3"/>
  <c r="D40" i="3"/>
  <c r="E40" i="3"/>
  <c r="F40" i="3"/>
  <c r="G40" i="3"/>
  <c r="H40" i="3"/>
  <c r="I40" i="3"/>
  <c r="J40" i="3"/>
  <c r="B41" i="3"/>
  <c r="C41" i="3"/>
  <c r="D41" i="3"/>
  <c r="E41" i="3"/>
  <c r="F41" i="3"/>
  <c r="G41" i="3"/>
  <c r="H41" i="3"/>
  <c r="I41" i="3"/>
  <c r="J41" i="3"/>
  <c r="B42" i="3"/>
  <c r="C42" i="3"/>
  <c r="D42" i="3"/>
  <c r="E42" i="3"/>
  <c r="F42" i="3"/>
  <c r="G42" i="3"/>
  <c r="H42" i="3"/>
  <c r="I42" i="3"/>
  <c r="J42" i="3"/>
  <c r="B43" i="3"/>
  <c r="C43" i="3"/>
  <c r="D43" i="3"/>
  <c r="E43" i="3"/>
  <c r="F43" i="3"/>
  <c r="G43" i="3"/>
  <c r="H43" i="3"/>
  <c r="I43" i="3"/>
  <c r="J43" i="3"/>
  <c r="B44" i="3"/>
  <c r="C44" i="3"/>
  <c r="D44" i="3"/>
  <c r="E44" i="3"/>
  <c r="F44" i="3"/>
  <c r="G44" i="3"/>
  <c r="H44" i="3"/>
  <c r="I44" i="3"/>
  <c r="J44" i="3"/>
  <c r="B45" i="3"/>
  <c r="C45" i="3"/>
  <c r="D45" i="3"/>
  <c r="E45" i="3"/>
  <c r="F45" i="3"/>
  <c r="G45" i="3"/>
  <c r="H45" i="3"/>
  <c r="I45" i="3"/>
  <c r="J45" i="3"/>
  <c r="B46" i="3"/>
  <c r="C46" i="3"/>
  <c r="D46" i="3"/>
  <c r="E46" i="3"/>
  <c r="F46" i="3"/>
  <c r="G46" i="3"/>
  <c r="H46" i="3"/>
  <c r="I46" i="3"/>
  <c r="J46" i="3"/>
  <c r="B47" i="3"/>
  <c r="C47" i="3"/>
  <c r="D47" i="3"/>
  <c r="E47" i="3"/>
  <c r="F47" i="3"/>
  <c r="G47" i="3"/>
  <c r="H47" i="3"/>
  <c r="I47" i="3"/>
  <c r="J47" i="3"/>
  <c r="B48" i="3"/>
  <c r="C48" i="3"/>
  <c r="D48" i="3"/>
  <c r="E48" i="3"/>
  <c r="F48" i="3"/>
  <c r="G48" i="3"/>
  <c r="H48" i="3"/>
  <c r="I48" i="3"/>
  <c r="J48" i="3"/>
  <c r="B49" i="3"/>
  <c r="C49" i="3"/>
  <c r="D49" i="3"/>
  <c r="E49" i="3"/>
  <c r="F49" i="3"/>
  <c r="G49" i="3"/>
  <c r="H49" i="3"/>
  <c r="I49" i="3"/>
  <c r="J49" i="3"/>
  <c r="B50" i="3"/>
  <c r="C50" i="3"/>
  <c r="D50" i="3"/>
  <c r="E50" i="3"/>
  <c r="F50" i="3"/>
  <c r="G50" i="3"/>
  <c r="H50" i="3"/>
  <c r="I50" i="3"/>
  <c r="J50" i="3"/>
  <c r="B51" i="3"/>
  <c r="C51" i="3"/>
  <c r="D51" i="3"/>
  <c r="E51" i="3"/>
  <c r="F51" i="3"/>
  <c r="G51" i="3"/>
  <c r="H51" i="3"/>
  <c r="I51" i="3"/>
  <c r="J51" i="3"/>
  <c r="B52" i="3"/>
  <c r="C52" i="3"/>
  <c r="D52" i="3"/>
  <c r="E52" i="3"/>
  <c r="F52" i="3"/>
  <c r="G52" i="3"/>
  <c r="H52" i="3"/>
  <c r="I52" i="3"/>
  <c r="J52" i="3"/>
  <c r="J1072" i="3" s="1"/>
  <c r="B53" i="3"/>
  <c r="C53" i="3"/>
  <c r="D53" i="3"/>
  <c r="E53" i="3"/>
  <c r="F53" i="3"/>
  <c r="G53" i="3"/>
  <c r="H53" i="3"/>
  <c r="I53" i="3"/>
  <c r="J53" i="3"/>
  <c r="B54" i="3"/>
  <c r="C54" i="3"/>
  <c r="D54" i="3"/>
  <c r="E54" i="3"/>
  <c r="F54" i="3"/>
  <c r="G54" i="3"/>
  <c r="H54" i="3"/>
  <c r="I54" i="3"/>
  <c r="J54" i="3"/>
  <c r="B55" i="3"/>
  <c r="C55" i="3"/>
  <c r="D55" i="3"/>
  <c r="E55" i="3"/>
  <c r="F55" i="3"/>
  <c r="G55" i="3"/>
  <c r="H55" i="3"/>
  <c r="I55" i="3"/>
  <c r="J55" i="3"/>
  <c r="B56" i="3"/>
  <c r="C56" i="3"/>
  <c r="D56" i="3"/>
  <c r="E56" i="3"/>
  <c r="F56" i="3"/>
  <c r="G56" i="3"/>
  <c r="H56" i="3"/>
  <c r="I56" i="3"/>
  <c r="J56" i="3"/>
  <c r="B57" i="3"/>
  <c r="C57" i="3"/>
  <c r="D57" i="3"/>
  <c r="E57" i="3"/>
  <c r="F57" i="3"/>
  <c r="G57" i="3"/>
  <c r="H57" i="3"/>
  <c r="I57" i="3"/>
  <c r="J57" i="3"/>
  <c r="B58" i="3"/>
  <c r="C58" i="3"/>
  <c r="D58" i="3"/>
  <c r="E58" i="3"/>
  <c r="F58" i="3"/>
  <c r="G58" i="3"/>
  <c r="H58" i="3"/>
  <c r="I58" i="3"/>
  <c r="J58" i="3"/>
  <c r="B59" i="3"/>
  <c r="C59" i="3"/>
  <c r="D59" i="3"/>
  <c r="E59" i="3"/>
  <c r="F59" i="3"/>
  <c r="G59" i="3"/>
  <c r="H59" i="3"/>
  <c r="I59" i="3"/>
  <c r="J59" i="3"/>
  <c r="B60" i="3"/>
  <c r="C60" i="3"/>
  <c r="D60" i="3"/>
  <c r="E60" i="3"/>
  <c r="F60" i="3"/>
  <c r="G60" i="3"/>
  <c r="H60" i="3"/>
  <c r="I60" i="3"/>
  <c r="J60" i="3"/>
  <c r="B61" i="3"/>
  <c r="C61" i="3"/>
  <c r="D61" i="3"/>
  <c r="E61" i="3"/>
  <c r="F61" i="3"/>
  <c r="G61" i="3"/>
  <c r="H61" i="3"/>
  <c r="I61" i="3"/>
  <c r="J61" i="3"/>
  <c r="B62" i="3"/>
  <c r="C62" i="3"/>
  <c r="D62" i="3"/>
  <c r="E62" i="3"/>
  <c r="F62" i="3"/>
  <c r="G62" i="3"/>
  <c r="H62" i="3"/>
  <c r="I62" i="3"/>
  <c r="J62" i="3"/>
  <c r="B63" i="3"/>
  <c r="C63" i="3"/>
  <c r="D63" i="3"/>
  <c r="E63" i="3"/>
  <c r="F63" i="3"/>
  <c r="G63" i="3"/>
  <c r="H63" i="3"/>
  <c r="I63" i="3"/>
  <c r="J63" i="3"/>
  <c r="B64" i="3"/>
  <c r="C64" i="3"/>
  <c r="D64" i="3"/>
  <c r="E64" i="3"/>
  <c r="F64" i="3"/>
  <c r="G64" i="3"/>
  <c r="H64" i="3"/>
  <c r="I64" i="3"/>
  <c r="J64" i="3"/>
  <c r="B65" i="3"/>
  <c r="C65" i="3"/>
  <c r="D65" i="3"/>
  <c r="E65" i="3"/>
  <c r="F65" i="3"/>
  <c r="G65" i="3"/>
  <c r="H65" i="3"/>
  <c r="I65" i="3"/>
  <c r="J65" i="3"/>
  <c r="B66" i="3"/>
  <c r="C66" i="3"/>
  <c r="D66" i="3"/>
  <c r="E66" i="3"/>
  <c r="F66" i="3"/>
  <c r="G66" i="3"/>
  <c r="H66" i="3"/>
  <c r="I66" i="3"/>
  <c r="J66" i="3"/>
  <c r="B67" i="3"/>
  <c r="C67" i="3"/>
  <c r="D67" i="3"/>
  <c r="E67" i="3"/>
  <c r="F67" i="3"/>
  <c r="G67" i="3"/>
  <c r="H67" i="3"/>
  <c r="I67" i="3"/>
  <c r="J67" i="3"/>
  <c r="B68" i="3"/>
  <c r="C68" i="3"/>
  <c r="D68" i="3"/>
  <c r="E68" i="3"/>
  <c r="F68" i="3"/>
  <c r="G68" i="3"/>
  <c r="H68" i="3"/>
  <c r="I68" i="3"/>
  <c r="J68" i="3"/>
  <c r="B69" i="3"/>
  <c r="C69" i="3"/>
  <c r="D69" i="3"/>
  <c r="E69" i="3"/>
  <c r="F69" i="3"/>
  <c r="G69" i="3"/>
  <c r="H69" i="3"/>
  <c r="I69" i="3"/>
  <c r="J69" i="3"/>
  <c r="B70" i="3"/>
  <c r="C70" i="3"/>
  <c r="D70" i="3"/>
  <c r="E70" i="3"/>
  <c r="F70" i="3"/>
  <c r="G70" i="3"/>
  <c r="H70" i="3"/>
  <c r="I70" i="3"/>
  <c r="J70" i="3"/>
  <c r="B71" i="3"/>
  <c r="C71" i="3"/>
  <c r="D71" i="3"/>
  <c r="E71" i="3"/>
  <c r="F71" i="3"/>
  <c r="G71" i="3"/>
  <c r="H71" i="3"/>
  <c r="I71" i="3"/>
  <c r="J71" i="3"/>
  <c r="B72" i="3"/>
  <c r="C72" i="3"/>
  <c r="D72" i="3"/>
  <c r="E72" i="3"/>
  <c r="F72" i="3"/>
  <c r="G72" i="3"/>
  <c r="H72" i="3"/>
  <c r="I72" i="3"/>
  <c r="J72" i="3"/>
  <c r="B73" i="3"/>
  <c r="C73" i="3"/>
  <c r="D73" i="3"/>
  <c r="E73" i="3"/>
  <c r="F73" i="3"/>
  <c r="G73" i="3"/>
  <c r="H73" i="3"/>
  <c r="I73" i="3"/>
  <c r="J73" i="3"/>
  <c r="B74" i="3"/>
  <c r="C74" i="3"/>
  <c r="D74" i="3"/>
  <c r="E74" i="3"/>
  <c r="F74" i="3"/>
  <c r="G74" i="3"/>
  <c r="H74" i="3"/>
  <c r="I74" i="3"/>
  <c r="J74" i="3"/>
  <c r="B75" i="3"/>
  <c r="C75" i="3"/>
  <c r="D75" i="3"/>
  <c r="E75" i="3"/>
  <c r="F75" i="3"/>
  <c r="G75" i="3"/>
  <c r="H75" i="3"/>
  <c r="I75" i="3"/>
  <c r="J75" i="3"/>
  <c r="B76" i="3"/>
  <c r="C76" i="3"/>
  <c r="D76" i="3"/>
  <c r="E76" i="3"/>
  <c r="F76" i="3"/>
  <c r="G76" i="3"/>
  <c r="H76" i="3"/>
  <c r="I76" i="3"/>
  <c r="J76" i="3"/>
  <c r="B77" i="3"/>
  <c r="C77" i="3"/>
  <c r="D77" i="3"/>
  <c r="E77" i="3"/>
  <c r="F77" i="3"/>
  <c r="G77" i="3"/>
  <c r="H77" i="3"/>
  <c r="I77" i="3"/>
  <c r="J77" i="3"/>
  <c r="B78" i="3"/>
  <c r="C78" i="3"/>
  <c r="D78" i="3"/>
  <c r="E78" i="3"/>
  <c r="F78" i="3"/>
  <c r="G78" i="3"/>
  <c r="H78" i="3"/>
  <c r="I78" i="3"/>
  <c r="J78" i="3"/>
  <c r="B79" i="3"/>
  <c r="C79" i="3"/>
  <c r="D79" i="3"/>
  <c r="E79" i="3"/>
  <c r="F79" i="3"/>
  <c r="G79" i="3"/>
  <c r="H79" i="3"/>
  <c r="I79" i="3"/>
  <c r="J79" i="3"/>
  <c r="B80" i="3"/>
  <c r="C80" i="3"/>
  <c r="D80" i="3"/>
  <c r="E80" i="3"/>
  <c r="F80" i="3"/>
  <c r="G80" i="3"/>
  <c r="H80" i="3"/>
  <c r="I80" i="3"/>
  <c r="J80" i="3"/>
  <c r="B81" i="3"/>
  <c r="C81" i="3"/>
  <c r="D81" i="3"/>
  <c r="E81" i="3"/>
  <c r="F81" i="3"/>
  <c r="G81" i="3"/>
  <c r="H81" i="3"/>
  <c r="I81" i="3"/>
  <c r="J81" i="3"/>
  <c r="B82" i="3"/>
  <c r="C82" i="3"/>
  <c r="D82" i="3"/>
  <c r="E82" i="3"/>
  <c r="F82" i="3"/>
  <c r="G82" i="3"/>
  <c r="H82" i="3"/>
  <c r="I82" i="3"/>
  <c r="J82" i="3"/>
  <c r="B83" i="3"/>
  <c r="C83" i="3"/>
  <c r="D83" i="3"/>
  <c r="E83" i="3"/>
  <c r="F83" i="3"/>
  <c r="G83" i="3"/>
  <c r="H83" i="3"/>
  <c r="I83" i="3"/>
  <c r="J83" i="3"/>
  <c r="B84" i="3"/>
  <c r="C84" i="3"/>
  <c r="D84" i="3"/>
  <c r="E84" i="3"/>
  <c r="F84" i="3"/>
  <c r="G84" i="3"/>
  <c r="H84" i="3"/>
  <c r="I84" i="3"/>
  <c r="J84" i="3"/>
  <c r="B85" i="3"/>
  <c r="C85" i="3"/>
  <c r="D85" i="3"/>
  <c r="E85" i="3"/>
  <c r="F85" i="3"/>
  <c r="G85" i="3"/>
  <c r="H85" i="3"/>
  <c r="I85" i="3"/>
  <c r="J85" i="3"/>
  <c r="B86" i="3"/>
  <c r="C86" i="3"/>
  <c r="D86" i="3"/>
  <c r="E86" i="3"/>
  <c r="F86" i="3"/>
  <c r="G86" i="3"/>
  <c r="H86" i="3"/>
  <c r="I86" i="3"/>
  <c r="J86" i="3"/>
  <c r="B87" i="3"/>
  <c r="C87" i="3"/>
  <c r="D87" i="3"/>
  <c r="E87" i="3"/>
  <c r="F87" i="3"/>
  <c r="G87" i="3"/>
  <c r="H87" i="3"/>
  <c r="I87" i="3"/>
  <c r="J87" i="3"/>
  <c r="B88" i="3"/>
  <c r="C88" i="3"/>
  <c r="D88" i="3"/>
  <c r="E88" i="3"/>
  <c r="F88" i="3"/>
  <c r="G88" i="3"/>
  <c r="H88" i="3"/>
  <c r="I88" i="3"/>
  <c r="J88" i="3"/>
  <c r="B89" i="3"/>
  <c r="C89" i="3"/>
  <c r="D89" i="3"/>
  <c r="E89" i="3"/>
  <c r="F89" i="3"/>
  <c r="G89" i="3"/>
  <c r="H89" i="3"/>
  <c r="I89" i="3"/>
  <c r="J89" i="3"/>
  <c r="B90" i="3"/>
  <c r="C90" i="3"/>
  <c r="D90" i="3"/>
  <c r="E90" i="3"/>
  <c r="F90" i="3"/>
  <c r="G90" i="3"/>
  <c r="H90" i="3"/>
  <c r="I90" i="3"/>
  <c r="J90" i="3"/>
  <c r="B91" i="3"/>
  <c r="C91" i="3"/>
  <c r="D91" i="3"/>
  <c r="E91" i="3"/>
  <c r="F91" i="3"/>
  <c r="G91" i="3"/>
  <c r="H91" i="3"/>
  <c r="I91" i="3"/>
  <c r="J91" i="3"/>
  <c r="B92" i="3"/>
  <c r="C92" i="3"/>
  <c r="D92" i="3"/>
  <c r="E92" i="3"/>
  <c r="F92" i="3"/>
  <c r="G92" i="3"/>
  <c r="H92" i="3"/>
  <c r="I92" i="3"/>
  <c r="J92" i="3"/>
  <c r="B93" i="3"/>
  <c r="C93" i="3"/>
  <c r="D93" i="3"/>
  <c r="E93" i="3"/>
  <c r="F93" i="3"/>
  <c r="G93" i="3"/>
  <c r="H93" i="3"/>
  <c r="I93" i="3"/>
  <c r="J93" i="3"/>
  <c r="B94" i="3"/>
  <c r="C94" i="3"/>
  <c r="D94" i="3"/>
  <c r="E94" i="3"/>
  <c r="F94" i="3"/>
  <c r="G94" i="3"/>
  <c r="H94" i="3"/>
  <c r="I94" i="3"/>
  <c r="J94" i="3"/>
  <c r="B95" i="3"/>
  <c r="C95" i="3"/>
  <c r="D95" i="3"/>
  <c r="E95" i="3"/>
  <c r="F95" i="3"/>
  <c r="G95" i="3"/>
  <c r="H95" i="3"/>
  <c r="I95" i="3"/>
  <c r="J95" i="3"/>
  <c r="B96" i="3"/>
  <c r="C96" i="3"/>
  <c r="D96" i="3"/>
  <c r="E96" i="3"/>
  <c r="F96" i="3"/>
  <c r="G96" i="3"/>
  <c r="H96" i="3"/>
  <c r="I96" i="3"/>
  <c r="J96" i="3"/>
  <c r="B97" i="3"/>
  <c r="C97" i="3"/>
  <c r="D97" i="3"/>
  <c r="E97" i="3"/>
  <c r="F97" i="3"/>
  <c r="G97" i="3"/>
  <c r="H97" i="3"/>
  <c r="I97" i="3"/>
  <c r="J97" i="3"/>
  <c r="B98" i="3"/>
  <c r="C98" i="3"/>
  <c r="D98" i="3"/>
  <c r="E98" i="3"/>
  <c r="F98" i="3"/>
  <c r="G98" i="3"/>
  <c r="H98" i="3"/>
  <c r="I98" i="3"/>
  <c r="J98" i="3"/>
  <c r="B99" i="3"/>
  <c r="C99" i="3"/>
  <c r="D99" i="3"/>
  <c r="E99" i="3"/>
  <c r="F99" i="3"/>
  <c r="G99" i="3"/>
  <c r="H99" i="3"/>
  <c r="I99" i="3"/>
  <c r="J99" i="3"/>
  <c r="B100" i="3"/>
  <c r="C100" i="3"/>
  <c r="D100" i="3"/>
  <c r="E100" i="3"/>
  <c r="F100" i="3"/>
  <c r="G100" i="3"/>
  <c r="H100" i="3"/>
  <c r="I100" i="3"/>
  <c r="J100" i="3"/>
  <c r="B101" i="3"/>
  <c r="C101" i="3"/>
  <c r="D101" i="3"/>
  <c r="E101" i="3"/>
  <c r="F101" i="3"/>
  <c r="G101" i="3"/>
  <c r="H101" i="3"/>
  <c r="I101" i="3"/>
  <c r="J101" i="3"/>
  <c r="B102" i="3"/>
  <c r="C102" i="3"/>
  <c r="D102" i="3"/>
  <c r="E102" i="3"/>
  <c r="F102" i="3"/>
  <c r="G102" i="3"/>
  <c r="H102" i="3"/>
  <c r="I102" i="3"/>
  <c r="J102" i="3"/>
  <c r="B103" i="3"/>
  <c r="C103" i="3"/>
  <c r="D103" i="3"/>
  <c r="E103" i="3"/>
  <c r="F103" i="3"/>
  <c r="G103" i="3"/>
  <c r="H103" i="3"/>
  <c r="I103" i="3"/>
  <c r="J103" i="3"/>
  <c r="B104" i="3"/>
  <c r="C104" i="3"/>
  <c r="D104" i="3"/>
  <c r="E104" i="3"/>
  <c r="F104" i="3"/>
  <c r="G104" i="3"/>
  <c r="H104" i="3"/>
  <c r="I104" i="3"/>
  <c r="J104" i="3"/>
  <c r="B105" i="3"/>
  <c r="C105" i="3"/>
  <c r="D105" i="3"/>
  <c r="E105" i="3"/>
  <c r="F105" i="3"/>
  <c r="G105" i="3"/>
  <c r="H105" i="3"/>
  <c r="I105" i="3"/>
  <c r="J105" i="3"/>
  <c r="B106" i="3"/>
  <c r="C106" i="3"/>
  <c r="D106" i="3"/>
  <c r="E106" i="3"/>
  <c r="F106" i="3"/>
  <c r="G106" i="3"/>
  <c r="H106" i="3"/>
  <c r="I106" i="3"/>
  <c r="J106" i="3"/>
  <c r="B107" i="3"/>
  <c r="C107" i="3"/>
  <c r="D107" i="3"/>
  <c r="E107" i="3"/>
  <c r="F107" i="3"/>
  <c r="G107" i="3"/>
  <c r="H107" i="3"/>
  <c r="I107" i="3"/>
  <c r="J107" i="3"/>
  <c r="B108" i="3"/>
  <c r="C108" i="3"/>
  <c r="D108" i="3"/>
  <c r="E108" i="3"/>
  <c r="F108" i="3"/>
  <c r="G108" i="3"/>
  <c r="H108" i="3"/>
  <c r="I108" i="3"/>
  <c r="J108" i="3"/>
  <c r="B109" i="3"/>
  <c r="C109" i="3"/>
  <c r="D109" i="3"/>
  <c r="E109" i="3"/>
  <c r="F109" i="3"/>
  <c r="G109" i="3"/>
  <c r="H109" i="3"/>
  <c r="I109" i="3"/>
  <c r="J109" i="3"/>
  <c r="B110" i="3"/>
  <c r="C110" i="3"/>
  <c r="D110" i="3"/>
  <c r="E110" i="3"/>
  <c r="F110" i="3"/>
  <c r="G110" i="3"/>
  <c r="H110" i="3"/>
  <c r="I110" i="3"/>
  <c r="J110" i="3"/>
  <c r="B111" i="3"/>
  <c r="C111" i="3"/>
  <c r="D111" i="3"/>
  <c r="E111" i="3"/>
  <c r="F111" i="3"/>
  <c r="G111" i="3"/>
  <c r="H111" i="3"/>
  <c r="I111" i="3"/>
  <c r="J111" i="3"/>
  <c r="B112" i="3"/>
  <c r="C112" i="3"/>
  <c r="D112" i="3"/>
  <c r="E112" i="3"/>
  <c r="F112" i="3"/>
  <c r="G112" i="3"/>
  <c r="H112" i="3"/>
  <c r="I112" i="3"/>
  <c r="J112" i="3"/>
  <c r="B113" i="3"/>
  <c r="C113" i="3"/>
  <c r="D113" i="3"/>
  <c r="E113" i="3"/>
  <c r="F113" i="3"/>
  <c r="G113" i="3"/>
  <c r="H113" i="3"/>
  <c r="I113" i="3"/>
  <c r="J113" i="3"/>
  <c r="B114" i="3"/>
  <c r="C114" i="3"/>
  <c r="D114" i="3"/>
  <c r="E114" i="3"/>
  <c r="F114" i="3"/>
  <c r="G114" i="3"/>
  <c r="H114" i="3"/>
  <c r="I114" i="3"/>
  <c r="J114" i="3"/>
  <c r="B115" i="3"/>
  <c r="C115" i="3"/>
  <c r="D115" i="3"/>
  <c r="E115" i="3"/>
  <c r="F115" i="3"/>
  <c r="G115" i="3"/>
  <c r="H115" i="3"/>
  <c r="I115" i="3"/>
  <c r="J115" i="3"/>
  <c r="B116" i="3"/>
  <c r="C116" i="3"/>
  <c r="D116" i="3"/>
  <c r="E116" i="3"/>
  <c r="F116" i="3"/>
  <c r="G116" i="3"/>
  <c r="H116" i="3"/>
  <c r="I116" i="3"/>
  <c r="J116" i="3"/>
  <c r="B117" i="3"/>
  <c r="C117" i="3"/>
  <c r="D117" i="3"/>
  <c r="E117" i="3"/>
  <c r="F117" i="3"/>
  <c r="G117" i="3"/>
  <c r="H117" i="3"/>
  <c r="I117" i="3"/>
  <c r="J117" i="3"/>
  <c r="B118" i="3"/>
  <c r="C118" i="3"/>
  <c r="D118" i="3"/>
  <c r="E118" i="3"/>
  <c r="F118" i="3"/>
  <c r="G118" i="3"/>
  <c r="H118" i="3"/>
  <c r="I118" i="3"/>
  <c r="J118" i="3"/>
  <c r="B119" i="3"/>
  <c r="C119" i="3"/>
  <c r="D119" i="3"/>
  <c r="E119" i="3"/>
  <c r="F119" i="3"/>
  <c r="G119" i="3"/>
  <c r="H119" i="3"/>
  <c r="I119" i="3"/>
  <c r="J119" i="3"/>
  <c r="B120" i="3"/>
  <c r="C120" i="3"/>
  <c r="D120" i="3"/>
  <c r="E120" i="3"/>
  <c r="F120" i="3"/>
  <c r="G120" i="3"/>
  <c r="H120" i="3"/>
  <c r="I120" i="3"/>
  <c r="J120" i="3"/>
  <c r="B121" i="3"/>
  <c r="C121" i="3"/>
  <c r="D121" i="3"/>
  <c r="E121" i="3"/>
  <c r="F121" i="3"/>
  <c r="G121" i="3"/>
  <c r="H121" i="3"/>
  <c r="I121" i="3"/>
  <c r="J121" i="3"/>
  <c r="B122" i="3"/>
  <c r="C122" i="3"/>
  <c r="D122" i="3"/>
  <c r="E122" i="3"/>
  <c r="F122" i="3"/>
  <c r="G122" i="3"/>
  <c r="H122" i="3"/>
  <c r="I122" i="3"/>
  <c r="J122" i="3"/>
  <c r="B123" i="3"/>
  <c r="C123" i="3"/>
  <c r="D123" i="3"/>
  <c r="E123" i="3"/>
  <c r="F123" i="3"/>
  <c r="G123" i="3"/>
  <c r="H123" i="3"/>
  <c r="I123" i="3"/>
  <c r="J123" i="3"/>
  <c r="B124" i="3"/>
  <c r="C124" i="3"/>
  <c r="D124" i="3"/>
  <c r="E124" i="3"/>
  <c r="F124" i="3"/>
  <c r="G124" i="3"/>
  <c r="H124" i="3"/>
  <c r="I124" i="3"/>
  <c r="J124" i="3"/>
  <c r="J1078" i="3" s="1"/>
  <c r="B125" i="3"/>
  <c r="C125" i="3"/>
  <c r="D125" i="3"/>
  <c r="E125" i="3"/>
  <c r="F125" i="3"/>
  <c r="G125" i="3"/>
  <c r="H125" i="3"/>
  <c r="I125" i="3"/>
  <c r="J125" i="3"/>
  <c r="B126" i="3"/>
  <c r="C126" i="3"/>
  <c r="D126" i="3"/>
  <c r="E126" i="3"/>
  <c r="F126" i="3"/>
  <c r="G126" i="3"/>
  <c r="H126" i="3"/>
  <c r="I126" i="3"/>
  <c r="J126" i="3"/>
  <c r="B127" i="3"/>
  <c r="C127" i="3"/>
  <c r="D127" i="3"/>
  <c r="E127" i="3"/>
  <c r="F127" i="3"/>
  <c r="G127" i="3"/>
  <c r="H127" i="3"/>
  <c r="I127" i="3"/>
  <c r="J127" i="3"/>
  <c r="B128" i="3"/>
  <c r="C128" i="3"/>
  <c r="D128" i="3"/>
  <c r="E128" i="3"/>
  <c r="F128" i="3"/>
  <c r="G128" i="3"/>
  <c r="H128" i="3"/>
  <c r="I128" i="3"/>
  <c r="J128" i="3"/>
  <c r="B129" i="3"/>
  <c r="C129" i="3"/>
  <c r="D129" i="3"/>
  <c r="E129" i="3"/>
  <c r="F129" i="3"/>
  <c r="G129" i="3"/>
  <c r="H129" i="3"/>
  <c r="I129" i="3"/>
  <c r="J129" i="3"/>
  <c r="B130" i="3"/>
  <c r="C130" i="3"/>
  <c r="D130" i="3"/>
  <c r="E130" i="3"/>
  <c r="F130" i="3"/>
  <c r="G130" i="3"/>
  <c r="H130" i="3"/>
  <c r="I130" i="3"/>
  <c r="J130" i="3"/>
  <c r="B131" i="3"/>
  <c r="C131" i="3"/>
  <c r="D131" i="3"/>
  <c r="E131" i="3"/>
  <c r="F131" i="3"/>
  <c r="G131" i="3"/>
  <c r="H131" i="3"/>
  <c r="I131" i="3"/>
  <c r="J131" i="3"/>
  <c r="B132" i="3"/>
  <c r="C132" i="3"/>
  <c r="D132" i="3"/>
  <c r="E132" i="3"/>
  <c r="F132" i="3"/>
  <c r="G132" i="3"/>
  <c r="H132" i="3"/>
  <c r="I132" i="3"/>
  <c r="J132" i="3"/>
  <c r="J1079" i="3" s="1"/>
  <c r="B133" i="3"/>
  <c r="C133" i="3"/>
  <c r="D133" i="3"/>
  <c r="E133" i="3"/>
  <c r="F133" i="3"/>
  <c r="G133" i="3"/>
  <c r="H133" i="3"/>
  <c r="I133" i="3"/>
  <c r="J133" i="3"/>
  <c r="B134" i="3"/>
  <c r="C134" i="3"/>
  <c r="D134" i="3"/>
  <c r="E134" i="3"/>
  <c r="F134" i="3"/>
  <c r="G134" i="3"/>
  <c r="H134" i="3"/>
  <c r="I134" i="3"/>
  <c r="J134" i="3"/>
  <c r="B135" i="3"/>
  <c r="C135" i="3"/>
  <c r="D135" i="3"/>
  <c r="E135" i="3"/>
  <c r="F135" i="3"/>
  <c r="G135" i="3"/>
  <c r="H135" i="3"/>
  <c r="I135" i="3"/>
  <c r="J135" i="3"/>
  <c r="B136" i="3"/>
  <c r="C136" i="3"/>
  <c r="D136" i="3"/>
  <c r="E136" i="3"/>
  <c r="F136" i="3"/>
  <c r="G136" i="3"/>
  <c r="H136" i="3"/>
  <c r="I136" i="3"/>
  <c r="J136" i="3"/>
  <c r="B137" i="3"/>
  <c r="C137" i="3"/>
  <c r="D137" i="3"/>
  <c r="E137" i="3"/>
  <c r="F137" i="3"/>
  <c r="G137" i="3"/>
  <c r="H137" i="3"/>
  <c r="I137" i="3"/>
  <c r="J137" i="3"/>
  <c r="B138" i="3"/>
  <c r="C138" i="3"/>
  <c r="D138" i="3"/>
  <c r="E138" i="3"/>
  <c r="F138" i="3"/>
  <c r="G138" i="3"/>
  <c r="H138" i="3"/>
  <c r="I138" i="3"/>
  <c r="J138" i="3"/>
  <c r="B139" i="3"/>
  <c r="C139" i="3"/>
  <c r="D139" i="3"/>
  <c r="E139" i="3"/>
  <c r="F139" i="3"/>
  <c r="G139" i="3"/>
  <c r="H139" i="3"/>
  <c r="I139" i="3"/>
  <c r="J139" i="3"/>
  <c r="B140" i="3"/>
  <c r="C140" i="3"/>
  <c r="D140" i="3"/>
  <c r="E140" i="3"/>
  <c r="F140" i="3"/>
  <c r="G140" i="3"/>
  <c r="H140" i="3"/>
  <c r="I140" i="3"/>
  <c r="J140" i="3"/>
  <c r="B141" i="3"/>
  <c r="C141" i="3"/>
  <c r="D141" i="3"/>
  <c r="E141" i="3"/>
  <c r="F141" i="3"/>
  <c r="G141" i="3"/>
  <c r="H141" i="3"/>
  <c r="I141" i="3"/>
  <c r="J141" i="3"/>
  <c r="B142" i="3"/>
  <c r="C142" i="3"/>
  <c r="D142" i="3"/>
  <c r="E142" i="3"/>
  <c r="F142" i="3"/>
  <c r="G142" i="3"/>
  <c r="H142" i="3"/>
  <c r="I142" i="3"/>
  <c r="J142" i="3"/>
  <c r="B143" i="3"/>
  <c r="C143" i="3"/>
  <c r="D143" i="3"/>
  <c r="E143" i="3"/>
  <c r="F143" i="3"/>
  <c r="G143" i="3"/>
  <c r="H143" i="3"/>
  <c r="I143" i="3"/>
  <c r="J143" i="3"/>
  <c r="B144" i="3"/>
  <c r="C144" i="3"/>
  <c r="D144" i="3"/>
  <c r="E144" i="3"/>
  <c r="F144" i="3"/>
  <c r="G144" i="3"/>
  <c r="H144" i="3"/>
  <c r="I144" i="3"/>
  <c r="J144" i="3"/>
  <c r="B145" i="3"/>
  <c r="C145" i="3"/>
  <c r="D145" i="3"/>
  <c r="E145" i="3"/>
  <c r="F145" i="3"/>
  <c r="G145" i="3"/>
  <c r="H145" i="3"/>
  <c r="I145" i="3"/>
  <c r="J145" i="3"/>
  <c r="B146" i="3"/>
  <c r="C146" i="3"/>
  <c r="D146" i="3"/>
  <c r="E146" i="3"/>
  <c r="F146" i="3"/>
  <c r="G146" i="3"/>
  <c r="H146" i="3"/>
  <c r="I146" i="3"/>
  <c r="J146" i="3"/>
  <c r="B147" i="3"/>
  <c r="C147" i="3"/>
  <c r="D147" i="3"/>
  <c r="E147" i="3"/>
  <c r="F147" i="3"/>
  <c r="G147" i="3"/>
  <c r="H147" i="3"/>
  <c r="I147" i="3"/>
  <c r="J147" i="3"/>
  <c r="B148" i="3"/>
  <c r="C148" i="3"/>
  <c r="D148" i="3"/>
  <c r="E148" i="3"/>
  <c r="F148" i="3"/>
  <c r="G148" i="3"/>
  <c r="H148" i="3"/>
  <c r="I148" i="3"/>
  <c r="J148" i="3"/>
  <c r="B149" i="3"/>
  <c r="C149" i="3"/>
  <c r="D149" i="3"/>
  <c r="E149" i="3"/>
  <c r="F149" i="3"/>
  <c r="G149" i="3"/>
  <c r="H149" i="3"/>
  <c r="I149" i="3"/>
  <c r="J149" i="3"/>
  <c r="B150" i="3"/>
  <c r="C150" i="3"/>
  <c r="D150" i="3"/>
  <c r="E150" i="3"/>
  <c r="F150" i="3"/>
  <c r="G150" i="3"/>
  <c r="H150" i="3"/>
  <c r="I150" i="3"/>
  <c r="J150" i="3"/>
  <c r="B151" i="3"/>
  <c r="C151" i="3"/>
  <c r="D151" i="3"/>
  <c r="E151" i="3"/>
  <c r="F151" i="3"/>
  <c r="G151" i="3"/>
  <c r="H151" i="3"/>
  <c r="I151" i="3"/>
  <c r="J151" i="3"/>
  <c r="B152" i="3"/>
  <c r="C152" i="3"/>
  <c r="D152" i="3"/>
  <c r="E152" i="3"/>
  <c r="F152" i="3"/>
  <c r="G152" i="3"/>
  <c r="H152" i="3"/>
  <c r="I152" i="3"/>
  <c r="J152" i="3"/>
  <c r="B153" i="3"/>
  <c r="C153" i="3"/>
  <c r="D153" i="3"/>
  <c r="E153" i="3"/>
  <c r="F153" i="3"/>
  <c r="G153" i="3"/>
  <c r="H153" i="3"/>
  <c r="I153" i="3"/>
  <c r="J153" i="3"/>
  <c r="B154" i="3"/>
  <c r="C154" i="3"/>
  <c r="D154" i="3"/>
  <c r="E154" i="3"/>
  <c r="F154" i="3"/>
  <c r="G154" i="3"/>
  <c r="H154" i="3"/>
  <c r="I154" i="3"/>
  <c r="J154" i="3"/>
  <c r="B155" i="3"/>
  <c r="C155" i="3"/>
  <c r="D155" i="3"/>
  <c r="E155" i="3"/>
  <c r="F155" i="3"/>
  <c r="G155" i="3"/>
  <c r="H155" i="3"/>
  <c r="I155" i="3"/>
  <c r="J155" i="3"/>
  <c r="B156" i="3"/>
  <c r="C156" i="3"/>
  <c r="D156" i="3"/>
  <c r="E156" i="3"/>
  <c r="F156" i="3"/>
  <c r="G156" i="3"/>
  <c r="H156" i="3"/>
  <c r="I156" i="3"/>
  <c r="J156" i="3"/>
  <c r="B157" i="3"/>
  <c r="C157" i="3"/>
  <c r="D157" i="3"/>
  <c r="E157" i="3"/>
  <c r="F157" i="3"/>
  <c r="G157" i="3"/>
  <c r="H157" i="3"/>
  <c r="I157" i="3"/>
  <c r="J157" i="3"/>
  <c r="B158" i="3"/>
  <c r="C158" i="3"/>
  <c r="D158" i="3"/>
  <c r="E158" i="3"/>
  <c r="F158" i="3"/>
  <c r="G158" i="3"/>
  <c r="H158" i="3"/>
  <c r="I158" i="3"/>
  <c r="J158" i="3"/>
  <c r="B159" i="3"/>
  <c r="C159" i="3"/>
  <c r="D159" i="3"/>
  <c r="E159" i="3"/>
  <c r="F159" i="3"/>
  <c r="G159" i="3"/>
  <c r="H159" i="3"/>
  <c r="I159" i="3"/>
  <c r="J159" i="3"/>
  <c r="B160" i="3"/>
  <c r="C160" i="3"/>
  <c r="D160" i="3"/>
  <c r="E160" i="3"/>
  <c r="F160" i="3"/>
  <c r="G160" i="3"/>
  <c r="H160" i="3"/>
  <c r="I160" i="3"/>
  <c r="J160" i="3"/>
  <c r="B161" i="3"/>
  <c r="C161" i="3"/>
  <c r="D161" i="3"/>
  <c r="E161" i="3"/>
  <c r="F161" i="3"/>
  <c r="G161" i="3"/>
  <c r="H161" i="3"/>
  <c r="I161" i="3"/>
  <c r="J161" i="3"/>
  <c r="B162" i="3"/>
  <c r="C162" i="3"/>
  <c r="D162" i="3"/>
  <c r="E162" i="3"/>
  <c r="F162" i="3"/>
  <c r="G162" i="3"/>
  <c r="H162" i="3"/>
  <c r="I162" i="3"/>
  <c r="J162" i="3"/>
  <c r="B163" i="3"/>
  <c r="C163" i="3"/>
  <c r="D163" i="3"/>
  <c r="E163" i="3"/>
  <c r="F163" i="3"/>
  <c r="G163" i="3"/>
  <c r="H163" i="3"/>
  <c r="I163" i="3"/>
  <c r="J163" i="3"/>
  <c r="B164" i="3"/>
  <c r="C164" i="3"/>
  <c r="D164" i="3"/>
  <c r="E164" i="3"/>
  <c r="F164" i="3"/>
  <c r="G164" i="3"/>
  <c r="H164" i="3"/>
  <c r="I164" i="3"/>
  <c r="J164" i="3"/>
  <c r="B165" i="3"/>
  <c r="C165" i="3"/>
  <c r="D165" i="3"/>
  <c r="E165" i="3"/>
  <c r="F165" i="3"/>
  <c r="G165" i="3"/>
  <c r="H165" i="3"/>
  <c r="I165" i="3"/>
  <c r="J165" i="3"/>
  <c r="B166" i="3"/>
  <c r="C166" i="3"/>
  <c r="D166" i="3"/>
  <c r="E166" i="3"/>
  <c r="F166" i="3"/>
  <c r="G166" i="3"/>
  <c r="H166" i="3"/>
  <c r="I166" i="3"/>
  <c r="J166" i="3"/>
  <c r="B167" i="3"/>
  <c r="C167" i="3"/>
  <c r="D167" i="3"/>
  <c r="E167" i="3"/>
  <c r="F167" i="3"/>
  <c r="G167" i="3"/>
  <c r="H167" i="3"/>
  <c r="I167" i="3"/>
  <c r="J167" i="3"/>
  <c r="B168" i="3"/>
  <c r="C168" i="3"/>
  <c r="D168" i="3"/>
  <c r="E168" i="3"/>
  <c r="F168" i="3"/>
  <c r="G168" i="3"/>
  <c r="H168" i="3"/>
  <c r="I168" i="3"/>
  <c r="J168" i="3"/>
  <c r="B169" i="3"/>
  <c r="C169" i="3"/>
  <c r="D169" i="3"/>
  <c r="E169" i="3"/>
  <c r="F169" i="3"/>
  <c r="G169" i="3"/>
  <c r="H169" i="3"/>
  <c r="I169" i="3"/>
  <c r="J169" i="3"/>
  <c r="B170" i="3"/>
  <c r="C170" i="3"/>
  <c r="D170" i="3"/>
  <c r="E170" i="3"/>
  <c r="F170" i="3"/>
  <c r="G170" i="3"/>
  <c r="H170" i="3"/>
  <c r="I170" i="3"/>
  <c r="J170" i="3"/>
  <c r="B171" i="3"/>
  <c r="C171" i="3"/>
  <c r="D171" i="3"/>
  <c r="E171" i="3"/>
  <c r="F171" i="3"/>
  <c r="G171" i="3"/>
  <c r="H171" i="3"/>
  <c r="I171" i="3"/>
  <c r="J171" i="3"/>
  <c r="B172" i="3"/>
  <c r="C172" i="3"/>
  <c r="D172" i="3"/>
  <c r="E172" i="3"/>
  <c r="F172" i="3"/>
  <c r="G172" i="3"/>
  <c r="H172" i="3"/>
  <c r="I172" i="3"/>
  <c r="J172" i="3"/>
  <c r="B173" i="3"/>
  <c r="C173" i="3"/>
  <c r="D173" i="3"/>
  <c r="E173" i="3"/>
  <c r="F173" i="3"/>
  <c r="G173" i="3"/>
  <c r="H173" i="3"/>
  <c r="I173" i="3"/>
  <c r="J173" i="3"/>
  <c r="B174" i="3"/>
  <c r="C174" i="3"/>
  <c r="D174" i="3"/>
  <c r="E174" i="3"/>
  <c r="F174" i="3"/>
  <c r="G174" i="3"/>
  <c r="H174" i="3"/>
  <c r="I174" i="3"/>
  <c r="J174" i="3"/>
  <c r="B175" i="3"/>
  <c r="C175" i="3"/>
  <c r="D175" i="3"/>
  <c r="E175" i="3"/>
  <c r="F175" i="3"/>
  <c r="G175" i="3"/>
  <c r="H175" i="3"/>
  <c r="I175" i="3"/>
  <c r="J175" i="3"/>
  <c r="B176" i="3"/>
  <c r="C176" i="3"/>
  <c r="D176" i="3"/>
  <c r="E176" i="3"/>
  <c r="F176" i="3"/>
  <c r="G176" i="3"/>
  <c r="H176" i="3"/>
  <c r="I176" i="3"/>
  <c r="J176" i="3"/>
  <c r="B177" i="3"/>
  <c r="C177" i="3"/>
  <c r="D177" i="3"/>
  <c r="E177" i="3"/>
  <c r="F177" i="3"/>
  <c r="G177" i="3"/>
  <c r="H177" i="3"/>
  <c r="I177" i="3"/>
  <c r="J177" i="3"/>
  <c r="B178" i="3"/>
  <c r="C178" i="3"/>
  <c r="D178" i="3"/>
  <c r="E178" i="3"/>
  <c r="F178" i="3"/>
  <c r="G178" i="3"/>
  <c r="H178" i="3"/>
  <c r="I178" i="3"/>
  <c r="J178" i="3"/>
  <c r="B179" i="3"/>
  <c r="C179" i="3"/>
  <c r="D179" i="3"/>
  <c r="E179" i="3"/>
  <c r="F179" i="3"/>
  <c r="G179" i="3"/>
  <c r="H179" i="3"/>
  <c r="I179" i="3"/>
  <c r="J179" i="3"/>
  <c r="B180" i="3"/>
  <c r="C180" i="3"/>
  <c r="D180" i="3"/>
  <c r="E180" i="3"/>
  <c r="F180" i="3"/>
  <c r="G180" i="3"/>
  <c r="H180" i="3"/>
  <c r="I180" i="3"/>
  <c r="J180" i="3"/>
  <c r="B181" i="3"/>
  <c r="C181" i="3"/>
  <c r="D181" i="3"/>
  <c r="E181" i="3"/>
  <c r="F181" i="3"/>
  <c r="G181" i="3"/>
  <c r="H181" i="3"/>
  <c r="I181" i="3"/>
  <c r="J181" i="3"/>
  <c r="B182" i="3"/>
  <c r="C182" i="3"/>
  <c r="D182" i="3"/>
  <c r="E182" i="3"/>
  <c r="F182" i="3"/>
  <c r="G182" i="3"/>
  <c r="H182" i="3"/>
  <c r="I182" i="3"/>
  <c r="J182" i="3"/>
  <c r="B183" i="3"/>
  <c r="C183" i="3"/>
  <c r="D183" i="3"/>
  <c r="E183" i="3"/>
  <c r="F183" i="3"/>
  <c r="G183" i="3"/>
  <c r="H183" i="3"/>
  <c r="I183" i="3"/>
  <c r="J183" i="3"/>
  <c r="B184" i="3"/>
  <c r="C184" i="3"/>
  <c r="D184" i="3"/>
  <c r="E184" i="3"/>
  <c r="F184" i="3"/>
  <c r="G184" i="3"/>
  <c r="H184" i="3"/>
  <c r="I184" i="3"/>
  <c r="J184" i="3"/>
  <c r="B185" i="3"/>
  <c r="C185" i="3"/>
  <c r="D185" i="3"/>
  <c r="E185" i="3"/>
  <c r="F185" i="3"/>
  <c r="G185" i="3"/>
  <c r="H185" i="3"/>
  <c r="I185" i="3"/>
  <c r="J185" i="3"/>
  <c r="B186" i="3"/>
  <c r="C186" i="3"/>
  <c r="D186" i="3"/>
  <c r="E186" i="3"/>
  <c r="F186" i="3"/>
  <c r="G186" i="3"/>
  <c r="H186" i="3"/>
  <c r="I186" i="3"/>
  <c r="J186" i="3"/>
  <c r="B187" i="3"/>
  <c r="C187" i="3"/>
  <c r="D187" i="3"/>
  <c r="E187" i="3"/>
  <c r="F187" i="3"/>
  <c r="G187" i="3"/>
  <c r="H187" i="3"/>
  <c r="I187" i="3"/>
  <c r="J187" i="3"/>
  <c r="B188" i="3"/>
  <c r="C188" i="3"/>
  <c r="D188" i="3"/>
  <c r="E188" i="3"/>
  <c r="F188" i="3"/>
  <c r="G188" i="3"/>
  <c r="H188" i="3"/>
  <c r="I188" i="3"/>
  <c r="J188" i="3"/>
  <c r="B189" i="3"/>
  <c r="C189" i="3"/>
  <c r="D189" i="3"/>
  <c r="E189" i="3"/>
  <c r="F189" i="3"/>
  <c r="G189" i="3"/>
  <c r="H189" i="3"/>
  <c r="I189" i="3"/>
  <c r="J189" i="3"/>
  <c r="B190" i="3"/>
  <c r="C190" i="3"/>
  <c r="D190" i="3"/>
  <c r="E190" i="3"/>
  <c r="F190" i="3"/>
  <c r="G190" i="3"/>
  <c r="H190" i="3"/>
  <c r="I190" i="3"/>
  <c r="J190" i="3"/>
  <c r="B191" i="3"/>
  <c r="C191" i="3"/>
  <c r="D191" i="3"/>
  <c r="E191" i="3"/>
  <c r="F191" i="3"/>
  <c r="G191" i="3"/>
  <c r="H191" i="3"/>
  <c r="I191" i="3"/>
  <c r="J191" i="3"/>
  <c r="B192" i="3"/>
  <c r="C192" i="3"/>
  <c r="D192" i="3"/>
  <c r="E192" i="3"/>
  <c r="F192" i="3"/>
  <c r="G192" i="3"/>
  <c r="H192" i="3"/>
  <c r="I192" i="3"/>
  <c r="J192" i="3"/>
  <c r="B193" i="3"/>
  <c r="C193" i="3"/>
  <c r="D193" i="3"/>
  <c r="E193" i="3"/>
  <c r="F193" i="3"/>
  <c r="G193" i="3"/>
  <c r="H193" i="3"/>
  <c r="I193" i="3"/>
  <c r="J193" i="3"/>
  <c r="B194" i="3"/>
  <c r="C194" i="3"/>
  <c r="D194" i="3"/>
  <c r="E194" i="3"/>
  <c r="F194" i="3"/>
  <c r="G194" i="3"/>
  <c r="H194" i="3"/>
  <c r="I194" i="3"/>
  <c r="J194" i="3"/>
  <c r="J1084" i="3" s="1"/>
  <c r="B195" i="3"/>
  <c r="C195" i="3"/>
  <c r="D195" i="3"/>
  <c r="E195" i="3"/>
  <c r="F195" i="3"/>
  <c r="G195" i="3"/>
  <c r="H195" i="3"/>
  <c r="I195" i="3"/>
  <c r="J195" i="3"/>
  <c r="B196" i="3"/>
  <c r="C196" i="3"/>
  <c r="D196" i="3"/>
  <c r="E196" i="3"/>
  <c r="F196" i="3"/>
  <c r="G196" i="3"/>
  <c r="H196" i="3"/>
  <c r="I196" i="3"/>
  <c r="J196" i="3"/>
  <c r="B197" i="3"/>
  <c r="C197" i="3"/>
  <c r="D197" i="3"/>
  <c r="E197" i="3"/>
  <c r="F197" i="3"/>
  <c r="G197" i="3"/>
  <c r="H197" i="3"/>
  <c r="I197" i="3"/>
  <c r="J197" i="3"/>
  <c r="B198" i="3"/>
  <c r="C198" i="3"/>
  <c r="D198" i="3"/>
  <c r="E198" i="3"/>
  <c r="F198" i="3"/>
  <c r="G198" i="3"/>
  <c r="H198" i="3"/>
  <c r="I198" i="3"/>
  <c r="J198" i="3"/>
  <c r="B199" i="3"/>
  <c r="C199" i="3"/>
  <c r="D199" i="3"/>
  <c r="E199" i="3"/>
  <c r="F199" i="3"/>
  <c r="G199" i="3"/>
  <c r="H199" i="3"/>
  <c r="I199" i="3"/>
  <c r="J199" i="3"/>
  <c r="B200" i="3"/>
  <c r="C200" i="3"/>
  <c r="D200" i="3"/>
  <c r="E200" i="3"/>
  <c r="F200" i="3"/>
  <c r="G200" i="3"/>
  <c r="H200" i="3"/>
  <c r="I200" i="3"/>
  <c r="J200" i="3"/>
  <c r="B201" i="3"/>
  <c r="C201" i="3"/>
  <c r="D201" i="3"/>
  <c r="E201" i="3"/>
  <c r="F201" i="3"/>
  <c r="G201" i="3"/>
  <c r="H201" i="3"/>
  <c r="I201" i="3"/>
  <c r="J201" i="3"/>
  <c r="B202" i="3"/>
  <c r="C202" i="3"/>
  <c r="D202" i="3"/>
  <c r="E202" i="3"/>
  <c r="F202" i="3"/>
  <c r="G202" i="3"/>
  <c r="H202" i="3"/>
  <c r="I202" i="3"/>
  <c r="J202" i="3"/>
  <c r="B203" i="3"/>
  <c r="C203" i="3"/>
  <c r="D203" i="3"/>
  <c r="E203" i="3"/>
  <c r="F203" i="3"/>
  <c r="G203" i="3"/>
  <c r="H203" i="3"/>
  <c r="I203" i="3"/>
  <c r="J203" i="3"/>
  <c r="B204" i="3"/>
  <c r="C204" i="3"/>
  <c r="D204" i="3"/>
  <c r="E204" i="3"/>
  <c r="F204" i="3"/>
  <c r="G204" i="3"/>
  <c r="H204" i="3"/>
  <c r="I204" i="3"/>
  <c r="J204" i="3"/>
  <c r="B205" i="3"/>
  <c r="C205" i="3"/>
  <c r="D205" i="3"/>
  <c r="E205" i="3"/>
  <c r="F205" i="3"/>
  <c r="G205" i="3"/>
  <c r="H205" i="3"/>
  <c r="I205" i="3"/>
  <c r="J205" i="3"/>
  <c r="B206" i="3"/>
  <c r="C206" i="3"/>
  <c r="D206" i="3"/>
  <c r="E206" i="3"/>
  <c r="F206" i="3"/>
  <c r="G206" i="3"/>
  <c r="H206" i="3"/>
  <c r="I206" i="3"/>
  <c r="J206" i="3"/>
  <c r="B207" i="3"/>
  <c r="C207" i="3"/>
  <c r="D207" i="3"/>
  <c r="E207" i="3"/>
  <c r="F207" i="3"/>
  <c r="G207" i="3"/>
  <c r="H207" i="3"/>
  <c r="I207" i="3"/>
  <c r="J207" i="3"/>
  <c r="B208" i="3"/>
  <c r="C208" i="3"/>
  <c r="D208" i="3"/>
  <c r="E208" i="3"/>
  <c r="F208" i="3"/>
  <c r="G208" i="3"/>
  <c r="H208" i="3"/>
  <c r="I208" i="3"/>
  <c r="J208" i="3"/>
  <c r="B209" i="3"/>
  <c r="C209" i="3"/>
  <c r="D209" i="3"/>
  <c r="E209" i="3"/>
  <c r="F209" i="3"/>
  <c r="G209" i="3"/>
  <c r="H209" i="3"/>
  <c r="I209" i="3"/>
  <c r="J209" i="3"/>
  <c r="B210" i="3"/>
  <c r="C210" i="3"/>
  <c r="D210" i="3"/>
  <c r="E210" i="3"/>
  <c r="F210" i="3"/>
  <c r="G210" i="3"/>
  <c r="H210" i="3"/>
  <c r="I210" i="3"/>
  <c r="J210" i="3"/>
  <c r="B211" i="3"/>
  <c r="C211" i="3"/>
  <c r="D211" i="3"/>
  <c r="E211" i="3"/>
  <c r="F211" i="3"/>
  <c r="G211" i="3"/>
  <c r="H211" i="3"/>
  <c r="I211" i="3"/>
  <c r="J211" i="3"/>
  <c r="B212" i="3"/>
  <c r="C212" i="3"/>
  <c r="D212" i="3"/>
  <c r="E212" i="3"/>
  <c r="F212" i="3"/>
  <c r="G212" i="3"/>
  <c r="H212" i="3"/>
  <c r="I212" i="3"/>
  <c r="J212" i="3"/>
  <c r="B213" i="3"/>
  <c r="C213" i="3"/>
  <c r="D213" i="3"/>
  <c r="E213" i="3"/>
  <c r="F213" i="3"/>
  <c r="G213" i="3"/>
  <c r="H213" i="3"/>
  <c r="I213" i="3"/>
  <c r="J213" i="3"/>
  <c r="B214" i="3"/>
  <c r="C214" i="3"/>
  <c r="D214" i="3"/>
  <c r="E214" i="3"/>
  <c r="F214" i="3"/>
  <c r="G214" i="3"/>
  <c r="H214" i="3"/>
  <c r="I214" i="3"/>
  <c r="J214" i="3"/>
  <c r="B215" i="3"/>
  <c r="C215" i="3"/>
  <c r="D215" i="3"/>
  <c r="E215" i="3"/>
  <c r="F215" i="3"/>
  <c r="G215" i="3"/>
  <c r="H215" i="3"/>
  <c r="I215" i="3"/>
  <c r="J215" i="3"/>
  <c r="B216" i="3"/>
  <c r="C216" i="3"/>
  <c r="D216" i="3"/>
  <c r="E216" i="3"/>
  <c r="F216" i="3"/>
  <c r="G216" i="3"/>
  <c r="H216" i="3"/>
  <c r="I216" i="3"/>
  <c r="J216" i="3"/>
  <c r="B217" i="3"/>
  <c r="C217" i="3"/>
  <c r="D217" i="3"/>
  <c r="E217" i="3"/>
  <c r="F217" i="3"/>
  <c r="G217" i="3"/>
  <c r="H217" i="3"/>
  <c r="I217" i="3"/>
  <c r="J217" i="3"/>
  <c r="B218" i="3"/>
  <c r="C218" i="3"/>
  <c r="D218" i="3"/>
  <c r="E218" i="3"/>
  <c r="F218" i="3"/>
  <c r="G218" i="3"/>
  <c r="H218" i="3"/>
  <c r="I218" i="3"/>
  <c r="J218" i="3"/>
  <c r="B219" i="3"/>
  <c r="C219" i="3"/>
  <c r="D219" i="3"/>
  <c r="E219" i="3"/>
  <c r="F219" i="3"/>
  <c r="G219" i="3"/>
  <c r="H219" i="3"/>
  <c r="I219" i="3"/>
  <c r="J219" i="3"/>
  <c r="B220" i="3"/>
  <c r="C220" i="3"/>
  <c r="D220" i="3"/>
  <c r="E220" i="3"/>
  <c r="F220" i="3"/>
  <c r="G220" i="3"/>
  <c r="H220" i="3"/>
  <c r="I220" i="3"/>
  <c r="J220" i="3"/>
  <c r="B221" i="3"/>
  <c r="C221" i="3"/>
  <c r="D221" i="3"/>
  <c r="E221" i="3"/>
  <c r="F221" i="3"/>
  <c r="G221" i="3"/>
  <c r="H221" i="3"/>
  <c r="I221" i="3"/>
  <c r="J221" i="3"/>
  <c r="B222" i="3"/>
  <c r="C222" i="3"/>
  <c r="D222" i="3"/>
  <c r="E222" i="3"/>
  <c r="F222" i="3"/>
  <c r="G222" i="3"/>
  <c r="H222" i="3"/>
  <c r="I222" i="3"/>
  <c r="J222" i="3"/>
  <c r="B223" i="3"/>
  <c r="C223" i="3"/>
  <c r="D223" i="3"/>
  <c r="E223" i="3"/>
  <c r="F223" i="3"/>
  <c r="G223" i="3"/>
  <c r="H223" i="3"/>
  <c r="I223" i="3"/>
  <c r="J223" i="3"/>
  <c r="B224" i="3"/>
  <c r="C224" i="3"/>
  <c r="D224" i="3"/>
  <c r="E224" i="3"/>
  <c r="F224" i="3"/>
  <c r="G224" i="3"/>
  <c r="H224" i="3"/>
  <c r="I224" i="3"/>
  <c r="J224" i="3"/>
  <c r="B225" i="3"/>
  <c r="C225" i="3"/>
  <c r="D225" i="3"/>
  <c r="E225" i="3"/>
  <c r="F225" i="3"/>
  <c r="G225" i="3"/>
  <c r="H225" i="3"/>
  <c r="I225" i="3"/>
  <c r="J225" i="3"/>
  <c r="B226" i="3"/>
  <c r="C226" i="3"/>
  <c r="D226" i="3"/>
  <c r="E226" i="3"/>
  <c r="F226" i="3"/>
  <c r="G226" i="3"/>
  <c r="H226" i="3"/>
  <c r="I226" i="3"/>
  <c r="J226" i="3"/>
  <c r="B227" i="3"/>
  <c r="C227" i="3"/>
  <c r="D227" i="3"/>
  <c r="E227" i="3"/>
  <c r="F227" i="3"/>
  <c r="G227" i="3"/>
  <c r="H227" i="3"/>
  <c r="I227" i="3"/>
  <c r="J227" i="3"/>
  <c r="B228" i="3"/>
  <c r="C228" i="3"/>
  <c r="D228" i="3"/>
  <c r="E228" i="3"/>
  <c r="F228" i="3"/>
  <c r="G228" i="3"/>
  <c r="H228" i="3"/>
  <c r="I228" i="3"/>
  <c r="J228" i="3"/>
  <c r="B229" i="3"/>
  <c r="C229" i="3"/>
  <c r="D229" i="3"/>
  <c r="E229" i="3"/>
  <c r="F229" i="3"/>
  <c r="G229" i="3"/>
  <c r="H229" i="3"/>
  <c r="I229" i="3"/>
  <c r="J229" i="3"/>
  <c r="B230" i="3"/>
  <c r="C230" i="3"/>
  <c r="D230" i="3"/>
  <c r="E230" i="3"/>
  <c r="F230" i="3"/>
  <c r="G230" i="3"/>
  <c r="H230" i="3"/>
  <c r="I230" i="3"/>
  <c r="J230" i="3"/>
  <c r="B231" i="3"/>
  <c r="C231" i="3"/>
  <c r="D231" i="3"/>
  <c r="E231" i="3"/>
  <c r="F231" i="3"/>
  <c r="G231" i="3"/>
  <c r="H231" i="3"/>
  <c r="I231" i="3"/>
  <c r="J231" i="3"/>
  <c r="B232" i="3"/>
  <c r="C232" i="3"/>
  <c r="D232" i="3"/>
  <c r="E232" i="3"/>
  <c r="F232" i="3"/>
  <c r="G232" i="3"/>
  <c r="H232" i="3"/>
  <c r="I232" i="3"/>
  <c r="J232" i="3"/>
  <c r="B233" i="3"/>
  <c r="C233" i="3"/>
  <c r="D233" i="3"/>
  <c r="E233" i="3"/>
  <c r="F233" i="3"/>
  <c r="G233" i="3"/>
  <c r="H233" i="3"/>
  <c r="I233" i="3"/>
  <c r="J233" i="3"/>
  <c r="B234" i="3"/>
  <c r="C234" i="3"/>
  <c r="D234" i="3"/>
  <c r="E234" i="3"/>
  <c r="F234" i="3"/>
  <c r="G234" i="3"/>
  <c r="H234" i="3"/>
  <c r="I234" i="3"/>
  <c r="J234" i="3"/>
  <c r="B235" i="3"/>
  <c r="C235" i="3"/>
  <c r="D235" i="3"/>
  <c r="E235" i="3"/>
  <c r="F235" i="3"/>
  <c r="G235" i="3"/>
  <c r="H235" i="3"/>
  <c r="I235" i="3"/>
  <c r="J235" i="3"/>
  <c r="B236" i="3"/>
  <c r="C236" i="3"/>
  <c r="D236" i="3"/>
  <c r="E236" i="3"/>
  <c r="F236" i="3"/>
  <c r="G236" i="3"/>
  <c r="H236" i="3"/>
  <c r="I236" i="3"/>
  <c r="J236" i="3"/>
  <c r="B237" i="3"/>
  <c r="C237" i="3"/>
  <c r="D237" i="3"/>
  <c r="E237" i="3"/>
  <c r="F237" i="3"/>
  <c r="G237" i="3"/>
  <c r="H237" i="3"/>
  <c r="I237" i="3"/>
  <c r="J237" i="3"/>
  <c r="B238" i="3"/>
  <c r="C238" i="3"/>
  <c r="D238" i="3"/>
  <c r="E238" i="3"/>
  <c r="F238" i="3"/>
  <c r="G238" i="3"/>
  <c r="H238" i="3"/>
  <c r="I238" i="3"/>
  <c r="J238" i="3"/>
  <c r="B239" i="3"/>
  <c r="C239" i="3"/>
  <c r="D239" i="3"/>
  <c r="E239" i="3"/>
  <c r="F239" i="3"/>
  <c r="G239" i="3"/>
  <c r="H239" i="3"/>
  <c r="I239" i="3"/>
  <c r="J239" i="3"/>
  <c r="B240" i="3"/>
  <c r="C240" i="3"/>
  <c r="D240" i="3"/>
  <c r="E240" i="3"/>
  <c r="F240" i="3"/>
  <c r="G240" i="3"/>
  <c r="H240" i="3"/>
  <c r="I240" i="3"/>
  <c r="J240" i="3"/>
  <c r="B241" i="3"/>
  <c r="C241" i="3"/>
  <c r="D241" i="3"/>
  <c r="E241" i="3"/>
  <c r="F241" i="3"/>
  <c r="G241" i="3"/>
  <c r="H241" i="3"/>
  <c r="I241" i="3"/>
  <c r="J241" i="3"/>
  <c r="B242" i="3"/>
  <c r="C242" i="3"/>
  <c r="D242" i="3"/>
  <c r="E242" i="3"/>
  <c r="F242" i="3"/>
  <c r="G242" i="3"/>
  <c r="H242" i="3"/>
  <c r="I242" i="3"/>
  <c r="J242" i="3"/>
  <c r="B243" i="3"/>
  <c r="C243" i="3"/>
  <c r="D243" i="3"/>
  <c r="E243" i="3"/>
  <c r="F243" i="3"/>
  <c r="G243" i="3"/>
  <c r="H243" i="3"/>
  <c r="I243" i="3"/>
  <c r="J243" i="3"/>
  <c r="B244" i="3"/>
  <c r="C244" i="3"/>
  <c r="D244" i="3"/>
  <c r="E244" i="3"/>
  <c r="F244" i="3"/>
  <c r="G244" i="3"/>
  <c r="H244" i="3"/>
  <c r="I244" i="3"/>
  <c r="J244" i="3"/>
  <c r="B245" i="3"/>
  <c r="C245" i="3"/>
  <c r="D245" i="3"/>
  <c r="E245" i="3"/>
  <c r="F245" i="3"/>
  <c r="G245" i="3"/>
  <c r="H245" i="3"/>
  <c r="I245" i="3"/>
  <c r="J245" i="3"/>
  <c r="B246" i="3"/>
  <c r="C246" i="3"/>
  <c r="D246" i="3"/>
  <c r="E246" i="3"/>
  <c r="F246" i="3"/>
  <c r="G246" i="3"/>
  <c r="H246" i="3"/>
  <c r="I246" i="3"/>
  <c r="J246" i="3"/>
  <c r="B247" i="3"/>
  <c r="C247" i="3"/>
  <c r="D247" i="3"/>
  <c r="E247" i="3"/>
  <c r="F247" i="3"/>
  <c r="G247" i="3"/>
  <c r="H247" i="3"/>
  <c r="I247" i="3"/>
  <c r="J247" i="3"/>
  <c r="B248" i="3"/>
  <c r="C248" i="3"/>
  <c r="D248" i="3"/>
  <c r="E248" i="3"/>
  <c r="F248" i="3"/>
  <c r="G248" i="3"/>
  <c r="H248" i="3"/>
  <c r="I248" i="3"/>
  <c r="J248" i="3"/>
  <c r="B249" i="3"/>
  <c r="C249" i="3"/>
  <c r="D249" i="3"/>
  <c r="E249" i="3"/>
  <c r="F249" i="3"/>
  <c r="G249" i="3"/>
  <c r="H249" i="3"/>
  <c r="I249" i="3"/>
  <c r="J249" i="3"/>
  <c r="B250" i="3"/>
  <c r="C250" i="3"/>
  <c r="D250" i="3"/>
  <c r="E250" i="3"/>
  <c r="F250" i="3"/>
  <c r="G250" i="3"/>
  <c r="H250" i="3"/>
  <c r="I250" i="3"/>
  <c r="J250" i="3"/>
  <c r="B251" i="3"/>
  <c r="C251" i="3"/>
  <c r="D251" i="3"/>
  <c r="E251" i="3"/>
  <c r="F251" i="3"/>
  <c r="G251" i="3"/>
  <c r="H251" i="3"/>
  <c r="I251" i="3"/>
  <c r="J251" i="3"/>
  <c r="B252" i="3"/>
  <c r="C252" i="3"/>
  <c r="D252" i="3"/>
  <c r="E252" i="3"/>
  <c r="F252" i="3"/>
  <c r="G252" i="3"/>
  <c r="H252" i="3"/>
  <c r="I252" i="3"/>
  <c r="J252" i="3"/>
  <c r="B253" i="3"/>
  <c r="C253" i="3"/>
  <c r="D253" i="3"/>
  <c r="E253" i="3"/>
  <c r="F253" i="3"/>
  <c r="G253" i="3"/>
  <c r="H253" i="3"/>
  <c r="I253" i="3"/>
  <c r="J253" i="3"/>
  <c r="B254" i="3"/>
  <c r="C254" i="3"/>
  <c r="D254" i="3"/>
  <c r="E254" i="3"/>
  <c r="F254" i="3"/>
  <c r="G254" i="3"/>
  <c r="H254" i="3"/>
  <c r="I254" i="3"/>
  <c r="J254" i="3"/>
  <c r="B255" i="3"/>
  <c r="C255" i="3"/>
  <c r="D255" i="3"/>
  <c r="E255" i="3"/>
  <c r="F255" i="3"/>
  <c r="G255" i="3"/>
  <c r="H255" i="3"/>
  <c r="I255" i="3"/>
  <c r="J255" i="3"/>
  <c r="B256" i="3"/>
  <c r="C256" i="3"/>
  <c r="D256" i="3"/>
  <c r="E256" i="3"/>
  <c r="F256" i="3"/>
  <c r="G256" i="3"/>
  <c r="H256" i="3"/>
  <c r="I256" i="3"/>
  <c r="J256" i="3"/>
  <c r="B257" i="3"/>
  <c r="C257" i="3"/>
  <c r="D257" i="3"/>
  <c r="E257" i="3"/>
  <c r="F257" i="3"/>
  <c r="G257" i="3"/>
  <c r="H257" i="3"/>
  <c r="I257" i="3"/>
  <c r="J257" i="3"/>
  <c r="B258" i="3"/>
  <c r="C258" i="3"/>
  <c r="D258" i="3"/>
  <c r="E258" i="3"/>
  <c r="F258" i="3"/>
  <c r="G258" i="3"/>
  <c r="H258" i="3"/>
  <c r="I258" i="3"/>
  <c r="J258" i="3"/>
  <c r="B259" i="3"/>
  <c r="C259" i="3"/>
  <c r="D259" i="3"/>
  <c r="E259" i="3"/>
  <c r="F259" i="3"/>
  <c r="G259" i="3"/>
  <c r="H259" i="3"/>
  <c r="I259" i="3"/>
  <c r="J259" i="3"/>
  <c r="B260" i="3"/>
  <c r="C260" i="3"/>
  <c r="D260" i="3"/>
  <c r="E260" i="3"/>
  <c r="F260" i="3"/>
  <c r="G260" i="3"/>
  <c r="H260" i="3"/>
  <c r="I260" i="3"/>
  <c r="J260" i="3"/>
  <c r="B261" i="3"/>
  <c r="C261" i="3"/>
  <c r="D261" i="3"/>
  <c r="E261" i="3"/>
  <c r="F261" i="3"/>
  <c r="G261" i="3"/>
  <c r="H261" i="3"/>
  <c r="I261" i="3"/>
  <c r="J261" i="3"/>
  <c r="B262" i="3"/>
  <c r="C262" i="3"/>
  <c r="D262" i="3"/>
  <c r="E262" i="3"/>
  <c r="F262" i="3"/>
  <c r="G262" i="3"/>
  <c r="H262" i="3"/>
  <c r="I262" i="3"/>
  <c r="J262" i="3"/>
  <c r="B263" i="3"/>
  <c r="C263" i="3"/>
  <c r="D263" i="3"/>
  <c r="E263" i="3"/>
  <c r="F263" i="3"/>
  <c r="G263" i="3"/>
  <c r="H263" i="3"/>
  <c r="I263" i="3"/>
  <c r="J263" i="3"/>
  <c r="B264" i="3"/>
  <c r="C264" i="3"/>
  <c r="D264" i="3"/>
  <c r="E264" i="3"/>
  <c r="F264" i="3"/>
  <c r="G264" i="3"/>
  <c r="H264" i="3"/>
  <c r="I264" i="3"/>
  <c r="J264" i="3"/>
  <c r="B265" i="3"/>
  <c r="C265" i="3"/>
  <c r="D265" i="3"/>
  <c r="E265" i="3"/>
  <c r="F265" i="3"/>
  <c r="G265" i="3"/>
  <c r="H265" i="3"/>
  <c r="I265" i="3"/>
  <c r="J265" i="3"/>
  <c r="B266" i="3"/>
  <c r="C266" i="3"/>
  <c r="D266" i="3"/>
  <c r="E266" i="3"/>
  <c r="F266" i="3"/>
  <c r="G266" i="3"/>
  <c r="H266" i="3"/>
  <c r="I266" i="3"/>
  <c r="J266" i="3"/>
  <c r="B267" i="3"/>
  <c r="C267" i="3"/>
  <c r="D267" i="3"/>
  <c r="E267" i="3"/>
  <c r="F267" i="3"/>
  <c r="G267" i="3"/>
  <c r="H267" i="3"/>
  <c r="I267" i="3"/>
  <c r="J267" i="3"/>
  <c r="B268" i="3"/>
  <c r="C268" i="3"/>
  <c r="D268" i="3"/>
  <c r="E268" i="3"/>
  <c r="F268" i="3"/>
  <c r="G268" i="3"/>
  <c r="H268" i="3"/>
  <c r="I268" i="3"/>
  <c r="J268" i="3"/>
  <c r="B269" i="3"/>
  <c r="C269" i="3"/>
  <c r="D269" i="3"/>
  <c r="E269" i="3"/>
  <c r="F269" i="3"/>
  <c r="G269" i="3"/>
  <c r="H269" i="3"/>
  <c r="I269" i="3"/>
  <c r="J269" i="3"/>
  <c r="B270" i="3"/>
  <c r="C270" i="3"/>
  <c r="D270" i="3"/>
  <c r="E270" i="3"/>
  <c r="F270" i="3"/>
  <c r="G270" i="3"/>
  <c r="H270" i="3"/>
  <c r="I270" i="3"/>
  <c r="J270" i="3"/>
  <c r="B271" i="3"/>
  <c r="C271" i="3"/>
  <c r="D271" i="3"/>
  <c r="E271" i="3"/>
  <c r="F271" i="3"/>
  <c r="G271" i="3"/>
  <c r="H271" i="3"/>
  <c r="I271" i="3"/>
  <c r="J271" i="3"/>
  <c r="B272" i="3"/>
  <c r="C272" i="3"/>
  <c r="D272" i="3"/>
  <c r="E272" i="3"/>
  <c r="F272" i="3"/>
  <c r="G272" i="3"/>
  <c r="H272" i="3"/>
  <c r="I272" i="3"/>
  <c r="J272" i="3"/>
  <c r="B273" i="3"/>
  <c r="C273" i="3"/>
  <c r="D273" i="3"/>
  <c r="E273" i="3"/>
  <c r="F273" i="3"/>
  <c r="G273" i="3"/>
  <c r="H273" i="3"/>
  <c r="I273" i="3"/>
  <c r="J273" i="3"/>
  <c r="B274" i="3"/>
  <c r="C274" i="3"/>
  <c r="D274" i="3"/>
  <c r="E274" i="3"/>
  <c r="F274" i="3"/>
  <c r="G274" i="3"/>
  <c r="H274" i="3"/>
  <c r="I274" i="3"/>
  <c r="J274" i="3"/>
  <c r="B275" i="3"/>
  <c r="C275" i="3"/>
  <c r="D275" i="3"/>
  <c r="E275" i="3"/>
  <c r="F275" i="3"/>
  <c r="G275" i="3"/>
  <c r="H275" i="3"/>
  <c r="I275" i="3"/>
  <c r="J275" i="3"/>
  <c r="B276" i="3"/>
  <c r="C276" i="3"/>
  <c r="D276" i="3"/>
  <c r="E276" i="3"/>
  <c r="F276" i="3"/>
  <c r="G276" i="3"/>
  <c r="H276" i="3"/>
  <c r="I276" i="3"/>
  <c r="J276" i="3"/>
  <c r="J1091" i="3" s="1"/>
  <c r="B277" i="3"/>
  <c r="C277" i="3"/>
  <c r="D277" i="3"/>
  <c r="E277" i="3"/>
  <c r="F277" i="3"/>
  <c r="G277" i="3"/>
  <c r="H277" i="3"/>
  <c r="I277" i="3"/>
  <c r="J277" i="3"/>
  <c r="B278" i="3"/>
  <c r="C278" i="3"/>
  <c r="D278" i="3"/>
  <c r="E278" i="3"/>
  <c r="F278" i="3"/>
  <c r="G278" i="3"/>
  <c r="H278" i="3"/>
  <c r="I278" i="3"/>
  <c r="J278" i="3"/>
  <c r="B279" i="3"/>
  <c r="C279" i="3"/>
  <c r="D279" i="3"/>
  <c r="E279" i="3"/>
  <c r="F279" i="3"/>
  <c r="G279" i="3"/>
  <c r="H279" i="3"/>
  <c r="I279" i="3"/>
  <c r="J279" i="3"/>
  <c r="B280" i="3"/>
  <c r="C280" i="3"/>
  <c r="D280" i="3"/>
  <c r="E280" i="3"/>
  <c r="F280" i="3"/>
  <c r="G280" i="3"/>
  <c r="H280" i="3"/>
  <c r="I280" i="3"/>
  <c r="J280" i="3"/>
  <c r="B281" i="3"/>
  <c r="C281" i="3"/>
  <c r="D281" i="3"/>
  <c r="E281" i="3"/>
  <c r="F281" i="3"/>
  <c r="G281" i="3"/>
  <c r="H281" i="3"/>
  <c r="I281" i="3"/>
  <c r="J281" i="3"/>
  <c r="B282" i="3"/>
  <c r="C282" i="3"/>
  <c r="D282" i="3"/>
  <c r="E282" i="3"/>
  <c r="F282" i="3"/>
  <c r="G282" i="3"/>
  <c r="H282" i="3"/>
  <c r="I282" i="3"/>
  <c r="J282" i="3"/>
  <c r="B283" i="3"/>
  <c r="C283" i="3"/>
  <c r="D283" i="3"/>
  <c r="E283" i="3"/>
  <c r="F283" i="3"/>
  <c r="G283" i="3"/>
  <c r="H283" i="3"/>
  <c r="I283" i="3"/>
  <c r="J283" i="3"/>
  <c r="B284" i="3"/>
  <c r="C284" i="3"/>
  <c r="D284" i="3"/>
  <c r="E284" i="3"/>
  <c r="F284" i="3"/>
  <c r="G284" i="3"/>
  <c r="H284" i="3"/>
  <c r="I284" i="3"/>
  <c r="J284" i="3"/>
  <c r="B285" i="3"/>
  <c r="C285" i="3"/>
  <c r="D285" i="3"/>
  <c r="E285" i="3"/>
  <c r="F285" i="3"/>
  <c r="G285" i="3"/>
  <c r="H285" i="3"/>
  <c r="I285" i="3"/>
  <c r="J285" i="3"/>
  <c r="B286" i="3"/>
  <c r="C286" i="3"/>
  <c r="D286" i="3"/>
  <c r="E286" i="3"/>
  <c r="F286" i="3"/>
  <c r="G286" i="3"/>
  <c r="H286" i="3"/>
  <c r="I286" i="3"/>
  <c r="J286" i="3"/>
  <c r="B287" i="3"/>
  <c r="C287" i="3"/>
  <c r="D287" i="3"/>
  <c r="E287" i="3"/>
  <c r="F287" i="3"/>
  <c r="G287" i="3"/>
  <c r="H287" i="3"/>
  <c r="I287" i="3"/>
  <c r="J287" i="3"/>
  <c r="B288" i="3"/>
  <c r="C288" i="3"/>
  <c r="D288" i="3"/>
  <c r="E288" i="3"/>
  <c r="F288" i="3"/>
  <c r="G288" i="3"/>
  <c r="H288" i="3"/>
  <c r="I288" i="3"/>
  <c r="J288" i="3"/>
  <c r="B289" i="3"/>
  <c r="C289" i="3"/>
  <c r="D289" i="3"/>
  <c r="E289" i="3"/>
  <c r="F289" i="3"/>
  <c r="G289" i="3"/>
  <c r="H289" i="3"/>
  <c r="I289" i="3"/>
  <c r="J289" i="3"/>
  <c r="B290" i="3"/>
  <c r="C290" i="3"/>
  <c r="D290" i="3"/>
  <c r="E290" i="3"/>
  <c r="F290" i="3"/>
  <c r="G290" i="3"/>
  <c r="H290" i="3"/>
  <c r="I290" i="3"/>
  <c r="J290" i="3"/>
  <c r="B291" i="3"/>
  <c r="C291" i="3"/>
  <c r="D291" i="3"/>
  <c r="E291" i="3"/>
  <c r="F291" i="3"/>
  <c r="G291" i="3"/>
  <c r="H291" i="3"/>
  <c r="I291" i="3"/>
  <c r="J291" i="3"/>
  <c r="B292" i="3"/>
  <c r="C292" i="3"/>
  <c r="D292" i="3"/>
  <c r="E292" i="3"/>
  <c r="F292" i="3"/>
  <c r="G292" i="3"/>
  <c r="H292" i="3"/>
  <c r="I292" i="3"/>
  <c r="J292" i="3"/>
  <c r="B293" i="3"/>
  <c r="C293" i="3"/>
  <c r="D293" i="3"/>
  <c r="E293" i="3"/>
  <c r="F293" i="3"/>
  <c r="G293" i="3"/>
  <c r="H293" i="3"/>
  <c r="I293" i="3"/>
  <c r="J293" i="3"/>
  <c r="B294" i="3"/>
  <c r="C294" i="3"/>
  <c r="D294" i="3"/>
  <c r="E294" i="3"/>
  <c r="F294" i="3"/>
  <c r="G294" i="3"/>
  <c r="H294" i="3"/>
  <c r="I294" i="3"/>
  <c r="J294" i="3"/>
  <c r="B295" i="3"/>
  <c r="C295" i="3"/>
  <c r="D295" i="3"/>
  <c r="E295" i="3"/>
  <c r="F295" i="3"/>
  <c r="G295" i="3"/>
  <c r="H295" i="3"/>
  <c r="I295" i="3"/>
  <c r="J295" i="3"/>
  <c r="B296" i="3"/>
  <c r="C296" i="3"/>
  <c r="D296" i="3"/>
  <c r="E296" i="3"/>
  <c r="F296" i="3"/>
  <c r="G296" i="3"/>
  <c r="H296" i="3"/>
  <c r="I296" i="3"/>
  <c r="J296" i="3"/>
  <c r="B297" i="3"/>
  <c r="C297" i="3"/>
  <c r="D297" i="3"/>
  <c r="E297" i="3"/>
  <c r="F297" i="3"/>
  <c r="G297" i="3"/>
  <c r="H297" i="3"/>
  <c r="I297" i="3"/>
  <c r="J297" i="3"/>
  <c r="B298" i="3"/>
  <c r="C298" i="3"/>
  <c r="D298" i="3"/>
  <c r="E298" i="3"/>
  <c r="F298" i="3"/>
  <c r="G298" i="3"/>
  <c r="H298" i="3"/>
  <c r="I298" i="3"/>
  <c r="J298" i="3"/>
  <c r="B299" i="3"/>
  <c r="C299" i="3"/>
  <c r="D299" i="3"/>
  <c r="E299" i="3"/>
  <c r="F299" i="3"/>
  <c r="G299" i="3"/>
  <c r="H299" i="3"/>
  <c r="I299" i="3"/>
  <c r="J299" i="3"/>
  <c r="B300" i="3"/>
  <c r="C300" i="3"/>
  <c r="D300" i="3"/>
  <c r="E300" i="3"/>
  <c r="F300" i="3"/>
  <c r="G300" i="3"/>
  <c r="H300" i="3"/>
  <c r="I300" i="3"/>
  <c r="J300" i="3"/>
  <c r="B301" i="3"/>
  <c r="C301" i="3"/>
  <c r="D301" i="3"/>
  <c r="E301" i="3"/>
  <c r="F301" i="3"/>
  <c r="G301" i="3"/>
  <c r="H301" i="3"/>
  <c r="I301" i="3"/>
  <c r="J301" i="3"/>
  <c r="B302" i="3"/>
  <c r="C302" i="3"/>
  <c r="D302" i="3"/>
  <c r="E302" i="3"/>
  <c r="F302" i="3"/>
  <c r="G302" i="3"/>
  <c r="H302" i="3"/>
  <c r="I302" i="3"/>
  <c r="J302" i="3"/>
  <c r="B303" i="3"/>
  <c r="C303" i="3"/>
  <c r="D303" i="3"/>
  <c r="E303" i="3"/>
  <c r="F303" i="3"/>
  <c r="G303" i="3"/>
  <c r="H303" i="3"/>
  <c r="I303" i="3"/>
  <c r="J303" i="3"/>
  <c r="B304" i="3"/>
  <c r="C304" i="3"/>
  <c r="D304" i="3"/>
  <c r="E304" i="3"/>
  <c r="F304" i="3"/>
  <c r="G304" i="3"/>
  <c r="H304" i="3"/>
  <c r="I304" i="3"/>
  <c r="J304" i="3"/>
  <c r="B305" i="3"/>
  <c r="C305" i="3"/>
  <c r="D305" i="3"/>
  <c r="E305" i="3"/>
  <c r="F305" i="3"/>
  <c r="G305" i="3"/>
  <c r="H305" i="3"/>
  <c r="I305" i="3"/>
  <c r="J305" i="3"/>
  <c r="B306" i="3"/>
  <c r="C306" i="3"/>
  <c r="D306" i="3"/>
  <c r="E306" i="3"/>
  <c r="F306" i="3"/>
  <c r="G306" i="3"/>
  <c r="H306" i="3"/>
  <c r="I306" i="3"/>
  <c r="J306" i="3"/>
  <c r="B307" i="3"/>
  <c r="C307" i="3"/>
  <c r="D307" i="3"/>
  <c r="E307" i="3"/>
  <c r="F307" i="3"/>
  <c r="G307" i="3"/>
  <c r="H307" i="3"/>
  <c r="I307" i="3"/>
  <c r="J307" i="3"/>
  <c r="B308" i="3"/>
  <c r="C308" i="3"/>
  <c r="D308" i="3"/>
  <c r="E308" i="3"/>
  <c r="F308" i="3"/>
  <c r="G308" i="3"/>
  <c r="H308" i="3"/>
  <c r="I308" i="3"/>
  <c r="J308" i="3"/>
  <c r="B309" i="3"/>
  <c r="C309" i="3"/>
  <c r="D309" i="3"/>
  <c r="E309" i="3"/>
  <c r="F309" i="3"/>
  <c r="G309" i="3"/>
  <c r="H309" i="3"/>
  <c r="I309" i="3"/>
  <c r="J309" i="3"/>
  <c r="B310" i="3"/>
  <c r="C310" i="3"/>
  <c r="D310" i="3"/>
  <c r="E310" i="3"/>
  <c r="F310" i="3"/>
  <c r="G310" i="3"/>
  <c r="H310" i="3"/>
  <c r="I310" i="3"/>
  <c r="J310" i="3"/>
  <c r="B311" i="3"/>
  <c r="C311" i="3"/>
  <c r="D311" i="3"/>
  <c r="E311" i="3"/>
  <c r="F311" i="3"/>
  <c r="G311" i="3"/>
  <c r="H311" i="3"/>
  <c r="I311" i="3"/>
  <c r="J311" i="3"/>
  <c r="B312" i="3"/>
  <c r="C312" i="3"/>
  <c r="D312" i="3"/>
  <c r="E312" i="3"/>
  <c r="F312" i="3"/>
  <c r="G312" i="3"/>
  <c r="H312" i="3"/>
  <c r="I312" i="3"/>
  <c r="J312" i="3"/>
  <c r="B313" i="3"/>
  <c r="C313" i="3"/>
  <c r="D313" i="3"/>
  <c r="E313" i="3"/>
  <c r="F313" i="3"/>
  <c r="G313" i="3"/>
  <c r="H313" i="3"/>
  <c r="I313" i="3"/>
  <c r="J313" i="3"/>
  <c r="B314" i="3"/>
  <c r="C314" i="3"/>
  <c r="D314" i="3"/>
  <c r="E314" i="3"/>
  <c r="F314" i="3"/>
  <c r="G314" i="3"/>
  <c r="H314" i="3"/>
  <c r="I314" i="3"/>
  <c r="J314" i="3"/>
  <c r="B315" i="3"/>
  <c r="C315" i="3"/>
  <c r="D315" i="3"/>
  <c r="E315" i="3"/>
  <c r="F315" i="3"/>
  <c r="G315" i="3"/>
  <c r="H315" i="3"/>
  <c r="I315" i="3"/>
  <c r="J315" i="3"/>
  <c r="B316" i="3"/>
  <c r="C316" i="3"/>
  <c r="D316" i="3"/>
  <c r="E316" i="3"/>
  <c r="F316" i="3"/>
  <c r="G316" i="3"/>
  <c r="H316" i="3"/>
  <c r="I316" i="3"/>
  <c r="J316" i="3"/>
  <c r="B317" i="3"/>
  <c r="C317" i="3"/>
  <c r="D317" i="3"/>
  <c r="E317" i="3"/>
  <c r="F317" i="3"/>
  <c r="G317" i="3"/>
  <c r="H317" i="3"/>
  <c r="I317" i="3"/>
  <c r="J317" i="3"/>
  <c r="B318" i="3"/>
  <c r="C318" i="3"/>
  <c r="D318" i="3"/>
  <c r="E318" i="3"/>
  <c r="F318" i="3"/>
  <c r="G318" i="3"/>
  <c r="H318" i="3"/>
  <c r="I318" i="3"/>
  <c r="J318" i="3"/>
  <c r="B319" i="3"/>
  <c r="C319" i="3"/>
  <c r="D319" i="3"/>
  <c r="E319" i="3"/>
  <c r="F319" i="3"/>
  <c r="G319" i="3"/>
  <c r="H319" i="3"/>
  <c r="I319" i="3"/>
  <c r="J319" i="3"/>
  <c r="B320" i="3"/>
  <c r="C320" i="3"/>
  <c r="D320" i="3"/>
  <c r="E320" i="3"/>
  <c r="F320" i="3"/>
  <c r="G320" i="3"/>
  <c r="H320" i="3"/>
  <c r="I320" i="3"/>
  <c r="J320" i="3"/>
  <c r="B321" i="3"/>
  <c r="C321" i="3"/>
  <c r="D321" i="3"/>
  <c r="E321" i="3"/>
  <c r="F321" i="3"/>
  <c r="G321" i="3"/>
  <c r="H321" i="3"/>
  <c r="I321" i="3"/>
  <c r="J321" i="3"/>
  <c r="B322" i="3"/>
  <c r="C322" i="3"/>
  <c r="D322" i="3"/>
  <c r="E322" i="3"/>
  <c r="F322" i="3"/>
  <c r="G322" i="3"/>
  <c r="H322" i="3"/>
  <c r="I322" i="3"/>
  <c r="J322" i="3"/>
  <c r="B323" i="3"/>
  <c r="C323" i="3"/>
  <c r="D323" i="3"/>
  <c r="E323" i="3"/>
  <c r="F323" i="3"/>
  <c r="G323" i="3"/>
  <c r="H323" i="3"/>
  <c r="I323" i="3"/>
  <c r="J323" i="3"/>
  <c r="B324" i="3"/>
  <c r="C324" i="3"/>
  <c r="D324" i="3"/>
  <c r="E324" i="3"/>
  <c r="F324" i="3"/>
  <c r="G324" i="3"/>
  <c r="H324" i="3"/>
  <c r="I324" i="3"/>
  <c r="J324" i="3"/>
  <c r="B325" i="3"/>
  <c r="C325" i="3"/>
  <c r="D325" i="3"/>
  <c r="E325" i="3"/>
  <c r="F325" i="3"/>
  <c r="G325" i="3"/>
  <c r="H325" i="3"/>
  <c r="I325" i="3"/>
  <c r="J325" i="3"/>
  <c r="B326" i="3"/>
  <c r="C326" i="3"/>
  <c r="D326" i="3"/>
  <c r="E326" i="3"/>
  <c r="F326" i="3"/>
  <c r="G326" i="3"/>
  <c r="H326" i="3"/>
  <c r="I326" i="3"/>
  <c r="J326" i="3"/>
  <c r="B327" i="3"/>
  <c r="C327" i="3"/>
  <c r="D327" i="3"/>
  <c r="E327" i="3"/>
  <c r="F327" i="3"/>
  <c r="G327" i="3"/>
  <c r="H327" i="3"/>
  <c r="I327" i="3"/>
  <c r="J327" i="3"/>
  <c r="B328" i="3"/>
  <c r="C328" i="3"/>
  <c r="D328" i="3"/>
  <c r="E328" i="3"/>
  <c r="F328" i="3"/>
  <c r="G328" i="3"/>
  <c r="H328" i="3"/>
  <c r="I328" i="3"/>
  <c r="J328" i="3"/>
  <c r="B329" i="3"/>
  <c r="C329" i="3"/>
  <c r="D329" i="3"/>
  <c r="E329" i="3"/>
  <c r="F329" i="3"/>
  <c r="G329" i="3"/>
  <c r="H329" i="3"/>
  <c r="I329" i="3"/>
  <c r="J329" i="3"/>
  <c r="B330" i="3"/>
  <c r="C330" i="3"/>
  <c r="D330" i="3"/>
  <c r="E330" i="3"/>
  <c r="F330" i="3"/>
  <c r="G330" i="3"/>
  <c r="H330" i="3"/>
  <c r="I330" i="3"/>
  <c r="J330" i="3"/>
  <c r="B331" i="3"/>
  <c r="C331" i="3"/>
  <c r="D331" i="3"/>
  <c r="E331" i="3"/>
  <c r="F331" i="3"/>
  <c r="G331" i="3"/>
  <c r="H331" i="3"/>
  <c r="I331" i="3"/>
  <c r="J331" i="3"/>
  <c r="B332" i="3"/>
  <c r="C332" i="3"/>
  <c r="D332" i="3"/>
  <c r="E332" i="3"/>
  <c r="F332" i="3"/>
  <c r="G332" i="3"/>
  <c r="H332" i="3"/>
  <c r="I332" i="3"/>
  <c r="J332" i="3"/>
  <c r="B333" i="3"/>
  <c r="C333" i="3"/>
  <c r="D333" i="3"/>
  <c r="E333" i="3"/>
  <c r="F333" i="3"/>
  <c r="G333" i="3"/>
  <c r="H333" i="3"/>
  <c r="I333" i="3"/>
  <c r="J333" i="3"/>
  <c r="B334" i="3"/>
  <c r="C334" i="3"/>
  <c r="D334" i="3"/>
  <c r="E334" i="3"/>
  <c r="F334" i="3"/>
  <c r="G334" i="3"/>
  <c r="H334" i="3"/>
  <c r="I334" i="3"/>
  <c r="J334" i="3"/>
  <c r="B335" i="3"/>
  <c r="C335" i="3"/>
  <c r="D335" i="3"/>
  <c r="E335" i="3"/>
  <c r="F335" i="3"/>
  <c r="G335" i="3"/>
  <c r="H335" i="3"/>
  <c r="I335" i="3"/>
  <c r="J335" i="3"/>
  <c r="B336" i="3"/>
  <c r="C336" i="3"/>
  <c r="D336" i="3"/>
  <c r="E336" i="3"/>
  <c r="F336" i="3"/>
  <c r="G336" i="3"/>
  <c r="H336" i="3"/>
  <c r="I336" i="3"/>
  <c r="J336" i="3"/>
  <c r="B337" i="3"/>
  <c r="C337" i="3"/>
  <c r="D337" i="3"/>
  <c r="E337" i="3"/>
  <c r="F337" i="3"/>
  <c r="G337" i="3"/>
  <c r="H337" i="3"/>
  <c r="I337" i="3"/>
  <c r="J337" i="3"/>
  <c r="B338" i="3"/>
  <c r="C338" i="3"/>
  <c r="D338" i="3"/>
  <c r="E338" i="3"/>
  <c r="F338" i="3"/>
  <c r="G338" i="3"/>
  <c r="H338" i="3"/>
  <c r="I338" i="3"/>
  <c r="J338" i="3"/>
  <c r="B339" i="3"/>
  <c r="C339" i="3"/>
  <c r="D339" i="3"/>
  <c r="E339" i="3"/>
  <c r="F339" i="3"/>
  <c r="G339" i="3"/>
  <c r="H339" i="3"/>
  <c r="I339" i="3"/>
  <c r="J339" i="3"/>
  <c r="B340" i="3"/>
  <c r="C340" i="3"/>
  <c r="D340" i="3"/>
  <c r="E340" i="3"/>
  <c r="F340" i="3"/>
  <c r="G340" i="3"/>
  <c r="H340" i="3"/>
  <c r="I340" i="3"/>
  <c r="J340" i="3"/>
  <c r="J1096" i="3" s="1"/>
  <c r="B341" i="3"/>
  <c r="C341" i="3"/>
  <c r="D341" i="3"/>
  <c r="E341" i="3"/>
  <c r="F341" i="3"/>
  <c r="G341" i="3"/>
  <c r="H341" i="3"/>
  <c r="I341" i="3"/>
  <c r="J341" i="3"/>
  <c r="B342" i="3"/>
  <c r="C342" i="3"/>
  <c r="D342" i="3"/>
  <c r="E342" i="3"/>
  <c r="F342" i="3"/>
  <c r="G342" i="3"/>
  <c r="H342" i="3"/>
  <c r="I342" i="3"/>
  <c r="J342" i="3"/>
  <c r="B343" i="3"/>
  <c r="C343" i="3"/>
  <c r="D343" i="3"/>
  <c r="E343" i="3"/>
  <c r="F343" i="3"/>
  <c r="G343" i="3"/>
  <c r="H343" i="3"/>
  <c r="I343" i="3"/>
  <c r="J343" i="3"/>
  <c r="B344" i="3"/>
  <c r="C344" i="3"/>
  <c r="D344" i="3"/>
  <c r="E344" i="3"/>
  <c r="F344" i="3"/>
  <c r="G344" i="3"/>
  <c r="H344" i="3"/>
  <c r="I344" i="3"/>
  <c r="J344" i="3"/>
  <c r="B345" i="3"/>
  <c r="C345" i="3"/>
  <c r="D345" i="3"/>
  <c r="E345" i="3"/>
  <c r="F345" i="3"/>
  <c r="G345" i="3"/>
  <c r="H345" i="3"/>
  <c r="I345" i="3"/>
  <c r="J345" i="3"/>
  <c r="B346" i="3"/>
  <c r="C346" i="3"/>
  <c r="D346" i="3"/>
  <c r="E346" i="3"/>
  <c r="F346" i="3"/>
  <c r="G346" i="3"/>
  <c r="H346" i="3"/>
  <c r="I346" i="3"/>
  <c r="J346" i="3"/>
  <c r="B347" i="3"/>
  <c r="C347" i="3"/>
  <c r="D347" i="3"/>
  <c r="E347" i="3"/>
  <c r="F347" i="3"/>
  <c r="G347" i="3"/>
  <c r="H347" i="3"/>
  <c r="I347" i="3"/>
  <c r="J347" i="3"/>
  <c r="B348" i="3"/>
  <c r="C348" i="3"/>
  <c r="D348" i="3"/>
  <c r="E348" i="3"/>
  <c r="F348" i="3"/>
  <c r="G348" i="3"/>
  <c r="H348" i="3"/>
  <c r="I348" i="3"/>
  <c r="J348" i="3"/>
  <c r="J1097" i="3" s="1"/>
  <c r="B349" i="3"/>
  <c r="C349" i="3"/>
  <c r="D349" i="3"/>
  <c r="E349" i="3"/>
  <c r="F349" i="3"/>
  <c r="G349" i="3"/>
  <c r="H349" i="3"/>
  <c r="I349" i="3"/>
  <c r="J349" i="3"/>
  <c r="B350" i="3"/>
  <c r="C350" i="3"/>
  <c r="D350" i="3"/>
  <c r="E350" i="3"/>
  <c r="F350" i="3"/>
  <c r="G350" i="3"/>
  <c r="H350" i="3"/>
  <c r="I350" i="3"/>
  <c r="J350" i="3"/>
  <c r="B351" i="3"/>
  <c r="C351" i="3"/>
  <c r="D351" i="3"/>
  <c r="E351" i="3"/>
  <c r="F351" i="3"/>
  <c r="G351" i="3"/>
  <c r="H351" i="3"/>
  <c r="I351" i="3"/>
  <c r="J351" i="3"/>
  <c r="B352" i="3"/>
  <c r="C352" i="3"/>
  <c r="D352" i="3"/>
  <c r="E352" i="3"/>
  <c r="F352" i="3"/>
  <c r="G352" i="3"/>
  <c r="H352" i="3"/>
  <c r="I352" i="3"/>
  <c r="J352" i="3"/>
  <c r="B353" i="3"/>
  <c r="C353" i="3"/>
  <c r="D353" i="3"/>
  <c r="E353" i="3"/>
  <c r="F353" i="3"/>
  <c r="G353" i="3"/>
  <c r="H353" i="3"/>
  <c r="I353" i="3"/>
  <c r="J353" i="3"/>
  <c r="B354" i="3"/>
  <c r="C354" i="3"/>
  <c r="D354" i="3"/>
  <c r="E354" i="3"/>
  <c r="F354" i="3"/>
  <c r="G354" i="3"/>
  <c r="H354" i="3"/>
  <c r="I354" i="3"/>
  <c r="J354" i="3"/>
  <c r="B355" i="3"/>
  <c r="C355" i="3"/>
  <c r="D355" i="3"/>
  <c r="E355" i="3"/>
  <c r="F355" i="3"/>
  <c r="G355" i="3"/>
  <c r="H355" i="3"/>
  <c r="I355" i="3"/>
  <c r="J355" i="3"/>
  <c r="B356" i="3"/>
  <c r="C356" i="3"/>
  <c r="D356" i="3"/>
  <c r="E356" i="3"/>
  <c r="F356" i="3"/>
  <c r="G356" i="3"/>
  <c r="H356" i="3"/>
  <c r="I356" i="3"/>
  <c r="J356" i="3"/>
  <c r="B357" i="3"/>
  <c r="C357" i="3"/>
  <c r="D357" i="3"/>
  <c r="E357" i="3"/>
  <c r="F357" i="3"/>
  <c r="G357" i="3"/>
  <c r="H357" i="3"/>
  <c r="I357" i="3"/>
  <c r="J357" i="3"/>
  <c r="B358" i="3"/>
  <c r="C358" i="3"/>
  <c r="D358" i="3"/>
  <c r="E358" i="3"/>
  <c r="F358" i="3"/>
  <c r="G358" i="3"/>
  <c r="H358" i="3"/>
  <c r="I358" i="3"/>
  <c r="J358" i="3"/>
  <c r="B359" i="3"/>
  <c r="C359" i="3"/>
  <c r="D359" i="3"/>
  <c r="E359" i="3"/>
  <c r="F359" i="3"/>
  <c r="G359" i="3"/>
  <c r="H359" i="3"/>
  <c r="I359" i="3"/>
  <c r="J359" i="3"/>
  <c r="B360" i="3"/>
  <c r="C360" i="3"/>
  <c r="D360" i="3"/>
  <c r="E360" i="3"/>
  <c r="F360" i="3"/>
  <c r="G360" i="3"/>
  <c r="H360" i="3"/>
  <c r="I360" i="3"/>
  <c r="J360" i="3"/>
  <c r="B361" i="3"/>
  <c r="C361" i="3"/>
  <c r="D361" i="3"/>
  <c r="E361" i="3"/>
  <c r="F361" i="3"/>
  <c r="G361" i="3"/>
  <c r="H361" i="3"/>
  <c r="I361" i="3"/>
  <c r="J361" i="3"/>
  <c r="B362" i="3"/>
  <c r="C362" i="3"/>
  <c r="D362" i="3"/>
  <c r="E362" i="3"/>
  <c r="F362" i="3"/>
  <c r="G362" i="3"/>
  <c r="H362" i="3"/>
  <c r="I362" i="3"/>
  <c r="J362" i="3"/>
  <c r="B363" i="3"/>
  <c r="C363" i="3"/>
  <c r="D363" i="3"/>
  <c r="E363" i="3"/>
  <c r="F363" i="3"/>
  <c r="G363" i="3"/>
  <c r="H363" i="3"/>
  <c r="I363" i="3"/>
  <c r="J363" i="3"/>
  <c r="B364" i="3"/>
  <c r="C364" i="3"/>
  <c r="D364" i="3"/>
  <c r="E364" i="3"/>
  <c r="F364" i="3"/>
  <c r="G364" i="3"/>
  <c r="H364" i="3"/>
  <c r="I364" i="3"/>
  <c r="J364" i="3"/>
  <c r="B365" i="3"/>
  <c r="C365" i="3"/>
  <c r="D365" i="3"/>
  <c r="E365" i="3"/>
  <c r="F365" i="3"/>
  <c r="G365" i="3"/>
  <c r="H365" i="3"/>
  <c r="I365" i="3"/>
  <c r="J365" i="3"/>
  <c r="B366" i="3"/>
  <c r="C366" i="3"/>
  <c r="D366" i="3"/>
  <c r="E366" i="3"/>
  <c r="F366" i="3"/>
  <c r="G366" i="3"/>
  <c r="H366" i="3"/>
  <c r="I366" i="3"/>
  <c r="J366" i="3"/>
  <c r="B367" i="3"/>
  <c r="C367" i="3"/>
  <c r="D367" i="3"/>
  <c r="E367" i="3"/>
  <c r="F367" i="3"/>
  <c r="G367" i="3"/>
  <c r="H367" i="3"/>
  <c r="I367" i="3"/>
  <c r="J367" i="3"/>
  <c r="B368" i="3"/>
  <c r="C368" i="3"/>
  <c r="D368" i="3"/>
  <c r="E368" i="3"/>
  <c r="F368" i="3"/>
  <c r="G368" i="3"/>
  <c r="H368" i="3"/>
  <c r="I368" i="3"/>
  <c r="J368" i="3"/>
  <c r="B369" i="3"/>
  <c r="C369" i="3"/>
  <c r="D369" i="3"/>
  <c r="E369" i="3"/>
  <c r="F369" i="3"/>
  <c r="G369" i="3"/>
  <c r="H369" i="3"/>
  <c r="I369" i="3"/>
  <c r="J369" i="3"/>
  <c r="B370" i="3"/>
  <c r="C370" i="3"/>
  <c r="D370" i="3"/>
  <c r="E370" i="3"/>
  <c r="F370" i="3"/>
  <c r="G370" i="3"/>
  <c r="H370" i="3"/>
  <c r="I370" i="3"/>
  <c r="J370" i="3"/>
  <c r="B371" i="3"/>
  <c r="C371" i="3"/>
  <c r="D371" i="3"/>
  <c r="E371" i="3"/>
  <c r="F371" i="3"/>
  <c r="G371" i="3"/>
  <c r="H371" i="3"/>
  <c r="I371" i="3"/>
  <c r="J371" i="3"/>
  <c r="B372" i="3"/>
  <c r="C372" i="3"/>
  <c r="D372" i="3"/>
  <c r="E372" i="3"/>
  <c r="F372" i="3"/>
  <c r="G372" i="3"/>
  <c r="H372" i="3"/>
  <c r="I372" i="3"/>
  <c r="J372" i="3"/>
  <c r="J1099" i="3" s="1"/>
  <c r="B373" i="3"/>
  <c r="C373" i="3"/>
  <c r="D373" i="3"/>
  <c r="E373" i="3"/>
  <c r="F373" i="3"/>
  <c r="G373" i="3"/>
  <c r="H373" i="3"/>
  <c r="I373" i="3"/>
  <c r="J373" i="3"/>
  <c r="B374" i="3"/>
  <c r="C374" i="3"/>
  <c r="D374" i="3"/>
  <c r="E374" i="3"/>
  <c r="F374" i="3"/>
  <c r="G374" i="3"/>
  <c r="H374" i="3"/>
  <c r="I374" i="3"/>
  <c r="J374" i="3"/>
  <c r="B375" i="3"/>
  <c r="C375" i="3"/>
  <c r="D375" i="3"/>
  <c r="E375" i="3"/>
  <c r="F375" i="3"/>
  <c r="G375" i="3"/>
  <c r="H375" i="3"/>
  <c r="I375" i="3"/>
  <c r="J375" i="3"/>
  <c r="B376" i="3"/>
  <c r="C376" i="3"/>
  <c r="D376" i="3"/>
  <c r="E376" i="3"/>
  <c r="F376" i="3"/>
  <c r="G376" i="3"/>
  <c r="H376" i="3"/>
  <c r="I376" i="3"/>
  <c r="J376" i="3"/>
  <c r="B377" i="3"/>
  <c r="C377" i="3"/>
  <c r="D377" i="3"/>
  <c r="E377" i="3"/>
  <c r="F377" i="3"/>
  <c r="G377" i="3"/>
  <c r="H377" i="3"/>
  <c r="I377" i="3"/>
  <c r="J377" i="3"/>
  <c r="B378" i="3"/>
  <c r="C378" i="3"/>
  <c r="D378" i="3"/>
  <c r="E378" i="3"/>
  <c r="F378" i="3"/>
  <c r="G378" i="3"/>
  <c r="H378" i="3"/>
  <c r="I378" i="3"/>
  <c r="J378" i="3"/>
  <c r="B379" i="3"/>
  <c r="C379" i="3"/>
  <c r="D379" i="3"/>
  <c r="E379" i="3"/>
  <c r="F379" i="3"/>
  <c r="G379" i="3"/>
  <c r="H379" i="3"/>
  <c r="I379" i="3"/>
  <c r="J379" i="3"/>
  <c r="B380" i="3"/>
  <c r="C380" i="3"/>
  <c r="D380" i="3"/>
  <c r="E380" i="3"/>
  <c r="F380" i="3"/>
  <c r="G380" i="3"/>
  <c r="H380" i="3"/>
  <c r="I380" i="3"/>
  <c r="J380" i="3"/>
  <c r="B381" i="3"/>
  <c r="C381" i="3"/>
  <c r="D381" i="3"/>
  <c r="E381" i="3"/>
  <c r="F381" i="3"/>
  <c r="G381" i="3"/>
  <c r="H381" i="3"/>
  <c r="I381" i="3"/>
  <c r="J381" i="3"/>
  <c r="B382" i="3"/>
  <c r="C382" i="3"/>
  <c r="D382" i="3"/>
  <c r="E382" i="3"/>
  <c r="F382" i="3"/>
  <c r="G382" i="3"/>
  <c r="H382" i="3"/>
  <c r="I382" i="3"/>
  <c r="J382" i="3"/>
  <c r="B383" i="3"/>
  <c r="C383" i="3"/>
  <c r="D383" i="3"/>
  <c r="E383" i="3"/>
  <c r="F383" i="3"/>
  <c r="G383" i="3"/>
  <c r="H383" i="3"/>
  <c r="I383" i="3"/>
  <c r="J383" i="3"/>
  <c r="B384" i="3"/>
  <c r="C384" i="3"/>
  <c r="D384" i="3"/>
  <c r="E384" i="3"/>
  <c r="F384" i="3"/>
  <c r="G384" i="3"/>
  <c r="H384" i="3"/>
  <c r="I384" i="3"/>
  <c r="J384" i="3"/>
  <c r="B385" i="3"/>
  <c r="C385" i="3"/>
  <c r="D385" i="3"/>
  <c r="E385" i="3"/>
  <c r="F385" i="3"/>
  <c r="G385" i="3"/>
  <c r="H385" i="3"/>
  <c r="I385" i="3"/>
  <c r="J385" i="3"/>
  <c r="B386" i="3"/>
  <c r="C386" i="3"/>
  <c r="D386" i="3"/>
  <c r="E386" i="3"/>
  <c r="F386" i="3"/>
  <c r="G386" i="3"/>
  <c r="H386" i="3"/>
  <c r="I386" i="3"/>
  <c r="J386" i="3"/>
  <c r="J1100" i="3" s="1"/>
  <c r="B387" i="3"/>
  <c r="C387" i="3"/>
  <c r="D387" i="3"/>
  <c r="E387" i="3"/>
  <c r="F387" i="3"/>
  <c r="G387" i="3"/>
  <c r="H387" i="3"/>
  <c r="I387" i="3"/>
  <c r="J387" i="3"/>
  <c r="B388" i="3"/>
  <c r="C388" i="3"/>
  <c r="D388" i="3"/>
  <c r="E388" i="3"/>
  <c r="F388" i="3"/>
  <c r="G388" i="3"/>
  <c r="H388" i="3"/>
  <c r="I388" i="3"/>
  <c r="J388" i="3"/>
  <c r="B389" i="3"/>
  <c r="C389" i="3"/>
  <c r="D389" i="3"/>
  <c r="E389" i="3"/>
  <c r="F389" i="3"/>
  <c r="G389" i="3"/>
  <c r="H389" i="3"/>
  <c r="I389" i="3"/>
  <c r="J389" i="3"/>
  <c r="B390" i="3"/>
  <c r="C390" i="3"/>
  <c r="D390" i="3"/>
  <c r="E390" i="3"/>
  <c r="F390" i="3"/>
  <c r="G390" i="3"/>
  <c r="H390" i="3"/>
  <c r="I390" i="3"/>
  <c r="J390" i="3"/>
  <c r="B391" i="3"/>
  <c r="C391" i="3"/>
  <c r="D391" i="3"/>
  <c r="E391" i="3"/>
  <c r="F391" i="3"/>
  <c r="G391" i="3"/>
  <c r="H391" i="3"/>
  <c r="I391" i="3"/>
  <c r="J391" i="3"/>
  <c r="B392" i="3"/>
  <c r="C392" i="3"/>
  <c r="D392" i="3"/>
  <c r="E392" i="3"/>
  <c r="F392" i="3"/>
  <c r="G392" i="3"/>
  <c r="H392" i="3"/>
  <c r="I392" i="3"/>
  <c r="J392" i="3"/>
  <c r="B393" i="3"/>
  <c r="C393" i="3"/>
  <c r="D393" i="3"/>
  <c r="E393" i="3"/>
  <c r="F393" i="3"/>
  <c r="G393" i="3"/>
  <c r="H393" i="3"/>
  <c r="I393" i="3"/>
  <c r="J393" i="3"/>
  <c r="B394" i="3"/>
  <c r="C394" i="3"/>
  <c r="D394" i="3"/>
  <c r="E394" i="3"/>
  <c r="F394" i="3"/>
  <c r="G394" i="3"/>
  <c r="H394" i="3"/>
  <c r="I394" i="3"/>
  <c r="J394" i="3"/>
  <c r="B395" i="3"/>
  <c r="C395" i="3"/>
  <c r="D395" i="3"/>
  <c r="E395" i="3"/>
  <c r="F395" i="3"/>
  <c r="G395" i="3"/>
  <c r="H395" i="3"/>
  <c r="I395" i="3"/>
  <c r="J395" i="3"/>
  <c r="B396" i="3"/>
  <c r="C396" i="3"/>
  <c r="D396" i="3"/>
  <c r="E396" i="3"/>
  <c r="F396" i="3"/>
  <c r="G396" i="3"/>
  <c r="H396" i="3"/>
  <c r="I396" i="3"/>
  <c r="J396" i="3"/>
  <c r="J1101" i="3" s="1"/>
  <c r="B397" i="3"/>
  <c r="C397" i="3"/>
  <c r="D397" i="3"/>
  <c r="E397" i="3"/>
  <c r="F397" i="3"/>
  <c r="G397" i="3"/>
  <c r="H397" i="3"/>
  <c r="I397" i="3"/>
  <c r="J397" i="3"/>
  <c r="B398" i="3"/>
  <c r="C398" i="3"/>
  <c r="D398" i="3"/>
  <c r="E398" i="3"/>
  <c r="F398" i="3"/>
  <c r="G398" i="3"/>
  <c r="H398" i="3"/>
  <c r="I398" i="3"/>
  <c r="J398" i="3"/>
  <c r="B399" i="3"/>
  <c r="C399" i="3"/>
  <c r="D399" i="3"/>
  <c r="E399" i="3"/>
  <c r="F399" i="3"/>
  <c r="G399" i="3"/>
  <c r="H399" i="3"/>
  <c r="I399" i="3"/>
  <c r="J399" i="3"/>
  <c r="B400" i="3"/>
  <c r="C400" i="3"/>
  <c r="D400" i="3"/>
  <c r="E400" i="3"/>
  <c r="F400" i="3"/>
  <c r="G400" i="3"/>
  <c r="H400" i="3"/>
  <c r="I400" i="3"/>
  <c r="J400" i="3"/>
  <c r="B401" i="3"/>
  <c r="C401" i="3"/>
  <c r="D401" i="3"/>
  <c r="E401" i="3"/>
  <c r="F401" i="3"/>
  <c r="G401" i="3"/>
  <c r="H401" i="3"/>
  <c r="I401" i="3"/>
  <c r="J401" i="3"/>
  <c r="B402" i="3"/>
  <c r="C402" i="3"/>
  <c r="D402" i="3"/>
  <c r="E402" i="3"/>
  <c r="F402" i="3"/>
  <c r="G402" i="3"/>
  <c r="H402" i="3"/>
  <c r="I402" i="3"/>
  <c r="J402" i="3"/>
  <c r="B403" i="3"/>
  <c r="C403" i="3"/>
  <c r="D403" i="3"/>
  <c r="E403" i="3"/>
  <c r="F403" i="3"/>
  <c r="G403" i="3"/>
  <c r="H403" i="3"/>
  <c r="I403" i="3"/>
  <c r="J403" i="3"/>
  <c r="B404" i="3"/>
  <c r="C404" i="3"/>
  <c r="D404" i="3"/>
  <c r="E404" i="3"/>
  <c r="F404" i="3"/>
  <c r="G404" i="3"/>
  <c r="H404" i="3"/>
  <c r="I404" i="3"/>
  <c r="J404" i="3"/>
  <c r="B405" i="3"/>
  <c r="C405" i="3"/>
  <c r="D405" i="3"/>
  <c r="E405" i="3"/>
  <c r="F405" i="3"/>
  <c r="G405" i="3"/>
  <c r="H405" i="3"/>
  <c r="I405" i="3"/>
  <c r="J405" i="3"/>
  <c r="B406" i="3"/>
  <c r="C406" i="3"/>
  <c r="D406" i="3"/>
  <c r="E406" i="3"/>
  <c r="F406" i="3"/>
  <c r="G406" i="3"/>
  <c r="H406" i="3"/>
  <c r="I406" i="3"/>
  <c r="J406" i="3"/>
  <c r="B407" i="3"/>
  <c r="C407" i="3"/>
  <c r="D407" i="3"/>
  <c r="E407" i="3"/>
  <c r="F407" i="3"/>
  <c r="G407" i="3"/>
  <c r="H407" i="3"/>
  <c r="I407" i="3"/>
  <c r="J407" i="3"/>
  <c r="B408" i="3"/>
  <c r="C408" i="3"/>
  <c r="D408" i="3"/>
  <c r="E408" i="3"/>
  <c r="F408" i="3"/>
  <c r="G408" i="3"/>
  <c r="H408" i="3"/>
  <c r="I408" i="3"/>
  <c r="J408" i="3"/>
  <c r="B409" i="3"/>
  <c r="C409" i="3"/>
  <c r="D409" i="3"/>
  <c r="E409" i="3"/>
  <c r="F409" i="3"/>
  <c r="G409" i="3"/>
  <c r="H409" i="3"/>
  <c r="I409" i="3"/>
  <c r="J409" i="3"/>
  <c r="B410" i="3"/>
  <c r="C410" i="3"/>
  <c r="D410" i="3"/>
  <c r="E410" i="3"/>
  <c r="F410" i="3"/>
  <c r="G410" i="3"/>
  <c r="H410" i="3"/>
  <c r="I410" i="3"/>
  <c r="J410" i="3"/>
  <c r="B411" i="3"/>
  <c r="C411" i="3"/>
  <c r="D411" i="3"/>
  <c r="E411" i="3"/>
  <c r="F411" i="3"/>
  <c r="G411" i="3"/>
  <c r="H411" i="3"/>
  <c r="I411" i="3"/>
  <c r="J411" i="3"/>
  <c r="B412" i="3"/>
  <c r="C412" i="3"/>
  <c r="D412" i="3"/>
  <c r="E412" i="3"/>
  <c r="F412" i="3"/>
  <c r="G412" i="3"/>
  <c r="H412" i="3"/>
  <c r="I412" i="3"/>
  <c r="J412" i="3"/>
  <c r="B413" i="3"/>
  <c r="C413" i="3"/>
  <c r="D413" i="3"/>
  <c r="E413" i="3"/>
  <c r="F413" i="3"/>
  <c r="G413" i="3"/>
  <c r="H413" i="3"/>
  <c r="I413" i="3"/>
  <c r="J413" i="3"/>
  <c r="B414" i="3"/>
  <c r="C414" i="3"/>
  <c r="D414" i="3"/>
  <c r="E414" i="3"/>
  <c r="F414" i="3"/>
  <c r="G414" i="3"/>
  <c r="H414" i="3"/>
  <c r="I414" i="3"/>
  <c r="J414" i="3"/>
  <c r="B415" i="3"/>
  <c r="C415" i="3"/>
  <c r="D415" i="3"/>
  <c r="E415" i="3"/>
  <c r="F415" i="3"/>
  <c r="G415" i="3"/>
  <c r="H415" i="3"/>
  <c r="I415" i="3"/>
  <c r="J415" i="3"/>
  <c r="B416" i="3"/>
  <c r="C416" i="3"/>
  <c r="D416" i="3"/>
  <c r="E416" i="3"/>
  <c r="F416" i="3"/>
  <c r="G416" i="3"/>
  <c r="H416" i="3"/>
  <c r="I416" i="3"/>
  <c r="J416" i="3"/>
  <c r="B417" i="3"/>
  <c r="C417" i="3"/>
  <c r="D417" i="3"/>
  <c r="E417" i="3"/>
  <c r="F417" i="3"/>
  <c r="G417" i="3"/>
  <c r="H417" i="3"/>
  <c r="I417" i="3"/>
  <c r="J417" i="3"/>
  <c r="B418" i="3"/>
  <c r="C418" i="3"/>
  <c r="D418" i="3"/>
  <c r="E418" i="3"/>
  <c r="F418" i="3"/>
  <c r="G418" i="3"/>
  <c r="H418" i="3"/>
  <c r="I418" i="3"/>
  <c r="J418" i="3"/>
  <c r="B419" i="3"/>
  <c r="C419" i="3"/>
  <c r="D419" i="3"/>
  <c r="E419" i="3"/>
  <c r="F419" i="3"/>
  <c r="G419" i="3"/>
  <c r="H419" i="3"/>
  <c r="I419" i="3"/>
  <c r="J419" i="3"/>
  <c r="B420" i="3"/>
  <c r="C420" i="3"/>
  <c r="D420" i="3"/>
  <c r="E420" i="3"/>
  <c r="F420" i="3"/>
  <c r="G420" i="3"/>
  <c r="H420" i="3"/>
  <c r="I420" i="3"/>
  <c r="J420" i="3"/>
  <c r="B421" i="3"/>
  <c r="C421" i="3"/>
  <c r="D421" i="3"/>
  <c r="E421" i="3"/>
  <c r="F421" i="3"/>
  <c r="G421" i="3"/>
  <c r="H421" i="3"/>
  <c r="I421" i="3"/>
  <c r="J421" i="3"/>
  <c r="B422" i="3"/>
  <c r="C422" i="3"/>
  <c r="D422" i="3"/>
  <c r="E422" i="3"/>
  <c r="F422" i="3"/>
  <c r="G422" i="3"/>
  <c r="H422" i="3"/>
  <c r="I422" i="3"/>
  <c r="J422" i="3"/>
  <c r="B423" i="3"/>
  <c r="C423" i="3"/>
  <c r="D423" i="3"/>
  <c r="E423" i="3"/>
  <c r="F423" i="3"/>
  <c r="G423" i="3"/>
  <c r="H423" i="3"/>
  <c r="I423" i="3"/>
  <c r="J423" i="3"/>
  <c r="B424" i="3"/>
  <c r="C424" i="3"/>
  <c r="D424" i="3"/>
  <c r="E424" i="3"/>
  <c r="F424" i="3"/>
  <c r="G424" i="3"/>
  <c r="H424" i="3"/>
  <c r="I424" i="3"/>
  <c r="J424" i="3"/>
  <c r="B425" i="3"/>
  <c r="C425" i="3"/>
  <c r="D425" i="3"/>
  <c r="E425" i="3"/>
  <c r="F425" i="3"/>
  <c r="G425" i="3"/>
  <c r="H425" i="3"/>
  <c r="I425" i="3"/>
  <c r="J425" i="3"/>
  <c r="B426" i="3"/>
  <c r="C426" i="3"/>
  <c r="D426" i="3"/>
  <c r="E426" i="3"/>
  <c r="F426" i="3"/>
  <c r="G426" i="3"/>
  <c r="H426" i="3"/>
  <c r="I426" i="3"/>
  <c r="J426" i="3"/>
  <c r="B427" i="3"/>
  <c r="C427" i="3"/>
  <c r="D427" i="3"/>
  <c r="E427" i="3"/>
  <c r="F427" i="3"/>
  <c r="G427" i="3"/>
  <c r="H427" i="3"/>
  <c r="I427" i="3"/>
  <c r="J427" i="3"/>
  <c r="B428" i="3"/>
  <c r="C428" i="3"/>
  <c r="D428" i="3"/>
  <c r="E428" i="3"/>
  <c r="F428" i="3"/>
  <c r="G428" i="3"/>
  <c r="H428" i="3"/>
  <c r="I428" i="3"/>
  <c r="J428" i="3"/>
  <c r="B429" i="3"/>
  <c r="C429" i="3"/>
  <c r="D429" i="3"/>
  <c r="E429" i="3"/>
  <c r="F429" i="3"/>
  <c r="G429" i="3"/>
  <c r="H429" i="3"/>
  <c r="I429" i="3"/>
  <c r="J429" i="3"/>
  <c r="B430" i="3"/>
  <c r="C430" i="3"/>
  <c r="D430" i="3"/>
  <c r="E430" i="3"/>
  <c r="F430" i="3"/>
  <c r="G430" i="3"/>
  <c r="H430" i="3"/>
  <c r="I430" i="3"/>
  <c r="J430" i="3"/>
  <c r="B431" i="3"/>
  <c r="C431" i="3"/>
  <c r="D431" i="3"/>
  <c r="E431" i="3"/>
  <c r="F431" i="3"/>
  <c r="G431" i="3"/>
  <c r="H431" i="3"/>
  <c r="I431" i="3"/>
  <c r="J431" i="3"/>
  <c r="B432" i="3"/>
  <c r="C432" i="3"/>
  <c r="D432" i="3"/>
  <c r="E432" i="3"/>
  <c r="F432" i="3"/>
  <c r="G432" i="3"/>
  <c r="H432" i="3"/>
  <c r="I432" i="3"/>
  <c r="J432" i="3"/>
  <c r="B433" i="3"/>
  <c r="C433" i="3"/>
  <c r="D433" i="3"/>
  <c r="E433" i="3"/>
  <c r="F433" i="3"/>
  <c r="G433" i="3"/>
  <c r="H433" i="3"/>
  <c r="I433" i="3"/>
  <c r="J433" i="3"/>
  <c r="B434" i="3"/>
  <c r="C434" i="3"/>
  <c r="D434" i="3"/>
  <c r="E434" i="3"/>
  <c r="F434" i="3"/>
  <c r="G434" i="3"/>
  <c r="H434" i="3"/>
  <c r="I434" i="3"/>
  <c r="J434" i="3"/>
  <c r="B435" i="3"/>
  <c r="C435" i="3"/>
  <c r="D435" i="3"/>
  <c r="E435" i="3"/>
  <c r="F435" i="3"/>
  <c r="G435" i="3"/>
  <c r="H435" i="3"/>
  <c r="I435" i="3"/>
  <c r="J435" i="3"/>
  <c r="B436" i="3"/>
  <c r="C436" i="3"/>
  <c r="D436" i="3"/>
  <c r="E436" i="3"/>
  <c r="F436" i="3"/>
  <c r="G436" i="3"/>
  <c r="H436" i="3"/>
  <c r="I436" i="3"/>
  <c r="J436" i="3"/>
  <c r="B437" i="3"/>
  <c r="C437" i="3"/>
  <c r="D437" i="3"/>
  <c r="E437" i="3"/>
  <c r="F437" i="3"/>
  <c r="G437" i="3"/>
  <c r="H437" i="3"/>
  <c r="I437" i="3"/>
  <c r="J437" i="3"/>
  <c r="B438" i="3"/>
  <c r="C438" i="3"/>
  <c r="D438" i="3"/>
  <c r="E438" i="3"/>
  <c r="F438" i="3"/>
  <c r="G438" i="3"/>
  <c r="H438" i="3"/>
  <c r="I438" i="3"/>
  <c r="J438" i="3"/>
  <c r="B439" i="3"/>
  <c r="C439" i="3"/>
  <c r="D439" i="3"/>
  <c r="E439" i="3"/>
  <c r="F439" i="3"/>
  <c r="G439" i="3"/>
  <c r="H439" i="3"/>
  <c r="I439" i="3"/>
  <c r="J439" i="3"/>
  <c r="B440" i="3"/>
  <c r="C440" i="3"/>
  <c r="D440" i="3"/>
  <c r="E440" i="3"/>
  <c r="F440" i="3"/>
  <c r="G440" i="3"/>
  <c r="H440" i="3"/>
  <c r="I440" i="3"/>
  <c r="J440" i="3"/>
  <c r="B441" i="3"/>
  <c r="C441" i="3"/>
  <c r="D441" i="3"/>
  <c r="E441" i="3"/>
  <c r="F441" i="3"/>
  <c r="G441" i="3"/>
  <c r="H441" i="3"/>
  <c r="I441" i="3"/>
  <c r="J441" i="3"/>
  <c r="B442" i="3"/>
  <c r="C442" i="3"/>
  <c r="D442" i="3"/>
  <c r="E442" i="3"/>
  <c r="F442" i="3"/>
  <c r="G442" i="3"/>
  <c r="H442" i="3"/>
  <c r="I442" i="3"/>
  <c r="J442" i="3"/>
  <c r="B443" i="3"/>
  <c r="C443" i="3"/>
  <c r="D443" i="3"/>
  <c r="E443" i="3"/>
  <c r="F443" i="3"/>
  <c r="G443" i="3"/>
  <c r="H443" i="3"/>
  <c r="I443" i="3"/>
  <c r="J443" i="3"/>
  <c r="B444" i="3"/>
  <c r="C444" i="3"/>
  <c r="D444" i="3"/>
  <c r="E444" i="3"/>
  <c r="F444" i="3"/>
  <c r="G444" i="3"/>
  <c r="H444" i="3"/>
  <c r="I444" i="3"/>
  <c r="J444" i="3"/>
  <c r="J1105" i="3" s="1"/>
  <c r="B445" i="3"/>
  <c r="C445" i="3"/>
  <c r="D445" i="3"/>
  <c r="E445" i="3"/>
  <c r="F445" i="3"/>
  <c r="G445" i="3"/>
  <c r="H445" i="3"/>
  <c r="I445" i="3"/>
  <c r="J445" i="3"/>
  <c r="B446" i="3"/>
  <c r="C446" i="3"/>
  <c r="D446" i="3"/>
  <c r="E446" i="3"/>
  <c r="F446" i="3"/>
  <c r="G446" i="3"/>
  <c r="H446" i="3"/>
  <c r="I446" i="3"/>
  <c r="J446" i="3"/>
  <c r="B447" i="3"/>
  <c r="C447" i="3"/>
  <c r="D447" i="3"/>
  <c r="E447" i="3"/>
  <c r="F447" i="3"/>
  <c r="G447" i="3"/>
  <c r="H447" i="3"/>
  <c r="I447" i="3"/>
  <c r="J447" i="3"/>
  <c r="B448" i="3"/>
  <c r="C448" i="3"/>
  <c r="D448" i="3"/>
  <c r="E448" i="3"/>
  <c r="F448" i="3"/>
  <c r="G448" i="3"/>
  <c r="H448" i="3"/>
  <c r="I448" i="3"/>
  <c r="J448" i="3"/>
  <c r="B449" i="3"/>
  <c r="C449" i="3"/>
  <c r="D449" i="3"/>
  <c r="E449" i="3"/>
  <c r="F449" i="3"/>
  <c r="G449" i="3"/>
  <c r="H449" i="3"/>
  <c r="I449" i="3"/>
  <c r="J449" i="3"/>
  <c r="B450" i="3"/>
  <c r="C450" i="3"/>
  <c r="D450" i="3"/>
  <c r="E450" i="3"/>
  <c r="F450" i="3"/>
  <c r="G450" i="3"/>
  <c r="H450" i="3"/>
  <c r="I450" i="3"/>
  <c r="J450" i="3"/>
  <c r="B451" i="3"/>
  <c r="C451" i="3"/>
  <c r="D451" i="3"/>
  <c r="E451" i="3"/>
  <c r="F451" i="3"/>
  <c r="G451" i="3"/>
  <c r="H451" i="3"/>
  <c r="I451" i="3"/>
  <c r="J451" i="3"/>
  <c r="B452" i="3"/>
  <c r="C452" i="3"/>
  <c r="D452" i="3"/>
  <c r="E452" i="3"/>
  <c r="F452" i="3"/>
  <c r="G452" i="3"/>
  <c r="H452" i="3"/>
  <c r="I452" i="3"/>
  <c r="J452" i="3"/>
  <c r="B453" i="3"/>
  <c r="C453" i="3"/>
  <c r="D453" i="3"/>
  <c r="E453" i="3"/>
  <c r="F453" i="3"/>
  <c r="G453" i="3"/>
  <c r="H453" i="3"/>
  <c r="I453" i="3"/>
  <c r="J453" i="3"/>
  <c r="B454" i="3"/>
  <c r="C454" i="3"/>
  <c r="D454" i="3"/>
  <c r="E454" i="3"/>
  <c r="F454" i="3"/>
  <c r="G454" i="3"/>
  <c r="H454" i="3"/>
  <c r="I454" i="3"/>
  <c r="J454" i="3"/>
  <c r="B455" i="3"/>
  <c r="C455" i="3"/>
  <c r="D455" i="3"/>
  <c r="E455" i="3"/>
  <c r="F455" i="3"/>
  <c r="G455" i="3"/>
  <c r="H455" i="3"/>
  <c r="I455" i="3"/>
  <c r="J455" i="3"/>
  <c r="B456" i="3"/>
  <c r="C456" i="3"/>
  <c r="D456" i="3"/>
  <c r="E456" i="3"/>
  <c r="F456" i="3"/>
  <c r="G456" i="3"/>
  <c r="H456" i="3"/>
  <c r="I456" i="3"/>
  <c r="J456" i="3"/>
  <c r="B457" i="3"/>
  <c r="C457" i="3"/>
  <c r="D457" i="3"/>
  <c r="E457" i="3"/>
  <c r="F457" i="3"/>
  <c r="G457" i="3"/>
  <c r="H457" i="3"/>
  <c r="I457" i="3"/>
  <c r="J457" i="3"/>
  <c r="B458" i="3"/>
  <c r="C458" i="3"/>
  <c r="D458" i="3"/>
  <c r="E458" i="3"/>
  <c r="F458" i="3"/>
  <c r="G458" i="3"/>
  <c r="H458" i="3"/>
  <c r="I458" i="3"/>
  <c r="J458" i="3"/>
  <c r="B459" i="3"/>
  <c r="C459" i="3"/>
  <c r="D459" i="3"/>
  <c r="E459" i="3"/>
  <c r="F459" i="3"/>
  <c r="G459" i="3"/>
  <c r="H459" i="3"/>
  <c r="I459" i="3"/>
  <c r="J459" i="3"/>
  <c r="B460" i="3"/>
  <c r="C460" i="3"/>
  <c r="D460" i="3"/>
  <c r="E460" i="3"/>
  <c r="F460" i="3"/>
  <c r="G460" i="3"/>
  <c r="H460" i="3"/>
  <c r="I460" i="3"/>
  <c r="J460" i="3"/>
  <c r="B461" i="3"/>
  <c r="C461" i="3"/>
  <c r="D461" i="3"/>
  <c r="E461" i="3"/>
  <c r="F461" i="3"/>
  <c r="G461" i="3"/>
  <c r="H461" i="3"/>
  <c r="I461" i="3"/>
  <c r="J461" i="3"/>
  <c r="B462" i="3"/>
  <c r="C462" i="3"/>
  <c r="D462" i="3"/>
  <c r="E462" i="3"/>
  <c r="F462" i="3"/>
  <c r="G462" i="3"/>
  <c r="H462" i="3"/>
  <c r="I462" i="3"/>
  <c r="J462" i="3"/>
  <c r="B463" i="3"/>
  <c r="C463" i="3"/>
  <c r="D463" i="3"/>
  <c r="E463" i="3"/>
  <c r="F463" i="3"/>
  <c r="G463" i="3"/>
  <c r="H463" i="3"/>
  <c r="I463" i="3"/>
  <c r="J463" i="3"/>
  <c r="B464" i="3"/>
  <c r="C464" i="3"/>
  <c r="D464" i="3"/>
  <c r="E464" i="3"/>
  <c r="F464" i="3"/>
  <c r="G464" i="3"/>
  <c r="H464" i="3"/>
  <c r="I464" i="3"/>
  <c r="J464" i="3"/>
  <c r="B465" i="3"/>
  <c r="C465" i="3"/>
  <c r="D465" i="3"/>
  <c r="E465" i="3"/>
  <c r="F465" i="3"/>
  <c r="G465" i="3"/>
  <c r="H465" i="3"/>
  <c r="I465" i="3"/>
  <c r="J465" i="3"/>
  <c r="B466" i="3"/>
  <c r="C466" i="3"/>
  <c r="D466" i="3"/>
  <c r="E466" i="3"/>
  <c r="F466" i="3"/>
  <c r="G466" i="3"/>
  <c r="H466" i="3"/>
  <c r="I466" i="3"/>
  <c r="J466" i="3"/>
  <c r="B467" i="3"/>
  <c r="C467" i="3"/>
  <c r="D467" i="3"/>
  <c r="E467" i="3"/>
  <c r="F467" i="3"/>
  <c r="G467" i="3"/>
  <c r="H467" i="3"/>
  <c r="I467" i="3"/>
  <c r="J467" i="3"/>
  <c r="B468" i="3"/>
  <c r="C468" i="3"/>
  <c r="D468" i="3"/>
  <c r="E468" i="3"/>
  <c r="F468" i="3"/>
  <c r="G468" i="3"/>
  <c r="H468" i="3"/>
  <c r="I468" i="3"/>
  <c r="J468" i="3"/>
  <c r="J1107" i="3" s="1"/>
  <c r="B469" i="3"/>
  <c r="C469" i="3"/>
  <c r="D469" i="3"/>
  <c r="E469" i="3"/>
  <c r="F469" i="3"/>
  <c r="G469" i="3"/>
  <c r="H469" i="3"/>
  <c r="I469" i="3"/>
  <c r="J469" i="3"/>
  <c r="B470" i="3"/>
  <c r="C470" i="3"/>
  <c r="D470" i="3"/>
  <c r="E470" i="3"/>
  <c r="F470" i="3"/>
  <c r="G470" i="3"/>
  <c r="H470" i="3"/>
  <c r="I470" i="3"/>
  <c r="J470" i="3"/>
  <c r="B471" i="3"/>
  <c r="C471" i="3"/>
  <c r="D471" i="3"/>
  <c r="E471" i="3"/>
  <c r="F471" i="3"/>
  <c r="G471" i="3"/>
  <c r="H471" i="3"/>
  <c r="I471" i="3"/>
  <c r="J471" i="3"/>
  <c r="B472" i="3"/>
  <c r="C472" i="3"/>
  <c r="D472" i="3"/>
  <c r="E472" i="3"/>
  <c r="F472" i="3"/>
  <c r="G472" i="3"/>
  <c r="H472" i="3"/>
  <c r="I472" i="3"/>
  <c r="J472" i="3"/>
  <c r="B473" i="3"/>
  <c r="C473" i="3"/>
  <c r="D473" i="3"/>
  <c r="E473" i="3"/>
  <c r="F473" i="3"/>
  <c r="G473" i="3"/>
  <c r="H473" i="3"/>
  <c r="I473" i="3"/>
  <c r="J473" i="3"/>
  <c r="B474" i="3"/>
  <c r="C474" i="3"/>
  <c r="D474" i="3"/>
  <c r="E474" i="3"/>
  <c r="F474" i="3"/>
  <c r="G474" i="3"/>
  <c r="H474" i="3"/>
  <c r="I474" i="3"/>
  <c r="J474" i="3"/>
  <c r="B475" i="3"/>
  <c r="C475" i="3"/>
  <c r="D475" i="3"/>
  <c r="E475" i="3"/>
  <c r="F475" i="3"/>
  <c r="G475" i="3"/>
  <c r="H475" i="3"/>
  <c r="I475" i="3"/>
  <c r="J475" i="3"/>
  <c r="B476" i="3"/>
  <c r="C476" i="3"/>
  <c r="D476" i="3"/>
  <c r="E476" i="3"/>
  <c r="F476" i="3"/>
  <c r="G476" i="3"/>
  <c r="H476" i="3"/>
  <c r="I476" i="3"/>
  <c r="J476" i="3"/>
  <c r="B477" i="3"/>
  <c r="C477" i="3"/>
  <c r="D477" i="3"/>
  <c r="E477" i="3"/>
  <c r="F477" i="3"/>
  <c r="G477" i="3"/>
  <c r="H477" i="3"/>
  <c r="I477" i="3"/>
  <c r="J477" i="3"/>
  <c r="B478" i="3"/>
  <c r="C478" i="3"/>
  <c r="D478" i="3"/>
  <c r="E478" i="3"/>
  <c r="F478" i="3"/>
  <c r="G478" i="3"/>
  <c r="H478" i="3"/>
  <c r="I478" i="3"/>
  <c r="J478" i="3"/>
  <c r="B479" i="3"/>
  <c r="C479" i="3"/>
  <c r="D479" i="3"/>
  <c r="E479" i="3"/>
  <c r="F479" i="3"/>
  <c r="G479" i="3"/>
  <c r="H479" i="3"/>
  <c r="I479" i="3"/>
  <c r="J479" i="3"/>
  <c r="B480" i="3"/>
  <c r="C480" i="3"/>
  <c r="D480" i="3"/>
  <c r="E480" i="3"/>
  <c r="F480" i="3"/>
  <c r="G480" i="3"/>
  <c r="H480" i="3"/>
  <c r="I480" i="3"/>
  <c r="J480" i="3"/>
  <c r="B481" i="3"/>
  <c r="C481" i="3"/>
  <c r="D481" i="3"/>
  <c r="E481" i="3"/>
  <c r="F481" i="3"/>
  <c r="G481" i="3"/>
  <c r="H481" i="3"/>
  <c r="I481" i="3"/>
  <c r="J481" i="3"/>
  <c r="B482" i="3"/>
  <c r="C482" i="3"/>
  <c r="D482" i="3"/>
  <c r="E482" i="3"/>
  <c r="F482" i="3"/>
  <c r="G482" i="3"/>
  <c r="H482" i="3"/>
  <c r="I482" i="3"/>
  <c r="J482" i="3"/>
  <c r="J1108" i="3" s="1"/>
  <c r="B483" i="3"/>
  <c r="C483" i="3"/>
  <c r="D483" i="3"/>
  <c r="E483" i="3"/>
  <c r="F483" i="3"/>
  <c r="G483" i="3"/>
  <c r="H483" i="3"/>
  <c r="I483" i="3"/>
  <c r="J483" i="3"/>
  <c r="B484" i="3"/>
  <c r="C484" i="3"/>
  <c r="D484" i="3"/>
  <c r="E484" i="3"/>
  <c r="F484" i="3"/>
  <c r="G484" i="3"/>
  <c r="H484" i="3"/>
  <c r="I484" i="3"/>
  <c r="J484" i="3"/>
  <c r="B485" i="3"/>
  <c r="C485" i="3"/>
  <c r="D485" i="3"/>
  <c r="E485" i="3"/>
  <c r="F485" i="3"/>
  <c r="G485" i="3"/>
  <c r="H485" i="3"/>
  <c r="I485" i="3"/>
  <c r="J485" i="3"/>
  <c r="B486" i="3"/>
  <c r="C486" i="3"/>
  <c r="D486" i="3"/>
  <c r="E486" i="3"/>
  <c r="F486" i="3"/>
  <c r="G486" i="3"/>
  <c r="H486" i="3"/>
  <c r="I486" i="3"/>
  <c r="J486" i="3"/>
  <c r="B487" i="3"/>
  <c r="C487" i="3"/>
  <c r="D487" i="3"/>
  <c r="E487" i="3"/>
  <c r="F487" i="3"/>
  <c r="G487" i="3"/>
  <c r="H487" i="3"/>
  <c r="I487" i="3"/>
  <c r="J487" i="3"/>
  <c r="B488" i="3"/>
  <c r="C488" i="3"/>
  <c r="D488" i="3"/>
  <c r="E488" i="3"/>
  <c r="F488" i="3"/>
  <c r="G488" i="3"/>
  <c r="H488" i="3"/>
  <c r="I488" i="3"/>
  <c r="J488" i="3"/>
  <c r="B489" i="3"/>
  <c r="C489" i="3"/>
  <c r="D489" i="3"/>
  <c r="E489" i="3"/>
  <c r="F489" i="3"/>
  <c r="G489" i="3"/>
  <c r="H489" i="3"/>
  <c r="I489" i="3"/>
  <c r="J489" i="3"/>
  <c r="B490" i="3"/>
  <c r="C490" i="3"/>
  <c r="D490" i="3"/>
  <c r="E490" i="3"/>
  <c r="F490" i="3"/>
  <c r="G490" i="3"/>
  <c r="H490" i="3"/>
  <c r="I490" i="3"/>
  <c r="J490" i="3"/>
  <c r="B491" i="3"/>
  <c r="C491" i="3"/>
  <c r="D491" i="3"/>
  <c r="E491" i="3"/>
  <c r="F491" i="3"/>
  <c r="G491" i="3"/>
  <c r="H491" i="3"/>
  <c r="I491" i="3"/>
  <c r="J491" i="3"/>
  <c r="B492" i="3"/>
  <c r="C492" i="3"/>
  <c r="D492" i="3"/>
  <c r="E492" i="3"/>
  <c r="F492" i="3"/>
  <c r="G492" i="3"/>
  <c r="H492" i="3"/>
  <c r="I492" i="3"/>
  <c r="J492" i="3"/>
  <c r="J1109" i="3" s="1"/>
  <c r="B493" i="3"/>
  <c r="C493" i="3"/>
  <c r="D493" i="3"/>
  <c r="E493" i="3"/>
  <c r="F493" i="3"/>
  <c r="G493" i="3"/>
  <c r="H493" i="3"/>
  <c r="I493" i="3"/>
  <c r="J493" i="3"/>
  <c r="B494" i="3"/>
  <c r="C494" i="3"/>
  <c r="D494" i="3"/>
  <c r="E494" i="3"/>
  <c r="F494" i="3"/>
  <c r="G494" i="3"/>
  <c r="H494" i="3"/>
  <c r="I494" i="3"/>
  <c r="J494" i="3"/>
  <c r="B495" i="3"/>
  <c r="C495" i="3"/>
  <c r="D495" i="3"/>
  <c r="E495" i="3"/>
  <c r="F495" i="3"/>
  <c r="G495" i="3"/>
  <c r="H495" i="3"/>
  <c r="I495" i="3"/>
  <c r="J495" i="3"/>
  <c r="B496" i="3"/>
  <c r="C496" i="3"/>
  <c r="D496" i="3"/>
  <c r="E496" i="3"/>
  <c r="F496" i="3"/>
  <c r="G496" i="3"/>
  <c r="H496" i="3"/>
  <c r="I496" i="3"/>
  <c r="J496" i="3"/>
  <c r="B497" i="3"/>
  <c r="C497" i="3"/>
  <c r="D497" i="3"/>
  <c r="E497" i="3"/>
  <c r="F497" i="3"/>
  <c r="G497" i="3"/>
  <c r="H497" i="3"/>
  <c r="I497" i="3"/>
  <c r="J497" i="3"/>
  <c r="B498" i="3"/>
  <c r="C498" i="3"/>
  <c r="D498" i="3"/>
  <c r="E498" i="3"/>
  <c r="F498" i="3"/>
  <c r="G498" i="3"/>
  <c r="H498" i="3"/>
  <c r="I498" i="3"/>
  <c r="J498" i="3"/>
  <c r="B499" i="3"/>
  <c r="C499" i="3"/>
  <c r="D499" i="3"/>
  <c r="E499" i="3"/>
  <c r="F499" i="3"/>
  <c r="G499" i="3"/>
  <c r="H499" i="3"/>
  <c r="I499" i="3"/>
  <c r="J499" i="3"/>
  <c r="B500" i="3"/>
  <c r="C500" i="3"/>
  <c r="D500" i="3"/>
  <c r="E500" i="3"/>
  <c r="F500" i="3"/>
  <c r="G500" i="3"/>
  <c r="H500" i="3"/>
  <c r="I500" i="3"/>
  <c r="J500" i="3"/>
  <c r="B501" i="3"/>
  <c r="C501" i="3"/>
  <c r="D501" i="3"/>
  <c r="E501" i="3"/>
  <c r="F501" i="3"/>
  <c r="G501" i="3"/>
  <c r="H501" i="3"/>
  <c r="I501" i="3"/>
  <c r="J501" i="3"/>
  <c r="B502" i="3"/>
  <c r="C502" i="3"/>
  <c r="D502" i="3"/>
  <c r="E502" i="3"/>
  <c r="F502" i="3"/>
  <c r="G502" i="3"/>
  <c r="H502" i="3"/>
  <c r="I502" i="3"/>
  <c r="J502" i="3"/>
  <c r="B503" i="3"/>
  <c r="C503" i="3"/>
  <c r="D503" i="3"/>
  <c r="E503" i="3"/>
  <c r="F503" i="3"/>
  <c r="G503" i="3"/>
  <c r="H503" i="3"/>
  <c r="I503" i="3"/>
  <c r="J503" i="3"/>
  <c r="B504" i="3"/>
  <c r="C504" i="3"/>
  <c r="D504" i="3"/>
  <c r="E504" i="3"/>
  <c r="F504" i="3"/>
  <c r="G504" i="3"/>
  <c r="H504" i="3"/>
  <c r="I504" i="3"/>
  <c r="J504" i="3"/>
  <c r="B505" i="3"/>
  <c r="C505" i="3"/>
  <c r="D505" i="3"/>
  <c r="E505" i="3"/>
  <c r="F505" i="3"/>
  <c r="G505" i="3"/>
  <c r="H505" i="3"/>
  <c r="I505" i="3"/>
  <c r="J505" i="3"/>
  <c r="B506" i="3"/>
  <c r="C506" i="3"/>
  <c r="D506" i="3"/>
  <c r="E506" i="3"/>
  <c r="F506" i="3"/>
  <c r="G506" i="3"/>
  <c r="H506" i="3"/>
  <c r="I506" i="3"/>
  <c r="J506" i="3"/>
  <c r="B507" i="3"/>
  <c r="C507" i="3"/>
  <c r="D507" i="3"/>
  <c r="E507" i="3"/>
  <c r="F507" i="3"/>
  <c r="G507" i="3"/>
  <c r="H507" i="3"/>
  <c r="I507" i="3"/>
  <c r="J507" i="3"/>
  <c r="B508" i="3"/>
  <c r="C508" i="3"/>
  <c r="D508" i="3"/>
  <c r="E508" i="3"/>
  <c r="F508" i="3"/>
  <c r="G508" i="3"/>
  <c r="H508" i="3"/>
  <c r="I508" i="3"/>
  <c r="J508" i="3"/>
  <c r="B509" i="3"/>
  <c r="C509" i="3"/>
  <c r="D509" i="3"/>
  <c r="E509" i="3"/>
  <c r="F509" i="3"/>
  <c r="G509" i="3"/>
  <c r="H509" i="3"/>
  <c r="I509" i="3"/>
  <c r="J509" i="3"/>
  <c r="B510" i="3"/>
  <c r="C510" i="3"/>
  <c r="D510" i="3"/>
  <c r="E510" i="3"/>
  <c r="F510" i="3"/>
  <c r="G510" i="3"/>
  <c r="H510" i="3"/>
  <c r="I510" i="3"/>
  <c r="J510" i="3"/>
  <c r="B511" i="3"/>
  <c r="C511" i="3"/>
  <c r="D511" i="3"/>
  <c r="E511" i="3"/>
  <c r="F511" i="3"/>
  <c r="G511" i="3"/>
  <c r="H511" i="3"/>
  <c r="I511" i="3"/>
  <c r="J511" i="3"/>
  <c r="B512" i="3"/>
  <c r="C512" i="3"/>
  <c r="D512" i="3"/>
  <c r="E512" i="3"/>
  <c r="F512" i="3"/>
  <c r="G512" i="3"/>
  <c r="H512" i="3"/>
  <c r="I512" i="3"/>
  <c r="J512" i="3"/>
  <c r="B513" i="3"/>
  <c r="C513" i="3"/>
  <c r="D513" i="3"/>
  <c r="E513" i="3"/>
  <c r="F513" i="3"/>
  <c r="G513" i="3"/>
  <c r="H513" i="3"/>
  <c r="I513" i="3"/>
  <c r="J513" i="3"/>
  <c r="B514" i="3"/>
  <c r="C514" i="3"/>
  <c r="D514" i="3"/>
  <c r="E514" i="3"/>
  <c r="F514" i="3"/>
  <c r="G514" i="3"/>
  <c r="H514" i="3"/>
  <c r="I514" i="3"/>
  <c r="J514" i="3"/>
  <c r="B515" i="3"/>
  <c r="C515" i="3"/>
  <c r="D515" i="3"/>
  <c r="E515" i="3"/>
  <c r="F515" i="3"/>
  <c r="G515" i="3"/>
  <c r="H515" i="3"/>
  <c r="I515" i="3"/>
  <c r="J515" i="3"/>
  <c r="B516" i="3"/>
  <c r="C516" i="3"/>
  <c r="D516" i="3"/>
  <c r="E516" i="3"/>
  <c r="F516" i="3"/>
  <c r="G516" i="3"/>
  <c r="H516" i="3"/>
  <c r="I516" i="3"/>
  <c r="J516" i="3"/>
  <c r="B517" i="3"/>
  <c r="C517" i="3"/>
  <c r="D517" i="3"/>
  <c r="E517" i="3"/>
  <c r="F517" i="3"/>
  <c r="G517" i="3"/>
  <c r="H517" i="3"/>
  <c r="I517" i="3"/>
  <c r="J517" i="3"/>
  <c r="B518" i="3"/>
  <c r="C518" i="3"/>
  <c r="D518" i="3"/>
  <c r="E518" i="3"/>
  <c r="F518" i="3"/>
  <c r="G518" i="3"/>
  <c r="H518" i="3"/>
  <c r="I518" i="3"/>
  <c r="J518" i="3"/>
  <c r="B519" i="3"/>
  <c r="C519" i="3"/>
  <c r="D519" i="3"/>
  <c r="E519" i="3"/>
  <c r="F519" i="3"/>
  <c r="G519" i="3"/>
  <c r="H519" i="3"/>
  <c r="I519" i="3"/>
  <c r="J519" i="3"/>
  <c r="B520" i="3"/>
  <c r="C520" i="3"/>
  <c r="D520" i="3"/>
  <c r="E520" i="3"/>
  <c r="F520" i="3"/>
  <c r="G520" i="3"/>
  <c r="H520" i="3"/>
  <c r="I520" i="3"/>
  <c r="J520" i="3"/>
  <c r="B521" i="3"/>
  <c r="C521" i="3"/>
  <c r="D521" i="3"/>
  <c r="E521" i="3"/>
  <c r="F521" i="3"/>
  <c r="G521" i="3"/>
  <c r="H521" i="3"/>
  <c r="I521" i="3"/>
  <c r="J521" i="3"/>
  <c r="B522" i="3"/>
  <c r="C522" i="3"/>
  <c r="D522" i="3"/>
  <c r="E522" i="3"/>
  <c r="F522" i="3"/>
  <c r="G522" i="3"/>
  <c r="H522" i="3"/>
  <c r="I522" i="3"/>
  <c r="J522" i="3"/>
  <c r="B523" i="3"/>
  <c r="C523" i="3"/>
  <c r="D523" i="3"/>
  <c r="E523" i="3"/>
  <c r="F523" i="3"/>
  <c r="G523" i="3"/>
  <c r="H523" i="3"/>
  <c r="I523" i="3"/>
  <c r="J523" i="3"/>
  <c r="B524" i="3"/>
  <c r="C524" i="3"/>
  <c r="D524" i="3"/>
  <c r="E524" i="3"/>
  <c r="F524" i="3"/>
  <c r="G524" i="3"/>
  <c r="H524" i="3"/>
  <c r="I524" i="3"/>
  <c r="J524" i="3"/>
  <c r="B525" i="3"/>
  <c r="C525" i="3"/>
  <c r="D525" i="3"/>
  <c r="E525" i="3"/>
  <c r="F525" i="3"/>
  <c r="G525" i="3"/>
  <c r="H525" i="3"/>
  <c r="I525" i="3"/>
  <c r="J525" i="3"/>
  <c r="B526" i="3"/>
  <c r="C526" i="3"/>
  <c r="D526" i="3"/>
  <c r="E526" i="3"/>
  <c r="F526" i="3"/>
  <c r="G526" i="3"/>
  <c r="H526" i="3"/>
  <c r="I526" i="3"/>
  <c r="J526" i="3"/>
  <c r="B527" i="3"/>
  <c r="C527" i="3"/>
  <c r="D527" i="3"/>
  <c r="E527" i="3"/>
  <c r="F527" i="3"/>
  <c r="G527" i="3"/>
  <c r="H527" i="3"/>
  <c r="I527" i="3"/>
  <c r="J527" i="3"/>
  <c r="B528" i="3"/>
  <c r="C528" i="3"/>
  <c r="D528" i="3"/>
  <c r="E528" i="3"/>
  <c r="F528" i="3"/>
  <c r="G528" i="3"/>
  <c r="H528" i="3"/>
  <c r="I528" i="3"/>
  <c r="J528" i="3"/>
  <c r="B529" i="3"/>
  <c r="C529" i="3"/>
  <c r="D529" i="3"/>
  <c r="E529" i="3"/>
  <c r="F529" i="3"/>
  <c r="G529" i="3"/>
  <c r="H529" i="3"/>
  <c r="I529" i="3"/>
  <c r="J529" i="3"/>
  <c r="B530" i="3"/>
  <c r="C530" i="3"/>
  <c r="D530" i="3"/>
  <c r="E530" i="3"/>
  <c r="F530" i="3"/>
  <c r="G530" i="3"/>
  <c r="H530" i="3"/>
  <c r="I530" i="3"/>
  <c r="J530" i="3"/>
  <c r="B531" i="3"/>
  <c r="C531" i="3"/>
  <c r="D531" i="3"/>
  <c r="E531" i="3"/>
  <c r="F531" i="3"/>
  <c r="G531" i="3"/>
  <c r="H531" i="3"/>
  <c r="I531" i="3"/>
  <c r="J531" i="3"/>
  <c r="B532" i="3"/>
  <c r="C532" i="3"/>
  <c r="D532" i="3"/>
  <c r="E532" i="3"/>
  <c r="F532" i="3"/>
  <c r="G532" i="3"/>
  <c r="H532" i="3"/>
  <c r="I532" i="3"/>
  <c r="J532" i="3"/>
  <c r="B533" i="3"/>
  <c r="C533" i="3"/>
  <c r="D533" i="3"/>
  <c r="E533" i="3"/>
  <c r="F533" i="3"/>
  <c r="G533" i="3"/>
  <c r="H533" i="3"/>
  <c r="I533" i="3"/>
  <c r="J533" i="3"/>
  <c r="B534" i="3"/>
  <c r="C534" i="3"/>
  <c r="D534" i="3"/>
  <c r="E534" i="3"/>
  <c r="F534" i="3"/>
  <c r="G534" i="3"/>
  <c r="H534" i="3"/>
  <c r="I534" i="3"/>
  <c r="J534" i="3"/>
  <c r="B535" i="3"/>
  <c r="C535" i="3"/>
  <c r="D535" i="3"/>
  <c r="E535" i="3"/>
  <c r="F535" i="3"/>
  <c r="G535" i="3"/>
  <c r="H535" i="3"/>
  <c r="I535" i="3"/>
  <c r="J535" i="3"/>
  <c r="B536" i="3"/>
  <c r="C536" i="3"/>
  <c r="D536" i="3"/>
  <c r="E536" i="3"/>
  <c r="F536" i="3"/>
  <c r="G536" i="3"/>
  <c r="H536" i="3"/>
  <c r="I536" i="3"/>
  <c r="J536" i="3"/>
  <c r="B537" i="3"/>
  <c r="C537" i="3"/>
  <c r="D537" i="3"/>
  <c r="E537" i="3"/>
  <c r="F537" i="3"/>
  <c r="G537" i="3"/>
  <c r="H537" i="3"/>
  <c r="I537" i="3"/>
  <c r="J537" i="3"/>
  <c r="B538" i="3"/>
  <c r="C538" i="3"/>
  <c r="D538" i="3"/>
  <c r="E538" i="3"/>
  <c r="F538" i="3"/>
  <c r="G538" i="3"/>
  <c r="H538" i="3"/>
  <c r="I538" i="3"/>
  <c r="J538" i="3"/>
  <c r="B539" i="3"/>
  <c r="C539" i="3"/>
  <c r="D539" i="3"/>
  <c r="E539" i="3"/>
  <c r="F539" i="3"/>
  <c r="G539" i="3"/>
  <c r="H539" i="3"/>
  <c r="I539" i="3"/>
  <c r="J539" i="3"/>
  <c r="B540" i="3"/>
  <c r="C540" i="3"/>
  <c r="D540" i="3"/>
  <c r="E540" i="3"/>
  <c r="F540" i="3"/>
  <c r="G540" i="3"/>
  <c r="H540" i="3"/>
  <c r="I540" i="3"/>
  <c r="J540" i="3"/>
  <c r="J1113" i="3" s="1"/>
  <c r="B541" i="3"/>
  <c r="C541" i="3"/>
  <c r="D541" i="3"/>
  <c r="E541" i="3"/>
  <c r="F541" i="3"/>
  <c r="G541" i="3"/>
  <c r="H541" i="3"/>
  <c r="I541" i="3"/>
  <c r="J541" i="3"/>
  <c r="B542" i="3"/>
  <c r="C542" i="3"/>
  <c r="D542" i="3"/>
  <c r="E542" i="3"/>
  <c r="F542" i="3"/>
  <c r="G542" i="3"/>
  <c r="H542" i="3"/>
  <c r="I542" i="3"/>
  <c r="J542" i="3"/>
  <c r="B543" i="3"/>
  <c r="C543" i="3"/>
  <c r="D543" i="3"/>
  <c r="E543" i="3"/>
  <c r="F543" i="3"/>
  <c r="G543" i="3"/>
  <c r="H543" i="3"/>
  <c r="I543" i="3"/>
  <c r="J543" i="3"/>
  <c r="B544" i="3"/>
  <c r="C544" i="3"/>
  <c r="D544" i="3"/>
  <c r="E544" i="3"/>
  <c r="F544" i="3"/>
  <c r="G544" i="3"/>
  <c r="H544" i="3"/>
  <c r="I544" i="3"/>
  <c r="J544" i="3"/>
  <c r="B545" i="3"/>
  <c r="C545" i="3"/>
  <c r="D545" i="3"/>
  <c r="E545" i="3"/>
  <c r="F545" i="3"/>
  <c r="G545" i="3"/>
  <c r="H545" i="3"/>
  <c r="I545" i="3"/>
  <c r="J545" i="3"/>
  <c r="B546" i="3"/>
  <c r="C546" i="3"/>
  <c r="D546" i="3"/>
  <c r="E546" i="3"/>
  <c r="F546" i="3"/>
  <c r="G546" i="3"/>
  <c r="H546" i="3"/>
  <c r="I546" i="3"/>
  <c r="J546" i="3"/>
  <c r="B547" i="3"/>
  <c r="C547" i="3"/>
  <c r="D547" i="3"/>
  <c r="E547" i="3"/>
  <c r="F547" i="3"/>
  <c r="G547" i="3"/>
  <c r="H547" i="3"/>
  <c r="I547" i="3"/>
  <c r="J547" i="3"/>
  <c r="B548" i="3"/>
  <c r="C548" i="3"/>
  <c r="D548" i="3"/>
  <c r="E548" i="3"/>
  <c r="F548" i="3"/>
  <c r="G548" i="3"/>
  <c r="H548" i="3"/>
  <c r="I548" i="3"/>
  <c r="J548" i="3"/>
  <c r="B549" i="3"/>
  <c r="C549" i="3"/>
  <c r="D549" i="3"/>
  <c r="E549" i="3"/>
  <c r="F549" i="3"/>
  <c r="G549" i="3"/>
  <c r="H549" i="3"/>
  <c r="I549" i="3"/>
  <c r="J549" i="3"/>
  <c r="B550" i="3"/>
  <c r="C550" i="3"/>
  <c r="D550" i="3"/>
  <c r="E550" i="3"/>
  <c r="F550" i="3"/>
  <c r="G550" i="3"/>
  <c r="H550" i="3"/>
  <c r="I550" i="3"/>
  <c r="J550" i="3"/>
  <c r="B551" i="3"/>
  <c r="C551" i="3"/>
  <c r="D551" i="3"/>
  <c r="E551" i="3"/>
  <c r="F551" i="3"/>
  <c r="G551" i="3"/>
  <c r="H551" i="3"/>
  <c r="I551" i="3"/>
  <c r="J551" i="3"/>
  <c r="B552" i="3"/>
  <c r="C552" i="3"/>
  <c r="D552" i="3"/>
  <c r="E552" i="3"/>
  <c r="F552" i="3"/>
  <c r="G552" i="3"/>
  <c r="H552" i="3"/>
  <c r="I552" i="3"/>
  <c r="J552" i="3"/>
  <c r="B553" i="3"/>
  <c r="C553" i="3"/>
  <c r="D553" i="3"/>
  <c r="E553" i="3"/>
  <c r="F553" i="3"/>
  <c r="G553" i="3"/>
  <c r="H553" i="3"/>
  <c r="I553" i="3"/>
  <c r="J553" i="3"/>
  <c r="B554" i="3"/>
  <c r="C554" i="3"/>
  <c r="D554" i="3"/>
  <c r="E554" i="3"/>
  <c r="F554" i="3"/>
  <c r="G554" i="3"/>
  <c r="H554" i="3"/>
  <c r="I554" i="3"/>
  <c r="J554" i="3"/>
  <c r="B555" i="3"/>
  <c r="C555" i="3"/>
  <c r="D555" i="3"/>
  <c r="E555" i="3"/>
  <c r="F555" i="3"/>
  <c r="G555" i="3"/>
  <c r="H555" i="3"/>
  <c r="I555" i="3"/>
  <c r="J555" i="3"/>
  <c r="B556" i="3"/>
  <c r="C556" i="3"/>
  <c r="D556" i="3"/>
  <c r="E556" i="3"/>
  <c r="F556" i="3"/>
  <c r="G556" i="3"/>
  <c r="H556" i="3"/>
  <c r="I556" i="3"/>
  <c r="J556" i="3"/>
  <c r="B557" i="3"/>
  <c r="C557" i="3"/>
  <c r="D557" i="3"/>
  <c r="E557" i="3"/>
  <c r="F557" i="3"/>
  <c r="G557" i="3"/>
  <c r="H557" i="3"/>
  <c r="I557" i="3"/>
  <c r="J557" i="3"/>
  <c r="B558" i="3"/>
  <c r="C558" i="3"/>
  <c r="D558" i="3"/>
  <c r="E558" i="3"/>
  <c r="F558" i="3"/>
  <c r="G558" i="3"/>
  <c r="H558" i="3"/>
  <c r="I558" i="3"/>
  <c r="J558" i="3"/>
  <c r="B559" i="3"/>
  <c r="C559" i="3"/>
  <c r="D559" i="3"/>
  <c r="E559" i="3"/>
  <c r="F559" i="3"/>
  <c r="G559" i="3"/>
  <c r="H559" i="3"/>
  <c r="I559" i="3"/>
  <c r="J559" i="3"/>
  <c r="B560" i="3"/>
  <c r="C560" i="3"/>
  <c r="D560" i="3"/>
  <c r="E560" i="3"/>
  <c r="F560" i="3"/>
  <c r="G560" i="3"/>
  <c r="H560" i="3"/>
  <c r="I560" i="3"/>
  <c r="J560" i="3"/>
  <c r="B561" i="3"/>
  <c r="C561" i="3"/>
  <c r="D561" i="3"/>
  <c r="E561" i="3"/>
  <c r="F561" i="3"/>
  <c r="G561" i="3"/>
  <c r="H561" i="3"/>
  <c r="I561" i="3"/>
  <c r="J561" i="3"/>
  <c r="B562" i="3"/>
  <c r="C562" i="3"/>
  <c r="D562" i="3"/>
  <c r="E562" i="3"/>
  <c r="F562" i="3"/>
  <c r="G562" i="3"/>
  <c r="H562" i="3"/>
  <c r="I562" i="3"/>
  <c r="J562" i="3"/>
  <c r="B563" i="3"/>
  <c r="C563" i="3"/>
  <c r="D563" i="3"/>
  <c r="E563" i="3"/>
  <c r="F563" i="3"/>
  <c r="G563" i="3"/>
  <c r="H563" i="3"/>
  <c r="I563" i="3"/>
  <c r="J563" i="3"/>
  <c r="B564" i="3"/>
  <c r="C564" i="3"/>
  <c r="D564" i="3"/>
  <c r="E564" i="3"/>
  <c r="F564" i="3"/>
  <c r="G564" i="3"/>
  <c r="H564" i="3"/>
  <c r="I564" i="3"/>
  <c r="J564" i="3"/>
  <c r="J1115" i="3" s="1"/>
  <c r="B565" i="3"/>
  <c r="C565" i="3"/>
  <c r="D565" i="3"/>
  <c r="E565" i="3"/>
  <c r="F565" i="3"/>
  <c r="G565" i="3"/>
  <c r="H565" i="3"/>
  <c r="I565" i="3"/>
  <c r="J565" i="3"/>
  <c r="B566" i="3"/>
  <c r="C566" i="3"/>
  <c r="D566" i="3"/>
  <c r="E566" i="3"/>
  <c r="F566" i="3"/>
  <c r="G566" i="3"/>
  <c r="H566" i="3"/>
  <c r="I566" i="3"/>
  <c r="J566" i="3"/>
  <c r="B567" i="3"/>
  <c r="C567" i="3"/>
  <c r="D567" i="3"/>
  <c r="E567" i="3"/>
  <c r="F567" i="3"/>
  <c r="G567" i="3"/>
  <c r="H567" i="3"/>
  <c r="I567" i="3"/>
  <c r="J567" i="3"/>
  <c r="B568" i="3"/>
  <c r="C568" i="3"/>
  <c r="D568" i="3"/>
  <c r="E568" i="3"/>
  <c r="F568" i="3"/>
  <c r="G568" i="3"/>
  <c r="H568" i="3"/>
  <c r="I568" i="3"/>
  <c r="J568" i="3"/>
  <c r="B569" i="3"/>
  <c r="C569" i="3"/>
  <c r="D569" i="3"/>
  <c r="E569" i="3"/>
  <c r="F569" i="3"/>
  <c r="G569" i="3"/>
  <c r="H569" i="3"/>
  <c r="I569" i="3"/>
  <c r="J569" i="3"/>
  <c r="B570" i="3"/>
  <c r="C570" i="3"/>
  <c r="D570" i="3"/>
  <c r="E570" i="3"/>
  <c r="F570" i="3"/>
  <c r="G570" i="3"/>
  <c r="H570" i="3"/>
  <c r="I570" i="3"/>
  <c r="J570" i="3"/>
  <c r="B571" i="3"/>
  <c r="C571" i="3"/>
  <c r="D571" i="3"/>
  <c r="E571" i="3"/>
  <c r="F571" i="3"/>
  <c r="G571" i="3"/>
  <c r="H571" i="3"/>
  <c r="I571" i="3"/>
  <c r="J571" i="3"/>
  <c r="B572" i="3"/>
  <c r="C572" i="3"/>
  <c r="D572" i="3"/>
  <c r="E572" i="3"/>
  <c r="F572" i="3"/>
  <c r="G572" i="3"/>
  <c r="H572" i="3"/>
  <c r="I572" i="3"/>
  <c r="J572" i="3"/>
  <c r="B573" i="3"/>
  <c r="C573" i="3"/>
  <c r="D573" i="3"/>
  <c r="E573" i="3"/>
  <c r="F573" i="3"/>
  <c r="G573" i="3"/>
  <c r="H573" i="3"/>
  <c r="I573" i="3"/>
  <c r="J573" i="3"/>
  <c r="B574" i="3"/>
  <c r="C574" i="3"/>
  <c r="D574" i="3"/>
  <c r="E574" i="3"/>
  <c r="F574" i="3"/>
  <c r="G574" i="3"/>
  <c r="H574" i="3"/>
  <c r="I574" i="3"/>
  <c r="J574" i="3"/>
  <c r="B575" i="3"/>
  <c r="C575" i="3"/>
  <c r="D575" i="3"/>
  <c r="E575" i="3"/>
  <c r="F575" i="3"/>
  <c r="G575" i="3"/>
  <c r="H575" i="3"/>
  <c r="I575" i="3"/>
  <c r="J575" i="3"/>
  <c r="B576" i="3"/>
  <c r="C576" i="3"/>
  <c r="D576" i="3"/>
  <c r="E576" i="3"/>
  <c r="F576" i="3"/>
  <c r="G576" i="3"/>
  <c r="H576" i="3"/>
  <c r="I576" i="3"/>
  <c r="J576" i="3"/>
  <c r="B577" i="3"/>
  <c r="C577" i="3"/>
  <c r="D577" i="3"/>
  <c r="E577" i="3"/>
  <c r="F577" i="3"/>
  <c r="G577" i="3"/>
  <c r="H577" i="3"/>
  <c r="I577" i="3"/>
  <c r="J577" i="3"/>
  <c r="B578" i="3"/>
  <c r="C578" i="3"/>
  <c r="D578" i="3"/>
  <c r="E578" i="3"/>
  <c r="F578" i="3"/>
  <c r="G578" i="3"/>
  <c r="H578" i="3"/>
  <c r="I578" i="3"/>
  <c r="J578" i="3"/>
  <c r="J1116" i="3" s="1"/>
  <c r="B579" i="3"/>
  <c r="C579" i="3"/>
  <c r="D579" i="3"/>
  <c r="E579" i="3"/>
  <c r="F579" i="3"/>
  <c r="G579" i="3"/>
  <c r="H579" i="3"/>
  <c r="I579" i="3"/>
  <c r="J579" i="3"/>
  <c r="B580" i="3"/>
  <c r="C580" i="3"/>
  <c r="D580" i="3"/>
  <c r="E580" i="3"/>
  <c r="F580" i="3"/>
  <c r="G580" i="3"/>
  <c r="H580" i="3"/>
  <c r="I580" i="3"/>
  <c r="J580" i="3"/>
  <c r="B581" i="3"/>
  <c r="C581" i="3"/>
  <c r="D581" i="3"/>
  <c r="E581" i="3"/>
  <c r="F581" i="3"/>
  <c r="G581" i="3"/>
  <c r="H581" i="3"/>
  <c r="I581" i="3"/>
  <c r="J581" i="3"/>
  <c r="B582" i="3"/>
  <c r="C582" i="3"/>
  <c r="D582" i="3"/>
  <c r="E582" i="3"/>
  <c r="F582" i="3"/>
  <c r="G582" i="3"/>
  <c r="H582" i="3"/>
  <c r="I582" i="3"/>
  <c r="J582" i="3"/>
  <c r="B583" i="3"/>
  <c r="C583" i="3"/>
  <c r="D583" i="3"/>
  <c r="E583" i="3"/>
  <c r="F583" i="3"/>
  <c r="G583" i="3"/>
  <c r="H583" i="3"/>
  <c r="I583" i="3"/>
  <c r="J583" i="3"/>
  <c r="B584" i="3"/>
  <c r="C584" i="3"/>
  <c r="D584" i="3"/>
  <c r="E584" i="3"/>
  <c r="F584" i="3"/>
  <c r="G584" i="3"/>
  <c r="H584" i="3"/>
  <c r="I584" i="3"/>
  <c r="J584" i="3"/>
  <c r="B585" i="3"/>
  <c r="C585" i="3"/>
  <c r="D585" i="3"/>
  <c r="E585" i="3"/>
  <c r="F585" i="3"/>
  <c r="G585" i="3"/>
  <c r="H585" i="3"/>
  <c r="I585" i="3"/>
  <c r="J585" i="3"/>
  <c r="B586" i="3"/>
  <c r="C586" i="3"/>
  <c r="D586" i="3"/>
  <c r="E586" i="3"/>
  <c r="F586" i="3"/>
  <c r="G586" i="3"/>
  <c r="H586" i="3"/>
  <c r="I586" i="3"/>
  <c r="J586" i="3"/>
  <c r="B587" i="3"/>
  <c r="C587" i="3"/>
  <c r="D587" i="3"/>
  <c r="E587" i="3"/>
  <c r="F587" i="3"/>
  <c r="G587" i="3"/>
  <c r="H587" i="3"/>
  <c r="I587" i="3"/>
  <c r="J587" i="3"/>
  <c r="B588" i="3"/>
  <c r="C588" i="3"/>
  <c r="D588" i="3"/>
  <c r="E588" i="3"/>
  <c r="F588" i="3"/>
  <c r="G588" i="3"/>
  <c r="H588" i="3"/>
  <c r="I588" i="3"/>
  <c r="J588" i="3"/>
  <c r="J1117" i="3" s="1"/>
  <c r="B589" i="3"/>
  <c r="C589" i="3"/>
  <c r="D589" i="3"/>
  <c r="E589" i="3"/>
  <c r="F589" i="3"/>
  <c r="G589" i="3"/>
  <c r="H589" i="3"/>
  <c r="I589" i="3"/>
  <c r="J589" i="3"/>
  <c r="B590" i="3"/>
  <c r="C590" i="3"/>
  <c r="D590" i="3"/>
  <c r="E590" i="3"/>
  <c r="F590" i="3"/>
  <c r="G590" i="3"/>
  <c r="H590" i="3"/>
  <c r="I590" i="3"/>
  <c r="J590" i="3"/>
  <c r="B591" i="3"/>
  <c r="C591" i="3"/>
  <c r="D591" i="3"/>
  <c r="E591" i="3"/>
  <c r="F591" i="3"/>
  <c r="G591" i="3"/>
  <c r="H591" i="3"/>
  <c r="I591" i="3"/>
  <c r="J591" i="3"/>
  <c r="B592" i="3"/>
  <c r="C592" i="3"/>
  <c r="D592" i="3"/>
  <c r="E592" i="3"/>
  <c r="F592" i="3"/>
  <c r="G592" i="3"/>
  <c r="H592" i="3"/>
  <c r="I592" i="3"/>
  <c r="J592" i="3"/>
  <c r="B593" i="3"/>
  <c r="C593" i="3"/>
  <c r="D593" i="3"/>
  <c r="E593" i="3"/>
  <c r="F593" i="3"/>
  <c r="G593" i="3"/>
  <c r="H593" i="3"/>
  <c r="I593" i="3"/>
  <c r="J593" i="3"/>
  <c r="B594" i="3"/>
  <c r="C594" i="3"/>
  <c r="D594" i="3"/>
  <c r="E594" i="3"/>
  <c r="F594" i="3"/>
  <c r="G594" i="3"/>
  <c r="H594" i="3"/>
  <c r="I594" i="3"/>
  <c r="J594" i="3"/>
  <c r="B595" i="3"/>
  <c r="C595" i="3"/>
  <c r="D595" i="3"/>
  <c r="E595" i="3"/>
  <c r="F595" i="3"/>
  <c r="G595" i="3"/>
  <c r="H595" i="3"/>
  <c r="I595" i="3"/>
  <c r="J595" i="3"/>
  <c r="B596" i="3"/>
  <c r="C596" i="3"/>
  <c r="D596" i="3"/>
  <c r="E596" i="3"/>
  <c r="F596" i="3"/>
  <c r="G596" i="3"/>
  <c r="H596" i="3"/>
  <c r="I596" i="3"/>
  <c r="J596" i="3"/>
  <c r="B597" i="3"/>
  <c r="C597" i="3"/>
  <c r="D597" i="3"/>
  <c r="E597" i="3"/>
  <c r="F597" i="3"/>
  <c r="G597" i="3"/>
  <c r="H597" i="3"/>
  <c r="I597" i="3"/>
  <c r="J597" i="3"/>
  <c r="B598" i="3"/>
  <c r="C598" i="3"/>
  <c r="D598" i="3"/>
  <c r="E598" i="3"/>
  <c r="F598" i="3"/>
  <c r="G598" i="3"/>
  <c r="H598" i="3"/>
  <c r="I598" i="3"/>
  <c r="J598" i="3"/>
  <c r="B599" i="3"/>
  <c r="C599" i="3"/>
  <c r="D599" i="3"/>
  <c r="E599" i="3"/>
  <c r="F599" i="3"/>
  <c r="G599" i="3"/>
  <c r="H599" i="3"/>
  <c r="I599" i="3"/>
  <c r="J599" i="3"/>
  <c r="B600" i="3"/>
  <c r="C600" i="3"/>
  <c r="D600" i="3"/>
  <c r="E600" i="3"/>
  <c r="F600" i="3"/>
  <c r="G600" i="3"/>
  <c r="H600" i="3"/>
  <c r="I600" i="3"/>
  <c r="J600" i="3"/>
  <c r="B601" i="3"/>
  <c r="C601" i="3"/>
  <c r="D601" i="3"/>
  <c r="E601" i="3"/>
  <c r="F601" i="3"/>
  <c r="G601" i="3"/>
  <c r="H601" i="3"/>
  <c r="I601" i="3"/>
  <c r="J601" i="3"/>
  <c r="B602" i="3"/>
  <c r="C602" i="3"/>
  <c r="D602" i="3"/>
  <c r="E602" i="3"/>
  <c r="F602" i="3"/>
  <c r="G602" i="3"/>
  <c r="H602" i="3"/>
  <c r="I602" i="3"/>
  <c r="J602" i="3"/>
  <c r="B603" i="3"/>
  <c r="C603" i="3"/>
  <c r="D603" i="3"/>
  <c r="E603" i="3"/>
  <c r="F603" i="3"/>
  <c r="G603" i="3"/>
  <c r="H603" i="3"/>
  <c r="I603" i="3"/>
  <c r="J603" i="3"/>
  <c r="B604" i="3"/>
  <c r="C604" i="3"/>
  <c r="D604" i="3"/>
  <c r="E604" i="3"/>
  <c r="F604" i="3"/>
  <c r="G604" i="3"/>
  <c r="H604" i="3"/>
  <c r="I604" i="3"/>
  <c r="J604" i="3"/>
  <c r="B605" i="3"/>
  <c r="C605" i="3"/>
  <c r="D605" i="3"/>
  <c r="E605" i="3"/>
  <c r="F605" i="3"/>
  <c r="G605" i="3"/>
  <c r="H605" i="3"/>
  <c r="I605" i="3"/>
  <c r="J605" i="3"/>
  <c r="B606" i="3"/>
  <c r="C606" i="3"/>
  <c r="D606" i="3"/>
  <c r="E606" i="3"/>
  <c r="F606" i="3"/>
  <c r="G606" i="3"/>
  <c r="H606" i="3"/>
  <c r="I606" i="3"/>
  <c r="J606" i="3"/>
  <c r="B607" i="3"/>
  <c r="C607" i="3"/>
  <c r="D607" i="3"/>
  <c r="E607" i="3"/>
  <c r="F607" i="3"/>
  <c r="G607" i="3"/>
  <c r="H607" i="3"/>
  <c r="I607" i="3"/>
  <c r="J607" i="3"/>
  <c r="B608" i="3"/>
  <c r="C608" i="3"/>
  <c r="D608" i="3"/>
  <c r="E608" i="3"/>
  <c r="F608" i="3"/>
  <c r="G608" i="3"/>
  <c r="H608" i="3"/>
  <c r="I608" i="3"/>
  <c r="J608" i="3"/>
  <c r="B609" i="3"/>
  <c r="C609" i="3"/>
  <c r="D609" i="3"/>
  <c r="E609" i="3"/>
  <c r="F609" i="3"/>
  <c r="G609" i="3"/>
  <c r="H609" i="3"/>
  <c r="I609" i="3"/>
  <c r="J609" i="3"/>
  <c r="B610" i="3"/>
  <c r="C610" i="3"/>
  <c r="D610" i="3"/>
  <c r="E610" i="3"/>
  <c r="F610" i="3"/>
  <c r="G610" i="3"/>
  <c r="H610" i="3"/>
  <c r="I610" i="3"/>
  <c r="J610" i="3"/>
  <c r="B611" i="3"/>
  <c r="C611" i="3"/>
  <c r="D611" i="3"/>
  <c r="E611" i="3"/>
  <c r="F611" i="3"/>
  <c r="G611" i="3"/>
  <c r="H611" i="3"/>
  <c r="I611" i="3"/>
  <c r="J611" i="3"/>
  <c r="B612" i="3"/>
  <c r="C612" i="3"/>
  <c r="D612" i="3"/>
  <c r="E612" i="3"/>
  <c r="F612" i="3"/>
  <c r="G612" i="3"/>
  <c r="H612" i="3"/>
  <c r="I612" i="3"/>
  <c r="J612" i="3"/>
  <c r="B613" i="3"/>
  <c r="C613" i="3"/>
  <c r="D613" i="3"/>
  <c r="E613" i="3"/>
  <c r="F613" i="3"/>
  <c r="G613" i="3"/>
  <c r="H613" i="3"/>
  <c r="I613" i="3"/>
  <c r="J613" i="3"/>
  <c r="B614" i="3"/>
  <c r="C614" i="3"/>
  <c r="D614" i="3"/>
  <c r="E614" i="3"/>
  <c r="F614" i="3"/>
  <c r="G614" i="3"/>
  <c r="H614" i="3"/>
  <c r="I614" i="3"/>
  <c r="J614" i="3"/>
  <c r="B615" i="3"/>
  <c r="C615" i="3"/>
  <c r="D615" i="3"/>
  <c r="E615" i="3"/>
  <c r="F615" i="3"/>
  <c r="G615" i="3"/>
  <c r="H615" i="3"/>
  <c r="I615" i="3"/>
  <c r="J615" i="3"/>
  <c r="B616" i="3"/>
  <c r="C616" i="3"/>
  <c r="D616" i="3"/>
  <c r="E616" i="3"/>
  <c r="F616" i="3"/>
  <c r="G616" i="3"/>
  <c r="H616" i="3"/>
  <c r="I616" i="3"/>
  <c r="J616" i="3"/>
  <c r="B617" i="3"/>
  <c r="C617" i="3"/>
  <c r="D617" i="3"/>
  <c r="E617" i="3"/>
  <c r="F617" i="3"/>
  <c r="G617" i="3"/>
  <c r="H617" i="3"/>
  <c r="I617" i="3"/>
  <c r="J617" i="3"/>
  <c r="B618" i="3"/>
  <c r="C618" i="3"/>
  <c r="D618" i="3"/>
  <c r="E618" i="3"/>
  <c r="F618" i="3"/>
  <c r="G618" i="3"/>
  <c r="H618" i="3"/>
  <c r="I618" i="3"/>
  <c r="J618" i="3"/>
  <c r="B619" i="3"/>
  <c r="C619" i="3"/>
  <c r="D619" i="3"/>
  <c r="E619" i="3"/>
  <c r="F619" i="3"/>
  <c r="G619" i="3"/>
  <c r="H619" i="3"/>
  <c r="I619" i="3"/>
  <c r="J619" i="3"/>
  <c r="B620" i="3"/>
  <c r="C620" i="3"/>
  <c r="D620" i="3"/>
  <c r="E620" i="3"/>
  <c r="F620" i="3"/>
  <c r="G620" i="3"/>
  <c r="H620" i="3"/>
  <c r="I620" i="3"/>
  <c r="J620" i="3"/>
  <c r="B621" i="3"/>
  <c r="C621" i="3"/>
  <c r="D621" i="3"/>
  <c r="E621" i="3"/>
  <c r="F621" i="3"/>
  <c r="G621" i="3"/>
  <c r="H621" i="3"/>
  <c r="I621" i="3"/>
  <c r="J621" i="3"/>
  <c r="B622" i="3"/>
  <c r="C622" i="3"/>
  <c r="D622" i="3"/>
  <c r="E622" i="3"/>
  <c r="F622" i="3"/>
  <c r="G622" i="3"/>
  <c r="H622" i="3"/>
  <c r="I622" i="3"/>
  <c r="J622" i="3"/>
  <c r="B623" i="3"/>
  <c r="C623" i="3"/>
  <c r="D623" i="3"/>
  <c r="E623" i="3"/>
  <c r="F623" i="3"/>
  <c r="G623" i="3"/>
  <c r="H623" i="3"/>
  <c r="I623" i="3"/>
  <c r="J623" i="3"/>
  <c r="B624" i="3"/>
  <c r="C624" i="3"/>
  <c r="D624" i="3"/>
  <c r="E624" i="3"/>
  <c r="F624" i="3"/>
  <c r="G624" i="3"/>
  <c r="H624" i="3"/>
  <c r="I624" i="3"/>
  <c r="J624" i="3"/>
  <c r="B625" i="3"/>
  <c r="C625" i="3"/>
  <c r="D625" i="3"/>
  <c r="E625" i="3"/>
  <c r="F625" i="3"/>
  <c r="G625" i="3"/>
  <c r="H625" i="3"/>
  <c r="I625" i="3"/>
  <c r="J625" i="3"/>
  <c r="B626" i="3"/>
  <c r="C626" i="3"/>
  <c r="D626" i="3"/>
  <c r="E626" i="3"/>
  <c r="F626" i="3"/>
  <c r="G626" i="3"/>
  <c r="H626" i="3"/>
  <c r="I626" i="3"/>
  <c r="J626" i="3"/>
  <c r="B627" i="3"/>
  <c r="C627" i="3"/>
  <c r="D627" i="3"/>
  <c r="E627" i="3"/>
  <c r="F627" i="3"/>
  <c r="G627" i="3"/>
  <c r="H627" i="3"/>
  <c r="I627" i="3"/>
  <c r="J627" i="3"/>
  <c r="B628" i="3"/>
  <c r="C628" i="3"/>
  <c r="D628" i="3"/>
  <c r="E628" i="3"/>
  <c r="F628" i="3"/>
  <c r="G628" i="3"/>
  <c r="H628" i="3"/>
  <c r="I628" i="3"/>
  <c r="J628" i="3"/>
  <c r="B629" i="3"/>
  <c r="C629" i="3"/>
  <c r="D629" i="3"/>
  <c r="E629" i="3"/>
  <c r="F629" i="3"/>
  <c r="G629" i="3"/>
  <c r="H629" i="3"/>
  <c r="I629" i="3"/>
  <c r="J629" i="3"/>
  <c r="B630" i="3"/>
  <c r="C630" i="3"/>
  <c r="D630" i="3"/>
  <c r="E630" i="3"/>
  <c r="F630" i="3"/>
  <c r="G630" i="3"/>
  <c r="H630" i="3"/>
  <c r="I630" i="3"/>
  <c r="J630" i="3"/>
  <c r="B631" i="3"/>
  <c r="C631" i="3"/>
  <c r="D631" i="3"/>
  <c r="E631" i="3"/>
  <c r="F631" i="3"/>
  <c r="G631" i="3"/>
  <c r="H631" i="3"/>
  <c r="I631" i="3"/>
  <c r="J631" i="3"/>
  <c r="B632" i="3"/>
  <c r="C632" i="3"/>
  <c r="D632" i="3"/>
  <c r="E632" i="3"/>
  <c r="F632" i="3"/>
  <c r="G632" i="3"/>
  <c r="H632" i="3"/>
  <c r="I632" i="3"/>
  <c r="J632" i="3"/>
  <c r="B633" i="3"/>
  <c r="C633" i="3"/>
  <c r="D633" i="3"/>
  <c r="E633" i="3"/>
  <c r="F633" i="3"/>
  <c r="G633" i="3"/>
  <c r="H633" i="3"/>
  <c r="I633" i="3"/>
  <c r="J633" i="3"/>
  <c r="B634" i="3"/>
  <c r="C634" i="3"/>
  <c r="D634" i="3"/>
  <c r="E634" i="3"/>
  <c r="F634" i="3"/>
  <c r="G634" i="3"/>
  <c r="H634" i="3"/>
  <c r="I634" i="3"/>
  <c r="J634" i="3"/>
  <c r="B635" i="3"/>
  <c r="C635" i="3"/>
  <c r="D635" i="3"/>
  <c r="E635" i="3"/>
  <c r="F635" i="3"/>
  <c r="G635" i="3"/>
  <c r="H635" i="3"/>
  <c r="I635" i="3"/>
  <c r="J635" i="3"/>
  <c r="B636" i="3"/>
  <c r="C636" i="3"/>
  <c r="D636" i="3"/>
  <c r="E636" i="3"/>
  <c r="F636" i="3"/>
  <c r="G636" i="3"/>
  <c r="H636" i="3"/>
  <c r="I636" i="3"/>
  <c r="J636" i="3"/>
  <c r="B637" i="3"/>
  <c r="C637" i="3"/>
  <c r="D637" i="3"/>
  <c r="E637" i="3"/>
  <c r="F637" i="3"/>
  <c r="G637" i="3"/>
  <c r="H637" i="3"/>
  <c r="I637" i="3"/>
  <c r="J637" i="3"/>
  <c r="B638" i="3"/>
  <c r="C638" i="3"/>
  <c r="D638" i="3"/>
  <c r="E638" i="3"/>
  <c r="F638" i="3"/>
  <c r="G638" i="3"/>
  <c r="H638" i="3"/>
  <c r="I638" i="3"/>
  <c r="J638" i="3"/>
  <c r="B639" i="3"/>
  <c r="C639" i="3"/>
  <c r="D639" i="3"/>
  <c r="E639" i="3"/>
  <c r="F639" i="3"/>
  <c r="G639" i="3"/>
  <c r="H639" i="3"/>
  <c r="I639" i="3"/>
  <c r="J639" i="3"/>
  <c r="B640" i="3"/>
  <c r="C640" i="3"/>
  <c r="D640" i="3"/>
  <c r="E640" i="3"/>
  <c r="F640" i="3"/>
  <c r="G640" i="3"/>
  <c r="H640" i="3"/>
  <c r="I640" i="3"/>
  <c r="J640" i="3"/>
  <c r="B641" i="3"/>
  <c r="C641" i="3"/>
  <c r="D641" i="3"/>
  <c r="E641" i="3"/>
  <c r="F641" i="3"/>
  <c r="G641" i="3"/>
  <c r="H641" i="3"/>
  <c r="I641" i="3"/>
  <c r="J641" i="3"/>
  <c r="B642" i="3"/>
  <c r="C642" i="3"/>
  <c r="D642" i="3"/>
  <c r="E642" i="3"/>
  <c r="F642" i="3"/>
  <c r="G642" i="3"/>
  <c r="H642" i="3"/>
  <c r="I642" i="3"/>
  <c r="J642" i="3"/>
  <c r="B643" i="3"/>
  <c r="C643" i="3"/>
  <c r="D643" i="3"/>
  <c r="E643" i="3"/>
  <c r="F643" i="3"/>
  <c r="G643" i="3"/>
  <c r="H643" i="3"/>
  <c r="I643" i="3"/>
  <c r="J643" i="3"/>
  <c r="B644" i="3"/>
  <c r="C644" i="3"/>
  <c r="D644" i="3"/>
  <c r="E644" i="3"/>
  <c r="F644" i="3"/>
  <c r="G644" i="3"/>
  <c r="H644" i="3"/>
  <c r="I644" i="3"/>
  <c r="J644" i="3"/>
  <c r="B645" i="3"/>
  <c r="C645" i="3"/>
  <c r="D645" i="3"/>
  <c r="E645" i="3"/>
  <c r="F645" i="3"/>
  <c r="G645" i="3"/>
  <c r="H645" i="3"/>
  <c r="I645" i="3"/>
  <c r="J645" i="3"/>
  <c r="B646" i="3"/>
  <c r="C646" i="3"/>
  <c r="D646" i="3"/>
  <c r="E646" i="3"/>
  <c r="F646" i="3"/>
  <c r="G646" i="3"/>
  <c r="H646" i="3"/>
  <c r="I646" i="3"/>
  <c r="J646" i="3"/>
  <c r="B647" i="3"/>
  <c r="C647" i="3"/>
  <c r="D647" i="3"/>
  <c r="E647" i="3"/>
  <c r="F647" i="3"/>
  <c r="G647" i="3"/>
  <c r="H647" i="3"/>
  <c r="I647" i="3"/>
  <c r="J647" i="3"/>
  <c r="B648" i="3"/>
  <c r="C648" i="3"/>
  <c r="D648" i="3"/>
  <c r="E648" i="3"/>
  <c r="F648" i="3"/>
  <c r="G648" i="3"/>
  <c r="H648" i="3"/>
  <c r="I648" i="3"/>
  <c r="J648" i="3"/>
  <c r="B649" i="3"/>
  <c r="C649" i="3"/>
  <c r="D649" i="3"/>
  <c r="E649" i="3"/>
  <c r="F649" i="3"/>
  <c r="G649" i="3"/>
  <c r="H649" i="3"/>
  <c r="I649" i="3"/>
  <c r="J649" i="3"/>
  <c r="B650" i="3"/>
  <c r="C650" i="3"/>
  <c r="D650" i="3"/>
  <c r="E650" i="3"/>
  <c r="F650" i="3"/>
  <c r="G650" i="3"/>
  <c r="H650" i="3"/>
  <c r="I650" i="3"/>
  <c r="J650" i="3"/>
  <c r="B651" i="3"/>
  <c r="C651" i="3"/>
  <c r="D651" i="3"/>
  <c r="E651" i="3"/>
  <c r="F651" i="3"/>
  <c r="G651" i="3"/>
  <c r="H651" i="3"/>
  <c r="I651" i="3"/>
  <c r="J651" i="3"/>
  <c r="B652" i="3"/>
  <c r="C652" i="3"/>
  <c r="D652" i="3"/>
  <c r="E652" i="3"/>
  <c r="F652" i="3"/>
  <c r="G652" i="3"/>
  <c r="H652" i="3"/>
  <c r="I652" i="3"/>
  <c r="J652" i="3"/>
  <c r="B653" i="3"/>
  <c r="C653" i="3"/>
  <c r="D653" i="3"/>
  <c r="E653" i="3"/>
  <c r="F653" i="3"/>
  <c r="G653" i="3"/>
  <c r="H653" i="3"/>
  <c r="I653" i="3"/>
  <c r="J653" i="3"/>
  <c r="B654" i="3"/>
  <c r="C654" i="3"/>
  <c r="D654" i="3"/>
  <c r="E654" i="3"/>
  <c r="F654" i="3"/>
  <c r="G654" i="3"/>
  <c r="H654" i="3"/>
  <c r="I654" i="3"/>
  <c r="J654" i="3"/>
  <c r="B655" i="3"/>
  <c r="C655" i="3"/>
  <c r="D655" i="3"/>
  <c r="E655" i="3"/>
  <c r="F655" i="3"/>
  <c r="G655" i="3"/>
  <c r="H655" i="3"/>
  <c r="I655" i="3"/>
  <c r="J655" i="3"/>
  <c r="B656" i="3"/>
  <c r="C656" i="3"/>
  <c r="D656" i="3"/>
  <c r="E656" i="3"/>
  <c r="F656" i="3"/>
  <c r="G656" i="3"/>
  <c r="H656" i="3"/>
  <c r="I656" i="3"/>
  <c r="J656" i="3"/>
  <c r="B657" i="3"/>
  <c r="C657" i="3"/>
  <c r="D657" i="3"/>
  <c r="E657" i="3"/>
  <c r="F657" i="3"/>
  <c r="G657" i="3"/>
  <c r="H657" i="3"/>
  <c r="I657" i="3"/>
  <c r="J657" i="3"/>
  <c r="B658" i="3"/>
  <c r="C658" i="3"/>
  <c r="D658" i="3"/>
  <c r="E658" i="3"/>
  <c r="F658" i="3"/>
  <c r="G658" i="3"/>
  <c r="H658" i="3"/>
  <c r="I658" i="3"/>
  <c r="J658" i="3"/>
  <c r="B659" i="3"/>
  <c r="C659" i="3"/>
  <c r="D659" i="3"/>
  <c r="E659" i="3"/>
  <c r="F659" i="3"/>
  <c r="G659" i="3"/>
  <c r="H659" i="3"/>
  <c r="I659" i="3"/>
  <c r="J659" i="3"/>
  <c r="B660" i="3"/>
  <c r="C660" i="3"/>
  <c r="D660" i="3"/>
  <c r="E660" i="3"/>
  <c r="F660" i="3"/>
  <c r="G660" i="3"/>
  <c r="H660" i="3"/>
  <c r="I660" i="3"/>
  <c r="J660" i="3"/>
  <c r="B661" i="3"/>
  <c r="C661" i="3"/>
  <c r="D661" i="3"/>
  <c r="E661" i="3"/>
  <c r="F661" i="3"/>
  <c r="G661" i="3"/>
  <c r="H661" i="3"/>
  <c r="I661" i="3"/>
  <c r="J661" i="3"/>
  <c r="B662" i="3"/>
  <c r="C662" i="3"/>
  <c r="D662" i="3"/>
  <c r="E662" i="3"/>
  <c r="F662" i="3"/>
  <c r="G662" i="3"/>
  <c r="H662" i="3"/>
  <c r="I662" i="3"/>
  <c r="J662" i="3"/>
  <c r="B663" i="3"/>
  <c r="C663" i="3"/>
  <c r="D663" i="3"/>
  <c r="E663" i="3"/>
  <c r="F663" i="3"/>
  <c r="G663" i="3"/>
  <c r="H663" i="3"/>
  <c r="I663" i="3"/>
  <c r="J663" i="3"/>
  <c r="B664" i="3"/>
  <c r="C664" i="3"/>
  <c r="D664" i="3"/>
  <c r="E664" i="3"/>
  <c r="F664" i="3"/>
  <c r="G664" i="3"/>
  <c r="H664" i="3"/>
  <c r="I664" i="3"/>
  <c r="J664" i="3"/>
  <c r="B665" i="3"/>
  <c r="C665" i="3"/>
  <c r="D665" i="3"/>
  <c r="E665" i="3"/>
  <c r="F665" i="3"/>
  <c r="G665" i="3"/>
  <c r="H665" i="3"/>
  <c r="I665" i="3"/>
  <c r="J665" i="3"/>
  <c r="B666" i="3"/>
  <c r="C666" i="3"/>
  <c r="D666" i="3"/>
  <c r="E666" i="3"/>
  <c r="F666" i="3"/>
  <c r="G666" i="3"/>
  <c r="H666" i="3"/>
  <c r="I666" i="3"/>
  <c r="J666" i="3"/>
  <c r="B667" i="3"/>
  <c r="C667" i="3"/>
  <c r="D667" i="3"/>
  <c r="E667" i="3"/>
  <c r="F667" i="3"/>
  <c r="G667" i="3"/>
  <c r="H667" i="3"/>
  <c r="I667" i="3"/>
  <c r="J667" i="3"/>
  <c r="B668" i="3"/>
  <c r="C668" i="3"/>
  <c r="D668" i="3"/>
  <c r="E668" i="3"/>
  <c r="F668" i="3"/>
  <c r="G668" i="3"/>
  <c r="H668" i="3"/>
  <c r="I668" i="3"/>
  <c r="J668" i="3"/>
  <c r="B669" i="3"/>
  <c r="C669" i="3"/>
  <c r="D669" i="3"/>
  <c r="E669" i="3"/>
  <c r="F669" i="3"/>
  <c r="G669" i="3"/>
  <c r="H669" i="3"/>
  <c r="I669" i="3"/>
  <c r="J669" i="3"/>
  <c r="B670" i="3"/>
  <c r="C670" i="3"/>
  <c r="D670" i="3"/>
  <c r="E670" i="3"/>
  <c r="F670" i="3"/>
  <c r="G670" i="3"/>
  <c r="H670" i="3"/>
  <c r="I670" i="3"/>
  <c r="J670" i="3"/>
  <c r="B671" i="3"/>
  <c r="C671" i="3"/>
  <c r="D671" i="3"/>
  <c r="E671" i="3"/>
  <c r="F671" i="3"/>
  <c r="G671" i="3"/>
  <c r="H671" i="3"/>
  <c r="I671" i="3"/>
  <c r="J671" i="3"/>
  <c r="B672" i="3"/>
  <c r="C672" i="3"/>
  <c r="D672" i="3"/>
  <c r="E672" i="3"/>
  <c r="F672" i="3"/>
  <c r="G672" i="3"/>
  <c r="H672" i="3"/>
  <c r="I672" i="3"/>
  <c r="J672" i="3"/>
  <c r="B673" i="3"/>
  <c r="C673" i="3"/>
  <c r="D673" i="3"/>
  <c r="E673" i="3"/>
  <c r="F673" i="3"/>
  <c r="G673" i="3"/>
  <c r="H673" i="3"/>
  <c r="I673" i="3"/>
  <c r="J673" i="3"/>
  <c r="B674" i="3"/>
  <c r="C674" i="3"/>
  <c r="D674" i="3"/>
  <c r="E674" i="3"/>
  <c r="F674" i="3"/>
  <c r="G674" i="3"/>
  <c r="H674" i="3"/>
  <c r="I674" i="3"/>
  <c r="J674" i="3"/>
  <c r="B675" i="3"/>
  <c r="C675" i="3"/>
  <c r="D675" i="3"/>
  <c r="E675" i="3"/>
  <c r="F675" i="3"/>
  <c r="G675" i="3"/>
  <c r="H675" i="3"/>
  <c r="I675" i="3"/>
  <c r="J675" i="3"/>
  <c r="B676" i="3"/>
  <c r="C676" i="3"/>
  <c r="D676" i="3"/>
  <c r="E676" i="3"/>
  <c r="F676" i="3"/>
  <c r="G676" i="3"/>
  <c r="H676" i="3"/>
  <c r="I676" i="3"/>
  <c r="J676" i="3"/>
  <c r="B677" i="3"/>
  <c r="C677" i="3"/>
  <c r="D677" i="3"/>
  <c r="E677" i="3"/>
  <c r="F677" i="3"/>
  <c r="G677" i="3"/>
  <c r="H677" i="3"/>
  <c r="I677" i="3"/>
  <c r="J677" i="3"/>
  <c r="B678" i="3"/>
  <c r="C678" i="3"/>
  <c r="D678" i="3"/>
  <c r="E678" i="3"/>
  <c r="F678" i="3"/>
  <c r="G678" i="3"/>
  <c r="H678" i="3"/>
  <c r="I678" i="3"/>
  <c r="J678" i="3"/>
  <c r="B679" i="3"/>
  <c r="C679" i="3"/>
  <c r="D679" i="3"/>
  <c r="E679" i="3"/>
  <c r="F679" i="3"/>
  <c r="G679" i="3"/>
  <c r="H679" i="3"/>
  <c r="I679" i="3"/>
  <c r="J679" i="3"/>
  <c r="B680" i="3"/>
  <c r="C680" i="3"/>
  <c r="D680" i="3"/>
  <c r="E680" i="3"/>
  <c r="F680" i="3"/>
  <c r="G680" i="3"/>
  <c r="H680" i="3"/>
  <c r="I680" i="3"/>
  <c r="J680" i="3"/>
  <c r="B681" i="3"/>
  <c r="C681" i="3"/>
  <c r="D681" i="3"/>
  <c r="E681" i="3"/>
  <c r="F681" i="3"/>
  <c r="G681" i="3"/>
  <c r="H681" i="3"/>
  <c r="I681" i="3"/>
  <c r="J681" i="3"/>
  <c r="B682" i="3"/>
  <c r="C682" i="3"/>
  <c r="D682" i="3"/>
  <c r="E682" i="3"/>
  <c r="F682" i="3"/>
  <c r="G682" i="3"/>
  <c r="H682" i="3"/>
  <c r="I682" i="3"/>
  <c r="J682" i="3"/>
  <c r="B683" i="3"/>
  <c r="C683" i="3"/>
  <c r="D683" i="3"/>
  <c r="E683" i="3"/>
  <c r="F683" i="3"/>
  <c r="G683" i="3"/>
  <c r="H683" i="3"/>
  <c r="I683" i="3"/>
  <c r="J683" i="3"/>
  <c r="B684" i="3"/>
  <c r="C684" i="3"/>
  <c r="D684" i="3"/>
  <c r="E684" i="3"/>
  <c r="F684" i="3"/>
  <c r="G684" i="3"/>
  <c r="H684" i="3"/>
  <c r="I684" i="3"/>
  <c r="J684" i="3"/>
  <c r="B685" i="3"/>
  <c r="C685" i="3"/>
  <c r="D685" i="3"/>
  <c r="E685" i="3"/>
  <c r="F685" i="3"/>
  <c r="G685" i="3"/>
  <c r="H685" i="3"/>
  <c r="I685" i="3"/>
  <c r="J685" i="3"/>
  <c r="B686" i="3"/>
  <c r="C686" i="3"/>
  <c r="D686" i="3"/>
  <c r="E686" i="3"/>
  <c r="F686" i="3"/>
  <c r="G686" i="3"/>
  <c r="H686" i="3"/>
  <c r="I686" i="3"/>
  <c r="J686" i="3"/>
  <c r="B687" i="3"/>
  <c r="C687" i="3"/>
  <c r="D687" i="3"/>
  <c r="E687" i="3"/>
  <c r="F687" i="3"/>
  <c r="G687" i="3"/>
  <c r="H687" i="3"/>
  <c r="I687" i="3"/>
  <c r="J687" i="3"/>
  <c r="B688" i="3"/>
  <c r="C688" i="3"/>
  <c r="D688" i="3"/>
  <c r="E688" i="3"/>
  <c r="F688" i="3"/>
  <c r="G688" i="3"/>
  <c r="H688" i="3"/>
  <c r="I688" i="3"/>
  <c r="J688" i="3"/>
  <c r="B689" i="3"/>
  <c r="C689" i="3"/>
  <c r="D689" i="3"/>
  <c r="E689" i="3"/>
  <c r="F689" i="3"/>
  <c r="G689" i="3"/>
  <c r="H689" i="3"/>
  <c r="I689" i="3"/>
  <c r="J689" i="3"/>
  <c r="B690" i="3"/>
  <c r="C690" i="3"/>
  <c r="D690" i="3"/>
  <c r="E690" i="3"/>
  <c r="F690" i="3"/>
  <c r="G690" i="3"/>
  <c r="H690" i="3"/>
  <c r="I690" i="3"/>
  <c r="J690" i="3"/>
  <c r="B691" i="3"/>
  <c r="C691" i="3"/>
  <c r="D691" i="3"/>
  <c r="E691" i="3"/>
  <c r="F691" i="3"/>
  <c r="G691" i="3"/>
  <c r="H691" i="3"/>
  <c r="I691" i="3"/>
  <c r="J691" i="3"/>
  <c r="B692" i="3"/>
  <c r="C692" i="3"/>
  <c r="D692" i="3"/>
  <c r="E692" i="3"/>
  <c r="F692" i="3"/>
  <c r="G692" i="3"/>
  <c r="H692" i="3"/>
  <c r="I692" i="3"/>
  <c r="J692" i="3"/>
  <c r="B693" i="3"/>
  <c r="C693" i="3"/>
  <c r="D693" i="3"/>
  <c r="E693" i="3"/>
  <c r="F693" i="3"/>
  <c r="G693" i="3"/>
  <c r="H693" i="3"/>
  <c r="I693" i="3"/>
  <c r="J693" i="3"/>
  <c r="B694" i="3"/>
  <c r="C694" i="3"/>
  <c r="D694" i="3"/>
  <c r="E694" i="3"/>
  <c r="F694" i="3"/>
  <c r="G694" i="3"/>
  <c r="H694" i="3"/>
  <c r="I694" i="3"/>
  <c r="J694" i="3"/>
  <c r="B695" i="3"/>
  <c r="C695" i="3"/>
  <c r="D695" i="3"/>
  <c r="E695" i="3"/>
  <c r="F695" i="3"/>
  <c r="G695" i="3"/>
  <c r="H695" i="3"/>
  <c r="I695" i="3"/>
  <c r="J695" i="3"/>
  <c r="B696" i="3"/>
  <c r="C696" i="3"/>
  <c r="D696" i="3"/>
  <c r="E696" i="3"/>
  <c r="F696" i="3"/>
  <c r="G696" i="3"/>
  <c r="H696" i="3"/>
  <c r="I696" i="3"/>
  <c r="J696" i="3"/>
  <c r="B697" i="3"/>
  <c r="C697" i="3"/>
  <c r="D697" i="3"/>
  <c r="E697" i="3"/>
  <c r="F697" i="3"/>
  <c r="G697" i="3"/>
  <c r="H697" i="3"/>
  <c r="I697" i="3"/>
  <c r="J697" i="3"/>
  <c r="B698" i="3"/>
  <c r="C698" i="3"/>
  <c r="D698" i="3"/>
  <c r="E698" i="3"/>
  <c r="F698" i="3"/>
  <c r="G698" i="3"/>
  <c r="H698" i="3"/>
  <c r="I698" i="3"/>
  <c r="J698" i="3"/>
  <c r="B699" i="3"/>
  <c r="C699" i="3"/>
  <c r="D699" i="3"/>
  <c r="E699" i="3"/>
  <c r="F699" i="3"/>
  <c r="G699" i="3"/>
  <c r="H699" i="3"/>
  <c r="I699" i="3"/>
  <c r="J699" i="3"/>
  <c r="B700" i="3"/>
  <c r="C700" i="3"/>
  <c r="D700" i="3"/>
  <c r="E700" i="3"/>
  <c r="F700" i="3"/>
  <c r="G700" i="3"/>
  <c r="H700" i="3"/>
  <c r="I700" i="3"/>
  <c r="J700" i="3"/>
  <c r="B701" i="3"/>
  <c r="C701" i="3"/>
  <c r="D701" i="3"/>
  <c r="E701" i="3"/>
  <c r="F701" i="3"/>
  <c r="G701" i="3"/>
  <c r="H701" i="3"/>
  <c r="I701" i="3"/>
  <c r="J701" i="3"/>
  <c r="B702" i="3"/>
  <c r="C702" i="3"/>
  <c r="D702" i="3"/>
  <c r="E702" i="3"/>
  <c r="F702" i="3"/>
  <c r="G702" i="3"/>
  <c r="H702" i="3"/>
  <c r="I702" i="3"/>
  <c r="J702" i="3"/>
  <c r="B703" i="3"/>
  <c r="C703" i="3"/>
  <c r="D703" i="3"/>
  <c r="E703" i="3"/>
  <c r="F703" i="3"/>
  <c r="G703" i="3"/>
  <c r="H703" i="3"/>
  <c r="I703" i="3"/>
  <c r="J703" i="3"/>
  <c r="B704" i="3"/>
  <c r="C704" i="3"/>
  <c r="D704" i="3"/>
  <c r="E704" i="3"/>
  <c r="F704" i="3"/>
  <c r="G704" i="3"/>
  <c r="H704" i="3"/>
  <c r="I704" i="3"/>
  <c r="J704" i="3"/>
  <c r="B705" i="3"/>
  <c r="C705" i="3"/>
  <c r="D705" i="3"/>
  <c r="E705" i="3"/>
  <c r="F705" i="3"/>
  <c r="G705" i="3"/>
  <c r="H705" i="3"/>
  <c r="I705" i="3"/>
  <c r="J705" i="3"/>
  <c r="B706" i="3"/>
  <c r="C706" i="3"/>
  <c r="D706" i="3"/>
  <c r="E706" i="3"/>
  <c r="F706" i="3"/>
  <c r="G706" i="3"/>
  <c r="H706" i="3"/>
  <c r="I706" i="3"/>
  <c r="J706" i="3"/>
  <c r="B707" i="3"/>
  <c r="C707" i="3"/>
  <c r="D707" i="3"/>
  <c r="E707" i="3"/>
  <c r="F707" i="3"/>
  <c r="G707" i="3"/>
  <c r="H707" i="3"/>
  <c r="I707" i="3"/>
  <c r="J707" i="3"/>
  <c r="B708" i="3"/>
  <c r="C708" i="3"/>
  <c r="D708" i="3"/>
  <c r="E708" i="3"/>
  <c r="F708" i="3"/>
  <c r="G708" i="3"/>
  <c r="H708" i="3"/>
  <c r="I708" i="3"/>
  <c r="J708" i="3"/>
  <c r="B709" i="3"/>
  <c r="C709" i="3"/>
  <c r="D709" i="3"/>
  <c r="E709" i="3"/>
  <c r="F709" i="3"/>
  <c r="G709" i="3"/>
  <c r="H709" i="3"/>
  <c r="I709" i="3"/>
  <c r="J709" i="3"/>
  <c r="B710" i="3"/>
  <c r="C710" i="3"/>
  <c r="D710" i="3"/>
  <c r="E710" i="3"/>
  <c r="F710" i="3"/>
  <c r="G710" i="3"/>
  <c r="H710" i="3"/>
  <c r="I710" i="3"/>
  <c r="J710" i="3"/>
  <c r="B711" i="3"/>
  <c r="C711" i="3"/>
  <c r="D711" i="3"/>
  <c r="E711" i="3"/>
  <c r="F711" i="3"/>
  <c r="G711" i="3"/>
  <c r="H711" i="3"/>
  <c r="I711" i="3"/>
  <c r="J711" i="3"/>
  <c r="B712" i="3"/>
  <c r="C712" i="3"/>
  <c r="D712" i="3"/>
  <c r="E712" i="3"/>
  <c r="F712" i="3"/>
  <c r="G712" i="3"/>
  <c r="H712" i="3"/>
  <c r="I712" i="3"/>
  <c r="J712" i="3"/>
  <c r="B713" i="3"/>
  <c r="C713" i="3"/>
  <c r="D713" i="3"/>
  <c r="E713" i="3"/>
  <c r="F713" i="3"/>
  <c r="G713" i="3"/>
  <c r="H713" i="3"/>
  <c r="I713" i="3"/>
  <c r="J713" i="3"/>
  <c r="B714" i="3"/>
  <c r="C714" i="3"/>
  <c r="D714" i="3"/>
  <c r="E714" i="3"/>
  <c r="F714" i="3"/>
  <c r="G714" i="3"/>
  <c r="H714" i="3"/>
  <c r="I714" i="3"/>
  <c r="J714" i="3"/>
  <c r="B715" i="3"/>
  <c r="C715" i="3"/>
  <c r="D715" i="3"/>
  <c r="E715" i="3"/>
  <c r="F715" i="3"/>
  <c r="G715" i="3"/>
  <c r="H715" i="3"/>
  <c r="I715" i="3"/>
  <c r="J715" i="3"/>
  <c r="B716" i="3"/>
  <c r="C716" i="3"/>
  <c r="D716" i="3"/>
  <c r="E716" i="3"/>
  <c r="F716" i="3"/>
  <c r="G716" i="3"/>
  <c r="H716" i="3"/>
  <c r="I716" i="3"/>
  <c r="J716" i="3"/>
  <c r="B717" i="3"/>
  <c r="C717" i="3"/>
  <c r="D717" i="3"/>
  <c r="E717" i="3"/>
  <c r="F717" i="3"/>
  <c r="G717" i="3"/>
  <c r="H717" i="3"/>
  <c r="I717" i="3"/>
  <c r="J717" i="3"/>
  <c r="B718" i="3"/>
  <c r="C718" i="3"/>
  <c r="D718" i="3"/>
  <c r="E718" i="3"/>
  <c r="F718" i="3"/>
  <c r="G718" i="3"/>
  <c r="H718" i="3"/>
  <c r="I718" i="3"/>
  <c r="J718" i="3"/>
  <c r="B719" i="3"/>
  <c r="C719" i="3"/>
  <c r="D719" i="3"/>
  <c r="E719" i="3"/>
  <c r="F719" i="3"/>
  <c r="G719" i="3"/>
  <c r="H719" i="3"/>
  <c r="I719" i="3"/>
  <c r="J719" i="3"/>
  <c r="B720" i="3"/>
  <c r="C720" i="3"/>
  <c r="D720" i="3"/>
  <c r="E720" i="3"/>
  <c r="F720" i="3"/>
  <c r="G720" i="3"/>
  <c r="H720" i="3"/>
  <c r="I720" i="3"/>
  <c r="J720" i="3"/>
  <c r="B721" i="3"/>
  <c r="C721" i="3"/>
  <c r="D721" i="3"/>
  <c r="E721" i="3"/>
  <c r="F721" i="3"/>
  <c r="G721" i="3"/>
  <c r="H721" i="3"/>
  <c r="I721" i="3"/>
  <c r="J721" i="3"/>
  <c r="B722" i="3"/>
  <c r="C722" i="3"/>
  <c r="D722" i="3"/>
  <c r="E722" i="3"/>
  <c r="F722" i="3"/>
  <c r="G722" i="3"/>
  <c r="H722" i="3"/>
  <c r="I722" i="3"/>
  <c r="J722" i="3"/>
  <c r="B723" i="3"/>
  <c r="C723" i="3"/>
  <c r="D723" i="3"/>
  <c r="E723" i="3"/>
  <c r="F723" i="3"/>
  <c r="G723" i="3"/>
  <c r="H723" i="3"/>
  <c r="I723" i="3"/>
  <c r="J723" i="3"/>
  <c r="B724" i="3"/>
  <c r="C724" i="3"/>
  <c r="D724" i="3"/>
  <c r="E724" i="3"/>
  <c r="F724" i="3"/>
  <c r="G724" i="3"/>
  <c r="H724" i="3"/>
  <c r="I724" i="3"/>
  <c r="J724" i="3"/>
  <c r="B725" i="3"/>
  <c r="C725" i="3"/>
  <c r="D725" i="3"/>
  <c r="E725" i="3"/>
  <c r="F725" i="3"/>
  <c r="G725" i="3"/>
  <c r="H725" i="3"/>
  <c r="I725" i="3"/>
  <c r="J725" i="3"/>
  <c r="B726" i="3"/>
  <c r="C726" i="3"/>
  <c r="D726" i="3"/>
  <c r="E726" i="3"/>
  <c r="F726" i="3"/>
  <c r="G726" i="3"/>
  <c r="H726" i="3"/>
  <c r="I726" i="3"/>
  <c r="J726" i="3"/>
  <c r="B727" i="3"/>
  <c r="C727" i="3"/>
  <c r="D727" i="3"/>
  <c r="E727" i="3"/>
  <c r="F727" i="3"/>
  <c r="G727" i="3"/>
  <c r="H727" i="3"/>
  <c r="I727" i="3"/>
  <c r="J727" i="3"/>
  <c r="B728" i="3"/>
  <c r="C728" i="3"/>
  <c r="D728" i="3"/>
  <c r="E728" i="3"/>
  <c r="F728" i="3"/>
  <c r="G728" i="3"/>
  <c r="H728" i="3"/>
  <c r="I728" i="3"/>
  <c r="J728" i="3"/>
  <c r="B729" i="3"/>
  <c r="C729" i="3"/>
  <c r="D729" i="3"/>
  <c r="E729" i="3"/>
  <c r="F729" i="3"/>
  <c r="G729" i="3"/>
  <c r="H729" i="3"/>
  <c r="I729" i="3"/>
  <c r="J729" i="3"/>
  <c r="B730" i="3"/>
  <c r="C730" i="3"/>
  <c r="D730" i="3"/>
  <c r="E730" i="3"/>
  <c r="F730" i="3"/>
  <c r="G730" i="3"/>
  <c r="H730" i="3"/>
  <c r="I730" i="3"/>
  <c r="J730" i="3"/>
  <c r="B731" i="3"/>
  <c r="C731" i="3"/>
  <c r="D731" i="3"/>
  <c r="E731" i="3"/>
  <c r="F731" i="3"/>
  <c r="G731" i="3"/>
  <c r="H731" i="3"/>
  <c r="I731" i="3"/>
  <c r="J731" i="3"/>
  <c r="B732" i="3"/>
  <c r="C732" i="3"/>
  <c r="D732" i="3"/>
  <c r="E732" i="3"/>
  <c r="F732" i="3"/>
  <c r="G732" i="3"/>
  <c r="H732" i="3"/>
  <c r="I732" i="3"/>
  <c r="J732" i="3"/>
  <c r="B733" i="3"/>
  <c r="C733" i="3"/>
  <c r="D733" i="3"/>
  <c r="E733" i="3"/>
  <c r="F733" i="3"/>
  <c r="G733" i="3"/>
  <c r="H733" i="3"/>
  <c r="I733" i="3"/>
  <c r="J733" i="3"/>
  <c r="B734" i="3"/>
  <c r="C734" i="3"/>
  <c r="D734" i="3"/>
  <c r="E734" i="3"/>
  <c r="F734" i="3"/>
  <c r="G734" i="3"/>
  <c r="H734" i="3"/>
  <c r="I734" i="3"/>
  <c r="J734" i="3"/>
  <c r="B735" i="3"/>
  <c r="C735" i="3"/>
  <c r="D735" i="3"/>
  <c r="E735" i="3"/>
  <c r="F735" i="3"/>
  <c r="G735" i="3"/>
  <c r="H735" i="3"/>
  <c r="I735" i="3"/>
  <c r="J735" i="3"/>
  <c r="B736" i="3"/>
  <c r="C736" i="3"/>
  <c r="D736" i="3"/>
  <c r="E736" i="3"/>
  <c r="F736" i="3"/>
  <c r="G736" i="3"/>
  <c r="H736" i="3"/>
  <c r="I736" i="3"/>
  <c r="J736" i="3"/>
  <c r="B737" i="3"/>
  <c r="C737" i="3"/>
  <c r="D737" i="3"/>
  <c r="E737" i="3"/>
  <c r="F737" i="3"/>
  <c r="G737" i="3"/>
  <c r="H737" i="3"/>
  <c r="I737" i="3"/>
  <c r="J737" i="3"/>
  <c r="B738" i="3"/>
  <c r="C738" i="3"/>
  <c r="D738" i="3"/>
  <c r="E738" i="3"/>
  <c r="F738" i="3"/>
  <c r="G738" i="3"/>
  <c r="H738" i="3"/>
  <c r="I738" i="3"/>
  <c r="J738" i="3"/>
  <c r="B739" i="3"/>
  <c r="C739" i="3"/>
  <c r="D739" i="3"/>
  <c r="E739" i="3"/>
  <c r="F739" i="3"/>
  <c r="G739" i="3"/>
  <c r="H739" i="3"/>
  <c r="I739" i="3"/>
  <c r="J739" i="3"/>
  <c r="B740" i="3"/>
  <c r="C740" i="3"/>
  <c r="D740" i="3"/>
  <c r="E740" i="3"/>
  <c r="F740" i="3"/>
  <c r="G740" i="3"/>
  <c r="H740" i="3"/>
  <c r="I740" i="3"/>
  <c r="J740" i="3"/>
  <c r="B741" i="3"/>
  <c r="C741" i="3"/>
  <c r="D741" i="3"/>
  <c r="E741" i="3"/>
  <c r="F741" i="3"/>
  <c r="G741" i="3"/>
  <c r="H741" i="3"/>
  <c r="I741" i="3"/>
  <c r="J741" i="3"/>
  <c r="B742" i="3"/>
  <c r="C742" i="3"/>
  <c r="D742" i="3"/>
  <c r="E742" i="3"/>
  <c r="F742" i="3"/>
  <c r="G742" i="3"/>
  <c r="H742" i="3"/>
  <c r="I742" i="3"/>
  <c r="J742" i="3"/>
  <c r="B743" i="3"/>
  <c r="C743" i="3"/>
  <c r="D743" i="3"/>
  <c r="E743" i="3"/>
  <c r="F743" i="3"/>
  <c r="G743" i="3"/>
  <c r="H743" i="3"/>
  <c r="I743" i="3"/>
  <c r="J743" i="3"/>
  <c r="B744" i="3"/>
  <c r="C744" i="3"/>
  <c r="D744" i="3"/>
  <c r="E744" i="3"/>
  <c r="F744" i="3"/>
  <c r="G744" i="3"/>
  <c r="H744" i="3"/>
  <c r="I744" i="3"/>
  <c r="J744" i="3"/>
  <c r="B745" i="3"/>
  <c r="C745" i="3"/>
  <c r="D745" i="3"/>
  <c r="E745" i="3"/>
  <c r="F745" i="3"/>
  <c r="G745" i="3"/>
  <c r="H745" i="3"/>
  <c r="I745" i="3"/>
  <c r="J745" i="3"/>
  <c r="B746" i="3"/>
  <c r="C746" i="3"/>
  <c r="D746" i="3"/>
  <c r="E746" i="3"/>
  <c r="F746" i="3"/>
  <c r="G746" i="3"/>
  <c r="H746" i="3"/>
  <c r="I746" i="3"/>
  <c r="J746" i="3"/>
  <c r="B747" i="3"/>
  <c r="C747" i="3"/>
  <c r="D747" i="3"/>
  <c r="E747" i="3"/>
  <c r="F747" i="3"/>
  <c r="G747" i="3"/>
  <c r="H747" i="3"/>
  <c r="I747" i="3"/>
  <c r="J747" i="3"/>
  <c r="B748" i="3"/>
  <c r="C748" i="3"/>
  <c r="D748" i="3"/>
  <c r="E748" i="3"/>
  <c r="F748" i="3"/>
  <c r="G748" i="3"/>
  <c r="H748" i="3"/>
  <c r="I748" i="3"/>
  <c r="J748" i="3"/>
  <c r="B749" i="3"/>
  <c r="C749" i="3"/>
  <c r="D749" i="3"/>
  <c r="E749" i="3"/>
  <c r="F749" i="3"/>
  <c r="G749" i="3"/>
  <c r="H749" i="3"/>
  <c r="I749" i="3"/>
  <c r="J749" i="3"/>
  <c r="B750" i="3"/>
  <c r="C750" i="3"/>
  <c r="D750" i="3"/>
  <c r="E750" i="3"/>
  <c r="F750" i="3"/>
  <c r="G750" i="3"/>
  <c r="H750" i="3"/>
  <c r="I750" i="3"/>
  <c r="J750" i="3"/>
  <c r="B751" i="3"/>
  <c r="C751" i="3"/>
  <c r="D751" i="3"/>
  <c r="E751" i="3"/>
  <c r="F751" i="3"/>
  <c r="G751" i="3"/>
  <c r="H751" i="3"/>
  <c r="I751" i="3"/>
  <c r="J751" i="3"/>
  <c r="B752" i="3"/>
  <c r="C752" i="3"/>
  <c r="D752" i="3"/>
  <c r="E752" i="3"/>
  <c r="F752" i="3"/>
  <c r="G752" i="3"/>
  <c r="H752" i="3"/>
  <c r="I752" i="3"/>
  <c r="J752" i="3"/>
  <c r="B753" i="3"/>
  <c r="C753" i="3"/>
  <c r="D753" i="3"/>
  <c r="E753" i="3"/>
  <c r="F753" i="3"/>
  <c r="G753" i="3"/>
  <c r="H753" i="3"/>
  <c r="I753" i="3"/>
  <c r="J753" i="3"/>
  <c r="B754" i="3"/>
  <c r="C754" i="3"/>
  <c r="D754" i="3"/>
  <c r="E754" i="3"/>
  <c r="F754" i="3"/>
  <c r="G754" i="3"/>
  <c r="H754" i="3"/>
  <c r="I754" i="3"/>
  <c r="J754" i="3"/>
  <c r="B755" i="3"/>
  <c r="C755" i="3"/>
  <c r="D755" i="3"/>
  <c r="E755" i="3"/>
  <c r="F755" i="3"/>
  <c r="G755" i="3"/>
  <c r="H755" i="3"/>
  <c r="I755" i="3"/>
  <c r="J755" i="3"/>
  <c r="B756" i="3"/>
  <c r="C756" i="3"/>
  <c r="D756" i="3"/>
  <c r="E756" i="3"/>
  <c r="F756" i="3"/>
  <c r="G756" i="3"/>
  <c r="H756" i="3"/>
  <c r="I756" i="3"/>
  <c r="J756" i="3"/>
  <c r="B757" i="3"/>
  <c r="C757" i="3"/>
  <c r="D757" i="3"/>
  <c r="E757" i="3"/>
  <c r="F757" i="3"/>
  <c r="G757" i="3"/>
  <c r="H757" i="3"/>
  <c r="I757" i="3"/>
  <c r="J757" i="3"/>
  <c r="B758" i="3"/>
  <c r="C758" i="3"/>
  <c r="D758" i="3"/>
  <c r="E758" i="3"/>
  <c r="F758" i="3"/>
  <c r="G758" i="3"/>
  <c r="H758" i="3"/>
  <c r="I758" i="3"/>
  <c r="J758" i="3"/>
  <c r="B759" i="3"/>
  <c r="C759" i="3"/>
  <c r="D759" i="3"/>
  <c r="E759" i="3"/>
  <c r="F759" i="3"/>
  <c r="G759" i="3"/>
  <c r="H759" i="3"/>
  <c r="I759" i="3"/>
  <c r="J759" i="3"/>
  <c r="B760" i="3"/>
  <c r="C760" i="3"/>
  <c r="D760" i="3"/>
  <c r="E760" i="3"/>
  <c r="F760" i="3"/>
  <c r="G760" i="3"/>
  <c r="H760" i="3"/>
  <c r="I760" i="3"/>
  <c r="J760" i="3"/>
  <c r="B761" i="3"/>
  <c r="C761" i="3"/>
  <c r="D761" i="3"/>
  <c r="E761" i="3"/>
  <c r="F761" i="3"/>
  <c r="G761" i="3"/>
  <c r="H761" i="3"/>
  <c r="I761" i="3"/>
  <c r="J761" i="3"/>
  <c r="B762" i="3"/>
  <c r="C762" i="3"/>
  <c r="D762" i="3"/>
  <c r="E762" i="3"/>
  <c r="F762" i="3"/>
  <c r="G762" i="3"/>
  <c r="H762" i="3"/>
  <c r="I762" i="3"/>
  <c r="J762" i="3"/>
  <c r="B763" i="3"/>
  <c r="C763" i="3"/>
  <c r="D763" i="3"/>
  <c r="E763" i="3"/>
  <c r="F763" i="3"/>
  <c r="G763" i="3"/>
  <c r="H763" i="3"/>
  <c r="I763" i="3"/>
  <c r="J763" i="3"/>
  <c r="B764" i="3"/>
  <c r="C764" i="3"/>
  <c r="D764" i="3"/>
  <c r="E764" i="3"/>
  <c r="F764" i="3"/>
  <c r="G764" i="3"/>
  <c r="H764" i="3"/>
  <c r="I764" i="3"/>
  <c r="J764" i="3"/>
  <c r="B765" i="3"/>
  <c r="C765" i="3"/>
  <c r="D765" i="3"/>
  <c r="E765" i="3"/>
  <c r="F765" i="3"/>
  <c r="G765" i="3"/>
  <c r="H765" i="3"/>
  <c r="I765" i="3"/>
  <c r="J765" i="3"/>
  <c r="B766" i="3"/>
  <c r="C766" i="3"/>
  <c r="D766" i="3"/>
  <c r="E766" i="3"/>
  <c r="F766" i="3"/>
  <c r="G766" i="3"/>
  <c r="H766" i="3"/>
  <c r="I766" i="3"/>
  <c r="J766" i="3"/>
  <c r="B767" i="3"/>
  <c r="C767" i="3"/>
  <c r="D767" i="3"/>
  <c r="E767" i="3"/>
  <c r="F767" i="3"/>
  <c r="G767" i="3"/>
  <c r="H767" i="3"/>
  <c r="I767" i="3"/>
  <c r="J767" i="3"/>
  <c r="B768" i="3"/>
  <c r="C768" i="3"/>
  <c r="D768" i="3"/>
  <c r="E768" i="3"/>
  <c r="F768" i="3"/>
  <c r="G768" i="3"/>
  <c r="H768" i="3"/>
  <c r="I768" i="3"/>
  <c r="J768" i="3"/>
  <c r="B769" i="3"/>
  <c r="C769" i="3"/>
  <c r="D769" i="3"/>
  <c r="E769" i="3"/>
  <c r="F769" i="3"/>
  <c r="G769" i="3"/>
  <c r="H769" i="3"/>
  <c r="I769" i="3"/>
  <c r="J769" i="3"/>
  <c r="B770" i="3"/>
  <c r="C770" i="3"/>
  <c r="D770" i="3"/>
  <c r="E770" i="3"/>
  <c r="F770" i="3"/>
  <c r="G770" i="3"/>
  <c r="H770" i="3"/>
  <c r="I770" i="3"/>
  <c r="J770" i="3"/>
  <c r="B771" i="3"/>
  <c r="C771" i="3"/>
  <c r="D771" i="3"/>
  <c r="E771" i="3"/>
  <c r="F771" i="3"/>
  <c r="G771" i="3"/>
  <c r="H771" i="3"/>
  <c r="I771" i="3"/>
  <c r="J771" i="3"/>
  <c r="B772" i="3"/>
  <c r="C772" i="3"/>
  <c r="D772" i="3"/>
  <c r="E772" i="3"/>
  <c r="F772" i="3"/>
  <c r="G772" i="3"/>
  <c r="H772" i="3"/>
  <c r="I772" i="3"/>
  <c r="J772" i="3"/>
  <c r="B773" i="3"/>
  <c r="C773" i="3"/>
  <c r="D773" i="3"/>
  <c r="E773" i="3"/>
  <c r="F773" i="3"/>
  <c r="G773" i="3"/>
  <c r="H773" i="3"/>
  <c r="I773" i="3"/>
  <c r="J773" i="3"/>
  <c r="B774" i="3"/>
  <c r="C774" i="3"/>
  <c r="D774" i="3"/>
  <c r="E774" i="3"/>
  <c r="F774" i="3"/>
  <c r="G774" i="3"/>
  <c r="H774" i="3"/>
  <c r="I774" i="3"/>
  <c r="J774" i="3"/>
  <c r="B775" i="3"/>
  <c r="C775" i="3"/>
  <c r="D775" i="3"/>
  <c r="E775" i="3"/>
  <c r="F775" i="3"/>
  <c r="G775" i="3"/>
  <c r="H775" i="3"/>
  <c r="I775" i="3"/>
  <c r="J775" i="3"/>
  <c r="B776" i="3"/>
  <c r="C776" i="3"/>
  <c r="D776" i="3"/>
  <c r="E776" i="3"/>
  <c r="F776" i="3"/>
  <c r="G776" i="3"/>
  <c r="H776" i="3"/>
  <c r="I776" i="3"/>
  <c r="J776" i="3"/>
  <c r="B777" i="3"/>
  <c r="C777" i="3"/>
  <c r="D777" i="3"/>
  <c r="E777" i="3"/>
  <c r="F777" i="3"/>
  <c r="G777" i="3"/>
  <c r="H777" i="3"/>
  <c r="I777" i="3"/>
  <c r="J777" i="3"/>
  <c r="B778" i="3"/>
  <c r="C778" i="3"/>
  <c r="D778" i="3"/>
  <c r="E778" i="3"/>
  <c r="F778" i="3"/>
  <c r="G778" i="3"/>
  <c r="H778" i="3"/>
  <c r="I778" i="3"/>
  <c r="J778" i="3"/>
  <c r="B779" i="3"/>
  <c r="C779" i="3"/>
  <c r="D779" i="3"/>
  <c r="E779" i="3"/>
  <c r="F779" i="3"/>
  <c r="G779" i="3"/>
  <c r="H779" i="3"/>
  <c r="I779" i="3"/>
  <c r="J779" i="3"/>
  <c r="B780" i="3"/>
  <c r="C780" i="3"/>
  <c r="D780" i="3"/>
  <c r="E780" i="3"/>
  <c r="F780" i="3"/>
  <c r="G780" i="3"/>
  <c r="H780" i="3"/>
  <c r="I780" i="3"/>
  <c r="J780" i="3"/>
  <c r="B781" i="3"/>
  <c r="C781" i="3"/>
  <c r="D781" i="3"/>
  <c r="E781" i="3"/>
  <c r="F781" i="3"/>
  <c r="G781" i="3"/>
  <c r="H781" i="3"/>
  <c r="I781" i="3"/>
  <c r="J781" i="3"/>
  <c r="B782" i="3"/>
  <c r="C782" i="3"/>
  <c r="D782" i="3"/>
  <c r="E782" i="3"/>
  <c r="F782" i="3"/>
  <c r="G782" i="3"/>
  <c r="H782" i="3"/>
  <c r="I782" i="3"/>
  <c r="J782" i="3"/>
  <c r="B783" i="3"/>
  <c r="C783" i="3"/>
  <c r="D783" i="3"/>
  <c r="E783" i="3"/>
  <c r="F783" i="3"/>
  <c r="G783" i="3"/>
  <c r="H783" i="3"/>
  <c r="I783" i="3"/>
  <c r="J783" i="3"/>
  <c r="B784" i="3"/>
  <c r="C784" i="3"/>
  <c r="D784" i="3"/>
  <c r="E784" i="3"/>
  <c r="F784" i="3"/>
  <c r="G784" i="3"/>
  <c r="H784" i="3"/>
  <c r="I784" i="3"/>
  <c r="J784" i="3"/>
  <c r="B785" i="3"/>
  <c r="C785" i="3"/>
  <c r="D785" i="3"/>
  <c r="E785" i="3"/>
  <c r="F785" i="3"/>
  <c r="G785" i="3"/>
  <c r="H785" i="3"/>
  <c r="I785" i="3"/>
  <c r="J785" i="3"/>
  <c r="B786" i="3"/>
  <c r="C786" i="3"/>
  <c r="D786" i="3"/>
  <c r="E786" i="3"/>
  <c r="F786" i="3"/>
  <c r="G786" i="3"/>
  <c r="H786" i="3"/>
  <c r="I786" i="3"/>
  <c r="J786" i="3"/>
  <c r="B787" i="3"/>
  <c r="C787" i="3"/>
  <c r="D787" i="3"/>
  <c r="E787" i="3"/>
  <c r="F787" i="3"/>
  <c r="G787" i="3"/>
  <c r="H787" i="3"/>
  <c r="I787" i="3"/>
  <c r="J787" i="3"/>
  <c r="B788" i="3"/>
  <c r="C788" i="3"/>
  <c r="D788" i="3"/>
  <c r="E788" i="3"/>
  <c r="F788" i="3"/>
  <c r="G788" i="3"/>
  <c r="H788" i="3"/>
  <c r="I788" i="3"/>
  <c r="J788" i="3"/>
  <c r="B789" i="3"/>
  <c r="C789" i="3"/>
  <c r="D789" i="3"/>
  <c r="E789" i="3"/>
  <c r="F789" i="3"/>
  <c r="G789" i="3"/>
  <c r="H789" i="3"/>
  <c r="I789" i="3"/>
  <c r="J789" i="3"/>
  <c r="B790" i="3"/>
  <c r="C790" i="3"/>
  <c r="D790" i="3"/>
  <c r="E790" i="3"/>
  <c r="F790" i="3"/>
  <c r="G790" i="3"/>
  <c r="H790" i="3"/>
  <c r="I790" i="3"/>
  <c r="J790" i="3"/>
  <c r="B791" i="3"/>
  <c r="C791" i="3"/>
  <c r="D791" i="3"/>
  <c r="E791" i="3"/>
  <c r="F791" i="3"/>
  <c r="G791" i="3"/>
  <c r="H791" i="3"/>
  <c r="I791" i="3"/>
  <c r="J791" i="3"/>
  <c r="B792" i="3"/>
  <c r="C792" i="3"/>
  <c r="D792" i="3"/>
  <c r="E792" i="3"/>
  <c r="F792" i="3"/>
  <c r="G792" i="3"/>
  <c r="H792" i="3"/>
  <c r="I792" i="3"/>
  <c r="J792" i="3"/>
  <c r="B793" i="3"/>
  <c r="C793" i="3"/>
  <c r="D793" i="3"/>
  <c r="E793" i="3"/>
  <c r="F793" i="3"/>
  <c r="G793" i="3"/>
  <c r="H793" i="3"/>
  <c r="I793" i="3"/>
  <c r="J793" i="3"/>
  <c r="B794" i="3"/>
  <c r="C794" i="3"/>
  <c r="D794" i="3"/>
  <c r="E794" i="3"/>
  <c r="F794" i="3"/>
  <c r="G794" i="3"/>
  <c r="H794" i="3"/>
  <c r="I794" i="3"/>
  <c r="J794" i="3"/>
  <c r="B795" i="3"/>
  <c r="C795" i="3"/>
  <c r="D795" i="3"/>
  <c r="E795" i="3"/>
  <c r="F795" i="3"/>
  <c r="G795" i="3"/>
  <c r="H795" i="3"/>
  <c r="I795" i="3"/>
  <c r="J795" i="3"/>
  <c r="B796" i="3"/>
  <c r="C796" i="3"/>
  <c r="D796" i="3"/>
  <c r="E796" i="3"/>
  <c r="F796" i="3"/>
  <c r="G796" i="3"/>
  <c r="H796" i="3"/>
  <c r="I796" i="3"/>
  <c r="J796" i="3"/>
  <c r="B797" i="3"/>
  <c r="C797" i="3"/>
  <c r="D797" i="3"/>
  <c r="E797" i="3"/>
  <c r="F797" i="3"/>
  <c r="G797" i="3"/>
  <c r="H797" i="3"/>
  <c r="I797" i="3"/>
  <c r="J797" i="3"/>
  <c r="B798" i="3"/>
  <c r="C798" i="3"/>
  <c r="D798" i="3"/>
  <c r="E798" i="3"/>
  <c r="F798" i="3"/>
  <c r="G798" i="3"/>
  <c r="H798" i="3"/>
  <c r="I798" i="3"/>
  <c r="J798" i="3"/>
  <c r="B799" i="3"/>
  <c r="C799" i="3"/>
  <c r="D799" i="3"/>
  <c r="E799" i="3"/>
  <c r="F799" i="3"/>
  <c r="G799" i="3"/>
  <c r="H799" i="3"/>
  <c r="I799" i="3"/>
  <c r="J799" i="3"/>
  <c r="B800" i="3"/>
  <c r="C800" i="3"/>
  <c r="D800" i="3"/>
  <c r="E800" i="3"/>
  <c r="F800" i="3"/>
  <c r="G800" i="3"/>
  <c r="H800" i="3"/>
  <c r="I800" i="3"/>
  <c r="J800" i="3"/>
  <c r="B801" i="3"/>
  <c r="C801" i="3"/>
  <c r="D801" i="3"/>
  <c r="E801" i="3"/>
  <c r="F801" i="3"/>
  <c r="G801" i="3"/>
  <c r="H801" i="3"/>
  <c r="I801" i="3"/>
  <c r="J801" i="3"/>
  <c r="B802" i="3"/>
  <c r="C802" i="3"/>
  <c r="D802" i="3"/>
  <c r="E802" i="3"/>
  <c r="F802" i="3"/>
  <c r="G802" i="3"/>
  <c r="H802" i="3"/>
  <c r="I802" i="3"/>
  <c r="J802" i="3"/>
  <c r="B803" i="3"/>
  <c r="C803" i="3"/>
  <c r="D803" i="3"/>
  <c r="E803" i="3"/>
  <c r="F803" i="3"/>
  <c r="G803" i="3"/>
  <c r="H803" i="3"/>
  <c r="I803" i="3"/>
  <c r="J803" i="3"/>
  <c r="B804" i="3"/>
  <c r="C804" i="3"/>
  <c r="D804" i="3"/>
  <c r="E804" i="3"/>
  <c r="F804" i="3"/>
  <c r="G804" i="3"/>
  <c r="H804" i="3"/>
  <c r="I804" i="3"/>
  <c r="J804" i="3"/>
  <c r="B805" i="3"/>
  <c r="C805" i="3"/>
  <c r="D805" i="3"/>
  <c r="E805" i="3"/>
  <c r="F805" i="3"/>
  <c r="G805" i="3"/>
  <c r="H805" i="3"/>
  <c r="I805" i="3"/>
  <c r="J805" i="3"/>
  <c r="B806" i="3"/>
  <c r="C806" i="3"/>
  <c r="D806" i="3"/>
  <c r="E806" i="3"/>
  <c r="F806" i="3"/>
  <c r="G806" i="3"/>
  <c r="H806" i="3"/>
  <c r="I806" i="3"/>
  <c r="J806" i="3"/>
  <c r="B807" i="3"/>
  <c r="C807" i="3"/>
  <c r="D807" i="3"/>
  <c r="E807" i="3"/>
  <c r="F807" i="3"/>
  <c r="G807" i="3"/>
  <c r="H807" i="3"/>
  <c r="I807" i="3"/>
  <c r="J807" i="3"/>
  <c r="B808" i="3"/>
  <c r="C808" i="3"/>
  <c r="D808" i="3"/>
  <c r="E808" i="3"/>
  <c r="F808" i="3"/>
  <c r="G808" i="3"/>
  <c r="H808" i="3"/>
  <c r="I808" i="3"/>
  <c r="J808" i="3"/>
  <c r="B809" i="3"/>
  <c r="C809" i="3"/>
  <c r="D809" i="3"/>
  <c r="E809" i="3"/>
  <c r="F809" i="3"/>
  <c r="G809" i="3"/>
  <c r="H809" i="3"/>
  <c r="I809" i="3"/>
  <c r="J809" i="3"/>
  <c r="B810" i="3"/>
  <c r="C810" i="3"/>
  <c r="D810" i="3"/>
  <c r="E810" i="3"/>
  <c r="F810" i="3"/>
  <c r="G810" i="3"/>
  <c r="H810" i="3"/>
  <c r="I810" i="3"/>
  <c r="J810" i="3"/>
  <c r="B811" i="3"/>
  <c r="C811" i="3"/>
  <c r="D811" i="3"/>
  <c r="E811" i="3"/>
  <c r="F811" i="3"/>
  <c r="G811" i="3"/>
  <c r="H811" i="3"/>
  <c r="I811" i="3"/>
  <c r="J811" i="3"/>
  <c r="B812" i="3"/>
  <c r="C812" i="3"/>
  <c r="D812" i="3"/>
  <c r="E812" i="3"/>
  <c r="F812" i="3"/>
  <c r="G812" i="3"/>
  <c r="H812" i="3"/>
  <c r="I812" i="3"/>
  <c r="J812" i="3"/>
  <c r="B813" i="3"/>
  <c r="C813" i="3"/>
  <c r="D813" i="3"/>
  <c r="E813" i="3"/>
  <c r="F813" i="3"/>
  <c r="G813" i="3"/>
  <c r="H813" i="3"/>
  <c r="I813" i="3"/>
  <c r="J813" i="3"/>
  <c r="B814" i="3"/>
  <c r="C814" i="3"/>
  <c r="D814" i="3"/>
  <c r="E814" i="3"/>
  <c r="F814" i="3"/>
  <c r="G814" i="3"/>
  <c r="H814" i="3"/>
  <c r="I814" i="3"/>
  <c r="J814" i="3"/>
  <c r="B815" i="3"/>
  <c r="C815" i="3"/>
  <c r="D815" i="3"/>
  <c r="E815" i="3"/>
  <c r="F815" i="3"/>
  <c r="G815" i="3"/>
  <c r="H815" i="3"/>
  <c r="I815" i="3"/>
  <c r="J815" i="3"/>
  <c r="B816" i="3"/>
  <c r="C816" i="3"/>
  <c r="D816" i="3"/>
  <c r="E816" i="3"/>
  <c r="F816" i="3"/>
  <c r="G816" i="3"/>
  <c r="H816" i="3"/>
  <c r="I816" i="3"/>
  <c r="J816" i="3"/>
  <c r="B817" i="3"/>
  <c r="C817" i="3"/>
  <c r="D817" i="3"/>
  <c r="E817" i="3"/>
  <c r="F817" i="3"/>
  <c r="G817" i="3"/>
  <c r="H817" i="3"/>
  <c r="I817" i="3"/>
  <c r="J817" i="3"/>
  <c r="B818" i="3"/>
  <c r="C818" i="3"/>
  <c r="D818" i="3"/>
  <c r="E818" i="3"/>
  <c r="F818" i="3"/>
  <c r="G818" i="3"/>
  <c r="H818" i="3"/>
  <c r="I818" i="3"/>
  <c r="J818" i="3"/>
  <c r="B819" i="3"/>
  <c r="C819" i="3"/>
  <c r="D819" i="3"/>
  <c r="E819" i="3"/>
  <c r="F819" i="3"/>
  <c r="G819" i="3"/>
  <c r="H819" i="3"/>
  <c r="I819" i="3"/>
  <c r="J819" i="3"/>
  <c r="B820" i="3"/>
  <c r="C820" i="3"/>
  <c r="D820" i="3"/>
  <c r="E820" i="3"/>
  <c r="F820" i="3"/>
  <c r="G820" i="3"/>
  <c r="H820" i="3"/>
  <c r="I820" i="3"/>
  <c r="J820" i="3"/>
  <c r="B821" i="3"/>
  <c r="C821" i="3"/>
  <c r="D821" i="3"/>
  <c r="E821" i="3"/>
  <c r="F821" i="3"/>
  <c r="G821" i="3"/>
  <c r="H821" i="3"/>
  <c r="I821" i="3"/>
  <c r="J821" i="3"/>
  <c r="B822" i="3"/>
  <c r="C822" i="3"/>
  <c r="D822" i="3"/>
  <c r="E822" i="3"/>
  <c r="F822" i="3"/>
  <c r="G822" i="3"/>
  <c r="H822" i="3"/>
  <c r="I822" i="3"/>
  <c r="J822" i="3"/>
  <c r="B823" i="3"/>
  <c r="C823" i="3"/>
  <c r="D823" i="3"/>
  <c r="E823" i="3"/>
  <c r="F823" i="3"/>
  <c r="G823" i="3"/>
  <c r="H823" i="3"/>
  <c r="I823" i="3"/>
  <c r="J823" i="3"/>
  <c r="B824" i="3"/>
  <c r="C824" i="3"/>
  <c r="D824" i="3"/>
  <c r="E824" i="3"/>
  <c r="F824" i="3"/>
  <c r="G824" i="3"/>
  <c r="H824" i="3"/>
  <c r="I824" i="3"/>
  <c r="J824" i="3"/>
  <c r="B825" i="3"/>
  <c r="C825" i="3"/>
  <c r="D825" i="3"/>
  <c r="E825" i="3"/>
  <c r="F825" i="3"/>
  <c r="G825" i="3"/>
  <c r="H825" i="3"/>
  <c r="I825" i="3"/>
  <c r="J825" i="3"/>
  <c r="B826" i="3"/>
  <c r="C826" i="3"/>
  <c r="D826" i="3"/>
  <c r="E826" i="3"/>
  <c r="F826" i="3"/>
  <c r="G826" i="3"/>
  <c r="H826" i="3"/>
  <c r="I826" i="3"/>
  <c r="J826" i="3"/>
  <c r="B827" i="3"/>
  <c r="C827" i="3"/>
  <c r="D827" i="3"/>
  <c r="E827" i="3"/>
  <c r="F827" i="3"/>
  <c r="G827" i="3"/>
  <c r="H827" i="3"/>
  <c r="I827" i="3"/>
  <c r="J827" i="3"/>
  <c r="B828" i="3"/>
  <c r="C828" i="3"/>
  <c r="D828" i="3"/>
  <c r="E828" i="3"/>
  <c r="F828" i="3"/>
  <c r="G828" i="3"/>
  <c r="H828" i="3"/>
  <c r="I828" i="3"/>
  <c r="J828" i="3"/>
  <c r="B829" i="3"/>
  <c r="C829" i="3"/>
  <c r="D829" i="3"/>
  <c r="E829" i="3"/>
  <c r="F829" i="3"/>
  <c r="G829" i="3"/>
  <c r="H829" i="3"/>
  <c r="I829" i="3"/>
  <c r="J829" i="3"/>
  <c r="B830" i="3"/>
  <c r="C830" i="3"/>
  <c r="D830" i="3"/>
  <c r="E830" i="3"/>
  <c r="F830" i="3"/>
  <c r="G830" i="3"/>
  <c r="H830" i="3"/>
  <c r="I830" i="3"/>
  <c r="J830" i="3"/>
  <c r="B831" i="3"/>
  <c r="C831" i="3"/>
  <c r="D831" i="3"/>
  <c r="E831" i="3"/>
  <c r="F831" i="3"/>
  <c r="G831" i="3"/>
  <c r="H831" i="3"/>
  <c r="I831" i="3"/>
  <c r="J831" i="3"/>
  <c r="B832" i="3"/>
  <c r="C832" i="3"/>
  <c r="D832" i="3"/>
  <c r="E832" i="3"/>
  <c r="F832" i="3"/>
  <c r="G832" i="3"/>
  <c r="H832" i="3"/>
  <c r="I832" i="3"/>
  <c r="J832" i="3"/>
  <c r="B833" i="3"/>
  <c r="C833" i="3"/>
  <c r="D833" i="3"/>
  <c r="E833" i="3"/>
  <c r="F833" i="3"/>
  <c r="G833" i="3"/>
  <c r="H833" i="3"/>
  <c r="I833" i="3"/>
  <c r="J833" i="3"/>
  <c r="B834" i="3"/>
  <c r="C834" i="3"/>
  <c r="D834" i="3"/>
  <c r="E834" i="3"/>
  <c r="F834" i="3"/>
  <c r="G834" i="3"/>
  <c r="H834" i="3"/>
  <c r="I834" i="3"/>
  <c r="J834" i="3"/>
  <c r="B835" i="3"/>
  <c r="C835" i="3"/>
  <c r="D835" i="3"/>
  <c r="E835" i="3"/>
  <c r="F835" i="3"/>
  <c r="G835" i="3"/>
  <c r="H835" i="3"/>
  <c r="I835" i="3"/>
  <c r="J835" i="3"/>
  <c r="B836" i="3"/>
  <c r="C836" i="3"/>
  <c r="D836" i="3"/>
  <c r="E836" i="3"/>
  <c r="F836" i="3"/>
  <c r="G836" i="3"/>
  <c r="H836" i="3"/>
  <c r="I836" i="3"/>
  <c r="J836" i="3"/>
  <c r="B837" i="3"/>
  <c r="C837" i="3"/>
  <c r="D837" i="3"/>
  <c r="E837" i="3"/>
  <c r="F837" i="3"/>
  <c r="G837" i="3"/>
  <c r="H837" i="3"/>
  <c r="I837" i="3"/>
  <c r="J837" i="3"/>
  <c r="B838" i="3"/>
  <c r="C838" i="3"/>
  <c r="D838" i="3"/>
  <c r="E838" i="3"/>
  <c r="F838" i="3"/>
  <c r="G838" i="3"/>
  <c r="H838" i="3"/>
  <c r="I838" i="3"/>
  <c r="J838" i="3"/>
  <c r="B839" i="3"/>
  <c r="C839" i="3"/>
  <c r="D839" i="3"/>
  <c r="E839" i="3"/>
  <c r="F839" i="3"/>
  <c r="G839" i="3"/>
  <c r="H839" i="3"/>
  <c r="I839" i="3"/>
  <c r="J839" i="3"/>
  <c r="B840" i="3"/>
  <c r="C840" i="3"/>
  <c r="D840" i="3"/>
  <c r="E840" i="3"/>
  <c r="F840" i="3"/>
  <c r="G840" i="3"/>
  <c r="H840" i="3"/>
  <c r="I840" i="3"/>
  <c r="J840" i="3"/>
  <c r="B841" i="3"/>
  <c r="C841" i="3"/>
  <c r="D841" i="3"/>
  <c r="E841" i="3"/>
  <c r="F841" i="3"/>
  <c r="G841" i="3"/>
  <c r="H841" i="3"/>
  <c r="I841" i="3"/>
  <c r="J841" i="3"/>
  <c r="B842" i="3"/>
  <c r="C842" i="3"/>
  <c r="D842" i="3"/>
  <c r="E842" i="3"/>
  <c r="F842" i="3"/>
  <c r="G842" i="3"/>
  <c r="H842" i="3"/>
  <c r="I842" i="3"/>
  <c r="J842" i="3"/>
  <c r="B843" i="3"/>
  <c r="C843" i="3"/>
  <c r="D843" i="3"/>
  <c r="E843" i="3"/>
  <c r="F843" i="3"/>
  <c r="G843" i="3"/>
  <c r="H843" i="3"/>
  <c r="I843" i="3"/>
  <c r="J843" i="3"/>
  <c r="B844" i="3"/>
  <c r="C844" i="3"/>
  <c r="D844" i="3"/>
  <c r="E844" i="3"/>
  <c r="F844" i="3"/>
  <c r="G844" i="3"/>
  <c r="H844" i="3"/>
  <c r="I844" i="3"/>
  <c r="J844" i="3"/>
  <c r="B845" i="3"/>
  <c r="C845" i="3"/>
  <c r="D845" i="3"/>
  <c r="E845" i="3"/>
  <c r="F845" i="3"/>
  <c r="G845" i="3"/>
  <c r="H845" i="3"/>
  <c r="I845" i="3"/>
  <c r="J845" i="3"/>
  <c r="B846" i="3"/>
  <c r="C846" i="3"/>
  <c r="D846" i="3"/>
  <c r="E846" i="3"/>
  <c r="F846" i="3"/>
  <c r="G846" i="3"/>
  <c r="H846" i="3"/>
  <c r="I846" i="3"/>
  <c r="J846" i="3"/>
  <c r="B847" i="3"/>
  <c r="C847" i="3"/>
  <c r="D847" i="3"/>
  <c r="E847" i="3"/>
  <c r="F847" i="3"/>
  <c r="G847" i="3"/>
  <c r="H847" i="3"/>
  <c r="I847" i="3"/>
  <c r="J847" i="3"/>
  <c r="B848" i="3"/>
  <c r="C848" i="3"/>
  <c r="D848" i="3"/>
  <c r="E848" i="3"/>
  <c r="F848" i="3"/>
  <c r="G848" i="3"/>
  <c r="H848" i="3"/>
  <c r="I848" i="3"/>
  <c r="J848" i="3"/>
  <c r="B849" i="3"/>
  <c r="C849" i="3"/>
  <c r="D849" i="3"/>
  <c r="E849" i="3"/>
  <c r="F849" i="3"/>
  <c r="G849" i="3"/>
  <c r="H849" i="3"/>
  <c r="I849" i="3"/>
  <c r="J849" i="3"/>
  <c r="B850" i="3"/>
  <c r="C850" i="3"/>
  <c r="D850" i="3"/>
  <c r="E850" i="3"/>
  <c r="F850" i="3"/>
  <c r="G850" i="3"/>
  <c r="H850" i="3"/>
  <c r="I850" i="3"/>
  <c r="J850" i="3"/>
  <c r="B851" i="3"/>
  <c r="C851" i="3"/>
  <c r="D851" i="3"/>
  <c r="E851" i="3"/>
  <c r="F851" i="3"/>
  <c r="G851" i="3"/>
  <c r="H851" i="3"/>
  <c r="I851" i="3"/>
  <c r="J851" i="3"/>
  <c r="B852" i="3"/>
  <c r="C852" i="3"/>
  <c r="D852" i="3"/>
  <c r="E852" i="3"/>
  <c r="F852" i="3"/>
  <c r="G852" i="3"/>
  <c r="H852" i="3"/>
  <c r="I852" i="3"/>
  <c r="J852" i="3"/>
  <c r="B853" i="3"/>
  <c r="C853" i="3"/>
  <c r="D853" i="3"/>
  <c r="E853" i="3"/>
  <c r="F853" i="3"/>
  <c r="G853" i="3"/>
  <c r="H853" i="3"/>
  <c r="I853" i="3"/>
  <c r="J853" i="3"/>
  <c r="B854" i="3"/>
  <c r="C854" i="3"/>
  <c r="D854" i="3"/>
  <c r="E854" i="3"/>
  <c r="F854" i="3"/>
  <c r="G854" i="3"/>
  <c r="H854" i="3"/>
  <c r="I854" i="3"/>
  <c r="J854" i="3"/>
  <c r="B855" i="3"/>
  <c r="C855" i="3"/>
  <c r="D855" i="3"/>
  <c r="E855" i="3"/>
  <c r="F855" i="3"/>
  <c r="G855" i="3"/>
  <c r="H855" i="3"/>
  <c r="I855" i="3"/>
  <c r="J855" i="3"/>
  <c r="B856" i="3"/>
  <c r="C856" i="3"/>
  <c r="D856" i="3"/>
  <c r="E856" i="3"/>
  <c r="F856" i="3"/>
  <c r="G856" i="3"/>
  <c r="H856" i="3"/>
  <c r="I856" i="3"/>
  <c r="J856" i="3"/>
  <c r="B857" i="3"/>
  <c r="C857" i="3"/>
  <c r="D857" i="3"/>
  <c r="E857" i="3"/>
  <c r="F857" i="3"/>
  <c r="G857" i="3"/>
  <c r="H857" i="3"/>
  <c r="I857" i="3"/>
  <c r="J857" i="3"/>
  <c r="B858" i="3"/>
  <c r="C858" i="3"/>
  <c r="D858" i="3"/>
  <c r="E858" i="3"/>
  <c r="F858" i="3"/>
  <c r="G858" i="3"/>
  <c r="H858" i="3"/>
  <c r="I858" i="3"/>
  <c r="J858" i="3"/>
  <c r="B859" i="3"/>
  <c r="C859" i="3"/>
  <c r="D859" i="3"/>
  <c r="E859" i="3"/>
  <c r="F859" i="3"/>
  <c r="G859" i="3"/>
  <c r="H859" i="3"/>
  <c r="I859" i="3"/>
  <c r="J859" i="3"/>
  <c r="B860" i="3"/>
  <c r="C860" i="3"/>
  <c r="D860" i="3"/>
  <c r="E860" i="3"/>
  <c r="F860" i="3"/>
  <c r="G860" i="3"/>
  <c r="H860" i="3"/>
  <c r="I860" i="3"/>
  <c r="J860" i="3"/>
  <c r="B861" i="3"/>
  <c r="C861" i="3"/>
  <c r="D861" i="3"/>
  <c r="E861" i="3"/>
  <c r="F861" i="3"/>
  <c r="G861" i="3"/>
  <c r="H861" i="3"/>
  <c r="I861" i="3"/>
  <c r="J861" i="3"/>
  <c r="B862" i="3"/>
  <c r="C862" i="3"/>
  <c r="D862" i="3"/>
  <c r="E862" i="3"/>
  <c r="F862" i="3"/>
  <c r="G862" i="3"/>
  <c r="H862" i="3"/>
  <c r="I862" i="3"/>
  <c r="J862" i="3"/>
  <c r="B863" i="3"/>
  <c r="C863" i="3"/>
  <c r="D863" i="3"/>
  <c r="E863" i="3"/>
  <c r="F863" i="3"/>
  <c r="G863" i="3"/>
  <c r="H863" i="3"/>
  <c r="I863" i="3"/>
  <c r="J863" i="3"/>
  <c r="B864" i="3"/>
  <c r="C864" i="3"/>
  <c r="D864" i="3"/>
  <c r="E864" i="3"/>
  <c r="F864" i="3"/>
  <c r="G864" i="3"/>
  <c r="H864" i="3"/>
  <c r="I864" i="3"/>
  <c r="J864" i="3"/>
  <c r="B865" i="3"/>
  <c r="C865" i="3"/>
  <c r="D865" i="3"/>
  <c r="E865" i="3"/>
  <c r="F865" i="3"/>
  <c r="G865" i="3"/>
  <c r="H865" i="3"/>
  <c r="I865" i="3"/>
  <c r="J865" i="3"/>
  <c r="B866" i="3"/>
  <c r="C866" i="3"/>
  <c r="D866" i="3"/>
  <c r="E866" i="3"/>
  <c r="F866" i="3"/>
  <c r="G866" i="3"/>
  <c r="H866" i="3"/>
  <c r="I866" i="3"/>
  <c r="J866" i="3"/>
  <c r="B867" i="3"/>
  <c r="C867" i="3"/>
  <c r="D867" i="3"/>
  <c r="E867" i="3"/>
  <c r="F867" i="3"/>
  <c r="G867" i="3"/>
  <c r="H867" i="3"/>
  <c r="I867" i="3"/>
  <c r="J867" i="3"/>
  <c r="B868" i="3"/>
  <c r="C868" i="3"/>
  <c r="D868" i="3"/>
  <c r="E868" i="3"/>
  <c r="F868" i="3"/>
  <c r="G868" i="3"/>
  <c r="H868" i="3"/>
  <c r="I868" i="3"/>
  <c r="J868" i="3"/>
  <c r="B869" i="3"/>
  <c r="C869" i="3"/>
  <c r="D869" i="3"/>
  <c r="E869" i="3"/>
  <c r="F869" i="3"/>
  <c r="G869" i="3"/>
  <c r="H869" i="3"/>
  <c r="I869" i="3"/>
  <c r="J869" i="3"/>
  <c r="B870" i="3"/>
  <c r="C870" i="3"/>
  <c r="D870" i="3"/>
  <c r="E870" i="3"/>
  <c r="F870" i="3"/>
  <c r="G870" i="3"/>
  <c r="H870" i="3"/>
  <c r="I870" i="3"/>
  <c r="J870" i="3"/>
  <c r="B871" i="3"/>
  <c r="C871" i="3"/>
  <c r="D871" i="3"/>
  <c r="E871" i="3"/>
  <c r="F871" i="3"/>
  <c r="G871" i="3"/>
  <c r="H871" i="3"/>
  <c r="I871" i="3"/>
  <c r="J871" i="3"/>
  <c r="B872" i="3"/>
  <c r="C872" i="3"/>
  <c r="D872" i="3"/>
  <c r="E872" i="3"/>
  <c r="F872" i="3"/>
  <c r="G872" i="3"/>
  <c r="H872" i="3"/>
  <c r="I872" i="3"/>
  <c r="J872" i="3"/>
  <c r="B873" i="3"/>
  <c r="C873" i="3"/>
  <c r="D873" i="3"/>
  <c r="E873" i="3"/>
  <c r="F873" i="3"/>
  <c r="G873" i="3"/>
  <c r="H873" i="3"/>
  <c r="I873" i="3"/>
  <c r="J873" i="3"/>
  <c r="B874" i="3"/>
  <c r="C874" i="3"/>
  <c r="D874" i="3"/>
  <c r="E874" i="3"/>
  <c r="F874" i="3"/>
  <c r="G874" i="3"/>
  <c r="H874" i="3"/>
  <c r="I874" i="3"/>
  <c r="J874" i="3"/>
  <c r="B875" i="3"/>
  <c r="C875" i="3"/>
  <c r="D875" i="3"/>
  <c r="E875" i="3"/>
  <c r="F875" i="3"/>
  <c r="G875" i="3"/>
  <c r="H875" i="3"/>
  <c r="I875" i="3"/>
  <c r="J875" i="3"/>
  <c r="B876" i="3"/>
  <c r="C876" i="3"/>
  <c r="D876" i="3"/>
  <c r="E876" i="3"/>
  <c r="F876" i="3"/>
  <c r="G876" i="3"/>
  <c r="H876" i="3"/>
  <c r="I876" i="3"/>
  <c r="J876" i="3"/>
  <c r="B877" i="3"/>
  <c r="C877" i="3"/>
  <c r="D877" i="3"/>
  <c r="E877" i="3"/>
  <c r="F877" i="3"/>
  <c r="G877" i="3"/>
  <c r="H877" i="3"/>
  <c r="I877" i="3"/>
  <c r="J877" i="3"/>
  <c r="B878" i="3"/>
  <c r="C878" i="3"/>
  <c r="D878" i="3"/>
  <c r="E878" i="3"/>
  <c r="F878" i="3"/>
  <c r="G878" i="3"/>
  <c r="H878" i="3"/>
  <c r="I878" i="3"/>
  <c r="J878" i="3"/>
  <c r="B879" i="3"/>
  <c r="C879" i="3"/>
  <c r="D879" i="3"/>
  <c r="E879" i="3"/>
  <c r="F879" i="3"/>
  <c r="G879" i="3"/>
  <c r="H879" i="3"/>
  <c r="I879" i="3"/>
  <c r="J879" i="3"/>
  <c r="B880" i="3"/>
  <c r="C880" i="3"/>
  <c r="D880" i="3"/>
  <c r="E880" i="3"/>
  <c r="F880" i="3"/>
  <c r="G880" i="3"/>
  <c r="H880" i="3"/>
  <c r="I880" i="3"/>
  <c r="J880" i="3"/>
  <c r="B881" i="3"/>
  <c r="C881" i="3"/>
  <c r="D881" i="3"/>
  <c r="E881" i="3"/>
  <c r="F881" i="3"/>
  <c r="G881" i="3"/>
  <c r="H881" i="3"/>
  <c r="I881" i="3"/>
  <c r="J881" i="3"/>
  <c r="B882" i="3"/>
  <c r="C882" i="3"/>
  <c r="D882" i="3"/>
  <c r="E882" i="3"/>
  <c r="F882" i="3"/>
  <c r="G882" i="3"/>
  <c r="H882" i="3"/>
  <c r="I882" i="3"/>
  <c r="J882" i="3"/>
  <c r="B883" i="3"/>
  <c r="C883" i="3"/>
  <c r="D883" i="3"/>
  <c r="E883" i="3"/>
  <c r="F883" i="3"/>
  <c r="G883" i="3"/>
  <c r="H883" i="3"/>
  <c r="I883" i="3"/>
  <c r="J883" i="3"/>
  <c r="B884" i="3"/>
  <c r="C884" i="3"/>
  <c r="D884" i="3"/>
  <c r="E884" i="3"/>
  <c r="F884" i="3"/>
  <c r="G884" i="3"/>
  <c r="H884" i="3"/>
  <c r="I884" i="3"/>
  <c r="J884" i="3"/>
  <c r="B885" i="3"/>
  <c r="C885" i="3"/>
  <c r="D885" i="3"/>
  <c r="E885" i="3"/>
  <c r="F885" i="3"/>
  <c r="G885" i="3"/>
  <c r="H885" i="3"/>
  <c r="I885" i="3"/>
  <c r="J885" i="3"/>
  <c r="B886" i="3"/>
  <c r="C886" i="3"/>
  <c r="D886" i="3"/>
  <c r="E886" i="3"/>
  <c r="F886" i="3"/>
  <c r="G886" i="3"/>
  <c r="H886" i="3"/>
  <c r="I886" i="3"/>
  <c r="J886" i="3"/>
  <c r="B887" i="3"/>
  <c r="C887" i="3"/>
  <c r="D887" i="3"/>
  <c r="E887" i="3"/>
  <c r="F887" i="3"/>
  <c r="G887" i="3"/>
  <c r="H887" i="3"/>
  <c r="I887" i="3"/>
  <c r="J887" i="3"/>
  <c r="B888" i="3"/>
  <c r="C888" i="3"/>
  <c r="D888" i="3"/>
  <c r="E888" i="3"/>
  <c r="F888" i="3"/>
  <c r="G888" i="3"/>
  <c r="H888" i="3"/>
  <c r="I888" i="3"/>
  <c r="J888" i="3"/>
  <c r="B889" i="3"/>
  <c r="C889" i="3"/>
  <c r="D889" i="3"/>
  <c r="E889" i="3"/>
  <c r="F889" i="3"/>
  <c r="G889" i="3"/>
  <c r="H889" i="3"/>
  <c r="I889" i="3"/>
  <c r="J889" i="3"/>
  <c r="B890" i="3"/>
  <c r="C890" i="3"/>
  <c r="D890" i="3"/>
  <c r="E890" i="3"/>
  <c r="F890" i="3"/>
  <c r="G890" i="3"/>
  <c r="H890" i="3"/>
  <c r="I890" i="3"/>
  <c r="J890" i="3"/>
  <c r="B891" i="3"/>
  <c r="C891" i="3"/>
  <c r="D891" i="3"/>
  <c r="E891" i="3"/>
  <c r="F891" i="3"/>
  <c r="G891" i="3"/>
  <c r="H891" i="3"/>
  <c r="I891" i="3"/>
  <c r="J891" i="3"/>
  <c r="B892" i="3"/>
  <c r="C892" i="3"/>
  <c r="D892" i="3"/>
  <c r="E892" i="3"/>
  <c r="F892" i="3"/>
  <c r="G892" i="3"/>
  <c r="H892" i="3"/>
  <c r="I892" i="3"/>
  <c r="J892" i="3"/>
  <c r="B893" i="3"/>
  <c r="C893" i="3"/>
  <c r="D893" i="3"/>
  <c r="E893" i="3"/>
  <c r="F893" i="3"/>
  <c r="G893" i="3"/>
  <c r="H893" i="3"/>
  <c r="I893" i="3"/>
  <c r="J893" i="3"/>
  <c r="B894" i="3"/>
  <c r="C894" i="3"/>
  <c r="D894" i="3"/>
  <c r="E894" i="3"/>
  <c r="F894" i="3"/>
  <c r="G894" i="3"/>
  <c r="H894" i="3"/>
  <c r="I894" i="3"/>
  <c r="J894" i="3"/>
  <c r="B895" i="3"/>
  <c r="C895" i="3"/>
  <c r="D895" i="3"/>
  <c r="E895" i="3"/>
  <c r="F895" i="3"/>
  <c r="G895" i="3"/>
  <c r="H895" i="3"/>
  <c r="I895" i="3"/>
  <c r="J895" i="3"/>
  <c r="B896" i="3"/>
  <c r="C896" i="3"/>
  <c r="D896" i="3"/>
  <c r="E896" i="3"/>
  <c r="F896" i="3"/>
  <c r="G896" i="3"/>
  <c r="H896" i="3"/>
  <c r="I896" i="3"/>
  <c r="J896" i="3"/>
  <c r="B897" i="3"/>
  <c r="C897" i="3"/>
  <c r="D897" i="3"/>
  <c r="E897" i="3"/>
  <c r="F897" i="3"/>
  <c r="G897" i="3"/>
  <c r="H897" i="3"/>
  <c r="I897" i="3"/>
  <c r="J897" i="3"/>
  <c r="B898" i="3"/>
  <c r="C898" i="3"/>
  <c r="D898" i="3"/>
  <c r="E898" i="3"/>
  <c r="F898" i="3"/>
  <c r="G898" i="3"/>
  <c r="H898" i="3"/>
  <c r="I898" i="3"/>
  <c r="J898" i="3"/>
  <c r="B899" i="3"/>
  <c r="C899" i="3"/>
  <c r="D899" i="3"/>
  <c r="E899" i="3"/>
  <c r="F899" i="3"/>
  <c r="G899" i="3"/>
  <c r="H899" i="3"/>
  <c r="I899" i="3"/>
  <c r="J899" i="3"/>
  <c r="B900" i="3"/>
  <c r="C900" i="3"/>
  <c r="D900" i="3"/>
  <c r="E900" i="3"/>
  <c r="F900" i="3"/>
  <c r="G900" i="3"/>
  <c r="H900" i="3"/>
  <c r="I900" i="3"/>
  <c r="J900" i="3"/>
  <c r="B901" i="3"/>
  <c r="C901" i="3"/>
  <c r="D901" i="3"/>
  <c r="E901" i="3"/>
  <c r="F901" i="3"/>
  <c r="G901" i="3"/>
  <c r="H901" i="3"/>
  <c r="I901" i="3"/>
  <c r="J901" i="3"/>
  <c r="B902" i="3"/>
  <c r="C902" i="3"/>
  <c r="D902" i="3"/>
  <c r="E902" i="3"/>
  <c r="F902" i="3"/>
  <c r="G902" i="3"/>
  <c r="H902" i="3"/>
  <c r="I902" i="3"/>
  <c r="J902" i="3"/>
  <c r="B903" i="3"/>
  <c r="C903" i="3"/>
  <c r="D903" i="3"/>
  <c r="E903" i="3"/>
  <c r="F903" i="3"/>
  <c r="G903" i="3"/>
  <c r="H903" i="3"/>
  <c r="I903" i="3"/>
  <c r="J903" i="3"/>
  <c r="B904" i="3"/>
  <c r="C904" i="3"/>
  <c r="D904" i="3"/>
  <c r="E904" i="3"/>
  <c r="F904" i="3"/>
  <c r="G904" i="3"/>
  <c r="H904" i="3"/>
  <c r="I904" i="3"/>
  <c r="J904" i="3"/>
  <c r="B905" i="3"/>
  <c r="C905" i="3"/>
  <c r="D905" i="3"/>
  <c r="E905" i="3"/>
  <c r="F905" i="3"/>
  <c r="G905" i="3"/>
  <c r="H905" i="3"/>
  <c r="I905" i="3"/>
  <c r="J905" i="3"/>
  <c r="B906" i="3"/>
  <c r="C906" i="3"/>
  <c r="D906" i="3"/>
  <c r="E906" i="3"/>
  <c r="F906" i="3"/>
  <c r="G906" i="3"/>
  <c r="H906" i="3"/>
  <c r="I906" i="3"/>
  <c r="J906" i="3"/>
  <c r="B907" i="3"/>
  <c r="C907" i="3"/>
  <c r="D907" i="3"/>
  <c r="E907" i="3"/>
  <c r="F907" i="3"/>
  <c r="G907" i="3"/>
  <c r="H907" i="3"/>
  <c r="I907" i="3"/>
  <c r="J907" i="3"/>
  <c r="B908" i="3"/>
  <c r="C908" i="3"/>
  <c r="D908" i="3"/>
  <c r="E908" i="3"/>
  <c r="F908" i="3"/>
  <c r="G908" i="3"/>
  <c r="H908" i="3"/>
  <c r="I908" i="3"/>
  <c r="J908" i="3"/>
  <c r="B909" i="3"/>
  <c r="C909" i="3"/>
  <c r="D909" i="3"/>
  <c r="E909" i="3"/>
  <c r="F909" i="3"/>
  <c r="G909" i="3"/>
  <c r="H909" i="3"/>
  <c r="I909" i="3"/>
  <c r="J909" i="3"/>
  <c r="B910" i="3"/>
  <c r="C910" i="3"/>
  <c r="D910" i="3"/>
  <c r="E910" i="3"/>
  <c r="F910" i="3"/>
  <c r="G910" i="3"/>
  <c r="H910" i="3"/>
  <c r="I910" i="3"/>
  <c r="J910" i="3"/>
  <c r="B911" i="3"/>
  <c r="C911" i="3"/>
  <c r="D911" i="3"/>
  <c r="E911" i="3"/>
  <c r="F911" i="3"/>
  <c r="G911" i="3"/>
  <c r="H911" i="3"/>
  <c r="I911" i="3"/>
  <c r="J911" i="3"/>
  <c r="B912" i="3"/>
  <c r="C912" i="3"/>
  <c r="D912" i="3"/>
  <c r="E912" i="3"/>
  <c r="F912" i="3"/>
  <c r="G912" i="3"/>
  <c r="H912" i="3"/>
  <c r="I912" i="3"/>
  <c r="J912" i="3"/>
  <c r="B913" i="3"/>
  <c r="C913" i="3"/>
  <c r="D913" i="3"/>
  <c r="E913" i="3"/>
  <c r="F913" i="3"/>
  <c r="G913" i="3"/>
  <c r="H913" i="3"/>
  <c r="I913" i="3"/>
  <c r="J913" i="3"/>
  <c r="B914" i="3"/>
  <c r="C914" i="3"/>
  <c r="D914" i="3"/>
  <c r="E914" i="3"/>
  <c r="F914" i="3"/>
  <c r="G914" i="3"/>
  <c r="H914" i="3"/>
  <c r="I914" i="3"/>
  <c r="J914" i="3"/>
  <c r="B915" i="3"/>
  <c r="C915" i="3"/>
  <c r="D915" i="3"/>
  <c r="E915" i="3"/>
  <c r="F915" i="3"/>
  <c r="G915" i="3"/>
  <c r="H915" i="3"/>
  <c r="I915" i="3"/>
  <c r="J915" i="3"/>
  <c r="B916" i="3"/>
  <c r="C916" i="3"/>
  <c r="D916" i="3"/>
  <c r="E916" i="3"/>
  <c r="F916" i="3"/>
  <c r="G916" i="3"/>
  <c r="H916" i="3"/>
  <c r="I916" i="3"/>
  <c r="J916" i="3"/>
  <c r="B917" i="3"/>
  <c r="C917" i="3"/>
  <c r="D917" i="3"/>
  <c r="E917" i="3"/>
  <c r="F917" i="3"/>
  <c r="G917" i="3"/>
  <c r="H917" i="3"/>
  <c r="I917" i="3"/>
  <c r="J917" i="3"/>
  <c r="B918" i="3"/>
  <c r="C918" i="3"/>
  <c r="D918" i="3"/>
  <c r="E918" i="3"/>
  <c r="F918" i="3"/>
  <c r="G918" i="3"/>
  <c r="H918" i="3"/>
  <c r="I918" i="3"/>
  <c r="J918" i="3"/>
  <c r="B919" i="3"/>
  <c r="C919" i="3"/>
  <c r="D919" i="3"/>
  <c r="E919" i="3"/>
  <c r="F919" i="3"/>
  <c r="G919" i="3"/>
  <c r="H919" i="3"/>
  <c r="I919" i="3"/>
  <c r="J919" i="3"/>
  <c r="B920" i="3"/>
  <c r="C920" i="3"/>
  <c r="D920" i="3"/>
  <c r="E920" i="3"/>
  <c r="F920" i="3"/>
  <c r="G920" i="3"/>
  <c r="H920" i="3"/>
  <c r="I920" i="3"/>
  <c r="J920" i="3"/>
  <c r="B921" i="3"/>
  <c r="C921" i="3"/>
  <c r="D921" i="3"/>
  <c r="E921" i="3"/>
  <c r="F921" i="3"/>
  <c r="G921" i="3"/>
  <c r="H921" i="3"/>
  <c r="I921" i="3"/>
  <c r="J921" i="3"/>
  <c r="B922" i="3"/>
  <c r="C922" i="3"/>
  <c r="D922" i="3"/>
  <c r="E922" i="3"/>
  <c r="F922" i="3"/>
  <c r="G922" i="3"/>
  <c r="H922" i="3"/>
  <c r="I922" i="3"/>
  <c r="J922" i="3"/>
  <c r="B923" i="3"/>
  <c r="C923" i="3"/>
  <c r="D923" i="3"/>
  <c r="E923" i="3"/>
  <c r="F923" i="3"/>
  <c r="G923" i="3"/>
  <c r="H923" i="3"/>
  <c r="I923" i="3"/>
  <c r="J923" i="3"/>
  <c r="B924" i="3"/>
  <c r="C924" i="3"/>
  <c r="D924" i="3"/>
  <c r="E924" i="3"/>
  <c r="F924" i="3"/>
  <c r="G924" i="3"/>
  <c r="H924" i="3"/>
  <c r="I924" i="3"/>
  <c r="J924" i="3"/>
  <c r="B925" i="3"/>
  <c r="C925" i="3"/>
  <c r="D925" i="3"/>
  <c r="E925" i="3"/>
  <c r="F925" i="3"/>
  <c r="G925" i="3"/>
  <c r="H925" i="3"/>
  <c r="I925" i="3"/>
  <c r="J925" i="3"/>
  <c r="B926" i="3"/>
  <c r="C926" i="3"/>
  <c r="D926" i="3"/>
  <c r="E926" i="3"/>
  <c r="F926" i="3"/>
  <c r="G926" i="3"/>
  <c r="H926" i="3"/>
  <c r="I926" i="3"/>
  <c r="J926" i="3"/>
  <c r="B927" i="3"/>
  <c r="C927" i="3"/>
  <c r="D927" i="3"/>
  <c r="E927" i="3"/>
  <c r="F927" i="3"/>
  <c r="G927" i="3"/>
  <c r="H927" i="3"/>
  <c r="I927" i="3"/>
  <c r="J927" i="3"/>
  <c r="B928" i="3"/>
  <c r="C928" i="3"/>
  <c r="D928" i="3"/>
  <c r="E928" i="3"/>
  <c r="F928" i="3"/>
  <c r="G928" i="3"/>
  <c r="H928" i="3"/>
  <c r="I928" i="3"/>
  <c r="J928" i="3"/>
  <c r="B929" i="3"/>
  <c r="C929" i="3"/>
  <c r="D929" i="3"/>
  <c r="E929" i="3"/>
  <c r="F929" i="3"/>
  <c r="G929" i="3"/>
  <c r="H929" i="3"/>
  <c r="I929" i="3"/>
  <c r="J929" i="3"/>
  <c r="B930" i="3"/>
  <c r="C930" i="3"/>
  <c r="D930" i="3"/>
  <c r="E930" i="3"/>
  <c r="F930" i="3"/>
  <c r="G930" i="3"/>
  <c r="H930" i="3"/>
  <c r="I930" i="3"/>
  <c r="J930" i="3"/>
  <c r="B931" i="3"/>
  <c r="C931" i="3"/>
  <c r="D931" i="3"/>
  <c r="E931" i="3"/>
  <c r="F931" i="3"/>
  <c r="G931" i="3"/>
  <c r="H931" i="3"/>
  <c r="I931" i="3"/>
  <c r="J931" i="3"/>
  <c r="B932" i="3"/>
  <c r="C932" i="3"/>
  <c r="D932" i="3"/>
  <c r="E932" i="3"/>
  <c r="F932" i="3"/>
  <c r="G932" i="3"/>
  <c r="H932" i="3"/>
  <c r="I932" i="3"/>
  <c r="J932" i="3"/>
  <c r="B933" i="3"/>
  <c r="C933" i="3"/>
  <c r="D933" i="3"/>
  <c r="E933" i="3"/>
  <c r="F933" i="3"/>
  <c r="G933" i="3"/>
  <c r="H933" i="3"/>
  <c r="I933" i="3"/>
  <c r="J933" i="3"/>
  <c r="B934" i="3"/>
  <c r="C934" i="3"/>
  <c r="D934" i="3"/>
  <c r="E934" i="3"/>
  <c r="F934" i="3"/>
  <c r="G934" i="3"/>
  <c r="H934" i="3"/>
  <c r="I934" i="3"/>
  <c r="J934" i="3"/>
  <c r="B935" i="3"/>
  <c r="C935" i="3"/>
  <c r="D935" i="3"/>
  <c r="E935" i="3"/>
  <c r="F935" i="3"/>
  <c r="G935" i="3"/>
  <c r="H935" i="3"/>
  <c r="I935" i="3"/>
  <c r="J935" i="3"/>
  <c r="B936" i="3"/>
  <c r="C936" i="3"/>
  <c r="D936" i="3"/>
  <c r="E936" i="3"/>
  <c r="F936" i="3"/>
  <c r="G936" i="3"/>
  <c r="H936" i="3"/>
  <c r="I936" i="3"/>
  <c r="J936" i="3"/>
  <c r="B937" i="3"/>
  <c r="C937" i="3"/>
  <c r="D937" i="3"/>
  <c r="E937" i="3"/>
  <c r="F937" i="3"/>
  <c r="G937" i="3"/>
  <c r="H937" i="3"/>
  <c r="I937" i="3"/>
  <c r="J937" i="3"/>
  <c r="B938" i="3"/>
  <c r="C938" i="3"/>
  <c r="D938" i="3"/>
  <c r="E938" i="3"/>
  <c r="F938" i="3"/>
  <c r="G938" i="3"/>
  <c r="H938" i="3"/>
  <c r="I938" i="3"/>
  <c r="J938" i="3"/>
  <c r="B939" i="3"/>
  <c r="C939" i="3"/>
  <c r="D939" i="3"/>
  <c r="E939" i="3"/>
  <c r="F939" i="3"/>
  <c r="G939" i="3"/>
  <c r="H939" i="3"/>
  <c r="I939" i="3"/>
  <c r="J939" i="3"/>
  <c r="B940" i="3"/>
  <c r="C940" i="3"/>
  <c r="D940" i="3"/>
  <c r="E940" i="3"/>
  <c r="F940" i="3"/>
  <c r="G940" i="3"/>
  <c r="H940" i="3"/>
  <c r="I940" i="3"/>
  <c r="J940" i="3"/>
  <c r="B941" i="3"/>
  <c r="C941" i="3"/>
  <c r="D941" i="3"/>
  <c r="E941" i="3"/>
  <c r="F941" i="3"/>
  <c r="G941" i="3"/>
  <c r="H941" i="3"/>
  <c r="I941" i="3"/>
  <c r="J941" i="3"/>
  <c r="B942" i="3"/>
  <c r="C942" i="3"/>
  <c r="D942" i="3"/>
  <c r="E942" i="3"/>
  <c r="F942" i="3"/>
  <c r="G942" i="3"/>
  <c r="H942" i="3"/>
  <c r="I942" i="3"/>
  <c r="J942" i="3"/>
  <c r="B943" i="3"/>
  <c r="C943" i="3"/>
  <c r="D943" i="3"/>
  <c r="E943" i="3"/>
  <c r="F943" i="3"/>
  <c r="G943" i="3"/>
  <c r="H943" i="3"/>
  <c r="I943" i="3"/>
  <c r="J943" i="3"/>
  <c r="B944" i="3"/>
  <c r="C944" i="3"/>
  <c r="D944" i="3"/>
  <c r="E944" i="3"/>
  <c r="F944" i="3"/>
  <c r="G944" i="3"/>
  <c r="H944" i="3"/>
  <c r="I944" i="3"/>
  <c r="J944" i="3"/>
  <c r="B945" i="3"/>
  <c r="C945" i="3"/>
  <c r="D945" i="3"/>
  <c r="E945" i="3"/>
  <c r="F945" i="3"/>
  <c r="G945" i="3"/>
  <c r="H945" i="3"/>
  <c r="I945" i="3"/>
  <c r="J945" i="3"/>
  <c r="B946" i="3"/>
  <c r="C946" i="3"/>
  <c r="D946" i="3"/>
  <c r="E946" i="3"/>
  <c r="F946" i="3"/>
  <c r="G946" i="3"/>
  <c r="H946" i="3"/>
  <c r="I946" i="3"/>
  <c r="J946" i="3"/>
  <c r="B947" i="3"/>
  <c r="C947" i="3"/>
  <c r="D947" i="3"/>
  <c r="E947" i="3"/>
  <c r="F947" i="3"/>
  <c r="G947" i="3"/>
  <c r="H947" i="3"/>
  <c r="I947" i="3"/>
  <c r="J947" i="3"/>
  <c r="B948" i="3"/>
  <c r="C948" i="3"/>
  <c r="D948" i="3"/>
  <c r="E948" i="3"/>
  <c r="F948" i="3"/>
  <c r="G948" i="3"/>
  <c r="H948" i="3"/>
  <c r="I948" i="3"/>
  <c r="J948" i="3"/>
  <c r="B949" i="3"/>
  <c r="C949" i="3"/>
  <c r="D949" i="3"/>
  <c r="E949" i="3"/>
  <c r="F949" i="3"/>
  <c r="G949" i="3"/>
  <c r="H949" i="3"/>
  <c r="I949" i="3"/>
  <c r="J949" i="3"/>
  <c r="B950" i="3"/>
  <c r="C950" i="3"/>
  <c r="D950" i="3"/>
  <c r="E950" i="3"/>
  <c r="F950" i="3"/>
  <c r="G950" i="3"/>
  <c r="H950" i="3"/>
  <c r="I950" i="3"/>
  <c r="J950" i="3"/>
  <c r="B951" i="3"/>
  <c r="C951" i="3"/>
  <c r="D951" i="3"/>
  <c r="E951" i="3"/>
  <c r="F951" i="3"/>
  <c r="G951" i="3"/>
  <c r="H951" i="3"/>
  <c r="I951" i="3"/>
  <c r="J951" i="3"/>
  <c r="B952" i="3"/>
  <c r="C952" i="3"/>
  <c r="D952" i="3"/>
  <c r="E952" i="3"/>
  <c r="F952" i="3"/>
  <c r="G952" i="3"/>
  <c r="H952" i="3"/>
  <c r="I952" i="3"/>
  <c r="J952" i="3"/>
  <c r="B953" i="3"/>
  <c r="C953" i="3"/>
  <c r="D953" i="3"/>
  <c r="E953" i="3"/>
  <c r="F953" i="3"/>
  <c r="G953" i="3"/>
  <c r="H953" i="3"/>
  <c r="I953" i="3"/>
  <c r="J953" i="3"/>
  <c r="B954" i="3"/>
  <c r="C954" i="3"/>
  <c r="D954" i="3"/>
  <c r="E954" i="3"/>
  <c r="F954" i="3"/>
  <c r="G954" i="3"/>
  <c r="H954" i="3"/>
  <c r="I954" i="3"/>
  <c r="J954" i="3"/>
  <c r="B955" i="3"/>
  <c r="C955" i="3"/>
  <c r="D955" i="3"/>
  <c r="E955" i="3"/>
  <c r="F955" i="3"/>
  <c r="G955" i="3"/>
  <c r="H955" i="3"/>
  <c r="I955" i="3"/>
  <c r="J955" i="3"/>
  <c r="B956" i="3"/>
  <c r="C956" i="3"/>
  <c r="D956" i="3"/>
  <c r="E956" i="3"/>
  <c r="F956" i="3"/>
  <c r="G956" i="3"/>
  <c r="H956" i="3"/>
  <c r="I956" i="3"/>
  <c r="J956" i="3"/>
  <c r="B957" i="3"/>
  <c r="C957" i="3"/>
  <c r="D957" i="3"/>
  <c r="E957" i="3"/>
  <c r="F957" i="3"/>
  <c r="G957" i="3"/>
  <c r="H957" i="3"/>
  <c r="I957" i="3"/>
  <c r="J957" i="3"/>
  <c r="B958" i="3"/>
  <c r="C958" i="3"/>
  <c r="D958" i="3"/>
  <c r="E958" i="3"/>
  <c r="F958" i="3"/>
  <c r="G958" i="3"/>
  <c r="H958" i="3"/>
  <c r="I958" i="3"/>
  <c r="J958" i="3"/>
  <c r="B959" i="3"/>
  <c r="C959" i="3"/>
  <c r="D959" i="3"/>
  <c r="E959" i="3"/>
  <c r="F959" i="3"/>
  <c r="G959" i="3"/>
  <c r="H959" i="3"/>
  <c r="I959" i="3"/>
  <c r="J959" i="3"/>
  <c r="B960" i="3"/>
  <c r="C960" i="3"/>
  <c r="D960" i="3"/>
  <c r="E960" i="3"/>
  <c r="F960" i="3"/>
  <c r="G960" i="3"/>
  <c r="H960" i="3"/>
  <c r="I960" i="3"/>
  <c r="J960" i="3"/>
  <c r="B961" i="3"/>
  <c r="C961" i="3"/>
  <c r="D961" i="3"/>
  <c r="E961" i="3"/>
  <c r="F961" i="3"/>
  <c r="G961" i="3"/>
  <c r="H961" i="3"/>
  <c r="I961" i="3"/>
  <c r="J961" i="3"/>
  <c r="B962" i="3"/>
  <c r="C962" i="3"/>
  <c r="D962" i="3"/>
  <c r="E962" i="3"/>
  <c r="F962" i="3"/>
  <c r="G962" i="3"/>
  <c r="H962" i="3"/>
  <c r="I962" i="3"/>
  <c r="J962" i="3"/>
  <c r="B963" i="3"/>
  <c r="C963" i="3"/>
  <c r="D963" i="3"/>
  <c r="E963" i="3"/>
  <c r="F963" i="3"/>
  <c r="G963" i="3"/>
  <c r="H963" i="3"/>
  <c r="I963" i="3"/>
  <c r="J963" i="3"/>
  <c r="B964" i="3"/>
  <c r="C964" i="3"/>
  <c r="D964" i="3"/>
  <c r="E964" i="3"/>
  <c r="F964" i="3"/>
  <c r="G964" i="3"/>
  <c r="H964" i="3"/>
  <c r="I964" i="3"/>
  <c r="J964" i="3"/>
  <c r="B965" i="3"/>
  <c r="C965" i="3"/>
  <c r="D965" i="3"/>
  <c r="E965" i="3"/>
  <c r="F965" i="3"/>
  <c r="G965" i="3"/>
  <c r="H965" i="3"/>
  <c r="I965" i="3"/>
  <c r="J965" i="3"/>
  <c r="B966" i="3"/>
  <c r="C966" i="3"/>
  <c r="D966" i="3"/>
  <c r="E966" i="3"/>
  <c r="F966" i="3"/>
  <c r="G966" i="3"/>
  <c r="H966" i="3"/>
  <c r="I966" i="3"/>
  <c r="J966" i="3"/>
  <c r="B967" i="3"/>
  <c r="C967" i="3"/>
  <c r="D967" i="3"/>
  <c r="E967" i="3"/>
  <c r="F967" i="3"/>
  <c r="G967" i="3"/>
  <c r="H967" i="3"/>
  <c r="I967" i="3"/>
  <c r="J967" i="3"/>
  <c r="B968" i="3"/>
  <c r="C968" i="3"/>
  <c r="D968" i="3"/>
  <c r="E968" i="3"/>
  <c r="F968" i="3"/>
  <c r="G968" i="3"/>
  <c r="H968" i="3"/>
  <c r="I968" i="3"/>
  <c r="J968" i="3"/>
  <c r="B969" i="3"/>
  <c r="C969" i="3"/>
  <c r="D969" i="3"/>
  <c r="E969" i="3"/>
  <c r="F969" i="3"/>
  <c r="G969" i="3"/>
  <c r="H969" i="3"/>
  <c r="I969" i="3"/>
  <c r="J969" i="3"/>
  <c r="B970" i="3"/>
  <c r="C970" i="3"/>
  <c r="D970" i="3"/>
  <c r="E970" i="3"/>
  <c r="F970" i="3"/>
  <c r="G970" i="3"/>
  <c r="H970" i="3"/>
  <c r="I970" i="3"/>
  <c r="J970" i="3"/>
  <c r="B971" i="3"/>
  <c r="C971" i="3"/>
  <c r="D971" i="3"/>
  <c r="E971" i="3"/>
  <c r="F971" i="3"/>
  <c r="G971" i="3"/>
  <c r="H971" i="3"/>
  <c r="I971" i="3"/>
  <c r="J971" i="3"/>
  <c r="B972" i="3"/>
  <c r="C972" i="3"/>
  <c r="D972" i="3"/>
  <c r="E972" i="3"/>
  <c r="F972" i="3"/>
  <c r="G972" i="3"/>
  <c r="H972" i="3"/>
  <c r="I972" i="3"/>
  <c r="J972" i="3"/>
  <c r="B973" i="3"/>
  <c r="C973" i="3"/>
  <c r="D973" i="3"/>
  <c r="E973" i="3"/>
  <c r="F973" i="3"/>
  <c r="G973" i="3"/>
  <c r="H973" i="3"/>
  <c r="I973" i="3"/>
  <c r="J973" i="3"/>
  <c r="B974" i="3"/>
  <c r="C974" i="3"/>
  <c r="D974" i="3"/>
  <c r="E974" i="3"/>
  <c r="F974" i="3"/>
  <c r="G974" i="3"/>
  <c r="H974" i="3"/>
  <c r="I974" i="3"/>
  <c r="J974" i="3"/>
  <c r="B975" i="3"/>
  <c r="C975" i="3"/>
  <c r="D975" i="3"/>
  <c r="E975" i="3"/>
  <c r="F975" i="3"/>
  <c r="G975" i="3"/>
  <c r="H975" i="3"/>
  <c r="I975" i="3"/>
  <c r="J975" i="3"/>
  <c r="B976" i="3"/>
  <c r="C976" i="3"/>
  <c r="D976" i="3"/>
  <c r="E976" i="3"/>
  <c r="F976" i="3"/>
  <c r="G976" i="3"/>
  <c r="H976" i="3"/>
  <c r="I976" i="3"/>
  <c r="J976" i="3"/>
  <c r="B977" i="3"/>
  <c r="C977" i="3"/>
  <c r="D977" i="3"/>
  <c r="E977" i="3"/>
  <c r="F977" i="3"/>
  <c r="G977" i="3"/>
  <c r="H977" i="3"/>
  <c r="I977" i="3"/>
  <c r="J977" i="3"/>
  <c r="B978" i="3"/>
  <c r="C978" i="3"/>
  <c r="D978" i="3"/>
  <c r="E978" i="3"/>
  <c r="F978" i="3"/>
  <c r="G978" i="3"/>
  <c r="H978" i="3"/>
  <c r="I978" i="3"/>
  <c r="J978" i="3"/>
  <c r="B979" i="3"/>
  <c r="C979" i="3"/>
  <c r="D979" i="3"/>
  <c r="E979" i="3"/>
  <c r="F979" i="3"/>
  <c r="G979" i="3"/>
  <c r="H979" i="3"/>
  <c r="I979" i="3"/>
  <c r="J979" i="3"/>
  <c r="B980" i="3"/>
  <c r="C980" i="3"/>
  <c r="D980" i="3"/>
  <c r="E980" i="3"/>
  <c r="F980" i="3"/>
  <c r="G980" i="3"/>
  <c r="H980" i="3"/>
  <c r="I980" i="3"/>
  <c r="J980" i="3"/>
  <c r="B981" i="3"/>
  <c r="C981" i="3"/>
  <c r="D981" i="3"/>
  <c r="E981" i="3"/>
  <c r="F981" i="3"/>
  <c r="G981" i="3"/>
  <c r="H981" i="3"/>
  <c r="I981" i="3"/>
  <c r="J981" i="3"/>
  <c r="B982" i="3"/>
  <c r="C982" i="3"/>
  <c r="D982" i="3"/>
  <c r="E982" i="3"/>
  <c r="F982" i="3"/>
  <c r="G982" i="3"/>
  <c r="H982" i="3"/>
  <c r="I982" i="3"/>
  <c r="J982" i="3"/>
  <c r="B983" i="3"/>
  <c r="C983" i="3"/>
  <c r="D983" i="3"/>
  <c r="E983" i="3"/>
  <c r="F983" i="3"/>
  <c r="G983" i="3"/>
  <c r="H983" i="3"/>
  <c r="I983" i="3"/>
  <c r="J983" i="3"/>
  <c r="B984" i="3"/>
  <c r="C984" i="3"/>
  <c r="D984" i="3"/>
  <c r="E984" i="3"/>
  <c r="F984" i="3"/>
  <c r="G984" i="3"/>
  <c r="H984" i="3"/>
  <c r="I984" i="3"/>
  <c r="J984" i="3"/>
  <c r="B985" i="3"/>
  <c r="C985" i="3"/>
  <c r="D985" i="3"/>
  <c r="E985" i="3"/>
  <c r="F985" i="3"/>
  <c r="G985" i="3"/>
  <c r="H985" i="3"/>
  <c r="I985" i="3"/>
  <c r="J985" i="3"/>
  <c r="B986" i="3"/>
  <c r="C986" i="3"/>
  <c r="D986" i="3"/>
  <c r="E986" i="3"/>
  <c r="F986" i="3"/>
  <c r="G986" i="3"/>
  <c r="H986" i="3"/>
  <c r="I986" i="3"/>
  <c r="J986" i="3"/>
  <c r="B987" i="3"/>
  <c r="C987" i="3"/>
  <c r="D987" i="3"/>
  <c r="E987" i="3"/>
  <c r="F987" i="3"/>
  <c r="G987" i="3"/>
  <c r="H987" i="3"/>
  <c r="I987" i="3"/>
  <c r="J987" i="3"/>
  <c r="B988" i="3"/>
  <c r="C988" i="3"/>
  <c r="D988" i="3"/>
  <c r="E988" i="3"/>
  <c r="F988" i="3"/>
  <c r="G988" i="3"/>
  <c r="H988" i="3"/>
  <c r="I988" i="3"/>
  <c r="J988" i="3"/>
  <c r="B989" i="3"/>
  <c r="C989" i="3"/>
  <c r="D989" i="3"/>
  <c r="E989" i="3"/>
  <c r="F989" i="3"/>
  <c r="G989" i="3"/>
  <c r="H989" i="3"/>
  <c r="I989" i="3"/>
  <c r="J989" i="3"/>
  <c r="B990" i="3"/>
  <c r="C990" i="3"/>
  <c r="D990" i="3"/>
  <c r="E990" i="3"/>
  <c r="F990" i="3"/>
  <c r="G990" i="3"/>
  <c r="H990" i="3"/>
  <c r="I990" i="3"/>
  <c r="J990" i="3"/>
  <c r="B991" i="3"/>
  <c r="C991" i="3"/>
  <c r="D991" i="3"/>
  <c r="E991" i="3"/>
  <c r="F991" i="3"/>
  <c r="G991" i="3"/>
  <c r="H991" i="3"/>
  <c r="I991" i="3"/>
  <c r="J991" i="3"/>
  <c r="B992" i="3"/>
  <c r="C992" i="3"/>
  <c r="D992" i="3"/>
  <c r="E992" i="3"/>
  <c r="F992" i="3"/>
  <c r="G992" i="3"/>
  <c r="H992" i="3"/>
  <c r="I992" i="3"/>
  <c r="J992" i="3"/>
  <c r="B993" i="3"/>
  <c r="C993" i="3"/>
  <c r="D993" i="3"/>
  <c r="E993" i="3"/>
  <c r="F993" i="3"/>
  <c r="G993" i="3"/>
  <c r="H993" i="3"/>
  <c r="I993" i="3"/>
  <c r="J993" i="3"/>
  <c r="B994" i="3"/>
  <c r="C994" i="3"/>
  <c r="D994" i="3"/>
  <c r="E994" i="3"/>
  <c r="F994" i="3"/>
  <c r="G994" i="3"/>
  <c r="H994" i="3"/>
  <c r="I994" i="3"/>
  <c r="J994" i="3"/>
  <c r="B995" i="3"/>
  <c r="C995" i="3"/>
  <c r="D995" i="3"/>
  <c r="E995" i="3"/>
  <c r="F995" i="3"/>
  <c r="G995" i="3"/>
  <c r="H995" i="3"/>
  <c r="I995" i="3"/>
  <c r="J995" i="3"/>
  <c r="B996" i="3"/>
  <c r="C996" i="3"/>
  <c r="D996" i="3"/>
  <c r="E996" i="3"/>
  <c r="F996" i="3"/>
  <c r="G996" i="3"/>
  <c r="H996" i="3"/>
  <c r="I996" i="3"/>
  <c r="J996" i="3"/>
  <c r="B997" i="3"/>
  <c r="C997" i="3"/>
  <c r="D997" i="3"/>
  <c r="E997" i="3"/>
  <c r="F997" i="3"/>
  <c r="G997" i="3"/>
  <c r="H997" i="3"/>
  <c r="I997" i="3"/>
  <c r="J997" i="3"/>
  <c r="B998" i="3"/>
  <c r="C998" i="3"/>
  <c r="D998" i="3"/>
  <c r="E998" i="3"/>
  <c r="F998" i="3"/>
  <c r="G998" i="3"/>
  <c r="H998" i="3"/>
  <c r="I998" i="3"/>
  <c r="J998" i="3"/>
  <c r="B999" i="3"/>
  <c r="C999" i="3"/>
  <c r="D999" i="3"/>
  <c r="E999" i="3"/>
  <c r="F999" i="3"/>
  <c r="G999" i="3"/>
  <c r="H999" i="3"/>
  <c r="I999" i="3"/>
  <c r="J999" i="3"/>
  <c r="B1000" i="3"/>
  <c r="C1000" i="3"/>
  <c r="D1000" i="3"/>
  <c r="E1000" i="3"/>
  <c r="F1000" i="3"/>
  <c r="G1000" i="3"/>
  <c r="H1000" i="3"/>
  <c r="I1000" i="3"/>
  <c r="J1000" i="3"/>
  <c r="B1001" i="3"/>
  <c r="C1001" i="3"/>
  <c r="D1001" i="3"/>
  <c r="E1001" i="3"/>
  <c r="F1001" i="3"/>
  <c r="G1001" i="3"/>
  <c r="H1001" i="3"/>
  <c r="I1001" i="3"/>
  <c r="J1001" i="3"/>
  <c r="B1002" i="3"/>
  <c r="C1002" i="3"/>
  <c r="D1002" i="3"/>
  <c r="E1002" i="3"/>
  <c r="F1002" i="3"/>
  <c r="G1002" i="3"/>
  <c r="H1002" i="3"/>
  <c r="I1002" i="3"/>
  <c r="J1002" i="3"/>
  <c r="B1003" i="3"/>
  <c r="C1003" i="3"/>
  <c r="D1003" i="3"/>
  <c r="E1003" i="3"/>
  <c r="F1003" i="3"/>
  <c r="G1003" i="3"/>
  <c r="H1003" i="3"/>
  <c r="I1003" i="3"/>
  <c r="J1003" i="3"/>
  <c r="B1004" i="3"/>
  <c r="C1004" i="3"/>
  <c r="D1004" i="3"/>
  <c r="E1004" i="3"/>
  <c r="F1004" i="3"/>
  <c r="G1004" i="3"/>
  <c r="H1004" i="3"/>
  <c r="I1004" i="3"/>
  <c r="J1004" i="3"/>
  <c r="B1005" i="3"/>
  <c r="C1005" i="3"/>
  <c r="D1005" i="3"/>
  <c r="E1005" i="3"/>
  <c r="F1005" i="3"/>
  <c r="G1005" i="3"/>
  <c r="H1005" i="3"/>
  <c r="I1005" i="3"/>
  <c r="J1005" i="3"/>
  <c r="B1006" i="3"/>
  <c r="C1006" i="3"/>
  <c r="D1006" i="3"/>
  <c r="E1006" i="3"/>
  <c r="F1006" i="3"/>
  <c r="G1006" i="3"/>
  <c r="H1006" i="3"/>
  <c r="I1006" i="3"/>
  <c r="J1006" i="3"/>
  <c r="B1007" i="3"/>
  <c r="C1007" i="3"/>
  <c r="D1007" i="3"/>
  <c r="E1007" i="3"/>
  <c r="F1007" i="3"/>
  <c r="G1007" i="3"/>
  <c r="H1007" i="3"/>
  <c r="I1007" i="3"/>
  <c r="J1007" i="3"/>
  <c r="B1008" i="3"/>
  <c r="C1008" i="3"/>
  <c r="D1008" i="3"/>
  <c r="E1008" i="3"/>
  <c r="F1008" i="3"/>
  <c r="G1008" i="3"/>
  <c r="H1008" i="3"/>
  <c r="I1008" i="3"/>
  <c r="J1008" i="3"/>
  <c r="B1009" i="3"/>
  <c r="C1009" i="3"/>
  <c r="D1009" i="3"/>
  <c r="E1009" i="3"/>
  <c r="F1009" i="3"/>
  <c r="G1009" i="3"/>
  <c r="H1009" i="3"/>
  <c r="I1009" i="3"/>
  <c r="J1009" i="3"/>
  <c r="B1010" i="3"/>
  <c r="C1010" i="3"/>
  <c r="D1010" i="3"/>
  <c r="E1010" i="3"/>
  <c r="F1010" i="3"/>
  <c r="G1010" i="3"/>
  <c r="H1010" i="3"/>
  <c r="I1010" i="3"/>
  <c r="J1010" i="3"/>
  <c r="B1011" i="3"/>
  <c r="C1011" i="3"/>
  <c r="D1011" i="3"/>
  <c r="E1011" i="3"/>
  <c r="F1011" i="3"/>
  <c r="G1011" i="3"/>
  <c r="H1011" i="3"/>
  <c r="I1011" i="3"/>
  <c r="J1011" i="3"/>
  <c r="B1012" i="3"/>
  <c r="C1012" i="3"/>
  <c r="D1012" i="3"/>
  <c r="E1012" i="3"/>
  <c r="F1012" i="3"/>
  <c r="G1012" i="3"/>
  <c r="H1012" i="3"/>
  <c r="I1012" i="3"/>
  <c r="J1012" i="3"/>
  <c r="B1013" i="3"/>
  <c r="C1013" i="3"/>
  <c r="D1013" i="3"/>
  <c r="E1013" i="3"/>
  <c r="F1013" i="3"/>
  <c r="G1013" i="3"/>
  <c r="H1013" i="3"/>
  <c r="I1013" i="3"/>
  <c r="J1013" i="3"/>
  <c r="B1014" i="3"/>
  <c r="C1014" i="3"/>
  <c r="D1014" i="3"/>
  <c r="E1014" i="3"/>
  <c r="F1014" i="3"/>
  <c r="G1014" i="3"/>
  <c r="H1014" i="3"/>
  <c r="I1014" i="3"/>
  <c r="J1014" i="3"/>
  <c r="B1015" i="3"/>
  <c r="C1015" i="3"/>
  <c r="D1015" i="3"/>
  <c r="E1015" i="3"/>
  <c r="F1015" i="3"/>
  <c r="G1015" i="3"/>
  <c r="H1015" i="3"/>
  <c r="I1015" i="3"/>
  <c r="J1015" i="3"/>
  <c r="B1016" i="3"/>
  <c r="C1016" i="3"/>
  <c r="D1016" i="3"/>
  <c r="E1016" i="3"/>
  <c r="F1016" i="3"/>
  <c r="G1016" i="3"/>
  <c r="H1016" i="3"/>
  <c r="I1016" i="3"/>
  <c r="J1016" i="3"/>
  <c r="B1017" i="3"/>
  <c r="C1017" i="3"/>
  <c r="D1017" i="3"/>
  <c r="E1017" i="3"/>
  <c r="F1017" i="3"/>
  <c r="G1017" i="3"/>
  <c r="H1017" i="3"/>
  <c r="I1017" i="3"/>
  <c r="J1017" i="3"/>
  <c r="B1018" i="3"/>
  <c r="C1018" i="3"/>
  <c r="D1018" i="3"/>
  <c r="E1018" i="3"/>
  <c r="F1018" i="3"/>
  <c r="G1018" i="3"/>
  <c r="H1018" i="3"/>
  <c r="I1018" i="3"/>
  <c r="J1018" i="3"/>
  <c r="B1019" i="3"/>
  <c r="C1019" i="3"/>
  <c r="D1019" i="3"/>
  <c r="E1019" i="3"/>
  <c r="F1019" i="3"/>
  <c r="G1019" i="3"/>
  <c r="H1019" i="3"/>
  <c r="I1019" i="3"/>
  <c r="J1019" i="3"/>
  <c r="B1020" i="3"/>
  <c r="C1020" i="3"/>
  <c r="D1020" i="3"/>
  <c r="E1020" i="3"/>
  <c r="F1020" i="3"/>
  <c r="G1020" i="3"/>
  <c r="H1020" i="3"/>
  <c r="I1020" i="3"/>
  <c r="J1020" i="3"/>
  <c r="B1021" i="3"/>
  <c r="C1021" i="3"/>
  <c r="D1021" i="3"/>
  <c r="E1021" i="3"/>
  <c r="F1021" i="3"/>
  <c r="G1021" i="3"/>
  <c r="H1021" i="3"/>
  <c r="I1021" i="3"/>
  <c r="J1021" i="3"/>
  <c r="B1022" i="3"/>
  <c r="C1022" i="3"/>
  <c r="D1022" i="3"/>
  <c r="E1022" i="3"/>
  <c r="F1022" i="3"/>
  <c r="G1022" i="3"/>
  <c r="H1022" i="3"/>
  <c r="I1022" i="3"/>
  <c r="J1022" i="3"/>
  <c r="B1023" i="3"/>
  <c r="C1023" i="3"/>
  <c r="D1023" i="3"/>
  <c r="E1023" i="3"/>
  <c r="F1023" i="3"/>
  <c r="G1023" i="3"/>
  <c r="H1023" i="3"/>
  <c r="I1023" i="3"/>
  <c r="J1023" i="3"/>
  <c r="B1024" i="3"/>
  <c r="C1024" i="3"/>
  <c r="D1024" i="3"/>
  <c r="E1024" i="3"/>
  <c r="F1024" i="3"/>
  <c r="G1024" i="3"/>
  <c r="H1024" i="3"/>
  <c r="I1024" i="3"/>
  <c r="J1024" i="3"/>
  <c r="B1025" i="3"/>
  <c r="C1025" i="3"/>
  <c r="D1025" i="3"/>
  <c r="E1025" i="3"/>
  <c r="F1025" i="3"/>
  <c r="G1025" i="3"/>
  <c r="H1025" i="3"/>
  <c r="I1025" i="3"/>
  <c r="J1025" i="3"/>
  <c r="B1026" i="3"/>
  <c r="C1026" i="3"/>
  <c r="D1026" i="3"/>
  <c r="E1026" i="3"/>
  <c r="F1026" i="3"/>
  <c r="G1026" i="3"/>
  <c r="H1026" i="3"/>
  <c r="I1026" i="3"/>
  <c r="J1026" i="3"/>
  <c r="B1027" i="3"/>
  <c r="C1027" i="3"/>
  <c r="D1027" i="3"/>
  <c r="E1027" i="3"/>
  <c r="F1027" i="3"/>
  <c r="G1027" i="3"/>
  <c r="H1027" i="3"/>
  <c r="I1027" i="3"/>
  <c r="J1027" i="3"/>
  <c r="B1028" i="3"/>
  <c r="C1028" i="3"/>
  <c r="D1028" i="3"/>
  <c r="E1028" i="3"/>
  <c r="F1028" i="3"/>
  <c r="G1028" i="3"/>
  <c r="H1028" i="3"/>
  <c r="I1028" i="3"/>
  <c r="J1028" i="3"/>
  <c r="B1029" i="3"/>
  <c r="C1029" i="3"/>
  <c r="D1029" i="3"/>
  <c r="E1029" i="3"/>
  <c r="F1029" i="3"/>
  <c r="G1029" i="3"/>
  <c r="H1029" i="3"/>
  <c r="I1029" i="3"/>
  <c r="J1029" i="3"/>
  <c r="B1030" i="3"/>
  <c r="C1030" i="3"/>
  <c r="D1030" i="3"/>
  <c r="E1030" i="3"/>
  <c r="F1030" i="3"/>
  <c r="G1030" i="3"/>
  <c r="H1030" i="3"/>
  <c r="I1030" i="3"/>
  <c r="J1030" i="3"/>
  <c r="B1031" i="3"/>
  <c r="C1031" i="3"/>
  <c r="D1031" i="3"/>
  <c r="E1031" i="3"/>
  <c r="F1031" i="3"/>
  <c r="G1031" i="3"/>
  <c r="H1031" i="3"/>
  <c r="I1031" i="3"/>
  <c r="J1031" i="3"/>
  <c r="B1032" i="3"/>
  <c r="C1032" i="3"/>
  <c r="D1032" i="3"/>
  <c r="E1032" i="3"/>
  <c r="F1032" i="3"/>
  <c r="G1032" i="3"/>
  <c r="H1032" i="3"/>
  <c r="I1032" i="3"/>
  <c r="J1032" i="3"/>
  <c r="B1033" i="3"/>
  <c r="C1033" i="3"/>
  <c r="D1033" i="3"/>
  <c r="E1033" i="3"/>
  <c r="F1033" i="3"/>
  <c r="G1033" i="3"/>
  <c r="H1033" i="3"/>
  <c r="I1033" i="3"/>
  <c r="J1033" i="3"/>
  <c r="B1034" i="3"/>
  <c r="C1034" i="3"/>
  <c r="D1034" i="3"/>
  <c r="E1034" i="3"/>
  <c r="F1034" i="3"/>
  <c r="G1034" i="3"/>
  <c r="H1034" i="3"/>
  <c r="I1034" i="3"/>
  <c r="J1034" i="3"/>
  <c r="B1035" i="3"/>
  <c r="C1035" i="3"/>
  <c r="D1035" i="3"/>
  <c r="E1035" i="3"/>
  <c r="F1035" i="3"/>
  <c r="G1035" i="3"/>
  <c r="H1035" i="3"/>
  <c r="I1035" i="3"/>
  <c r="J1035" i="3"/>
  <c r="B1036" i="3"/>
  <c r="C1036" i="3"/>
  <c r="D1036" i="3"/>
  <c r="E1036" i="3"/>
  <c r="F1036" i="3"/>
  <c r="G1036" i="3"/>
  <c r="H1036" i="3"/>
  <c r="I1036" i="3"/>
  <c r="J1036" i="3"/>
  <c r="B1037" i="3"/>
  <c r="C1037" i="3"/>
  <c r="D1037" i="3"/>
  <c r="E1037" i="3"/>
  <c r="F1037" i="3"/>
  <c r="G1037" i="3"/>
  <c r="H1037" i="3"/>
  <c r="I1037" i="3"/>
  <c r="J1037" i="3"/>
  <c r="B1038" i="3"/>
  <c r="C1038" i="3"/>
  <c r="D1038" i="3"/>
  <c r="E1038" i="3"/>
  <c r="F1038" i="3"/>
  <c r="G1038" i="3"/>
  <c r="H1038" i="3"/>
  <c r="I1038" i="3"/>
  <c r="J1038" i="3"/>
  <c r="B1039" i="3"/>
  <c r="C1039" i="3"/>
  <c r="D1039" i="3"/>
  <c r="E1039" i="3"/>
  <c r="F1039" i="3"/>
  <c r="G1039" i="3"/>
  <c r="H1039" i="3"/>
  <c r="I1039" i="3"/>
  <c r="J1039" i="3"/>
  <c r="B1040" i="3"/>
  <c r="C1040" i="3"/>
  <c r="D1040" i="3"/>
  <c r="E1040" i="3"/>
  <c r="F1040" i="3"/>
  <c r="G1040" i="3"/>
  <c r="H1040" i="3"/>
  <c r="I1040" i="3"/>
  <c r="J1040" i="3"/>
  <c r="B1041" i="3"/>
  <c r="C1041" i="3"/>
  <c r="D1041" i="3"/>
  <c r="E1041" i="3"/>
  <c r="F1041" i="3"/>
  <c r="G1041" i="3"/>
  <c r="H1041" i="3"/>
  <c r="I1041" i="3"/>
  <c r="J1041" i="3"/>
  <c r="B1042" i="3"/>
  <c r="C1042" i="3"/>
  <c r="D1042" i="3"/>
  <c r="E1042" i="3"/>
  <c r="F1042" i="3"/>
  <c r="G1042" i="3"/>
  <c r="H1042" i="3"/>
  <c r="I1042" i="3"/>
  <c r="J1042" i="3"/>
  <c r="B1043" i="3"/>
  <c r="C1043" i="3"/>
  <c r="D1043" i="3"/>
  <c r="E1043" i="3"/>
  <c r="F1043" i="3"/>
  <c r="G1043" i="3"/>
  <c r="H1043" i="3"/>
  <c r="I1043" i="3"/>
  <c r="J1043" i="3"/>
  <c r="B1044" i="3"/>
  <c r="C1044" i="3"/>
  <c r="D1044" i="3"/>
  <c r="E1044" i="3"/>
  <c r="F1044" i="3"/>
  <c r="G1044" i="3"/>
  <c r="H1044" i="3"/>
  <c r="I1044" i="3"/>
  <c r="J1044" i="3"/>
  <c r="B1045" i="3"/>
  <c r="C1045" i="3"/>
  <c r="D1045" i="3"/>
  <c r="E1045" i="3"/>
  <c r="F1045" i="3"/>
  <c r="G1045" i="3"/>
  <c r="H1045" i="3"/>
  <c r="I1045" i="3"/>
  <c r="J1045" i="3"/>
  <c r="B1046" i="3"/>
  <c r="C1046" i="3"/>
  <c r="D1046" i="3"/>
  <c r="E1046" i="3"/>
  <c r="F1046" i="3"/>
  <c r="G1046" i="3"/>
  <c r="H1046" i="3"/>
  <c r="I1046" i="3"/>
  <c r="J1046" i="3"/>
  <c r="B1047" i="3"/>
  <c r="C1047" i="3"/>
  <c r="D1047" i="3"/>
  <c r="E1047" i="3"/>
  <c r="F1047" i="3"/>
  <c r="G1047" i="3"/>
  <c r="H1047" i="3"/>
  <c r="I1047" i="3"/>
  <c r="J1047" i="3"/>
  <c r="B1048" i="3"/>
  <c r="C1048" i="3"/>
  <c r="D1048" i="3"/>
  <c r="E1048" i="3"/>
  <c r="F1048" i="3"/>
  <c r="G1048" i="3"/>
  <c r="H1048" i="3"/>
  <c r="I1048" i="3"/>
  <c r="J1048" i="3"/>
  <c r="B1049" i="3"/>
  <c r="C1049" i="3"/>
  <c r="D1049" i="3"/>
  <c r="E1049" i="3"/>
  <c r="F1049" i="3"/>
  <c r="G1049" i="3"/>
  <c r="H1049" i="3"/>
  <c r="I1049" i="3"/>
  <c r="J1049" i="3"/>
  <c r="B1050" i="3"/>
  <c r="C1050" i="3"/>
  <c r="D1050" i="3"/>
  <c r="E1050" i="3"/>
  <c r="F1050" i="3"/>
  <c r="G1050" i="3"/>
  <c r="H1050" i="3"/>
  <c r="I1050" i="3"/>
  <c r="J1050" i="3"/>
  <c r="B1051" i="3"/>
  <c r="C1051" i="3"/>
  <c r="D1051" i="3"/>
  <c r="E1051" i="3"/>
  <c r="F1051" i="3"/>
  <c r="G1051" i="3"/>
  <c r="H1051" i="3"/>
  <c r="I1051" i="3"/>
  <c r="J1051" i="3"/>
  <c r="B1052" i="3"/>
  <c r="C1052" i="3"/>
  <c r="D1052" i="3"/>
  <c r="E1052" i="3"/>
  <c r="F1052" i="3"/>
  <c r="G1052" i="3"/>
  <c r="H1052" i="3"/>
  <c r="I1052" i="3"/>
  <c r="J1052" i="3"/>
  <c r="B1053" i="3"/>
  <c r="C1053" i="3"/>
  <c r="D1053" i="3"/>
  <c r="E1053" i="3"/>
  <c r="F1053" i="3"/>
  <c r="G1053" i="3"/>
  <c r="H1053" i="3"/>
  <c r="I1053" i="3"/>
  <c r="J1053" i="3"/>
  <c r="B1054" i="3"/>
  <c r="C1054" i="3"/>
  <c r="D1054" i="3"/>
  <c r="E1054" i="3"/>
  <c r="F1054" i="3"/>
  <c r="G1054" i="3"/>
  <c r="H1054" i="3"/>
  <c r="I1054" i="3"/>
  <c r="J1054" i="3"/>
  <c r="B1055" i="3"/>
  <c r="C1055" i="3"/>
  <c r="D1055" i="3"/>
  <c r="E1055" i="3"/>
  <c r="F1055" i="3"/>
  <c r="G1055" i="3"/>
  <c r="H1055" i="3"/>
  <c r="I1055" i="3"/>
  <c r="J1055" i="3"/>
  <c r="B1056" i="3"/>
  <c r="C1056" i="3"/>
  <c r="D1056" i="3"/>
  <c r="E1056" i="3"/>
  <c r="F1056" i="3"/>
  <c r="G1056" i="3"/>
  <c r="H1056" i="3"/>
  <c r="I1056" i="3"/>
  <c r="J1056" i="3"/>
  <c r="B1057" i="3"/>
  <c r="C1057" i="3"/>
  <c r="D1057" i="3"/>
  <c r="E1057" i="3"/>
  <c r="F1057" i="3"/>
  <c r="G1057" i="3"/>
  <c r="H1057" i="3"/>
  <c r="I1057" i="3"/>
  <c r="J1057" i="3"/>
  <c r="B1058" i="3"/>
  <c r="C1058" i="3"/>
  <c r="D1058" i="3"/>
  <c r="E1058" i="3"/>
  <c r="F1058" i="3"/>
  <c r="G1058" i="3"/>
  <c r="H1058" i="3"/>
  <c r="I1058" i="3"/>
  <c r="J1058" i="3"/>
  <c r="B1059" i="3"/>
  <c r="C1059" i="3"/>
  <c r="D1059" i="3"/>
  <c r="E1059" i="3"/>
  <c r="F1059" i="3"/>
  <c r="G1059" i="3"/>
  <c r="H1059" i="3"/>
  <c r="I1059" i="3"/>
  <c r="J1059" i="3"/>
  <c r="B1060" i="3"/>
  <c r="C1060" i="3"/>
  <c r="D1060" i="3"/>
  <c r="E1060" i="3"/>
  <c r="F1060" i="3"/>
  <c r="G1060" i="3"/>
  <c r="H1060" i="3"/>
  <c r="I1060" i="3"/>
  <c r="J1060" i="3"/>
  <c r="B1061" i="3"/>
  <c r="C1061" i="3"/>
  <c r="D1061" i="3"/>
  <c r="E1061" i="3"/>
  <c r="F1061" i="3"/>
  <c r="G1061" i="3"/>
  <c r="H1061" i="3"/>
  <c r="I1061" i="3"/>
  <c r="J1061" i="3"/>
  <c r="B1062" i="3"/>
  <c r="C1062" i="3"/>
  <c r="D1062" i="3"/>
  <c r="E1062" i="3"/>
  <c r="F1062" i="3"/>
  <c r="G1062" i="3"/>
  <c r="H1062" i="3"/>
  <c r="I1062" i="3"/>
  <c r="J1062" i="3"/>
  <c r="B1063" i="3"/>
  <c r="C1063" i="3"/>
  <c r="D1063" i="3"/>
  <c r="E1063" i="3"/>
  <c r="F1063" i="3"/>
  <c r="G1063" i="3"/>
  <c r="H1063" i="3"/>
  <c r="I1063" i="3"/>
  <c r="J1063" i="3"/>
  <c r="B1064" i="3"/>
  <c r="C1064" i="3"/>
  <c r="D1064" i="3"/>
  <c r="E1064" i="3"/>
  <c r="F1064" i="3"/>
  <c r="G1064" i="3"/>
  <c r="H1064" i="3"/>
  <c r="I1064" i="3"/>
  <c r="J1064" i="3"/>
  <c r="B1065" i="3"/>
  <c r="C1065" i="3"/>
  <c r="D1065" i="3"/>
  <c r="E1065" i="3"/>
  <c r="F1065" i="3"/>
  <c r="G1065" i="3"/>
  <c r="H1065" i="3"/>
  <c r="I1065" i="3"/>
  <c r="J1065" i="3"/>
  <c r="B1066" i="3"/>
  <c r="C1066" i="3"/>
  <c r="D1066" i="3"/>
  <c r="E1066" i="3"/>
  <c r="F1066" i="3"/>
  <c r="G1066" i="3"/>
  <c r="H1066" i="3"/>
  <c r="I1066" i="3"/>
  <c r="J1066" i="3"/>
  <c r="B1067" i="3"/>
  <c r="C1067" i="3"/>
  <c r="D1067" i="3"/>
  <c r="E1067" i="3"/>
  <c r="F1067" i="3"/>
  <c r="G1067" i="3"/>
  <c r="H1067" i="3"/>
  <c r="I1067" i="3"/>
  <c r="J1067" i="3"/>
  <c r="B1069" i="3"/>
  <c r="C1069" i="3"/>
  <c r="D1069" i="3"/>
  <c r="E1069" i="3"/>
  <c r="F1069" i="3"/>
  <c r="G1069" i="3"/>
  <c r="H1069" i="3"/>
  <c r="I1069" i="3"/>
  <c r="J1069" i="3"/>
  <c r="I1070" i="3"/>
  <c r="B1071" i="3"/>
  <c r="H1071" i="3"/>
  <c r="J1071" i="3"/>
  <c r="E1072" i="3"/>
  <c r="D1073" i="3"/>
  <c r="F1073" i="3"/>
  <c r="C1074" i="3"/>
  <c r="E1074" i="3"/>
  <c r="G1074" i="3"/>
  <c r="F1075" i="3"/>
  <c r="J1075" i="3"/>
  <c r="E1076" i="3"/>
  <c r="I1076" i="3"/>
  <c r="B1077" i="3"/>
  <c r="J1077" i="3"/>
  <c r="C1078" i="3"/>
  <c r="I1078" i="3"/>
  <c r="B1079" i="3"/>
  <c r="F1079" i="3"/>
  <c r="E1080" i="3"/>
  <c r="G1080" i="3"/>
  <c r="D1081" i="3"/>
  <c r="F1081" i="3"/>
  <c r="H1081" i="3"/>
  <c r="G1082" i="3"/>
  <c r="B1083" i="3"/>
  <c r="F1083" i="3"/>
  <c r="J1083" i="3"/>
  <c r="C1084" i="3"/>
  <c r="B1085" i="3"/>
  <c r="D1085" i="3"/>
  <c r="J1085" i="3"/>
  <c r="C1086" i="3"/>
  <c r="G1086" i="3"/>
  <c r="F1087" i="3"/>
  <c r="H1087" i="3"/>
  <c r="E1088" i="3"/>
  <c r="G1088" i="3"/>
  <c r="I1088" i="3"/>
  <c r="H1089" i="3"/>
  <c r="C1090" i="3"/>
  <c r="G1090" i="3"/>
  <c r="B1091" i="3"/>
  <c r="D1091" i="3"/>
  <c r="E1092" i="3"/>
  <c r="B1093" i="3"/>
  <c r="D1093" i="3"/>
  <c r="H1093" i="3"/>
  <c r="A1094" i="3"/>
  <c r="F1094" i="3"/>
  <c r="H1094" i="3"/>
  <c r="A1095" i="3"/>
  <c r="A1096" i="3" s="1"/>
  <c r="A1097" i="3" s="1"/>
  <c r="A1098" i="3" s="1"/>
  <c r="A1099" i="3" s="1"/>
  <c r="D1095" i="3"/>
  <c r="E1095" i="3"/>
  <c r="E1096" i="3"/>
  <c r="F1096" i="3"/>
  <c r="D1097" i="3"/>
  <c r="E1097" i="3"/>
  <c r="E1098" i="3"/>
  <c r="F1098" i="3"/>
  <c r="B1099" i="3"/>
  <c r="C1099" i="3"/>
  <c r="A1100" i="3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B1100" i="3"/>
  <c r="H1100" i="3"/>
  <c r="I1100" i="3"/>
  <c r="G1101" i="3"/>
  <c r="H1101" i="3"/>
  <c r="D1102" i="3"/>
  <c r="E1102" i="3"/>
  <c r="C1103" i="3"/>
  <c r="D1103" i="3"/>
  <c r="J1103" i="3"/>
  <c r="I1104" i="3"/>
  <c r="J1104" i="3"/>
  <c r="F1105" i="3"/>
  <c r="G1105" i="3"/>
  <c r="E1106" i="3"/>
  <c r="F1106" i="3"/>
  <c r="B1107" i="3"/>
  <c r="C1107" i="3"/>
  <c r="B1108" i="3"/>
  <c r="H1108" i="3"/>
  <c r="I1108" i="3"/>
  <c r="G1109" i="3"/>
  <c r="H1109" i="3"/>
  <c r="D1110" i="3"/>
  <c r="E1110" i="3"/>
  <c r="C1111" i="3"/>
  <c r="D1111" i="3"/>
  <c r="J1111" i="3"/>
  <c r="I1112" i="3"/>
  <c r="J1112" i="3"/>
  <c r="F1113" i="3"/>
  <c r="G1113" i="3"/>
  <c r="E1114" i="3"/>
  <c r="F1114" i="3"/>
  <c r="B1115" i="3"/>
  <c r="C1115" i="3"/>
  <c r="B1116" i="3"/>
  <c r="H1116" i="3"/>
  <c r="I1116" i="3"/>
  <c r="G1117" i="3"/>
  <c r="H1117" i="3"/>
  <c r="D9" i="2"/>
  <c r="F9" i="2"/>
  <c r="B25" i="2"/>
  <c r="C25" i="2"/>
  <c r="D25" i="2"/>
  <c r="E25" i="2"/>
  <c r="F25" i="2"/>
  <c r="G25" i="2"/>
  <c r="H25" i="2"/>
  <c r="I25" i="2"/>
  <c r="J25" i="2"/>
  <c r="K25" i="2"/>
  <c r="B26" i="2"/>
  <c r="C26" i="2"/>
  <c r="D26" i="2"/>
  <c r="E26" i="2"/>
  <c r="F26" i="2"/>
  <c r="G26" i="2"/>
  <c r="H26" i="2"/>
  <c r="I26" i="2"/>
  <c r="J26" i="2"/>
  <c r="K26" i="2"/>
  <c r="B27" i="2"/>
  <c r="C27" i="2"/>
  <c r="D27" i="2"/>
  <c r="E27" i="2"/>
  <c r="F27" i="2"/>
  <c r="G27" i="2"/>
  <c r="H27" i="2"/>
  <c r="I27" i="2"/>
  <c r="J27" i="2"/>
  <c r="K27" i="2"/>
  <c r="B28" i="2"/>
  <c r="C28" i="2"/>
  <c r="D28" i="2"/>
  <c r="E28" i="2"/>
  <c r="F28" i="2"/>
  <c r="G28" i="2"/>
  <c r="H28" i="2"/>
  <c r="I28" i="2"/>
  <c r="J28" i="2"/>
  <c r="K28" i="2"/>
  <c r="B29" i="2"/>
  <c r="C29" i="2"/>
  <c r="D29" i="2"/>
  <c r="E29" i="2"/>
  <c r="F29" i="2"/>
  <c r="G29" i="2"/>
  <c r="H29" i="2"/>
  <c r="I29" i="2"/>
  <c r="J29" i="2"/>
  <c r="K29" i="2"/>
  <c r="B30" i="2"/>
  <c r="C30" i="2"/>
  <c r="D30" i="2"/>
  <c r="E30" i="2"/>
  <c r="F30" i="2"/>
  <c r="G30" i="2"/>
  <c r="H30" i="2"/>
  <c r="I30" i="2"/>
  <c r="J30" i="2"/>
  <c r="K30" i="2"/>
  <c r="B31" i="2"/>
  <c r="C31" i="2"/>
  <c r="D31" i="2"/>
  <c r="E31" i="2"/>
  <c r="F31" i="2"/>
  <c r="G31" i="2"/>
  <c r="H31" i="2"/>
  <c r="I31" i="2"/>
  <c r="J31" i="2"/>
  <c r="K31" i="2"/>
  <c r="B32" i="2"/>
  <c r="C32" i="2"/>
  <c r="D32" i="2"/>
  <c r="E32" i="2"/>
  <c r="F32" i="2"/>
  <c r="G32" i="2"/>
  <c r="H32" i="2"/>
  <c r="I32" i="2"/>
  <c r="J32" i="2"/>
  <c r="K32" i="2"/>
  <c r="B33" i="2"/>
  <c r="C33" i="2"/>
  <c r="D33" i="2"/>
  <c r="E33" i="2"/>
  <c r="F33" i="2"/>
  <c r="G33" i="2"/>
  <c r="H33" i="2"/>
  <c r="I33" i="2"/>
  <c r="J33" i="2"/>
  <c r="K33" i="2"/>
  <c r="B34" i="2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B36" i="2"/>
  <c r="C36" i="2"/>
  <c r="D36" i="2"/>
  <c r="E36" i="2"/>
  <c r="F36" i="2"/>
  <c r="G36" i="2"/>
  <c r="H36" i="2"/>
  <c r="I36" i="2"/>
  <c r="J36" i="2"/>
  <c r="K36" i="2"/>
  <c r="B37" i="2"/>
  <c r="C37" i="2"/>
  <c r="D37" i="2"/>
  <c r="E37" i="2"/>
  <c r="F37" i="2"/>
  <c r="G37" i="2"/>
  <c r="H37" i="2"/>
  <c r="I37" i="2"/>
  <c r="J37" i="2"/>
  <c r="K37" i="2"/>
  <c r="B38" i="2"/>
  <c r="C38" i="2"/>
  <c r="D38" i="2"/>
  <c r="E38" i="2"/>
  <c r="F38" i="2"/>
  <c r="G38" i="2"/>
  <c r="H38" i="2"/>
  <c r="I38" i="2"/>
  <c r="J38" i="2"/>
  <c r="K38" i="2"/>
  <c r="B39" i="2"/>
  <c r="C39" i="2"/>
  <c r="D39" i="2"/>
  <c r="E39" i="2"/>
  <c r="F39" i="2"/>
  <c r="G39" i="2"/>
  <c r="H39" i="2"/>
  <c r="I39" i="2"/>
  <c r="J39" i="2"/>
  <c r="K39" i="2"/>
  <c r="B40" i="2"/>
  <c r="C40" i="2"/>
  <c r="D40" i="2"/>
  <c r="E40" i="2"/>
  <c r="F40" i="2"/>
  <c r="G40" i="2"/>
  <c r="H40" i="2"/>
  <c r="I40" i="2"/>
  <c r="J40" i="2"/>
  <c r="K40" i="2"/>
  <c r="B41" i="2"/>
  <c r="C41" i="2"/>
  <c r="D41" i="2"/>
  <c r="E41" i="2"/>
  <c r="F41" i="2"/>
  <c r="G41" i="2"/>
  <c r="H41" i="2"/>
  <c r="I41" i="2"/>
  <c r="J41" i="2"/>
  <c r="K41" i="2"/>
  <c r="B42" i="2"/>
  <c r="C42" i="2"/>
  <c r="D42" i="2"/>
  <c r="E42" i="2"/>
  <c r="F42" i="2"/>
  <c r="G42" i="2"/>
  <c r="H42" i="2"/>
  <c r="I42" i="2"/>
  <c r="J42" i="2"/>
  <c r="K42" i="2"/>
  <c r="B43" i="2"/>
  <c r="C43" i="2"/>
  <c r="D43" i="2"/>
  <c r="E43" i="2"/>
  <c r="F43" i="2"/>
  <c r="G43" i="2"/>
  <c r="H43" i="2"/>
  <c r="I43" i="2"/>
  <c r="J43" i="2"/>
  <c r="K43" i="2"/>
  <c r="B44" i="2"/>
  <c r="C44" i="2"/>
  <c r="D44" i="2"/>
  <c r="E44" i="2"/>
  <c r="F44" i="2"/>
  <c r="G44" i="2"/>
  <c r="H44" i="2"/>
  <c r="I44" i="2"/>
  <c r="J44" i="2"/>
  <c r="K44" i="2"/>
  <c r="B45" i="2"/>
  <c r="C45" i="2"/>
  <c r="D45" i="2"/>
  <c r="E45" i="2"/>
  <c r="F45" i="2"/>
  <c r="G45" i="2"/>
  <c r="H45" i="2"/>
  <c r="I45" i="2"/>
  <c r="J45" i="2"/>
  <c r="K45" i="2"/>
  <c r="B46" i="2"/>
  <c r="C46" i="2"/>
  <c r="D46" i="2"/>
  <c r="E46" i="2"/>
  <c r="F46" i="2"/>
  <c r="G46" i="2"/>
  <c r="H46" i="2"/>
  <c r="I46" i="2"/>
  <c r="J46" i="2"/>
  <c r="K46" i="2"/>
  <c r="B47" i="2"/>
  <c r="C47" i="2"/>
  <c r="D47" i="2"/>
  <c r="E47" i="2"/>
  <c r="F47" i="2"/>
  <c r="G47" i="2"/>
  <c r="H47" i="2"/>
  <c r="I47" i="2"/>
  <c r="J47" i="2"/>
  <c r="K47" i="2"/>
  <c r="B48" i="2"/>
  <c r="C48" i="2"/>
  <c r="D48" i="2"/>
  <c r="E48" i="2"/>
  <c r="F48" i="2"/>
  <c r="G48" i="2"/>
  <c r="H48" i="2"/>
  <c r="I48" i="2"/>
  <c r="J48" i="2"/>
  <c r="K48" i="2"/>
  <c r="B49" i="2"/>
  <c r="C49" i="2"/>
  <c r="D49" i="2"/>
  <c r="E49" i="2"/>
  <c r="F49" i="2"/>
  <c r="G49" i="2"/>
  <c r="H49" i="2"/>
  <c r="I49" i="2"/>
  <c r="J49" i="2"/>
  <c r="K49" i="2"/>
  <c r="B50" i="2"/>
  <c r="C50" i="2"/>
  <c r="D50" i="2"/>
  <c r="E50" i="2"/>
  <c r="F50" i="2"/>
  <c r="G50" i="2"/>
  <c r="H50" i="2"/>
  <c r="I50" i="2"/>
  <c r="J50" i="2"/>
  <c r="K50" i="2"/>
  <c r="B51" i="2"/>
  <c r="C51" i="2"/>
  <c r="D51" i="2"/>
  <c r="E51" i="2"/>
  <c r="F51" i="2"/>
  <c r="G51" i="2"/>
  <c r="H51" i="2"/>
  <c r="I51" i="2"/>
  <c r="J51" i="2"/>
  <c r="K51" i="2"/>
  <c r="B52" i="2"/>
  <c r="C52" i="2"/>
  <c r="D52" i="2"/>
  <c r="E52" i="2"/>
  <c r="F52" i="2"/>
  <c r="G52" i="2"/>
  <c r="H52" i="2"/>
  <c r="I52" i="2"/>
  <c r="J52" i="2"/>
  <c r="K52" i="2"/>
  <c r="B53" i="2"/>
  <c r="C53" i="2"/>
  <c r="D53" i="2"/>
  <c r="E53" i="2"/>
  <c r="F53" i="2"/>
  <c r="G53" i="2"/>
  <c r="H53" i="2"/>
  <c r="I53" i="2"/>
  <c r="J53" i="2"/>
  <c r="K53" i="2"/>
  <c r="B54" i="2"/>
  <c r="C54" i="2"/>
  <c r="D54" i="2"/>
  <c r="E54" i="2"/>
  <c r="F54" i="2"/>
  <c r="G54" i="2"/>
  <c r="H54" i="2"/>
  <c r="I54" i="2"/>
  <c r="J54" i="2"/>
  <c r="K54" i="2"/>
  <c r="B55" i="2"/>
  <c r="C55" i="2"/>
  <c r="D55" i="2"/>
  <c r="E55" i="2"/>
  <c r="F55" i="2"/>
  <c r="G55" i="2"/>
  <c r="H55" i="2"/>
  <c r="I55" i="2"/>
  <c r="J55" i="2"/>
  <c r="K55" i="2"/>
  <c r="B56" i="2"/>
  <c r="C56" i="2"/>
  <c r="D56" i="2"/>
  <c r="E56" i="2"/>
  <c r="F56" i="2"/>
  <c r="G56" i="2"/>
  <c r="H56" i="2"/>
  <c r="I56" i="2"/>
  <c r="J56" i="2"/>
  <c r="K56" i="2"/>
  <c r="B57" i="2"/>
  <c r="C57" i="2"/>
  <c r="D57" i="2"/>
  <c r="E57" i="2"/>
  <c r="F57" i="2"/>
  <c r="G57" i="2"/>
  <c r="H57" i="2"/>
  <c r="I57" i="2"/>
  <c r="J57" i="2"/>
  <c r="K57" i="2"/>
  <c r="B58" i="2"/>
  <c r="C58" i="2"/>
  <c r="D58" i="2"/>
  <c r="E58" i="2"/>
  <c r="F58" i="2"/>
  <c r="G58" i="2"/>
  <c r="H58" i="2"/>
  <c r="I58" i="2"/>
  <c r="J58" i="2"/>
  <c r="K58" i="2"/>
  <c r="B59" i="2"/>
  <c r="C59" i="2"/>
  <c r="D59" i="2"/>
  <c r="E59" i="2"/>
  <c r="F59" i="2"/>
  <c r="G59" i="2"/>
  <c r="H59" i="2"/>
  <c r="I59" i="2"/>
  <c r="J59" i="2"/>
  <c r="K59" i="2"/>
  <c r="B60" i="2"/>
  <c r="C60" i="2"/>
  <c r="D60" i="2"/>
  <c r="E60" i="2"/>
  <c r="F60" i="2"/>
  <c r="G60" i="2"/>
  <c r="H60" i="2"/>
  <c r="I60" i="2"/>
  <c r="J60" i="2"/>
  <c r="K60" i="2"/>
  <c r="B61" i="2"/>
  <c r="C61" i="2"/>
  <c r="D61" i="2"/>
  <c r="E61" i="2"/>
  <c r="F61" i="2"/>
  <c r="G61" i="2"/>
  <c r="H61" i="2"/>
  <c r="I61" i="2"/>
  <c r="J61" i="2"/>
  <c r="K61" i="2"/>
  <c r="B62" i="2"/>
  <c r="C62" i="2"/>
  <c r="D62" i="2"/>
  <c r="E62" i="2"/>
  <c r="F62" i="2"/>
  <c r="G62" i="2"/>
  <c r="H62" i="2"/>
  <c r="I62" i="2"/>
  <c r="J62" i="2"/>
  <c r="K62" i="2"/>
  <c r="B63" i="2"/>
  <c r="C63" i="2"/>
  <c r="D63" i="2"/>
  <c r="E63" i="2"/>
  <c r="F63" i="2"/>
  <c r="G63" i="2"/>
  <c r="H63" i="2"/>
  <c r="I63" i="2"/>
  <c r="J63" i="2"/>
  <c r="K63" i="2"/>
  <c r="B64" i="2"/>
  <c r="C64" i="2"/>
  <c r="D64" i="2"/>
  <c r="E64" i="2"/>
  <c r="F64" i="2"/>
  <c r="G64" i="2"/>
  <c r="H64" i="2"/>
  <c r="I64" i="2"/>
  <c r="J64" i="2"/>
  <c r="K64" i="2"/>
  <c r="B65" i="2"/>
  <c r="C65" i="2"/>
  <c r="D65" i="2"/>
  <c r="E65" i="2"/>
  <c r="F65" i="2"/>
  <c r="G65" i="2"/>
  <c r="H65" i="2"/>
  <c r="I65" i="2"/>
  <c r="J65" i="2"/>
  <c r="K65" i="2"/>
  <c r="B66" i="2"/>
  <c r="C66" i="2"/>
  <c r="D66" i="2"/>
  <c r="E66" i="2"/>
  <c r="F66" i="2"/>
  <c r="G66" i="2"/>
  <c r="H66" i="2"/>
  <c r="I66" i="2"/>
  <c r="J66" i="2"/>
  <c r="K66" i="2"/>
  <c r="B67" i="2"/>
  <c r="C67" i="2"/>
  <c r="D67" i="2"/>
  <c r="E67" i="2"/>
  <c r="F67" i="2"/>
  <c r="G67" i="2"/>
  <c r="H67" i="2"/>
  <c r="I67" i="2"/>
  <c r="J67" i="2"/>
  <c r="K67" i="2"/>
  <c r="B68" i="2"/>
  <c r="C68" i="2"/>
  <c r="D68" i="2"/>
  <c r="E68" i="2"/>
  <c r="F68" i="2"/>
  <c r="G68" i="2"/>
  <c r="H68" i="2"/>
  <c r="I68" i="2"/>
  <c r="J68" i="2"/>
  <c r="K68" i="2"/>
  <c r="B69" i="2"/>
  <c r="C69" i="2"/>
  <c r="D69" i="2"/>
  <c r="E69" i="2"/>
  <c r="F69" i="2"/>
  <c r="G69" i="2"/>
  <c r="H69" i="2"/>
  <c r="I69" i="2"/>
  <c r="J69" i="2"/>
  <c r="K69" i="2"/>
  <c r="B70" i="2"/>
  <c r="C70" i="2"/>
  <c r="D70" i="2"/>
  <c r="E70" i="2"/>
  <c r="F70" i="2"/>
  <c r="G70" i="2"/>
  <c r="H70" i="2"/>
  <c r="I70" i="2"/>
  <c r="J70" i="2"/>
  <c r="K70" i="2"/>
  <c r="B71" i="2"/>
  <c r="C71" i="2"/>
  <c r="D71" i="2"/>
  <c r="E71" i="2"/>
  <c r="F71" i="2"/>
  <c r="G71" i="2"/>
  <c r="H71" i="2"/>
  <c r="I71" i="2"/>
  <c r="J71" i="2"/>
  <c r="K71" i="2"/>
  <c r="B72" i="2"/>
  <c r="C72" i="2"/>
  <c r="D72" i="2"/>
  <c r="E72" i="2"/>
  <c r="F72" i="2"/>
  <c r="G72" i="2"/>
  <c r="H72" i="2"/>
  <c r="I72" i="2"/>
  <c r="J72" i="2"/>
  <c r="K72" i="2"/>
  <c r="B73" i="2"/>
  <c r="C73" i="2"/>
  <c r="D73" i="2"/>
  <c r="E73" i="2"/>
  <c r="F73" i="2"/>
  <c r="G73" i="2"/>
  <c r="H73" i="2"/>
  <c r="I73" i="2"/>
  <c r="J73" i="2"/>
  <c r="K73" i="2"/>
  <c r="B74" i="2"/>
  <c r="C74" i="2"/>
  <c r="D74" i="2"/>
  <c r="E74" i="2"/>
  <c r="F74" i="2"/>
  <c r="G74" i="2"/>
  <c r="H74" i="2"/>
  <c r="I74" i="2"/>
  <c r="J74" i="2"/>
  <c r="K74" i="2"/>
  <c r="B75" i="2"/>
  <c r="C75" i="2"/>
  <c r="D75" i="2"/>
  <c r="E75" i="2"/>
  <c r="F75" i="2"/>
  <c r="G75" i="2"/>
  <c r="H75" i="2"/>
  <c r="I75" i="2"/>
  <c r="J75" i="2"/>
  <c r="K75" i="2"/>
  <c r="B76" i="2"/>
  <c r="C76" i="2"/>
  <c r="D76" i="2"/>
  <c r="E76" i="2"/>
  <c r="F76" i="2"/>
  <c r="G76" i="2"/>
  <c r="H76" i="2"/>
  <c r="I76" i="2"/>
  <c r="J76" i="2"/>
  <c r="K76" i="2"/>
  <c r="B77" i="2"/>
  <c r="C77" i="2"/>
  <c r="D77" i="2"/>
  <c r="E77" i="2"/>
  <c r="F77" i="2"/>
  <c r="G77" i="2"/>
  <c r="H77" i="2"/>
  <c r="I77" i="2"/>
  <c r="J77" i="2"/>
  <c r="K77" i="2"/>
  <c r="B78" i="2"/>
  <c r="C78" i="2"/>
  <c r="D78" i="2"/>
  <c r="E78" i="2"/>
  <c r="F78" i="2"/>
  <c r="G78" i="2"/>
  <c r="H78" i="2"/>
  <c r="I78" i="2"/>
  <c r="J78" i="2"/>
  <c r="K78" i="2"/>
  <c r="B79" i="2"/>
  <c r="C79" i="2"/>
  <c r="D79" i="2"/>
  <c r="E79" i="2"/>
  <c r="F79" i="2"/>
  <c r="G79" i="2"/>
  <c r="H79" i="2"/>
  <c r="I79" i="2"/>
  <c r="J79" i="2"/>
  <c r="K79" i="2"/>
  <c r="B80" i="2"/>
  <c r="C80" i="2"/>
  <c r="D80" i="2"/>
  <c r="E80" i="2"/>
  <c r="F80" i="2"/>
  <c r="G80" i="2"/>
  <c r="H80" i="2"/>
  <c r="I80" i="2"/>
  <c r="J80" i="2"/>
  <c r="K80" i="2"/>
  <c r="B81" i="2"/>
  <c r="C81" i="2"/>
  <c r="D81" i="2"/>
  <c r="E81" i="2"/>
  <c r="F81" i="2"/>
  <c r="G81" i="2"/>
  <c r="H81" i="2"/>
  <c r="I81" i="2"/>
  <c r="J81" i="2"/>
  <c r="K81" i="2"/>
  <c r="B82" i="2"/>
  <c r="C82" i="2"/>
  <c r="D82" i="2"/>
  <c r="E82" i="2"/>
  <c r="F82" i="2"/>
  <c r="G82" i="2"/>
  <c r="H82" i="2"/>
  <c r="I82" i="2"/>
  <c r="J82" i="2"/>
  <c r="K82" i="2"/>
  <c r="B83" i="2"/>
  <c r="C83" i="2"/>
  <c r="D83" i="2"/>
  <c r="E83" i="2"/>
  <c r="F83" i="2"/>
  <c r="G83" i="2"/>
  <c r="H83" i="2"/>
  <c r="I83" i="2"/>
  <c r="J83" i="2"/>
  <c r="K83" i="2"/>
  <c r="B84" i="2"/>
  <c r="C84" i="2"/>
  <c r="D84" i="2"/>
  <c r="E84" i="2"/>
  <c r="F84" i="2"/>
  <c r="G84" i="2"/>
  <c r="H84" i="2"/>
  <c r="I84" i="2"/>
  <c r="J84" i="2"/>
  <c r="K84" i="2"/>
  <c r="B85" i="2"/>
  <c r="C85" i="2"/>
  <c r="D85" i="2"/>
  <c r="E85" i="2"/>
  <c r="F85" i="2"/>
  <c r="G85" i="2"/>
  <c r="H85" i="2"/>
  <c r="I85" i="2"/>
  <c r="J85" i="2"/>
  <c r="K85" i="2"/>
  <c r="B86" i="2"/>
  <c r="C86" i="2"/>
  <c r="D86" i="2"/>
  <c r="E86" i="2"/>
  <c r="F86" i="2"/>
  <c r="G86" i="2"/>
  <c r="H86" i="2"/>
  <c r="I86" i="2"/>
  <c r="J86" i="2"/>
  <c r="K86" i="2"/>
  <c r="B87" i="2"/>
  <c r="C87" i="2"/>
  <c r="D87" i="2"/>
  <c r="E87" i="2"/>
  <c r="F87" i="2"/>
  <c r="G87" i="2"/>
  <c r="H87" i="2"/>
  <c r="I87" i="2"/>
  <c r="J87" i="2"/>
  <c r="K87" i="2"/>
  <c r="B88" i="2"/>
  <c r="C88" i="2"/>
  <c r="D88" i="2"/>
  <c r="E88" i="2"/>
  <c r="F88" i="2"/>
  <c r="G88" i="2"/>
  <c r="H88" i="2"/>
  <c r="I88" i="2"/>
  <c r="J88" i="2"/>
  <c r="K88" i="2"/>
  <c r="B89" i="2"/>
  <c r="C89" i="2"/>
  <c r="D89" i="2"/>
  <c r="E89" i="2"/>
  <c r="F89" i="2"/>
  <c r="G89" i="2"/>
  <c r="H89" i="2"/>
  <c r="I89" i="2"/>
  <c r="J89" i="2"/>
  <c r="K89" i="2"/>
  <c r="B90" i="2"/>
  <c r="C90" i="2"/>
  <c r="D90" i="2"/>
  <c r="E90" i="2"/>
  <c r="F90" i="2"/>
  <c r="G90" i="2"/>
  <c r="H90" i="2"/>
  <c r="I90" i="2"/>
  <c r="J90" i="2"/>
  <c r="K90" i="2"/>
  <c r="B91" i="2"/>
  <c r="C91" i="2"/>
  <c r="D91" i="2"/>
  <c r="E91" i="2"/>
  <c r="F91" i="2"/>
  <c r="G91" i="2"/>
  <c r="H91" i="2"/>
  <c r="I91" i="2"/>
  <c r="J91" i="2"/>
  <c r="K91" i="2"/>
  <c r="B92" i="2"/>
  <c r="C92" i="2"/>
  <c r="D92" i="2"/>
  <c r="E92" i="2"/>
  <c r="F92" i="2"/>
  <c r="G92" i="2"/>
  <c r="H92" i="2"/>
  <c r="I92" i="2"/>
  <c r="J92" i="2"/>
  <c r="K92" i="2"/>
  <c r="B93" i="2"/>
  <c r="C93" i="2"/>
  <c r="D93" i="2"/>
  <c r="E93" i="2"/>
  <c r="F93" i="2"/>
  <c r="G93" i="2"/>
  <c r="H93" i="2"/>
  <c r="I93" i="2"/>
  <c r="J93" i="2"/>
  <c r="K93" i="2"/>
  <c r="B94" i="2"/>
  <c r="C94" i="2"/>
  <c r="D94" i="2"/>
  <c r="E94" i="2"/>
  <c r="F94" i="2"/>
  <c r="G94" i="2"/>
  <c r="H94" i="2"/>
  <c r="I94" i="2"/>
  <c r="J94" i="2"/>
  <c r="K94" i="2"/>
  <c r="B95" i="2"/>
  <c r="C95" i="2"/>
  <c r="D95" i="2"/>
  <c r="E95" i="2"/>
  <c r="F95" i="2"/>
  <c r="G95" i="2"/>
  <c r="H95" i="2"/>
  <c r="I95" i="2"/>
  <c r="J95" i="2"/>
  <c r="K95" i="2"/>
  <c r="B96" i="2"/>
  <c r="C96" i="2"/>
  <c r="D96" i="2"/>
  <c r="E96" i="2"/>
  <c r="F96" i="2"/>
  <c r="G96" i="2"/>
  <c r="H96" i="2"/>
  <c r="I96" i="2"/>
  <c r="J96" i="2"/>
  <c r="K96" i="2"/>
  <c r="B97" i="2"/>
  <c r="C97" i="2"/>
  <c r="D97" i="2"/>
  <c r="E97" i="2"/>
  <c r="F97" i="2"/>
  <c r="G97" i="2"/>
  <c r="H97" i="2"/>
  <c r="I97" i="2"/>
  <c r="J97" i="2"/>
  <c r="K97" i="2"/>
  <c r="B98" i="2"/>
  <c r="C98" i="2"/>
  <c r="D98" i="2"/>
  <c r="E98" i="2"/>
  <c r="F98" i="2"/>
  <c r="G98" i="2"/>
  <c r="H98" i="2"/>
  <c r="I98" i="2"/>
  <c r="J98" i="2"/>
  <c r="K98" i="2"/>
  <c r="B99" i="2"/>
  <c r="C99" i="2"/>
  <c r="D99" i="2"/>
  <c r="E99" i="2"/>
  <c r="F99" i="2"/>
  <c r="G99" i="2"/>
  <c r="H99" i="2"/>
  <c r="I99" i="2"/>
  <c r="J99" i="2"/>
  <c r="K99" i="2"/>
  <c r="B100" i="2"/>
  <c r="C100" i="2"/>
  <c r="D100" i="2"/>
  <c r="E100" i="2"/>
  <c r="F100" i="2"/>
  <c r="G100" i="2"/>
  <c r="H100" i="2"/>
  <c r="I100" i="2"/>
  <c r="J100" i="2"/>
  <c r="K100" i="2"/>
  <c r="B101" i="2"/>
  <c r="C101" i="2"/>
  <c r="D101" i="2"/>
  <c r="E101" i="2"/>
  <c r="F101" i="2"/>
  <c r="G101" i="2"/>
  <c r="H101" i="2"/>
  <c r="I101" i="2"/>
  <c r="J101" i="2"/>
  <c r="K101" i="2"/>
  <c r="B102" i="2"/>
  <c r="C102" i="2"/>
  <c r="D102" i="2"/>
  <c r="E102" i="2"/>
  <c r="F102" i="2"/>
  <c r="G102" i="2"/>
  <c r="H102" i="2"/>
  <c r="I102" i="2"/>
  <c r="J102" i="2"/>
  <c r="K102" i="2"/>
  <c r="B103" i="2"/>
  <c r="C103" i="2"/>
  <c r="D103" i="2"/>
  <c r="E103" i="2"/>
  <c r="F103" i="2"/>
  <c r="G103" i="2"/>
  <c r="H103" i="2"/>
  <c r="I103" i="2"/>
  <c r="J103" i="2"/>
  <c r="K103" i="2"/>
  <c r="B104" i="2"/>
  <c r="C104" i="2"/>
  <c r="D104" i="2"/>
  <c r="E104" i="2"/>
  <c r="F104" i="2"/>
  <c r="G104" i="2"/>
  <c r="H104" i="2"/>
  <c r="I104" i="2"/>
  <c r="J104" i="2"/>
  <c r="K104" i="2"/>
  <c r="B105" i="2"/>
  <c r="C105" i="2"/>
  <c r="D105" i="2"/>
  <c r="E105" i="2"/>
  <c r="F105" i="2"/>
  <c r="G105" i="2"/>
  <c r="H105" i="2"/>
  <c r="I105" i="2"/>
  <c r="J105" i="2"/>
  <c r="K105" i="2"/>
  <c r="B106" i="2"/>
  <c r="C106" i="2"/>
  <c r="D106" i="2"/>
  <c r="E106" i="2"/>
  <c r="F106" i="2"/>
  <c r="G106" i="2"/>
  <c r="H106" i="2"/>
  <c r="I106" i="2"/>
  <c r="J106" i="2"/>
  <c r="K106" i="2"/>
  <c r="B107" i="2"/>
  <c r="C107" i="2"/>
  <c r="D107" i="2"/>
  <c r="E107" i="2"/>
  <c r="F107" i="2"/>
  <c r="G107" i="2"/>
  <c r="H107" i="2"/>
  <c r="I107" i="2"/>
  <c r="J107" i="2"/>
  <c r="K107" i="2"/>
  <c r="B108" i="2"/>
  <c r="C108" i="2"/>
  <c r="D108" i="2"/>
  <c r="E108" i="2"/>
  <c r="F108" i="2"/>
  <c r="G108" i="2"/>
  <c r="H108" i="2"/>
  <c r="I108" i="2"/>
  <c r="J108" i="2"/>
  <c r="K108" i="2"/>
  <c r="B109" i="2"/>
  <c r="C109" i="2"/>
  <c r="D109" i="2"/>
  <c r="E109" i="2"/>
  <c r="F109" i="2"/>
  <c r="G109" i="2"/>
  <c r="H109" i="2"/>
  <c r="I109" i="2"/>
  <c r="J109" i="2"/>
  <c r="K109" i="2"/>
  <c r="B110" i="2"/>
  <c r="C110" i="2"/>
  <c r="D110" i="2"/>
  <c r="E110" i="2"/>
  <c r="F110" i="2"/>
  <c r="G110" i="2"/>
  <c r="H110" i="2"/>
  <c r="I110" i="2"/>
  <c r="J110" i="2"/>
  <c r="K110" i="2"/>
  <c r="B111" i="2"/>
  <c r="C111" i="2"/>
  <c r="D111" i="2"/>
  <c r="E111" i="2"/>
  <c r="F111" i="2"/>
  <c r="G111" i="2"/>
  <c r="H111" i="2"/>
  <c r="I111" i="2"/>
  <c r="J111" i="2"/>
  <c r="K111" i="2"/>
  <c r="B112" i="2"/>
  <c r="C112" i="2"/>
  <c r="D112" i="2"/>
  <c r="E112" i="2"/>
  <c r="F112" i="2"/>
  <c r="G112" i="2"/>
  <c r="H112" i="2"/>
  <c r="I112" i="2"/>
  <c r="J112" i="2"/>
  <c r="K112" i="2"/>
  <c r="B113" i="2"/>
  <c r="C113" i="2"/>
  <c r="D113" i="2"/>
  <c r="E113" i="2"/>
  <c r="F113" i="2"/>
  <c r="G113" i="2"/>
  <c r="H113" i="2"/>
  <c r="I113" i="2"/>
  <c r="J113" i="2"/>
  <c r="K113" i="2"/>
  <c r="B114" i="2"/>
  <c r="C114" i="2"/>
  <c r="D114" i="2"/>
  <c r="E114" i="2"/>
  <c r="F114" i="2"/>
  <c r="G114" i="2"/>
  <c r="H114" i="2"/>
  <c r="I114" i="2"/>
  <c r="J114" i="2"/>
  <c r="K114" i="2"/>
  <c r="B115" i="2"/>
  <c r="C115" i="2"/>
  <c r="D115" i="2"/>
  <c r="E115" i="2"/>
  <c r="F115" i="2"/>
  <c r="G115" i="2"/>
  <c r="H115" i="2"/>
  <c r="I115" i="2"/>
  <c r="J115" i="2"/>
  <c r="K115" i="2"/>
  <c r="B116" i="2"/>
  <c r="C116" i="2"/>
  <c r="D116" i="2"/>
  <c r="E116" i="2"/>
  <c r="F116" i="2"/>
  <c r="G116" i="2"/>
  <c r="H116" i="2"/>
  <c r="I116" i="2"/>
  <c r="J116" i="2"/>
  <c r="K116" i="2"/>
  <c r="B117" i="2"/>
  <c r="C117" i="2"/>
  <c r="D117" i="2"/>
  <c r="E117" i="2"/>
  <c r="F117" i="2"/>
  <c r="G117" i="2"/>
  <c r="H117" i="2"/>
  <c r="I117" i="2"/>
  <c r="J117" i="2"/>
  <c r="K117" i="2"/>
  <c r="B118" i="2"/>
  <c r="C118" i="2"/>
  <c r="D118" i="2"/>
  <c r="E118" i="2"/>
  <c r="F118" i="2"/>
  <c r="G118" i="2"/>
  <c r="H118" i="2"/>
  <c r="I118" i="2"/>
  <c r="J118" i="2"/>
  <c r="K118" i="2"/>
  <c r="B119" i="2"/>
  <c r="C119" i="2"/>
  <c r="D119" i="2"/>
  <c r="E119" i="2"/>
  <c r="F119" i="2"/>
  <c r="G119" i="2"/>
  <c r="H119" i="2"/>
  <c r="I119" i="2"/>
  <c r="J119" i="2"/>
  <c r="K119" i="2"/>
  <c r="B120" i="2"/>
  <c r="C120" i="2"/>
  <c r="D120" i="2"/>
  <c r="E120" i="2"/>
  <c r="F120" i="2"/>
  <c r="G120" i="2"/>
  <c r="H120" i="2"/>
  <c r="I120" i="2"/>
  <c r="J120" i="2"/>
  <c r="K120" i="2"/>
  <c r="B121" i="2"/>
  <c r="C121" i="2"/>
  <c r="D121" i="2"/>
  <c r="E121" i="2"/>
  <c r="F121" i="2"/>
  <c r="G121" i="2"/>
  <c r="H121" i="2"/>
  <c r="I121" i="2"/>
  <c r="J121" i="2"/>
  <c r="K121" i="2"/>
  <c r="B122" i="2"/>
  <c r="C122" i="2"/>
  <c r="D122" i="2"/>
  <c r="E122" i="2"/>
  <c r="F122" i="2"/>
  <c r="G122" i="2"/>
  <c r="H122" i="2"/>
  <c r="I122" i="2"/>
  <c r="J122" i="2"/>
  <c r="K122" i="2"/>
  <c r="B123" i="2"/>
  <c r="C123" i="2"/>
  <c r="D123" i="2"/>
  <c r="E123" i="2"/>
  <c r="F123" i="2"/>
  <c r="G123" i="2"/>
  <c r="H123" i="2"/>
  <c r="I123" i="2"/>
  <c r="J123" i="2"/>
  <c r="K123" i="2"/>
  <c r="B124" i="2"/>
  <c r="C124" i="2"/>
  <c r="D124" i="2"/>
  <c r="E124" i="2"/>
  <c r="F124" i="2"/>
  <c r="G124" i="2"/>
  <c r="H124" i="2"/>
  <c r="I124" i="2"/>
  <c r="J124" i="2"/>
  <c r="K124" i="2"/>
  <c r="B125" i="2"/>
  <c r="C125" i="2"/>
  <c r="D125" i="2"/>
  <c r="E125" i="2"/>
  <c r="F125" i="2"/>
  <c r="G125" i="2"/>
  <c r="H125" i="2"/>
  <c r="I125" i="2"/>
  <c r="J125" i="2"/>
  <c r="K125" i="2"/>
  <c r="B126" i="2"/>
  <c r="C126" i="2"/>
  <c r="D126" i="2"/>
  <c r="E126" i="2"/>
  <c r="F126" i="2"/>
  <c r="G126" i="2"/>
  <c r="H126" i="2"/>
  <c r="I126" i="2"/>
  <c r="J126" i="2"/>
  <c r="K126" i="2"/>
  <c r="B127" i="2"/>
  <c r="C127" i="2"/>
  <c r="D127" i="2"/>
  <c r="E127" i="2"/>
  <c r="F127" i="2"/>
  <c r="G127" i="2"/>
  <c r="H127" i="2"/>
  <c r="I127" i="2"/>
  <c r="J127" i="2"/>
  <c r="K127" i="2"/>
  <c r="B128" i="2"/>
  <c r="C128" i="2"/>
  <c r="D128" i="2"/>
  <c r="E128" i="2"/>
  <c r="F128" i="2"/>
  <c r="G128" i="2"/>
  <c r="H128" i="2"/>
  <c r="I128" i="2"/>
  <c r="J128" i="2"/>
  <c r="K128" i="2"/>
  <c r="B129" i="2"/>
  <c r="C129" i="2"/>
  <c r="D129" i="2"/>
  <c r="E129" i="2"/>
  <c r="F129" i="2"/>
  <c r="G129" i="2"/>
  <c r="H129" i="2"/>
  <c r="I129" i="2"/>
  <c r="J129" i="2"/>
  <c r="K129" i="2"/>
  <c r="B130" i="2"/>
  <c r="C130" i="2"/>
  <c r="D130" i="2"/>
  <c r="E130" i="2"/>
  <c r="F130" i="2"/>
  <c r="G130" i="2"/>
  <c r="H130" i="2"/>
  <c r="I130" i="2"/>
  <c r="J130" i="2"/>
  <c r="K130" i="2"/>
  <c r="B131" i="2"/>
  <c r="C131" i="2"/>
  <c r="D131" i="2"/>
  <c r="E131" i="2"/>
  <c r="F131" i="2"/>
  <c r="G131" i="2"/>
  <c r="H131" i="2"/>
  <c r="I131" i="2"/>
  <c r="J131" i="2"/>
  <c r="K131" i="2"/>
  <c r="B132" i="2"/>
  <c r="C132" i="2"/>
  <c r="D132" i="2"/>
  <c r="E132" i="2"/>
  <c r="F132" i="2"/>
  <c r="G132" i="2"/>
  <c r="H132" i="2"/>
  <c r="I132" i="2"/>
  <c r="J132" i="2"/>
  <c r="K132" i="2"/>
  <c r="B133" i="2"/>
  <c r="C133" i="2"/>
  <c r="D133" i="2"/>
  <c r="E133" i="2"/>
  <c r="F133" i="2"/>
  <c r="G133" i="2"/>
  <c r="H133" i="2"/>
  <c r="I133" i="2"/>
  <c r="J133" i="2"/>
  <c r="K133" i="2"/>
  <c r="B134" i="2"/>
  <c r="C134" i="2"/>
  <c r="D134" i="2"/>
  <c r="E134" i="2"/>
  <c r="F134" i="2"/>
  <c r="G134" i="2"/>
  <c r="H134" i="2"/>
  <c r="I134" i="2"/>
  <c r="J134" i="2"/>
  <c r="K134" i="2"/>
  <c r="B135" i="2"/>
  <c r="C135" i="2"/>
  <c r="D135" i="2"/>
  <c r="E135" i="2"/>
  <c r="F135" i="2"/>
  <c r="G135" i="2"/>
  <c r="H135" i="2"/>
  <c r="I135" i="2"/>
  <c r="J135" i="2"/>
  <c r="K135" i="2"/>
  <c r="B136" i="2"/>
  <c r="C136" i="2"/>
  <c r="D136" i="2"/>
  <c r="E136" i="2"/>
  <c r="F136" i="2"/>
  <c r="G136" i="2"/>
  <c r="H136" i="2"/>
  <c r="I136" i="2"/>
  <c r="J136" i="2"/>
  <c r="K136" i="2"/>
  <c r="B137" i="2"/>
  <c r="C137" i="2"/>
  <c r="D137" i="2"/>
  <c r="E137" i="2"/>
  <c r="F137" i="2"/>
  <c r="G137" i="2"/>
  <c r="H137" i="2"/>
  <c r="I137" i="2"/>
  <c r="J137" i="2"/>
  <c r="K137" i="2"/>
  <c r="B138" i="2"/>
  <c r="C138" i="2"/>
  <c r="D138" i="2"/>
  <c r="E138" i="2"/>
  <c r="F138" i="2"/>
  <c r="G138" i="2"/>
  <c r="H138" i="2"/>
  <c r="I138" i="2"/>
  <c r="J138" i="2"/>
  <c r="K138" i="2"/>
  <c r="B139" i="2"/>
  <c r="C139" i="2"/>
  <c r="D139" i="2"/>
  <c r="E139" i="2"/>
  <c r="F139" i="2"/>
  <c r="G139" i="2"/>
  <c r="H139" i="2"/>
  <c r="I139" i="2"/>
  <c r="J139" i="2"/>
  <c r="K139" i="2"/>
  <c r="B140" i="2"/>
  <c r="C140" i="2"/>
  <c r="D140" i="2"/>
  <c r="E140" i="2"/>
  <c r="F140" i="2"/>
  <c r="G140" i="2"/>
  <c r="H140" i="2"/>
  <c r="I140" i="2"/>
  <c r="J140" i="2"/>
  <c r="K140" i="2"/>
  <c r="B141" i="2"/>
  <c r="C141" i="2"/>
  <c r="D141" i="2"/>
  <c r="E141" i="2"/>
  <c r="F141" i="2"/>
  <c r="G141" i="2"/>
  <c r="H141" i="2"/>
  <c r="I141" i="2"/>
  <c r="J141" i="2"/>
  <c r="K141" i="2"/>
  <c r="B142" i="2"/>
  <c r="C142" i="2"/>
  <c r="D142" i="2"/>
  <c r="E142" i="2"/>
  <c r="F142" i="2"/>
  <c r="G142" i="2"/>
  <c r="H142" i="2"/>
  <c r="I142" i="2"/>
  <c r="J142" i="2"/>
  <c r="K142" i="2"/>
  <c r="B143" i="2"/>
  <c r="C143" i="2"/>
  <c r="D143" i="2"/>
  <c r="E143" i="2"/>
  <c r="F143" i="2"/>
  <c r="G143" i="2"/>
  <c r="H143" i="2"/>
  <c r="I143" i="2"/>
  <c r="J143" i="2"/>
  <c r="K143" i="2"/>
  <c r="B144" i="2"/>
  <c r="C144" i="2"/>
  <c r="D144" i="2"/>
  <c r="E144" i="2"/>
  <c r="F144" i="2"/>
  <c r="G144" i="2"/>
  <c r="H144" i="2"/>
  <c r="I144" i="2"/>
  <c r="J144" i="2"/>
  <c r="K144" i="2"/>
  <c r="B145" i="2"/>
  <c r="C145" i="2"/>
  <c r="D145" i="2"/>
  <c r="E145" i="2"/>
  <c r="F145" i="2"/>
  <c r="G145" i="2"/>
  <c r="H145" i="2"/>
  <c r="I145" i="2"/>
  <c r="J145" i="2"/>
  <c r="K145" i="2"/>
  <c r="B146" i="2"/>
  <c r="C146" i="2"/>
  <c r="D146" i="2"/>
  <c r="E146" i="2"/>
  <c r="F146" i="2"/>
  <c r="G146" i="2"/>
  <c r="H146" i="2"/>
  <c r="I146" i="2"/>
  <c r="J146" i="2"/>
  <c r="K146" i="2"/>
  <c r="B147" i="2"/>
  <c r="C147" i="2"/>
  <c r="D147" i="2"/>
  <c r="E147" i="2"/>
  <c r="F147" i="2"/>
  <c r="G147" i="2"/>
  <c r="H147" i="2"/>
  <c r="I147" i="2"/>
  <c r="J147" i="2"/>
  <c r="K147" i="2"/>
  <c r="B148" i="2"/>
  <c r="C148" i="2"/>
  <c r="D148" i="2"/>
  <c r="E148" i="2"/>
  <c r="F148" i="2"/>
  <c r="G148" i="2"/>
  <c r="H148" i="2"/>
  <c r="I148" i="2"/>
  <c r="J148" i="2"/>
  <c r="K148" i="2"/>
  <c r="B149" i="2"/>
  <c r="C149" i="2"/>
  <c r="D149" i="2"/>
  <c r="E149" i="2"/>
  <c r="F149" i="2"/>
  <c r="G149" i="2"/>
  <c r="H149" i="2"/>
  <c r="I149" i="2"/>
  <c r="J149" i="2"/>
  <c r="K149" i="2"/>
  <c r="B150" i="2"/>
  <c r="C150" i="2"/>
  <c r="D150" i="2"/>
  <c r="E150" i="2"/>
  <c r="F150" i="2"/>
  <c r="G150" i="2"/>
  <c r="H150" i="2"/>
  <c r="I150" i="2"/>
  <c r="J150" i="2"/>
  <c r="K150" i="2"/>
  <c r="B151" i="2"/>
  <c r="C151" i="2"/>
  <c r="D151" i="2"/>
  <c r="E151" i="2"/>
  <c r="F151" i="2"/>
  <c r="G151" i="2"/>
  <c r="H151" i="2"/>
  <c r="I151" i="2"/>
  <c r="J151" i="2"/>
  <c r="K151" i="2"/>
  <c r="B152" i="2"/>
  <c r="C152" i="2"/>
  <c r="D152" i="2"/>
  <c r="E152" i="2"/>
  <c r="F152" i="2"/>
  <c r="G152" i="2"/>
  <c r="H152" i="2"/>
  <c r="I152" i="2"/>
  <c r="J152" i="2"/>
  <c r="K152" i="2"/>
  <c r="B153" i="2"/>
  <c r="C153" i="2"/>
  <c r="D153" i="2"/>
  <c r="E153" i="2"/>
  <c r="F153" i="2"/>
  <c r="G153" i="2"/>
  <c r="H153" i="2"/>
  <c r="I153" i="2"/>
  <c r="J153" i="2"/>
  <c r="K153" i="2"/>
  <c r="B154" i="2"/>
  <c r="C154" i="2"/>
  <c r="D154" i="2"/>
  <c r="E154" i="2"/>
  <c r="F154" i="2"/>
  <c r="G154" i="2"/>
  <c r="H154" i="2"/>
  <c r="I154" i="2"/>
  <c r="J154" i="2"/>
  <c r="K154" i="2"/>
  <c r="B155" i="2"/>
  <c r="C155" i="2"/>
  <c r="D155" i="2"/>
  <c r="E155" i="2"/>
  <c r="F155" i="2"/>
  <c r="G155" i="2"/>
  <c r="H155" i="2"/>
  <c r="I155" i="2"/>
  <c r="J155" i="2"/>
  <c r="K155" i="2"/>
  <c r="B156" i="2"/>
  <c r="C156" i="2"/>
  <c r="D156" i="2"/>
  <c r="E156" i="2"/>
  <c r="F156" i="2"/>
  <c r="G156" i="2"/>
  <c r="H156" i="2"/>
  <c r="I156" i="2"/>
  <c r="J156" i="2"/>
  <c r="K156" i="2"/>
  <c r="B157" i="2"/>
  <c r="C157" i="2"/>
  <c r="D157" i="2"/>
  <c r="E157" i="2"/>
  <c r="F157" i="2"/>
  <c r="G157" i="2"/>
  <c r="H157" i="2"/>
  <c r="I157" i="2"/>
  <c r="J157" i="2"/>
  <c r="K157" i="2"/>
  <c r="B158" i="2"/>
  <c r="C158" i="2"/>
  <c r="D158" i="2"/>
  <c r="E158" i="2"/>
  <c r="F158" i="2"/>
  <c r="G158" i="2"/>
  <c r="H158" i="2"/>
  <c r="I158" i="2"/>
  <c r="J158" i="2"/>
  <c r="K158" i="2"/>
  <c r="B159" i="2"/>
  <c r="C159" i="2"/>
  <c r="D159" i="2"/>
  <c r="E159" i="2"/>
  <c r="F159" i="2"/>
  <c r="G159" i="2"/>
  <c r="H159" i="2"/>
  <c r="I159" i="2"/>
  <c r="J159" i="2"/>
  <c r="K159" i="2"/>
  <c r="B160" i="2"/>
  <c r="C160" i="2"/>
  <c r="D160" i="2"/>
  <c r="E160" i="2"/>
  <c r="F160" i="2"/>
  <c r="G160" i="2"/>
  <c r="H160" i="2"/>
  <c r="I160" i="2"/>
  <c r="J160" i="2"/>
  <c r="K160" i="2"/>
  <c r="B161" i="2"/>
  <c r="C161" i="2"/>
  <c r="D161" i="2"/>
  <c r="E161" i="2"/>
  <c r="F161" i="2"/>
  <c r="G161" i="2"/>
  <c r="H161" i="2"/>
  <c r="I161" i="2"/>
  <c r="J161" i="2"/>
  <c r="K161" i="2"/>
  <c r="B162" i="2"/>
  <c r="C162" i="2"/>
  <c r="D162" i="2"/>
  <c r="E162" i="2"/>
  <c r="F162" i="2"/>
  <c r="G162" i="2"/>
  <c r="H162" i="2"/>
  <c r="I162" i="2"/>
  <c r="J162" i="2"/>
  <c r="K162" i="2"/>
  <c r="B163" i="2"/>
  <c r="C163" i="2"/>
  <c r="D163" i="2"/>
  <c r="E163" i="2"/>
  <c r="F163" i="2"/>
  <c r="G163" i="2"/>
  <c r="H163" i="2"/>
  <c r="I163" i="2"/>
  <c r="J163" i="2"/>
  <c r="K163" i="2"/>
  <c r="B164" i="2"/>
  <c r="C164" i="2"/>
  <c r="D164" i="2"/>
  <c r="E164" i="2"/>
  <c r="F164" i="2"/>
  <c r="G164" i="2"/>
  <c r="H164" i="2"/>
  <c r="I164" i="2"/>
  <c r="J164" i="2"/>
  <c r="K164" i="2"/>
  <c r="B165" i="2"/>
  <c r="C165" i="2"/>
  <c r="D165" i="2"/>
  <c r="E165" i="2"/>
  <c r="F165" i="2"/>
  <c r="G165" i="2"/>
  <c r="H165" i="2"/>
  <c r="I165" i="2"/>
  <c r="J165" i="2"/>
  <c r="K165" i="2"/>
  <c r="B166" i="2"/>
  <c r="C166" i="2"/>
  <c r="D166" i="2"/>
  <c r="E166" i="2"/>
  <c r="F166" i="2"/>
  <c r="G166" i="2"/>
  <c r="H166" i="2"/>
  <c r="I166" i="2"/>
  <c r="J166" i="2"/>
  <c r="K166" i="2"/>
  <c r="B167" i="2"/>
  <c r="C167" i="2"/>
  <c r="D167" i="2"/>
  <c r="E167" i="2"/>
  <c r="F167" i="2"/>
  <c r="G167" i="2"/>
  <c r="H167" i="2"/>
  <c r="I167" i="2"/>
  <c r="J167" i="2"/>
  <c r="K167" i="2"/>
  <c r="B168" i="2"/>
  <c r="C168" i="2"/>
  <c r="D168" i="2"/>
  <c r="E168" i="2"/>
  <c r="F168" i="2"/>
  <c r="G168" i="2"/>
  <c r="H168" i="2"/>
  <c r="I168" i="2"/>
  <c r="J168" i="2"/>
  <c r="K168" i="2"/>
  <c r="B169" i="2"/>
  <c r="C169" i="2"/>
  <c r="D169" i="2"/>
  <c r="E169" i="2"/>
  <c r="F169" i="2"/>
  <c r="G169" i="2"/>
  <c r="H169" i="2"/>
  <c r="I169" i="2"/>
  <c r="J169" i="2"/>
  <c r="K169" i="2"/>
  <c r="B170" i="2"/>
  <c r="C170" i="2"/>
  <c r="D170" i="2"/>
  <c r="E170" i="2"/>
  <c r="F170" i="2"/>
  <c r="G170" i="2"/>
  <c r="H170" i="2"/>
  <c r="I170" i="2"/>
  <c r="J170" i="2"/>
  <c r="K170" i="2"/>
  <c r="B171" i="2"/>
  <c r="C171" i="2"/>
  <c r="D171" i="2"/>
  <c r="E171" i="2"/>
  <c r="F171" i="2"/>
  <c r="G171" i="2"/>
  <c r="H171" i="2"/>
  <c r="I171" i="2"/>
  <c r="J171" i="2"/>
  <c r="K171" i="2"/>
  <c r="B172" i="2"/>
  <c r="C172" i="2"/>
  <c r="D172" i="2"/>
  <c r="E172" i="2"/>
  <c r="F172" i="2"/>
  <c r="G172" i="2"/>
  <c r="H172" i="2"/>
  <c r="I172" i="2"/>
  <c r="J172" i="2"/>
  <c r="K172" i="2"/>
  <c r="B173" i="2"/>
  <c r="C173" i="2"/>
  <c r="D173" i="2"/>
  <c r="E173" i="2"/>
  <c r="F173" i="2"/>
  <c r="G173" i="2"/>
  <c r="H173" i="2"/>
  <c r="I173" i="2"/>
  <c r="J173" i="2"/>
  <c r="K173" i="2"/>
  <c r="B174" i="2"/>
  <c r="C174" i="2"/>
  <c r="D174" i="2"/>
  <c r="E174" i="2"/>
  <c r="F174" i="2"/>
  <c r="G174" i="2"/>
  <c r="H174" i="2"/>
  <c r="I174" i="2"/>
  <c r="J174" i="2"/>
  <c r="K174" i="2"/>
  <c r="B175" i="2"/>
  <c r="C175" i="2"/>
  <c r="D175" i="2"/>
  <c r="E175" i="2"/>
  <c r="F175" i="2"/>
  <c r="G175" i="2"/>
  <c r="H175" i="2"/>
  <c r="I175" i="2"/>
  <c r="J175" i="2"/>
  <c r="K175" i="2"/>
  <c r="B176" i="2"/>
  <c r="C176" i="2"/>
  <c r="D176" i="2"/>
  <c r="E176" i="2"/>
  <c r="F176" i="2"/>
  <c r="G176" i="2"/>
  <c r="H176" i="2"/>
  <c r="I176" i="2"/>
  <c r="J176" i="2"/>
  <c r="K176" i="2"/>
  <c r="B177" i="2"/>
  <c r="C177" i="2"/>
  <c r="D177" i="2"/>
  <c r="E177" i="2"/>
  <c r="F177" i="2"/>
  <c r="G177" i="2"/>
  <c r="H177" i="2"/>
  <c r="I177" i="2"/>
  <c r="J177" i="2"/>
  <c r="K177" i="2"/>
  <c r="B178" i="2"/>
  <c r="C178" i="2"/>
  <c r="D178" i="2"/>
  <c r="E178" i="2"/>
  <c r="F178" i="2"/>
  <c r="G178" i="2"/>
  <c r="H178" i="2"/>
  <c r="I178" i="2"/>
  <c r="J178" i="2"/>
  <c r="K178" i="2"/>
  <c r="B179" i="2"/>
  <c r="C179" i="2"/>
  <c r="D179" i="2"/>
  <c r="E179" i="2"/>
  <c r="F179" i="2"/>
  <c r="G179" i="2"/>
  <c r="H179" i="2"/>
  <c r="I179" i="2"/>
  <c r="J179" i="2"/>
  <c r="K179" i="2"/>
  <c r="B180" i="2"/>
  <c r="C180" i="2"/>
  <c r="D180" i="2"/>
  <c r="E180" i="2"/>
  <c r="F180" i="2"/>
  <c r="G180" i="2"/>
  <c r="H180" i="2"/>
  <c r="I180" i="2"/>
  <c r="J180" i="2"/>
  <c r="K180" i="2"/>
  <c r="B181" i="2"/>
  <c r="C181" i="2"/>
  <c r="D181" i="2"/>
  <c r="E181" i="2"/>
  <c r="F181" i="2"/>
  <c r="G181" i="2"/>
  <c r="H181" i="2"/>
  <c r="I181" i="2"/>
  <c r="J181" i="2"/>
  <c r="K181" i="2"/>
  <c r="B182" i="2"/>
  <c r="C182" i="2"/>
  <c r="D182" i="2"/>
  <c r="E182" i="2"/>
  <c r="F182" i="2"/>
  <c r="G182" i="2"/>
  <c r="H182" i="2"/>
  <c r="I182" i="2"/>
  <c r="J182" i="2"/>
  <c r="K182" i="2"/>
  <c r="B183" i="2"/>
  <c r="C183" i="2"/>
  <c r="D183" i="2"/>
  <c r="E183" i="2"/>
  <c r="F183" i="2"/>
  <c r="G183" i="2"/>
  <c r="H183" i="2"/>
  <c r="I183" i="2"/>
  <c r="J183" i="2"/>
  <c r="K183" i="2"/>
  <c r="B184" i="2"/>
  <c r="C184" i="2"/>
  <c r="D184" i="2"/>
  <c r="E184" i="2"/>
  <c r="F184" i="2"/>
  <c r="G184" i="2"/>
  <c r="H184" i="2"/>
  <c r="I184" i="2"/>
  <c r="J184" i="2"/>
  <c r="K184" i="2"/>
  <c r="B185" i="2"/>
  <c r="C185" i="2"/>
  <c r="D185" i="2"/>
  <c r="E185" i="2"/>
  <c r="F185" i="2"/>
  <c r="G185" i="2"/>
  <c r="H185" i="2"/>
  <c r="I185" i="2"/>
  <c r="J185" i="2"/>
  <c r="K185" i="2"/>
  <c r="B186" i="2"/>
  <c r="C186" i="2"/>
  <c r="D186" i="2"/>
  <c r="E186" i="2"/>
  <c r="F186" i="2"/>
  <c r="G186" i="2"/>
  <c r="H186" i="2"/>
  <c r="I186" i="2"/>
  <c r="J186" i="2"/>
  <c r="K186" i="2"/>
  <c r="B187" i="2"/>
  <c r="C187" i="2"/>
  <c r="D187" i="2"/>
  <c r="E187" i="2"/>
  <c r="F187" i="2"/>
  <c r="G187" i="2"/>
  <c r="H187" i="2"/>
  <c r="I187" i="2"/>
  <c r="J187" i="2"/>
  <c r="K187" i="2"/>
  <c r="B188" i="2"/>
  <c r="C188" i="2"/>
  <c r="D188" i="2"/>
  <c r="E188" i="2"/>
  <c r="F188" i="2"/>
  <c r="G188" i="2"/>
  <c r="H188" i="2"/>
  <c r="I188" i="2"/>
  <c r="J188" i="2"/>
  <c r="K188" i="2"/>
  <c r="B189" i="2"/>
  <c r="C189" i="2"/>
  <c r="D189" i="2"/>
  <c r="E189" i="2"/>
  <c r="F189" i="2"/>
  <c r="G189" i="2"/>
  <c r="H189" i="2"/>
  <c r="I189" i="2"/>
  <c r="J189" i="2"/>
  <c r="K189" i="2"/>
  <c r="B190" i="2"/>
  <c r="C190" i="2"/>
  <c r="D190" i="2"/>
  <c r="E190" i="2"/>
  <c r="F190" i="2"/>
  <c r="G190" i="2"/>
  <c r="H190" i="2"/>
  <c r="I190" i="2"/>
  <c r="J190" i="2"/>
  <c r="K190" i="2"/>
  <c r="B191" i="2"/>
  <c r="C191" i="2"/>
  <c r="D191" i="2"/>
  <c r="E191" i="2"/>
  <c r="F191" i="2"/>
  <c r="G191" i="2"/>
  <c r="H191" i="2"/>
  <c r="I191" i="2"/>
  <c r="J191" i="2"/>
  <c r="K191" i="2"/>
  <c r="B192" i="2"/>
  <c r="C192" i="2"/>
  <c r="D192" i="2"/>
  <c r="E192" i="2"/>
  <c r="F192" i="2"/>
  <c r="G192" i="2"/>
  <c r="H192" i="2"/>
  <c r="I192" i="2"/>
  <c r="J192" i="2"/>
  <c r="K192" i="2"/>
  <c r="B193" i="2"/>
  <c r="C193" i="2"/>
  <c r="D193" i="2"/>
  <c r="E193" i="2"/>
  <c r="F193" i="2"/>
  <c r="G193" i="2"/>
  <c r="H193" i="2"/>
  <c r="I193" i="2"/>
  <c r="J193" i="2"/>
  <c r="K193" i="2"/>
  <c r="B194" i="2"/>
  <c r="C194" i="2"/>
  <c r="D194" i="2"/>
  <c r="E194" i="2"/>
  <c r="F194" i="2"/>
  <c r="G194" i="2"/>
  <c r="H194" i="2"/>
  <c r="I194" i="2"/>
  <c r="J194" i="2"/>
  <c r="K194" i="2"/>
  <c r="B195" i="2"/>
  <c r="C195" i="2"/>
  <c r="D195" i="2"/>
  <c r="E195" i="2"/>
  <c r="F195" i="2"/>
  <c r="G195" i="2"/>
  <c r="H195" i="2"/>
  <c r="I195" i="2"/>
  <c r="J195" i="2"/>
  <c r="K195" i="2"/>
  <c r="B196" i="2"/>
  <c r="C196" i="2"/>
  <c r="D196" i="2"/>
  <c r="E196" i="2"/>
  <c r="F196" i="2"/>
  <c r="G196" i="2"/>
  <c r="H196" i="2"/>
  <c r="I196" i="2"/>
  <c r="J196" i="2"/>
  <c r="K196" i="2"/>
  <c r="B197" i="2"/>
  <c r="C197" i="2"/>
  <c r="D197" i="2"/>
  <c r="E197" i="2"/>
  <c r="F197" i="2"/>
  <c r="G197" i="2"/>
  <c r="H197" i="2"/>
  <c r="I197" i="2"/>
  <c r="J197" i="2"/>
  <c r="K197" i="2"/>
  <c r="B198" i="2"/>
  <c r="C198" i="2"/>
  <c r="D198" i="2"/>
  <c r="E198" i="2"/>
  <c r="F198" i="2"/>
  <c r="G198" i="2"/>
  <c r="H198" i="2"/>
  <c r="I198" i="2"/>
  <c r="J198" i="2"/>
  <c r="K198" i="2"/>
  <c r="B199" i="2"/>
  <c r="C199" i="2"/>
  <c r="D199" i="2"/>
  <c r="E199" i="2"/>
  <c r="F199" i="2"/>
  <c r="G199" i="2"/>
  <c r="H199" i="2"/>
  <c r="I199" i="2"/>
  <c r="J199" i="2"/>
  <c r="K199" i="2"/>
  <c r="B200" i="2"/>
  <c r="C200" i="2"/>
  <c r="D200" i="2"/>
  <c r="E200" i="2"/>
  <c r="F200" i="2"/>
  <c r="G200" i="2"/>
  <c r="H200" i="2"/>
  <c r="I200" i="2"/>
  <c r="J200" i="2"/>
  <c r="K200" i="2"/>
  <c r="B201" i="2"/>
  <c r="C201" i="2"/>
  <c r="D201" i="2"/>
  <c r="E201" i="2"/>
  <c r="F201" i="2"/>
  <c r="G201" i="2"/>
  <c r="H201" i="2"/>
  <c r="I201" i="2"/>
  <c r="J201" i="2"/>
  <c r="K201" i="2"/>
  <c r="B202" i="2"/>
  <c r="C202" i="2"/>
  <c r="D202" i="2"/>
  <c r="E202" i="2"/>
  <c r="F202" i="2"/>
  <c r="G202" i="2"/>
  <c r="H202" i="2"/>
  <c r="I202" i="2"/>
  <c r="J202" i="2"/>
  <c r="K202" i="2"/>
  <c r="B203" i="2"/>
  <c r="C203" i="2"/>
  <c r="D203" i="2"/>
  <c r="E203" i="2"/>
  <c r="F203" i="2"/>
  <c r="G203" i="2"/>
  <c r="H203" i="2"/>
  <c r="I203" i="2"/>
  <c r="J203" i="2"/>
  <c r="K203" i="2"/>
  <c r="B204" i="2"/>
  <c r="C204" i="2"/>
  <c r="D204" i="2"/>
  <c r="E204" i="2"/>
  <c r="F204" i="2"/>
  <c r="G204" i="2"/>
  <c r="H204" i="2"/>
  <c r="I204" i="2"/>
  <c r="J204" i="2"/>
  <c r="K204" i="2"/>
  <c r="B205" i="2"/>
  <c r="C205" i="2"/>
  <c r="D205" i="2"/>
  <c r="E205" i="2"/>
  <c r="F205" i="2"/>
  <c r="G205" i="2"/>
  <c r="H205" i="2"/>
  <c r="I205" i="2"/>
  <c r="J205" i="2"/>
  <c r="K205" i="2"/>
  <c r="B206" i="2"/>
  <c r="C206" i="2"/>
  <c r="D206" i="2"/>
  <c r="E206" i="2"/>
  <c r="F206" i="2"/>
  <c r="G206" i="2"/>
  <c r="H206" i="2"/>
  <c r="I206" i="2"/>
  <c r="J206" i="2"/>
  <c r="K206" i="2"/>
  <c r="B207" i="2"/>
  <c r="C207" i="2"/>
  <c r="D207" i="2"/>
  <c r="E207" i="2"/>
  <c r="F207" i="2"/>
  <c r="G207" i="2"/>
  <c r="H207" i="2"/>
  <c r="I207" i="2"/>
  <c r="J207" i="2"/>
  <c r="K207" i="2"/>
  <c r="B208" i="2"/>
  <c r="C208" i="2"/>
  <c r="D208" i="2"/>
  <c r="E208" i="2"/>
  <c r="F208" i="2"/>
  <c r="G208" i="2"/>
  <c r="H208" i="2"/>
  <c r="I208" i="2"/>
  <c r="J208" i="2"/>
  <c r="K208" i="2"/>
  <c r="B209" i="2"/>
  <c r="C209" i="2"/>
  <c r="D209" i="2"/>
  <c r="E209" i="2"/>
  <c r="F209" i="2"/>
  <c r="G209" i="2"/>
  <c r="H209" i="2"/>
  <c r="I209" i="2"/>
  <c r="J209" i="2"/>
  <c r="K209" i="2"/>
  <c r="B210" i="2"/>
  <c r="C210" i="2"/>
  <c r="D210" i="2"/>
  <c r="E210" i="2"/>
  <c r="F210" i="2"/>
  <c r="G210" i="2"/>
  <c r="H210" i="2"/>
  <c r="I210" i="2"/>
  <c r="J210" i="2"/>
  <c r="K210" i="2"/>
  <c r="B211" i="2"/>
  <c r="C211" i="2"/>
  <c r="D211" i="2"/>
  <c r="E211" i="2"/>
  <c r="F211" i="2"/>
  <c r="G211" i="2"/>
  <c r="H211" i="2"/>
  <c r="I211" i="2"/>
  <c r="J211" i="2"/>
  <c r="K211" i="2"/>
  <c r="B212" i="2"/>
  <c r="C212" i="2"/>
  <c r="D212" i="2"/>
  <c r="E212" i="2"/>
  <c r="F212" i="2"/>
  <c r="G212" i="2"/>
  <c r="H212" i="2"/>
  <c r="I212" i="2"/>
  <c r="J212" i="2"/>
  <c r="K212" i="2"/>
  <c r="B213" i="2"/>
  <c r="C213" i="2"/>
  <c r="D213" i="2"/>
  <c r="E213" i="2"/>
  <c r="F213" i="2"/>
  <c r="G213" i="2"/>
  <c r="H213" i="2"/>
  <c r="I213" i="2"/>
  <c r="J213" i="2"/>
  <c r="K213" i="2"/>
  <c r="B214" i="2"/>
  <c r="C214" i="2"/>
  <c r="D214" i="2"/>
  <c r="E214" i="2"/>
  <c r="F214" i="2"/>
  <c r="G214" i="2"/>
  <c r="H214" i="2"/>
  <c r="I214" i="2"/>
  <c r="J214" i="2"/>
  <c r="K214" i="2"/>
  <c r="B215" i="2"/>
  <c r="C215" i="2"/>
  <c r="D215" i="2"/>
  <c r="E215" i="2"/>
  <c r="F215" i="2"/>
  <c r="G215" i="2"/>
  <c r="H215" i="2"/>
  <c r="I215" i="2"/>
  <c r="J215" i="2"/>
  <c r="K215" i="2"/>
  <c r="B216" i="2"/>
  <c r="C216" i="2"/>
  <c r="D216" i="2"/>
  <c r="E216" i="2"/>
  <c r="F216" i="2"/>
  <c r="G216" i="2"/>
  <c r="H216" i="2"/>
  <c r="I216" i="2"/>
  <c r="J216" i="2"/>
  <c r="K216" i="2"/>
  <c r="B217" i="2"/>
  <c r="C217" i="2"/>
  <c r="D217" i="2"/>
  <c r="E217" i="2"/>
  <c r="F217" i="2"/>
  <c r="G217" i="2"/>
  <c r="H217" i="2"/>
  <c r="I217" i="2"/>
  <c r="J217" i="2"/>
  <c r="K217" i="2"/>
  <c r="B218" i="2"/>
  <c r="C218" i="2"/>
  <c r="D218" i="2"/>
  <c r="E218" i="2"/>
  <c r="F218" i="2"/>
  <c r="G218" i="2"/>
  <c r="H218" i="2"/>
  <c r="I218" i="2"/>
  <c r="J218" i="2"/>
  <c r="K218" i="2"/>
  <c r="B219" i="2"/>
  <c r="C219" i="2"/>
  <c r="D219" i="2"/>
  <c r="E219" i="2"/>
  <c r="F219" i="2"/>
  <c r="G219" i="2"/>
  <c r="H219" i="2"/>
  <c r="I219" i="2"/>
  <c r="J219" i="2"/>
  <c r="K219" i="2"/>
  <c r="B220" i="2"/>
  <c r="C220" i="2"/>
  <c r="D220" i="2"/>
  <c r="E220" i="2"/>
  <c r="F220" i="2"/>
  <c r="G220" i="2"/>
  <c r="H220" i="2"/>
  <c r="I220" i="2"/>
  <c r="J220" i="2"/>
  <c r="K220" i="2"/>
  <c r="B221" i="2"/>
  <c r="C221" i="2"/>
  <c r="D221" i="2"/>
  <c r="E221" i="2"/>
  <c r="F221" i="2"/>
  <c r="G221" i="2"/>
  <c r="H221" i="2"/>
  <c r="I221" i="2"/>
  <c r="J221" i="2"/>
  <c r="K221" i="2"/>
  <c r="B222" i="2"/>
  <c r="C222" i="2"/>
  <c r="D222" i="2"/>
  <c r="E222" i="2"/>
  <c r="F222" i="2"/>
  <c r="G222" i="2"/>
  <c r="H222" i="2"/>
  <c r="I222" i="2"/>
  <c r="J222" i="2"/>
  <c r="K222" i="2"/>
  <c r="B223" i="2"/>
  <c r="C223" i="2"/>
  <c r="D223" i="2"/>
  <c r="E223" i="2"/>
  <c r="F223" i="2"/>
  <c r="G223" i="2"/>
  <c r="H223" i="2"/>
  <c r="I223" i="2"/>
  <c r="J223" i="2"/>
  <c r="K223" i="2"/>
  <c r="B224" i="2"/>
  <c r="C224" i="2"/>
  <c r="D224" i="2"/>
  <c r="E224" i="2"/>
  <c r="F224" i="2"/>
  <c r="G224" i="2"/>
  <c r="H224" i="2"/>
  <c r="I224" i="2"/>
  <c r="J224" i="2"/>
  <c r="K224" i="2"/>
  <c r="B225" i="2"/>
  <c r="C225" i="2"/>
  <c r="D225" i="2"/>
  <c r="E225" i="2"/>
  <c r="F225" i="2"/>
  <c r="G225" i="2"/>
  <c r="H225" i="2"/>
  <c r="I225" i="2"/>
  <c r="J225" i="2"/>
  <c r="K225" i="2"/>
  <c r="B226" i="2"/>
  <c r="C226" i="2"/>
  <c r="D226" i="2"/>
  <c r="E226" i="2"/>
  <c r="F226" i="2"/>
  <c r="G226" i="2"/>
  <c r="H226" i="2"/>
  <c r="I226" i="2"/>
  <c r="J226" i="2"/>
  <c r="K226" i="2"/>
  <c r="B227" i="2"/>
  <c r="C227" i="2"/>
  <c r="D227" i="2"/>
  <c r="E227" i="2"/>
  <c r="F227" i="2"/>
  <c r="G227" i="2"/>
  <c r="H227" i="2"/>
  <c r="I227" i="2"/>
  <c r="J227" i="2"/>
  <c r="K227" i="2"/>
  <c r="B228" i="2"/>
  <c r="C228" i="2"/>
  <c r="D228" i="2"/>
  <c r="E228" i="2"/>
  <c r="F228" i="2"/>
  <c r="G228" i="2"/>
  <c r="H228" i="2"/>
  <c r="I228" i="2"/>
  <c r="J228" i="2"/>
  <c r="K228" i="2"/>
  <c r="B229" i="2"/>
  <c r="C229" i="2"/>
  <c r="D229" i="2"/>
  <c r="E229" i="2"/>
  <c r="F229" i="2"/>
  <c r="G229" i="2"/>
  <c r="H229" i="2"/>
  <c r="I229" i="2"/>
  <c r="J229" i="2"/>
  <c r="K229" i="2"/>
  <c r="B230" i="2"/>
  <c r="C230" i="2"/>
  <c r="D230" i="2"/>
  <c r="E230" i="2"/>
  <c r="F230" i="2"/>
  <c r="G230" i="2"/>
  <c r="H230" i="2"/>
  <c r="I230" i="2"/>
  <c r="J230" i="2"/>
  <c r="K230" i="2"/>
  <c r="B231" i="2"/>
  <c r="C231" i="2"/>
  <c r="D231" i="2"/>
  <c r="E231" i="2"/>
  <c r="F231" i="2"/>
  <c r="G231" i="2"/>
  <c r="H231" i="2"/>
  <c r="I231" i="2"/>
  <c r="J231" i="2"/>
  <c r="K231" i="2"/>
  <c r="B232" i="2"/>
  <c r="C232" i="2"/>
  <c r="D232" i="2"/>
  <c r="E232" i="2"/>
  <c r="F232" i="2"/>
  <c r="G232" i="2"/>
  <c r="H232" i="2"/>
  <c r="I232" i="2"/>
  <c r="J232" i="2"/>
  <c r="K232" i="2"/>
  <c r="B233" i="2"/>
  <c r="C233" i="2"/>
  <c r="D233" i="2"/>
  <c r="E233" i="2"/>
  <c r="F233" i="2"/>
  <c r="G233" i="2"/>
  <c r="H233" i="2"/>
  <c r="I233" i="2"/>
  <c r="J233" i="2"/>
  <c r="K233" i="2"/>
  <c r="B234" i="2"/>
  <c r="C234" i="2"/>
  <c r="D234" i="2"/>
  <c r="E234" i="2"/>
  <c r="F234" i="2"/>
  <c r="G234" i="2"/>
  <c r="H234" i="2"/>
  <c r="I234" i="2"/>
  <c r="J234" i="2"/>
  <c r="K234" i="2"/>
  <c r="B235" i="2"/>
  <c r="C235" i="2"/>
  <c r="D235" i="2"/>
  <c r="E235" i="2"/>
  <c r="F235" i="2"/>
  <c r="G235" i="2"/>
  <c r="H235" i="2"/>
  <c r="I235" i="2"/>
  <c r="J235" i="2"/>
  <c r="K235" i="2"/>
  <c r="B236" i="2"/>
  <c r="C236" i="2"/>
  <c r="D236" i="2"/>
  <c r="E236" i="2"/>
  <c r="F236" i="2"/>
  <c r="G236" i="2"/>
  <c r="H236" i="2"/>
  <c r="I236" i="2"/>
  <c r="J236" i="2"/>
  <c r="K236" i="2"/>
  <c r="B237" i="2"/>
  <c r="C237" i="2"/>
  <c r="D237" i="2"/>
  <c r="E237" i="2"/>
  <c r="F237" i="2"/>
  <c r="G237" i="2"/>
  <c r="H237" i="2"/>
  <c r="I237" i="2"/>
  <c r="J237" i="2"/>
  <c r="K237" i="2"/>
  <c r="B238" i="2"/>
  <c r="C238" i="2"/>
  <c r="D238" i="2"/>
  <c r="E238" i="2"/>
  <c r="F238" i="2"/>
  <c r="G238" i="2"/>
  <c r="H238" i="2"/>
  <c r="I238" i="2"/>
  <c r="J238" i="2"/>
  <c r="K238" i="2"/>
  <c r="B239" i="2"/>
  <c r="C239" i="2"/>
  <c r="D239" i="2"/>
  <c r="E239" i="2"/>
  <c r="F239" i="2"/>
  <c r="G239" i="2"/>
  <c r="H239" i="2"/>
  <c r="I239" i="2"/>
  <c r="J239" i="2"/>
  <c r="K239" i="2"/>
  <c r="B240" i="2"/>
  <c r="C240" i="2"/>
  <c r="D240" i="2"/>
  <c r="E240" i="2"/>
  <c r="F240" i="2"/>
  <c r="G240" i="2"/>
  <c r="H240" i="2"/>
  <c r="I240" i="2"/>
  <c r="J240" i="2"/>
  <c r="K240" i="2"/>
  <c r="B241" i="2"/>
  <c r="C241" i="2"/>
  <c r="D241" i="2"/>
  <c r="E241" i="2"/>
  <c r="F241" i="2"/>
  <c r="G241" i="2"/>
  <c r="H241" i="2"/>
  <c r="I241" i="2"/>
  <c r="J241" i="2"/>
  <c r="K241" i="2"/>
  <c r="B242" i="2"/>
  <c r="C242" i="2"/>
  <c r="D242" i="2"/>
  <c r="E242" i="2"/>
  <c r="F242" i="2"/>
  <c r="G242" i="2"/>
  <c r="H242" i="2"/>
  <c r="I242" i="2"/>
  <c r="J242" i="2"/>
  <c r="K242" i="2"/>
  <c r="B243" i="2"/>
  <c r="C243" i="2"/>
  <c r="D243" i="2"/>
  <c r="E243" i="2"/>
  <c r="F243" i="2"/>
  <c r="G243" i="2"/>
  <c r="H243" i="2"/>
  <c r="I243" i="2"/>
  <c r="J243" i="2"/>
  <c r="K243" i="2"/>
  <c r="B244" i="2"/>
  <c r="C244" i="2"/>
  <c r="D244" i="2"/>
  <c r="E244" i="2"/>
  <c r="F244" i="2"/>
  <c r="G244" i="2"/>
  <c r="H244" i="2"/>
  <c r="I244" i="2"/>
  <c r="J244" i="2"/>
  <c r="K244" i="2"/>
  <c r="B245" i="2"/>
  <c r="C245" i="2"/>
  <c r="D245" i="2"/>
  <c r="E245" i="2"/>
  <c r="F245" i="2"/>
  <c r="G245" i="2"/>
  <c r="H245" i="2"/>
  <c r="I245" i="2"/>
  <c r="J245" i="2"/>
  <c r="K245" i="2"/>
  <c r="B246" i="2"/>
  <c r="C246" i="2"/>
  <c r="D246" i="2"/>
  <c r="E246" i="2"/>
  <c r="F246" i="2"/>
  <c r="G246" i="2"/>
  <c r="H246" i="2"/>
  <c r="I246" i="2"/>
  <c r="J246" i="2"/>
  <c r="K246" i="2"/>
  <c r="B247" i="2"/>
  <c r="C247" i="2"/>
  <c r="D247" i="2"/>
  <c r="E247" i="2"/>
  <c r="F247" i="2"/>
  <c r="G247" i="2"/>
  <c r="H247" i="2"/>
  <c r="I247" i="2"/>
  <c r="J247" i="2"/>
  <c r="K247" i="2"/>
  <c r="B248" i="2"/>
  <c r="C248" i="2"/>
  <c r="D248" i="2"/>
  <c r="E248" i="2"/>
  <c r="F248" i="2"/>
  <c r="G248" i="2"/>
  <c r="H248" i="2"/>
  <c r="I248" i="2"/>
  <c r="J248" i="2"/>
  <c r="K248" i="2"/>
  <c r="B249" i="2"/>
  <c r="C249" i="2"/>
  <c r="D249" i="2"/>
  <c r="E249" i="2"/>
  <c r="F249" i="2"/>
  <c r="G249" i="2"/>
  <c r="H249" i="2"/>
  <c r="I249" i="2"/>
  <c r="J249" i="2"/>
  <c r="K249" i="2"/>
  <c r="B250" i="2"/>
  <c r="C250" i="2"/>
  <c r="D250" i="2"/>
  <c r="E250" i="2"/>
  <c r="F250" i="2"/>
  <c r="G250" i="2"/>
  <c r="H250" i="2"/>
  <c r="I250" i="2"/>
  <c r="J250" i="2"/>
  <c r="K250" i="2"/>
  <c r="B251" i="2"/>
  <c r="C251" i="2"/>
  <c r="D251" i="2"/>
  <c r="E251" i="2"/>
  <c r="F251" i="2"/>
  <c r="G251" i="2"/>
  <c r="H251" i="2"/>
  <c r="I251" i="2"/>
  <c r="J251" i="2"/>
  <c r="K251" i="2"/>
  <c r="B252" i="2"/>
  <c r="C252" i="2"/>
  <c r="D252" i="2"/>
  <c r="E252" i="2"/>
  <c r="F252" i="2"/>
  <c r="G252" i="2"/>
  <c r="H252" i="2"/>
  <c r="I252" i="2"/>
  <c r="J252" i="2"/>
  <c r="K252" i="2"/>
  <c r="B253" i="2"/>
  <c r="C253" i="2"/>
  <c r="D253" i="2"/>
  <c r="E253" i="2"/>
  <c r="F253" i="2"/>
  <c r="G253" i="2"/>
  <c r="H253" i="2"/>
  <c r="I253" i="2"/>
  <c r="J253" i="2"/>
  <c r="K253" i="2"/>
  <c r="B254" i="2"/>
  <c r="C254" i="2"/>
  <c r="D254" i="2"/>
  <c r="E254" i="2"/>
  <c r="F254" i="2"/>
  <c r="G254" i="2"/>
  <c r="H254" i="2"/>
  <c r="I254" i="2"/>
  <c r="J254" i="2"/>
  <c r="K254" i="2"/>
  <c r="B255" i="2"/>
  <c r="C255" i="2"/>
  <c r="D255" i="2"/>
  <c r="E255" i="2"/>
  <c r="F255" i="2"/>
  <c r="G255" i="2"/>
  <c r="H255" i="2"/>
  <c r="I255" i="2"/>
  <c r="J255" i="2"/>
  <c r="K255" i="2"/>
  <c r="B256" i="2"/>
  <c r="C256" i="2"/>
  <c r="D256" i="2"/>
  <c r="E256" i="2"/>
  <c r="F256" i="2"/>
  <c r="G256" i="2"/>
  <c r="H256" i="2"/>
  <c r="I256" i="2"/>
  <c r="J256" i="2"/>
  <c r="K256" i="2"/>
  <c r="B257" i="2"/>
  <c r="C257" i="2"/>
  <c r="D257" i="2"/>
  <c r="E257" i="2"/>
  <c r="F257" i="2"/>
  <c r="G257" i="2"/>
  <c r="H257" i="2"/>
  <c r="I257" i="2"/>
  <c r="J257" i="2"/>
  <c r="K257" i="2"/>
  <c r="B258" i="2"/>
  <c r="C258" i="2"/>
  <c r="D258" i="2"/>
  <c r="E258" i="2"/>
  <c r="F258" i="2"/>
  <c r="G258" i="2"/>
  <c r="H258" i="2"/>
  <c r="I258" i="2"/>
  <c r="J258" i="2"/>
  <c r="K258" i="2"/>
  <c r="B259" i="2"/>
  <c r="C259" i="2"/>
  <c r="D259" i="2"/>
  <c r="E259" i="2"/>
  <c r="F259" i="2"/>
  <c r="G259" i="2"/>
  <c r="H259" i="2"/>
  <c r="I259" i="2"/>
  <c r="J259" i="2"/>
  <c r="K259" i="2"/>
  <c r="B260" i="2"/>
  <c r="C260" i="2"/>
  <c r="D260" i="2"/>
  <c r="E260" i="2"/>
  <c r="F260" i="2"/>
  <c r="G260" i="2"/>
  <c r="H260" i="2"/>
  <c r="I260" i="2"/>
  <c r="J260" i="2"/>
  <c r="K260" i="2"/>
  <c r="B261" i="2"/>
  <c r="C261" i="2"/>
  <c r="D261" i="2"/>
  <c r="E261" i="2"/>
  <c r="F261" i="2"/>
  <c r="G261" i="2"/>
  <c r="H261" i="2"/>
  <c r="I261" i="2"/>
  <c r="J261" i="2"/>
  <c r="K261" i="2"/>
  <c r="B262" i="2"/>
  <c r="C262" i="2"/>
  <c r="D262" i="2"/>
  <c r="E262" i="2"/>
  <c r="F262" i="2"/>
  <c r="G262" i="2"/>
  <c r="H262" i="2"/>
  <c r="I262" i="2"/>
  <c r="J262" i="2"/>
  <c r="K262" i="2"/>
  <c r="B263" i="2"/>
  <c r="C263" i="2"/>
  <c r="D263" i="2"/>
  <c r="E263" i="2"/>
  <c r="F263" i="2"/>
  <c r="G263" i="2"/>
  <c r="H263" i="2"/>
  <c r="I263" i="2"/>
  <c r="J263" i="2"/>
  <c r="K263" i="2"/>
  <c r="B264" i="2"/>
  <c r="C264" i="2"/>
  <c r="D264" i="2"/>
  <c r="E264" i="2"/>
  <c r="F264" i="2"/>
  <c r="G264" i="2"/>
  <c r="H264" i="2"/>
  <c r="I264" i="2"/>
  <c r="J264" i="2"/>
  <c r="K264" i="2"/>
  <c r="B265" i="2"/>
  <c r="C265" i="2"/>
  <c r="D265" i="2"/>
  <c r="E265" i="2"/>
  <c r="F265" i="2"/>
  <c r="G265" i="2"/>
  <c r="H265" i="2"/>
  <c r="I265" i="2"/>
  <c r="J265" i="2"/>
  <c r="K265" i="2"/>
  <c r="B266" i="2"/>
  <c r="C266" i="2"/>
  <c r="D266" i="2"/>
  <c r="E266" i="2"/>
  <c r="F266" i="2"/>
  <c r="G266" i="2"/>
  <c r="H266" i="2"/>
  <c r="I266" i="2"/>
  <c r="J266" i="2"/>
  <c r="K266" i="2"/>
  <c r="B267" i="2"/>
  <c r="C267" i="2"/>
  <c r="D267" i="2"/>
  <c r="E267" i="2"/>
  <c r="F267" i="2"/>
  <c r="G267" i="2"/>
  <c r="H267" i="2"/>
  <c r="I267" i="2"/>
  <c r="J267" i="2"/>
  <c r="K267" i="2"/>
  <c r="B268" i="2"/>
  <c r="C268" i="2"/>
  <c r="D268" i="2"/>
  <c r="E268" i="2"/>
  <c r="F268" i="2"/>
  <c r="G268" i="2"/>
  <c r="H268" i="2"/>
  <c r="I268" i="2"/>
  <c r="J268" i="2"/>
  <c r="K268" i="2"/>
  <c r="B269" i="2"/>
  <c r="C269" i="2"/>
  <c r="D269" i="2"/>
  <c r="E269" i="2"/>
  <c r="F269" i="2"/>
  <c r="G269" i="2"/>
  <c r="H269" i="2"/>
  <c r="I269" i="2"/>
  <c r="J269" i="2"/>
  <c r="K269" i="2"/>
  <c r="B270" i="2"/>
  <c r="C270" i="2"/>
  <c r="D270" i="2"/>
  <c r="E270" i="2"/>
  <c r="F270" i="2"/>
  <c r="G270" i="2"/>
  <c r="H270" i="2"/>
  <c r="I270" i="2"/>
  <c r="J270" i="2"/>
  <c r="K270" i="2"/>
  <c r="B271" i="2"/>
  <c r="C271" i="2"/>
  <c r="D271" i="2"/>
  <c r="E271" i="2"/>
  <c r="F271" i="2"/>
  <c r="G271" i="2"/>
  <c r="H271" i="2"/>
  <c r="I271" i="2"/>
  <c r="J271" i="2"/>
  <c r="K271" i="2"/>
  <c r="B272" i="2"/>
  <c r="C272" i="2"/>
  <c r="D272" i="2"/>
  <c r="E272" i="2"/>
  <c r="F272" i="2"/>
  <c r="G272" i="2"/>
  <c r="H272" i="2"/>
  <c r="I272" i="2"/>
  <c r="J272" i="2"/>
  <c r="K272" i="2"/>
  <c r="B273" i="2"/>
  <c r="C273" i="2"/>
  <c r="D273" i="2"/>
  <c r="E273" i="2"/>
  <c r="F273" i="2"/>
  <c r="G273" i="2"/>
  <c r="H273" i="2"/>
  <c r="I273" i="2"/>
  <c r="J273" i="2"/>
  <c r="K273" i="2"/>
  <c r="B274" i="2"/>
  <c r="C274" i="2"/>
  <c r="D274" i="2"/>
  <c r="E274" i="2"/>
  <c r="F274" i="2"/>
  <c r="G274" i="2"/>
  <c r="H274" i="2"/>
  <c r="I274" i="2"/>
  <c r="J274" i="2"/>
  <c r="K274" i="2"/>
  <c r="B275" i="2"/>
  <c r="C275" i="2"/>
  <c r="D275" i="2"/>
  <c r="E275" i="2"/>
  <c r="F275" i="2"/>
  <c r="G275" i="2"/>
  <c r="H275" i="2"/>
  <c r="I275" i="2"/>
  <c r="J275" i="2"/>
  <c r="K275" i="2"/>
  <c r="B276" i="2"/>
  <c r="C276" i="2"/>
  <c r="D276" i="2"/>
  <c r="E276" i="2"/>
  <c r="F276" i="2"/>
  <c r="G276" i="2"/>
  <c r="H276" i="2"/>
  <c r="I276" i="2"/>
  <c r="J276" i="2"/>
  <c r="K276" i="2"/>
  <c r="B277" i="2"/>
  <c r="C277" i="2"/>
  <c r="D277" i="2"/>
  <c r="E277" i="2"/>
  <c r="F277" i="2"/>
  <c r="G277" i="2"/>
  <c r="H277" i="2"/>
  <c r="I277" i="2"/>
  <c r="J277" i="2"/>
  <c r="K277" i="2"/>
  <c r="B278" i="2"/>
  <c r="C278" i="2"/>
  <c r="D278" i="2"/>
  <c r="E278" i="2"/>
  <c r="F278" i="2"/>
  <c r="G278" i="2"/>
  <c r="H278" i="2"/>
  <c r="I278" i="2"/>
  <c r="J278" i="2"/>
  <c r="K278" i="2"/>
  <c r="B279" i="2"/>
  <c r="C279" i="2"/>
  <c r="D279" i="2"/>
  <c r="E279" i="2"/>
  <c r="F279" i="2"/>
  <c r="G279" i="2"/>
  <c r="H279" i="2"/>
  <c r="I279" i="2"/>
  <c r="J279" i="2"/>
  <c r="K279" i="2"/>
  <c r="B280" i="2"/>
  <c r="C280" i="2"/>
  <c r="D280" i="2"/>
  <c r="E280" i="2"/>
  <c r="F280" i="2"/>
  <c r="G280" i="2"/>
  <c r="H280" i="2"/>
  <c r="I280" i="2"/>
  <c r="J280" i="2"/>
  <c r="K280" i="2"/>
  <c r="B281" i="2"/>
  <c r="C281" i="2"/>
  <c r="D281" i="2"/>
  <c r="E281" i="2"/>
  <c r="F281" i="2"/>
  <c r="G281" i="2"/>
  <c r="H281" i="2"/>
  <c r="I281" i="2"/>
  <c r="J281" i="2"/>
  <c r="K281" i="2"/>
  <c r="B282" i="2"/>
  <c r="C282" i="2"/>
  <c r="D282" i="2"/>
  <c r="E282" i="2"/>
  <c r="F282" i="2"/>
  <c r="G282" i="2"/>
  <c r="H282" i="2"/>
  <c r="I282" i="2"/>
  <c r="J282" i="2"/>
  <c r="K282" i="2"/>
  <c r="B283" i="2"/>
  <c r="C283" i="2"/>
  <c r="D283" i="2"/>
  <c r="E283" i="2"/>
  <c r="F283" i="2"/>
  <c r="G283" i="2"/>
  <c r="H283" i="2"/>
  <c r="I283" i="2"/>
  <c r="J283" i="2"/>
  <c r="K283" i="2"/>
  <c r="B284" i="2"/>
  <c r="C284" i="2"/>
  <c r="D284" i="2"/>
  <c r="E284" i="2"/>
  <c r="F284" i="2"/>
  <c r="G284" i="2"/>
  <c r="H284" i="2"/>
  <c r="I284" i="2"/>
  <c r="J284" i="2"/>
  <c r="K284" i="2"/>
  <c r="B285" i="2"/>
  <c r="C285" i="2"/>
  <c r="D285" i="2"/>
  <c r="E285" i="2"/>
  <c r="F285" i="2"/>
  <c r="G285" i="2"/>
  <c r="H285" i="2"/>
  <c r="I285" i="2"/>
  <c r="J285" i="2"/>
  <c r="K285" i="2"/>
  <c r="B286" i="2"/>
  <c r="C286" i="2"/>
  <c r="D286" i="2"/>
  <c r="E286" i="2"/>
  <c r="F286" i="2"/>
  <c r="G286" i="2"/>
  <c r="H286" i="2"/>
  <c r="I286" i="2"/>
  <c r="J286" i="2"/>
  <c r="K286" i="2"/>
  <c r="B287" i="2"/>
  <c r="C287" i="2"/>
  <c r="D287" i="2"/>
  <c r="E287" i="2"/>
  <c r="F287" i="2"/>
  <c r="G287" i="2"/>
  <c r="H287" i="2"/>
  <c r="I287" i="2"/>
  <c r="J287" i="2"/>
  <c r="K287" i="2"/>
  <c r="B288" i="2"/>
  <c r="C288" i="2"/>
  <c r="D288" i="2"/>
  <c r="E288" i="2"/>
  <c r="F288" i="2"/>
  <c r="G288" i="2"/>
  <c r="H288" i="2"/>
  <c r="I288" i="2"/>
  <c r="J288" i="2"/>
  <c r="K288" i="2"/>
  <c r="B289" i="2"/>
  <c r="C289" i="2"/>
  <c r="D289" i="2"/>
  <c r="E289" i="2"/>
  <c r="F289" i="2"/>
  <c r="G289" i="2"/>
  <c r="H289" i="2"/>
  <c r="I289" i="2"/>
  <c r="J289" i="2"/>
  <c r="K289" i="2"/>
  <c r="B290" i="2"/>
  <c r="C290" i="2"/>
  <c r="D290" i="2"/>
  <c r="E290" i="2"/>
  <c r="F290" i="2"/>
  <c r="G290" i="2"/>
  <c r="H290" i="2"/>
  <c r="I290" i="2"/>
  <c r="J290" i="2"/>
  <c r="K290" i="2"/>
  <c r="B291" i="2"/>
  <c r="C291" i="2"/>
  <c r="D291" i="2"/>
  <c r="E291" i="2"/>
  <c r="F291" i="2"/>
  <c r="G291" i="2"/>
  <c r="H291" i="2"/>
  <c r="I291" i="2"/>
  <c r="J291" i="2"/>
  <c r="K291" i="2"/>
  <c r="B292" i="2"/>
  <c r="C292" i="2"/>
  <c r="D292" i="2"/>
  <c r="E292" i="2"/>
  <c r="F292" i="2"/>
  <c r="G292" i="2"/>
  <c r="H292" i="2"/>
  <c r="I292" i="2"/>
  <c r="J292" i="2"/>
  <c r="K292" i="2"/>
  <c r="B293" i="2"/>
  <c r="C293" i="2"/>
  <c r="D293" i="2"/>
  <c r="E293" i="2"/>
  <c r="F293" i="2"/>
  <c r="G293" i="2"/>
  <c r="H293" i="2"/>
  <c r="I293" i="2"/>
  <c r="J293" i="2"/>
  <c r="K293" i="2"/>
  <c r="B294" i="2"/>
  <c r="C294" i="2"/>
  <c r="D294" i="2"/>
  <c r="E294" i="2"/>
  <c r="F294" i="2"/>
  <c r="G294" i="2"/>
  <c r="H294" i="2"/>
  <c r="I294" i="2"/>
  <c r="J294" i="2"/>
  <c r="K294" i="2"/>
  <c r="B295" i="2"/>
  <c r="C295" i="2"/>
  <c r="D295" i="2"/>
  <c r="E295" i="2"/>
  <c r="F295" i="2"/>
  <c r="G295" i="2"/>
  <c r="H295" i="2"/>
  <c r="I295" i="2"/>
  <c r="J295" i="2"/>
  <c r="K295" i="2"/>
  <c r="B296" i="2"/>
  <c r="C296" i="2"/>
  <c r="D296" i="2"/>
  <c r="E296" i="2"/>
  <c r="F296" i="2"/>
  <c r="G296" i="2"/>
  <c r="H296" i="2"/>
  <c r="I296" i="2"/>
  <c r="J296" i="2"/>
  <c r="K296" i="2"/>
  <c r="B297" i="2"/>
  <c r="C297" i="2"/>
  <c r="D297" i="2"/>
  <c r="E297" i="2"/>
  <c r="F297" i="2"/>
  <c r="G297" i="2"/>
  <c r="H297" i="2"/>
  <c r="I297" i="2"/>
  <c r="J297" i="2"/>
  <c r="K297" i="2"/>
  <c r="B298" i="2"/>
  <c r="C298" i="2"/>
  <c r="D298" i="2"/>
  <c r="E298" i="2"/>
  <c r="F298" i="2"/>
  <c r="G298" i="2"/>
  <c r="H298" i="2"/>
  <c r="I298" i="2"/>
  <c r="J298" i="2"/>
  <c r="K298" i="2"/>
  <c r="B299" i="2"/>
  <c r="C299" i="2"/>
  <c r="D299" i="2"/>
  <c r="E299" i="2"/>
  <c r="F299" i="2"/>
  <c r="G299" i="2"/>
  <c r="H299" i="2"/>
  <c r="I299" i="2"/>
  <c r="J299" i="2"/>
  <c r="K299" i="2"/>
  <c r="B300" i="2"/>
  <c r="C300" i="2"/>
  <c r="D300" i="2"/>
  <c r="E300" i="2"/>
  <c r="F300" i="2"/>
  <c r="G300" i="2"/>
  <c r="H300" i="2"/>
  <c r="I300" i="2"/>
  <c r="J300" i="2"/>
  <c r="K300" i="2"/>
  <c r="B301" i="2"/>
  <c r="C301" i="2"/>
  <c r="D301" i="2"/>
  <c r="E301" i="2"/>
  <c r="F301" i="2"/>
  <c r="G301" i="2"/>
  <c r="H301" i="2"/>
  <c r="I301" i="2"/>
  <c r="J301" i="2"/>
  <c r="K301" i="2"/>
  <c r="B302" i="2"/>
  <c r="C302" i="2"/>
  <c r="D302" i="2"/>
  <c r="E302" i="2"/>
  <c r="F302" i="2"/>
  <c r="G302" i="2"/>
  <c r="H302" i="2"/>
  <c r="I302" i="2"/>
  <c r="J302" i="2"/>
  <c r="K302" i="2"/>
  <c r="B303" i="2"/>
  <c r="C303" i="2"/>
  <c r="D303" i="2"/>
  <c r="E303" i="2"/>
  <c r="F303" i="2"/>
  <c r="G303" i="2"/>
  <c r="H303" i="2"/>
  <c r="I303" i="2"/>
  <c r="J303" i="2"/>
  <c r="K303" i="2"/>
  <c r="B304" i="2"/>
  <c r="C304" i="2"/>
  <c r="D304" i="2"/>
  <c r="E304" i="2"/>
  <c r="F304" i="2"/>
  <c r="G304" i="2"/>
  <c r="H304" i="2"/>
  <c r="I304" i="2"/>
  <c r="J304" i="2"/>
  <c r="K304" i="2"/>
  <c r="B305" i="2"/>
  <c r="C305" i="2"/>
  <c r="D305" i="2"/>
  <c r="E305" i="2"/>
  <c r="F305" i="2"/>
  <c r="G305" i="2"/>
  <c r="H305" i="2"/>
  <c r="I305" i="2"/>
  <c r="J305" i="2"/>
  <c r="K305" i="2"/>
  <c r="B306" i="2"/>
  <c r="C306" i="2"/>
  <c r="D306" i="2"/>
  <c r="E306" i="2"/>
  <c r="F306" i="2"/>
  <c r="G306" i="2"/>
  <c r="H306" i="2"/>
  <c r="I306" i="2"/>
  <c r="J306" i="2"/>
  <c r="K306" i="2"/>
  <c r="B307" i="2"/>
  <c r="C307" i="2"/>
  <c r="D307" i="2"/>
  <c r="E307" i="2"/>
  <c r="F307" i="2"/>
  <c r="G307" i="2"/>
  <c r="H307" i="2"/>
  <c r="I307" i="2"/>
  <c r="J307" i="2"/>
  <c r="K307" i="2"/>
  <c r="B308" i="2"/>
  <c r="C308" i="2"/>
  <c r="D308" i="2"/>
  <c r="E308" i="2"/>
  <c r="F308" i="2"/>
  <c r="G308" i="2"/>
  <c r="H308" i="2"/>
  <c r="I308" i="2"/>
  <c r="J308" i="2"/>
  <c r="K308" i="2"/>
  <c r="B309" i="2"/>
  <c r="C309" i="2"/>
  <c r="D309" i="2"/>
  <c r="E309" i="2"/>
  <c r="F309" i="2"/>
  <c r="G309" i="2"/>
  <c r="H309" i="2"/>
  <c r="I309" i="2"/>
  <c r="J309" i="2"/>
  <c r="K309" i="2"/>
  <c r="B310" i="2"/>
  <c r="C310" i="2"/>
  <c r="D310" i="2"/>
  <c r="E310" i="2"/>
  <c r="F310" i="2"/>
  <c r="G310" i="2"/>
  <c r="H310" i="2"/>
  <c r="I310" i="2"/>
  <c r="J310" i="2"/>
  <c r="K310" i="2"/>
  <c r="B311" i="2"/>
  <c r="C311" i="2"/>
  <c r="D311" i="2"/>
  <c r="E311" i="2"/>
  <c r="F311" i="2"/>
  <c r="G311" i="2"/>
  <c r="H311" i="2"/>
  <c r="I311" i="2"/>
  <c r="J311" i="2"/>
  <c r="K311" i="2"/>
  <c r="B312" i="2"/>
  <c r="C312" i="2"/>
  <c r="D312" i="2"/>
  <c r="E312" i="2"/>
  <c r="F312" i="2"/>
  <c r="G312" i="2"/>
  <c r="H312" i="2"/>
  <c r="I312" i="2"/>
  <c r="J312" i="2"/>
  <c r="K312" i="2"/>
  <c r="B313" i="2"/>
  <c r="C313" i="2"/>
  <c r="D313" i="2"/>
  <c r="E313" i="2"/>
  <c r="F313" i="2"/>
  <c r="G313" i="2"/>
  <c r="H313" i="2"/>
  <c r="I313" i="2"/>
  <c r="J313" i="2"/>
  <c r="K313" i="2"/>
  <c r="B314" i="2"/>
  <c r="C314" i="2"/>
  <c r="D314" i="2"/>
  <c r="E314" i="2"/>
  <c r="F314" i="2"/>
  <c r="G314" i="2"/>
  <c r="H314" i="2"/>
  <c r="I314" i="2"/>
  <c r="J314" i="2"/>
  <c r="K314" i="2"/>
  <c r="B315" i="2"/>
  <c r="C315" i="2"/>
  <c r="D315" i="2"/>
  <c r="E315" i="2"/>
  <c r="F315" i="2"/>
  <c r="G315" i="2"/>
  <c r="H315" i="2"/>
  <c r="I315" i="2"/>
  <c r="J315" i="2"/>
  <c r="K315" i="2"/>
  <c r="B316" i="2"/>
  <c r="C316" i="2"/>
  <c r="D316" i="2"/>
  <c r="E316" i="2"/>
  <c r="F316" i="2"/>
  <c r="G316" i="2"/>
  <c r="H316" i="2"/>
  <c r="I316" i="2"/>
  <c r="J316" i="2"/>
  <c r="K316" i="2"/>
  <c r="B317" i="2"/>
  <c r="C317" i="2"/>
  <c r="D317" i="2"/>
  <c r="E317" i="2"/>
  <c r="F317" i="2"/>
  <c r="G317" i="2"/>
  <c r="H317" i="2"/>
  <c r="I317" i="2"/>
  <c r="J317" i="2"/>
  <c r="K317" i="2"/>
  <c r="B318" i="2"/>
  <c r="C318" i="2"/>
  <c r="D318" i="2"/>
  <c r="E318" i="2"/>
  <c r="F318" i="2"/>
  <c r="G318" i="2"/>
  <c r="H318" i="2"/>
  <c r="I318" i="2"/>
  <c r="J318" i="2"/>
  <c r="K318" i="2"/>
  <c r="B319" i="2"/>
  <c r="C319" i="2"/>
  <c r="D319" i="2"/>
  <c r="E319" i="2"/>
  <c r="F319" i="2"/>
  <c r="G319" i="2"/>
  <c r="H319" i="2"/>
  <c r="I319" i="2"/>
  <c r="J319" i="2"/>
  <c r="K319" i="2"/>
  <c r="B320" i="2"/>
  <c r="C320" i="2"/>
  <c r="D320" i="2"/>
  <c r="E320" i="2"/>
  <c r="F320" i="2"/>
  <c r="G320" i="2"/>
  <c r="H320" i="2"/>
  <c r="I320" i="2"/>
  <c r="J320" i="2"/>
  <c r="K320" i="2"/>
  <c r="B321" i="2"/>
  <c r="C321" i="2"/>
  <c r="D321" i="2"/>
  <c r="E321" i="2"/>
  <c r="F321" i="2"/>
  <c r="G321" i="2"/>
  <c r="H321" i="2"/>
  <c r="I321" i="2"/>
  <c r="J321" i="2"/>
  <c r="K321" i="2"/>
  <c r="B322" i="2"/>
  <c r="C322" i="2"/>
  <c r="D322" i="2"/>
  <c r="E322" i="2"/>
  <c r="F322" i="2"/>
  <c r="G322" i="2"/>
  <c r="H322" i="2"/>
  <c r="I322" i="2"/>
  <c r="J322" i="2"/>
  <c r="K322" i="2"/>
  <c r="B323" i="2"/>
  <c r="C323" i="2"/>
  <c r="D323" i="2"/>
  <c r="E323" i="2"/>
  <c r="F323" i="2"/>
  <c r="G323" i="2"/>
  <c r="H323" i="2"/>
  <c r="I323" i="2"/>
  <c r="J323" i="2"/>
  <c r="K323" i="2"/>
  <c r="B324" i="2"/>
  <c r="C324" i="2"/>
  <c r="D324" i="2"/>
  <c r="E324" i="2"/>
  <c r="F324" i="2"/>
  <c r="G324" i="2"/>
  <c r="H324" i="2"/>
  <c r="I324" i="2"/>
  <c r="J324" i="2"/>
  <c r="K324" i="2"/>
  <c r="B325" i="2"/>
  <c r="C325" i="2"/>
  <c r="D325" i="2"/>
  <c r="E325" i="2"/>
  <c r="F325" i="2"/>
  <c r="G325" i="2"/>
  <c r="H325" i="2"/>
  <c r="I325" i="2"/>
  <c r="J325" i="2"/>
  <c r="K325" i="2"/>
  <c r="B326" i="2"/>
  <c r="C326" i="2"/>
  <c r="D326" i="2"/>
  <c r="E326" i="2"/>
  <c r="F326" i="2"/>
  <c r="G326" i="2"/>
  <c r="H326" i="2"/>
  <c r="I326" i="2"/>
  <c r="J326" i="2"/>
  <c r="K326" i="2"/>
  <c r="B327" i="2"/>
  <c r="C327" i="2"/>
  <c r="D327" i="2"/>
  <c r="E327" i="2"/>
  <c r="F327" i="2"/>
  <c r="G327" i="2"/>
  <c r="H327" i="2"/>
  <c r="I327" i="2"/>
  <c r="J327" i="2"/>
  <c r="K327" i="2"/>
  <c r="B328" i="2"/>
  <c r="C328" i="2"/>
  <c r="D328" i="2"/>
  <c r="E328" i="2"/>
  <c r="F328" i="2"/>
  <c r="G328" i="2"/>
  <c r="H328" i="2"/>
  <c r="I328" i="2"/>
  <c r="J328" i="2"/>
  <c r="K328" i="2"/>
  <c r="B329" i="2"/>
  <c r="C329" i="2"/>
  <c r="D329" i="2"/>
  <c r="E329" i="2"/>
  <c r="F329" i="2"/>
  <c r="G329" i="2"/>
  <c r="H329" i="2"/>
  <c r="I329" i="2"/>
  <c r="J329" i="2"/>
  <c r="K329" i="2"/>
  <c r="B330" i="2"/>
  <c r="C330" i="2"/>
  <c r="D330" i="2"/>
  <c r="E330" i="2"/>
  <c r="F330" i="2"/>
  <c r="G330" i="2"/>
  <c r="H330" i="2"/>
  <c r="I330" i="2"/>
  <c r="J330" i="2"/>
  <c r="K330" i="2"/>
  <c r="B331" i="2"/>
  <c r="C331" i="2"/>
  <c r="D331" i="2"/>
  <c r="E331" i="2"/>
  <c r="F331" i="2"/>
  <c r="G331" i="2"/>
  <c r="H331" i="2"/>
  <c r="I331" i="2"/>
  <c r="J331" i="2"/>
  <c r="K331" i="2"/>
  <c r="B332" i="2"/>
  <c r="C332" i="2"/>
  <c r="D332" i="2"/>
  <c r="E332" i="2"/>
  <c r="F332" i="2"/>
  <c r="G332" i="2"/>
  <c r="H332" i="2"/>
  <c r="I332" i="2"/>
  <c r="J332" i="2"/>
  <c r="K332" i="2"/>
  <c r="B333" i="2"/>
  <c r="C333" i="2"/>
  <c r="D333" i="2"/>
  <c r="E333" i="2"/>
  <c r="F333" i="2"/>
  <c r="G333" i="2"/>
  <c r="H333" i="2"/>
  <c r="I333" i="2"/>
  <c r="J333" i="2"/>
  <c r="K333" i="2"/>
  <c r="B334" i="2"/>
  <c r="C334" i="2"/>
  <c r="D334" i="2"/>
  <c r="E334" i="2"/>
  <c r="F334" i="2"/>
  <c r="G334" i="2"/>
  <c r="H334" i="2"/>
  <c r="I334" i="2"/>
  <c r="J334" i="2"/>
  <c r="K334" i="2"/>
  <c r="B335" i="2"/>
  <c r="C335" i="2"/>
  <c r="D335" i="2"/>
  <c r="E335" i="2"/>
  <c r="F335" i="2"/>
  <c r="G335" i="2"/>
  <c r="H335" i="2"/>
  <c r="I335" i="2"/>
  <c r="J335" i="2"/>
  <c r="K335" i="2"/>
  <c r="B336" i="2"/>
  <c r="C336" i="2"/>
  <c r="D336" i="2"/>
  <c r="E336" i="2"/>
  <c r="F336" i="2"/>
  <c r="G336" i="2"/>
  <c r="H336" i="2"/>
  <c r="I336" i="2"/>
  <c r="J336" i="2"/>
  <c r="K336" i="2"/>
  <c r="B337" i="2"/>
  <c r="C337" i="2"/>
  <c r="D337" i="2"/>
  <c r="E337" i="2"/>
  <c r="F337" i="2"/>
  <c r="G337" i="2"/>
  <c r="H337" i="2"/>
  <c r="I337" i="2"/>
  <c r="J337" i="2"/>
  <c r="K337" i="2"/>
  <c r="B338" i="2"/>
  <c r="C338" i="2"/>
  <c r="D338" i="2"/>
  <c r="E338" i="2"/>
  <c r="F338" i="2"/>
  <c r="G338" i="2"/>
  <c r="H338" i="2"/>
  <c r="I338" i="2"/>
  <c r="J338" i="2"/>
  <c r="K338" i="2"/>
  <c r="B339" i="2"/>
  <c r="C339" i="2"/>
  <c r="D339" i="2"/>
  <c r="E339" i="2"/>
  <c r="F339" i="2"/>
  <c r="G339" i="2"/>
  <c r="H339" i="2"/>
  <c r="I339" i="2"/>
  <c r="J339" i="2"/>
  <c r="K339" i="2"/>
  <c r="B340" i="2"/>
  <c r="C340" i="2"/>
  <c r="D340" i="2"/>
  <c r="E340" i="2"/>
  <c r="F340" i="2"/>
  <c r="G340" i="2"/>
  <c r="H340" i="2"/>
  <c r="I340" i="2"/>
  <c r="J340" i="2"/>
  <c r="K340" i="2"/>
  <c r="B341" i="2"/>
  <c r="C341" i="2"/>
  <c r="D341" i="2"/>
  <c r="E341" i="2"/>
  <c r="F341" i="2"/>
  <c r="G341" i="2"/>
  <c r="H341" i="2"/>
  <c r="I341" i="2"/>
  <c r="J341" i="2"/>
  <c r="K341" i="2"/>
  <c r="B342" i="2"/>
  <c r="C342" i="2"/>
  <c r="D342" i="2"/>
  <c r="E342" i="2"/>
  <c r="F342" i="2"/>
  <c r="G342" i="2"/>
  <c r="H342" i="2"/>
  <c r="I342" i="2"/>
  <c r="J342" i="2"/>
  <c r="K342" i="2"/>
  <c r="B343" i="2"/>
  <c r="C343" i="2"/>
  <c r="D343" i="2"/>
  <c r="E343" i="2"/>
  <c r="F343" i="2"/>
  <c r="G343" i="2"/>
  <c r="H343" i="2"/>
  <c r="I343" i="2"/>
  <c r="J343" i="2"/>
  <c r="K343" i="2"/>
  <c r="B344" i="2"/>
  <c r="C344" i="2"/>
  <c r="D344" i="2"/>
  <c r="E344" i="2"/>
  <c r="F344" i="2"/>
  <c r="G344" i="2"/>
  <c r="H344" i="2"/>
  <c r="I344" i="2"/>
  <c r="J344" i="2"/>
  <c r="K344" i="2"/>
  <c r="B345" i="2"/>
  <c r="C345" i="2"/>
  <c r="D345" i="2"/>
  <c r="E345" i="2"/>
  <c r="F345" i="2"/>
  <c r="G345" i="2"/>
  <c r="H345" i="2"/>
  <c r="I345" i="2"/>
  <c r="J345" i="2"/>
  <c r="K345" i="2"/>
  <c r="B346" i="2"/>
  <c r="C346" i="2"/>
  <c r="D346" i="2"/>
  <c r="E346" i="2"/>
  <c r="F346" i="2"/>
  <c r="G346" i="2"/>
  <c r="H346" i="2"/>
  <c r="I346" i="2"/>
  <c r="J346" i="2"/>
  <c r="K346" i="2"/>
  <c r="B347" i="2"/>
  <c r="C347" i="2"/>
  <c r="D347" i="2"/>
  <c r="E347" i="2"/>
  <c r="F347" i="2"/>
  <c r="G347" i="2"/>
  <c r="H347" i="2"/>
  <c r="I347" i="2"/>
  <c r="J347" i="2"/>
  <c r="K347" i="2"/>
  <c r="B348" i="2"/>
  <c r="C348" i="2"/>
  <c r="D348" i="2"/>
  <c r="E348" i="2"/>
  <c r="F348" i="2"/>
  <c r="G348" i="2"/>
  <c r="H348" i="2"/>
  <c r="I348" i="2"/>
  <c r="J348" i="2"/>
  <c r="K348" i="2"/>
  <c r="B349" i="2"/>
  <c r="C349" i="2"/>
  <c r="D349" i="2"/>
  <c r="E349" i="2"/>
  <c r="F349" i="2"/>
  <c r="G349" i="2"/>
  <c r="H349" i="2"/>
  <c r="I349" i="2"/>
  <c r="J349" i="2"/>
  <c r="K349" i="2"/>
  <c r="B350" i="2"/>
  <c r="C350" i="2"/>
  <c r="D350" i="2"/>
  <c r="E350" i="2"/>
  <c r="F350" i="2"/>
  <c r="G350" i="2"/>
  <c r="H350" i="2"/>
  <c r="I350" i="2"/>
  <c r="J350" i="2"/>
  <c r="K350" i="2"/>
  <c r="B351" i="2"/>
  <c r="C351" i="2"/>
  <c r="D351" i="2"/>
  <c r="E351" i="2"/>
  <c r="F351" i="2"/>
  <c r="G351" i="2"/>
  <c r="H351" i="2"/>
  <c r="I351" i="2"/>
  <c r="J351" i="2"/>
  <c r="K351" i="2"/>
  <c r="B352" i="2"/>
  <c r="C352" i="2"/>
  <c r="D352" i="2"/>
  <c r="E352" i="2"/>
  <c r="F352" i="2"/>
  <c r="G352" i="2"/>
  <c r="H352" i="2"/>
  <c r="I352" i="2"/>
  <c r="J352" i="2"/>
  <c r="K352" i="2"/>
  <c r="B353" i="2"/>
  <c r="C353" i="2"/>
  <c r="D353" i="2"/>
  <c r="E353" i="2"/>
  <c r="F353" i="2"/>
  <c r="G353" i="2"/>
  <c r="H353" i="2"/>
  <c r="I353" i="2"/>
  <c r="J353" i="2"/>
  <c r="K353" i="2"/>
  <c r="B354" i="2"/>
  <c r="C354" i="2"/>
  <c r="D354" i="2"/>
  <c r="E354" i="2"/>
  <c r="F354" i="2"/>
  <c r="G354" i="2"/>
  <c r="H354" i="2"/>
  <c r="I354" i="2"/>
  <c r="J354" i="2"/>
  <c r="K354" i="2"/>
  <c r="B355" i="2"/>
  <c r="C355" i="2"/>
  <c r="D355" i="2"/>
  <c r="E355" i="2"/>
  <c r="F355" i="2"/>
  <c r="G355" i="2"/>
  <c r="H355" i="2"/>
  <c r="I355" i="2"/>
  <c r="J355" i="2"/>
  <c r="K355" i="2"/>
  <c r="B356" i="2"/>
  <c r="C356" i="2"/>
  <c r="D356" i="2"/>
  <c r="E356" i="2"/>
  <c r="F356" i="2"/>
  <c r="G356" i="2"/>
  <c r="H356" i="2"/>
  <c r="I356" i="2"/>
  <c r="J356" i="2"/>
  <c r="K356" i="2"/>
  <c r="B357" i="2"/>
  <c r="C357" i="2"/>
  <c r="D357" i="2"/>
  <c r="E357" i="2"/>
  <c r="F357" i="2"/>
  <c r="G357" i="2"/>
  <c r="H357" i="2"/>
  <c r="I357" i="2"/>
  <c r="J357" i="2"/>
  <c r="K357" i="2"/>
  <c r="B358" i="2"/>
  <c r="C358" i="2"/>
  <c r="D358" i="2"/>
  <c r="E358" i="2"/>
  <c r="F358" i="2"/>
  <c r="G358" i="2"/>
  <c r="H358" i="2"/>
  <c r="I358" i="2"/>
  <c r="J358" i="2"/>
  <c r="K358" i="2"/>
  <c r="B359" i="2"/>
  <c r="C359" i="2"/>
  <c r="D359" i="2"/>
  <c r="E359" i="2"/>
  <c r="F359" i="2"/>
  <c r="G359" i="2"/>
  <c r="H359" i="2"/>
  <c r="I359" i="2"/>
  <c r="J359" i="2"/>
  <c r="K359" i="2"/>
  <c r="B360" i="2"/>
  <c r="C360" i="2"/>
  <c r="D360" i="2"/>
  <c r="E360" i="2"/>
  <c r="F360" i="2"/>
  <c r="G360" i="2"/>
  <c r="H360" i="2"/>
  <c r="I360" i="2"/>
  <c r="J360" i="2"/>
  <c r="K360" i="2"/>
  <c r="B361" i="2"/>
  <c r="C361" i="2"/>
  <c r="D361" i="2"/>
  <c r="E361" i="2"/>
  <c r="F361" i="2"/>
  <c r="G361" i="2"/>
  <c r="H361" i="2"/>
  <c r="I361" i="2"/>
  <c r="J361" i="2"/>
  <c r="K361" i="2"/>
  <c r="B362" i="2"/>
  <c r="C362" i="2"/>
  <c r="D362" i="2"/>
  <c r="E362" i="2"/>
  <c r="F362" i="2"/>
  <c r="G362" i="2"/>
  <c r="H362" i="2"/>
  <c r="I362" i="2"/>
  <c r="J362" i="2"/>
  <c r="K362" i="2"/>
  <c r="B363" i="2"/>
  <c r="C363" i="2"/>
  <c r="D363" i="2"/>
  <c r="E363" i="2"/>
  <c r="F363" i="2"/>
  <c r="G363" i="2"/>
  <c r="H363" i="2"/>
  <c r="I363" i="2"/>
  <c r="J363" i="2"/>
  <c r="K363" i="2"/>
  <c r="B364" i="2"/>
  <c r="C364" i="2"/>
  <c r="D364" i="2"/>
  <c r="E364" i="2"/>
  <c r="F364" i="2"/>
  <c r="G364" i="2"/>
  <c r="H364" i="2"/>
  <c r="I364" i="2"/>
  <c r="J364" i="2"/>
  <c r="K364" i="2"/>
  <c r="B365" i="2"/>
  <c r="C365" i="2"/>
  <c r="D365" i="2"/>
  <c r="E365" i="2"/>
  <c r="F365" i="2"/>
  <c r="G365" i="2"/>
  <c r="H365" i="2"/>
  <c r="I365" i="2"/>
  <c r="J365" i="2"/>
  <c r="K365" i="2"/>
  <c r="B366" i="2"/>
  <c r="C366" i="2"/>
  <c r="D366" i="2"/>
  <c r="E366" i="2"/>
  <c r="F366" i="2"/>
  <c r="G366" i="2"/>
  <c r="H366" i="2"/>
  <c r="I366" i="2"/>
  <c r="J366" i="2"/>
  <c r="K366" i="2"/>
  <c r="B367" i="2"/>
  <c r="C367" i="2"/>
  <c r="D367" i="2"/>
  <c r="E367" i="2"/>
  <c r="F367" i="2"/>
  <c r="G367" i="2"/>
  <c r="H367" i="2"/>
  <c r="I367" i="2"/>
  <c r="J367" i="2"/>
  <c r="K367" i="2"/>
  <c r="B368" i="2"/>
  <c r="C368" i="2"/>
  <c r="D368" i="2"/>
  <c r="E368" i="2"/>
  <c r="F368" i="2"/>
  <c r="G368" i="2"/>
  <c r="H368" i="2"/>
  <c r="I368" i="2"/>
  <c r="J368" i="2"/>
  <c r="K368" i="2"/>
  <c r="B369" i="2"/>
  <c r="C369" i="2"/>
  <c r="D369" i="2"/>
  <c r="E369" i="2"/>
  <c r="F369" i="2"/>
  <c r="G369" i="2"/>
  <c r="H369" i="2"/>
  <c r="I369" i="2"/>
  <c r="J369" i="2"/>
  <c r="K369" i="2"/>
  <c r="B370" i="2"/>
  <c r="C370" i="2"/>
  <c r="D370" i="2"/>
  <c r="E370" i="2"/>
  <c r="F370" i="2"/>
  <c r="G370" i="2"/>
  <c r="H370" i="2"/>
  <c r="I370" i="2"/>
  <c r="J370" i="2"/>
  <c r="K370" i="2"/>
  <c r="B371" i="2"/>
  <c r="C371" i="2"/>
  <c r="D371" i="2"/>
  <c r="E371" i="2"/>
  <c r="F371" i="2"/>
  <c r="G371" i="2"/>
  <c r="H371" i="2"/>
  <c r="I371" i="2"/>
  <c r="J371" i="2"/>
  <c r="K371" i="2"/>
  <c r="B372" i="2"/>
  <c r="C372" i="2"/>
  <c r="D372" i="2"/>
  <c r="E372" i="2"/>
  <c r="F372" i="2"/>
  <c r="G372" i="2"/>
  <c r="H372" i="2"/>
  <c r="I372" i="2"/>
  <c r="J372" i="2"/>
  <c r="K372" i="2"/>
  <c r="B373" i="2"/>
  <c r="C373" i="2"/>
  <c r="D373" i="2"/>
  <c r="E373" i="2"/>
  <c r="F373" i="2"/>
  <c r="G373" i="2"/>
  <c r="H373" i="2"/>
  <c r="I373" i="2"/>
  <c r="J373" i="2"/>
  <c r="K373" i="2"/>
  <c r="B374" i="2"/>
  <c r="C374" i="2"/>
  <c r="D374" i="2"/>
  <c r="E374" i="2"/>
  <c r="F374" i="2"/>
  <c r="G374" i="2"/>
  <c r="H374" i="2"/>
  <c r="I374" i="2"/>
  <c r="J374" i="2"/>
  <c r="K374" i="2"/>
  <c r="B375" i="2"/>
  <c r="C375" i="2"/>
  <c r="D375" i="2"/>
  <c r="E375" i="2"/>
  <c r="F375" i="2"/>
  <c r="G375" i="2"/>
  <c r="H375" i="2"/>
  <c r="I375" i="2"/>
  <c r="J375" i="2"/>
  <c r="K375" i="2"/>
  <c r="B376" i="2"/>
  <c r="C376" i="2"/>
  <c r="D376" i="2"/>
  <c r="E376" i="2"/>
  <c r="F376" i="2"/>
  <c r="G376" i="2"/>
  <c r="H376" i="2"/>
  <c r="I376" i="2"/>
  <c r="J376" i="2"/>
  <c r="K376" i="2"/>
  <c r="B377" i="2"/>
  <c r="C377" i="2"/>
  <c r="D377" i="2"/>
  <c r="E377" i="2"/>
  <c r="F377" i="2"/>
  <c r="G377" i="2"/>
  <c r="H377" i="2"/>
  <c r="I377" i="2"/>
  <c r="J377" i="2"/>
  <c r="K377" i="2"/>
  <c r="B378" i="2"/>
  <c r="C378" i="2"/>
  <c r="D378" i="2"/>
  <c r="E378" i="2"/>
  <c r="F378" i="2"/>
  <c r="G378" i="2"/>
  <c r="H378" i="2"/>
  <c r="I378" i="2"/>
  <c r="J378" i="2"/>
  <c r="K378" i="2"/>
  <c r="B379" i="2"/>
  <c r="C379" i="2"/>
  <c r="D379" i="2"/>
  <c r="E379" i="2"/>
  <c r="F379" i="2"/>
  <c r="G379" i="2"/>
  <c r="H379" i="2"/>
  <c r="I379" i="2"/>
  <c r="J379" i="2"/>
  <c r="K379" i="2"/>
  <c r="B380" i="2"/>
  <c r="C380" i="2"/>
  <c r="D380" i="2"/>
  <c r="E380" i="2"/>
  <c r="F380" i="2"/>
  <c r="G380" i="2"/>
  <c r="H380" i="2"/>
  <c r="I380" i="2"/>
  <c r="J380" i="2"/>
  <c r="K380" i="2"/>
  <c r="B381" i="2"/>
  <c r="C381" i="2"/>
  <c r="D381" i="2"/>
  <c r="E381" i="2"/>
  <c r="F381" i="2"/>
  <c r="G381" i="2"/>
  <c r="H381" i="2"/>
  <c r="I381" i="2"/>
  <c r="J381" i="2"/>
  <c r="K381" i="2"/>
  <c r="B382" i="2"/>
  <c r="C382" i="2"/>
  <c r="D382" i="2"/>
  <c r="E382" i="2"/>
  <c r="F382" i="2"/>
  <c r="G382" i="2"/>
  <c r="H382" i="2"/>
  <c r="I382" i="2"/>
  <c r="J382" i="2"/>
  <c r="K382" i="2"/>
  <c r="B383" i="2"/>
  <c r="C383" i="2"/>
  <c r="D383" i="2"/>
  <c r="E383" i="2"/>
  <c r="F383" i="2"/>
  <c r="G383" i="2"/>
  <c r="H383" i="2"/>
  <c r="I383" i="2"/>
  <c r="J383" i="2"/>
  <c r="K383" i="2"/>
  <c r="B384" i="2"/>
  <c r="C384" i="2"/>
  <c r="D384" i="2"/>
  <c r="E384" i="2"/>
  <c r="F384" i="2"/>
  <c r="G384" i="2"/>
  <c r="H384" i="2"/>
  <c r="I384" i="2"/>
  <c r="J384" i="2"/>
  <c r="K384" i="2"/>
  <c r="B385" i="2"/>
  <c r="C385" i="2"/>
  <c r="D385" i="2"/>
  <c r="E385" i="2"/>
  <c r="F385" i="2"/>
  <c r="G385" i="2"/>
  <c r="H385" i="2"/>
  <c r="I385" i="2"/>
  <c r="J385" i="2"/>
  <c r="K385" i="2"/>
  <c r="B386" i="2"/>
  <c r="C386" i="2"/>
  <c r="D386" i="2"/>
  <c r="E386" i="2"/>
  <c r="F386" i="2"/>
  <c r="G386" i="2"/>
  <c r="H386" i="2"/>
  <c r="I386" i="2"/>
  <c r="J386" i="2"/>
  <c r="K386" i="2"/>
  <c r="B387" i="2"/>
  <c r="C387" i="2"/>
  <c r="D387" i="2"/>
  <c r="E387" i="2"/>
  <c r="F387" i="2"/>
  <c r="G387" i="2"/>
  <c r="H387" i="2"/>
  <c r="I387" i="2"/>
  <c r="J387" i="2"/>
  <c r="K387" i="2"/>
  <c r="B388" i="2"/>
  <c r="C388" i="2"/>
  <c r="D388" i="2"/>
  <c r="E388" i="2"/>
  <c r="F388" i="2"/>
  <c r="G388" i="2"/>
  <c r="H388" i="2"/>
  <c r="I388" i="2"/>
  <c r="J388" i="2"/>
  <c r="K388" i="2"/>
  <c r="B389" i="2"/>
  <c r="C389" i="2"/>
  <c r="D389" i="2"/>
  <c r="E389" i="2"/>
  <c r="F389" i="2"/>
  <c r="G389" i="2"/>
  <c r="H389" i="2"/>
  <c r="I389" i="2"/>
  <c r="J389" i="2"/>
  <c r="K389" i="2"/>
  <c r="B390" i="2"/>
  <c r="C390" i="2"/>
  <c r="D390" i="2"/>
  <c r="E390" i="2"/>
  <c r="F390" i="2"/>
  <c r="G390" i="2"/>
  <c r="H390" i="2"/>
  <c r="I390" i="2"/>
  <c r="J390" i="2"/>
  <c r="K390" i="2"/>
  <c r="B391" i="2"/>
  <c r="C391" i="2"/>
  <c r="D391" i="2"/>
  <c r="E391" i="2"/>
  <c r="F391" i="2"/>
  <c r="G391" i="2"/>
  <c r="H391" i="2"/>
  <c r="I391" i="2"/>
  <c r="J391" i="2"/>
  <c r="K391" i="2"/>
  <c r="B392" i="2"/>
  <c r="C392" i="2"/>
  <c r="D392" i="2"/>
  <c r="E392" i="2"/>
  <c r="F392" i="2"/>
  <c r="G392" i="2"/>
  <c r="H392" i="2"/>
  <c r="I392" i="2"/>
  <c r="J392" i="2"/>
  <c r="K392" i="2"/>
  <c r="B393" i="2"/>
  <c r="C393" i="2"/>
  <c r="D393" i="2"/>
  <c r="E393" i="2"/>
  <c r="F393" i="2"/>
  <c r="G393" i="2"/>
  <c r="H393" i="2"/>
  <c r="I393" i="2"/>
  <c r="J393" i="2"/>
  <c r="K393" i="2"/>
  <c r="B394" i="2"/>
  <c r="C394" i="2"/>
  <c r="D394" i="2"/>
  <c r="E394" i="2"/>
  <c r="F394" i="2"/>
  <c r="G394" i="2"/>
  <c r="H394" i="2"/>
  <c r="I394" i="2"/>
  <c r="J394" i="2"/>
  <c r="K394" i="2"/>
  <c r="B395" i="2"/>
  <c r="C395" i="2"/>
  <c r="D395" i="2"/>
  <c r="E395" i="2"/>
  <c r="F395" i="2"/>
  <c r="G395" i="2"/>
  <c r="H395" i="2"/>
  <c r="I395" i="2"/>
  <c r="J395" i="2"/>
  <c r="K395" i="2"/>
  <c r="B396" i="2"/>
  <c r="C396" i="2"/>
  <c r="D396" i="2"/>
  <c r="E396" i="2"/>
  <c r="F396" i="2"/>
  <c r="G396" i="2"/>
  <c r="H396" i="2"/>
  <c r="I396" i="2"/>
  <c r="J396" i="2"/>
  <c r="K396" i="2"/>
  <c r="B397" i="2"/>
  <c r="C397" i="2"/>
  <c r="D397" i="2"/>
  <c r="E397" i="2"/>
  <c r="F397" i="2"/>
  <c r="G397" i="2"/>
  <c r="H397" i="2"/>
  <c r="I397" i="2"/>
  <c r="J397" i="2"/>
  <c r="K397" i="2"/>
  <c r="B398" i="2"/>
  <c r="C398" i="2"/>
  <c r="D398" i="2"/>
  <c r="E398" i="2"/>
  <c r="F398" i="2"/>
  <c r="G398" i="2"/>
  <c r="H398" i="2"/>
  <c r="I398" i="2"/>
  <c r="J398" i="2"/>
  <c r="K398" i="2"/>
  <c r="B399" i="2"/>
  <c r="C399" i="2"/>
  <c r="D399" i="2"/>
  <c r="E399" i="2"/>
  <c r="F399" i="2"/>
  <c r="G399" i="2"/>
  <c r="H399" i="2"/>
  <c r="I399" i="2"/>
  <c r="J399" i="2"/>
  <c r="K399" i="2"/>
  <c r="B400" i="2"/>
  <c r="C400" i="2"/>
  <c r="D400" i="2"/>
  <c r="E400" i="2"/>
  <c r="F400" i="2"/>
  <c r="G400" i="2"/>
  <c r="H400" i="2"/>
  <c r="I400" i="2"/>
  <c r="J400" i="2"/>
  <c r="K400" i="2"/>
  <c r="B401" i="2"/>
  <c r="C401" i="2"/>
  <c r="D401" i="2"/>
  <c r="E401" i="2"/>
  <c r="F401" i="2"/>
  <c r="G401" i="2"/>
  <c r="H401" i="2"/>
  <c r="I401" i="2"/>
  <c r="J401" i="2"/>
  <c r="K401" i="2"/>
  <c r="B402" i="2"/>
  <c r="C402" i="2"/>
  <c r="D402" i="2"/>
  <c r="E402" i="2"/>
  <c r="F402" i="2"/>
  <c r="G402" i="2"/>
  <c r="H402" i="2"/>
  <c r="I402" i="2"/>
  <c r="J402" i="2"/>
  <c r="K402" i="2"/>
  <c r="B403" i="2"/>
  <c r="C403" i="2"/>
  <c r="D403" i="2"/>
  <c r="E403" i="2"/>
  <c r="F403" i="2"/>
  <c r="G403" i="2"/>
  <c r="H403" i="2"/>
  <c r="I403" i="2"/>
  <c r="J403" i="2"/>
  <c r="K403" i="2"/>
  <c r="B404" i="2"/>
  <c r="C404" i="2"/>
  <c r="D404" i="2"/>
  <c r="E404" i="2"/>
  <c r="F404" i="2"/>
  <c r="G404" i="2"/>
  <c r="H404" i="2"/>
  <c r="I404" i="2"/>
  <c r="J404" i="2"/>
  <c r="K404" i="2"/>
  <c r="B405" i="2"/>
  <c r="C405" i="2"/>
  <c r="D405" i="2"/>
  <c r="E405" i="2"/>
  <c r="F405" i="2"/>
  <c r="G405" i="2"/>
  <c r="H405" i="2"/>
  <c r="I405" i="2"/>
  <c r="J405" i="2"/>
  <c r="K405" i="2"/>
  <c r="B406" i="2"/>
  <c r="C406" i="2"/>
  <c r="D406" i="2"/>
  <c r="E406" i="2"/>
  <c r="F406" i="2"/>
  <c r="G406" i="2"/>
  <c r="H406" i="2"/>
  <c r="I406" i="2"/>
  <c r="J406" i="2"/>
  <c r="K406" i="2"/>
  <c r="B407" i="2"/>
  <c r="C407" i="2"/>
  <c r="D407" i="2"/>
  <c r="E407" i="2"/>
  <c r="F407" i="2"/>
  <c r="G407" i="2"/>
  <c r="H407" i="2"/>
  <c r="I407" i="2"/>
  <c r="J407" i="2"/>
  <c r="K407" i="2"/>
  <c r="B408" i="2"/>
  <c r="C408" i="2"/>
  <c r="D408" i="2"/>
  <c r="E408" i="2"/>
  <c r="F408" i="2"/>
  <c r="G408" i="2"/>
  <c r="H408" i="2"/>
  <c r="I408" i="2"/>
  <c r="J408" i="2"/>
  <c r="K408" i="2"/>
  <c r="B409" i="2"/>
  <c r="C409" i="2"/>
  <c r="D409" i="2"/>
  <c r="E409" i="2"/>
  <c r="F409" i="2"/>
  <c r="G409" i="2"/>
  <c r="H409" i="2"/>
  <c r="I409" i="2"/>
  <c r="J409" i="2"/>
  <c r="K409" i="2"/>
  <c r="B410" i="2"/>
  <c r="C410" i="2"/>
  <c r="D410" i="2"/>
  <c r="E410" i="2"/>
  <c r="F410" i="2"/>
  <c r="G410" i="2"/>
  <c r="H410" i="2"/>
  <c r="I410" i="2"/>
  <c r="J410" i="2"/>
  <c r="K410" i="2"/>
  <c r="B411" i="2"/>
  <c r="C411" i="2"/>
  <c r="D411" i="2"/>
  <c r="E411" i="2"/>
  <c r="F411" i="2"/>
  <c r="G411" i="2"/>
  <c r="H411" i="2"/>
  <c r="I411" i="2"/>
  <c r="J411" i="2"/>
  <c r="K411" i="2"/>
  <c r="B412" i="2"/>
  <c r="C412" i="2"/>
  <c r="D412" i="2"/>
  <c r="E412" i="2"/>
  <c r="F412" i="2"/>
  <c r="G412" i="2"/>
  <c r="H412" i="2"/>
  <c r="I412" i="2"/>
  <c r="J412" i="2"/>
  <c r="K412" i="2"/>
  <c r="B413" i="2"/>
  <c r="C413" i="2"/>
  <c r="D413" i="2"/>
  <c r="E413" i="2"/>
  <c r="F413" i="2"/>
  <c r="G413" i="2"/>
  <c r="H413" i="2"/>
  <c r="I413" i="2"/>
  <c r="J413" i="2"/>
  <c r="K413" i="2"/>
  <c r="B414" i="2"/>
  <c r="C414" i="2"/>
  <c r="D414" i="2"/>
  <c r="E414" i="2"/>
  <c r="F414" i="2"/>
  <c r="G414" i="2"/>
  <c r="H414" i="2"/>
  <c r="I414" i="2"/>
  <c r="J414" i="2"/>
  <c r="K414" i="2"/>
  <c r="B415" i="2"/>
  <c r="C415" i="2"/>
  <c r="D415" i="2"/>
  <c r="E415" i="2"/>
  <c r="F415" i="2"/>
  <c r="G415" i="2"/>
  <c r="H415" i="2"/>
  <c r="I415" i="2"/>
  <c r="J415" i="2"/>
  <c r="K415" i="2"/>
  <c r="B416" i="2"/>
  <c r="C416" i="2"/>
  <c r="D416" i="2"/>
  <c r="E416" i="2"/>
  <c r="F416" i="2"/>
  <c r="G416" i="2"/>
  <c r="H416" i="2"/>
  <c r="I416" i="2"/>
  <c r="J416" i="2"/>
  <c r="K416" i="2"/>
  <c r="B417" i="2"/>
  <c r="C417" i="2"/>
  <c r="D417" i="2"/>
  <c r="E417" i="2"/>
  <c r="F417" i="2"/>
  <c r="G417" i="2"/>
  <c r="H417" i="2"/>
  <c r="I417" i="2"/>
  <c r="J417" i="2"/>
  <c r="K417" i="2"/>
  <c r="B418" i="2"/>
  <c r="C418" i="2"/>
  <c r="D418" i="2"/>
  <c r="E418" i="2"/>
  <c r="F418" i="2"/>
  <c r="G418" i="2"/>
  <c r="H418" i="2"/>
  <c r="I418" i="2"/>
  <c r="J418" i="2"/>
  <c r="K418" i="2"/>
  <c r="B419" i="2"/>
  <c r="C419" i="2"/>
  <c r="D419" i="2"/>
  <c r="E419" i="2"/>
  <c r="F419" i="2"/>
  <c r="G419" i="2"/>
  <c r="H419" i="2"/>
  <c r="I419" i="2"/>
  <c r="J419" i="2"/>
  <c r="K419" i="2"/>
  <c r="B420" i="2"/>
  <c r="C420" i="2"/>
  <c r="D420" i="2"/>
  <c r="E420" i="2"/>
  <c r="F420" i="2"/>
  <c r="G420" i="2"/>
  <c r="H420" i="2"/>
  <c r="I420" i="2"/>
  <c r="J420" i="2"/>
  <c r="K420" i="2"/>
  <c r="B421" i="2"/>
  <c r="C421" i="2"/>
  <c r="D421" i="2"/>
  <c r="E421" i="2"/>
  <c r="F421" i="2"/>
  <c r="G421" i="2"/>
  <c r="H421" i="2"/>
  <c r="I421" i="2"/>
  <c r="J421" i="2"/>
  <c r="K421" i="2"/>
  <c r="B422" i="2"/>
  <c r="C422" i="2"/>
  <c r="D422" i="2"/>
  <c r="E422" i="2"/>
  <c r="F422" i="2"/>
  <c r="G422" i="2"/>
  <c r="H422" i="2"/>
  <c r="I422" i="2"/>
  <c r="J422" i="2"/>
  <c r="K422" i="2"/>
  <c r="B423" i="2"/>
  <c r="C423" i="2"/>
  <c r="D423" i="2"/>
  <c r="E423" i="2"/>
  <c r="F423" i="2"/>
  <c r="G423" i="2"/>
  <c r="H423" i="2"/>
  <c r="I423" i="2"/>
  <c r="J423" i="2"/>
  <c r="K423" i="2"/>
  <c r="B424" i="2"/>
  <c r="C424" i="2"/>
  <c r="D424" i="2"/>
  <c r="E424" i="2"/>
  <c r="F424" i="2"/>
  <c r="G424" i="2"/>
  <c r="H424" i="2"/>
  <c r="I424" i="2"/>
  <c r="J424" i="2"/>
  <c r="K424" i="2"/>
  <c r="B425" i="2"/>
  <c r="C425" i="2"/>
  <c r="D425" i="2"/>
  <c r="E425" i="2"/>
  <c r="F425" i="2"/>
  <c r="G425" i="2"/>
  <c r="H425" i="2"/>
  <c r="I425" i="2"/>
  <c r="J425" i="2"/>
  <c r="K425" i="2"/>
  <c r="B426" i="2"/>
  <c r="C426" i="2"/>
  <c r="D426" i="2"/>
  <c r="E426" i="2"/>
  <c r="F426" i="2"/>
  <c r="G426" i="2"/>
  <c r="H426" i="2"/>
  <c r="I426" i="2"/>
  <c r="J426" i="2"/>
  <c r="K426" i="2"/>
  <c r="B427" i="2"/>
  <c r="C427" i="2"/>
  <c r="D427" i="2"/>
  <c r="E427" i="2"/>
  <c r="F427" i="2"/>
  <c r="G427" i="2"/>
  <c r="H427" i="2"/>
  <c r="I427" i="2"/>
  <c r="J427" i="2"/>
  <c r="K427" i="2"/>
  <c r="B428" i="2"/>
  <c r="C428" i="2"/>
  <c r="D428" i="2"/>
  <c r="E428" i="2"/>
  <c r="F428" i="2"/>
  <c r="G428" i="2"/>
  <c r="H428" i="2"/>
  <c r="I428" i="2"/>
  <c r="J428" i="2"/>
  <c r="K428" i="2"/>
  <c r="B429" i="2"/>
  <c r="C429" i="2"/>
  <c r="D429" i="2"/>
  <c r="E429" i="2"/>
  <c r="F429" i="2"/>
  <c r="G429" i="2"/>
  <c r="H429" i="2"/>
  <c r="I429" i="2"/>
  <c r="J429" i="2"/>
  <c r="K429" i="2"/>
  <c r="B430" i="2"/>
  <c r="C430" i="2"/>
  <c r="D430" i="2"/>
  <c r="E430" i="2"/>
  <c r="F430" i="2"/>
  <c r="G430" i="2"/>
  <c r="H430" i="2"/>
  <c r="I430" i="2"/>
  <c r="J430" i="2"/>
  <c r="K430" i="2"/>
  <c r="B431" i="2"/>
  <c r="C431" i="2"/>
  <c r="D431" i="2"/>
  <c r="E431" i="2"/>
  <c r="F431" i="2"/>
  <c r="G431" i="2"/>
  <c r="H431" i="2"/>
  <c r="I431" i="2"/>
  <c r="J431" i="2"/>
  <c r="K431" i="2"/>
  <c r="B432" i="2"/>
  <c r="C432" i="2"/>
  <c r="D432" i="2"/>
  <c r="E432" i="2"/>
  <c r="F432" i="2"/>
  <c r="G432" i="2"/>
  <c r="H432" i="2"/>
  <c r="I432" i="2"/>
  <c r="J432" i="2"/>
  <c r="K432" i="2"/>
  <c r="B433" i="2"/>
  <c r="C433" i="2"/>
  <c r="D433" i="2"/>
  <c r="E433" i="2"/>
  <c r="F433" i="2"/>
  <c r="G433" i="2"/>
  <c r="H433" i="2"/>
  <c r="I433" i="2"/>
  <c r="J433" i="2"/>
  <c r="K433" i="2"/>
  <c r="B434" i="2"/>
  <c r="C434" i="2"/>
  <c r="D434" i="2"/>
  <c r="E434" i="2"/>
  <c r="F434" i="2"/>
  <c r="G434" i="2"/>
  <c r="H434" i="2"/>
  <c r="I434" i="2"/>
  <c r="J434" i="2"/>
  <c r="K434" i="2"/>
  <c r="B435" i="2"/>
  <c r="C435" i="2"/>
  <c r="D435" i="2"/>
  <c r="E435" i="2"/>
  <c r="F435" i="2"/>
  <c r="G435" i="2"/>
  <c r="H435" i="2"/>
  <c r="I435" i="2"/>
  <c r="J435" i="2"/>
  <c r="K435" i="2"/>
  <c r="B436" i="2"/>
  <c r="C436" i="2"/>
  <c r="D436" i="2"/>
  <c r="E436" i="2"/>
  <c r="F436" i="2"/>
  <c r="G436" i="2"/>
  <c r="H436" i="2"/>
  <c r="I436" i="2"/>
  <c r="J436" i="2"/>
  <c r="K436" i="2"/>
  <c r="B437" i="2"/>
  <c r="C437" i="2"/>
  <c r="D437" i="2"/>
  <c r="E437" i="2"/>
  <c r="F437" i="2"/>
  <c r="G437" i="2"/>
  <c r="H437" i="2"/>
  <c r="I437" i="2"/>
  <c r="J437" i="2"/>
  <c r="K437" i="2"/>
  <c r="B438" i="2"/>
  <c r="C438" i="2"/>
  <c r="D438" i="2"/>
  <c r="E438" i="2"/>
  <c r="F438" i="2"/>
  <c r="G438" i="2"/>
  <c r="H438" i="2"/>
  <c r="I438" i="2"/>
  <c r="J438" i="2"/>
  <c r="K438" i="2"/>
  <c r="B439" i="2"/>
  <c r="C439" i="2"/>
  <c r="D439" i="2"/>
  <c r="E439" i="2"/>
  <c r="F439" i="2"/>
  <c r="G439" i="2"/>
  <c r="H439" i="2"/>
  <c r="I439" i="2"/>
  <c r="J439" i="2"/>
  <c r="K439" i="2"/>
  <c r="B440" i="2"/>
  <c r="C440" i="2"/>
  <c r="D440" i="2"/>
  <c r="E440" i="2"/>
  <c r="F440" i="2"/>
  <c r="G440" i="2"/>
  <c r="H440" i="2"/>
  <c r="I440" i="2"/>
  <c r="J440" i="2"/>
  <c r="K440" i="2"/>
  <c r="B441" i="2"/>
  <c r="C441" i="2"/>
  <c r="D441" i="2"/>
  <c r="E441" i="2"/>
  <c r="F441" i="2"/>
  <c r="G441" i="2"/>
  <c r="H441" i="2"/>
  <c r="I441" i="2"/>
  <c r="J441" i="2"/>
  <c r="K441" i="2"/>
  <c r="B442" i="2"/>
  <c r="C442" i="2"/>
  <c r="D442" i="2"/>
  <c r="E442" i="2"/>
  <c r="F442" i="2"/>
  <c r="G442" i="2"/>
  <c r="H442" i="2"/>
  <c r="I442" i="2"/>
  <c r="J442" i="2"/>
  <c r="K442" i="2"/>
  <c r="B443" i="2"/>
  <c r="C443" i="2"/>
  <c r="D443" i="2"/>
  <c r="E443" i="2"/>
  <c r="F443" i="2"/>
  <c r="G443" i="2"/>
  <c r="H443" i="2"/>
  <c r="I443" i="2"/>
  <c r="J443" i="2"/>
  <c r="K443" i="2"/>
  <c r="B444" i="2"/>
  <c r="C444" i="2"/>
  <c r="D444" i="2"/>
  <c r="E444" i="2"/>
  <c r="F444" i="2"/>
  <c r="G444" i="2"/>
  <c r="H444" i="2"/>
  <c r="I444" i="2"/>
  <c r="J444" i="2"/>
  <c r="K444" i="2"/>
  <c r="B445" i="2"/>
  <c r="C445" i="2"/>
  <c r="D445" i="2"/>
  <c r="E445" i="2"/>
  <c r="F445" i="2"/>
  <c r="G445" i="2"/>
  <c r="H445" i="2"/>
  <c r="I445" i="2"/>
  <c r="J445" i="2"/>
  <c r="K445" i="2"/>
  <c r="B446" i="2"/>
  <c r="C446" i="2"/>
  <c r="D446" i="2"/>
  <c r="E446" i="2"/>
  <c r="F446" i="2"/>
  <c r="G446" i="2"/>
  <c r="H446" i="2"/>
  <c r="I446" i="2"/>
  <c r="J446" i="2"/>
  <c r="K446" i="2"/>
  <c r="B447" i="2"/>
  <c r="C447" i="2"/>
  <c r="D447" i="2"/>
  <c r="E447" i="2"/>
  <c r="F447" i="2"/>
  <c r="G447" i="2"/>
  <c r="H447" i="2"/>
  <c r="I447" i="2"/>
  <c r="J447" i="2"/>
  <c r="K447" i="2"/>
  <c r="B448" i="2"/>
  <c r="C448" i="2"/>
  <c r="D448" i="2"/>
  <c r="E448" i="2"/>
  <c r="F448" i="2"/>
  <c r="G448" i="2"/>
  <c r="H448" i="2"/>
  <c r="I448" i="2"/>
  <c r="J448" i="2"/>
  <c r="K448" i="2"/>
  <c r="B449" i="2"/>
  <c r="C449" i="2"/>
  <c r="D449" i="2"/>
  <c r="E449" i="2"/>
  <c r="F449" i="2"/>
  <c r="G449" i="2"/>
  <c r="H449" i="2"/>
  <c r="I449" i="2"/>
  <c r="J449" i="2"/>
  <c r="K449" i="2"/>
  <c r="B450" i="2"/>
  <c r="C450" i="2"/>
  <c r="D450" i="2"/>
  <c r="E450" i="2"/>
  <c r="F450" i="2"/>
  <c r="G450" i="2"/>
  <c r="H450" i="2"/>
  <c r="I450" i="2"/>
  <c r="J450" i="2"/>
  <c r="K450" i="2"/>
  <c r="B451" i="2"/>
  <c r="C451" i="2"/>
  <c r="D451" i="2"/>
  <c r="E451" i="2"/>
  <c r="F451" i="2"/>
  <c r="G451" i="2"/>
  <c r="H451" i="2"/>
  <c r="I451" i="2"/>
  <c r="J451" i="2"/>
  <c r="K451" i="2"/>
  <c r="B452" i="2"/>
  <c r="C452" i="2"/>
  <c r="D452" i="2"/>
  <c r="E452" i="2"/>
  <c r="F452" i="2"/>
  <c r="G452" i="2"/>
  <c r="H452" i="2"/>
  <c r="I452" i="2"/>
  <c r="J452" i="2"/>
  <c r="K452" i="2"/>
  <c r="B453" i="2"/>
  <c r="C453" i="2"/>
  <c r="D453" i="2"/>
  <c r="E453" i="2"/>
  <c r="F453" i="2"/>
  <c r="G453" i="2"/>
  <c r="H453" i="2"/>
  <c r="I453" i="2"/>
  <c r="J453" i="2"/>
  <c r="K453" i="2"/>
  <c r="B454" i="2"/>
  <c r="C454" i="2"/>
  <c r="D454" i="2"/>
  <c r="E454" i="2"/>
  <c r="F454" i="2"/>
  <c r="G454" i="2"/>
  <c r="H454" i="2"/>
  <c r="I454" i="2"/>
  <c r="J454" i="2"/>
  <c r="K454" i="2"/>
  <c r="B455" i="2"/>
  <c r="C455" i="2"/>
  <c r="D455" i="2"/>
  <c r="E455" i="2"/>
  <c r="F455" i="2"/>
  <c r="G455" i="2"/>
  <c r="H455" i="2"/>
  <c r="I455" i="2"/>
  <c r="J455" i="2"/>
  <c r="K455" i="2"/>
  <c r="B456" i="2"/>
  <c r="C456" i="2"/>
  <c r="D456" i="2"/>
  <c r="E456" i="2"/>
  <c r="F456" i="2"/>
  <c r="G456" i="2"/>
  <c r="H456" i="2"/>
  <c r="I456" i="2"/>
  <c r="J456" i="2"/>
  <c r="K456" i="2"/>
  <c r="B457" i="2"/>
  <c r="C457" i="2"/>
  <c r="D457" i="2"/>
  <c r="E457" i="2"/>
  <c r="F457" i="2"/>
  <c r="G457" i="2"/>
  <c r="H457" i="2"/>
  <c r="I457" i="2"/>
  <c r="J457" i="2"/>
  <c r="K457" i="2"/>
  <c r="B458" i="2"/>
  <c r="C458" i="2"/>
  <c r="D458" i="2"/>
  <c r="E458" i="2"/>
  <c r="F458" i="2"/>
  <c r="G458" i="2"/>
  <c r="H458" i="2"/>
  <c r="I458" i="2"/>
  <c r="J458" i="2"/>
  <c r="K458" i="2"/>
  <c r="B459" i="2"/>
  <c r="C459" i="2"/>
  <c r="D459" i="2"/>
  <c r="E459" i="2"/>
  <c r="F459" i="2"/>
  <c r="G459" i="2"/>
  <c r="H459" i="2"/>
  <c r="I459" i="2"/>
  <c r="J459" i="2"/>
  <c r="K459" i="2"/>
  <c r="B460" i="2"/>
  <c r="C460" i="2"/>
  <c r="D460" i="2"/>
  <c r="E460" i="2"/>
  <c r="F460" i="2"/>
  <c r="G460" i="2"/>
  <c r="H460" i="2"/>
  <c r="I460" i="2"/>
  <c r="J460" i="2"/>
  <c r="K460" i="2"/>
  <c r="B461" i="2"/>
  <c r="C461" i="2"/>
  <c r="D461" i="2"/>
  <c r="E461" i="2"/>
  <c r="F461" i="2"/>
  <c r="G461" i="2"/>
  <c r="H461" i="2"/>
  <c r="I461" i="2"/>
  <c r="J461" i="2"/>
  <c r="K461" i="2"/>
  <c r="B462" i="2"/>
  <c r="C462" i="2"/>
  <c r="D462" i="2"/>
  <c r="E462" i="2"/>
  <c r="F462" i="2"/>
  <c r="G462" i="2"/>
  <c r="H462" i="2"/>
  <c r="I462" i="2"/>
  <c r="J462" i="2"/>
  <c r="K462" i="2"/>
  <c r="B463" i="2"/>
  <c r="C463" i="2"/>
  <c r="D463" i="2"/>
  <c r="E463" i="2"/>
  <c r="F463" i="2"/>
  <c r="G463" i="2"/>
  <c r="H463" i="2"/>
  <c r="I463" i="2"/>
  <c r="J463" i="2"/>
  <c r="K463" i="2"/>
  <c r="B464" i="2"/>
  <c r="C464" i="2"/>
  <c r="D464" i="2"/>
  <c r="E464" i="2"/>
  <c r="F464" i="2"/>
  <c r="G464" i="2"/>
  <c r="H464" i="2"/>
  <c r="I464" i="2"/>
  <c r="J464" i="2"/>
  <c r="K464" i="2"/>
  <c r="B465" i="2"/>
  <c r="C465" i="2"/>
  <c r="D465" i="2"/>
  <c r="E465" i="2"/>
  <c r="F465" i="2"/>
  <c r="G465" i="2"/>
  <c r="H465" i="2"/>
  <c r="I465" i="2"/>
  <c r="J465" i="2"/>
  <c r="K465" i="2"/>
  <c r="B466" i="2"/>
  <c r="C466" i="2"/>
  <c r="D466" i="2"/>
  <c r="E466" i="2"/>
  <c r="F466" i="2"/>
  <c r="G466" i="2"/>
  <c r="H466" i="2"/>
  <c r="I466" i="2"/>
  <c r="J466" i="2"/>
  <c r="K466" i="2"/>
  <c r="B467" i="2"/>
  <c r="C467" i="2"/>
  <c r="D467" i="2"/>
  <c r="E467" i="2"/>
  <c r="F467" i="2"/>
  <c r="G467" i="2"/>
  <c r="H467" i="2"/>
  <c r="I467" i="2"/>
  <c r="J467" i="2"/>
  <c r="K467" i="2"/>
  <c r="B468" i="2"/>
  <c r="C468" i="2"/>
  <c r="D468" i="2"/>
  <c r="E468" i="2"/>
  <c r="F468" i="2"/>
  <c r="G468" i="2"/>
  <c r="H468" i="2"/>
  <c r="I468" i="2"/>
  <c r="J468" i="2"/>
  <c r="K468" i="2"/>
  <c r="B469" i="2"/>
  <c r="C469" i="2"/>
  <c r="D469" i="2"/>
  <c r="E469" i="2"/>
  <c r="F469" i="2"/>
  <c r="G469" i="2"/>
  <c r="H469" i="2"/>
  <c r="I469" i="2"/>
  <c r="J469" i="2"/>
  <c r="K469" i="2"/>
  <c r="B470" i="2"/>
  <c r="C470" i="2"/>
  <c r="D470" i="2"/>
  <c r="E470" i="2"/>
  <c r="F470" i="2"/>
  <c r="G470" i="2"/>
  <c r="H470" i="2"/>
  <c r="I470" i="2"/>
  <c r="J470" i="2"/>
  <c r="K470" i="2"/>
  <c r="B471" i="2"/>
  <c r="C471" i="2"/>
  <c r="D471" i="2"/>
  <c r="E471" i="2"/>
  <c r="F471" i="2"/>
  <c r="G471" i="2"/>
  <c r="H471" i="2"/>
  <c r="I471" i="2"/>
  <c r="J471" i="2"/>
  <c r="K471" i="2"/>
  <c r="B472" i="2"/>
  <c r="C472" i="2"/>
  <c r="D472" i="2"/>
  <c r="E472" i="2"/>
  <c r="F472" i="2"/>
  <c r="G472" i="2"/>
  <c r="H472" i="2"/>
  <c r="I472" i="2"/>
  <c r="J472" i="2"/>
  <c r="K472" i="2"/>
  <c r="B473" i="2"/>
  <c r="C473" i="2"/>
  <c r="D473" i="2"/>
  <c r="E473" i="2"/>
  <c r="F473" i="2"/>
  <c r="G473" i="2"/>
  <c r="H473" i="2"/>
  <c r="I473" i="2"/>
  <c r="J473" i="2"/>
  <c r="K473" i="2"/>
  <c r="B474" i="2"/>
  <c r="C474" i="2"/>
  <c r="D474" i="2"/>
  <c r="E474" i="2"/>
  <c r="F474" i="2"/>
  <c r="G474" i="2"/>
  <c r="H474" i="2"/>
  <c r="I474" i="2"/>
  <c r="J474" i="2"/>
  <c r="K474" i="2"/>
  <c r="B475" i="2"/>
  <c r="C475" i="2"/>
  <c r="D475" i="2"/>
  <c r="E475" i="2"/>
  <c r="F475" i="2"/>
  <c r="G475" i="2"/>
  <c r="H475" i="2"/>
  <c r="I475" i="2"/>
  <c r="J475" i="2"/>
  <c r="K475" i="2"/>
  <c r="B476" i="2"/>
  <c r="C476" i="2"/>
  <c r="D476" i="2"/>
  <c r="E476" i="2"/>
  <c r="F476" i="2"/>
  <c r="G476" i="2"/>
  <c r="H476" i="2"/>
  <c r="I476" i="2"/>
  <c r="J476" i="2"/>
  <c r="K476" i="2"/>
  <c r="B477" i="2"/>
  <c r="C477" i="2"/>
  <c r="D477" i="2"/>
  <c r="E477" i="2"/>
  <c r="F477" i="2"/>
  <c r="G477" i="2"/>
  <c r="H477" i="2"/>
  <c r="I477" i="2"/>
  <c r="J477" i="2"/>
  <c r="K477" i="2"/>
  <c r="B478" i="2"/>
  <c r="C478" i="2"/>
  <c r="D478" i="2"/>
  <c r="E478" i="2"/>
  <c r="F478" i="2"/>
  <c r="G478" i="2"/>
  <c r="H478" i="2"/>
  <c r="I478" i="2"/>
  <c r="J478" i="2"/>
  <c r="K478" i="2"/>
  <c r="B479" i="2"/>
  <c r="C479" i="2"/>
  <c r="D479" i="2"/>
  <c r="E479" i="2"/>
  <c r="F479" i="2"/>
  <c r="G479" i="2"/>
  <c r="H479" i="2"/>
  <c r="I479" i="2"/>
  <c r="J479" i="2"/>
  <c r="K479" i="2"/>
  <c r="B480" i="2"/>
  <c r="C480" i="2"/>
  <c r="D480" i="2"/>
  <c r="E480" i="2"/>
  <c r="F480" i="2"/>
  <c r="G480" i="2"/>
  <c r="H480" i="2"/>
  <c r="I480" i="2"/>
  <c r="J480" i="2"/>
  <c r="K480" i="2"/>
  <c r="B481" i="2"/>
  <c r="C481" i="2"/>
  <c r="D481" i="2"/>
  <c r="E481" i="2"/>
  <c r="F481" i="2"/>
  <c r="G481" i="2"/>
  <c r="H481" i="2"/>
  <c r="I481" i="2"/>
  <c r="J481" i="2"/>
  <c r="K481" i="2"/>
  <c r="B482" i="2"/>
  <c r="C482" i="2"/>
  <c r="D482" i="2"/>
  <c r="E482" i="2"/>
  <c r="F482" i="2"/>
  <c r="G482" i="2"/>
  <c r="H482" i="2"/>
  <c r="I482" i="2"/>
  <c r="J482" i="2"/>
  <c r="K482" i="2"/>
  <c r="B483" i="2"/>
  <c r="C483" i="2"/>
  <c r="D483" i="2"/>
  <c r="E483" i="2"/>
  <c r="F483" i="2"/>
  <c r="G483" i="2"/>
  <c r="H483" i="2"/>
  <c r="I483" i="2"/>
  <c r="J483" i="2"/>
  <c r="K483" i="2"/>
  <c r="B484" i="2"/>
  <c r="C484" i="2"/>
  <c r="D484" i="2"/>
  <c r="E484" i="2"/>
  <c r="F484" i="2"/>
  <c r="G484" i="2"/>
  <c r="H484" i="2"/>
  <c r="I484" i="2"/>
  <c r="J484" i="2"/>
  <c r="K484" i="2"/>
  <c r="B485" i="2"/>
  <c r="C485" i="2"/>
  <c r="D485" i="2"/>
  <c r="E485" i="2"/>
  <c r="F485" i="2"/>
  <c r="G485" i="2"/>
  <c r="H485" i="2"/>
  <c r="I485" i="2"/>
  <c r="J485" i="2"/>
  <c r="K485" i="2"/>
  <c r="B486" i="2"/>
  <c r="C486" i="2"/>
  <c r="D486" i="2"/>
  <c r="E486" i="2"/>
  <c r="F486" i="2"/>
  <c r="G486" i="2"/>
  <c r="H486" i="2"/>
  <c r="I486" i="2"/>
  <c r="J486" i="2"/>
  <c r="K486" i="2"/>
  <c r="B487" i="2"/>
  <c r="C487" i="2"/>
  <c r="D487" i="2"/>
  <c r="E487" i="2"/>
  <c r="F487" i="2"/>
  <c r="G487" i="2"/>
  <c r="H487" i="2"/>
  <c r="I487" i="2"/>
  <c r="J487" i="2"/>
  <c r="K487" i="2"/>
  <c r="B488" i="2"/>
  <c r="C488" i="2"/>
  <c r="D488" i="2"/>
  <c r="E488" i="2"/>
  <c r="F488" i="2"/>
  <c r="G488" i="2"/>
  <c r="H488" i="2"/>
  <c r="I488" i="2"/>
  <c r="J488" i="2"/>
  <c r="K488" i="2"/>
  <c r="B489" i="2"/>
  <c r="C489" i="2"/>
  <c r="D489" i="2"/>
  <c r="E489" i="2"/>
  <c r="F489" i="2"/>
  <c r="G489" i="2"/>
  <c r="H489" i="2"/>
  <c r="I489" i="2"/>
  <c r="J489" i="2"/>
  <c r="K489" i="2"/>
  <c r="B490" i="2"/>
  <c r="C490" i="2"/>
  <c r="D490" i="2"/>
  <c r="E490" i="2"/>
  <c r="F490" i="2"/>
  <c r="G490" i="2"/>
  <c r="H490" i="2"/>
  <c r="I490" i="2"/>
  <c r="J490" i="2"/>
  <c r="K490" i="2"/>
  <c r="B491" i="2"/>
  <c r="C491" i="2"/>
  <c r="D491" i="2"/>
  <c r="E491" i="2"/>
  <c r="F491" i="2"/>
  <c r="G491" i="2"/>
  <c r="H491" i="2"/>
  <c r="I491" i="2"/>
  <c r="J491" i="2"/>
  <c r="K491" i="2"/>
  <c r="B492" i="2"/>
  <c r="C492" i="2"/>
  <c r="D492" i="2"/>
  <c r="E492" i="2"/>
  <c r="F492" i="2"/>
  <c r="G492" i="2"/>
  <c r="H492" i="2"/>
  <c r="I492" i="2"/>
  <c r="J492" i="2"/>
  <c r="K492" i="2"/>
  <c r="B493" i="2"/>
  <c r="C493" i="2"/>
  <c r="D493" i="2"/>
  <c r="E493" i="2"/>
  <c r="F493" i="2"/>
  <c r="G493" i="2"/>
  <c r="H493" i="2"/>
  <c r="I493" i="2"/>
  <c r="J493" i="2"/>
  <c r="K493" i="2"/>
  <c r="B494" i="2"/>
  <c r="C494" i="2"/>
  <c r="D494" i="2"/>
  <c r="E494" i="2"/>
  <c r="F494" i="2"/>
  <c r="G494" i="2"/>
  <c r="H494" i="2"/>
  <c r="I494" i="2"/>
  <c r="J494" i="2"/>
  <c r="K494" i="2"/>
  <c r="B495" i="2"/>
  <c r="C495" i="2"/>
  <c r="D495" i="2"/>
  <c r="E495" i="2"/>
  <c r="F495" i="2"/>
  <c r="G495" i="2"/>
  <c r="H495" i="2"/>
  <c r="I495" i="2"/>
  <c r="J495" i="2"/>
  <c r="K495" i="2"/>
  <c r="B496" i="2"/>
  <c r="C496" i="2"/>
  <c r="D496" i="2"/>
  <c r="E496" i="2"/>
  <c r="F496" i="2"/>
  <c r="G496" i="2"/>
  <c r="H496" i="2"/>
  <c r="I496" i="2"/>
  <c r="J496" i="2"/>
  <c r="K496" i="2"/>
  <c r="B497" i="2"/>
  <c r="C497" i="2"/>
  <c r="D497" i="2"/>
  <c r="E497" i="2"/>
  <c r="F497" i="2"/>
  <c r="G497" i="2"/>
  <c r="H497" i="2"/>
  <c r="I497" i="2"/>
  <c r="J497" i="2"/>
  <c r="K497" i="2"/>
  <c r="B498" i="2"/>
  <c r="C498" i="2"/>
  <c r="D498" i="2"/>
  <c r="E498" i="2"/>
  <c r="F498" i="2"/>
  <c r="G498" i="2"/>
  <c r="H498" i="2"/>
  <c r="I498" i="2"/>
  <c r="J498" i="2"/>
  <c r="K498" i="2"/>
  <c r="B499" i="2"/>
  <c r="C499" i="2"/>
  <c r="D499" i="2"/>
  <c r="E499" i="2"/>
  <c r="F499" i="2"/>
  <c r="G499" i="2"/>
  <c r="H499" i="2"/>
  <c r="I499" i="2"/>
  <c r="J499" i="2"/>
  <c r="K499" i="2"/>
  <c r="B500" i="2"/>
  <c r="C500" i="2"/>
  <c r="D500" i="2"/>
  <c r="E500" i="2"/>
  <c r="F500" i="2"/>
  <c r="G500" i="2"/>
  <c r="H500" i="2"/>
  <c r="I500" i="2"/>
  <c r="J500" i="2"/>
  <c r="K500" i="2"/>
  <c r="B501" i="2"/>
  <c r="C501" i="2"/>
  <c r="D501" i="2"/>
  <c r="E501" i="2"/>
  <c r="F501" i="2"/>
  <c r="G501" i="2"/>
  <c r="H501" i="2"/>
  <c r="I501" i="2"/>
  <c r="J501" i="2"/>
  <c r="K501" i="2"/>
  <c r="B502" i="2"/>
  <c r="C502" i="2"/>
  <c r="D502" i="2"/>
  <c r="E502" i="2"/>
  <c r="F502" i="2"/>
  <c r="G502" i="2"/>
  <c r="H502" i="2"/>
  <c r="I502" i="2"/>
  <c r="J502" i="2"/>
  <c r="K502" i="2"/>
  <c r="B503" i="2"/>
  <c r="C503" i="2"/>
  <c r="D503" i="2"/>
  <c r="E503" i="2"/>
  <c r="F503" i="2"/>
  <c r="G503" i="2"/>
  <c r="H503" i="2"/>
  <c r="I503" i="2"/>
  <c r="J503" i="2"/>
  <c r="K503" i="2"/>
  <c r="B504" i="2"/>
  <c r="C504" i="2"/>
  <c r="D504" i="2"/>
  <c r="E504" i="2"/>
  <c r="F504" i="2"/>
  <c r="G504" i="2"/>
  <c r="H504" i="2"/>
  <c r="I504" i="2"/>
  <c r="J504" i="2"/>
  <c r="K504" i="2"/>
  <c r="B505" i="2"/>
  <c r="C505" i="2"/>
  <c r="D505" i="2"/>
  <c r="E505" i="2"/>
  <c r="F505" i="2"/>
  <c r="G505" i="2"/>
  <c r="H505" i="2"/>
  <c r="I505" i="2"/>
  <c r="J505" i="2"/>
  <c r="K505" i="2"/>
  <c r="B506" i="2"/>
  <c r="C506" i="2"/>
  <c r="D506" i="2"/>
  <c r="E506" i="2"/>
  <c r="F506" i="2"/>
  <c r="G506" i="2"/>
  <c r="H506" i="2"/>
  <c r="I506" i="2"/>
  <c r="J506" i="2"/>
  <c r="K506" i="2"/>
  <c r="B507" i="2"/>
  <c r="C507" i="2"/>
  <c r="D507" i="2"/>
  <c r="E507" i="2"/>
  <c r="F507" i="2"/>
  <c r="G507" i="2"/>
  <c r="H507" i="2"/>
  <c r="I507" i="2"/>
  <c r="J507" i="2"/>
  <c r="K507" i="2"/>
  <c r="B508" i="2"/>
  <c r="C508" i="2"/>
  <c r="D508" i="2"/>
  <c r="E508" i="2"/>
  <c r="F508" i="2"/>
  <c r="G508" i="2"/>
  <c r="H508" i="2"/>
  <c r="I508" i="2"/>
  <c r="J508" i="2"/>
  <c r="K508" i="2"/>
  <c r="B509" i="2"/>
  <c r="C509" i="2"/>
  <c r="D509" i="2"/>
  <c r="E509" i="2"/>
  <c r="F509" i="2"/>
  <c r="G509" i="2"/>
  <c r="H509" i="2"/>
  <c r="I509" i="2"/>
  <c r="J509" i="2"/>
  <c r="K509" i="2"/>
  <c r="B510" i="2"/>
  <c r="C510" i="2"/>
  <c r="D510" i="2"/>
  <c r="E510" i="2"/>
  <c r="F510" i="2"/>
  <c r="G510" i="2"/>
  <c r="H510" i="2"/>
  <c r="I510" i="2"/>
  <c r="J510" i="2"/>
  <c r="K510" i="2"/>
  <c r="B511" i="2"/>
  <c r="C511" i="2"/>
  <c r="D511" i="2"/>
  <c r="E511" i="2"/>
  <c r="F511" i="2"/>
  <c r="G511" i="2"/>
  <c r="H511" i="2"/>
  <c r="I511" i="2"/>
  <c r="J511" i="2"/>
  <c r="K511" i="2"/>
  <c r="B512" i="2"/>
  <c r="C512" i="2"/>
  <c r="D512" i="2"/>
  <c r="E512" i="2"/>
  <c r="F512" i="2"/>
  <c r="G512" i="2"/>
  <c r="H512" i="2"/>
  <c r="I512" i="2"/>
  <c r="J512" i="2"/>
  <c r="K512" i="2"/>
  <c r="B513" i="2"/>
  <c r="C513" i="2"/>
  <c r="D513" i="2"/>
  <c r="E513" i="2"/>
  <c r="F513" i="2"/>
  <c r="G513" i="2"/>
  <c r="H513" i="2"/>
  <c r="I513" i="2"/>
  <c r="J513" i="2"/>
  <c r="K513" i="2"/>
  <c r="B514" i="2"/>
  <c r="C514" i="2"/>
  <c r="D514" i="2"/>
  <c r="E514" i="2"/>
  <c r="F514" i="2"/>
  <c r="G514" i="2"/>
  <c r="H514" i="2"/>
  <c r="I514" i="2"/>
  <c r="J514" i="2"/>
  <c r="K514" i="2"/>
  <c r="B515" i="2"/>
  <c r="C515" i="2"/>
  <c r="D515" i="2"/>
  <c r="E515" i="2"/>
  <c r="F515" i="2"/>
  <c r="G515" i="2"/>
  <c r="H515" i="2"/>
  <c r="I515" i="2"/>
  <c r="J515" i="2"/>
  <c r="K515" i="2"/>
  <c r="B516" i="2"/>
  <c r="C516" i="2"/>
  <c r="D516" i="2"/>
  <c r="E516" i="2"/>
  <c r="F516" i="2"/>
  <c r="G516" i="2"/>
  <c r="H516" i="2"/>
  <c r="I516" i="2"/>
  <c r="J516" i="2"/>
  <c r="K516" i="2"/>
  <c r="B517" i="2"/>
  <c r="C517" i="2"/>
  <c r="D517" i="2"/>
  <c r="E517" i="2"/>
  <c r="F517" i="2"/>
  <c r="G517" i="2"/>
  <c r="H517" i="2"/>
  <c r="I517" i="2"/>
  <c r="J517" i="2"/>
  <c r="K517" i="2"/>
  <c r="B518" i="2"/>
  <c r="C518" i="2"/>
  <c r="D518" i="2"/>
  <c r="E518" i="2"/>
  <c r="F518" i="2"/>
  <c r="G518" i="2"/>
  <c r="H518" i="2"/>
  <c r="I518" i="2"/>
  <c r="J518" i="2"/>
  <c r="K518" i="2"/>
  <c r="B519" i="2"/>
  <c r="C519" i="2"/>
  <c r="D519" i="2"/>
  <c r="E519" i="2"/>
  <c r="F519" i="2"/>
  <c r="G519" i="2"/>
  <c r="H519" i="2"/>
  <c r="I519" i="2"/>
  <c r="J519" i="2"/>
  <c r="K519" i="2"/>
  <c r="B520" i="2"/>
  <c r="C520" i="2"/>
  <c r="D520" i="2"/>
  <c r="E520" i="2"/>
  <c r="F520" i="2"/>
  <c r="G520" i="2"/>
  <c r="H520" i="2"/>
  <c r="I520" i="2"/>
  <c r="J520" i="2"/>
  <c r="K520" i="2"/>
  <c r="B521" i="2"/>
  <c r="C521" i="2"/>
  <c r="D521" i="2"/>
  <c r="E521" i="2"/>
  <c r="F521" i="2"/>
  <c r="G521" i="2"/>
  <c r="H521" i="2"/>
  <c r="I521" i="2"/>
  <c r="J521" i="2"/>
  <c r="K521" i="2"/>
  <c r="B522" i="2"/>
  <c r="C522" i="2"/>
  <c r="D522" i="2"/>
  <c r="E522" i="2"/>
  <c r="F522" i="2"/>
  <c r="G522" i="2"/>
  <c r="H522" i="2"/>
  <c r="I522" i="2"/>
  <c r="J522" i="2"/>
  <c r="K522" i="2"/>
  <c r="B523" i="2"/>
  <c r="C523" i="2"/>
  <c r="D523" i="2"/>
  <c r="E523" i="2"/>
  <c r="F523" i="2"/>
  <c r="G523" i="2"/>
  <c r="H523" i="2"/>
  <c r="I523" i="2"/>
  <c r="J523" i="2"/>
  <c r="K523" i="2"/>
  <c r="B524" i="2"/>
  <c r="C524" i="2"/>
  <c r="D524" i="2"/>
  <c r="E524" i="2"/>
  <c r="F524" i="2"/>
  <c r="G524" i="2"/>
  <c r="H524" i="2"/>
  <c r="I524" i="2"/>
  <c r="J524" i="2"/>
  <c r="K524" i="2"/>
  <c r="B525" i="2"/>
  <c r="C525" i="2"/>
  <c r="D525" i="2"/>
  <c r="E525" i="2"/>
  <c r="F525" i="2"/>
  <c r="G525" i="2"/>
  <c r="H525" i="2"/>
  <c r="I525" i="2"/>
  <c r="J525" i="2"/>
  <c r="K525" i="2"/>
  <c r="B526" i="2"/>
  <c r="C526" i="2"/>
  <c r="D526" i="2"/>
  <c r="E526" i="2"/>
  <c r="F526" i="2"/>
  <c r="G526" i="2"/>
  <c r="H526" i="2"/>
  <c r="I526" i="2"/>
  <c r="J526" i="2"/>
  <c r="K526" i="2"/>
  <c r="B527" i="2"/>
  <c r="C527" i="2"/>
  <c r="D527" i="2"/>
  <c r="E527" i="2"/>
  <c r="F527" i="2"/>
  <c r="G527" i="2"/>
  <c r="H527" i="2"/>
  <c r="I527" i="2"/>
  <c r="J527" i="2"/>
  <c r="K527" i="2"/>
  <c r="B528" i="2"/>
  <c r="C528" i="2"/>
  <c r="D528" i="2"/>
  <c r="E528" i="2"/>
  <c r="F528" i="2"/>
  <c r="G528" i="2"/>
  <c r="H528" i="2"/>
  <c r="I528" i="2"/>
  <c r="J528" i="2"/>
  <c r="K528" i="2"/>
  <c r="B529" i="2"/>
  <c r="C529" i="2"/>
  <c r="D529" i="2"/>
  <c r="E529" i="2"/>
  <c r="F529" i="2"/>
  <c r="G529" i="2"/>
  <c r="H529" i="2"/>
  <c r="I529" i="2"/>
  <c r="J529" i="2"/>
  <c r="K529" i="2"/>
  <c r="B530" i="2"/>
  <c r="C530" i="2"/>
  <c r="D530" i="2"/>
  <c r="E530" i="2"/>
  <c r="F530" i="2"/>
  <c r="G530" i="2"/>
  <c r="H530" i="2"/>
  <c r="I530" i="2"/>
  <c r="J530" i="2"/>
  <c r="K530" i="2"/>
  <c r="B531" i="2"/>
  <c r="C531" i="2"/>
  <c r="D531" i="2"/>
  <c r="E531" i="2"/>
  <c r="F531" i="2"/>
  <c r="G531" i="2"/>
  <c r="H531" i="2"/>
  <c r="I531" i="2"/>
  <c r="J531" i="2"/>
  <c r="K531" i="2"/>
  <c r="B532" i="2"/>
  <c r="C532" i="2"/>
  <c r="D532" i="2"/>
  <c r="E532" i="2"/>
  <c r="F532" i="2"/>
  <c r="G532" i="2"/>
  <c r="H532" i="2"/>
  <c r="I532" i="2"/>
  <c r="J532" i="2"/>
  <c r="K532" i="2"/>
  <c r="B533" i="2"/>
  <c r="C533" i="2"/>
  <c r="D533" i="2"/>
  <c r="E533" i="2"/>
  <c r="F533" i="2"/>
  <c r="G533" i="2"/>
  <c r="H533" i="2"/>
  <c r="I533" i="2"/>
  <c r="J533" i="2"/>
  <c r="K533" i="2"/>
  <c r="B534" i="2"/>
  <c r="C534" i="2"/>
  <c r="D534" i="2"/>
  <c r="E534" i="2"/>
  <c r="F534" i="2"/>
  <c r="G534" i="2"/>
  <c r="H534" i="2"/>
  <c r="I534" i="2"/>
  <c r="J534" i="2"/>
  <c r="K534" i="2"/>
  <c r="B535" i="2"/>
  <c r="C535" i="2"/>
  <c r="D535" i="2"/>
  <c r="E535" i="2"/>
  <c r="F535" i="2"/>
  <c r="G535" i="2"/>
  <c r="H535" i="2"/>
  <c r="I535" i="2"/>
  <c r="J535" i="2"/>
  <c r="K535" i="2"/>
  <c r="B536" i="2"/>
  <c r="C536" i="2"/>
  <c r="D536" i="2"/>
  <c r="E536" i="2"/>
  <c r="F536" i="2"/>
  <c r="G536" i="2"/>
  <c r="H536" i="2"/>
  <c r="I536" i="2"/>
  <c r="J536" i="2"/>
  <c r="K536" i="2"/>
  <c r="B537" i="2"/>
  <c r="C537" i="2"/>
  <c r="D537" i="2"/>
  <c r="E537" i="2"/>
  <c r="F537" i="2"/>
  <c r="G537" i="2"/>
  <c r="H537" i="2"/>
  <c r="I537" i="2"/>
  <c r="J537" i="2"/>
  <c r="K537" i="2"/>
  <c r="B538" i="2"/>
  <c r="C538" i="2"/>
  <c r="D538" i="2"/>
  <c r="E538" i="2"/>
  <c r="F538" i="2"/>
  <c r="G538" i="2"/>
  <c r="H538" i="2"/>
  <c r="I538" i="2"/>
  <c r="J538" i="2"/>
  <c r="K538" i="2"/>
  <c r="B539" i="2"/>
  <c r="C539" i="2"/>
  <c r="D539" i="2"/>
  <c r="E539" i="2"/>
  <c r="F539" i="2"/>
  <c r="G539" i="2"/>
  <c r="H539" i="2"/>
  <c r="I539" i="2"/>
  <c r="J539" i="2"/>
  <c r="K539" i="2"/>
  <c r="B540" i="2"/>
  <c r="C540" i="2"/>
  <c r="D540" i="2"/>
  <c r="E540" i="2"/>
  <c r="F540" i="2"/>
  <c r="G540" i="2"/>
  <c r="H540" i="2"/>
  <c r="I540" i="2"/>
  <c r="J540" i="2"/>
  <c r="K540" i="2"/>
  <c r="B541" i="2"/>
  <c r="C541" i="2"/>
  <c r="D541" i="2"/>
  <c r="E541" i="2"/>
  <c r="F541" i="2"/>
  <c r="G541" i="2"/>
  <c r="H541" i="2"/>
  <c r="I541" i="2"/>
  <c r="J541" i="2"/>
  <c r="K541" i="2"/>
  <c r="B542" i="2"/>
  <c r="C542" i="2"/>
  <c r="D542" i="2"/>
  <c r="E542" i="2"/>
  <c r="F542" i="2"/>
  <c r="G542" i="2"/>
  <c r="H542" i="2"/>
  <c r="I542" i="2"/>
  <c r="J542" i="2"/>
  <c r="K542" i="2"/>
  <c r="B543" i="2"/>
  <c r="C543" i="2"/>
  <c r="D543" i="2"/>
  <c r="E543" i="2"/>
  <c r="F543" i="2"/>
  <c r="G543" i="2"/>
  <c r="H543" i="2"/>
  <c r="I543" i="2"/>
  <c r="J543" i="2"/>
  <c r="K543" i="2"/>
  <c r="B544" i="2"/>
  <c r="C544" i="2"/>
  <c r="D544" i="2"/>
  <c r="E544" i="2"/>
  <c r="F544" i="2"/>
  <c r="G544" i="2"/>
  <c r="H544" i="2"/>
  <c r="I544" i="2"/>
  <c r="J544" i="2"/>
  <c r="K544" i="2"/>
  <c r="B545" i="2"/>
  <c r="C545" i="2"/>
  <c r="D545" i="2"/>
  <c r="E545" i="2"/>
  <c r="F545" i="2"/>
  <c r="G545" i="2"/>
  <c r="H545" i="2"/>
  <c r="I545" i="2"/>
  <c r="J545" i="2"/>
  <c r="K545" i="2"/>
  <c r="B546" i="2"/>
  <c r="C546" i="2"/>
  <c r="D546" i="2"/>
  <c r="E546" i="2"/>
  <c r="F546" i="2"/>
  <c r="G546" i="2"/>
  <c r="H546" i="2"/>
  <c r="I546" i="2"/>
  <c r="J546" i="2"/>
  <c r="K546" i="2"/>
  <c r="B547" i="2"/>
  <c r="C547" i="2"/>
  <c r="D547" i="2"/>
  <c r="E547" i="2"/>
  <c r="F547" i="2"/>
  <c r="G547" i="2"/>
  <c r="H547" i="2"/>
  <c r="I547" i="2"/>
  <c r="J547" i="2"/>
  <c r="K547" i="2"/>
  <c r="B548" i="2"/>
  <c r="C548" i="2"/>
  <c r="D548" i="2"/>
  <c r="E548" i="2"/>
  <c r="F548" i="2"/>
  <c r="G548" i="2"/>
  <c r="H548" i="2"/>
  <c r="I548" i="2"/>
  <c r="J548" i="2"/>
  <c r="K548" i="2"/>
  <c r="B549" i="2"/>
  <c r="C549" i="2"/>
  <c r="D549" i="2"/>
  <c r="E549" i="2"/>
  <c r="F549" i="2"/>
  <c r="G549" i="2"/>
  <c r="H549" i="2"/>
  <c r="I549" i="2"/>
  <c r="J549" i="2"/>
  <c r="K549" i="2"/>
  <c r="B550" i="2"/>
  <c r="C550" i="2"/>
  <c r="D550" i="2"/>
  <c r="E550" i="2"/>
  <c r="F550" i="2"/>
  <c r="G550" i="2"/>
  <c r="H550" i="2"/>
  <c r="I550" i="2"/>
  <c r="J550" i="2"/>
  <c r="K550" i="2"/>
  <c r="B551" i="2"/>
  <c r="C551" i="2"/>
  <c r="D551" i="2"/>
  <c r="E551" i="2"/>
  <c r="F551" i="2"/>
  <c r="G551" i="2"/>
  <c r="H551" i="2"/>
  <c r="I551" i="2"/>
  <c r="J551" i="2"/>
  <c r="K551" i="2"/>
  <c r="B552" i="2"/>
  <c r="C552" i="2"/>
  <c r="D552" i="2"/>
  <c r="E552" i="2"/>
  <c r="F552" i="2"/>
  <c r="G552" i="2"/>
  <c r="H552" i="2"/>
  <c r="I552" i="2"/>
  <c r="J552" i="2"/>
  <c r="K552" i="2"/>
  <c r="B553" i="2"/>
  <c r="C553" i="2"/>
  <c r="D553" i="2"/>
  <c r="E553" i="2"/>
  <c r="F553" i="2"/>
  <c r="G553" i="2"/>
  <c r="H553" i="2"/>
  <c r="I553" i="2"/>
  <c r="J553" i="2"/>
  <c r="K553" i="2"/>
  <c r="B554" i="2"/>
  <c r="C554" i="2"/>
  <c r="D554" i="2"/>
  <c r="E554" i="2"/>
  <c r="F554" i="2"/>
  <c r="G554" i="2"/>
  <c r="H554" i="2"/>
  <c r="I554" i="2"/>
  <c r="J554" i="2"/>
  <c r="K554" i="2"/>
  <c r="B555" i="2"/>
  <c r="C555" i="2"/>
  <c r="D555" i="2"/>
  <c r="E555" i="2"/>
  <c r="F555" i="2"/>
  <c r="G555" i="2"/>
  <c r="H555" i="2"/>
  <c r="I555" i="2"/>
  <c r="J555" i="2"/>
  <c r="K555" i="2"/>
  <c r="B556" i="2"/>
  <c r="C556" i="2"/>
  <c r="D556" i="2"/>
  <c r="E556" i="2"/>
  <c r="F556" i="2"/>
  <c r="G556" i="2"/>
  <c r="H556" i="2"/>
  <c r="I556" i="2"/>
  <c r="J556" i="2"/>
  <c r="K556" i="2"/>
  <c r="B557" i="2"/>
  <c r="C557" i="2"/>
  <c r="D557" i="2"/>
  <c r="E557" i="2"/>
  <c r="F557" i="2"/>
  <c r="G557" i="2"/>
  <c r="H557" i="2"/>
  <c r="I557" i="2"/>
  <c r="J557" i="2"/>
  <c r="K557" i="2"/>
  <c r="B558" i="2"/>
  <c r="C558" i="2"/>
  <c r="D558" i="2"/>
  <c r="E558" i="2"/>
  <c r="F558" i="2"/>
  <c r="G558" i="2"/>
  <c r="H558" i="2"/>
  <c r="I558" i="2"/>
  <c r="J558" i="2"/>
  <c r="K558" i="2"/>
  <c r="B559" i="2"/>
  <c r="C559" i="2"/>
  <c r="D559" i="2"/>
  <c r="E559" i="2"/>
  <c r="F559" i="2"/>
  <c r="G559" i="2"/>
  <c r="H559" i="2"/>
  <c r="I559" i="2"/>
  <c r="J559" i="2"/>
  <c r="K559" i="2"/>
  <c r="B560" i="2"/>
  <c r="C560" i="2"/>
  <c r="D560" i="2"/>
  <c r="E560" i="2"/>
  <c r="F560" i="2"/>
  <c r="G560" i="2"/>
  <c r="H560" i="2"/>
  <c r="I560" i="2"/>
  <c r="J560" i="2"/>
  <c r="K560" i="2"/>
  <c r="B561" i="2"/>
  <c r="C561" i="2"/>
  <c r="D561" i="2"/>
  <c r="E561" i="2"/>
  <c r="F561" i="2"/>
  <c r="G561" i="2"/>
  <c r="H561" i="2"/>
  <c r="I561" i="2"/>
  <c r="J561" i="2"/>
  <c r="K561" i="2"/>
  <c r="B562" i="2"/>
  <c r="C562" i="2"/>
  <c r="D562" i="2"/>
  <c r="E562" i="2"/>
  <c r="F562" i="2"/>
  <c r="G562" i="2"/>
  <c r="H562" i="2"/>
  <c r="I562" i="2"/>
  <c r="J562" i="2"/>
  <c r="K562" i="2"/>
  <c r="B563" i="2"/>
  <c r="C563" i="2"/>
  <c r="D563" i="2"/>
  <c r="E563" i="2"/>
  <c r="F563" i="2"/>
  <c r="G563" i="2"/>
  <c r="H563" i="2"/>
  <c r="I563" i="2"/>
  <c r="J563" i="2"/>
  <c r="K563" i="2"/>
  <c r="B564" i="2"/>
  <c r="C564" i="2"/>
  <c r="D564" i="2"/>
  <c r="E564" i="2"/>
  <c r="F564" i="2"/>
  <c r="G564" i="2"/>
  <c r="H564" i="2"/>
  <c r="I564" i="2"/>
  <c r="J564" i="2"/>
  <c r="K564" i="2"/>
  <c r="B565" i="2"/>
  <c r="C565" i="2"/>
  <c r="D565" i="2"/>
  <c r="E565" i="2"/>
  <c r="F565" i="2"/>
  <c r="G565" i="2"/>
  <c r="H565" i="2"/>
  <c r="I565" i="2"/>
  <c r="J565" i="2"/>
  <c r="K565" i="2"/>
  <c r="B566" i="2"/>
  <c r="C566" i="2"/>
  <c r="D566" i="2"/>
  <c r="E566" i="2"/>
  <c r="F566" i="2"/>
  <c r="G566" i="2"/>
  <c r="H566" i="2"/>
  <c r="I566" i="2"/>
  <c r="J566" i="2"/>
  <c r="K566" i="2"/>
  <c r="B567" i="2"/>
  <c r="C567" i="2"/>
  <c r="D567" i="2"/>
  <c r="E567" i="2"/>
  <c r="F567" i="2"/>
  <c r="G567" i="2"/>
  <c r="H567" i="2"/>
  <c r="I567" i="2"/>
  <c r="J567" i="2"/>
  <c r="K567" i="2"/>
  <c r="B568" i="2"/>
  <c r="C568" i="2"/>
  <c r="D568" i="2"/>
  <c r="E568" i="2"/>
  <c r="F568" i="2"/>
  <c r="G568" i="2"/>
  <c r="H568" i="2"/>
  <c r="I568" i="2"/>
  <c r="J568" i="2"/>
  <c r="K568" i="2"/>
  <c r="B569" i="2"/>
  <c r="C569" i="2"/>
  <c r="D569" i="2"/>
  <c r="E569" i="2"/>
  <c r="F569" i="2"/>
  <c r="G569" i="2"/>
  <c r="H569" i="2"/>
  <c r="I569" i="2"/>
  <c r="J569" i="2"/>
  <c r="K569" i="2"/>
  <c r="B570" i="2"/>
  <c r="C570" i="2"/>
  <c r="D570" i="2"/>
  <c r="E570" i="2"/>
  <c r="F570" i="2"/>
  <c r="G570" i="2"/>
  <c r="H570" i="2"/>
  <c r="I570" i="2"/>
  <c r="J570" i="2"/>
  <c r="K570" i="2"/>
  <c r="B571" i="2"/>
  <c r="C571" i="2"/>
  <c r="D571" i="2"/>
  <c r="E571" i="2"/>
  <c r="F571" i="2"/>
  <c r="G571" i="2"/>
  <c r="H571" i="2"/>
  <c r="I571" i="2"/>
  <c r="J571" i="2"/>
  <c r="K571" i="2"/>
  <c r="B572" i="2"/>
  <c r="C572" i="2"/>
  <c r="D572" i="2"/>
  <c r="E572" i="2"/>
  <c r="F572" i="2"/>
  <c r="G572" i="2"/>
  <c r="H572" i="2"/>
  <c r="I572" i="2"/>
  <c r="J572" i="2"/>
  <c r="K572" i="2"/>
  <c r="B573" i="2"/>
  <c r="C573" i="2"/>
  <c r="D573" i="2"/>
  <c r="E573" i="2"/>
  <c r="F573" i="2"/>
  <c r="G573" i="2"/>
  <c r="H573" i="2"/>
  <c r="I573" i="2"/>
  <c r="J573" i="2"/>
  <c r="K573" i="2"/>
  <c r="B574" i="2"/>
  <c r="C574" i="2"/>
  <c r="D574" i="2"/>
  <c r="E574" i="2"/>
  <c r="F574" i="2"/>
  <c r="G574" i="2"/>
  <c r="H574" i="2"/>
  <c r="I574" i="2"/>
  <c r="J574" i="2"/>
  <c r="K574" i="2"/>
  <c r="B575" i="2"/>
  <c r="C575" i="2"/>
  <c r="D575" i="2"/>
  <c r="E575" i="2"/>
  <c r="F575" i="2"/>
  <c r="G575" i="2"/>
  <c r="H575" i="2"/>
  <c r="I575" i="2"/>
  <c r="J575" i="2"/>
  <c r="K575" i="2"/>
  <c r="B576" i="2"/>
  <c r="C576" i="2"/>
  <c r="D576" i="2"/>
  <c r="E576" i="2"/>
  <c r="F576" i="2"/>
  <c r="G576" i="2"/>
  <c r="H576" i="2"/>
  <c r="I576" i="2"/>
  <c r="J576" i="2"/>
  <c r="K576" i="2"/>
  <c r="B577" i="2"/>
  <c r="C577" i="2"/>
  <c r="D577" i="2"/>
  <c r="E577" i="2"/>
  <c r="F577" i="2"/>
  <c r="G577" i="2"/>
  <c r="H577" i="2"/>
  <c r="I577" i="2"/>
  <c r="J577" i="2"/>
  <c r="K577" i="2"/>
  <c r="B578" i="2"/>
  <c r="C578" i="2"/>
  <c r="D578" i="2"/>
  <c r="E578" i="2"/>
  <c r="F578" i="2"/>
  <c r="G578" i="2"/>
  <c r="H578" i="2"/>
  <c r="I578" i="2"/>
  <c r="J578" i="2"/>
  <c r="K578" i="2"/>
  <c r="B579" i="2"/>
  <c r="C579" i="2"/>
  <c r="D579" i="2"/>
  <c r="E579" i="2"/>
  <c r="F579" i="2"/>
  <c r="G579" i="2"/>
  <c r="H579" i="2"/>
  <c r="I579" i="2"/>
  <c r="J579" i="2"/>
  <c r="K579" i="2"/>
  <c r="B580" i="2"/>
  <c r="C580" i="2"/>
  <c r="D580" i="2"/>
  <c r="E580" i="2"/>
  <c r="F580" i="2"/>
  <c r="G580" i="2"/>
  <c r="H580" i="2"/>
  <c r="I580" i="2"/>
  <c r="J580" i="2"/>
  <c r="K580" i="2"/>
  <c r="B581" i="2"/>
  <c r="C581" i="2"/>
  <c r="D581" i="2"/>
  <c r="E581" i="2"/>
  <c r="F581" i="2"/>
  <c r="G581" i="2"/>
  <c r="H581" i="2"/>
  <c r="I581" i="2"/>
  <c r="J581" i="2"/>
  <c r="K581" i="2"/>
  <c r="B582" i="2"/>
  <c r="C582" i="2"/>
  <c r="D582" i="2"/>
  <c r="E582" i="2"/>
  <c r="F582" i="2"/>
  <c r="G582" i="2"/>
  <c r="H582" i="2"/>
  <c r="I582" i="2"/>
  <c r="J582" i="2"/>
  <c r="K582" i="2"/>
  <c r="B583" i="2"/>
  <c r="C583" i="2"/>
  <c r="D583" i="2"/>
  <c r="E583" i="2"/>
  <c r="F583" i="2"/>
  <c r="G583" i="2"/>
  <c r="H583" i="2"/>
  <c r="I583" i="2"/>
  <c r="J583" i="2"/>
  <c r="K583" i="2"/>
  <c r="B584" i="2"/>
  <c r="C584" i="2"/>
  <c r="D584" i="2"/>
  <c r="E584" i="2"/>
  <c r="F584" i="2"/>
  <c r="G584" i="2"/>
  <c r="H584" i="2"/>
  <c r="I584" i="2"/>
  <c r="J584" i="2"/>
  <c r="K584" i="2"/>
  <c r="B585" i="2"/>
  <c r="C585" i="2"/>
  <c r="D585" i="2"/>
  <c r="E585" i="2"/>
  <c r="F585" i="2"/>
  <c r="G585" i="2"/>
  <c r="H585" i="2"/>
  <c r="I585" i="2"/>
  <c r="J585" i="2"/>
  <c r="K585" i="2"/>
  <c r="B586" i="2"/>
  <c r="C586" i="2"/>
  <c r="D586" i="2"/>
  <c r="E586" i="2"/>
  <c r="F586" i="2"/>
  <c r="G586" i="2"/>
  <c r="H586" i="2"/>
  <c r="I586" i="2"/>
  <c r="J586" i="2"/>
  <c r="K586" i="2"/>
  <c r="B587" i="2"/>
  <c r="C587" i="2"/>
  <c r="D587" i="2"/>
  <c r="E587" i="2"/>
  <c r="F587" i="2"/>
  <c r="G587" i="2"/>
  <c r="H587" i="2"/>
  <c r="I587" i="2"/>
  <c r="J587" i="2"/>
  <c r="K587" i="2"/>
  <c r="B588" i="2"/>
  <c r="C588" i="2"/>
  <c r="D588" i="2"/>
  <c r="E588" i="2"/>
  <c r="F588" i="2"/>
  <c r="G588" i="2"/>
  <c r="H588" i="2"/>
  <c r="I588" i="2"/>
  <c r="J588" i="2"/>
  <c r="K588" i="2"/>
  <c r="B589" i="2"/>
  <c r="C589" i="2"/>
  <c r="D589" i="2"/>
  <c r="E589" i="2"/>
  <c r="F589" i="2"/>
  <c r="G589" i="2"/>
  <c r="H589" i="2"/>
  <c r="I589" i="2"/>
  <c r="J589" i="2"/>
  <c r="K589" i="2"/>
  <c r="B590" i="2"/>
  <c r="C590" i="2"/>
  <c r="D590" i="2"/>
  <c r="E590" i="2"/>
  <c r="F590" i="2"/>
  <c r="G590" i="2"/>
  <c r="H590" i="2"/>
  <c r="I590" i="2"/>
  <c r="J590" i="2"/>
  <c r="K590" i="2"/>
  <c r="B591" i="2"/>
  <c r="C591" i="2"/>
  <c r="D591" i="2"/>
  <c r="E591" i="2"/>
  <c r="F591" i="2"/>
  <c r="G591" i="2"/>
  <c r="H591" i="2"/>
  <c r="I591" i="2"/>
  <c r="J591" i="2"/>
  <c r="K591" i="2"/>
  <c r="B592" i="2"/>
  <c r="C592" i="2"/>
  <c r="D592" i="2"/>
  <c r="E592" i="2"/>
  <c r="F592" i="2"/>
  <c r="G592" i="2"/>
  <c r="H592" i="2"/>
  <c r="I592" i="2"/>
  <c r="J592" i="2"/>
  <c r="K592" i="2"/>
  <c r="B593" i="2"/>
  <c r="C593" i="2"/>
  <c r="D593" i="2"/>
  <c r="E593" i="2"/>
  <c r="F593" i="2"/>
  <c r="G593" i="2"/>
  <c r="H593" i="2"/>
  <c r="I593" i="2"/>
  <c r="J593" i="2"/>
  <c r="K593" i="2"/>
  <c r="B594" i="2"/>
  <c r="C594" i="2"/>
  <c r="D594" i="2"/>
  <c r="E594" i="2"/>
  <c r="F594" i="2"/>
  <c r="G594" i="2"/>
  <c r="H594" i="2"/>
  <c r="I594" i="2"/>
  <c r="J594" i="2"/>
  <c r="K594" i="2"/>
  <c r="B595" i="2"/>
  <c r="C595" i="2"/>
  <c r="D595" i="2"/>
  <c r="E595" i="2"/>
  <c r="F595" i="2"/>
  <c r="G595" i="2"/>
  <c r="H595" i="2"/>
  <c r="I595" i="2"/>
  <c r="J595" i="2"/>
  <c r="K595" i="2"/>
  <c r="B596" i="2"/>
  <c r="C596" i="2"/>
  <c r="D596" i="2"/>
  <c r="E596" i="2"/>
  <c r="F596" i="2"/>
  <c r="G596" i="2"/>
  <c r="H596" i="2"/>
  <c r="I596" i="2"/>
  <c r="J596" i="2"/>
  <c r="K596" i="2"/>
  <c r="B597" i="2"/>
  <c r="C597" i="2"/>
  <c r="D597" i="2"/>
  <c r="E597" i="2"/>
  <c r="F597" i="2"/>
  <c r="G597" i="2"/>
  <c r="H597" i="2"/>
  <c r="I597" i="2"/>
  <c r="J597" i="2"/>
  <c r="K597" i="2"/>
  <c r="B598" i="2"/>
  <c r="C598" i="2"/>
  <c r="D598" i="2"/>
  <c r="E598" i="2"/>
  <c r="F598" i="2"/>
  <c r="G598" i="2"/>
  <c r="H598" i="2"/>
  <c r="I598" i="2"/>
  <c r="J598" i="2"/>
  <c r="K598" i="2"/>
  <c r="B599" i="2"/>
  <c r="C599" i="2"/>
  <c r="D599" i="2"/>
  <c r="E599" i="2"/>
  <c r="F599" i="2"/>
  <c r="G599" i="2"/>
  <c r="H599" i="2"/>
  <c r="I599" i="2"/>
  <c r="J599" i="2"/>
  <c r="K599" i="2"/>
  <c r="B600" i="2"/>
  <c r="C600" i="2"/>
  <c r="D600" i="2"/>
  <c r="E600" i="2"/>
  <c r="F600" i="2"/>
  <c r="G600" i="2"/>
  <c r="H600" i="2"/>
  <c r="I600" i="2"/>
  <c r="J600" i="2"/>
  <c r="K600" i="2"/>
  <c r="B601" i="2"/>
  <c r="C601" i="2"/>
  <c r="D601" i="2"/>
  <c r="E601" i="2"/>
  <c r="F601" i="2"/>
  <c r="G601" i="2"/>
  <c r="H601" i="2"/>
  <c r="I601" i="2"/>
  <c r="J601" i="2"/>
  <c r="K601" i="2"/>
  <c r="B602" i="2"/>
  <c r="C602" i="2"/>
  <c r="D602" i="2"/>
  <c r="E602" i="2"/>
  <c r="F602" i="2"/>
  <c r="G602" i="2"/>
  <c r="H602" i="2"/>
  <c r="I602" i="2"/>
  <c r="J602" i="2"/>
  <c r="K602" i="2"/>
  <c r="B603" i="2"/>
  <c r="C603" i="2"/>
  <c r="D603" i="2"/>
  <c r="E603" i="2"/>
  <c r="F603" i="2"/>
  <c r="G603" i="2"/>
  <c r="H603" i="2"/>
  <c r="I603" i="2"/>
  <c r="J603" i="2"/>
  <c r="K603" i="2"/>
  <c r="B604" i="2"/>
  <c r="C604" i="2"/>
  <c r="D604" i="2"/>
  <c r="E604" i="2"/>
  <c r="F604" i="2"/>
  <c r="G604" i="2"/>
  <c r="H604" i="2"/>
  <c r="I604" i="2"/>
  <c r="J604" i="2"/>
  <c r="K604" i="2"/>
  <c r="B605" i="2"/>
  <c r="C605" i="2"/>
  <c r="D605" i="2"/>
  <c r="E605" i="2"/>
  <c r="F605" i="2"/>
  <c r="G605" i="2"/>
  <c r="H605" i="2"/>
  <c r="I605" i="2"/>
  <c r="J605" i="2"/>
  <c r="K605" i="2"/>
  <c r="B606" i="2"/>
  <c r="C606" i="2"/>
  <c r="D606" i="2"/>
  <c r="E606" i="2"/>
  <c r="F606" i="2"/>
  <c r="G606" i="2"/>
  <c r="H606" i="2"/>
  <c r="I606" i="2"/>
  <c r="J606" i="2"/>
  <c r="K606" i="2"/>
  <c r="B607" i="2"/>
  <c r="C607" i="2"/>
  <c r="D607" i="2"/>
  <c r="E607" i="2"/>
  <c r="F607" i="2"/>
  <c r="G607" i="2"/>
  <c r="H607" i="2"/>
  <c r="I607" i="2"/>
  <c r="J607" i="2"/>
  <c r="K607" i="2"/>
  <c r="B608" i="2"/>
  <c r="C608" i="2"/>
  <c r="D608" i="2"/>
  <c r="E608" i="2"/>
  <c r="F608" i="2"/>
  <c r="G608" i="2"/>
  <c r="H608" i="2"/>
  <c r="I608" i="2"/>
  <c r="J608" i="2"/>
  <c r="K608" i="2"/>
  <c r="B609" i="2"/>
  <c r="C609" i="2"/>
  <c r="D609" i="2"/>
  <c r="E609" i="2"/>
  <c r="F609" i="2"/>
  <c r="G609" i="2"/>
  <c r="H609" i="2"/>
  <c r="I609" i="2"/>
  <c r="J609" i="2"/>
  <c r="K609" i="2"/>
  <c r="B610" i="2"/>
  <c r="C610" i="2"/>
  <c r="D610" i="2"/>
  <c r="E610" i="2"/>
  <c r="F610" i="2"/>
  <c r="G610" i="2"/>
  <c r="H610" i="2"/>
  <c r="I610" i="2"/>
  <c r="J610" i="2"/>
  <c r="K610" i="2"/>
  <c r="B611" i="2"/>
  <c r="C611" i="2"/>
  <c r="D611" i="2"/>
  <c r="E611" i="2"/>
  <c r="F611" i="2"/>
  <c r="G611" i="2"/>
  <c r="H611" i="2"/>
  <c r="I611" i="2"/>
  <c r="J611" i="2"/>
  <c r="K611" i="2"/>
  <c r="B612" i="2"/>
  <c r="C612" i="2"/>
  <c r="D612" i="2"/>
  <c r="E612" i="2"/>
  <c r="F612" i="2"/>
  <c r="G612" i="2"/>
  <c r="H612" i="2"/>
  <c r="I612" i="2"/>
  <c r="J612" i="2"/>
  <c r="K612" i="2"/>
  <c r="B613" i="2"/>
  <c r="C613" i="2"/>
  <c r="D613" i="2"/>
  <c r="E613" i="2"/>
  <c r="F613" i="2"/>
  <c r="G613" i="2"/>
  <c r="H613" i="2"/>
  <c r="I613" i="2"/>
  <c r="J613" i="2"/>
  <c r="K613" i="2"/>
  <c r="B614" i="2"/>
  <c r="C614" i="2"/>
  <c r="D614" i="2"/>
  <c r="E614" i="2"/>
  <c r="F614" i="2"/>
  <c r="G614" i="2"/>
  <c r="H614" i="2"/>
  <c r="I614" i="2"/>
  <c r="J614" i="2"/>
  <c r="K614" i="2"/>
  <c r="B615" i="2"/>
  <c r="C615" i="2"/>
  <c r="D615" i="2"/>
  <c r="E615" i="2"/>
  <c r="F615" i="2"/>
  <c r="G615" i="2"/>
  <c r="H615" i="2"/>
  <c r="I615" i="2"/>
  <c r="J615" i="2"/>
  <c r="K615" i="2"/>
  <c r="B616" i="2"/>
  <c r="C616" i="2"/>
  <c r="D616" i="2"/>
  <c r="E616" i="2"/>
  <c r="F616" i="2"/>
  <c r="G616" i="2"/>
  <c r="H616" i="2"/>
  <c r="I616" i="2"/>
  <c r="J616" i="2"/>
  <c r="K616" i="2"/>
  <c r="B617" i="2"/>
  <c r="C617" i="2"/>
  <c r="D617" i="2"/>
  <c r="E617" i="2"/>
  <c r="F617" i="2"/>
  <c r="G617" i="2"/>
  <c r="H617" i="2"/>
  <c r="I617" i="2"/>
  <c r="J617" i="2"/>
  <c r="K617" i="2"/>
  <c r="B618" i="2"/>
  <c r="C618" i="2"/>
  <c r="D618" i="2"/>
  <c r="E618" i="2"/>
  <c r="F618" i="2"/>
  <c r="G618" i="2"/>
  <c r="H618" i="2"/>
  <c r="I618" i="2"/>
  <c r="J618" i="2"/>
  <c r="K618" i="2"/>
  <c r="B619" i="2"/>
  <c r="C619" i="2"/>
  <c r="D619" i="2"/>
  <c r="E619" i="2"/>
  <c r="F619" i="2"/>
  <c r="G619" i="2"/>
  <c r="H619" i="2"/>
  <c r="I619" i="2"/>
  <c r="J619" i="2"/>
  <c r="K619" i="2"/>
  <c r="B620" i="2"/>
  <c r="C620" i="2"/>
  <c r="D620" i="2"/>
  <c r="E620" i="2"/>
  <c r="F620" i="2"/>
  <c r="G620" i="2"/>
  <c r="H620" i="2"/>
  <c r="I620" i="2"/>
  <c r="J620" i="2"/>
  <c r="K620" i="2"/>
  <c r="B621" i="2"/>
  <c r="C621" i="2"/>
  <c r="D621" i="2"/>
  <c r="E621" i="2"/>
  <c r="F621" i="2"/>
  <c r="G621" i="2"/>
  <c r="H621" i="2"/>
  <c r="I621" i="2"/>
  <c r="J621" i="2"/>
  <c r="K621" i="2"/>
  <c r="B622" i="2"/>
  <c r="C622" i="2"/>
  <c r="D622" i="2"/>
  <c r="E622" i="2"/>
  <c r="F622" i="2"/>
  <c r="G622" i="2"/>
  <c r="H622" i="2"/>
  <c r="I622" i="2"/>
  <c r="J622" i="2"/>
  <c r="K622" i="2"/>
  <c r="B623" i="2"/>
  <c r="C623" i="2"/>
  <c r="D623" i="2"/>
  <c r="E623" i="2"/>
  <c r="F623" i="2"/>
  <c r="G623" i="2"/>
  <c r="H623" i="2"/>
  <c r="I623" i="2"/>
  <c r="J623" i="2"/>
  <c r="K623" i="2"/>
  <c r="B624" i="2"/>
  <c r="C624" i="2"/>
  <c r="D624" i="2"/>
  <c r="E624" i="2"/>
  <c r="F624" i="2"/>
  <c r="G624" i="2"/>
  <c r="H624" i="2"/>
  <c r="I624" i="2"/>
  <c r="J624" i="2"/>
  <c r="K624" i="2"/>
  <c r="B625" i="2"/>
  <c r="C625" i="2"/>
  <c r="D625" i="2"/>
  <c r="E625" i="2"/>
  <c r="F625" i="2"/>
  <c r="G625" i="2"/>
  <c r="H625" i="2"/>
  <c r="I625" i="2"/>
  <c r="J625" i="2"/>
  <c r="K625" i="2"/>
  <c r="B626" i="2"/>
  <c r="C626" i="2"/>
  <c r="D626" i="2"/>
  <c r="E626" i="2"/>
  <c r="F626" i="2"/>
  <c r="G626" i="2"/>
  <c r="H626" i="2"/>
  <c r="I626" i="2"/>
  <c r="J626" i="2"/>
  <c r="K626" i="2"/>
  <c r="B627" i="2"/>
  <c r="C627" i="2"/>
  <c r="D627" i="2"/>
  <c r="E627" i="2"/>
  <c r="F627" i="2"/>
  <c r="G627" i="2"/>
  <c r="H627" i="2"/>
  <c r="I627" i="2"/>
  <c r="J627" i="2"/>
  <c r="K627" i="2"/>
  <c r="B628" i="2"/>
  <c r="C628" i="2"/>
  <c r="D628" i="2"/>
  <c r="E628" i="2"/>
  <c r="F628" i="2"/>
  <c r="G628" i="2"/>
  <c r="H628" i="2"/>
  <c r="I628" i="2"/>
  <c r="J628" i="2"/>
  <c r="K628" i="2"/>
  <c r="B629" i="2"/>
  <c r="C629" i="2"/>
  <c r="D629" i="2"/>
  <c r="E629" i="2"/>
  <c r="F629" i="2"/>
  <c r="G629" i="2"/>
  <c r="H629" i="2"/>
  <c r="I629" i="2"/>
  <c r="J629" i="2"/>
  <c r="K629" i="2"/>
  <c r="B630" i="2"/>
  <c r="C630" i="2"/>
  <c r="D630" i="2"/>
  <c r="E630" i="2"/>
  <c r="F630" i="2"/>
  <c r="G630" i="2"/>
  <c r="H630" i="2"/>
  <c r="I630" i="2"/>
  <c r="J630" i="2"/>
  <c r="K630" i="2"/>
  <c r="B631" i="2"/>
  <c r="C631" i="2"/>
  <c r="D631" i="2"/>
  <c r="E631" i="2"/>
  <c r="F631" i="2"/>
  <c r="G631" i="2"/>
  <c r="H631" i="2"/>
  <c r="I631" i="2"/>
  <c r="J631" i="2"/>
  <c r="K631" i="2"/>
  <c r="B632" i="2"/>
  <c r="C632" i="2"/>
  <c r="D632" i="2"/>
  <c r="E632" i="2"/>
  <c r="F632" i="2"/>
  <c r="G632" i="2"/>
  <c r="H632" i="2"/>
  <c r="I632" i="2"/>
  <c r="J632" i="2"/>
  <c r="K632" i="2"/>
  <c r="B633" i="2"/>
  <c r="C633" i="2"/>
  <c r="D633" i="2"/>
  <c r="E633" i="2"/>
  <c r="F633" i="2"/>
  <c r="G633" i="2"/>
  <c r="H633" i="2"/>
  <c r="I633" i="2"/>
  <c r="J633" i="2"/>
  <c r="K633" i="2"/>
  <c r="B634" i="2"/>
  <c r="C634" i="2"/>
  <c r="D634" i="2"/>
  <c r="E634" i="2"/>
  <c r="F634" i="2"/>
  <c r="G634" i="2"/>
  <c r="H634" i="2"/>
  <c r="I634" i="2"/>
  <c r="J634" i="2"/>
  <c r="K634" i="2"/>
  <c r="B635" i="2"/>
  <c r="C635" i="2"/>
  <c r="D635" i="2"/>
  <c r="E635" i="2"/>
  <c r="F635" i="2"/>
  <c r="G635" i="2"/>
  <c r="H635" i="2"/>
  <c r="I635" i="2"/>
  <c r="J635" i="2"/>
  <c r="K635" i="2"/>
  <c r="B636" i="2"/>
  <c r="C636" i="2"/>
  <c r="D636" i="2"/>
  <c r="E636" i="2"/>
  <c r="F636" i="2"/>
  <c r="G636" i="2"/>
  <c r="H636" i="2"/>
  <c r="I636" i="2"/>
  <c r="J636" i="2"/>
  <c r="K636" i="2"/>
  <c r="B637" i="2"/>
  <c r="C637" i="2"/>
  <c r="D637" i="2"/>
  <c r="E637" i="2"/>
  <c r="F637" i="2"/>
  <c r="G637" i="2"/>
  <c r="H637" i="2"/>
  <c r="I637" i="2"/>
  <c r="J637" i="2"/>
  <c r="K637" i="2"/>
  <c r="B638" i="2"/>
  <c r="C638" i="2"/>
  <c r="D638" i="2"/>
  <c r="E638" i="2"/>
  <c r="F638" i="2"/>
  <c r="G638" i="2"/>
  <c r="H638" i="2"/>
  <c r="I638" i="2"/>
  <c r="J638" i="2"/>
  <c r="K638" i="2"/>
  <c r="B639" i="2"/>
  <c r="C639" i="2"/>
  <c r="D639" i="2"/>
  <c r="E639" i="2"/>
  <c r="F639" i="2"/>
  <c r="G639" i="2"/>
  <c r="H639" i="2"/>
  <c r="I639" i="2"/>
  <c r="J639" i="2"/>
  <c r="K639" i="2"/>
  <c r="B640" i="2"/>
  <c r="C640" i="2"/>
  <c r="D640" i="2"/>
  <c r="E640" i="2"/>
  <c r="F640" i="2"/>
  <c r="G640" i="2"/>
  <c r="H640" i="2"/>
  <c r="I640" i="2"/>
  <c r="J640" i="2"/>
  <c r="K640" i="2"/>
  <c r="B641" i="2"/>
  <c r="C641" i="2"/>
  <c r="D641" i="2"/>
  <c r="E641" i="2"/>
  <c r="F641" i="2"/>
  <c r="G641" i="2"/>
  <c r="H641" i="2"/>
  <c r="I641" i="2"/>
  <c r="J641" i="2"/>
  <c r="K641" i="2"/>
  <c r="B642" i="2"/>
  <c r="C642" i="2"/>
  <c r="D642" i="2"/>
  <c r="E642" i="2"/>
  <c r="F642" i="2"/>
  <c r="G642" i="2"/>
  <c r="H642" i="2"/>
  <c r="I642" i="2"/>
  <c r="J642" i="2"/>
  <c r="K642" i="2"/>
  <c r="B643" i="2"/>
  <c r="C643" i="2"/>
  <c r="D643" i="2"/>
  <c r="E643" i="2"/>
  <c r="F643" i="2"/>
  <c r="G643" i="2"/>
  <c r="H643" i="2"/>
  <c r="I643" i="2"/>
  <c r="J643" i="2"/>
  <c r="K643" i="2"/>
  <c r="B644" i="2"/>
  <c r="C644" i="2"/>
  <c r="D644" i="2"/>
  <c r="E644" i="2"/>
  <c r="F644" i="2"/>
  <c r="G644" i="2"/>
  <c r="H644" i="2"/>
  <c r="I644" i="2"/>
  <c r="J644" i="2"/>
  <c r="K644" i="2"/>
  <c r="B645" i="2"/>
  <c r="C645" i="2"/>
  <c r="D645" i="2"/>
  <c r="E645" i="2"/>
  <c r="F645" i="2"/>
  <c r="G645" i="2"/>
  <c r="H645" i="2"/>
  <c r="I645" i="2"/>
  <c r="J645" i="2"/>
  <c r="K645" i="2"/>
  <c r="B646" i="2"/>
  <c r="C646" i="2"/>
  <c r="D646" i="2"/>
  <c r="E646" i="2"/>
  <c r="F646" i="2"/>
  <c r="G646" i="2"/>
  <c r="H646" i="2"/>
  <c r="I646" i="2"/>
  <c r="J646" i="2"/>
  <c r="K646" i="2"/>
  <c r="B647" i="2"/>
  <c r="C647" i="2"/>
  <c r="D647" i="2"/>
  <c r="E647" i="2"/>
  <c r="F647" i="2"/>
  <c r="G647" i="2"/>
  <c r="H647" i="2"/>
  <c r="I647" i="2"/>
  <c r="J647" i="2"/>
  <c r="K647" i="2"/>
  <c r="B648" i="2"/>
  <c r="C648" i="2"/>
  <c r="D648" i="2"/>
  <c r="E648" i="2"/>
  <c r="F648" i="2"/>
  <c r="G648" i="2"/>
  <c r="H648" i="2"/>
  <c r="I648" i="2"/>
  <c r="J648" i="2"/>
  <c r="K648" i="2"/>
  <c r="B649" i="2"/>
  <c r="C649" i="2"/>
  <c r="D649" i="2"/>
  <c r="E649" i="2"/>
  <c r="F649" i="2"/>
  <c r="G649" i="2"/>
  <c r="H649" i="2"/>
  <c r="I649" i="2"/>
  <c r="J649" i="2"/>
  <c r="K649" i="2"/>
  <c r="B650" i="2"/>
  <c r="C650" i="2"/>
  <c r="D650" i="2"/>
  <c r="E650" i="2"/>
  <c r="F650" i="2"/>
  <c r="G650" i="2"/>
  <c r="H650" i="2"/>
  <c r="I650" i="2"/>
  <c r="J650" i="2"/>
  <c r="K650" i="2"/>
  <c r="B651" i="2"/>
  <c r="C651" i="2"/>
  <c r="D651" i="2"/>
  <c r="E651" i="2"/>
  <c r="F651" i="2"/>
  <c r="G651" i="2"/>
  <c r="H651" i="2"/>
  <c r="I651" i="2"/>
  <c r="J651" i="2"/>
  <c r="K651" i="2"/>
  <c r="B652" i="2"/>
  <c r="C652" i="2"/>
  <c r="D652" i="2"/>
  <c r="E652" i="2"/>
  <c r="F652" i="2"/>
  <c r="G652" i="2"/>
  <c r="H652" i="2"/>
  <c r="I652" i="2"/>
  <c r="J652" i="2"/>
  <c r="K652" i="2"/>
  <c r="B653" i="2"/>
  <c r="C653" i="2"/>
  <c r="D653" i="2"/>
  <c r="E653" i="2"/>
  <c r="F653" i="2"/>
  <c r="G653" i="2"/>
  <c r="H653" i="2"/>
  <c r="I653" i="2"/>
  <c r="J653" i="2"/>
  <c r="K653" i="2"/>
  <c r="B654" i="2"/>
  <c r="C654" i="2"/>
  <c r="D654" i="2"/>
  <c r="E654" i="2"/>
  <c r="F654" i="2"/>
  <c r="G654" i="2"/>
  <c r="H654" i="2"/>
  <c r="I654" i="2"/>
  <c r="J654" i="2"/>
  <c r="K654" i="2"/>
  <c r="B655" i="2"/>
  <c r="C655" i="2"/>
  <c r="D655" i="2"/>
  <c r="E655" i="2"/>
  <c r="F655" i="2"/>
  <c r="G655" i="2"/>
  <c r="H655" i="2"/>
  <c r="I655" i="2"/>
  <c r="J655" i="2"/>
  <c r="K655" i="2"/>
  <c r="B656" i="2"/>
  <c r="C656" i="2"/>
  <c r="D656" i="2"/>
  <c r="E656" i="2"/>
  <c r="F656" i="2"/>
  <c r="G656" i="2"/>
  <c r="H656" i="2"/>
  <c r="I656" i="2"/>
  <c r="J656" i="2"/>
  <c r="K656" i="2"/>
  <c r="B657" i="2"/>
  <c r="C657" i="2"/>
  <c r="D657" i="2"/>
  <c r="E657" i="2"/>
  <c r="F657" i="2"/>
  <c r="G657" i="2"/>
  <c r="H657" i="2"/>
  <c r="I657" i="2"/>
  <c r="J657" i="2"/>
  <c r="K657" i="2"/>
  <c r="B658" i="2"/>
  <c r="C658" i="2"/>
  <c r="D658" i="2"/>
  <c r="E658" i="2"/>
  <c r="F658" i="2"/>
  <c r="G658" i="2"/>
  <c r="H658" i="2"/>
  <c r="I658" i="2"/>
  <c r="J658" i="2"/>
  <c r="K658" i="2"/>
  <c r="B659" i="2"/>
  <c r="C659" i="2"/>
  <c r="D659" i="2"/>
  <c r="E659" i="2"/>
  <c r="F659" i="2"/>
  <c r="G659" i="2"/>
  <c r="H659" i="2"/>
  <c r="I659" i="2"/>
  <c r="J659" i="2"/>
  <c r="K659" i="2"/>
  <c r="B660" i="2"/>
  <c r="C660" i="2"/>
  <c r="D660" i="2"/>
  <c r="E660" i="2"/>
  <c r="F660" i="2"/>
  <c r="G660" i="2"/>
  <c r="H660" i="2"/>
  <c r="I660" i="2"/>
  <c r="J660" i="2"/>
  <c r="K660" i="2"/>
  <c r="B661" i="2"/>
  <c r="C661" i="2"/>
  <c r="D661" i="2"/>
  <c r="E661" i="2"/>
  <c r="F661" i="2"/>
  <c r="G661" i="2"/>
  <c r="H661" i="2"/>
  <c r="I661" i="2"/>
  <c r="J661" i="2"/>
  <c r="K661" i="2"/>
  <c r="B662" i="2"/>
  <c r="C662" i="2"/>
  <c r="D662" i="2"/>
  <c r="E662" i="2"/>
  <c r="F662" i="2"/>
  <c r="G662" i="2"/>
  <c r="H662" i="2"/>
  <c r="I662" i="2"/>
  <c r="J662" i="2"/>
  <c r="K662" i="2"/>
  <c r="B663" i="2"/>
  <c r="C663" i="2"/>
  <c r="D663" i="2"/>
  <c r="E663" i="2"/>
  <c r="F663" i="2"/>
  <c r="G663" i="2"/>
  <c r="H663" i="2"/>
  <c r="I663" i="2"/>
  <c r="J663" i="2"/>
  <c r="K663" i="2"/>
  <c r="B664" i="2"/>
  <c r="C664" i="2"/>
  <c r="D664" i="2"/>
  <c r="E664" i="2"/>
  <c r="F664" i="2"/>
  <c r="G664" i="2"/>
  <c r="H664" i="2"/>
  <c r="I664" i="2"/>
  <c r="J664" i="2"/>
  <c r="K664" i="2"/>
  <c r="B665" i="2"/>
  <c r="C665" i="2"/>
  <c r="D665" i="2"/>
  <c r="E665" i="2"/>
  <c r="F665" i="2"/>
  <c r="G665" i="2"/>
  <c r="H665" i="2"/>
  <c r="I665" i="2"/>
  <c r="J665" i="2"/>
  <c r="K665" i="2"/>
  <c r="B666" i="2"/>
  <c r="C666" i="2"/>
  <c r="D666" i="2"/>
  <c r="E666" i="2"/>
  <c r="F666" i="2"/>
  <c r="G666" i="2"/>
  <c r="H666" i="2"/>
  <c r="I666" i="2"/>
  <c r="J666" i="2"/>
  <c r="K666" i="2"/>
  <c r="B667" i="2"/>
  <c r="C667" i="2"/>
  <c r="D667" i="2"/>
  <c r="E667" i="2"/>
  <c r="F667" i="2"/>
  <c r="G667" i="2"/>
  <c r="H667" i="2"/>
  <c r="I667" i="2"/>
  <c r="J667" i="2"/>
  <c r="K667" i="2"/>
  <c r="B668" i="2"/>
  <c r="C668" i="2"/>
  <c r="D668" i="2"/>
  <c r="E668" i="2"/>
  <c r="F668" i="2"/>
  <c r="G668" i="2"/>
  <c r="H668" i="2"/>
  <c r="I668" i="2"/>
  <c r="J668" i="2"/>
  <c r="K668" i="2"/>
  <c r="B669" i="2"/>
  <c r="C669" i="2"/>
  <c r="D669" i="2"/>
  <c r="E669" i="2"/>
  <c r="F669" i="2"/>
  <c r="G669" i="2"/>
  <c r="H669" i="2"/>
  <c r="I669" i="2"/>
  <c r="J669" i="2"/>
  <c r="K669" i="2"/>
  <c r="B670" i="2"/>
  <c r="C670" i="2"/>
  <c r="D670" i="2"/>
  <c r="E670" i="2"/>
  <c r="F670" i="2"/>
  <c r="G670" i="2"/>
  <c r="H670" i="2"/>
  <c r="I670" i="2"/>
  <c r="J670" i="2"/>
  <c r="K670" i="2"/>
  <c r="B671" i="2"/>
  <c r="C671" i="2"/>
  <c r="D671" i="2"/>
  <c r="E671" i="2"/>
  <c r="F671" i="2"/>
  <c r="G671" i="2"/>
  <c r="H671" i="2"/>
  <c r="I671" i="2"/>
  <c r="J671" i="2"/>
  <c r="K671" i="2"/>
  <c r="B672" i="2"/>
  <c r="C672" i="2"/>
  <c r="D672" i="2"/>
  <c r="E672" i="2"/>
  <c r="F672" i="2"/>
  <c r="G672" i="2"/>
  <c r="H672" i="2"/>
  <c r="I672" i="2"/>
  <c r="J672" i="2"/>
  <c r="K672" i="2"/>
  <c r="B673" i="2"/>
  <c r="C673" i="2"/>
  <c r="D673" i="2"/>
  <c r="E673" i="2"/>
  <c r="F673" i="2"/>
  <c r="G673" i="2"/>
  <c r="H673" i="2"/>
  <c r="I673" i="2"/>
  <c r="J673" i="2"/>
  <c r="K673" i="2"/>
  <c r="B674" i="2"/>
  <c r="C674" i="2"/>
  <c r="D674" i="2"/>
  <c r="E674" i="2"/>
  <c r="F674" i="2"/>
  <c r="G674" i="2"/>
  <c r="H674" i="2"/>
  <c r="I674" i="2"/>
  <c r="J674" i="2"/>
  <c r="K674" i="2"/>
  <c r="B675" i="2"/>
  <c r="C675" i="2"/>
  <c r="D675" i="2"/>
  <c r="E675" i="2"/>
  <c r="F675" i="2"/>
  <c r="G675" i="2"/>
  <c r="H675" i="2"/>
  <c r="I675" i="2"/>
  <c r="J675" i="2"/>
  <c r="K675" i="2"/>
  <c r="B676" i="2"/>
  <c r="C676" i="2"/>
  <c r="D676" i="2"/>
  <c r="E676" i="2"/>
  <c r="F676" i="2"/>
  <c r="G676" i="2"/>
  <c r="H676" i="2"/>
  <c r="I676" i="2"/>
  <c r="J676" i="2"/>
  <c r="K676" i="2"/>
  <c r="B677" i="2"/>
  <c r="C677" i="2"/>
  <c r="D677" i="2"/>
  <c r="E677" i="2"/>
  <c r="F677" i="2"/>
  <c r="G677" i="2"/>
  <c r="H677" i="2"/>
  <c r="I677" i="2"/>
  <c r="J677" i="2"/>
  <c r="K677" i="2"/>
  <c r="B678" i="2"/>
  <c r="C678" i="2"/>
  <c r="D678" i="2"/>
  <c r="E678" i="2"/>
  <c r="F678" i="2"/>
  <c r="G678" i="2"/>
  <c r="H678" i="2"/>
  <c r="I678" i="2"/>
  <c r="J678" i="2"/>
  <c r="K678" i="2"/>
  <c r="B679" i="2"/>
  <c r="C679" i="2"/>
  <c r="D679" i="2"/>
  <c r="E679" i="2"/>
  <c r="F679" i="2"/>
  <c r="G679" i="2"/>
  <c r="H679" i="2"/>
  <c r="I679" i="2"/>
  <c r="J679" i="2"/>
  <c r="K679" i="2"/>
  <c r="B680" i="2"/>
  <c r="C680" i="2"/>
  <c r="D680" i="2"/>
  <c r="E680" i="2"/>
  <c r="F680" i="2"/>
  <c r="G680" i="2"/>
  <c r="H680" i="2"/>
  <c r="I680" i="2"/>
  <c r="J680" i="2"/>
  <c r="K680" i="2"/>
  <c r="B681" i="2"/>
  <c r="C681" i="2"/>
  <c r="D681" i="2"/>
  <c r="E681" i="2"/>
  <c r="F681" i="2"/>
  <c r="G681" i="2"/>
  <c r="H681" i="2"/>
  <c r="I681" i="2"/>
  <c r="J681" i="2"/>
  <c r="K681" i="2"/>
  <c r="B682" i="2"/>
  <c r="C682" i="2"/>
  <c r="D682" i="2"/>
  <c r="E682" i="2"/>
  <c r="F682" i="2"/>
  <c r="G682" i="2"/>
  <c r="H682" i="2"/>
  <c r="I682" i="2"/>
  <c r="J682" i="2"/>
  <c r="K682" i="2"/>
  <c r="B683" i="2"/>
  <c r="C683" i="2"/>
  <c r="D683" i="2"/>
  <c r="E683" i="2"/>
  <c r="F683" i="2"/>
  <c r="G683" i="2"/>
  <c r="H683" i="2"/>
  <c r="I683" i="2"/>
  <c r="J683" i="2"/>
  <c r="K683" i="2"/>
  <c r="B684" i="2"/>
  <c r="C684" i="2"/>
  <c r="D684" i="2"/>
  <c r="E684" i="2"/>
  <c r="F684" i="2"/>
  <c r="G684" i="2"/>
  <c r="H684" i="2"/>
  <c r="I684" i="2"/>
  <c r="J684" i="2"/>
  <c r="K684" i="2"/>
  <c r="B685" i="2"/>
  <c r="C685" i="2"/>
  <c r="D685" i="2"/>
  <c r="E685" i="2"/>
  <c r="F685" i="2"/>
  <c r="G685" i="2"/>
  <c r="H685" i="2"/>
  <c r="I685" i="2"/>
  <c r="J685" i="2"/>
  <c r="K685" i="2"/>
  <c r="B686" i="2"/>
  <c r="C686" i="2"/>
  <c r="D686" i="2"/>
  <c r="E686" i="2"/>
  <c r="F686" i="2"/>
  <c r="G686" i="2"/>
  <c r="H686" i="2"/>
  <c r="I686" i="2"/>
  <c r="J686" i="2"/>
  <c r="K686" i="2"/>
  <c r="B687" i="2"/>
  <c r="C687" i="2"/>
  <c r="D687" i="2"/>
  <c r="E687" i="2"/>
  <c r="F687" i="2"/>
  <c r="G687" i="2"/>
  <c r="H687" i="2"/>
  <c r="I687" i="2"/>
  <c r="J687" i="2"/>
  <c r="K687" i="2"/>
  <c r="B688" i="2"/>
  <c r="C688" i="2"/>
  <c r="D688" i="2"/>
  <c r="E688" i="2"/>
  <c r="F688" i="2"/>
  <c r="G688" i="2"/>
  <c r="H688" i="2"/>
  <c r="I688" i="2"/>
  <c r="J688" i="2"/>
  <c r="K688" i="2"/>
  <c r="B689" i="2"/>
  <c r="C689" i="2"/>
  <c r="D689" i="2"/>
  <c r="E689" i="2"/>
  <c r="F689" i="2"/>
  <c r="G689" i="2"/>
  <c r="H689" i="2"/>
  <c r="I689" i="2"/>
  <c r="J689" i="2"/>
  <c r="K689" i="2"/>
  <c r="B690" i="2"/>
  <c r="C690" i="2"/>
  <c r="D690" i="2"/>
  <c r="E690" i="2"/>
  <c r="F690" i="2"/>
  <c r="G690" i="2"/>
  <c r="H690" i="2"/>
  <c r="I690" i="2"/>
  <c r="J690" i="2"/>
  <c r="K690" i="2"/>
  <c r="B691" i="2"/>
  <c r="C691" i="2"/>
  <c r="D691" i="2"/>
  <c r="E691" i="2"/>
  <c r="F691" i="2"/>
  <c r="G691" i="2"/>
  <c r="H691" i="2"/>
  <c r="I691" i="2"/>
  <c r="J691" i="2"/>
  <c r="K691" i="2"/>
  <c r="B692" i="2"/>
  <c r="C692" i="2"/>
  <c r="D692" i="2"/>
  <c r="E692" i="2"/>
  <c r="F692" i="2"/>
  <c r="G692" i="2"/>
  <c r="H692" i="2"/>
  <c r="I692" i="2"/>
  <c r="J692" i="2"/>
  <c r="K692" i="2"/>
  <c r="B693" i="2"/>
  <c r="C693" i="2"/>
  <c r="D693" i="2"/>
  <c r="E693" i="2"/>
  <c r="F693" i="2"/>
  <c r="G693" i="2"/>
  <c r="H693" i="2"/>
  <c r="I693" i="2"/>
  <c r="J693" i="2"/>
  <c r="K693" i="2"/>
  <c r="B694" i="2"/>
  <c r="C694" i="2"/>
  <c r="D694" i="2"/>
  <c r="E694" i="2"/>
  <c r="F694" i="2"/>
  <c r="G694" i="2"/>
  <c r="H694" i="2"/>
  <c r="I694" i="2"/>
  <c r="J694" i="2"/>
  <c r="K694" i="2"/>
  <c r="B695" i="2"/>
  <c r="C695" i="2"/>
  <c r="D695" i="2"/>
  <c r="E695" i="2"/>
  <c r="F695" i="2"/>
  <c r="G695" i="2"/>
  <c r="H695" i="2"/>
  <c r="I695" i="2"/>
  <c r="J695" i="2"/>
  <c r="K695" i="2"/>
  <c r="B696" i="2"/>
  <c r="C696" i="2"/>
  <c r="D696" i="2"/>
  <c r="E696" i="2"/>
  <c r="F696" i="2"/>
  <c r="G696" i="2"/>
  <c r="H696" i="2"/>
  <c r="I696" i="2"/>
  <c r="J696" i="2"/>
  <c r="K696" i="2"/>
  <c r="B697" i="2"/>
  <c r="C697" i="2"/>
  <c r="D697" i="2"/>
  <c r="E697" i="2"/>
  <c r="F697" i="2"/>
  <c r="G697" i="2"/>
  <c r="H697" i="2"/>
  <c r="I697" i="2"/>
  <c r="J697" i="2"/>
  <c r="K697" i="2"/>
  <c r="B698" i="2"/>
  <c r="C698" i="2"/>
  <c r="D698" i="2"/>
  <c r="E698" i="2"/>
  <c r="F698" i="2"/>
  <c r="G698" i="2"/>
  <c r="H698" i="2"/>
  <c r="I698" i="2"/>
  <c r="J698" i="2"/>
  <c r="K698" i="2"/>
  <c r="B699" i="2"/>
  <c r="C699" i="2"/>
  <c r="D699" i="2"/>
  <c r="E699" i="2"/>
  <c r="F699" i="2"/>
  <c r="G699" i="2"/>
  <c r="H699" i="2"/>
  <c r="I699" i="2"/>
  <c r="J699" i="2"/>
  <c r="K699" i="2"/>
  <c r="B700" i="2"/>
  <c r="C700" i="2"/>
  <c r="D700" i="2"/>
  <c r="E700" i="2"/>
  <c r="F700" i="2"/>
  <c r="G700" i="2"/>
  <c r="H700" i="2"/>
  <c r="I700" i="2"/>
  <c r="J700" i="2"/>
  <c r="K700" i="2"/>
  <c r="B701" i="2"/>
  <c r="C701" i="2"/>
  <c r="D701" i="2"/>
  <c r="E701" i="2"/>
  <c r="F701" i="2"/>
  <c r="G701" i="2"/>
  <c r="H701" i="2"/>
  <c r="I701" i="2"/>
  <c r="J701" i="2"/>
  <c r="K701" i="2"/>
  <c r="B702" i="2"/>
  <c r="C702" i="2"/>
  <c r="D702" i="2"/>
  <c r="E702" i="2"/>
  <c r="F702" i="2"/>
  <c r="G702" i="2"/>
  <c r="H702" i="2"/>
  <c r="I702" i="2"/>
  <c r="J702" i="2"/>
  <c r="K702" i="2"/>
  <c r="B703" i="2"/>
  <c r="C703" i="2"/>
  <c r="D703" i="2"/>
  <c r="E703" i="2"/>
  <c r="F703" i="2"/>
  <c r="G703" i="2"/>
  <c r="H703" i="2"/>
  <c r="I703" i="2"/>
  <c r="J703" i="2"/>
  <c r="K703" i="2"/>
  <c r="B704" i="2"/>
  <c r="C704" i="2"/>
  <c r="D704" i="2"/>
  <c r="E704" i="2"/>
  <c r="F704" i="2"/>
  <c r="G704" i="2"/>
  <c r="H704" i="2"/>
  <c r="I704" i="2"/>
  <c r="J704" i="2"/>
  <c r="K704" i="2"/>
  <c r="B705" i="2"/>
  <c r="C705" i="2"/>
  <c r="D705" i="2"/>
  <c r="E705" i="2"/>
  <c r="F705" i="2"/>
  <c r="G705" i="2"/>
  <c r="H705" i="2"/>
  <c r="I705" i="2"/>
  <c r="J705" i="2"/>
  <c r="K705" i="2"/>
  <c r="B706" i="2"/>
  <c r="C706" i="2"/>
  <c r="D706" i="2"/>
  <c r="E706" i="2"/>
  <c r="F706" i="2"/>
  <c r="G706" i="2"/>
  <c r="H706" i="2"/>
  <c r="I706" i="2"/>
  <c r="J706" i="2"/>
  <c r="K706" i="2"/>
  <c r="B707" i="2"/>
  <c r="C707" i="2"/>
  <c r="D707" i="2"/>
  <c r="E707" i="2"/>
  <c r="F707" i="2"/>
  <c r="G707" i="2"/>
  <c r="H707" i="2"/>
  <c r="I707" i="2"/>
  <c r="J707" i="2"/>
  <c r="K707" i="2"/>
  <c r="B708" i="2"/>
  <c r="C708" i="2"/>
  <c r="D708" i="2"/>
  <c r="E708" i="2"/>
  <c r="F708" i="2"/>
  <c r="G708" i="2"/>
  <c r="H708" i="2"/>
  <c r="I708" i="2"/>
  <c r="J708" i="2"/>
  <c r="K708" i="2"/>
  <c r="B709" i="2"/>
  <c r="C709" i="2"/>
  <c r="D709" i="2"/>
  <c r="E709" i="2"/>
  <c r="F709" i="2"/>
  <c r="G709" i="2"/>
  <c r="H709" i="2"/>
  <c r="I709" i="2"/>
  <c r="J709" i="2"/>
  <c r="K709" i="2"/>
  <c r="B710" i="2"/>
  <c r="C710" i="2"/>
  <c r="D710" i="2"/>
  <c r="E710" i="2"/>
  <c r="F710" i="2"/>
  <c r="G710" i="2"/>
  <c r="H710" i="2"/>
  <c r="I710" i="2"/>
  <c r="J710" i="2"/>
  <c r="K710" i="2"/>
  <c r="B711" i="2"/>
  <c r="C711" i="2"/>
  <c r="D711" i="2"/>
  <c r="E711" i="2"/>
  <c r="F711" i="2"/>
  <c r="G711" i="2"/>
  <c r="H711" i="2"/>
  <c r="I711" i="2"/>
  <c r="J711" i="2"/>
  <c r="K711" i="2"/>
  <c r="B712" i="2"/>
  <c r="C712" i="2"/>
  <c r="D712" i="2"/>
  <c r="E712" i="2"/>
  <c r="F712" i="2"/>
  <c r="G712" i="2"/>
  <c r="H712" i="2"/>
  <c r="I712" i="2"/>
  <c r="J712" i="2"/>
  <c r="K712" i="2"/>
  <c r="B713" i="2"/>
  <c r="C713" i="2"/>
  <c r="D713" i="2"/>
  <c r="E713" i="2"/>
  <c r="F713" i="2"/>
  <c r="G713" i="2"/>
  <c r="H713" i="2"/>
  <c r="I713" i="2"/>
  <c r="J713" i="2"/>
  <c r="K713" i="2"/>
  <c r="B714" i="2"/>
  <c r="C714" i="2"/>
  <c r="D714" i="2"/>
  <c r="E714" i="2"/>
  <c r="F714" i="2"/>
  <c r="G714" i="2"/>
  <c r="H714" i="2"/>
  <c r="I714" i="2"/>
  <c r="J714" i="2"/>
  <c r="K714" i="2"/>
  <c r="B715" i="2"/>
  <c r="C715" i="2"/>
  <c r="D715" i="2"/>
  <c r="E715" i="2"/>
  <c r="F715" i="2"/>
  <c r="G715" i="2"/>
  <c r="H715" i="2"/>
  <c r="I715" i="2"/>
  <c r="J715" i="2"/>
  <c r="K715" i="2"/>
  <c r="B716" i="2"/>
  <c r="C716" i="2"/>
  <c r="D716" i="2"/>
  <c r="E716" i="2"/>
  <c r="F716" i="2"/>
  <c r="G716" i="2"/>
  <c r="H716" i="2"/>
  <c r="I716" i="2"/>
  <c r="J716" i="2"/>
  <c r="K716" i="2"/>
  <c r="B717" i="2"/>
  <c r="C717" i="2"/>
  <c r="D717" i="2"/>
  <c r="E717" i="2"/>
  <c r="F717" i="2"/>
  <c r="G717" i="2"/>
  <c r="H717" i="2"/>
  <c r="I717" i="2"/>
  <c r="J717" i="2"/>
  <c r="K717" i="2"/>
  <c r="B718" i="2"/>
  <c r="C718" i="2"/>
  <c r="D718" i="2"/>
  <c r="E718" i="2"/>
  <c r="F718" i="2"/>
  <c r="G718" i="2"/>
  <c r="H718" i="2"/>
  <c r="I718" i="2"/>
  <c r="J718" i="2"/>
  <c r="K718" i="2"/>
  <c r="B719" i="2"/>
  <c r="C719" i="2"/>
  <c r="D719" i="2"/>
  <c r="E719" i="2"/>
  <c r="F719" i="2"/>
  <c r="G719" i="2"/>
  <c r="H719" i="2"/>
  <c r="I719" i="2"/>
  <c r="J719" i="2"/>
  <c r="K719" i="2"/>
  <c r="B720" i="2"/>
  <c r="C720" i="2"/>
  <c r="D720" i="2"/>
  <c r="E720" i="2"/>
  <c r="F720" i="2"/>
  <c r="G720" i="2"/>
  <c r="H720" i="2"/>
  <c r="I720" i="2"/>
  <c r="J720" i="2"/>
  <c r="K720" i="2"/>
  <c r="B721" i="2"/>
  <c r="C721" i="2"/>
  <c r="D721" i="2"/>
  <c r="E721" i="2"/>
  <c r="F721" i="2"/>
  <c r="G721" i="2"/>
  <c r="H721" i="2"/>
  <c r="I721" i="2"/>
  <c r="J721" i="2"/>
  <c r="K721" i="2"/>
  <c r="B722" i="2"/>
  <c r="C722" i="2"/>
  <c r="D722" i="2"/>
  <c r="E722" i="2"/>
  <c r="F722" i="2"/>
  <c r="G722" i="2"/>
  <c r="H722" i="2"/>
  <c r="I722" i="2"/>
  <c r="J722" i="2"/>
  <c r="K722" i="2"/>
  <c r="B723" i="2"/>
  <c r="C723" i="2"/>
  <c r="D723" i="2"/>
  <c r="E723" i="2"/>
  <c r="F723" i="2"/>
  <c r="G723" i="2"/>
  <c r="H723" i="2"/>
  <c r="I723" i="2"/>
  <c r="J723" i="2"/>
  <c r="K723" i="2"/>
  <c r="B724" i="2"/>
  <c r="C724" i="2"/>
  <c r="D724" i="2"/>
  <c r="E724" i="2"/>
  <c r="F724" i="2"/>
  <c r="G724" i="2"/>
  <c r="H724" i="2"/>
  <c r="I724" i="2"/>
  <c r="J724" i="2"/>
  <c r="K724" i="2"/>
  <c r="B725" i="2"/>
  <c r="C725" i="2"/>
  <c r="D725" i="2"/>
  <c r="E725" i="2"/>
  <c r="F725" i="2"/>
  <c r="G725" i="2"/>
  <c r="H725" i="2"/>
  <c r="I725" i="2"/>
  <c r="J725" i="2"/>
  <c r="K725" i="2"/>
  <c r="B726" i="2"/>
  <c r="C726" i="2"/>
  <c r="D726" i="2"/>
  <c r="E726" i="2"/>
  <c r="F726" i="2"/>
  <c r="G726" i="2"/>
  <c r="H726" i="2"/>
  <c r="I726" i="2"/>
  <c r="J726" i="2"/>
  <c r="K726" i="2"/>
  <c r="B727" i="2"/>
  <c r="C727" i="2"/>
  <c r="D727" i="2"/>
  <c r="E727" i="2"/>
  <c r="F727" i="2"/>
  <c r="G727" i="2"/>
  <c r="H727" i="2"/>
  <c r="I727" i="2"/>
  <c r="J727" i="2"/>
  <c r="K727" i="2"/>
  <c r="B728" i="2"/>
  <c r="C728" i="2"/>
  <c r="D728" i="2"/>
  <c r="E728" i="2"/>
  <c r="F728" i="2"/>
  <c r="G728" i="2"/>
  <c r="H728" i="2"/>
  <c r="I728" i="2"/>
  <c r="J728" i="2"/>
  <c r="K728" i="2"/>
  <c r="B729" i="2"/>
  <c r="C729" i="2"/>
  <c r="D729" i="2"/>
  <c r="E729" i="2"/>
  <c r="F729" i="2"/>
  <c r="G729" i="2"/>
  <c r="H729" i="2"/>
  <c r="I729" i="2"/>
  <c r="J729" i="2"/>
  <c r="K729" i="2"/>
  <c r="B730" i="2"/>
  <c r="C730" i="2"/>
  <c r="D730" i="2"/>
  <c r="E730" i="2"/>
  <c r="F730" i="2"/>
  <c r="G730" i="2"/>
  <c r="H730" i="2"/>
  <c r="I730" i="2"/>
  <c r="J730" i="2"/>
  <c r="K730" i="2"/>
  <c r="B731" i="2"/>
  <c r="C731" i="2"/>
  <c r="D731" i="2"/>
  <c r="E731" i="2"/>
  <c r="F731" i="2"/>
  <c r="G731" i="2"/>
  <c r="H731" i="2"/>
  <c r="I731" i="2"/>
  <c r="J731" i="2"/>
  <c r="K731" i="2"/>
  <c r="B732" i="2"/>
  <c r="C732" i="2"/>
  <c r="D732" i="2"/>
  <c r="E732" i="2"/>
  <c r="F732" i="2"/>
  <c r="G732" i="2"/>
  <c r="H732" i="2"/>
  <c r="I732" i="2"/>
  <c r="J732" i="2"/>
  <c r="K732" i="2"/>
  <c r="B733" i="2"/>
  <c r="C733" i="2"/>
  <c r="D733" i="2"/>
  <c r="E733" i="2"/>
  <c r="F733" i="2"/>
  <c r="G733" i="2"/>
  <c r="H733" i="2"/>
  <c r="I733" i="2"/>
  <c r="J733" i="2"/>
  <c r="K733" i="2"/>
  <c r="B734" i="2"/>
  <c r="C734" i="2"/>
  <c r="D734" i="2"/>
  <c r="E734" i="2"/>
  <c r="F734" i="2"/>
  <c r="G734" i="2"/>
  <c r="H734" i="2"/>
  <c r="I734" i="2"/>
  <c r="J734" i="2"/>
  <c r="K734" i="2"/>
  <c r="B735" i="2"/>
  <c r="C735" i="2"/>
  <c r="D735" i="2"/>
  <c r="E735" i="2"/>
  <c r="F735" i="2"/>
  <c r="G735" i="2"/>
  <c r="H735" i="2"/>
  <c r="I735" i="2"/>
  <c r="J735" i="2"/>
  <c r="K735" i="2"/>
  <c r="B736" i="2"/>
  <c r="C736" i="2"/>
  <c r="D736" i="2"/>
  <c r="E736" i="2"/>
  <c r="F736" i="2"/>
  <c r="G736" i="2"/>
  <c r="H736" i="2"/>
  <c r="I736" i="2"/>
  <c r="J736" i="2"/>
  <c r="K736" i="2"/>
  <c r="B737" i="2"/>
  <c r="C737" i="2"/>
  <c r="D737" i="2"/>
  <c r="E737" i="2"/>
  <c r="F737" i="2"/>
  <c r="G737" i="2"/>
  <c r="H737" i="2"/>
  <c r="I737" i="2"/>
  <c r="J737" i="2"/>
  <c r="K737" i="2"/>
  <c r="B738" i="2"/>
  <c r="C738" i="2"/>
  <c r="D738" i="2"/>
  <c r="E738" i="2"/>
  <c r="F738" i="2"/>
  <c r="G738" i="2"/>
  <c r="H738" i="2"/>
  <c r="I738" i="2"/>
  <c r="J738" i="2"/>
  <c r="K738" i="2"/>
  <c r="B739" i="2"/>
  <c r="C739" i="2"/>
  <c r="D739" i="2"/>
  <c r="E739" i="2"/>
  <c r="F739" i="2"/>
  <c r="G739" i="2"/>
  <c r="H739" i="2"/>
  <c r="I739" i="2"/>
  <c r="J739" i="2"/>
  <c r="K739" i="2"/>
  <c r="B740" i="2"/>
  <c r="C740" i="2"/>
  <c r="D740" i="2"/>
  <c r="E740" i="2"/>
  <c r="F740" i="2"/>
  <c r="G740" i="2"/>
  <c r="H740" i="2"/>
  <c r="I740" i="2"/>
  <c r="J740" i="2"/>
  <c r="K740" i="2"/>
  <c r="B741" i="2"/>
  <c r="C741" i="2"/>
  <c r="D741" i="2"/>
  <c r="E741" i="2"/>
  <c r="F741" i="2"/>
  <c r="G741" i="2"/>
  <c r="H741" i="2"/>
  <c r="I741" i="2"/>
  <c r="J741" i="2"/>
  <c r="K741" i="2"/>
  <c r="B742" i="2"/>
  <c r="C742" i="2"/>
  <c r="D742" i="2"/>
  <c r="E742" i="2"/>
  <c r="F742" i="2"/>
  <c r="G742" i="2"/>
  <c r="H742" i="2"/>
  <c r="I742" i="2"/>
  <c r="J742" i="2"/>
  <c r="K742" i="2"/>
  <c r="B743" i="2"/>
  <c r="C743" i="2"/>
  <c r="D743" i="2"/>
  <c r="E743" i="2"/>
  <c r="F743" i="2"/>
  <c r="G743" i="2"/>
  <c r="H743" i="2"/>
  <c r="I743" i="2"/>
  <c r="J743" i="2"/>
  <c r="K743" i="2"/>
  <c r="B744" i="2"/>
  <c r="C744" i="2"/>
  <c r="D744" i="2"/>
  <c r="E744" i="2"/>
  <c r="F744" i="2"/>
  <c r="G744" i="2"/>
  <c r="H744" i="2"/>
  <c r="I744" i="2"/>
  <c r="J744" i="2"/>
  <c r="K744" i="2"/>
  <c r="B745" i="2"/>
  <c r="C745" i="2"/>
  <c r="D745" i="2"/>
  <c r="E745" i="2"/>
  <c r="F745" i="2"/>
  <c r="G745" i="2"/>
  <c r="H745" i="2"/>
  <c r="I745" i="2"/>
  <c r="J745" i="2"/>
  <c r="K745" i="2"/>
  <c r="B746" i="2"/>
  <c r="C746" i="2"/>
  <c r="D746" i="2"/>
  <c r="E746" i="2"/>
  <c r="F746" i="2"/>
  <c r="G746" i="2"/>
  <c r="H746" i="2"/>
  <c r="I746" i="2"/>
  <c r="J746" i="2"/>
  <c r="K746" i="2"/>
  <c r="B747" i="2"/>
  <c r="C747" i="2"/>
  <c r="D747" i="2"/>
  <c r="E747" i="2"/>
  <c r="F747" i="2"/>
  <c r="G747" i="2"/>
  <c r="H747" i="2"/>
  <c r="I747" i="2"/>
  <c r="J747" i="2"/>
  <c r="K747" i="2"/>
  <c r="B748" i="2"/>
  <c r="C748" i="2"/>
  <c r="D748" i="2"/>
  <c r="E748" i="2"/>
  <c r="F748" i="2"/>
  <c r="G748" i="2"/>
  <c r="H748" i="2"/>
  <c r="I748" i="2"/>
  <c r="J748" i="2"/>
  <c r="K748" i="2"/>
  <c r="B749" i="2"/>
  <c r="C749" i="2"/>
  <c r="D749" i="2"/>
  <c r="E749" i="2"/>
  <c r="F749" i="2"/>
  <c r="G749" i="2"/>
  <c r="H749" i="2"/>
  <c r="I749" i="2"/>
  <c r="J749" i="2"/>
  <c r="K749" i="2"/>
  <c r="B750" i="2"/>
  <c r="C750" i="2"/>
  <c r="D750" i="2"/>
  <c r="E750" i="2"/>
  <c r="F750" i="2"/>
  <c r="G750" i="2"/>
  <c r="H750" i="2"/>
  <c r="I750" i="2"/>
  <c r="J750" i="2"/>
  <c r="K750" i="2"/>
  <c r="B751" i="2"/>
  <c r="C751" i="2"/>
  <c r="D751" i="2"/>
  <c r="E751" i="2"/>
  <c r="F751" i="2"/>
  <c r="G751" i="2"/>
  <c r="H751" i="2"/>
  <c r="I751" i="2"/>
  <c r="J751" i="2"/>
  <c r="K751" i="2"/>
  <c r="B752" i="2"/>
  <c r="C752" i="2"/>
  <c r="D752" i="2"/>
  <c r="E752" i="2"/>
  <c r="F752" i="2"/>
  <c r="G752" i="2"/>
  <c r="H752" i="2"/>
  <c r="I752" i="2"/>
  <c r="J752" i="2"/>
  <c r="K752" i="2"/>
  <c r="B753" i="2"/>
  <c r="C753" i="2"/>
  <c r="D753" i="2"/>
  <c r="E753" i="2"/>
  <c r="F753" i="2"/>
  <c r="G753" i="2"/>
  <c r="H753" i="2"/>
  <c r="I753" i="2"/>
  <c r="J753" i="2"/>
  <c r="K753" i="2"/>
  <c r="B754" i="2"/>
  <c r="C754" i="2"/>
  <c r="D754" i="2"/>
  <c r="E754" i="2"/>
  <c r="F754" i="2"/>
  <c r="G754" i="2"/>
  <c r="H754" i="2"/>
  <c r="I754" i="2"/>
  <c r="J754" i="2"/>
  <c r="K754" i="2"/>
  <c r="B755" i="2"/>
  <c r="C755" i="2"/>
  <c r="D755" i="2"/>
  <c r="E755" i="2"/>
  <c r="F755" i="2"/>
  <c r="G755" i="2"/>
  <c r="H755" i="2"/>
  <c r="I755" i="2"/>
  <c r="J755" i="2"/>
  <c r="K755" i="2"/>
  <c r="B756" i="2"/>
  <c r="C756" i="2"/>
  <c r="D756" i="2"/>
  <c r="E756" i="2"/>
  <c r="F756" i="2"/>
  <c r="G756" i="2"/>
  <c r="H756" i="2"/>
  <c r="I756" i="2"/>
  <c r="J756" i="2"/>
  <c r="K756" i="2"/>
  <c r="B757" i="2"/>
  <c r="C757" i="2"/>
  <c r="D757" i="2"/>
  <c r="E757" i="2"/>
  <c r="F757" i="2"/>
  <c r="G757" i="2"/>
  <c r="H757" i="2"/>
  <c r="I757" i="2"/>
  <c r="J757" i="2"/>
  <c r="K757" i="2"/>
  <c r="B758" i="2"/>
  <c r="C758" i="2"/>
  <c r="D758" i="2"/>
  <c r="E758" i="2"/>
  <c r="F758" i="2"/>
  <c r="G758" i="2"/>
  <c r="H758" i="2"/>
  <c r="I758" i="2"/>
  <c r="J758" i="2"/>
  <c r="K758" i="2"/>
  <c r="B759" i="2"/>
  <c r="C759" i="2"/>
  <c r="D759" i="2"/>
  <c r="E759" i="2"/>
  <c r="F759" i="2"/>
  <c r="G759" i="2"/>
  <c r="H759" i="2"/>
  <c r="I759" i="2"/>
  <c r="J759" i="2"/>
  <c r="K759" i="2"/>
  <c r="B760" i="2"/>
  <c r="C760" i="2"/>
  <c r="D760" i="2"/>
  <c r="E760" i="2"/>
  <c r="F760" i="2"/>
  <c r="G760" i="2"/>
  <c r="H760" i="2"/>
  <c r="I760" i="2"/>
  <c r="J760" i="2"/>
  <c r="K760" i="2"/>
  <c r="B761" i="2"/>
  <c r="C761" i="2"/>
  <c r="D761" i="2"/>
  <c r="E761" i="2"/>
  <c r="F761" i="2"/>
  <c r="G761" i="2"/>
  <c r="H761" i="2"/>
  <c r="I761" i="2"/>
  <c r="J761" i="2"/>
  <c r="K761" i="2"/>
  <c r="B762" i="2"/>
  <c r="C762" i="2"/>
  <c r="D762" i="2"/>
  <c r="E762" i="2"/>
  <c r="F762" i="2"/>
  <c r="G762" i="2"/>
  <c r="H762" i="2"/>
  <c r="I762" i="2"/>
  <c r="J762" i="2"/>
  <c r="K762" i="2"/>
  <c r="B763" i="2"/>
  <c r="C763" i="2"/>
  <c r="D763" i="2"/>
  <c r="E763" i="2"/>
  <c r="F763" i="2"/>
  <c r="G763" i="2"/>
  <c r="H763" i="2"/>
  <c r="I763" i="2"/>
  <c r="J763" i="2"/>
  <c r="K763" i="2"/>
  <c r="B764" i="2"/>
  <c r="C764" i="2"/>
  <c r="D764" i="2"/>
  <c r="E764" i="2"/>
  <c r="F764" i="2"/>
  <c r="G764" i="2"/>
  <c r="H764" i="2"/>
  <c r="I764" i="2"/>
  <c r="J764" i="2"/>
  <c r="K764" i="2"/>
  <c r="B765" i="2"/>
  <c r="C765" i="2"/>
  <c r="D765" i="2"/>
  <c r="E765" i="2"/>
  <c r="F765" i="2"/>
  <c r="G765" i="2"/>
  <c r="H765" i="2"/>
  <c r="I765" i="2"/>
  <c r="J765" i="2"/>
  <c r="K765" i="2"/>
  <c r="B766" i="2"/>
  <c r="C766" i="2"/>
  <c r="D766" i="2"/>
  <c r="E766" i="2"/>
  <c r="F766" i="2"/>
  <c r="G766" i="2"/>
  <c r="H766" i="2"/>
  <c r="I766" i="2"/>
  <c r="J766" i="2"/>
  <c r="K766" i="2"/>
  <c r="B767" i="2"/>
  <c r="C767" i="2"/>
  <c r="D767" i="2"/>
  <c r="E767" i="2"/>
  <c r="F767" i="2"/>
  <c r="G767" i="2"/>
  <c r="H767" i="2"/>
  <c r="I767" i="2"/>
  <c r="J767" i="2"/>
  <c r="K767" i="2"/>
  <c r="B768" i="2"/>
  <c r="C768" i="2"/>
  <c r="D768" i="2"/>
  <c r="E768" i="2"/>
  <c r="F768" i="2"/>
  <c r="G768" i="2"/>
  <c r="H768" i="2"/>
  <c r="I768" i="2"/>
  <c r="J768" i="2"/>
  <c r="K768" i="2"/>
  <c r="B769" i="2"/>
  <c r="C769" i="2"/>
  <c r="D769" i="2"/>
  <c r="E769" i="2"/>
  <c r="F769" i="2"/>
  <c r="G769" i="2"/>
  <c r="H769" i="2"/>
  <c r="I769" i="2"/>
  <c r="J769" i="2"/>
  <c r="K769" i="2"/>
  <c r="B770" i="2"/>
  <c r="C770" i="2"/>
  <c r="D770" i="2"/>
  <c r="E770" i="2"/>
  <c r="F770" i="2"/>
  <c r="G770" i="2"/>
  <c r="H770" i="2"/>
  <c r="I770" i="2"/>
  <c r="J770" i="2"/>
  <c r="K770" i="2"/>
  <c r="B771" i="2"/>
  <c r="C771" i="2"/>
  <c r="D771" i="2"/>
  <c r="E771" i="2"/>
  <c r="F771" i="2"/>
  <c r="G771" i="2"/>
  <c r="H771" i="2"/>
  <c r="I771" i="2"/>
  <c r="J771" i="2"/>
  <c r="K771" i="2"/>
  <c r="B772" i="2"/>
  <c r="C772" i="2"/>
  <c r="D772" i="2"/>
  <c r="E772" i="2"/>
  <c r="F772" i="2"/>
  <c r="G772" i="2"/>
  <c r="H772" i="2"/>
  <c r="I772" i="2"/>
  <c r="J772" i="2"/>
  <c r="K772" i="2"/>
  <c r="B773" i="2"/>
  <c r="C773" i="2"/>
  <c r="D773" i="2"/>
  <c r="E773" i="2"/>
  <c r="F773" i="2"/>
  <c r="G773" i="2"/>
  <c r="H773" i="2"/>
  <c r="I773" i="2"/>
  <c r="J773" i="2"/>
  <c r="K773" i="2"/>
  <c r="B774" i="2"/>
  <c r="C774" i="2"/>
  <c r="D774" i="2"/>
  <c r="E774" i="2"/>
  <c r="F774" i="2"/>
  <c r="G774" i="2"/>
  <c r="H774" i="2"/>
  <c r="I774" i="2"/>
  <c r="J774" i="2"/>
  <c r="K774" i="2"/>
  <c r="B775" i="2"/>
  <c r="C775" i="2"/>
  <c r="D775" i="2"/>
  <c r="E775" i="2"/>
  <c r="F775" i="2"/>
  <c r="G775" i="2"/>
  <c r="H775" i="2"/>
  <c r="I775" i="2"/>
  <c r="J775" i="2"/>
  <c r="K775" i="2"/>
  <c r="B776" i="2"/>
  <c r="C776" i="2"/>
  <c r="D776" i="2"/>
  <c r="E776" i="2"/>
  <c r="F776" i="2"/>
  <c r="G776" i="2"/>
  <c r="H776" i="2"/>
  <c r="I776" i="2"/>
  <c r="J776" i="2"/>
  <c r="K776" i="2"/>
  <c r="B777" i="2"/>
  <c r="C777" i="2"/>
  <c r="D777" i="2"/>
  <c r="E777" i="2"/>
  <c r="F777" i="2"/>
  <c r="G777" i="2"/>
  <c r="H777" i="2"/>
  <c r="I777" i="2"/>
  <c r="J777" i="2"/>
  <c r="K777" i="2"/>
  <c r="B778" i="2"/>
  <c r="C778" i="2"/>
  <c r="D778" i="2"/>
  <c r="E778" i="2"/>
  <c r="F778" i="2"/>
  <c r="G778" i="2"/>
  <c r="H778" i="2"/>
  <c r="I778" i="2"/>
  <c r="J778" i="2"/>
  <c r="K778" i="2"/>
  <c r="B779" i="2"/>
  <c r="C779" i="2"/>
  <c r="D779" i="2"/>
  <c r="E779" i="2"/>
  <c r="F779" i="2"/>
  <c r="G779" i="2"/>
  <c r="H779" i="2"/>
  <c r="I779" i="2"/>
  <c r="J779" i="2"/>
  <c r="K779" i="2"/>
  <c r="B780" i="2"/>
  <c r="C780" i="2"/>
  <c r="D780" i="2"/>
  <c r="E780" i="2"/>
  <c r="F780" i="2"/>
  <c r="G780" i="2"/>
  <c r="H780" i="2"/>
  <c r="I780" i="2"/>
  <c r="J780" i="2"/>
  <c r="K780" i="2"/>
  <c r="B781" i="2"/>
  <c r="C781" i="2"/>
  <c r="D781" i="2"/>
  <c r="E781" i="2"/>
  <c r="F781" i="2"/>
  <c r="G781" i="2"/>
  <c r="H781" i="2"/>
  <c r="I781" i="2"/>
  <c r="J781" i="2"/>
  <c r="K781" i="2"/>
  <c r="B782" i="2"/>
  <c r="C782" i="2"/>
  <c r="D782" i="2"/>
  <c r="E782" i="2"/>
  <c r="F782" i="2"/>
  <c r="G782" i="2"/>
  <c r="H782" i="2"/>
  <c r="I782" i="2"/>
  <c r="J782" i="2"/>
  <c r="K782" i="2"/>
  <c r="B783" i="2"/>
  <c r="C783" i="2"/>
  <c r="D783" i="2"/>
  <c r="E783" i="2"/>
  <c r="F783" i="2"/>
  <c r="G783" i="2"/>
  <c r="H783" i="2"/>
  <c r="I783" i="2"/>
  <c r="J783" i="2"/>
  <c r="K783" i="2"/>
  <c r="B784" i="2"/>
  <c r="C784" i="2"/>
  <c r="D784" i="2"/>
  <c r="E784" i="2"/>
  <c r="F784" i="2"/>
  <c r="G784" i="2"/>
  <c r="H784" i="2"/>
  <c r="I784" i="2"/>
  <c r="J784" i="2"/>
  <c r="K784" i="2"/>
  <c r="B785" i="2"/>
  <c r="C785" i="2"/>
  <c r="D785" i="2"/>
  <c r="E785" i="2"/>
  <c r="F785" i="2"/>
  <c r="G785" i="2"/>
  <c r="H785" i="2"/>
  <c r="I785" i="2"/>
  <c r="J785" i="2"/>
  <c r="K785" i="2"/>
  <c r="B786" i="2"/>
  <c r="C786" i="2"/>
  <c r="D786" i="2"/>
  <c r="E786" i="2"/>
  <c r="F786" i="2"/>
  <c r="G786" i="2"/>
  <c r="H786" i="2"/>
  <c r="I786" i="2"/>
  <c r="J786" i="2"/>
  <c r="K786" i="2"/>
  <c r="B787" i="2"/>
  <c r="C787" i="2"/>
  <c r="D787" i="2"/>
  <c r="E787" i="2"/>
  <c r="F787" i="2"/>
  <c r="G787" i="2"/>
  <c r="H787" i="2"/>
  <c r="I787" i="2"/>
  <c r="J787" i="2"/>
  <c r="K787" i="2"/>
  <c r="B788" i="2"/>
  <c r="C788" i="2"/>
  <c r="D788" i="2"/>
  <c r="E788" i="2"/>
  <c r="F788" i="2"/>
  <c r="G788" i="2"/>
  <c r="H788" i="2"/>
  <c r="I788" i="2"/>
  <c r="J788" i="2"/>
  <c r="K788" i="2"/>
  <c r="B789" i="2"/>
  <c r="C789" i="2"/>
  <c r="D789" i="2"/>
  <c r="E789" i="2"/>
  <c r="F789" i="2"/>
  <c r="G789" i="2"/>
  <c r="H789" i="2"/>
  <c r="I789" i="2"/>
  <c r="J789" i="2"/>
  <c r="K789" i="2"/>
  <c r="B790" i="2"/>
  <c r="C790" i="2"/>
  <c r="D790" i="2"/>
  <c r="E790" i="2"/>
  <c r="F790" i="2"/>
  <c r="G790" i="2"/>
  <c r="H790" i="2"/>
  <c r="I790" i="2"/>
  <c r="J790" i="2"/>
  <c r="K790" i="2"/>
  <c r="B791" i="2"/>
  <c r="C791" i="2"/>
  <c r="D791" i="2"/>
  <c r="E791" i="2"/>
  <c r="F791" i="2"/>
  <c r="G791" i="2"/>
  <c r="H791" i="2"/>
  <c r="I791" i="2"/>
  <c r="J791" i="2"/>
  <c r="K791" i="2"/>
  <c r="B792" i="2"/>
  <c r="C792" i="2"/>
  <c r="D792" i="2"/>
  <c r="E792" i="2"/>
  <c r="F792" i="2"/>
  <c r="G792" i="2"/>
  <c r="H792" i="2"/>
  <c r="I792" i="2"/>
  <c r="J792" i="2"/>
  <c r="K792" i="2"/>
  <c r="B793" i="2"/>
  <c r="C793" i="2"/>
  <c r="D793" i="2"/>
  <c r="E793" i="2"/>
  <c r="F793" i="2"/>
  <c r="G793" i="2"/>
  <c r="H793" i="2"/>
  <c r="I793" i="2"/>
  <c r="J793" i="2"/>
  <c r="K793" i="2"/>
  <c r="B794" i="2"/>
  <c r="C794" i="2"/>
  <c r="D794" i="2"/>
  <c r="E794" i="2"/>
  <c r="F794" i="2"/>
  <c r="G794" i="2"/>
  <c r="H794" i="2"/>
  <c r="I794" i="2"/>
  <c r="J794" i="2"/>
  <c r="K794" i="2"/>
  <c r="B795" i="2"/>
  <c r="C795" i="2"/>
  <c r="D795" i="2"/>
  <c r="E795" i="2"/>
  <c r="F795" i="2"/>
  <c r="G795" i="2"/>
  <c r="H795" i="2"/>
  <c r="I795" i="2"/>
  <c r="J795" i="2"/>
  <c r="K795" i="2"/>
  <c r="B796" i="2"/>
  <c r="C796" i="2"/>
  <c r="D796" i="2"/>
  <c r="E796" i="2"/>
  <c r="F796" i="2"/>
  <c r="G796" i="2"/>
  <c r="H796" i="2"/>
  <c r="I796" i="2"/>
  <c r="J796" i="2"/>
  <c r="K796" i="2"/>
  <c r="B797" i="2"/>
  <c r="C797" i="2"/>
  <c r="D797" i="2"/>
  <c r="E797" i="2"/>
  <c r="F797" i="2"/>
  <c r="G797" i="2"/>
  <c r="H797" i="2"/>
  <c r="I797" i="2"/>
  <c r="J797" i="2"/>
  <c r="K797" i="2"/>
  <c r="B798" i="2"/>
  <c r="C798" i="2"/>
  <c r="D798" i="2"/>
  <c r="E798" i="2"/>
  <c r="F798" i="2"/>
  <c r="G798" i="2"/>
  <c r="H798" i="2"/>
  <c r="I798" i="2"/>
  <c r="J798" i="2"/>
  <c r="K798" i="2"/>
  <c r="B799" i="2"/>
  <c r="C799" i="2"/>
  <c r="D799" i="2"/>
  <c r="E799" i="2"/>
  <c r="F799" i="2"/>
  <c r="G799" i="2"/>
  <c r="H799" i="2"/>
  <c r="I799" i="2"/>
  <c r="J799" i="2"/>
  <c r="K799" i="2"/>
  <c r="B800" i="2"/>
  <c r="C800" i="2"/>
  <c r="D800" i="2"/>
  <c r="E800" i="2"/>
  <c r="F800" i="2"/>
  <c r="G800" i="2"/>
  <c r="H800" i="2"/>
  <c r="I800" i="2"/>
  <c r="J800" i="2"/>
  <c r="K800" i="2"/>
  <c r="B801" i="2"/>
  <c r="C801" i="2"/>
  <c r="D801" i="2"/>
  <c r="E801" i="2"/>
  <c r="F801" i="2"/>
  <c r="G801" i="2"/>
  <c r="H801" i="2"/>
  <c r="I801" i="2"/>
  <c r="J801" i="2"/>
  <c r="K801" i="2"/>
  <c r="B802" i="2"/>
  <c r="C802" i="2"/>
  <c r="D802" i="2"/>
  <c r="E802" i="2"/>
  <c r="F802" i="2"/>
  <c r="G802" i="2"/>
  <c r="H802" i="2"/>
  <c r="I802" i="2"/>
  <c r="J802" i="2"/>
  <c r="K802" i="2"/>
  <c r="B803" i="2"/>
  <c r="C803" i="2"/>
  <c r="D803" i="2"/>
  <c r="E803" i="2"/>
  <c r="F803" i="2"/>
  <c r="G803" i="2"/>
  <c r="H803" i="2"/>
  <c r="I803" i="2"/>
  <c r="J803" i="2"/>
  <c r="K803" i="2"/>
  <c r="B804" i="2"/>
  <c r="C804" i="2"/>
  <c r="D804" i="2"/>
  <c r="E804" i="2"/>
  <c r="F804" i="2"/>
  <c r="G804" i="2"/>
  <c r="H804" i="2"/>
  <c r="I804" i="2"/>
  <c r="J804" i="2"/>
  <c r="K804" i="2"/>
  <c r="B805" i="2"/>
  <c r="C805" i="2"/>
  <c r="D805" i="2"/>
  <c r="E805" i="2"/>
  <c r="F805" i="2"/>
  <c r="G805" i="2"/>
  <c r="H805" i="2"/>
  <c r="I805" i="2"/>
  <c r="J805" i="2"/>
  <c r="K805" i="2"/>
  <c r="B806" i="2"/>
  <c r="C806" i="2"/>
  <c r="D806" i="2"/>
  <c r="E806" i="2"/>
  <c r="F806" i="2"/>
  <c r="G806" i="2"/>
  <c r="H806" i="2"/>
  <c r="I806" i="2"/>
  <c r="J806" i="2"/>
  <c r="K806" i="2"/>
  <c r="B807" i="2"/>
  <c r="C807" i="2"/>
  <c r="D807" i="2"/>
  <c r="E807" i="2"/>
  <c r="F807" i="2"/>
  <c r="G807" i="2"/>
  <c r="H807" i="2"/>
  <c r="I807" i="2"/>
  <c r="J807" i="2"/>
  <c r="K807" i="2"/>
  <c r="B808" i="2"/>
  <c r="C808" i="2"/>
  <c r="D808" i="2"/>
  <c r="E808" i="2"/>
  <c r="F808" i="2"/>
  <c r="G808" i="2"/>
  <c r="H808" i="2"/>
  <c r="I808" i="2"/>
  <c r="J808" i="2"/>
  <c r="K808" i="2"/>
  <c r="B809" i="2"/>
  <c r="C809" i="2"/>
  <c r="D809" i="2"/>
  <c r="E809" i="2"/>
  <c r="F809" i="2"/>
  <c r="G809" i="2"/>
  <c r="H809" i="2"/>
  <c r="I809" i="2"/>
  <c r="J809" i="2"/>
  <c r="K809" i="2"/>
  <c r="B810" i="2"/>
  <c r="C810" i="2"/>
  <c r="D810" i="2"/>
  <c r="E810" i="2"/>
  <c r="F810" i="2"/>
  <c r="G810" i="2"/>
  <c r="H810" i="2"/>
  <c r="I810" i="2"/>
  <c r="J810" i="2"/>
  <c r="K810" i="2"/>
  <c r="B811" i="2"/>
  <c r="C811" i="2"/>
  <c r="D811" i="2"/>
  <c r="E811" i="2"/>
  <c r="F811" i="2"/>
  <c r="G811" i="2"/>
  <c r="H811" i="2"/>
  <c r="I811" i="2"/>
  <c r="J811" i="2"/>
  <c r="K811" i="2"/>
  <c r="B812" i="2"/>
  <c r="C812" i="2"/>
  <c r="D812" i="2"/>
  <c r="E812" i="2"/>
  <c r="F812" i="2"/>
  <c r="G812" i="2"/>
  <c r="H812" i="2"/>
  <c r="I812" i="2"/>
  <c r="J812" i="2"/>
  <c r="K812" i="2"/>
  <c r="B813" i="2"/>
  <c r="C813" i="2"/>
  <c r="D813" i="2"/>
  <c r="E813" i="2"/>
  <c r="F813" i="2"/>
  <c r="G813" i="2"/>
  <c r="H813" i="2"/>
  <c r="I813" i="2"/>
  <c r="J813" i="2"/>
  <c r="K813" i="2"/>
  <c r="B814" i="2"/>
  <c r="C814" i="2"/>
  <c r="D814" i="2"/>
  <c r="E814" i="2"/>
  <c r="F814" i="2"/>
  <c r="G814" i="2"/>
  <c r="H814" i="2"/>
  <c r="I814" i="2"/>
  <c r="J814" i="2"/>
  <c r="K814" i="2"/>
  <c r="B815" i="2"/>
  <c r="C815" i="2"/>
  <c r="D815" i="2"/>
  <c r="E815" i="2"/>
  <c r="F815" i="2"/>
  <c r="G815" i="2"/>
  <c r="H815" i="2"/>
  <c r="I815" i="2"/>
  <c r="J815" i="2"/>
  <c r="K815" i="2"/>
  <c r="B816" i="2"/>
  <c r="C816" i="2"/>
  <c r="D816" i="2"/>
  <c r="E816" i="2"/>
  <c r="F816" i="2"/>
  <c r="G816" i="2"/>
  <c r="H816" i="2"/>
  <c r="I816" i="2"/>
  <c r="J816" i="2"/>
  <c r="K816" i="2"/>
  <c r="B817" i="2"/>
  <c r="C817" i="2"/>
  <c r="D817" i="2"/>
  <c r="E817" i="2"/>
  <c r="F817" i="2"/>
  <c r="G817" i="2"/>
  <c r="H817" i="2"/>
  <c r="I817" i="2"/>
  <c r="J817" i="2"/>
  <c r="K817" i="2"/>
  <c r="B818" i="2"/>
  <c r="C818" i="2"/>
  <c r="D818" i="2"/>
  <c r="E818" i="2"/>
  <c r="F818" i="2"/>
  <c r="G818" i="2"/>
  <c r="H818" i="2"/>
  <c r="I818" i="2"/>
  <c r="J818" i="2"/>
  <c r="K818" i="2"/>
  <c r="B819" i="2"/>
  <c r="C819" i="2"/>
  <c r="D819" i="2"/>
  <c r="E819" i="2"/>
  <c r="F819" i="2"/>
  <c r="G819" i="2"/>
  <c r="H819" i="2"/>
  <c r="I819" i="2"/>
  <c r="J819" i="2"/>
  <c r="K819" i="2"/>
  <c r="B820" i="2"/>
  <c r="C820" i="2"/>
  <c r="D820" i="2"/>
  <c r="E820" i="2"/>
  <c r="F820" i="2"/>
  <c r="G820" i="2"/>
  <c r="H820" i="2"/>
  <c r="I820" i="2"/>
  <c r="J820" i="2"/>
  <c r="K820" i="2"/>
  <c r="B821" i="2"/>
  <c r="C821" i="2"/>
  <c r="D821" i="2"/>
  <c r="E821" i="2"/>
  <c r="F821" i="2"/>
  <c r="G821" i="2"/>
  <c r="H821" i="2"/>
  <c r="I821" i="2"/>
  <c r="J821" i="2"/>
  <c r="K821" i="2"/>
  <c r="B822" i="2"/>
  <c r="C822" i="2"/>
  <c r="D822" i="2"/>
  <c r="E822" i="2"/>
  <c r="F822" i="2"/>
  <c r="G822" i="2"/>
  <c r="H822" i="2"/>
  <c r="I822" i="2"/>
  <c r="J822" i="2"/>
  <c r="K822" i="2"/>
  <c r="B823" i="2"/>
  <c r="C823" i="2"/>
  <c r="D823" i="2"/>
  <c r="E823" i="2"/>
  <c r="F823" i="2"/>
  <c r="G823" i="2"/>
  <c r="H823" i="2"/>
  <c r="I823" i="2"/>
  <c r="J823" i="2"/>
  <c r="K823" i="2"/>
  <c r="B824" i="2"/>
  <c r="C824" i="2"/>
  <c r="D824" i="2"/>
  <c r="E824" i="2"/>
  <c r="F824" i="2"/>
  <c r="G824" i="2"/>
  <c r="H824" i="2"/>
  <c r="I824" i="2"/>
  <c r="J824" i="2"/>
  <c r="K824" i="2"/>
  <c r="B825" i="2"/>
  <c r="C825" i="2"/>
  <c r="D825" i="2"/>
  <c r="E825" i="2"/>
  <c r="F825" i="2"/>
  <c r="G825" i="2"/>
  <c r="H825" i="2"/>
  <c r="I825" i="2"/>
  <c r="J825" i="2"/>
  <c r="K825" i="2"/>
  <c r="B826" i="2"/>
  <c r="C826" i="2"/>
  <c r="D826" i="2"/>
  <c r="E826" i="2"/>
  <c r="F826" i="2"/>
  <c r="G826" i="2"/>
  <c r="H826" i="2"/>
  <c r="I826" i="2"/>
  <c r="J826" i="2"/>
  <c r="K826" i="2"/>
  <c r="B827" i="2"/>
  <c r="C827" i="2"/>
  <c r="D827" i="2"/>
  <c r="E827" i="2"/>
  <c r="F827" i="2"/>
  <c r="G827" i="2"/>
  <c r="H827" i="2"/>
  <c r="I827" i="2"/>
  <c r="J827" i="2"/>
  <c r="K827" i="2"/>
  <c r="B828" i="2"/>
  <c r="C828" i="2"/>
  <c r="D828" i="2"/>
  <c r="E828" i="2"/>
  <c r="F828" i="2"/>
  <c r="G828" i="2"/>
  <c r="H828" i="2"/>
  <c r="I828" i="2"/>
  <c r="J828" i="2"/>
  <c r="K828" i="2"/>
  <c r="B829" i="2"/>
  <c r="C829" i="2"/>
  <c r="D829" i="2"/>
  <c r="E829" i="2"/>
  <c r="F829" i="2"/>
  <c r="G829" i="2"/>
  <c r="H829" i="2"/>
  <c r="I829" i="2"/>
  <c r="J829" i="2"/>
  <c r="K829" i="2"/>
  <c r="B830" i="2"/>
  <c r="C830" i="2"/>
  <c r="D830" i="2"/>
  <c r="E830" i="2"/>
  <c r="F830" i="2"/>
  <c r="G830" i="2"/>
  <c r="H830" i="2"/>
  <c r="I830" i="2"/>
  <c r="J830" i="2"/>
  <c r="K830" i="2"/>
  <c r="B831" i="2"/>
  <c r="C831" i="2"/>
  <c r="D831" i="2"/>
  <c r="E831" i="2"/>
  <c r="F831" i="2"/>
  <c r="G831" i="2"/>
  <c r="H831" i="2"/>
  <c r="I831" i="2"/>
  <c r="J831" i="2"/>
  <c r="K831" i="2"/>
  <c r="B832" i="2"/>
  <c r="C832" i="2"/>
  <c r="D832" i="2"/>
  <c r="E832" i="2"/>
  <c r="F832" i="2"/>
  <c r="G832" i="2"/>
  <c r="H832" i="2"/>
  <c r="I832" i="2"/>
  <c r="J832" i="2"/>
  <c r="K832" i="2"/>
  <c r="B833" i="2"/>
  <c r="C833" i="2"/>
  <c r="D833" i="2"/>
  <c r="E833" i="2"/>
  <c r="F833" i="2"/>
  <c r="G833" i="2"/>
  <c r="H833" i="2"/>
  <c r="I833" i="2"/>
  <c r="J833" i="2"/>
  <c r="K833" i="2"/>
  <c r="B834" i="2"/>
  <c r="C834" i="2"/>
  <c r="D834" i="2"/>
  <c r="E834" i="2"/>
  <c r="F834" i="2"/>
  <c r="G834" i="2"/>
  <c r="H834" i="2"/>
  <c r="I834" i="2"/>
  <c r="J834" i="2"/>
  <c r="K834" i="2"/>
  <c r="B835" i="2"/>
  <c r="C835" i="2"/>
  <c r="D835" i="2"/>
  <c r="E835" i="2"/>
  <c r="F835" i="2"/>
  <c r="G835" i="2"/>
  <c r="H835" i="2"/>
  <c r="I835" i="2"/>
  <c r="J835" i="2"/>
  <c r="K835" i="2"/>
  <c r="B836" i="2"/>
  <c r="C836" i="2"/>
  <c r="D836" i="2"/>
  <c r="E836" i="2"/>
  <c r="F836" i="2"/>
  <c r="G836" i="2"/>
  <c r="H836" i="2"/>
  <c r="I836" i="2"/>
  <c r="J836" i="2"/>
  <c r="K836" i="2"/>
  <c r="B837" i="2"/>
  <c r="C837" i="2"/>
  <c r="D837" i="2"/>
  <c r="E837" i="2"/>
  <c r="F837" i="2"/>
  <c r="G837" i="2"/>
  <c r="H837" i="2"/>
  <c r="I837" i="2"/>
  <c r="J837" i="2"/>
  <c r="K837" i="2"/>
  <c r="B838" i="2"/>
  <c r="C838" i="2"/>
  <c r="D838" i="2"/>
  <c r="E838" i="2"/>
  <c r="F838" i="2"/>
  <c r="G838" i="2"/>
  <c r="H838" i="2"/>
  <c r="I838" i="2"/>
  <c r="J838" i="2"/>
  <c r="K838" i="2"/>
  <c r="B839" i="2"/>
  <c r="C839" i="2"/>
  <c r="D839" i="2"/>
  <c r="E839" i="2"/>
  <c r="F839" i="2"/>
  <c r="G839" i="2"/>
  <c r="H839" i="2"/>
  <c r="I839" i="2"/>
  <c r="J839" i="2"/>
  <c r="K839" i="2"/>
  <c r="B840" i="2"/>
  <c r="C840" i="2"/>
  <c r="D840" i="2"/>
  <c r="E840" i="2"/>
  <c r="F840" i="2"/>
  <c r="G840" i="2"/>
  <c r="H840" i="2"/>
  <c r="I840" i="2"/>
  <c r="J840" i="2"/>
  <c r="K840" i="2"/>
  <c r="B841" i="2"/>
  <c r="C841" i="2"/>
  <c r="D841" i="2"/>
  <c r="E841" i="2"/>
  <c r="F841" i="2"/>
  <c r="G841" i="2"/>
  <c r="H841" i="2"/>
  <c r="I841" i="2"/>
  <c r="J841" i="2"/>
  <c r="K841" i="2"/>
  <c r="B842" i="2"/>
  <c r="C842" i="2"/>
  <c r="D842" i="2"/>
  <c r="E842" i="2"/>
  <c r="F842" i="2"/>
  <c r="G842" i="2"/>
  <c r="H842" i="2"/>
  <c r="I842" i="2"/>
  <c r="J842" i="2"/>
  <c r="K842" i="2"/>
  <c r="B843" i="2"/>
  <c r="C843" i="2"/>
  <c r="D843" i="2"/>
  <c r="E843" i="2"/>
  <c r="F843" i="2"/>
  <c r="G843" i="2"/>
  <c r="H843" i="2"/>
  <c r="I843" i="2"/>
  <c r="J843" i="2"/>
  <c r="K843" i="2"/>
  <c r="B844" i="2"/>
  <c r="C844" i="2"/>
  <c r="D844" i="2"/>
  <c r="E844" i="2"/>
  <c r="F844" i="2"/>
  <c r="G844" i="2"/>
  <c r="H844" i="2"/>
  <c r="I844" i="2"/>
  <c r="J844" i="2"/>
  <c r="K844" i="2"/>
  <c r="B845" i="2"/>
  <c r="C845" i="2"/>
  <c r="D845" i="2"/>
  <c r="E845" i="2"/>
  <c r="F845" i="2"/>
  <c r="G845" i="2"/>
  <c r="H845" i="2"/>
  <c r="I845" i="2"/>
  <c r="J845" i="2"/>
  <c r="K845" i="2"/>
  <c r="B846" i="2"/>
  <c r="C846" i="2"/>
  <c r="D846" i="2"/>
  <c r="E846" i="2"/>
  <c r="F846" i="2"/>
  <c r="G846" i="2"/>
  <c r="H846" i="2"/>
  <c r="I846" i="2"/>
  <c r="J846" i="2"/>
  <c r="K846" i="2"/>
  <c r="B847" i="2"/>
  <c r="C847" i="2"/>
  <c r="D847" i="2"/>
  <c r="E847" i="2"/>
  <c r="F847" i="2"/>
  <c r="G847" i="2"/>
  <c r="H847" i="2"/>
  <c r="I847" i="2"/>
  <c r="J847" i="2"/>
  <c r="K847" i="2"/>
  <c r="B848" i="2"/>
  <c r="C848" i="2"/>
  <c r="D848" i="2"/>
  <c r="E848" i="2"/>
  <c r="F848" i="2"/>
  <c r="G848" i="2"/>
  <c r="H848" i="2"/>
  <c r="I848" i="2"/>
  <c r="J848" i="2"/>
  <c r="K848" i="2"/>
  <c r="B849" i="2"/>
  <c r="C849" i="2"/>
  <c r="D849" i="2"/>
  <c r="E849" i="2"/>
  <c r="F849" i="2"/>
  <c r="G849" i="2"/>
  <c r="H849" i="2"/>
  <c r="I849" i="2"/>
  <c r="J849" i="2"/>
  <c r="K849" i="2"/>
  <c r="B850" i="2"/>
  <c r="C850" i="2"/>
  <c r="D850" i="2"/>
  <c r="E850" i="2"/>
  <c r="F850" i="2"/>
  <c r="G850" i="2"/>
  <c r="H850" i="2"/>
  <c r="I850" i="2"/>
  <c r="J850" i="2"/>
  <c r="K850" i="2"/>
  <c r="B851" i="2"/>
  <c r="C851" i="2"/>
  <c r="D851" i="2"/>
  <c r="E851" i="2"/>
  <c r="F851" i="2"/>
  <c r="G851" i="2"/>
  <c r="H851" i="2"/>
  <c r="I851" i="2"/>
  <c r="J851" i="2"/>
  <c r="K851" i="2"/>
  <c r="B852" i="2"/>
  <c r="C852" i="2"/>
  <c r="D852" i="2"/>
  <c r="E852" i="2"/>
  <c r="F852" i="2"/>
  <c r="G852" i="2"/>
  <c r="H852" i="2"/>
  <c r="I852" i="2"/>
  <c r="J852" i="2"/>
  <c r="K852" i="2"/>
  <c r="B853" i="2"/>
  <c r="C853" i="2"/>
  <c r="D853" i="2"/>
  <c r="E853" i="2"/>
  <c r="F853" i="2"/>
  <c r="G853" i="2"/>
  <c r="H853" i="2"/>
  <c r="I853" i="2"/>
  <c r="J853" i="2"/>
  <c r="K853" i="2"/>
  <c r="B854" i="2"/>
  <c r="C854" i="2"/>
  <c r="D854" i="2"/>
  <c r="E854" i="2"/>
  <c r="F854" i="2"/>
  <c r="G854" i="2"/>
  <c r="H854" i="2"/>
  <c r="I854" i="2"/>
  <c r="J854" i="2"/>
  <c r="K854" i="2"/>
  <c r="B855" i="2"/>
  <c r="C855" i="2"/>
  <c r="D855" i="2"/>
  <c r="E855" i="2"/>
  <c r="F855" i="2"/>
  <c r="G855" i="2"/>
  <c r="H855" i="2"/>
  <c r="I855" i="2"/>
  <c r="J855" i="2"/>
  <c r="K855" i="2"/>
  <c r="B856" i="2"/>
  <c r="C856" i="2"/>
  <c r="D856" i="2"/>
  <c r="E856" i="2"/>
  <c r="F856" i="2"/>
  <c r="G856" i="2"/>
  <c r="H856" i="2"/>
  <c r="I856" i="2"/>
  <c r="J856" i="2"/>
  <c r="K856" i="2"/>
  <c r="B857" i="2"/>
  <c r="C857" i="2"/>
  <c r="D857" i="2"/>
  <c r="E857" i="2"/>
  <c r="F857" i="2"/>
  <c r="G857" i="2"/>
  <c r="H857" i="2"/>
  <c r="I857" i="2"/>
  <c r="J857" i="2"/>
  <c r="K857" i="2"/>
  <c r="B858" i="2"/>
  <c r="C858" i="2"/>
  <c r="D858" i="2"/>
  <c r="E858" i="2"/>
  <c r="F858" i="2"/>
  <c r="G858" i="2"/>
  <c r="H858" i="2"/>
  <c r="I858" i="2"/>
  <c r="J858" i="2"/>
  <c r="K858" i="2"/>
  <c r="B859" i="2"/>
  <c r="C859" i="2"/>
  <c r="D859" i="2"/>
  <c r="E859" i="2"/>
  <c r="F859" i="2"/>
  <c r="G859" i="2"/>
  <c r="H859" i="2"/>
  <c r="I859" i="2"/>
  <c r="J859" i="2"/>
  <c r="K859" i="2"/>
  <c r="B860" i="2"/>
  <c r="C860" i="2"/>
  <c r="D860" i="2"/>
  <c r="E860" i="2"/>
  <c r="F860" i="2"/>
  <c r="G860" i="2"/>
  <c r="H860" i="2"/>
  <c r="I860" i="2"/>
  <c r="J860" i="2"/>
  <c r="K860" i="2"/>
  <c r="B861" i="2"/>
  <c r="C861" i="2"/>
  <c r="D861" i="2"/>
  <c r="E861" i="2"/>
  <c r="F861" i="2"/>
  <c r="G861" i="2"/>
  <c r="H861" i="2"/>
  <c r="I861" i="2"/>
  <c r="J861" i="2"/>
  <c r="K861" i="2"/>
  <c r="B862" i="2"/>
  <c r="C862" i="2"/>
  <c r="D862" i="2"/>
  <c r="E862" i="2"/>
  <c r="F862" i="2"/>
  <c r="G862" i="2"/>
  <c r="H862" i="2"/>
  <c r="I862" i="2"/>
  <c r="J862" i="2"/>
  <c r="K862" i="2"/>
  <c r="B863" i="2"/>
  <c r="C863" i="2"/>
  <c r="D863" i="2"/>
  <c r="E863" i="2"/>
  <c r="F863" i="2"/>
  <c r="G863" i="2"/>
  <c r="H863" i="2"/>
  <c r="I863" i="2"/>
  <c r="J863" i="2"/>
  <c r="K863" i="2"/>
  <c r="B864" i="2"/>
  <c r="C864" i="2"/>
  <c r="D864" i="2"/>
  <c r="E864" i="2"/>
  <c r="F864" i="2"/>
  <c r="G864" i="2"/>
  <c r="H864" i="2"/>
  <c r="I864" i="2"/>
  <c r="J864" i="2"/>
  <c r="K864" i="2"/>
  <c r="B865" i="2"/>
  <c r="C865" i="2"/>
  <c r="D865" i="2"/>
  <c r="E865" i="2"/>
  <c r="F865" i="2"/>
  <c r="G865" i="2"/>
  <c r="H865" i="2"/>
  <c r="I865" i="2"/>
  <c r="J865" i="2"/>
  <c r="K865" i="2"/>
  <c r="B866" i="2"/>
  <c r="C866" i="2"/>
  <c r="D866" i="2"/>
  <c r="E866" i="2"/>
  <c r="F866" i="2"/>
  <c r="G866" i="2"/>
  <c r="H866" i="2"/>
  <c r="I866" i="2"/>
  <c r="J866" i="2"/>
  <c r="K866" i="2"/>
  <c r="B867" i="2"/>
  <c r="C867" i="2"/>
  <c r="D867" i="2"/>
  <c r="E867" i="2"/>
  <c r="F867" i="2"/>
  <c r="G867" i="2"/>
  <c r="H867" i="2"/>
  <c r="I867" i="2"/>
  <c r="J867" i="2"/>
  <c r="K867" i="2"/>
  <c r="B868" i="2"/>
  <c r="C868" i="2"/>
  <c r="D868" i="2"/>
  <c r="E868" i="2"/>
  <c r="F868" i="2"/>
  <c r="G868" i="2"/>
  <c r="H868" i="2"/>
  <c r="I868" i="2"/>
  <c r="J868" i="2"/>
  <c r="K868" i="2"/>
  <c r="B869" i="2"/>
  <c r="C869" i="2"/>
  <c r="D869" i="2"/>
  <c r="E869" i="2"/>
  <c r="F869" i="2"/>
  <c r="G869" i="2"/>
  <c r="H869" i="2"/>
  <c r="I869" i="2"/>
  <c r="J869" i="2"/>
  <c r="K869" i="2"/>
  <c r="B870" i="2"/>
  <c r="C870" i="2"/>
  <c r="D870" i="2"/>
  <c r="E870" i="2"/>
  <c r="F870" i="2"/>
  <c r="G870" i="2"/>
  <c r="H870" i="2"/>
  <c r="I870" i="2"/>
  <c r="J870" i="2"/>
  <c r="K870" i="2"/>
  <c r="B871" i="2"/>
  <c r="C871" i="2"/>
  <c r="D871" i="2"/>
  <c r="E871" i="2"/>
  <c r="F871" i="2"/>
  <c r="G871" i="2"/>
  <c r="H871" i="2"/>
  <c r="I871" i="2"/>
  <c r="J871" i="2"/>
  <c r="K871" i="2"/>
  <c r="B872" i="2"/>
  <c r="C872" i="2"/>
  <c r="D872" i="2"/>
  <c r="E872" i="2"/>
  <c r="F872" i="2"/>
  <c r="G872" i="2"/>
  <c r="H872" i="2"/>
  <c r="I872" i="2"/>
  <c r="J872" i="2"/>
  <c r="K872" i="2"/>
  <c r="B873" i="2"/>
  <c r="C873" i="2"/>
  <c r="D873" i="2"/>
  <c r="E873" i="2"/>
  <c r="F873" i="2"/>
  <c r="G873" i="2"/>
  <c r="H873" i="2"/>
  <c r="I873" i="2"/>
  <c r="J873" i="2"/>
  <c r="K873" i="2"/>
  <c r="B874" i="2"/>
  <c r="C874" i="2"/>
  <c r="D874" i="2"/>
  <c r="E874" i="2"/>
  <c r="F874" i="2"/>
  <c r="G874" i="2"/>
  <c r="H874" i="2"/>
  <c r="I874" i="2"/>
  <c r="J874" i="2"/>
  <c r="K874" i="2"/>
  <c r="B875" i="2"/>
  <c r="C875" i="2"/>
  <c r="D875" i="2"/>
  <c r="E875" i="2"/>
  <c r="F875" i="2"/>
  <c r="G875" i="2"/>
  <c r="H875" i="2"/>
  <c r="I875" i="2"/>
  <c r="J875" i="2"/>
  <c r="K875" i="2"/>
  <c r="B876" i="2"/>
  <c r="C876" i="2"/>
  <c r="D876" i="2"/>
  <c r="E876" i="2"/>
  <c r="F876" i="2"/>
  <c r="G876" i="2"/>
  <c r="H876" i="2"/>
  <c r="I876" i="2"/>
  <c r="J876" i="2"/>
  <c r="K876" i="2"/>
  <c r="B877" i="2"/>
  <c r="C877" i="2"/>
  <c r="D877" i="2"/>
  <c r="E877" i="2"/>
  <c r="F877" i="2"/>
  <c r="G877" i="2"/>
  <c r="H877" i="2"/>
  <c r="I877" i="2"/>
  <c r="J877" i="2"/>
  <c r="K877" i="2"/>
  <c r="B878" i="2"/>
  <c r="C878" i="2"/>
  <c r="D878" i="2"/>
  <c r="E878" i="2"/>
  <c r="F878" i="2"/>
  <c r="G878" i="2"/>
  <c r="H878" i="2"/>
  <c r="I878" i="2"/>
  <c r="J878" i="2"/>
  <c r="K878" i="2"/>
  <c r="B879" i="2"/>
  <c r="C879" i="2"/>
  <c r="D879" i="2"/>
  <c r="E879" i="2"/>
  <c r="F879" i="2"/>
  <c r="G879" i="2"/>
  <c r="H879" i="2"/>
  <c r="I879" i="2"/>
  <c r="J879" i="2"/>
  <c r="K879" i="2"/>
  <c r="B880" i="2"/>
  <c r="C880" i="2"/>
  <c r="D880" i="2"/>
  <c r="E880" i="2"/>
  <c r="F880" i="2"/>
  <c r="G880" i="2"/>
  <c r="H880" i="2"/>
  <c r="I880" i="2"/>
  <c r="J880" i="2"/>
  <c r="K880" i="2"/>
  <c r="B881" i="2"/>
  <c r="C881" i="2"/>
  <c r="D881" i="2"/>
  <c r="E881" i="2"/>
  <c r="F881" i="2"/>
  <c r="G881" i="2"/>
  <c r="H881" i="2"/>
  <c r="I881" i="2"/>
  <c r="J881" i="2"/>
  <c r="K881" i="2"/>
  <c r="B882" i="2"/>
  <c r="C882" i="2"/>
  <c r="D882" i="2"/>
  <c r="E882" i="2"/>
  <c r="F882" i="2"/>
  <c r="G882" i="2"/>
  <c r="H882" i="2"/>
  <c r="I882" i="2"/>
  <c r="J882" i="2"/>
  <c r="K882" i="2"/>
  <c r="B883" i="2"/>
  <c r="C883" i="2"/>
  <c r="D883" i="2"/>
  <c r="E883" i="2"/>
  <c r="F883" i="2"/>
  <c r="G883" i="2"/>
  <c r="H883" i="2"/>
  <c r="I883" i="2"/>
  <c r="J883" i="2"/>
  <c r="K883" i="2"/>
  <c r="B884" i="2"/>
  <c r="C884" i="2"/>
  <c r="D884" i="2"/>
  <c r="E884" i="2"/>
  <c r="F884" i="2"/>
  <c r="G884" i="2"/>
  <c r="H884" i="2"/>
  <c r="I884" i="2"/>
  <c r="J884" i="2"/>
  <c r="K884" i="2"/>
  <c r="B885" i="2"/>
  <c r="C885" i="2"/>
  <c r="D885" i="2"/>
  <c r="E885" i="2"/>
  <c r="F885" i="2"/>
  <c r="G885" i="2"/>
  <c r="H885" i="2"/>
  <c r="I885" i="2"/>
  <c r="J885" i="2"/>
  <c r="K885" i="2"/>
  <c r="B886" i="2"/>
  <c r="C886" i="2"/>
  <c r="D886" i="2"/>
  <c r="E886" i="2"/>
  <c r="F886" i="2"/>
  <c r="G886" i="2"/>
  <c r="H886" i="2"/>
  <c r="I886" i="2"/>
  <c r="J886" i="2"/>
  <c r="K886" i="2"/>
  <c r="B887" i="2"/>
  <c r="C887" i="2"/>
  <c r="D887" i="2"/>
  <c r="E887" i="2"/>
  <c r="F887" i="2"/>
  <c r="G887" i="2"/>
  <c r="H887" i="2"/>
  <c r="I887" i="2"/>
  <c r="J887" i="2"/>
  <c r="K887" i="2"/>
  <c r="B888" i="2"/>
  <c r="C888" i="2"/>
  <c r="D888" i="2"/>
  <c r="E888" i="2"/>
  <c r="F888" i="2"/>
  <c r="G888" i="2"/>
  <c r="H888" i="2"/>
  <c r="I888" i="2"/>
  <c r="J888" i="2"/>
  <c r="K888" i="2"/>
  <c r="B889" i="2"/>
  <c r="C889" i="2"/>
  <c r="D889" i="2"/>
  <c r="E889" i="2"/>
  <c r="F889" i="2"/>
  <c r="G889" i="2"/>
  <c r="H889" i="2"/>
  <c r="I889" i="2"/>
  <c r="J889" i="2"/>
  <c r="K889" i="2"/>
  <c r="B890" i="2"/>
  <c r="C890" i="2"/>
  <c r="D890" i="2"/>
  <c r="E890" i="2"/>
  <c r="F890" i="2"/>
  <c r="G890" i="2"/>
  <c r="H890" i="2"/>
  <c r="I890" i="2"/>
  <c r="J890" i="2"/>
  <c r="K890" i="2"/>
  <c r="B891" i="2"/>
  <c r="C891" i="2"/>
  <c r="D891" i="2"/>
  <c r="E891" i="2"/>
  <c r="F891" i="2"/>
  <c r="G891" i="2"/>
  <c r="H891" i="2"/>
  <c r="I891" i="2"/>
  <c r="J891" i="2"/>
  <c r="K891" i="2"/>
  <c r="B892" i="2"/>
  <c r="C892" i="2"/>
  <c r="D892" i="2"/>
  <c r="E892" i="2"/>
  <c r="F892" i="2"/>
  <c r="G892" i="2"/>
  <c r="H892" i="2"/>
  <c r="I892" i="2"/>
  <c r="J892" i="2"/>
  <c r="K892" i="2"/>
  <c r="B893" i="2"/>
  <c r="C893" i="2"/>
  <c r="D893" i="2"/>
  <c r="E893" i="2"/>
  <c r="F893" i="2"/>
  <c r="G893" i="2"/>
  <c r="H893" i="2"/>
  <c r="I893" i="2"/>
  <c r="J893" i="2"/>
  <c r="K893" i="2"/>
  <c r="B894" i="2"/>
  <c r="C894" i="2"/>
  <c r="D894" i="2"/>
  <c r="E894" i="2"/>
  <c r="F894" i="2"/>
  <c r="G894" i="2"/>
  <c r="H894" i="2"/>
  <c r="I894" i="2"/>
  <c r="J894" i="2"/>
  <c r="K894" i="2"/>
  <c r="B895" i="2"/>
  <c r="C895" i="2"/>
  <c r="D895" i="2"/>
  <c r="E895" i="2"/>
  <c r="F895" i="2"/>
  <c r="G895" i="2"/>
  <c r="H895" i="2"/>
  <c r="I895" i="2"/>
  <c r="J895" i="2"/>
  <c r="K895" i="2"/>
  <c r="B896" i="2"/>
  <c r="C896" i="2"/>
  <c r="D896" i="2"/>
  <c r="E896" i="2"/>
  <c r="F896" i="2"/>
  <c r="G896" i="2"/>
  <c r="H896" i="2"/>
  <c r="I896" i="2"/>
  <c r="J896" i="2"/>
  <c r="K896" i="2"/>
  <c r="B897" i="2"/>
  <c r="C897" i="2"/>
  <c r="D897" i="2"/>
  <c r="E897" i="2"/>
  <c r="F897" i="2"/>
  <c r="G897" i="2"/>
  <c r="H897" i="2"/>
  <c r="I897" i="2"/>
  <c r="J897" i="2"/>
  <c r="K897" i="2"/>
  <c r="B898" i="2"/>
  <c r="C898" i="2"/>
  <c r="D898" i="2"/>
  <c r="E898" i="2"/>
  <c r="F898" i="2"/>
  <c r="G898" i="2"/>
  <c r="H898" i="2"/>
  <c r="I898" i="2"/>
  <c r="J898" i="2"/>
  <c r="K898" i="2"/>
  <c r="B899" i="2"/>
  <c r="C899" i="2"/>
  <c r="D899" i="2"/>
  <c r="E899" i="2"/>
  <c r="F899" i="2"/>
  <c r="G899" i="2"/>
  <c r="H899" i="2"/>
  <c r="I899" i="2"/>
  <c r="J899" i="2"/>
  <c r="K899" i="2"/>
  <c r="B900" i="2"/>
  <c r="C900" i="2"/>
  <c r="D900" i="2"/>
  <c r="E900" i="2"/>
  <c r="F900" i="2"/>
  <c r="G900" i="2"/>
  <c r="H900" i="2"/>
  <c r="I900" i="2"/>
  <c r="J900" i="2"/>
  <c r="K900" i="2"/>
  <c r="B901" i="2"/>
  <c r="C901" i="2"/>
  <c r="D901" i="2"/>
  <c r="E901" i="2"/>
  <c r="F901" i="2"/>
  <c r="G901" i="2"/>
  <c r="H901" i="2"/>
  <c r="I901" i="2"/>
  <c r="J901" i="2"/>
  <c r="K901" i="2"/>
  <c r="B902" i="2"/>
  <c r="C902" i="2"/>
  <c r="D902" i="2"/>
  <c r="E902" i="2"/>
  <c r="F902" i="2"/>
  <c r="G902" i="2"/>
  <c r="H902" i="2"/>
  <c r="I902" i="2"/>
  <c r="J902" i="2"/>
  <c r="K902" i="2"/>
  <c r="B903" i="2"/>
  <c r="C903" i="2"/>
  <c r="D903" i="2"/>
  <c r="E903" i="2"/>
  <c r="F903" i="2"/>
  <c r="G903" i="2"/>
  <c r="H903" i="2"/>
  <c r="I903" i="2"/>
  <c r="J903" i="2"/>
  <c r="K903" i="2"/>
  <c r="B904" i="2"/>
  <c r="C904" i="2"/>
  <c r="D904" i="2"/>
  <c r="E904" i="2"/>
  <c r="F904" i="2"/>
  <c r="G904" i="2"/>
  <c r="H904" i="2"/>
  <c r="I904" i="2"/>
  <c r="J904" i="2"/>
  <c r="K904" i="2"/>
  <c r="B905" i="2"/>
  <c r="C905" i="2"/>
  <c r="D905" i="2"/>
  <c r="E905" i="2"/>
  <c r="F905" i="2"/>
  <c r="G905" i="2"/>
  <c r="H905" i="2"/>
  <c r="I905" i="2"/>
  <c r="J905" i="2"/>
  <c r="K905" i="2"/>
  <c r="B906" i="2"/>
  <c r="C906" i="2"/>
  <c r="D906" i="2"/>
  <c r="E906" i="2"/>
  <c r="F906" i="2"/>
  <c r="G906" i="2"/>
  <c r="H906" i="2"/>
  <c r="I906" i="2"/>
  <c r="J906" i="2"/>
  <c r="K906" i="2"/>
  <c r="B907" i="2"/>
  <c r="C907" i="2"/>
  <c r="D907" i="2"/>
  <c r="E907" i="2"/>
  <c r="F907" i="2"/>
  <c r="G907" i="2"/>
  <c r="H907" i="2"/>
  <c r="I907" i="2"/>
  <c r="J907" i="2"/>
  <c r="K907" i="2"/>
  <c r="B908" i="2"/>
  <c r="C908" i="2"/>
  <c r="D908" i="2"/>
  <c r="E908" i="2"/>
  <c r="F908" i="2"/>
  <c r="G908" i="2"/>
  <c r="H908" i="2"/>
  <c r="I908" i="2"/>
  <c r="J908" i="2"/>
  <c r="K908" i="2"/>
  <c r="B909" i="2"/>
  <c r="C909" i="2"/>
  <c r="D909" i="2"/>
  <c r="E909" i="2"/>
  <c r="F909" i="2"/>
  <c r="G909" i="2"/>
  <c r="H909" i="2"/>
  <c r="I909" i="2"/>
  <c r="J909" i="2"/>
  <c r="K909" i="2"/>
  <c r="B910" i="2"/>
  <c r="C910" i="2"/>
  <c r="D910" i="2"/>
  <c r="E910" i="2"/>
  <c r="F910" i="2"/>
  <c r="G910" i="2"/>
  <c r="H910" i="2"/>
  <c r="I910" i="2"/>
  <c r="J910" i="2"/>
  <c r="K910" i="2"/>
  <c r="B911" i="2"/>
  <c r="C911" i="2"/>
  <c r="D911" i="2"/>
  <c r="E911" i="2"/>
  <c r="F911" i="2"/>
  <c r="G911" i="2"/>
  <c r="H911" i="2"/>
  <c r="I911" i="2"/>
  <c r="J911" i="2"/>
  <c r="K911" i="2"/>
  <c r="B912" i="2"/>
  <c r="C912" i="2"/>
  <c r="D912" i="2"/>
  <c r="E912" i="2"/>
  <c r="F912" i="2"/>
  <c r="G912" i="2"/>
  <c r="H912" i="2"/>
  <c r="I912" i="2"/>
  <c r="J912" i="2"/>
  <c r="K912" i="2"/>
  <c r="B913" i="2"/>
  <c r="C913" i="2"/>
  <c r="D913" i="2"/>
  <c r="E913" i="2"/>
  <c r="F913" i="2"/>
  <c r="G913" i="2"/>
  <c r="H913" i="2"/>
  <c r="I913" i="2"/>
  <c r="J913" i="2"/>
  <c r="K913" i="2"/>
  <c r="B914" i="2"/>
  <c r="C914" i="2"/>
  <c r="D914" i="2"/>
  <c r="E914" i="2"/>
  <c r="F914" i="2"/>
  <c r="G914" i="2"/>
  <c r="H914" i="2"/>
  <c r="I914" i="2"/>
  <c r="J914" i="2"/>
  <c r="K914" i="2"/>
  <c r="B915" i="2"/>
  <c r="C915" i="2"/>
  <c r="D915" i="2"/>
  <c r="E915" i="2"/>
  <c r="F915" i="2"/>
  <c r="G915" i="2"/>
  <c r="H915" i="2"/>
  <c r="I915" i="2"/>
  <c r="J915" i="2"/>
  <c r="K915" i="2"/>
  <c r="B916" i="2"/>
  <c r="C916" i="2"/>
  <c r="D916" i="2"/>
  <c r="E916" i="2"/>
  <c r="F916" i="2"/>
  <c r="G916" i="2"/>
  <c r="H916" i="2"/>
  <c r="I916" i="2"/>
  <c r="J916" i="2"/>
  <c r="K916" i="2"/>
  <c r="B917" i="2"/>
  <c r="C917" i="2"/>
  <c r="D917" i="2"/>
  <c r="E917" i="2"/>
  <c r="F917" i="2"/>
  <c r="G917" i="2"/>
  <c r="H917" i="2"/>
  <c r="I917" i="2"/>
  <c r="J917" i="2"/>
  <c r="K917" i="2"/>
  <c r="B918" i="2"/>
  <c r="C918" i="2"/>
  <c r="D918" i="2"/>
  <c r="E918" i="2"/>
  <c r="F918" i="2"/>
  <c r="G918" i="2"/>
  <c r="H918" i="2"/>
  <c r="I918" i="2"/>
  <c r="J918" i="2"/>
  <c r="K918" i="2"/>
  <c r="B919" i="2"/>
  <c r="C919" i="2"/>
  <c r="D919" i="2"/>
  <c r="E919" i="2"/>
  <c r="F919" i="2"/>
  <c r="G919" i="2"/>
  <c r="H919" i="2"/>
  <c r="I919" i="2"/>
  <c r="J919" i="2"/>
  <c r="K919" i="2"/>
  <c r="B920" i="2"/>
  <c r="C920" i="2"/>
  <c r="D920" i="2"/>
  <c r="E920" i="2"/>
  <c r="F920" i="2"/>
  <c r="G920" i="2"/>
  <c r="H920" i="2"/>
  <c r="I920" i="2"/>
  <c r="J920" i="2"/>
  <c r="K920" i="2"/>
  <c r="B921" i="2"/>
  <c r="C921" i="2"/>
  <c r="D921" i="2"/>
  <c r="E921" i="2"/>
  <c r="F921" i="2"/>
  <c r="G921" i="2"/>
  <c r="H921" i="2"/>
  <c r="I921" i="2"/>
  <c r="J921" i="2"/>
  <c r="K921" i="2"/>
  <c r="B922" i="2"/>
  <c r="C922" i="2"/>
  <c r="D922" i="2"/>
  <c r="E922" i="2"/>
  <c r="F922" i="2"/>
  <c r="G922" i="2"/>
  <c r="H922" i="2"/>
  <c r="I922" i="2"/>
  <c r="J922" i="2"/>
  <c r="K922" i="2"/>
  <c r="B923" i="2"/>
  <c r="C923" i="2"/>
  <c r="D923" i="2"/>
  <c r="E923" i="2"/>
  <c r="F923" i="2"/>
  <c r="G923" i="2"/>
  <c r="H923" i="2"/>
  <c r="I923" i="2"/>
  <c r="J923" i="2"/>
  <c r="K923" i="2"/>
  <c r="B924" i="2"/>
  <c r="C924" i="2"/>
  <c r="D924" i="2"/>
  <c r="E924" i="2"/>
  <c r="F924" i="2"/>
  <c r="G924" i="2"/>
  <c r="H924" i="2"/>
  <c r="I924" i="2"/>
  <c r="J924" i="2"/>
  <c r="K924" i="2"/>
  <c r="B925" i="2"/>
  <c r="C925" i="2"/>
  <c r="D925" i="2"/>
  <c r="E925" i="2"/>
  <c r="F925" i="2"/>
  <c r="G925" i="2"/>
  <c r="H925" i="2"/>
  <c r="I925" i="2"/>
  <c r="J925" i="2"/>
  <c r="K925" i="2"/>
  <c r="B926" i="2"/>
  <c r="C926" i="2"/>
  <c r="D926" i="2"/>
  <c r="E926" i="2"/>
  <c r="F926" i="2"/>
  <c r="G926" i="2"/>
  <c r="H926" i="2"/>
  <c r="I926" i="2"/>
  <c r="J926" i="2"/>
  <c r="K926" i="2"/>
  <c r="B927" i="2"/>
  <c r="C927" i="2"/>
  <c r="D927" i="2"/>
  <c r="E927" i="2"/>
  <c r="F927" i="2"/>
  <c r="G927" i="2"/>
  <c r="H927" i="2"/>
  <c r="I927" i="2"/>
  <c r="J927" i="2"/>
  <c r="K927" i="2"/>
  <c r="B928" i="2"/>
  <c r="C928" i="2"/>
  <c r="D928" i="2"/>
  <c r="E928" i="2"/>
  <c r="F928" i="2"/>
  <c r="G928" i="2"/>
  <c r="H928" i="2"/>
  <c r="I928" i="2"/>
  <c r="J928" i="2"/>
  <c r="K928" i="2"/>
  <c r="B929" i="2"/>
  <c r="C929" i="2"/>
  <c r="D929" i="2"/>
  <c r="E929" i="2"/>
  <c r="F929" i="2"/>
  <c r="G929" i="2"/>
  <c r="H929" i="2"/>
  <c r="I929" i="2"/>
  <c r="J929" i="2"/>
  <c r="K929" i="2"/>
  <c r="B930" i="2"/>
  <c r="C930" i="2"/>
  <c r="D930" i="2"/>
  <c r="E930" i="2"/>
  <c r="F930" i="2"/>
  <c r="G930" i="2"/>
  <c r="H930" i="2"/>
  <c r="I930" i="2"/>
  <c r="J930" i="2"/>
  <c r="K930" i="2"/>
  <c r="B931" i="2"/>
  <c r="C931" i="2"/>
  <c r="D931" i="2"/>
  <c r="E931" i="2"/>
  <c r="F931" i="2"/>
  <c r="G931" i="2"/>
  <c r="H931" i="2"/>
  <c r="I931" i="2"/>
  <c r="J931" i="2"/>
  <c r="K931" i="2"/>
  <c r="B932" i="2"/>
  <c r="C932" i="2"/>
  <c r="D932" i="2"/>
  <c r="E932" i="2"/>
  <c r="F932" i="2"/>
  <c r="G932" i="2"/>
  <c r="H932" i="2"/>
  <c r="I932" i="2"/>
  <c r="J932" i="2"/>
  <c r="K932" i="2"/>
  <c r="B933" i="2"/>
  <c r="C933" i="2"/>
  <c r="D933" i="2"/>
  <c r="E933" i="2"/>
  <c r="F933" i="2"/>
  <c r="G933" i="2"/>
  <c r="H933" i="2"/>
  <c r="I933" i="2"/>
  <c r="J933" i="2"/>
  <c r="K933" i="2"/>
  <c r="B934" i="2"/>
  <c r="C934" i="2"/>
  <c r="D934" i="2"/>
  <c r="E934" i="2"/>
  <c r="F934" i="2"/>
  <c r="G934" i="2"/>
  <c r="H934" i="2"/>
  <c r="I934" i="2"/>
  <c r="J934" i="2"/>
  <c r="K934" i="2"/>
  <c r="B935" i="2"/>
  <c r="C935" i="2"/>
  <c r="D935" i="2"/>
  <c r="E935" i="2"/>
  <c r="F935" i="2"/>
  <c r="G935" i="2"/>
  <c r="H935" i="2"/>
  <c r="I935" i="2"/>
  <c r="J935" i="2"/>
  <c r="K935" i="2"/>
  <c r="B936" i="2"/>
  <c r="C936" i="2"/>
  <c r="D936" i="2"/>
  <c r="E936" i="2"/>
  <c r="F936" i="2"/>
  <c r="G936" i="2"/>
  <c r="H936" i="2"/>
  <c r="I936" i="2"/>
  <c r="J936" i="2"/>
  <c r="K936" i="2"/>
  <c r="B937" i="2"/>
  <c r="C937" i="2"/>
  <c r="D937" i="2"/>
  <c r="E937" i="2"/>
  <c r="F937" i="2"/>
  <c r="G937" i="2"/>
  <c r="H937" i="2"/>
  <c r="I937" i="2"/>
  <c r="J937" i="2"/>
  <c r="K937" i="2"/>
  <c r="B938" i="2"/>
  <c r="C938" i="2"/>
  <c r="D938" i="2"/>
  <c r="E938" i="2"/>
  <c r="F938" i="2"/>
  <c r="G938" i="2"/>
  <c r="H938" i="2"/>
  <c r="I938" i="2"/>
  <c r="J938" i="2"/>
  <c r="K938" i="2"/>
  <c r="B939" i="2"/>
  <c r="C939" i="2"/>
  <c r="D939" i="2"/>
  <c r="E939" i="2"/>
  <c r="F939" i="2"/>
  <c r="G939" i="2"/>
  <c r="H939" i="2"/>
  <c r="I939" i="2"/>
  <c r="J939" i="2"/>
  <c r="K939" i="2"/>
  <c r="B940" i="2"/>
  <c r="C940" i="2"/>
  <c r="D940" i="2"/>
  <c r="E940" i="2"/>
  <c r="F940" i="2"/>
  <c r="G940" i="2"/>
  <c r="H940" i="2"/>
  <c r="I940" i="2"/>
  <c r="J940" i="2"/>
  <c r="K940" i="2"/>
  <c r="B941" i="2"/>
  <c r="C941" i="2"/>
  <c r="D941" i="2"/>
  <c r="E941" i="2"/>
  <c r="F941" i="2"/>
  <c r="G941" i="2"/>
  <c r="H941" i="2"/>
  <c r="I941" i="2"/>
  <c r="J941" i="2"/>
  <c r="K941" i="2"/>
  <c r="B942" i="2"/>
  <c r="C942" i="2"/>
  <c r="D942" i="2"/>
  <c r="E942" i="2"/>
  <c r="F942" i="2"/>
  <c r="G942" i="2"/>
  <c r="H942" i="2"/>
  <c r="I942" i="2"/>
  <c r="J942" i="2"/>
  <c r="K942" i="2"/>
  <c r="B943" i="2"/>
  <c r="C943" i="2"/>
  <c r="D943" i="2"/>
  <c r="E943" i="2"/>
  <c r="F943" i="2"/>
  <c r="G943" i="2"/>
  <c r="H943" i="2"/>
  <c r="I943" i="2"/>
  <c r="J943" i="2"/>
  <c r="K943" i="2"/>
  <c r="B944" i="2"/>
  <c r="C944" i="2"/>
  <c r="D944" i="2"/>
  <c r="E944" i="2"/>
  <c r="F944" i="2"/>
  <c r="G944" i="2"/>
  <c r="H944" i="2"/>
  <c r="I944" i="2"/>
  <c r="J944" i="2"/>
  <c r="K944" i="2"/>
  <c r="B945" i="2"/>
  <c r="C945" i="2"/>
  <c r="D945" i="2"/>
  <c r="E945" i="2"/>
  <c r="F945" i="2"/>
  <c r="G945" i="2"/>
  <c r="H945" i="2"/>
  <c r="I945" i="2"/>
  <c r="J945" i="2"/>
  <c r="K945" i="2"/>
  <c r="B946" i="2"/>
  <c r="C946" i="2"/>
  <c r="D946" i="2"/>
  <c r="E946" i="2"/>
  <c r="F946" i="2"/>
  <c r="G946" i="2"/>
  <c r="H946" i="2"/>
  <c r="I946" i="2"/>
  <c r="J946" i="2"/>
  <c r="K946" i="2"/>
  <c r="B947" i="2"/>
  <c r="C947" i="2"/>
  <c r="D947" i="2"/>
  <c r="E947" i="2"/>
  <c r="F947" i="2"/>
  <c r="G947" i="2"/>
  <c r="H947" i="2"/>
  <c r="I947" i="2"/>
  <c r="J947" i="2"/>
  <c r="K947" i="2"/>
  <c r="B948" i="2"/>
  <c r="C948" i="2"/>
  <c r="D948" i="2"/>
  <c r="E948" i="2"/>
  <c r="F948" i="2"/>
  <c r="G948" i="2"/>
  <c r="H948" i="2"/>
  <c r="I948" i="2"/>
  <c r="J948" i="2"/>
  <c r="K948" i="2"/>
  <c r="B949" i="2"/>
  <c r="C949" i="2"/>
  <c r="D949" i="2"/>
  <c r="E949" i="2"/>
  <c r="F949" i="2"/>
  <c r="G949" i="2"/>
  <c r="H949" i="2"/>
  <c r="I949" i="2"/>
  <c r="J949" i="2"/>
  <c r="K949" i="2"/>
  <c r="B950" i="2"/>
  <c r="C950" i="2"/>
  <c r="D950" i="2"/>
  <c r="E950" i="2"/>
  <c r="F950" i="2"/>
  <c r="G950" i="2"/>
  <c r="H950" i="2"/>
  <c r="I950" i="2"/>
  <c r="J950" i="2"/>
  <c r="K950" i="2"/>
  <c r="B951" i="2"/>
  <c r="C951" i="2"/>
  <c r="D951" i="2"/>
  <c r="E951" i="2"/>
  <c r="F951" i="2"/>
  <c r="G951" i="2"/>
  <c r="H951" i="2"/>
  <c r="I951" i="2"/>
  <c r="J951" i="2"/>
  <c r="K951" i="2"/>
  <c r="B952" i="2"/>
  <c r="C952" i="2"/>
  <c r="D952" i="2"/>
  <c r="E952" i="2"/>
  <c r="F952" i="2"/>
  <c r="G952" i="2"/>
  <c r="H952" i="2"/>
  <c r="I952" i="2"/>
  <c r="J952" i="2"/>
  <c r="K952" i="2"/>
  <c r="B953" i="2"/>
  <c r="C953" i="2"/>
  <c r="D953" i="2"/>
  <c r="E953" i="2"/>
  <c r="F953" i="2"/>
  <c r="G953" i="2"/>
  <c r="H953" i="2"/>
  <c r="I953" i="2"/>
  <c r="J953" i="2"/>
  <c r="K953" i="2"/>
  <c r="B954" i="2"/>
  <c r="C954" i="2"/>
  <c r="D954" i="2"/>
  <c r="E954" i="2"/>
  <c r="F954" i="2"/>
  <c r="G954" i="2"/>
  <c r="H954" i="2"/>
  <c r="I954" i="2"/>
  <c r="J954" i="2"/>
  <c r="K954" i="2"/>
  <c r="B955" i="2"/>
  <c r="C955" i="2"/>
  <c r="D955" i="2"/>
  <c r="E955" i="2"/>
  <c r="F955" i="2"/>
  <c r="G955" i="2"/>
  <c r="H955" i="2"/>
  <c r="I955" i="2"/>
  <c r="J955" i="2"/>
  <c r="K955" i="2"/>
  <c r="B956" i="2"/>
  <c r="C956" i="2"/>
  <c r="D956" i="2"/>
  <c r="E956" i="2"/>
  <c r="F956" i="2"/>
  <c r="G956" i="2"/>
  <c r="H956" i="2"/>
  <c r="I956" i="2"/>
  <c r="J956" i="2"/>
  <c r="K956" i="2"/>
  <c r="B957" i="2"/>
  <c r="C957" i="2"/>
  <c r="D957" i="2"/>
  <c r="E957" i="2"/>
  <c r="F957" i="2"/>
  <c r="G957" i="2"/>
  <c r="H957" i="2"/>
  <c r="I957" i="2"/>
  <c r="J957" i="2"/>
  <c r="K957" i="2"/>
  <c r="B958" i="2"/>
  <c r="C958" i="2"/>
  <c r="D958" i="2"/>
  <c r="E958" i="2"/>
  <c r="F958" i="2"/>
  <c r="G958" i="2"/>
  <c r="H958" i="2"/>
  <c r="I958" i="2"/>
  <c r="J958" i="2"/>
  <c r="K958" i="2"/>
  <c r="B959" i="2"/>
  <c r="C959" i="2"/>
  <c r="D959" i="2"/>
  <c r="E959" i="2"/>
  <c r="F959" i="2"/>
  <c r="G959" i="2"/>
  <c r="H959" i="2"/>
  <c r="I959" i="2"/>
  <c r="J959" i="2"/>
  <c r="K959" i="2"/>
  <c r="B960" i="2"/>
  <c r="C960" i="2"/>
  <c r="D960" i="2"/>
  <c r="E960" i="2"/>
  <c r="F960" i="2"/>
  <c r="G960" i="2"/>
  <c r="H960" i="2"/>
  <c r="I960" i="2"/>
  <c r="J960" i="2"/>
  <c r="K960" i="2"/>
  <c r="B961" i="2"/>
  <c r="C961" i="2"/>
  <c r="D961" i="2"/>
  <c r="E961" i="2"/>
  <c r="F961" i="2"/>
  <c r="G961" i="2"/>
  <c r="H961" i="2"/>
  <c r="I961" i="2"/>
  <c r="J961" i="2"/>
  <c r="K961" i="2"/>
  <c r="B962" i="2"/>
  <c r="C962" i="2"/>
  <c r="D962" i="2"/>
  <c r="E962" i="2"/>
  <c r="F962" i="2"/>
  <c r="G962" i="2"/>
  <c r="H962" i="2"/>
  <c r="I962" i="2"/>
  <c r="J962" i="2"/>
  <c r="K962" i="2"/>
  <c r="B963" i="2"/>
  <c r="C963" i="2"/>
  <c r="D963" i="2"/>
  <c r="E963" i="2"/>
  <c r="F963" i="2"/>
  <c r="G963" i="2"/>
  <c r="H963" i="2"/>
  <c r="I963" i="2"/>
  <c r="J963" i="2"/>
  <c r="K963" i="2"/>
  <c r="B964" i="2"/>
  <c r="C964" i="2"/>
  <c r="D964" i="2"/>
  <c r="E964" i="2"/>
  <c r="F964" i="2"/>
  <c r="G964" i="2"/>
  <c r="H964" i="2"/>
  <c r="I964" i="2"/>
  <c r="J964" i="2"/>
  <c r="K964" i="2"/>
  <c r="B965" i="2"/>
  <c r="C965" i="2"/>
  <c r="D965" i="2"/>
  <c r="E965" i="2"/>
  <c r="F965" i="2"/>
  <c r="G965" i="2"/>
  <c r="H965" i="2"/>
  <c r="I965" i="2"/>
  <c r="J965" i="2"/>
  <c r="K965" i="2"/>
  <c r="B966" i="2"/>
  <c r="C966" i="2"/>
  <c r="D966" i="2"/>
  <c r="E966" i="2"/>
  <c r="F966" i="2"/>
  <c r="G966" i="2"/>
  <c r="H966" i="2"/>
  <c r="I966" i="2"/>
  <c r="J966" i="2"/>
  <c r="K966" i="2"/>
  <c r="B967" i="2"/>
  <c r="C967" i="2"/>
  <c r="D967" i="2"/>
  <c r="E967" i="2"/>
  <c r="F967" i="2"/>
  <c r="G967" i="2"/>
  <c r="H967" i="2"/>
  <c r="I967" i="2"/>
  <c r="J967" i="2"/>
  <c r="K967" i="2"/>
  <c r="B968" i="2"/>
  <c r="C968" i="2"/>
  <c r="D968" i="2"/>
  <c r="E968" i="2"/>
  <c r="F968" i="2"/>
  <c r="G968" i="2"/>
  <c r="H968" i="2"/>
  <c r="I968" i="2"/>
  <c r="J968" i="2"/>
  <c r="K968" i="2"/>
  <c r="B969" i="2"/>
  <c r="C969" i="2"/>
  <c r="D969" i="2"/>
  <c r="E969" i="2"/>
  <c r="F969" i="2"/>
  <c r="G969" i="2"/>
  <c r="H969" i="2"/>
  <c r="I969" i="2"/>
  <c r="J969" i="2"/>
  <c r="K969" i="2"/>
  <c r="B970" i="2"/>
  <c r="C970" i="2"/>
  <c r="D970" i="2"/>
  <c r="E970" i="2"/>
  <c r="F970" i="2"/>
  <c r="G970" i="2"/>
  <c r="H970" i="2"/>
  <c r="I970" i="2"/>
  <c r="J970" i="2"/>
  <c r="K970" i="2"/>
  <c r="B971" i="2"/>
  <c r="C971" i="2"/>
  <c r="D971" i="2"/>
  <c r="E971" i="2"/>
  <c r="F971" i="2"/>
  <c r="G971" i="2"/>
  <c r="H971" i="2"/>
  <c r="I971" i="2"/>
  <c r="J971" i="2"/>
  <c r="K971" i="2"/>
  <c r="B972" i="2"/>
  <c r="C972" i="2"/>
  <c r="D972" i="2"/>
  <c r="E972" i="2"/>
  <c r="F972" i="2"/>
  <c r="G972" i="2"/>
  <c r="H972" i="2"/>
  <c r="I972" i="2"/>
  <c r="J972" i="2"/>
  <c r="K972" i="2"/>
  <c r="B973" i="2"/>
  <c r="C973" i="2"/>
  <c r="D973" i="2"/>
  <c r="E973" i="2"/>
  <c r="F973" i="2"/>
  <c r="G973" i="2"/>
  <c r="H973" i="2"/>
  <c r="I973" i="2"/>
  <c r="J973" i="2"/>
  <c r="K973" i="2"/>
  <c r="B974" i="2"/>
  <c r="C974" i="2"/>
  <c r="D974" i="2"/>
  <c r="E974" i="2"/>
  <c r="F974" i="2"/>
  <c r="G974" i="2"/>
  <c r="H974" i="2"/>
  <c r="I974" i="2"/>
  <c r="J974" i="2"/>
  <c r="K974" i="2"/>
  <c r="B975" i="2"/>
  <c r="C975" i="2"/>
  <c r="D975" i="2"/>
  <c r="E975" i="2"/>
  <c r="F975" i="2"/>
  <c r="G975" i="2"/>
  <c r="H975" i="2"/>
  <c r="I975" i="2"/>
  <c r="J975" i="2"/>
  <c r="K975" i="2"/>
  <c r="B976" i="2"/>
  <c r="C976" i="2"/>
  <c r="D976" i="2"/>
  <c r="E976" i="2"/>
  <c r="F976" i="2"/>
  <c r="G976" i="2"/>
  <c r="H976" i="2"/>
  <c r="I976" i="2"/>
  <c r="J976" i="2"/>
  <c r="K976" i="2"/>
  <c r="B977" i="2"/>
  <c r="C977" i="2"/>
  <c r="D977" i="2"/>
  <c r="E977" i="2"/>
  <c r="F977" i="2"/>
  <c r="G977" i="2"/>
  <c r="H977" i="2"/>
  <c r="I977" i="2"/>
  <c r="J977" i="2"/>
  <c r="K977" i="2"/>
  <c r="B978" i="2"/>
  <c r="C978" i="2"/>
  <c r="D978" i="2"/>
  <c r="E978" i="2"/>
  <c r="F978" i="2"/>
  <c r="G978" i="2"/>
  <c r="H978" i="2"/>
  <c r="I978" i="2"/>
  <c r="J978" i="2"/>
  <c r="K978" i="2"/>
  <c r="B979" i="2"/>
  <c r="C979" i="2"/>
  <c r="D979" i="2"/>
  <c r="E979" i="2"/>
  <c r="F979" i="2"/>
  <c r="G979" i="2"/>
  <c r="H979" i="2"/>
  <c r="I979" i="2"/>
  <c r="J979" i="2"/>
  <c r="K979" i="2"/>
  <c r="B980" i="2"/>
  <c r="C980" i="2"/>
  <c r="D980" i="2"/>
  <c r="E980" i="2"/>
  <c r="F980" i="2"/>
  <c r="G980" i="2"/>
  <c r="H980" i="2"/>
  <c r="I980" i="2"/>
  <c r="J980" i="2"/>
  <c r="K980" i="2"/>
  <c r="B981" i="2"/>
  <c r="C981" i="2"/>
  <c r="D981" i="2"/>
  <c r="E981" i="2"/>
  <c r="F981" i="2"/>
  <c r="G981" i="2"/>
  <c r="H981" i="2"/>
  <c r="I981" i="2"/>
  <c r="J981" i="2"/>
  <c r="K981" i="2"/>
  <c r="B982" i="2"/>
  <c r="C982" i="2"/>
  <c r="D982" i="2"/>
  <c r="E982" i="2"/>
  <c r="F982" i="2"/>
  <c r="G982" i="2"/>
  <c r="H982" i="2"/>
  <c r="I982" i="2"/>
  <c r="J982" i="2"/>
  <c r="K982" i="2"/>
  <c r="B983" i="2"/>
  <c r="C983" i="2"/>
  <c r="D983" i="2"/>
  <c r="E983" i="2"/>
  <c r="F983" i="2"/>
  <c r="G983" i="2"/>
  <c r="H983" i="2"/>
  <c r="I983" i="2"/>
  <c r="J983" i="2"/>
  <c r="K983" i="2"/>
  <c r="B984" i="2"/>
  <c r="C984" i="2"/>
  <c r="D984" i="2"/>
  <c r="E984" i="2"/>
  <c r="F984" i="2"/>
  <c r="G984" i="2"/>
  <c r="H984" i="2"/>
  <c r="I984" i="2"/>
  <c r="J984" i="2"/>
  <c r="K984" i="2"/>
  <c r="B985" i="2"/>
  <c r="C985" i="2"/>
  <c r="D985" i="2"/>
  <c r="E985" i="2"/>
  <c r="F985" i="2"/>
  <c r="G985" i="2"/>
  <c r="H985" i="2"/>
  <c r="I985" i="2"/>
  <c r="J985" i="2"/>
  <c r="K985" i="2"/>
  <c r="B986" i="2"/>
  <c r="C986" i="2"/>
  <c r="D986" i="2"/>
  <c r="E986" i="2"/>
  <c r="F986" i="2"/>
  <c r="G986" i="2"/>
  <c r="H986" i="2"/>
  <c r="I986" i="2"/>
  <c r="J986" i="2"/>
  <c r="K986" i="2"/>
  <c r="B987" i="2"/>
  <c r="C987" i="2"/>
  <c r="D987" i="2"/>
  <c r="E987" i="2"/>
  <c r="F987" i="2"/>
  <c r="G987" i="2"/>
  <c r="H987" i="2"/>
  <c r="I987" i="2"/>
  <c r="J987" i="2"/>
  <c r="K987" i="2"/>
  <c r="B988" i="2"/>
  <c r="C988" i="2"/>
  <c r="D988" i="2"/>
  <c r="E988" i="2"/>
  <c r="F988" i="2"/>
  <c r="G988" i="2"/>
  <c r="H988" i="2"/>
  <c r="I988" i="2"/>
  <c r="J988" i="2"/>
  <c r="K988" i="2"/>
  <c r="B989" i="2"/>
  <c r="C989" i="2"/>
  <c r="D989" i="2"/>
  <c r="E989" i="2"/>
  <c r="F989" i="2"/>
  <c r="G989" i="2"/>
  <c r="H989" i="2"/>
  <c r="I989" i="2"/>
  <c r="J989" i="2"/>
  <c r="K989" i="2"/>
  <c r="B990" i="2"/>
  <c r="C990" i="2"/>
  <c r="D990" i="2"/>
  <c r="E990" i="2"/>
  <c r="F990" i="2"/>
  <c r="G990" i="2"/>
  <c r="H990" i="2"/>
  <c r="I990" i="2"/>
  <c r="J990" i="2"/>
  <c r="K990" i="2"/>
  <c r="B991" i="2"/>
  <c r="C991" i="2"/>
  <c r="D991" i="2"/>
  <c r="E991" i="2"/>
  <c r="F991" i="2"/>
  <c r="G991" i="2"/>
  <c r="H991" i="2"/>
  <c r="I991" i="2"/>
  <c r="J991" i="2"/>
  <c r="K991" i="2"/>
  <c r="B992" i="2"/>
  <c r="C992" i="2"/>
  <c r="D992" i="2"/>
  <c r="E992" i="2"/>
  <c r="F992" i="2"/>
  <c r="G992" i="2"/>
  <c r="H992" i="2"/>
  <c r="I992" i="2"/>
  <c r="J992" i="2"/>
  <c r="K992" i="2"/>
  <c r="B993" i="2"/>
  <c r="C993" i="2"/>
  <c r="D993" i="2"/>
  <c r="E993" i="2"/>
  <c r="F993" i="2"/>
  <c r="G993" i="2"/>
  <c r="H993" i="2"/>
  <c r="I993" i="2"/>
  <c r="J993" i="2"/>
  <c r="K993" i="2"/>
  <c r="B994" i="2"/>
  <c r="C994" i="2"/>
  <c r="D994" i="2"/>
  <c r="E994" i="2"/>
  <c r="F994" i="2"/>
  <c r="G994" i="2"/>
  <c r="H994" i="2"/>
  <c r="I994" i="2"/>
  <c r="J994" i="2"/>
  <c r="K994" i="2"/>
  <c r="B995" i="2"/>
  <c r="C995" i="2"/>
  <c r="D995" i="2"/>
  <c r="E995" i="2"/>
  <c r="F995" i="2"/>
  <c r="G995" i="2"/>
  <c r="H995" i="2"/>
  <c r="I995" i="2"/>
  <c r="J995" i="2"/>
  <c r="K995" i="2"/>
  <c r="B996" i="2"/>
  <c r="C996" i="2"/>
  <c r="D996" i="2"/>
  <c r="E996" i="2"/>
  <c r="F996" i="2"/>
  <c r="G996" i="2"/>
  <c r="H996" i="2"/>
  <c r="I996" i="2"/>
  <c r="J996" i="2"/>
  <c r="K996" i="2"/>
  <c r="B997" i="2"/>
  <c r="C997" i="2"/>
  <c r="D997" i="2"/>
  <c r="E997" i="2"/>
  <c r="F997" i="2"/>
  <c r="G997" i="2"/>
  <c r="H997" i="2"/>
  <c r="I997" i="2"/>
  <c r="J997" i="2"/>
  <c r="K997" i="2"/>
  <c r="B998" i="2"/>
  <c r="C998" i="2"/>
  <c r="D998" i="2"/>
  <c r="E998" i="2"/>
  <c r="F998" i="2"/>
  <c r="G998" i="2"/>
  <c r="H998" i="2"/>
  <c r="I998" i="2"/>
  <c r="J998" i="2"/>
  <c r="K998" i="2"/>
  <c r="B999" i="2"/>
  <c r="C999" i="2"/>
  <c r="D999" i="2"/>
  <c r="E999" i="2"/>
  <c r="F999" i="2"/>
  <c r="G999" i="2"/>
  <c r="H999" i="2"/>
  <c r="I999" i="2"/>
  <c r="J999" i="2"/>
  <c r="K999" i="2"/>
  <c r="B1000" i="2"/>
  <c r="C1000" i="2"/>
  <c r="D1000" i="2"/>
  <c r="E1000" i="2"/>
  <c r="F1000" i="2"/>
  <c r="G1000" i="2"/>
  <c r="H1000" i="2"/>
  <c r="I1000" i="2"/>
  <c r="J1000" i="2"/>
  <c r="K1000" i="2"/>
  <c r="B1001" i="2"/>
  <c r="C1001" i="2"/>
  <c r="D1001" i="2"/>
  <c r="E1001" i="2"/>
  <c r="F1001" i="2"/>
  <c r="G1001" i="2"/>
  <c r="H1001" i="2"/>
  <c r="I1001" i="2"/>
  <c r="J1001" i="2"/>
  <c r="K1001" i="2"/>
  <c r="B1002" i="2"/>
  <c r="C1002" i="2"/>
  <c r="D1002" i="2"/>
  <c r="E1002" i="2"/>
  <c r="F1002" i="2"/>
  <c r="G1002" i="2"/>
  <c r="H1002" i="2"/>
  <c r="I1002" i="2"/>
  <c r="J1002" i="2"/>
  <c r="K1002" i="2"/>
  <c r="B1003" i="2"/>
  <c r="C1003" i="2"/>
  <c r="D1003" i="2"/>
  <c r="E1003" i="2"/>
  <c r="F1003" i="2"/>
  <c r="G1003" i="2"/>
  <c r="H1003" i="2"/>
  <c r="I1003" i="2"/>
  <c r="J1003" i="2"/>
  <c r="K1003" i="2"/>
  <c r="B1004" i="2"/>
  <c r="C1004" i="2"/>
  <c r="D1004" i="2"/>
  <c r="E1004" i="2"/>
  <c r="F1004" i="2"/>
  <c r="G1004" i="2"/>
  <c r="H1004" i="2"/>
  <c r="I1004" i="2"/>
  <c r="J1004" i="2"/>
  <c r="K1004" i="2"/>
  <c r="B1005" i="2"/>
  <c r="C1005" i="2"/>
  <c r="D1005" i="2"/>
  <c r="E1005" i="2"/>
  <c r="F1005" i="2"/>
  <c r="G1005" i="2"/>
  <c r="H1005" i="2"/>
  <c r="I1005" i="2"/>
  <c r="J1005" i="2"/>
  <c r="K1005" i="2"/>
  <c r="B1006" i="2"/>
  <c r="C1006" i="2"/>
  <c r="D1006" i="2"/>
  <c r="E1006" i="2"/>
  <c r="F1006" i="2"/>
  <c r="G1006" i="2"/>
  <c r="H1006" i="2"/>
  <c r="I1006" i="2"/>
  <c r="J1006" i="2"/>
  <c r="K1006" i="2"/>
  <c r="B1007" i="2"/>
  <c r="C1007" i="2"/>
  <c r="D1007" i="2"/>
  <c r="E1007" i="2"/>
  <c r="F1007" i="2"/>
  <c r="G1007" i="2"/>
  <c r="H1007" i="2"/>
  <c r="I1007" i="2"/>
  <c r="J1007" i="2"/>
  <c r="K1007" i="2"/>
  <c r="B1008" i="2"/>
  <c r="C1008" i="2"/>
  <c r="D1008" i="2"/>
  <c r="E1008" i="2"/>
  <c r="F1008" i="2"/>
  <c r="G1008" i="2"/>
  <c r="H1008" i="2"/>
  <c r="I1008" i="2"/>
  <c r="J1008" i="2"/>
  <c r="K1008" i="2"/>
  <c r="B1009" i="2"/>
  <c r="C1009" i="2"/>
  <c r="D1009" i="2"/>
  <c r="E1009" i="2"/>
  <c r="F1009" i="2"/>
  <c r="G1009" i="2"/>
  <c r="H1009" i="2"/>
  <c r="I1009" i="2"/>
  <c r="J1009" i="2"/>
  <c r="K1009" i="2"/>
  <c r="B1010" i="2"/>
  <c r="C1010" i="2"/>
  <c r="D1010" i="2"/>
  <c r="E1010" i="2"/>
  <c r="F1010" i="2"/>
  <c r="G1010" i="2"/>
  <c r="H1010" i="2"/>
  <c r="I1010" i="2"/>
  <c r="J1010" i="2"/>
  <c r="K1010" i="2"/>
  <c r="B1011" i="2"/>
  <c r="C1011" i="2"/>
  <c r="D1011" i="2"/>
  <c r="E1011" i="2"/>
  <c r="F1011" i="2"/>
  <c r="G1011" i="2"/>
  <c r="H1011" i="2"/>
  <c r="I1011" i="2"/>
  <c r="J1011" i="2"/>
  <c r="K1011" i="2"/>
  <c r="B1012" i="2"/>
  <c r="C1012" i="2"/>
  <c r="D1012" i="2"/>
  <c r="E1012" i="2"/>
  <c r="F1012" i="2"/>
  <c r="G1012" i="2"/>
  <c r="H1012" i="2"/>
  <c r="I1012" i="2"/>
  <c r="J1012" i="2"/>
  <c r="K1012" i="2"/>
  <c r="B1013" i="2"/>
  <c r="C1013" i="2"/>
  <c r="D1013" i="2"/>
  <c r="E1013" i="2"/>
  <c r="F1013" i="2"/>
  <c r="G1013" i="2"/>
  <c r="H1013" i="2"/>
  <c r="I1013" i="2"/>
  <c r="J1013" i="2"/>
  <c r="K1013" i="2"/>
  <c r="B1014" i="2"/>
  <c r="C1014" i="2"/>
  <c r="D1014" i="2"/>
  <c r="E1014" i="2"/>
  <c r="F1014" i="2"/>
  <c r="G1014" i="2"/>
  <c r="H1014" i="2"/>
  <c r="I1014" i="2"/>
  <c r="J1014" i="2"/>
  <c r="K1014" i="2"/>
  <c r="B1015" i="2"/>
  <c r="C1015" i="2"/>
  <c r="D1015" i="2"/>
  <c r="E1015" i="2"/>
  <c r="F1015" i="2"/>
  <c r="G1015" i="2"/>
  <c r="H1015" i="2"/>
  <c r="I1015" i="2"/>
  <c r="J1015" i="2"/>
  <c r="K1015" i="2"/>
  <c r="B1016" i="2"/>
  <c r="C1016" i="2"/>
  <c r="D1016" i="2"/>
  <c r="E1016" i="2"/>
  <c r="F1016" i="2"/>
  <c r="G1016" i="2"/>
  <c r="H1016" i="2"/>
  <c r="I1016" i="2"/>
  <c r="J1016" i="2"/>
  <c r="K1016" i="2"/>
  <c r="B1017" i="2"/>
  <c r="C1017" i="2"/>
  <c r="D1017" i="2"/>
  <c r="E1017" i="2"/>
  <c r="F1017" i="2"/>
  <c r="G1017" i="2"/>
  <c r="H1017" i="2"/>
  <c r="I1017" i="2"/>
  <c r="J1017" i="2"/>
  <c r="K1017" i="2"/>
  <c r="B1018" i="2"/>
  <c r="C1018" i="2"/>
  <c r="D1018" i="2"/>
  <c r="E1018" i="2"/>
  <c r="F1018" i="2"/>
  <c r="G1018" i="2"/>
  <c r="H1018" i="2"/>
  <c r="I1018" i="2"/>
  <c r="J1018" i="2"/>
  <c r="K1018" i="2"/>
  <c r="B1019" i="2"/>
  <c r="C1019" i="2"/>
  <c r="D1019" i="2"/>
  <c r="E1019" i="2"/>
  <c r="F1019" i="2"/>
  <c r="G1019" i="2"/>
  <c r="H1019" i="2"/>
  <c r="I1019" i="2"/>
  <c r="J1019" i="2"/>
  <c r="K1019" i="2"/>
  <c r="B1020" i="2"/>
  <c r="C1020" i="2"/>
  <c r="D1020" i="2"/>
  <c r="E1020" i="2"/>
  <c r="F1020" i="2"/>
  <c r="G1020" i="2"/>
  <c r="H1020" i="2"/>
  <c r="I1020" i="2"/>
  <c r="J1020" i="2"/>
  <c r="K1020" i="2"/>
  <c r="B1021" i="2"/>
  <c r="C1021" i="2"/>
  <c r="D1021" i="2"/>
  <c r="E1021" i="2"/>
  <c r="F1021" i="2"/>
  <c r="G1021" i="2"/>
  <c r="H1021" i="2"/>
  <c r="I1021" i="2"/>
  <c r="J1021" i="2"/>
  <c r="K1021" i="2"/>
  <c r="B1022" i="2"/>
  <c r="C1022" i="2"/>
  <c r="D1022" i="2"/>
  <c r="E1022" i="2"/>
  <c r="F1022" i="2"/>
  <c r="G1022" i="2"/>
  <c r="H1022" i="2"/>
  <c r="I1022" i="2"/>
  <c r="J1022" i="2"/>
  <c r="K1022" i="2"/>
  <c r="B1023" i="2"/>
  <c r="C1023" i="2"/>
  <c r="D1023" i="2"/>
  <c r="E1023" i="2"/>
  <c r="F1023" i="2"/>
  <c r="G1023" i="2"/>
  <c r="H1023" i="2"/>
  <c r="I1023" i="2"/>
  <c r="J1023" i="2"/>
  <c r="K1023" i="2"/>
  <c r="B1024" i="2"/>
  <c r="C1024" i="2"/>
  <c r="D1024" i="2"/>
  <c r="E1024" i="2"/>
  <c r="F1024" i="2"/>
  <c r="G1024" i="2"/>
  <c r="H1024" i="2"/>
  <c r="I1024" i="2"/>
  <c r="J1024" i="2"/>
  <c r="K1024" i="2"/>
  <c r="B1025" i="2"/>
  <c r="C1025" i="2"/>
  <c r="D1025" i="2"/>
  <c r="E1025" i="2"/>
  <c r="F1025" i="2"/>
  <c r="G1025" i="2"/>
  <c r="H1025" i="2"/>
  <c r="I1025" i="2"/>
  <c r="J1025" i="2"/>
  <c r="K1025" i="2"/>
  <c r="B1026" i="2"/>
  <c r="C1026" i="2"/>
  <c r="D1026" i="2"/>
  <c r="E1026" i="2"/>
  <c r="F1026" i="2"/>
  <c r="G1026" i="2"/>
  <c r="H1026" i="2"/>
  <c r="I1026" i="2"/>
  <c r="J1026" i="2"/>
  <c r="K1026" i="2"/>
  <c r="B1027" i="2"/>
  <c r="C1027" i="2"/>
  <c r="D1027" i="2"/>
  <c r="E1027" i="2"/>
  <c r="F1027" i="2"/>
  <c r="G1027" i="2"/>
  <c r="H1027" i="2"/>
  <c r="I1027" i="2"/>
  <c r="J1027" i="2"/>
  <c r="K1027" i="2"/>
  <c r="B1028" i="2"/>
  <c r="C1028" i="2"/>
  <c r="D1028" i="2"/>
  <c r="E1028" i="2"/>
  <c r="F1028" i="2"/>
  <c r="G1028" i="2"/>
  <c r="H1028" i="2"/>
  <c r="I1028" i="2"/>
  <c r="J1028" i="2"/>
  <c r="K1028" i="2"/>
  <c r="B1029" i="2"/>
  <c r="C1029" i="2"/>
  <c r="D1029" i="2"/>
  <c r="E1029" i="2"/>
  <c r="F1029" i="2"/>
  <c r="G1029" i="2"/>
  <c r="H1029" i="2"/>
  <c r="I1029" i="2"/>
  <c r="J1029" i="2"/>
  <c r="K1029" i="2"/>
  <c r="B1030" i="2"/>
  <c r="C1030" i="2"/>
  <c r="D1030" i="2"/>
  <c r="E1030" i="2"/>
  <c r="F1030" i="2"/>
  <c r="G1030" i="2"/>
  <c r="H1030" i="2"/>
  <c r="I1030" i="2"/>
  <c r="J1030" i="2"/>
  <c r="K1030" i="2"/>
  <c r="B1031" i="2"/>
  <c r="C1031" i="2"/>
  <c r="D1031" i="2"/>
  <c r="E1031" i="2"/>
  <c r="F1031" i="2"/>
  <c r="G1031" i="2"/>
  <c r="H1031" i="2"/>
  <c r="I1031" i="2"/>
  <c r="J1031" i="2"/>
  <c r="K1031" i="2"/>
  <c r="B1032" i="2"/>
  <c r="C1032" i="2"/>
  <c r="D1032" i="2"/>
  <c r="E1032" i="2"/>
  <c r="F1032" i="2"/>
  <c r="G1032" i="2"/>
  <c r="H1032" i="2"/>
  <c r="I1032" i="2"/>
  <c r="J1032" i="2"/>
  <c r="K1032" i="2"/>
  <c r="B1033" i="2"/>
  <c r="C1033" i="2"/>
  <c r="D1033" i="2"/>
  <c r="E1033" i="2"/>
  <c r="F1033" i="2"/>
  <c r="G1033" i="2"/>
  <c r="H1033" i="2"/>
  <c r="I1033" i="2"/>
  <c r="J1033" i="2"/>
  <c r="K1033" i="2"/>
  <c r="B1034" i="2"/>
  <c r="C1034" i="2"/>
  <c r="D1034" i="2"/>
  <c r="E1034" i="2"/>
  <c r="F1034" i="2"/>
  <c r="G1034" i="2"/>
  <c r="H1034" i="2"/>
  <c r="I1034" i="2"/>
  <c r="J1034" i="2"/>
  <c r="K1034" i="2"/>
  <c r="B1035" i="2"/>
  <c r="C1035" i="2"/>
  <c r="D1035" i="2"/>
  <c r="E1035" i="2"/>
  <c r="F1035" i="2"/>
  <c r="G1035" i="2"/>
  <c r="H1035" i="2"/>
  <c r="I1035" i="2"/>
  <c r="J1035" i="2"/>
  <c r="K1035" i="2"/>
  <c r="B1036" i="2"/>
  <c r="C1036" i="2"/>
  <c r="D1036" i="2"/>
  <c r="E1036" i="2"/>
  <c r="F1036" i="2"/>
  <c r="G1036" i="2"/>
  <c r="H1036" i="2"/>
  <c r="I1036" i="2"/>
  <c r="J1036" i="2"/>
  <c r="K1036" i="2"/>
  <c r="B1037" i="2"/>
  <c r="C1037" i="2"/>
  <c r="D1037" i="2"/>
  <c r="E1037" i="2"/>
  <c r="F1037" i="2"/>
  <c r="G1037" i="2"/>
  <c r="H1037" i="2"/>
  <c r="I1037" i="2"/>
  <c r="J1037" i="2"/>
  <c r="K1037" i="2"/>
  <c r="B1038" i="2"/>
  <c r="C1038" i="2"/>
  <c r="D1038" i="2"/>
  <c r="E1038" i="2"/>
  <c r="F1038" i="2"/>
  <c r="G1038" i="2"/>
  <c r="H1038" i="2"/>
  <c r="I1038" i="2"/>
  <c r="J1038" i="2"/>
  <c r="K1038" i="2"/>
  <c r="B1039" i="2"/>
  <c r="C1039" i="2"/>
  <c r="D1039" i="2"/>
  <c r="E1039" i="2"/>
  <c r="F1039" i="2"/>
  <c r="G1039" i="2"/>
  <c r="H1039" i="2"/>
  <c r="I1039" i="2"/>
  <c r="J1039" i="2"/>
  <c r="K1039" i="2"/>
  <c r="B1040" i="2"/>
  <c r="C1040" i="2"/>
  <c r="D1040" i="2"/>
  <c r="E1040" i="2"/>
  <c r="F1040" i="2"/>
  <c r="G1040" i="2"/>
  <c r="H1040" i="2"/>
  <c r="I1040" i="2"/>
  <c r="J1040" i="2"/>
  <c r="K1040" i="2"/>
  <c r="B1041" i="2"/>
  <c r="C1041" i="2"/>
  <c r="D1041" i="2"/>
  <c r="E1041" i="2"/>
  <c r="F1041" i="2"/>
  <c r="G1041" i="2"/>
  <c r="H1041" i="2"/>
  <c r="I1041" i="2"/>
  <c r="J1041" i="2"/>
  <c r="K1041" i="2"/>
  <c r="B1042" i="2"/>
  <c r="C1042" i="2"/>
  <c r="D1042" i="2"/>
  <c r="E1042" i="2"/>
  <c r="F1042" i="2"/>
  <c r="G1042" i="2"/>
  <c r="H1042" i="2"/>
  <c r="I1042" i="2"/>
  <c r="J1042" i="2"/>
  <c r="K1042" i="2"/>
  <c r="B1043" i="2"/>
  <c r="C1043" i="2"/>
  <c r="D1043" i="2"/>
  <c r="E1043" i="2"/>
  <c r="F1043" i="2"/>
  <c r="G1043" i="2"/>
  <c r="H1043" i="2"/>
  <c r="I1043" i="2"/>
  <c r="J1043" i="2"/>
  <c r="K1043" i="2"/>
  <c r="B1044" i="2"/>
  <c r="C1044" i="2"/>
  <c r="D1044" i="2"/>
  <c r="E1044" i="2"/>
  <c r="F1044" i="2"/>
  <c r="G1044" i="2"/>
  <c r="H1044" i="2"/>
  <c r="I1044" i="2"/>
  <c r="J1044" i="2"/>
  <c r="K1044" i="2"/>
  <c r="B1045" i="2"/>
  <c r="C1045" i="2"/>
  <c r="D1045" i="2"/>
  <c r="E1045" i="2"/>
  <c r="F1045" i="2"/>
  <c r="G1045" i="2"/>
  <c r="H1045" i="2"/>
  <c r="I1045" i="2"/>
  <c r="J1045" i="2"/>
  <c r="K1045" i="2"/>
  <c r="B1046" i="2"/>
  <c r="C1046" i="2"/>
  <c r="D1046" i="2"/>
  <c r="E1046" i="2"/>
  <c r="F1046" i="2"/>
  <c r="G1046" i="2"/>
  <c r="H1046" i="2"/>
  <c r="I1046" i="2"/>
  <c r="J1046" i="2"/>
  <c r="K1046" i="2"/>
  <c r="B1047" i="2"/>
  <c r="C1047" i="2"/>
  <c r="D1047" i="2"/>
  <c r="E1047" i="2"/>
  <c r="F1047" i="2"/>
  <c r="G1047" i="2"/>
  <c r="H1047" i="2"/>
  <c r="I1047" i="2"/>
  <c r="J1047" i="2"/>
  <c r="K1047" i="2"/>
  <c r="B1048" i="2"/>
  <c r="C1048" i="2"/>
  <c r="D1048" i="2"/>
  <c r="E1048" i="2"/>
  <c r="F1048" i="2"/>
  <c r="G1048" i="2"/>
  <c r="H1048" i="2"/>
  <c r="I1048" i="2"/>
  <c r="J1048" i="2"/>
  <c r="K1048" i="2"/>
  <c r="B1049" i="2"/>
  <c r="C1049" i="2"/>
  <c r="D1049" i="2"/>
  <c r="E1049" i="2"/>
  <c r="F1049" i="2"/>
  <c r="G1049" i="2"/>
  <c r="H1049" i="2"/>
  <c r="I1049" i="2"/>
  <c r="J1049" i="2"/>
  <c r="K1049" i="2"/>
  <c r="B1050" i="2"/>
  <c r="C1050" i="2"/>
  <c r="D1050" i="2"/>
  <c r="E1050" i="2"/>
  <c r="F1050" i="2"/>
  <c r="G1050" i="2"/>
  <c r="H1050" i="2"/>
  <c r="I1050" i="2"/>
  <c r="J1050" i="2"/>
  <c r="K1050" i="2"/>
  <c r="B1051" i="2"/>
  <c r="C1051" i="2"/>
  <c r="D1051" i="2"/>
  <c r="E1051" i="2"/>
  <c r="F1051" i="2"/>
  <c r="G1051" i="2"/>
  <c r="H1051" i="2"/>
  <c r="I1051" i="2"/>
  <c r="J1051" i="2"/>
  <c r="K1051" i="2"/>
  <c r="B1052" i="2"/>
  <c r="C1052" i="2"/>
  <c r="D1052" i="2"/>
  <c r="E1052" i="2"/>
  <c r="F1052" i="2"/>
  <c r="G1052" i="2"/>
  <c r="H1052" i="2"/>
  <c r="I1052" i="2"/>
  <c r="J1052" i="2"/>
  <c r="K1052" i="2"/>
  <c r="B1053" i="2"/>
  <c r="C1053" i="2"/>
  <c r="D1053" i="2"/>
  <c r="E1053" i="2"/>
  <c r="F1053" i="2"/>
  <c r="G1053" i="2"/>
  <c r="H1053" i="2"/>
  <c r="I1053" i="2"/>
  <c r="J1053" i="2"/>
  <c r="K1053" i="2"/>
  <c r="B1054" i="2"/>
  <c r="C1054" i="2"/>
  <c r="D1054" i="2"/>
  <c r="E1054" i="2"/>
  <c r="F1054" i="2"/>
  <c r="G1054" i="2"/>
  <c r="H1054" i="2"/>
  <c r="I1054" i="2"/>
  <c r="J1054" i="2"/>
  <c r="K1054" i="2"/>
  <c r="B1055" i="2"/>
  <c r="C1055" i="2"/>
  <c r="D1055" i="2"/>
  <c r="E1055" i="2"/>
  <c r="F1055" i="2"/>
  <c r="G1055" i="2"/>
  <c r="H1055" i="2"/>
  <c r="I1055" i="2"/>
  <c r="J1055" i="2"/>
  <c r="K1055" i="2"/>
  <c r="B1056" i="2"/>
  <c r="C1056" i="2"/>
  <c r="D1056" i="2"/>
  <c r="E1056" i="2"/>
  <c r="F1056" i="2"/>
  <c r="G1056" i="2"/>
  <c r="H1056" i="2"/>
  <c r="I1056" i="2"/>
  <c r="J1056" i="2"/>
  <c r="K1056" i="2"/>
  <c r="B1057" i="2"/>
  <c r="C1057" i="2"/>
  <c r="D1057" i="2"/>
  <c r="E1057" i="2"/>
  <c r="F1057" i="2"/>
  <c r="G1057" i="2"/>
  <c r="H1057" i="2"/>
  <c r="I1057" i="2"/>
  <c r="J1057" i="2"/>
  <c r="K1057" i="2"/>
  <c r="B1058" i="2"/>
  <c r="C1058" i="2"/>
  <c r="D1058" i="2"/>
  <c r="E1058" i="2"/>
  <c r="F1058" i="2"/>
  <c r="G1058" i="2"/>
  <c r="H1058" i="2"/>
  <c r="I1058" i="2"/>
  <c r="J1058" i="2"/>
  <c r="K1058" i="2"/>
  <c r="B1059" i="2"/>
  <c r="C1059" i="2"/>
  <c r="D1059" i="2"/>
  <c r="E1059" i="2"/>
  <c r="F1059" i="2"/>
  <c r="G1059" i="2"/>
  <c r="H1059" i="2"/>
  <c r="I1059" i="2"/>
  <c r="J1059" i="2"/>
  <c r="K1059" i="2"/>
  <c r="B1060" i="2"/>
  <c r="C1060" i="2"/>
  <c r="D1060" i="2"/>
  <c r="E1060" i="2"/>
  <c r="F1060" i="2"/>
  <c r="G1060" i="2"/>
  <c r="H1060" i="2"/>
  <c r="I1060" i="2"/>
  <c r="J1060" i="2"/>
  <c r="K1060" i="2"/>
  <c r="B1061" i="2"/>
  <c r="C1061" i="2"/>
  <c r="D1061" i="2"/>
  <c r="E1061" i="2"/>
  <c r="F1061" i="2"/>
  <c r="G1061" i="2"/>
  <c r="H1061" i="2"/>
  <c r="I1061" i="2"/>
  <c r="J1061" i="2"/>
  <c r="K1061" i="2"/>
  <c r="B1062" i="2"/>
  <c r="C1062" i="2"/>
  <c r="D1062" i="2"/>
  <c r="E1062" i="2"/>
  <c r="F1062" i="2"/>
  <c r="G1062" i="2"/>
  <c r="H1062" i="2"/>
  <c r="I1062" i="2"/>
  <c r="J1062" i="2"/>
  <c r="K1062" i="2"/>
  <c r="B1063" i="2"/>
  <c r="C1063" i="2"/>
  <c r="D1063" i="2"/>
  <c r="E1063" i="2"/>
  <c r="F1063" i="2"/>
  <c r="G1063" i="2"/>
  <c r="H1063" i="2"/>
  <c r="I1063" i="2"/>
  <c r="J1063" i="2"/>
  <c r="K1063" i="2"/>
  <c r="B1064" i="2"/>
  <c r="C1064" i="2"/>
  <c r="D1064" i="2"/>
  <c r="E1064" i="2"/>
  <c r="F1064" i="2"/>
  <c r="G1064" i="2"/>
  <c r="H1064" i="2"/>
  <c r="I1064" i="2"/>
  <c r="J1064" i="2"/>
  <c r="K1064" i="2"/>
  <c r="B1065" i="2"/>
  <c r="C1065" i="2"/>
  <c r="D1065" i="2"/>
  <c r="E1065" i="2"/>
  <c r="F1065" i="2"/>
  <c r="G1065" i="2"/>
  <c r="H1065" i="2"/>
  <c r="I1065" i="2"/>
  <c r="J1065" i="2"/>
  <c r="K1065" i="2"/>
  <c r="B1066" i="2"/>
  <c r="C1066" i="2"/>
  <c r="D1066" i="2"/>
  <c r="E1066" i="2"/>
  <c r="F1066" i="2"/>
  <c r="G1066" i="2"/>
  <c r="H1066" i="2"/>
  <c r="I1066" i="2"/>
  <c r="J1066" i="2"/>
  <c r="K1066" i="2"/>
  <c r="B1067" i="2"/>
  <c r="C1067" i="2"/>
  <c r="D1067" i="2"/>
  <c r="E1067" i="2"/>
  <c r="F1067" i="2"/>
  <c r="G1067" i="2"/>
  <c r="H1067" i="2"/>
  <c r="I1067" i="2"/>
  <c r="J1067" i="2"/>
  <c r="K1067" i="2"/>
  <c r="B1069" i="2"/>
  <c r="C1069" i="2"/>
  <c r="E1069" i="2"/>
  <c r="F1069" i="2"/>
  <c r="G1069" i="2"/>
  <c r="H1069" i="2"/>
  <c r="I1069" i="2"/>
  <c r="J1069" i="2"/>
  <c r="K1069" i="2"/>
  <c r="F1070" i="2"/>
  <c r="G1070" i="2"/>
  <c r="I1070" i="2"/>
  <c r="J1070" i="2"/>
  <c r="G1071" i="2"/>
  <c r="H1071" i="2"/>
  <c r="J1071" i="2"/>
  <c r="C1072" i="2"/>
  <c r="H1072" i="2"/>
  <c r="I1072" i="2"/>
  <c r="C1073" i="2"/>
  <c r="E1073" i="2"/>
  <c r="K1073" i="2"/>
  <c r="B1074" i="2"/>
  <c r="E1074" i="2"/>
  <c r="F1074" i="2"/>
  <c r="B1075" i="2"/>
  <c r="C1075" i="2"/>
  <c r="F1075" i="2"/>
  <c r="I1075" i="2"/>
  <c r="C1076" i="2"/>
  <c r="E1076" i="2"/>
  <c r="I1076" i="2"/>
  <c r="J1076" i="2"/>
  <c r="G1077" i="2"/>
  <c r="H1077" i="2"/>
  <c r="J1077" i="2"/>
  <c r="K1077" i="2"/>
  <c r="H1078" i="2"/>
  <c r="I1078" i="2"/>
  <c r="K1078" i="2"/>
  <c r="E1079" i="2"/>
  <c r="I1079" i="2"/>
  <c r="J1079" i="2"/>
  <c r="E1080" i="2"/>
  <c r="F1080" i="2"/>
  <c r="B1081" i="2"/>
  <c r="C1081" i="2"/>
  <c r="F1081" i="2"/>
  <c r="G1081" i="2"/>
  <c r="C1082" i="2"/>
  <c r="E1082" i="2"/>
  <c r="G1082" i="2"/>
  <c r="J1082" i="2"/>
  <c r="E1083" i="2"/>
  <c r="F1083" i="2"/>
  <c r="J1083" i="2"/>
  <c r="K1083" i="2"/>
  <c r="H1084" i="2"/>
  <c r="I1084" i="2"/>
  <c r="K1084" i="2"/>
  <c r="B1085" i="2"/>
  <c r="I1085" i="2"/>
  <c r="J1085" i="2"/>
  <c r="B1086" i="2"/>
  <c r="F1086" i="2"/>
  <c r="J1086" i="2"/>
  <c r="K1086" i="2"/>
  <c r="F1087" i="2"/>
  <c r="G1087" i="2"/>
  <c r="C1088" i="2"/>
  <c r="E1088" i="2"/>
  <c r="G1088" i="2"/>
  <c r="H1088" i="2"/>
  <c r="E1089" i="2"/>
  <c r="F1089" i="2"/>
  <c r="H1089" i="2"/>
  <c r="K1089" i="2"/>
  <c r="F1090" i="2"/>
  <c r="G1090" i="2"/>
  <c r="K1090" i="2"/>
  <c r="B1091" i="2"/>
  <c r="I1091" i="2"/>
  <c r="J1091" i="2"/>
  <c r="B1092" i="2"/>
  <c r="C1092" i="2"/>
  <c r="J1092" i="2"/>
  <c r="K1092" i="2"/>
  <c r="C1093" i="2"/>
  <c r="G1093" i="2"/>
  <c r="K1093" i="2"/>
  <c r="A1094" i="2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F1094" i="2"/>
  <c r="G1094" i="2"/>
  <c r="B1095" i="2"/>
  <c r="C1095" i="2"/>
  <c r="F1095" i="2"/>
  <c r="G1095" i="2"/>
  <c r="B1096" i="2"/>
  <c r="C1096" i="2"/>
  <c r="F1096" i="2"/>
  <c r="I1096" i="2"/>
  <c r="B1097" i="2"/>
  <c r="C1097" i="2"/>
  <c r="H1097" i="2"/>
  <c r="I1097" i="2"/>
  <c r="E1098" i="2"/>
  <c r="F1098" i="2"/>
  <c r="H1098" i="2"/>
  <c r="I1098" i="2"/>
  <c r="E1099" i="2"/>
  <c r="F1099" i="2"/>
  <c r="H1099" i="2"/>
  <c r="K1099" i="2"/>
  <c r="E1100" i="2"/>
  <c r="F1100" i="2"/>
  <c r="J1100" i="2"/>
  <c r="K1100" i="2"/>
  <c r="G1101" i="2"/>
  <c r="H1101" i="2"/>
  <c r="J1101" i="2"/>
  <c r="K1101" i="2"/>
  <c r="G1102" i="2"/>
  <c r="H1102" i="2"/>
  <c r="J1102" i="2"/>
  <c r="B1103" i="2"/>
  <c r="G1103" i="2"/>
  <c r="H1103" i="2"/>
  <c r="B1104" i="2"/>
  <c r="I1104" i="2"/>
  <c r="J1104" i="2"/>
  <c r="B1105" i="2"/>
  <c r="I1105" i="2"/>
  <c r="J1105" i="2"/>
  <c r="E1106" i="2"/>
  <c r="I1106" i="2"/>
  <c r="J1106" i="2"/>
  <c r="C1107" i="2"/>
  <c r="E1107" i="2"/>
  <c r="K1107" i="2"/>
  <c r="C1108" i="2"/>
  <c r="E1108" i="2"/>
  <c r="K1108" i="2"/>
  <c r="C1109" i="2"/>
  <c r="G1109" i="2"/>
  <c r="K1109" i="2"/>
  <c r="F1110" i="2"/>
  <c r="G1110" i="2"/>
  <c r="B1111" i="2"/>
  <c r="C1111" i="2"/>
  <c r="F1111" i="2"/>
  <c r="G1111" i="2"/>
  <c r="B1112" i="2"/>
  <c r="C1112" i="2"/>
  <c r="F1112" i="2"/>
  <c r="I1112" i="2"/>
  <c r="B1113" i="2"/>
  <c r="C1113" i="2"/>
  <c r="H1113" i="2"/>
  <c r="I1113" i="2"/>
  <c r="E1114" i="2"/>
  <c r="F1114" i="2"/>
  <c r="H1114" i="2"/>
  <c r="I1114" i="2"/>
  <c r="E1115" i="2"/>
  <c r="F1115" i="2"/>
  <c r="H1115" i="2"/>
  <c r="K1115" i="2"/>
  <c r="E1116" i="2"/>
  <c r="F1116" i="2"/>
  <c r="J1116" i="2"/>
  <c r="K1116" i="2"/>
  <c r="G1117" i="2"/>
  <c r="H1117" i="2"/>
  <c r="J1117" i="2"/>
  <c r="K1117" i="2"/>
  <c r="I1110" i="2" l="1"/>
  <c r="I1109" i="2"/>
  <c r="I1108" i="2"/>
  <c r="B1117" i="2"/>
  <c r="B1116" i="2"/>
  <c r="B1115" i="2"/>
  <c r="J1114" i="2"/>
  <c r="J1113" i="2"/>
  <c r="J1112" i="2"/>
  <c r="H1111" i="2"/>
  <c r="J1110" i="2"/>
  <c r="H1110" i="2"/>
  <c r="J1109" i="2"/>
  <c r="B1109" i="2"/>
  <c r="H1109" i="2"/>
  <c r="J1108" i="2"/>
  <c r="B1108" i="2"/>
  <c r="F1108" i="2"/>
  <c r="B1107" i="2"/>
  <c r="F1107" i="2"/>
  <c r="H1107" i="2"/>
  <c r="F1106" i="2"/>
  <c r="C1117" i="2"/>
  <c r="I1117" i="2"/>
  <c r="C1116" i="2"/>
  <c r="I1116" i="2"/>
  <c r="C1115" i="2"/>
  <c r="G1115" i="2"/>
  <c r="G1114" i="2"/>
  <c r="K1113" i="2"/>
  <c r="G1113" i="2"/>
  <c r="E1112" i="2"/>
  <c r="K1112" i="2"/>
  <c r="E1111" i="2"/>
  <c r="K1111" i="2"/>
  <c r="E1110" i="2"/>
  <c r="G1107" i="2"/>
  <c r="G1106" i="2"/>
  <c r="K1105" i="2"/>
  <c r="G1105" i="2"/>
  <c r="C1105" i="2"/>
  <c r="E1104" i="2"/>
  <c r="K1104" i="2"/>
  <c r="C1104" i="2"/>
  <c r="E1103" i="2"/>
  <c r="K1103" i="2"/>
  <c r="C1103" i="2"/>
  <c r="I1102" i="2"/>
  <c r="E1102" i="2"/>
  <c r="C1101" i="2"/>
  <c r="I1101" i="2"/>
  <c r="C1100" i="2"/>
  <c r="I1100" i="2"/>
  <c r="C1099" i="2"/>
  <c r="G1099" i="2"/>
  <c r="G1098" i="2"/>
  <c r="K1097" i="2"/>
  <c r="G1097" i="2"/>
  <c r="E1096" i="2"/>
  <c r="K1096" i="2"/>
  <c r="E1095" i="2"/>
  <c r="K1095" i="2"/>
  <c r="E1094" i="2"/>
  <c r="I1092" i="2"/>
  <c r="E1092" i="2"/>
  <c r="E1091" i="2"/>
  <c r="K1091" i="2"/>
  <c r="C1091" i="2"/>
  <c r="E1090" i="2"/>
  <c r="C1090" i="2"/>
  <c r="C1089" i="2"/>
  <c r="G1089" i="2"/>
  <c r="I1088" i="2"/>
  <c r="E1087" i="2"/>
  <c r="I1086" i="2"/>
  <c r="G1086" i="2"/>
  <c r="K1085" i="2"/>
  <c r="G1085" i="2"/>
  <c r="C1085" i="2"/>
  <c r="E1084" i="2"/>
  <c r="C1084" i="2"/>
  <c r="C1083" i="2"/>
  <c r="I1083" i="2"/>
  <c r="K1082" i="2"/>
  <c r="E1081" i="2"/>
  <c r="K1081" i="2"/>
  <c r="I1080" i="2"/>
  <c r="G1080" i="2"/>
  <c r="C1080" i="2"/>
  <c r="G1079" i="2"/>
  <c r="G1078" i="2"/>
  <c r="C1077" i="2"/>
  <c r="I1077" i="2"/>
  <c r="K1076" i="2"/>
  <c r="E1075" i="2"/>
  <c r="K1075" i="2"/>
  <c r="K1074" i="2"/>
  <c r="G1074" i="2"/>
  <c r="C1074" i="2"/>
  <c r="G1073" i="2"/>
  <c r="E1072" i="2"/>
  <c r="G1072" i="2"/>
  <c r="I1071" i="2"/>
  <c r="E1071" i="2"/>
  <c r="K1070" i="2"/>
  <c r="D1158" i="4"/>
  <c r="H1158" i="4"/>
  <c r="B1157" i="4"/>
  <c r="F1157" i="4"/>
  <c r="N1155" i="4"/>
  <c r="B1155" i="4"/>
  <c r="L1154" i="4"/>
  <c r="J1153" i="4"/>
  <c r="N1153" i="4"/>
  <c r="H1152" i="4"/>
  <c r="J1151" i="4"/>
  <c r="F1151" i="4"/>
  <c r="D1150" i="4"/>
  <c r="H1150" i="4"/>
  <c r="B1149" i="4"/>
  <c r="F1149" i="4"/>
  <c r="N1147" i="4"/>
  <c r="B1147" i="4"/>
  <c r="L1146" i="4"/>
  <c r="J1145" i="4"/>
  <c r="N1145" i="4"/>
  <c r="H1144" i="4"/>
  <c r="J1143" i="4"/>
  <c r="F1143" i="4"/>
  <c r="D1142" i="4"/>
  <c r="H1142" i="4"/>
  <c r="B1141" i="4"/>
  <c r="F1141" i="4"/>
  <c r="N1139" i="4"/>
  <c r="B1139" i="4"/>
  <c r="L1138" i="4"/>
  <c r="J1137" i="4"/>
  <c r="N1137" i="4"/>
  <c r="H1136" i="4"/>
  <c r="J1135" i="4"/>
  <c r="F1135" i="4"/>
  <c r="D1134" i="4"/>
  <c r="H1134" i="4"/>
  <c r="B1133" i="4"/>
  <c r="F1133" i="4"/>
  <c r="N1131" i="4"/>
  <c r="B1131" i="4"/>
  <c r="L1130" i="4"/>
  <c r="J1129" i="4"/>
  <c r="N1129" i="4"/>
  <c r="H1128" i="4"/>
  <c r="J1127" i="4"/>
  <c r="F1127" i="4"/>
  <c r="D1126" i="4"/>
  <c r="H1126" i="4"/>
  <c r="B1125" i="4"/>
  <c r="F1125" i="4"/>
  <c r="N1123" i="4"/>
  <c r="B1123" i="4"/>
  <c r="N1121" i="4"/>
  <c r="J1119" i="4"/>
  <c r="H1118" i="4"/>
  <c r="F1117" i="4"/>
  <c r="B1115" i="4"/>
  <c r="J1111" i="4"/>
  <c r="H1110" i="4"/>
  <c r="F1109" i="4"/>
  <c r="B1107" i="4"/>
  <c r="N1105" i="4"/>
  <c r="J1103" i="4"/>
  <c r="H1102" i="4"/>
  <c r="F1101" i="4"/>
  <c r="B1099" i="4"/>
  <c r="N1097" i="4"/>
  <c r="J1095" i="4"/>
  <c r="H1094" i="4"/>
  <c r="H1093" i="4"/>
  <c r="D1090" i="4"/>
  <c r="N1088" i="4"/>
  <c r="J1087" i="4"/>
  <c r="J1085" i="4"/>
  <c r="N1113" i="4"/>
  <c r="AB1065" i="5"/>
  <c r="AC1064" i="5"/>
  <c r="AC1060" i="5"/>
  <c r="AB1060" i="5"/>
  <c r="AB1050" i="5"/>
  <c r="AB1046" i="5"/>
  <c r="AB1044" i="5"/>
  <c r="AB1042" i="5"/>
  <c r="AC1026" i="5"/>
  <c r="AB1017" i="5"/>
  <c r="AC1010" i="5"/>
  <c r="AB1008" i="5"/>
  <c r="AC1005" i="5"/>
  <c r="AC986" i="5"/>
  <c r="AB984" i="5"/>
  <c r="D1115" i="3"/>
  <c r="F1115" i="3"/>
  <c r="H1113" i="3"/>
  <c r="B1112" i="3"/>
  <c r="D1112" i="3"/>
  <c r="H1110" i="3"/>
  <c r="D1107" i="3"/>
  <c r="F1107" i="3"/>
  <c r="H1105" i="3"/>
  <c r="B1104" i="3"/>
  <c r="D1104" i="3"/>
  <c r="H1102" i="3"/>
  <c r="D1099" i="3"/>
  <c r="F1099" i="3"/>
  <c r="H1097" i="3"/>
  <c r="H1095" i="3"/>
  <c r="B1094" i="3"/>
  <c r="B1092" i="3"/>
  <c r="G1089" i="3"/>
  <c r="C1087" i="3"/>
  <c r="B1080" i="3"/>
  <c r="E1075" i="3"/>
  <c r="AC1047" i="5"/>
  <c r="AC1042" i="5"/>
  <c r="AB1030" i="5"/>
  <c r="AB1020" i="5"/>
  <c r="AB1018" i="5"/>
  <c r="AB1001" i="5"/>
  <c r="AB998" i="5"/>
  <c r="AB996" i="5"/>
  <c r="AB994" i="5"/>
  <c r="AC989" i="5"/>
  <c r="I1094" i="2"/>
  <c r="I1093" i="2"/>
  <c r="I1087" i="2"/>
  <c r="D1156" i="4"/>
  <c r="L1152" i="4"/>
  <c r="D1148" i="4"/>
  <c r="L1144" i="4"/>
  <c r="D1140" i="4"/>
  <c r="L1136" i="4"/>
  <c r="D1132" i="4"/>
  <c r="L1128" i="4"/>
  <c r="D1124" i="4"/>
  <c r="L1120" i="4"/>
  <c r="D1116" i="4"/>
  <c r="L1112" i="4"/>
  <c r="D1108" i="4"/>
  <c r="L1104" i="4"/>
  <c r="D1100" i="4"/>
  <c r="L1096" i="4"/>
  <c r="D1092" i="4"/>
  <c r="AC1066" i="5"/>
  <c r="AC1050" i="5"/>
  <c r="AB1048" i="5"/>
  <c r="AB1036" i="5"/>
  <c r="AB1034" i="5"/>
  <c r="AC1018" i="5"/>
  <c r="AB1009" i="5"/>
  <c r="AB1006" i="5"/>
  <c r="AB1002" i="5"/>
  <c r="AC999" i="5"/>
  <c r="AC994" i="5"/>
  <c r="AB982" i="5"/>
  <c r="H1106" i="2"/>
  <c r="H1105" i="2"/>
  <c r="F1104" i="2"/>
  <c r="F1103" i="2"/>
  <c r="F1102" i="2"/>
  <c r="B1101" i="2"/>
  <c r="B1100" i="2"/>
  <c r="B1099" i="2"/>
  <c r="J1098" i="2"/>
  <c r="J1097" i="2"/>
  <c r="J1096" i="2"/>
  <c r="H1095" i="2"/>
  <c r="J1094" i="2"/>
  <c r="H1094" i="2"/>
  <c r="J1093" i="2"/>
  <c r="B1093" i="2"/>
  <c r="H1093" i="2"/>
  <c r="H1092" i="2"/>
  <c r="F1091" i="2"/>
  <c r="J1090" i="2"/>
  <c r="B1090" i="2"/>
  <c r="B1089" i="2"/>
  <c r="F1088" i="2"/>
  <c r="J1087" i="2"/>
  <c r="H1087" i="2"/>
  <c r="H1086" i="2"/>
  <c r="H1085" i="2"/>
  <c r="J1084" i="2"/>
  <c r="B1084" i="2"/>
  <c r="B1083" i="2"/>
  <c r="B1082" i="2"/>
  <c r="F1082" i="2"/>
  <c r="H1081" i="2"/>
  <c r="H1080" i="2"/>
  <c r="F1079" i="2"/>
  <c r="H1079" i="2"/>
  <c r="J1078" i="2"/>
  <c r="B1078" i="2"/>
  <c r="F1078" i="2"/>
  <c r="B1077" i="2"/>
  <c r="B1076" i="2"/>
  <c r="H1076" i="2"/>
  <c r="J1075" i="2"/>
  <c r="J1074" i="2"/>
  <c r="B1073" i="2"/>
  <c r="F1073" i="2"/>
  <c r="H1073" i="2"/>
  <c r="F1072" i="2"/>
  <c r="F1071" i="2"/>
  <c r="H1070" i="2"/>
  <c r="B1070" i="2"/>
  <c r="F1117" i="3"/>
  <c r="B1117" i="3"/>
  <c r="D1116" i="3"/>
  <c r="H1114" i="3"/>
  <c r="D1114" i="3"/>
  <c r="B1113" i="3"/>
  <c r="H1112" i="3"/>
  <c r="F1111" i="3"/>
  <c r="B1111" i="3"/>
  <c r="F1110" i="3"/>
  <c r="F1109" i="3"/>
  <c r="B1109" i="3"/>
  <c r="D1108" i="3"/>
  <c r="H1106" i="3"/>
  <c r="D1106" i="3"/>
  <c r="B1105" i="3"/>
  <c r="H1104" i="3"/>
  <c r="F1103" i="3"/>
  <c r="B1103" i="3"/>
  <c r="F1102" i="3"/>
  <c r="F1101" i="3"/>
  <c r="B1101" i="3"/>
  <c r="D1100" i="3"/>
  <c r="H1098" i="3"/>
  <c r="D1098" i="3"/>
  <c r="D1096" i="3"/>
  <c r="F1095" i="3"/>
  <c r="C1094" i="3"/>
  <c r="C1093" i="3"/>
  <c r="C1092" i="3"/>
  <c r="H1090" i="3"/>
  <c r="F1089" i="3"/>
  <c r="F1088" i="3"/>
  <c r="B1087" i="3"/>
  <c r="B1086" i="3"/>
  <c r="I1084" i="3"/>
  <c r="G1083" i="3"/>
  <c r="E1082" i="3"/>
  <c r="F1082" i="3"/>
  <c r="E1081" i="3"/>
  <c r="H1077" i="3"/>
  <c r="I1077" i="3"/>
  <c r="F1076" i="3"/>
  <c r="D1075" i="3"/>
  <c r="D1074" i="3"/>
  <c r="I1072" i="3"/>
  <c r="I1071" i="3"/>
  <c r="G1070" i="3"/>
  <c r="H1070" i="3"/>
  <c r="O1158" i="4"/>
  <c r="G1158" i="4"/>
  <c r="I1155" i="4"/>
  <c r="O1154" i="4"/>
  <c r="G1154" i="4"/>
  <c r="I1151" i="4"/>
  <c r="O1150" i="4"/>
  <c r="G1150" i="4"/>
  <c r="I1147" i="4"/>
  <c r="O1146" i="4"/>
  <c r="G1146" i="4"/>
  <c r="I1143" i="4"/>
  <c r="O1142" i="4"/>
  <c r="G1142" i="4"/>
  <c r="I1139" i="4"/>
  <c r="O1138" i="4"/>
  <c r="G1138" i="4"/>
  <c r="I1135" i="4"/>
  <c r="O1134" i="4"/>
  <c r="G1134" i="4"/>
  <c r="I1131" i="4"/>
  <c r="O1130" i="4"/>
  <c r="G1130" i="4"/>
  <c r="I1127" i="4"/>
  <c r="O1126" i="4"/>
  <c r="G1126" i="4"/>
  <c r="I1123" i="4"/>
  <c r="O1122" i="4"/>
  <c r="G1122" i="4"/>
  <c r="I1119" i="4"/>
  <c r="O1118" i="4"/>
  <c r="G1118" i="4"/>
  <c r="I1115" i="4"/>
  <c r="O1114" i="4"/>
  <c r="G1114" i="4"/>
  <c r="I1111" i="4"/>
  <c r="O1110" i="4"/>
  <c r="G1110" i="4"/>
  <c r="I1107" i="4"/>
  <c r="O1106" i="4"/>
  <c r="G1106" i="4"/>
  <c r="I1103" i="4"/>
  <c r="O1102" i="4"/>
  <c r="G1102" i="4"/>
  <c r="AB1037" i="5"/>
  <c r="AB1028" i="5"/>
  <c r="AB1026" i="5"/>
  <c r="AB1010" i="5"/>
  <c r="AB986" i="5"/>
  <c r="AB957" i="5"/>
  <c r="AC954" i="5"/>
  <c r="AB932" i="5"/>
  <c r="AB930" i="5"/>
  <c r="AC891" i="5"/>
  <c r="AB880" i="5"/>
  <c r="AB877" i="5"/>
  <c r="AC875" i="5"/>
  <c r="AC871" i="5"/>
  <c r="AC860" i="5"/>
  <c r="AB854" i="5"/>
  <c r="AB849" i="5"/>
  <c r="AB848" i="5"/>
  <c r="AB845" i="5"/>
  <c r="AC843" i="5"/>
  <c r="AC842" i="5"/>
  <c r="AC839" i="5"/>
  <c r="AB822" i="5"/>
  <c r="AB820" i="5"/>
  <c r="AB816" i="5"/>
  <c r="AC811" i="5"/>
  <c r="AC807" i="5"/>
  <c r="AC796" i="5"/>
  <c r="AB790" i="5"/>
  <c r="AB785" i="5"/>
  <c r="AB784" i="5"/>
  <c r="AC775" i="5"/>
  <c r="AB765" i="5"/>
  <c r="AC764" i="5"/>
  <c r="AB758" i="5"/>
  <c r="AB756" i="5"/>
  <c r="AB752" i="5"/>
  <c r="AC747" i="5"/>
  <c r="AC743" i="5"/>
  <c r="AC732" i="5"/>
  <c r="AB726" i="5"/>
  <c r="AB721" i="5"/>
  <c r="AB720" i="5"/>
  <c r="AC715" i="5"/>
  <c r="AC714" i="5"/>
  <c r="AC711" i="5"/>
  <c r="AB701" i="5"/>
  <c r="AB694" i="5"/>
  <c r="AB692" i="5"/>
  <c r="AB688" i="5"/>
  <c r="AC683" i="5"/>
  <c r="AC679" i="5"/>
  <c r="AB662" i="5"/>
  <c r="AB657" i="5"/>
  <c r="AB656" i="5"/>
  <c r="AC651" i="5"/>
  <c r="AC650" i="5"/>
  <c r="AC647" i="5"/>
  <c r="AB637" i="5"/>
  <c r="AC636" i="5"/>
  <c r="AB630" i="5"/>
  <c r="AB628" i="5"/>
  <c r="AB624" i="5"/>
  <c r="AC615" i="5"/>
  <c r="AC604" i="5"/>
  <c r="AB598" i="5"/>
  <c r="T1118" i="5"/>
  <c r="L1118" i="5"/>
  <c r="AB593" i="5"/>
  <c r="AB592" i="5"/>
  <c r="V1117" i="5"/>
  <c r="F1117" i="5"/>
  <c r="U1117" i="5"/>
  <c r="AC586" i="5"/>
  <c r="E1117" i="5"/>
  <c r="R1117" i="5"/>
  <c r="AC583" i="5"/>
  <c r="J1117" i="5"/>
  <c r="AB573" i="5"/>
  <c r="AC572" i="5"/>
  <c r="O1116" i="5"/>
  <c r="G1116" i="5"/>
  <c r="V1116" i="5"/>
  <c r="N1116" i="5"/>
  <c r="AB980" i="5"/>
  <c r="AB978" i="5"/>
  <c r="AB964" i="5"/>
  <c r="AB962" i="5"/>
  <c r="AB942" i="5"/>
  <c r="AB938" i="5"/>
  <c r="AC935" i="5"/>
  <c r="AC930" i="5"/>
  <c r="AC911" i="5"/>
  <c r="AB909" i="5"/>
  <c r="AC907" i="5"/>
  <c r="AC906" i="5"/>
  <c r="AB902" i="5"/>
  <c r="AB893" i="5"/>
  <c r="AB888" i="5"/>
  <c r="AB878" i="5"/>
  <c r="AB876" i="5"/>
  <c r="AB872" i="5"/>
  <c r="AB869" i="5"/>
  <c r="AC866" i="5"/>
  <c r="AC863" i="5"/>
  <c r="AC852" i="5"/>
  <c r="AB846" i="5"/>
  <c r="AB840" i="5"/>
  <c r="AB837" i="5"/>
  <c r="AC820" i="5"/>
  <c r="AB814" i="5"/>
  <c r="AB812" i="5"/>
  <c r="AB808" i="5"/>
  <c r="AC803" i="5"/>
  <c r="AC802" i="5"/>
  <c r="AC799" i="5"/>
  <c r="AB789" i="5"/>
  <c r="AC788" i="5"/>
  <c r="AB782" i="5"/>
  <c r="AB776" i="5"/>
  <c r="AC756" i="5"/>
  <c r="AB750" i="5"/>
  <c r="AB748" i="5"/>
  <c r="AB744" i="5"/>
  <c r="AC735" i="5"/>
  <c r="AB725" i="5"/>
  <c r="AC724" i="5"/>
  <c r="AB718" i="5"/>
  <c r="AB712" i="5"/>
  <c r="AC692" i="5"/>
  <c r="AB686" i="5"/>
  <c r="AB684" i="5"/>
  <c r="AB680" i="5"/>
  <c r="AC671" i="5"/>
  <c r="AB661" i="5"/>
  <c r="AC660" i="5"/>
  <c r="AB654" i="5"/>
  <c r="AB648" i="5"/>
  <c r="AC628" i="5"/>
  <c r="AB622" i="5"/>
  <c r="AB620" i="5"/>
  <c r="AB616" i="5"/>
  <c r="AC607" i="5"/>
  <c r="AB597" i="5"/>
  <c r="AC596" i="5"/>
  <c r="AB590" i="5"/>
  <c r="AB584" i="5"/>
  <c r="AC579" i="5"/>
  <c r="AC575" i="5"/>
  <c r="AC962" i="5"/>
  <c r="AB946" i="5"/>
  <c r="AC943" i="5"/>
  <c r="AC938" i="5"/>
  <c r="AB936" i="5"/>
  <c r="AC923" i="5"/>
  <c r="AC919" i="5"/>
  <c r="AB912" i="5"/>
  <c r="AB905" i="5"/>
  <c r="AC900" i="5"/>
  <c r="AB870" i="5"/>
  <c r="AB868" i="5"/>
  <c r="AB864" i="5"/>
  <c r="AB861" i="5"/>
  <c r="AC844" i="5"/>
  <c r="AB838" i="5"/>
  <c r="AB836" i="5"/>
  <c r="AB833" i="5"/>
  <c r="AB832" i="5"/>
  <c r="AB829" i="5"/>
  <c r="AC827" i="5"/>
  <c r="AC823" i="5"/>
  <c r="AC812" i="5"/>
  <c r="AB806" i="5"/>
  <c r="AB804" i="5"/>
  <c r="AB800" i="5"/>
  <c r="AB781" i="5"/>
  <c r="AC780" i="5"/>
  <c r="AB774" i="5"/>
  <c r="AB772" i="5"/>
  <c r="AB769" i="5"/>
  <c r="AB768" i="5"/>
  <c r="AC763" i="5"/>
  <c r="AC759" i="5"/>
  <c r="AC748" i="5"/>
  <c r="AB742" i="5"/>
  <c r="AB740" i="5"/>
  <c r="AB736" i="5"/>
  <c r="AB717" i="5"/>
  <c r="AB710" i="5"/>
  <c r="AB708" i="5"/>
  <c r="AB705" i="5"/>
  <c r="AB704" i="5"/>
  <c r="AC699" i="5"/>
  <c r="AC695" i="5"/>
  <c r="AC684" i="5"/>
  <c r="AB678" i="5"/>
  <c r="AB676" i="5"/>
  <c r="AB672" i="5"/>
  <c r="AC667" i="5"/>
  <c r="AC666" i="5"/>
  <c r="AC663" i="5"/>
  <c r="AB653" i="5"/>
  <c r="AC652" i="5"/>
  <c r="AB646" i="5"/>
  <c r="AB644" i="5"/>
  <c r="AB641" i="5"/>
  <c r="AB640" i="5"/>
  <c r="AC635" i="5"/>
  <c r="AC631" i="5"/>
  <c r="AC620" i="5"/>
  <c r="AB614" i="5"/>
  <c r="AB612" i="5"/>
  <c r="AB608" i="5"/>
  <c r="AC602" i="5"/>
  <c r="AC599" i="5"/>
  <c r="AB589" i="5"/>
  <c r="AC588" i="5"/>
  <c r="S1117" i="5"/>
  <c r="K1117" i="5"/>
  <c r="C1117" i="5"/>
  <c r="AB582" i="5"/>
  <c r="AB580" i="5"/>
  <c r="AB577" i="5"/>
  <c r="AB576" i="5"/>
  <c r="E1116" i="5"/>
  <c r="L1116" i="5"/>
  <c r="R1116" i="5"/>
  <c r="AB972" i="5"/>
  <c r="AB970" i="5"/>
  <c r="AB956" i="5"/>
  <c r="AB954" i="5"/>
  <c r="AB920" i="5"/>
  <c r="AB910" i="5"/>
  <c r="AC908" i="5"/>
  <c r="AC879" i="5"/>
  <c r="AC868" i="5"/>
  <c r="AB862" i="5"/>
  <c r="AB857" i="5"/>
  <c r="AB856" i="5"/>
  <c r="AB853" i="5"/>
  <c r="AC851" i="5"/>
  <c r="AC850" i="5"/>
  <c r="AC847" i="5"/>
  <c r="AC836" i="5"/>
  <c r="AB830" i="5"/>
  <c r="AB828" i="5"/>
  <c r="AB824" i="5"/>
  <c r="AB821" i="5"/>
  <c r="AC819" i="5"/>
  <c r="AC815" i="5"/>
  <c r="AB798" i="5"/>
  <c r="AB793" i="5"/>
  <c r="AB792" i="5"/>
  <c r="AC787" i="5"/>
  <c r="AC786" i="5"/>
  <c r="AC783" i="5"/>
  <c r="AB773" i="5"/>
  <c r="AC772" i="5"/>
  <c r="AB766" i="5"/>
  <c r="AB764" i="5"/>
  <c r="AB760" i="5"/>
  <c r="AC751" i="5"/>
  <c r="AC740" i="5"/>
  <c r="AB734" i="5"/>
  <c r="AB729" i="5"/>
  <c r="AB728" i="5"/>
  <c r="AC723" i="5"/>
  <c r="AC722" i="5"/>
  <c r="AC719" i="5"/>
  <c r="AB709" i="5"/>
  <c r="AC708" i="5"/>
  <c r="AB702" i="5"/>
  <c r="AB700" i="5"/>
  <c r="AB696" i="5"/>
  <c r="AC676" i="5"/>
  <c r="AB670" i="5"/>
  <c r="AB665" i="5"/>
  <c r="AB664" i="5"/>
  <c r="AC659" i="5"/>
  <c r="AC658" i="5"/>
  <c r="AC655" i="5"/>
  <c r="AB645" i="5"/>
  <c r="AC644" i="5"/>
  <c r="AB638" i="5"/>
  <c r="AB636" i="5"/>
  <c r="AB632" i="5"/>
  <c r="AC612" i="5"/>
  <c r="AB606" i="5"/>
  <c r="AB601" i="5"/>
  <c r="AB600" i="5"/>
  <c r="AC595" i="5"/>
  <c r="AC594" i="5"/>
  <c r="E1118" i="5"/>
  <c r="R1118" i="5"/>
  <c r="AB581" i="5"/>
  <c r="AC580" i="5"/>
  <c r="AB574" i="5"/>
  <c r="AB572" i="5"/>
  <c r="AB568" i="5"/>
  <c r="AC567" i="5"/>
  <c r="J1116" i="5"/>
  <c r="AC556" i="5"/>
  <c r="G1115" i="5"/>
  <c r="AB548" i="5"/>
  <c r="AB544" i="5"/>
  <c r="L1114" i="5"/>
  <c r="AC539" i="5"/>
  <c r="AC538" i="5"/>
  <c r="AC535" i="5"/>
  <c r="AB525" i="5"/>
  <c r="AC524" i="5"/>
  <c r="AB518" i="5"/>
  <c r="AB516" i="5"/>
  <c r="AB513" i="5"/>
  <c r="AB512" i="5"/>
  <c r="AC507" i="5"/>
  <c r="U1111" i="5"/>
  <c r="E1111" i="5"/>
  <c r="R1110" i="5"/>
  <c r="AC503" i="5"/>
  <c r="G1109" i="5"/>
  <c r="AB486" i="5"/>
  <c r="AB484" i="5"/>
  <c r="AB480" i="5"/>
  <c r="AB461" i="5"/>
  <c r="K1107" i="5"/>
  <c r="C1107" i="5"/>
  <c r="AB454" i="5"/>
  <c r="AB452" i="5"/>
  <c r="L1106" i="5"/>
  <c r="AB449" i="5"/>
  <c r="AB448" i="5"/>
  <c r="AC443" i="5"/>
  <c r="E1105" i="5"/>
  <c r="AC439" i="5"/>
  <c r="AC428" i="5"/>
  <c r="G1104" i="5"/>
  <c r="S1104" i="5"/>
  <c r="K1104" i="5"/>
  <c r="AB420" i="5"/>
  <c r="V1103" i="5"/>
  <c r="N1103" i="5"/>
  <c r="AB416" i="5"/>
  <c r="AC411" i="5"/>
  <c r="AC410" i="5"/>
  <c r="AC407" i="5"/>
  <c r="AB397" i="5"/>
  <c r="AC396" i="5"/>
  <c r="K1101" i="5"/>
  <c r="AB390" i="5"/>
  <c r="AB388" i="5"/>
  <c r="AB384" i="5"/>
  <c r="AC379" i="5"/>
  <c r="U1100" i="5"/>
  <c r="T1100" i="5"/>
  <c r="R1100" i="5"/>
  <c r="AC375" i="5"/>
  <c r="J1100" i="5"/>
  <c r="AC364" i="5"/>
  <c r="W1099" i="5"/>
  <c r="O1099" i="5"/>
  <c r="G1099" i="5"/>
  <c r="S1098" i="5"/>
  <c r="K1098" i="5"/>
  <c r="AB358" i="5"/>
  <c r="AC348" i="5"/>
  <c r="AC341" i="5"/>
  <c r="AC335" i="5"/>
  <c r="AB320" i="5"/>
  <c r="AB317" i="5"/>
  <c r="AC304" i="5"/>
  <c r="AC563" i="5"/>
  <c r="AC559" i="5"/>
  <c r="AC548" i="5"/>
  <c r="E1114" i="5"/>
  <c r="AB542" i="5"/>
  <c r="AB537" i="5"/>
  <c r="AB536" i="5"/>
  <c r="AC531" i="5"/>
  <c r="AC530" i="5"/>
  <c r="AC527" i="5"/>
  <c r="AB517" i="5"/>
  <c r="AC516" i="5"/>
  <c r="AB510" i="5"/>
  <c r="AB508" i="5"/>
  <c r="AB504" i="5"/>
  <c r="U1109" i="5"/>
  <c r="E1109" i="5"/>
  <c r="AB478" i="5"/>
  <c r="AB473" i="5"/>
  <c r="AB472" i="5"/>
  <c r="AC467" i="5"/>
  <c r="AC466" i="5"/>
  <c r="AC463" i="5"/>
  <c r="AB453" i="5"/>
  <c r="AC452" i="5"/>
  <c r="S1106" i="5"/>
  <c r="K1106" i="5"/>
  <c r="AB446" i="5"/>
  <c r="AB444" i="5"/>
  <c r="AB440" i="5"/>
  <c r="AB417" i="5"/>
  <c r="AB414" i="5"/>
  <c r="AB408" i="5"/>
  <c r="R1102" i="5"/>
  <c r="AB389" i="5"/>
  <c r="AB382" i="5"/>
  <c r="AB380" i="5"/>
  <c r="AB376" i="5"/>
  <c r="AB353" i="5"/>
  <c r="V1097" i="5"/>
  <c r="N1097" i="5"/>
  <c r="AB338" i="5"/>
  <c r="AB336" i="5"/>
  <c r="V1096" i="5"/>
  <c r="N1096" i="5"/>
  <c r="F1096" i="5"/>
  <c r="V1095" i="5"/>
  <c r="F1095" i="5"/>
  <c r="T1094" i="5"/>
  <c r="L1094" i="5"/>
  <c r="D1094" i="5"/>
  <c r="AB309" i="5"/>
  <c r="X1094" i="5"/>
  <c r="P1094" i="5"/>
  <c r="W1094" i="5"/>
  <c r="O1094" i="5"/>
  <c r="G1094" i="5"/>
  <c r="AB302" i="5"/>
  <c r="S1116" i="5"/>
  <c r="AB564" i="5"/>
  <c r="N1115" i="5"/>
  <c r="AB560" i="5"/>
  <c r="AC551" i="5"/>
  <c r="S1113" i="5"/>
  <c r="K1113" i="5"/>
  <c r="C1113" i="5"/>
  <c r="AB534" i="5"/>
  <c r="AB529" i="5"/>
  <c r="AB528" i="5"/>
  <c r="V1112" i="5"/>
  <c r="F1112" i="5"/>
  <c r="U1112" i="5"/>
  <c r="E1112" i="5"/>
  <c r="L1112" i="5"/>
  <c r="D1112" i="5"/>
  <c r="R1112" i="5"/>
  <c r="J1112" i="5"/>
  <c r="AB509" i="5"/>
  <c r="W1111" i="5"/>
  <c r="O1111" i="5"/>
  <c r="G1111" i="5"/>
  <c r="V1111" i="5"/>
  <c r="N1111" i="5"/>
  <c r="F1111" i="5"/>
  <c r="S1110" i="5"/>
  <c r="K1110" i="5"/>
  <c r="AB502" i="5"/>
  <c r="AB500" i="5"/>
  <c r="AB496" i="5"/>
  <c r="L1110" i="5"/>
  <c r="D1110" i="5"/>
  <c r="AC491" i="5"/>
  <c r="V1109" i="5"/>
  <c r="F1109" i="5"/>
  <c r="U1108" i="5"/>
  <c r="E1108" i="5"/>
  <c r="T1108" i="5"/>
  <c r="K1108" i="5"/>
  <c r="AB470" i="5"/>
  <c r="AB465" i="5"/>
  <c r="AB464" i="5"/>
  <c r="V1107" i="5"/>
  <c r="F1107" i="5"/>
  <c r="U1107" i="5"/>
  <c r="E1107" i="5"/>
  <c r="AC455" i="5"/>
  <c r="AB445" i="5"/>
  <c r="AC444" i="5"/>
  <c r="W1105" i="5"/>
  <c r="O1105" i="5"/>
  <c r="G1105" i="5"/>
  <c r="N1105" i="5"/>
  <c r="F1105" i="5"/>
  <c r="S1105" i="5"/>
  <c r="K1105" i="5"/>
  <c r="AB436" i="5"/>
  <c r="AB432" i="5"/>
  <c r="D1104" i="5"/>
  <c r="AC427" i="5"/>
  <c r="E1103" i="5"/>
  <c r="S1103" i="5"/>
  <c r="K1103" i="5"/>
  <c r="C1103" i="5"/>
  <c r="AB409" i="5"/>
  <c r="AB406" i="5"/>
  <c r="L1102" i="5"/>
  <c r="D1102" i="5"/>
  <c r="AB400" i="5"/>
  <c r="V1101" i="5"/>
  <c r="F1101" i="5"/>
  <c r="U1101" i="5"/>
  <c r="E1101" i="5"/>
  <c r="R1101" i="5"/>
  <c r="AC391" i="5"/>
  <c r="J1101" i="5"/>
  <c r="AB381" i="5"/>
  <c r="AC380" i="5"/>
  <c r="O1100" i="5"/>
  <c r="G1100" i="5"/>
  <c r="V1100" i="5"/>
  <c r="F1100" i="5"/>
  <c r="S1100" i="5"/>
  <c r="K1100" i="5"/>
  <c r="AB374" i="5"/>
  <c r="AB372" i="5"/>
  <c r="V1099" i="5"/>
  <c r="AB368" i="5"/>
  <c r="AB364" i="5"/>
  <c r="AC363" i="5"/>
  <c r="AC359" i="5"/>
  <c r="AB350" i="5"/>
  <c r="X1096" i="5"/>
  <c r="P1096" i="5"/>
  <c r="H1096" i="5"/>
  <c r="AC321" i="5"/>
  <c r="J1095" i="5"/>
  <c r="AC564" i="5"/>
  <c r="AB558" i="5"/>
  <c r="AB556" i="5"/>
  <c r="AB552" i="5"/>
  <c r="AC547" i="5"/>
  <c r="AC546" i="5"/>
  <c r="AB533" i="5"/>
  <c r="AC532" i="5"/>
  <c r="AB526" i="5"/>
  <c r="AB520" i="5"/>
  <c r="AC515" i="5"/>
  <c r="AC511" i="5"/>
  <c r="AC500" i="5"/>
  <c r="W1110" i="5"/>
  <c r="AB492" i="5"/>
  <c r="AB488" i="5"/>
  <c r="AC483" i="5"/>
  <c r="AC482" i="5"/>
  <c r="AC479" i="5"/>
  <c r="AB469" i="5"/>
  <c r="AC468" i="5"/>
  <c r="AB462" i="5"/>
  <c r="AB456" i="5"/>
  <c r="AC451" i="5"/>
  <c r="AC436" i="5"/>
  <c r="AB430" i="5"/>
  <c r="AB428" i="5"/>
  <c r="AB424" i="5"/>
  <c r="AC419" i="5"/>
  <c r="AC418" i="5"/>
  <c r="AC415" i="5"/>
  <c r="AB405" i="5"/>
  <c r="AC404" i="5"/>
  <c r="AB398" i="5"/>
  <c r="AB392" i="5"/>
  <c r="AC387" i="5"/>
  <c r="AC383" i="5"/>
  <c r="AC372" i="5"/>
  <c r="AB366" i="5"/>
  <c r="AB360" i="5"/>
  <c r="AC355" i="5"/>
  <c r="AC354" i="5"/>
  <c r="AB349" i="5"/>
  <c r="AC345" i="5"/>
  <c r="AB342" i="5"/>
  <c r="AB341" i="5"/>
  <c r="AC337" i="5"/>
  <c r="AC328" i="5"/>
  <c r="G1096" i="5"/>
  <c r="AC326" i="5"/>
  <c r="E1096" i="5"/>
  <c r="T1096" i="5"/>
  <c r="L1096" i="5"/>
  <c r="D1096" i="5"/>
  <c r="AB318" i="5"/>
  <c r="U1095" i="5"/>
  <c r="AC314" i="5"/>
  <c r="E1095" i="5"/>
  <c r="AC312" i="5"/>
  <c r="AC310" i="5"/>
  <c r="AB306" i="5"/>
  <c r="AB304" i="5"/>
  <c r="AB298" i="5"/>
  <c r="V1092" i="5"/>
  <c r="N1092" i="5"/>
  <c r="V1089" i="5"/>
  <c r="N1089" i="5"/>
  <c r="F1089" i="5"/>
  <c r="AB241" i="5"/>
  <c r="X1088" i="5"/>
  <c r="H1088" i="5"/>
  <c r="W1087" i="5"/>
  <c r="O1087" i="5"/>
  <c r="G1087" i="5"/>
  <c r="V1087" i="5"/>
  <c r="N1087" i="5"/>
  <c r="F1087" i="5"/>
  <c r="AB219" i="5"/>
  <c r="AB213" i="5"/>
  <c r="W1086" i="5"/>
  <c r="O1086" i="5"/>
  <c r="G1086" i="5"/>
  <c r="V1086" i="5"/>
  <c r="N1086" i="5"/>
  <c r="F1086" i="5"/>
  <c r="T1085" i="5"/>
  <c r="L1085" i="5"/>
  <c r="D1085" i="5"/>
  <c r="W1085" i="5"/>
  <c r="S1085" i="5"/>
  <c r="O1085" i="5"/>
  <c r="K1085" i="5"/>
  <c r="G1085" i="5"/>
  <c r="C1085" i="5"/>
  <c r="AB195" i="5"/>
  <c r="AB194" i="5"/>
  <c r="U1085" i="5"/>
  <c r="E1085" i="5"/>
  <c r="S1083" i="5"/>
  <c r="K1083" i="5"/>
  <c r="C1083" i="5"/>
  <c r="AB164" i="5"/>
  <c r="AB148" i="5"/>
  <c r="AC141" i="5"/>
  <c r="AC137" i="5"/>
  <c r="V1079" i="5"/>
  <c r="N1079" i="5"/>
  <c r="AB127" i="5"/>
  <c r="V1078" i="5"/>
  <c r="F1078" i="5"/>
  <c r="W1078" i="5"/>
  <c r="O1078" i="5"/>
  <c r="G1078" i="5"/>
  <c r="AC81" i="5"/>
  <c r="V1074" i="5"/>
  <c r="N1074" i="5"/>
  <c r="F1074" i="5"/>
  <c r="T1073" i="5"/>
  <c r="L1073" i="5"/>
  <c r="AB50" i="5"/>
  <c r="AB46" i="5"/>
  <c r="AC38" i="5"/>
  <c r="AC33" i="5"/>
  <c r="U1071" i="5"/>
  <c r="AB290" i="5"/>
  <c r="AB280" i="5"/>
  <c r="AB264" i="5"/>
  <c r="AC263" i="5"/>
  <c r="R1090" i="5"/>
  <c r="AC260" i="5"/>
  <c r="J1090" i="5"/>
  <c r="AC249" i="5"/>
  <c r="G1089" i="5"/>
  <c r="AB243" i="5"/>
  <c r="AB237" i="5"/>
  <c r="T1088" i="5"/>
  <c r="L1088" i="5"/>
  <c r="T1087" i="5"/>
  <c r="L1087" i="5"/>
  <c r="AC209" i="5"/>
  <c r="AC186" i="5"/>
  <c r="AB179" i="5"/>
  <c r="AB173" i="5"/>
  <c r="AB156" i="5"/>
  <c r="E1081" i="5"/>
  <c r="L1081" i="5"/>
  <c r="AC138" i="5"/>
  <c r="AC118" i="5"/>
  <c r="AB104" i="5"/>
  <c r="AC89" i="5"/>
  <c r="AC82" i="5"/>
  <c r="H1075" i="5"/>
  <c r="AC77" i="5"/>
  <c r="AC75" i="5"/>
  <c r="AB62" i="5"/>
  <c r="AB57" i="5"/>
  <c r="U1073" i="5"/>
  <c r="AC53" i="5"/>
  <c r="AC44" i="5"/>
  <c r="C1072" i="5"/>
  <c r="AC34" i="5"/>
  <c r="AC32" i="5"/>
  <c r="I1071" i="5"/>
  <c r="Y1071" i="5"/>
  <c r="S1093" i="5"/>
  <c r="AC296" i="5"/>
  <c r="K1093" i="5"/>
  <c r="C1093" i="5"/>
  <c r="AB293" i="5"/>
  <c r="V1093" i="5"/>
  <c r="N1093" i="5"/>
  <c r="F1093" i="5"/>
  <c r="AC284" i="5"/>
  <c r="AC280" i="5"/>
  <c r="AB277" i="5"/>
  <c r="AC258" i="5"/>
  <c r="AC256" i="5"/>
  <c r="AC255" i="5"/>
  <c r="Q1088" i="5"/>
  <c r="I1088" i="5"/>
  <c r="E1088" i="5"/>
  <c r="AC228" i="5"/>
  <c r="AC224" i="5"/>
  <c r="AB224" i="5"/>
  <c r="AC210" i="5"/>
  <c r="AB210" i="5"/>
  <c r="AB202" i="5"/>
  <c r="AC196" i="5"/>
  <c r="AC184" i="5"/>
  <c r="U1083" i="5"/>
  <c r="E1083" i="5"/>
  <c r="D1083" i="5"/>
  <c r="S1082" i="5"/>
  <c r="K1082" i="5"/>
  <c r="AB163" i="5"/>
  <c r="AB151" i="5"/>
  <c r="V1080" i="5"/>
  <c r="T1079" i="5"/>
  <c r="L1079" i="5"/>
  <c r="AB131" i="5"/>
  <c r="W1079" i="5"/>
  <c r="G1079" i="5"/>
  <c r="AB125" i="5"/>
  <c r="AC116" i="5"/>
  <c r="AC114" i="5"/>
  <c r="U1078" i="5"/>
  <c r="E1078" i="5"/>
  <c r="AC105" i="5"/>
  <c r="AC102" i="5"/>
  <c r="V1077" i="5"/>
  <c r="N1077" i="5"/>
  <c r="F1077" i="5"/>
  <c r="U1077" i="5"/>
  <c r="AC97" i="5"/>
  <c r="E1077" i="5"/>
  <c r="AC94" i="5"/>
  <c r="AB92" i="5"/>
  <c r="X1076" i="5"/>
  <c r="P1076" i="5"/>
  <c r="V1076" i="5"/>
  <c r="N1076" i="5"/>
  <c r="F1076" i="5"/>
  <c r="AB82" i="5"/>
  <c r="AB78" i="5"/>
  <c r="H1073" i="5"/>
  <c r="AB42" i="5"/>
  <c r="AB40" i="5"/>
  <c r="AB34" i="5"/>
  <c r="Z1071" i="5"/>
  <c r="Q1071" i="5"/>
  <c r="H1071" i="5"/>
  <c r="S1071" i="5"/>
  <c r="J1071" i="5"/>
  <c r="B1071" i="5"/>
  <c r="AC292" i="5"/>
  <c r="S1090" i="5"/>
  <c r="AC257" i="5"/>
  <c r="AC250" i="5"/>
  <c r="AB250" i="5"/>
  <c r="AC248" i="5"/>
  <c r="AB235" i="5"/>
  <c r="AC226" i="5"/>
  <c r="AB216" i="5"/>
  <c r="AB208" i="5"/>
  <c r="L1084" i="5"/>
  <c r="D1084" i="5"/>
  <c r="X1084" i="5"/>
  <c r="P1084" i="5"/>
  <c r="H1084" i="5"/>
  <c r="Q1083" i="5"/>
  <c r="I1083" i="5"/>
  <c r="J1083" i="5"/>
  <c r="AB170" i="5"/>
  <c r="AC162" i="5"/>
  <c r="AC161" i="5"/>
  <c r="AC153" i="5"/>
  <c r="U1080" i="5"/>
  <c r="AB135" i="5"/>
  <c r="AC123" i="5"/>
  <c r="S1079" i="5"/>
  <c r="AC115" i="5"/>
  <c r="AC109" i="5"/>
  <c r="AC106" i="5"/>
  <c r="AB106" i="5"/>
  <c r="U1076" i="5"/>
  <c r="E1076" i="5"/>
  <c r="AB84" i="5"/>
  <c r="AB83" i="5"/>
  <c r="AC70" i="5"/>
  <c r="AC54" i="5"/>
  <c r="R1072" i="5"/>
  <c r="AB43" i="5"/>
  <c r="AC37" i="5"/>
  <c r="W1071" i="5"/>
  <c r="AC35" i="5"/>
  <c r="AC31" i="5"/>
  <c r="I1118" i="3"/>
  <c r="B1118" i="3"/>
  <c r="J1118" i="3"/>
  <c r="C1118" i="3"/>
  <c r="A1119" i="3"/>
  <c r="G1118" i="3"/>
  <c r="E1118" i="3"/>
  <c r="F1118" i="3"/>
  <c r="H1118" i="3"/>
  <c r="D1118" i="3"/>
  <c r="D1119" i="5"/>
  <c r="L1119" i="5"/>
  <c r="T1119" i="5"/>
  <c r="I1119" i="5"/>
  <c r="R1119" i="5"/>
  <c r="A1120" i="5"/>
  <c r="J1119" i="5"/>
  <c r="S1119" i="5"/>
  <c r="H1119" i="5"/>
  <c r="V1119" i="5"/>
  <c r="K1119" i="5"/>
  <c r="W1119" i="5"/>
  <c r="M1119" i="5"/>
  <c r="X1119" i="5"/>
  <c r="F1119" i="5"/>
  <c r="Q1119" i="5"/>
  <c r="O1119" i="5"/>
  <c r="P1119" i="5"/>
  <c r="U1119" i="5"/>
  <c r="G1119" i="5"/>
  <c r="E1119" i="5"/>
  <c r="C1119" i="5"/>
  <c r="B1119" i="5"/>
  <c r="N1119" i="5"/>
  <c r="B1118" i="2"/>
  <c r="K1118" i="2"/>
  <c r="C1118" i="2"/>
  <c r="A1119" i="2"/>
  <c r="H1118" i="2"/>
  <c r="E1118" i="2"/>
  <c r="F1118" i="2"/>
  <c r="G1118" i="2"/>
  <c r="I1118" i="2"/>
  <c r="J1118" i="2"/>
  <c r="E1117" i="2"/>
  <c r="G1116" i="2"/>
  <c r="E1113" i="2"/>
  <c r="G1112" i="2"/>
  <c r="E1109" i="2"/>
  <c r="G1108" i="2"/>
  <c r="E1105" i="2"/>
  <c r="G1104" i="2"/>
  <c r="E1101" i="2"/>
  <c r="G1100" i="2"/>
  <c r="E1097" i="2"/>
  <c r="G1096" i="2"/>
  <c r="E1093" i="2"/>
  <c r="G1092" i="2"/>
  <c r="G1091" i="2"/>
  <c r="E1086" i="2"/>
  <c r="E1085" i="2"/>
  <c r="G1084" i="2"/>
  <c r="G1083" i="2"/>
  <c r="E1078" i="2"/>
  <c r="E1077" i="2"/>
  <c r="G1076" i="2"/>
  <c r="G1075" i="2"/>
  <c r="C1070" i="2"/>
  <c r="E1070" i="2"/>
  <c r="AC193" i="5"/>
  <c r="M1085" i="5"/>
  <c r="AC117" i="5"/>
  <c r="N1078" i="5"/>
  <c r="G1077" i="5"/>
  <c r="L146" i="6"/>
  <c r="E1080" i="6"/>
  <c r="Q134" i="6"/>
  <c r="R1079" i="6"/>
  <c r="L73" i="6"/>
  <c r="C1074" i="6"/>
  <c r="L70" i="6"/>
  <c r="C1073" i="6"/>
  <c r="L48" i="6"/>
  <c r="H1072" i="6"/>
  <c r="L29" i="6"/>
  <c r="C1070" i="6"/>
  <c r="C1117" i="3"/>
  <c r="D1117" i="3"/>
  <c r="E1117" i="3"/>
  <c r="G1116" i="3"/>
  <c r="C1116" i="3"/>
  <c r="E1115" i="3"/>
  <c r="G1115" i="3"/>
  <c r="H1115" i="3"/>
  <c r="G1114" i="3"/>
  <c r="I1114" i="3"/>
  <c r="J1114" i="3"/>
  <c r="B1114" i="3"/>
  <c r="C1114" i="3"/>
  <c r="C1113" i="3"/>
  <c r="D1113" i="3"/>
  <c r="E1113" i="3"/>
  <c r="G1112" i="3"/>
  <c r="C1112" i="3"/>
  <c r="E1111" i="3"/>
  <c r="G1111" i="3"/>
  <c r="H1111" i="3"/>
  <c r="G1110" i="3"/>
  <c r="I1110" i="3"/>
  <c r="J1110" i="3"/>
  <c r="B1110" i="3"/>
  <c r="C1110" i="3"/>
  <c r="C1109" i="3"/>
  <c r="D1109" i="3"/>
  <c r="E1109" i="3"/>
  <c r="G1108" i="3"/>
  <c r="C1108" i="3"/>
  <c r="E1107" i="3"/>
  <c r="G1107" i="3"/>
  <c r="H1107" i="3"/>
  <c r="G1106" i="3"/>
  <c r="I1106" i="3"/>
  <c r="J1106" i="3"/>
  <c r="B1106" i="3"/>
  <c r="C1106" i="3"/>
  <c r="C1105" i="3"/>
  <c r="D1105" i="3"/>
  <c r="E1105" i="3"/>
  <c r="G1104" i="3"/>
  <c r="C1104" i="3"/>
  <c r="E1103" i="3"/>
  <c r="G1103" i="3"/>
  <c r="H1103" i="3"/>
  <c r="G1102" i="3"/>
  <c r="I1102" i="3"/>
  <c r="J1102" i="3"/>
  <c r="B1102" i="3"/>
  <c r="C1102" i="3"/>
  <c r="C1101" i="3"/>
  <c r="D1101" i="3"/>
  <c r="E1101" i="3"/>
  <c r="G1100" i="3"/>
  <c r="C1100" i="3"/>
  <c r="E1099" i="3"/>
  <c r="G1099" i="3"/>
  <c r="H1099" i="3"/>
  <c r="G1098" i="3"/>
  <c r="I1098" i="3"/>
  <c r="J1098" i="3"/>
  <c r="B1098" i="3"/>
  <c r="C1098" i="3"/>
  <c r="C1097" i="3"/>
  <c r="F1097" i="3"/>
  <c r="G1097" i="3"/>
  <c r="G1096" i="3"/>
  <c r="I1096" i="3"/>
  <c r="B1096" i="3"/>
  <c r="C1096" i="3"/>
  <c r="G1095" i="3"/>
  <c r="G1094" i="3"/>
  <c r="I1094" i="3"/>
  <c r="J1094" i="3"/>
  <c r="D1094" i="3"/>
  <c r="E1093" i="3"/>
  <c r="F1093" i="3"/>
  <c r="G1093" i="3"/>
  <c r="I1092" i="3"/>
  <c r="J1092" i="3"/>
  <c r="D1092" i="3"/>
  <c r="C1091" i="3"/>
  <c r="E1091" i="3"/>
  <c r="F1091" i="3"/>
  <c r="G1091" i="3"/>
  <c r="H1091" i="3"/>
  <c r="I1090" i="3"/>
  <c r="J1090" i="3"/>
  <c r="B1090" i="3"/>
  <c r="D1090" i="3"/>
  <c r="D1089" i="3"/>
  <c r="E1089" i="3"/>
  <c r="H1088" i="3"/>
  <c r="J1088" i="3"/>
  <c r="B1088" i="3"/>
  <c r="C1088" i="3"/>
  <c r="D1088" i="3"/>
  <c r="E1087" i="3"/>
  <c r="G1087" i="3"/>
  <c r="H1086" i="3"/>
  <c r="I1086" i="3"/>
  <c r="J1086" i="3"/>
  <c r="D1086" i="3"/>
  <c r="C1085" i="3"/>
  <c r="E1085" i="3"/>
  <c r="F1085" i="3"/>
  <c r="G1085" i="3"/>
  <c r="H1085" i="3"/>
  <c r="B1084" i="3"/>
  <c r="D1084" i="3"/>
  <c r="C1083" i="3"/>
  <c r="D1083" i="3"/>
  <c r="E1083" i="3"/>
  <c r="H1083" i="3"/>
  <c r="H1082" i="3"/>
  <c r="I1082" i="3"/>
  <c r="J1082" i="3"/>
  <c r="B1082" i="3"/>
  <c r="C1082" i="3"/>
  <c r="D1082" i="3"/>
  <c r="G1081" i="3"/>
  <c r="H1080" i="3"/>
  <c r="I1080" i="3"/>
  <c r="J1080" i="3"/>
  <c r="C1080" i="3"/>
  <c r="D1080" i="3"/>
  <c r="C1079" i="3"/>
  <c r="E1079" i="3"/>
  <c r="G1079" i="3"/>
  <c r="H1079" i="3"/>
  <c r="G1078" i="3"/>
  <c r="H1078" i="3"/>
  <c r="B1078" i="3"/>
  <c r="D1078" i="3"/>
  <c r="C1077" i="3"/>
  <c r="D1077" i="3"/>
  <c r="E1077" i="3"/>
  <c r="F1077" i="3"/>
  <c r="G1077" i="3"/>
  <c r="J1076" i="3"/>
  <c r="B1076" i="3"/>
  <c r="C1076" i="3"/>
  <c r="D1076" i="3"/>
  <c r="C1075" i="3"/>
  <c r="G1075" i="3"/>
  <c r="H1075" i="3"/>
  <c r="H1074" i="3"/>
  <c r="I1074" i="3"/>
  <c r="J1074" i="3"/>
  <c r="B1074" i="3"/>
  <c r="E1073" i="3"/>
  <c r="G1073" i="3"/>
  <c r="H1073" i="3"/>
  <c r="G1072" i="3"/>
  <c r="H1072" i="3"/>
  <c r="B1072" i="3"/>
  <c r="C1072" i="3"/>
  <c r="D1072" i="3"/>
  <c r="C1071" i="3"/>
  <c r="E1071" i="3"/>
  <c r="F1071" i="3"/>
  <c r="G1071" i="3"/>
  <c r="J1070" i="3"/>
  <c r="B1070" i="3"/>
  <c r="C1070" i="3"/>
  <c r="AB1029" i="5"/>
  <c r="AB1005" i="5"/>
  <c r="S1052" i="6"/>
  <c r="AC1053" i="5"/>
  <c r="L192" i="6"/>
  <c r="I1084" i="6"/>
  <c r="L125" i="6"/>
  <c r="C1078" i="6"/>
  <c r="S79" i="6"/>
  <c r="S1074" i="6" s="1"/>
  <c r="Q1074" i="6"/>
  <c r="L328" i="6"/>
  <c r="F1095" i="6"/>
  <c r="Q281" i="6"/>
  <c r="S281" i="6" s="1"/>
  <c r="R1091" i="6"/>
  <c r="S277" i="6"/>
  <c r="C1114" i="2"/>
  <c r="K1110" i="2"/>
  <c r="C1106" i="2"/>
  <c r="K1102" i="2"/>
  <c r="C1098" i="2"/>
  <c r="K1094" i="2"/>
  <c r="K1087" i="2"/>
  <c r="K1080" i="2"/>
  <c r="C1079" i="2"/>
  <c r="K1071" i="2"/>
  <c r="O1077" i="5"/>
  <c r="S908" i="6"/>
  <c r="AC909" i="5"/>
  <c r="F1115" i="5"/>
  <c r="O1096" i="5"/>
  <c r="AB965" i="5"/>
  <c r="AB941" i="5"/>
  <c r="L137" i="6"/>
  <c r="D1079" i="6"/>
  <c r="L115" i="6"/>
  <c r="C1077" i="6"/>
  <c r="S892" i="6"/>
  <c r="AC893" i="5"/>
  <c r="L346" i="6"/>
  <c r="I1096" i="6"/>
  <c r="K1114" i="2"/>
  <c r="C1110" i="2"/>
  <c r="K1106" i="2"/>
  <c r="C1102" i="2"/>
  <c r="K1098" i="2"/>
  <c r="C1094" i="2"/>
  <c r="K1088" i="2"/>
  <c r="C1087" i="2"/>
  <c r="C1086" i="2"/>
  <c r="K1079" i="2"/>
  <c r="C1078" i="2"/>
  <c r="K1072" i="2"/>
  <c r="C1071" i="2"/>
  <c r="I1115" i="2"/>
  <c r="I1111" i="2"/>
  <c r="I1107" i="2"/>
  <c r="I1103" i="2"/>
  <c r="I1099" i="2"/>
  <c r="I1095" i="2"/>
  <c r="I1090" i="2"/>
  <c r="I1089" i="2"/>
  <c r="I1082" i="2"/>
  <c r="I1081" i="2"/>
  <c r="I1074" i="2"/>
  <c r="I1073" i="2"/>
  <c r="AC1059" i="5"/>
  <c r="D1118" i="5"/>
  <c r="AB330" i="5"/>
  <c r="R1096" i="5"/>
  <c r="J1096" i="5"/>
  <c r="AB329" i="5"/>
  <c r="B1096" i="5"/>
  <c r="AC313" i="5"/>
  <c r="N1095" i="5"/>
  <c r="S1094" i="5"/>
  <c r="K1094" i="5"/>
  <c r="AB310" i="5"/>
  <c r="C1094" i="5"/>
  <c r="V1094" i="5"/>
  <c r="AC305" i="5"/>
  <c r="N1094" i="5"/>
  <c r="F1094" i="5"/>
  <c r="AB273" i="5"/>
  <c r="AB272" i="5"/>
  <c r="R1091" i="5"/>
  <c r="J1091" i="5"/>
  <c r="AB271" i="5"/>
  <c r="Q1091" i="5"/>
  <c r="I1091" i="5"/>
  <c r="AC175" i="5"/>
  <c r="M1083" i="5"/>
  <c r="AC134" i="5"/>
  <c r="N1080" i="5"/>
  <c r="AB134" i="5"/>
  <c r="F1080" i="5"/>
  <c r="AC126" i="5"/>
  <c r="O1079" i="5"/>
  <c r="AC111" i="5"/>
  <c r="M1078" i="5"/>
  <c r="Q1077" i="5"/>
  <c r="I1077" i="5"/>
  <c r="X1077" i="5"/>
  <c r="P1077" i="5"/>
  <c r="H1077" i="5"/>
  <c r="K1076" i="5"/>
  <c r="C1076" i="5"/>
  <c r="U1072" i="5"/>
  <c r="D1072" i="5"/>
  <c r="X1071" i="5"/>
  <c r="P1071" i="5"/>
  <c r="G1071" i="5"/>
  <c r="L135" i="6"/>
  <c r="H1079" i="6"/>
  <c r="Q26" i="6"/>
  <c r="R1070" i="6"/>
  <c r="F1117" i="2"/>
  <c r="H1116" i="2"/>
  <c r="J1115" i="2"/>
  <c r="B1114" i="2"/>
  <c r="F1113" i="2"/>
  <c r="H1112" i="2"/>
  <c r="J1111" i="2"/>
  <c r="B1110" i="2"/>
  <c r="F1109" i="2"/>
  <c r="H1108" i="2"/>
  <c r="J1107" i="2"/>
  <c r="B1106" i="2"/>
  <c r="F1105" i="2"/>
  <c r="H1104" i="2"/>
  <c r="J1103" i="2"/>
  <c r="B1102" i="2"/>
  <c r="F1101" i="2"/>
  <c r="H1100" i="2"/>
  <c r="J1099" i="2"/>
  <c r="B1098" i="2"/>
  <c r="F1097" i="2"/>
  <c r="H1096" i="2"/>
  <c r="J1095" i="2"/>
  <c r="B1094" i="2"/>
  <c r="F1093" i="2"/>
  <c r="F1092" i="2"/>
  <c r="H1091" i="2"/>
  <c r="H1090" i="2"/>
  <c r="J1089" i="2"/>
  <c r="J1088" i="2"/>
  <c r="B1088" i="2"/>
  <c r="B1087" i="2"/>
  <c r="F1085" i="2"/>
  <c r="F1084" i="2"/>
  <c r="H1083" i="2"/>
  <c r="H1082" i="2"/>
  <c r="J1081" i="2"/>
  <c r="J1080" i="2"/>
  <c r="B1080" i="2"/>
  <c r="B1079" i="2"/>
  <c r="F1077" i="2"/>
  <c r="F1076" i="2"/>
  <c r="H1075" i="2"/>
  <c r="H1074" i="2"/>
  <c r="J1073" i="2"/>
  <c r="J1072" i="2"/>
  <c r="B1072" i="2"/>
  <c r="B1071" i="2"/>
  <c r="I1117" i="3"/>
  <c r="E1116" i="3"/>
  <c r="F1116" i="3"/>
  <c r="I1115" i="3"/>
  <c r="I1113" i="3"/>
  <c r="E1112" i="3"/>
  <c r="F1112" i="3"/>
  <c r="I1111" i="3"/>
  <c r="I1109" i="3"/>
  <c r="E1108" i="3"/>
  <c r="F1108" i="3"/>
  <c r="I1107" i="3"/>
  <c r="I1105" i="3"/>
  <c r="E1104" i="3"/>
  <c r="F1104" i="3"/>
  <c r="I1103" i="3"/>
  <c r="I1101" i="3"/>
  <c r="E1100" i="3"/>
  <c r="F1100" i="3"/>
  <c r="I1099" i="3"/>
  <c r="I1097" i="3"/>
  <c r="B1097" i="3"/>
  <c r="I1095" i="3"/>
  <c r="J1095" i="3"/>
  <c r="B1095" i="3"/>
  <c r="I1093" i="3"/>
  <c r="J1093" i="3"/>
  <c r="F1092" i="3"/>
  <c r="E1090" i="3"/>
  <c r="F1090" i="3"/>
  <c r="I1089" i="3"/>
  <c r="J1089" i="3"/>
  <c r="B1089" i="3"/>
  <c r="I1087" i="3"/>
  <c r="J1087" i="3"/>
  <c r="F1086" i="3"/>
  <c r="I1085" i="3"/>
  <c r="E1084" i="3"/>
  <c r="F1084" i="3"/>
  <c r="I1081" i="3"/>
  <c r="J1081" i="3"/>
  <c r="B1081" i="3"/>
  <c r="F1080" i="3"/>
  <c r="I1079" i="3"/>
  <c r="F1078" i="3"/>
  <c r="B1075" i="3"/>
  <c r="F1074" i="3"/>
  <c r="I1073" i="3"/>
  <c r="J1073" i="3"/>
  <c r="B1073" i="3"/>
  <c r="F1072" i="3"/>
  <c r="D1070" i="3"/>
  <c r="E1070" i="3"/>
  <c r="I1158" i="4"/>
  <c r="M1158" i="4"/>
  <c r="E1158" i="4"/>
  <c r="K1158" i="4"/>
  <c r="C1158" i="4"/>
  <c r="I1157" i="4"/>
  <c r="O1157" i="4"/>
  <c r="G1157" i="4"/>
  <c r="K1157" i="4"/>
  <c r="C1157" i="4"/>
  <c r="I1156" i="4"/>
  <c r="O1156" i="4"/>
  <c r="G1156" i="4"/>
  <c r="M1156" i="4"/>
  <c r="E1156" i="4"/>
  <c r="K1156" i="4"/>
  <c r="C1156" i="4"/>
  <c r="O1155" i="4"/>
  <c r="G1155" i="4"/>
  <c r="M1155" i="4"/>
  <c r="E1155" i="4"/>
  <c r="K1155" i="4"/>
  <c r="C1155" i="4"/>
  <c r="I1154" i="4"/>
  <c r="M1154" i="4"/>
  <c r="E1154" i="4"/>
  <c r="K1154" i="4"/>
  <c r="C1154" i="4"/>
  <c r="I1153" i="4"/>
  <c r="O1153" i="4"/>
  <c r="G1153" i="4"/>
  <c r="K1153" i="4"/>
  <c r="C1153" i="4"/>
  <c r="I1152" i="4"/>
  <c r="O1152" i="4"/>
  <c r="G1152" i="4"/>
  <c r="M1152" i="4"/>
  <c r="E1152" i="4"/>
  <c r="K1152" i="4"/>
  <c r="C1152" i="4"/>
  <c r="O1151" i="4"/>
  <c r="G1151" i="4"/>
  <c r="M1151" i="4"/>
  <c r="E1151" i="4"/>
  <c r="K1151" i="4"/>
  <c r="C1151" i="4"/>
  <c r="I1150" i="4"/>
  <c r="M1150" i="4"/>
  <c r="E1150" i="4"/>
  <c r="K1150" i="4"/>
  <c r="C1150" i="4"/>
  <c r="I1149" i="4"/>
  <c r="O1149" i="4"/>
  <c r="G1149" i="4"/>
  <c r="K1149" i="4"/>
  <c r="C1149" i="4"/>
  <c r="I1148" i="4"/>
  <c r="O1148" i="4"/>
  <c r="G1148" i="4"/>
  <c r="M1148" i="4"/>
  <c r="E1148" i="4"/>
  <c r="K1148" i="4"/>
  <c r="C1148" i="4"/>
  <c r="O1147" i="4"/>
  <c r="G1147" i="4"/>
  <c r="M1147" i="4"/>
  <c r="E1147" i="4"/>
  <c r="K1147" i="4"/>
  <c r="C1147" i="4"/>
  <c r="I1146" i="4"/>
  <c r="M1146" i="4"/>
  <c r="E1146" i="4"/>
  <c r="K1146" i="4"/>
  <c r="C1146" i="4"/>
  <c r="I1145" i="4"/>
  <c r="O1145" i="4"/>
  <c r="G1145" i="4"/>
  <c r="K1145" i="4"/>
  <c r="C1145" i="4"/>
  <c r="I1144" i="4"/>
  <c r="O1144" i="4"/>
  <c r="G1144" i="4"/>
  <c r="M1144" i="4"/>
  <c r="E1144" i="4"/>
  <c r="K1144" i="4"/>
  <c r="C1144" i="4"/>
  <c r="O1143" i="4"/>
  <c r="G1143" i="4"/>
  <c r="M1143" i="4"/>
  <c r="E1143" i="4"/>
  <c r="K1143" i="4"/>
  <c r="C1143" i="4"/>
  <c r="I1142" i="4"/>
  <c r="M1142" i="4"/>
  <c r="E1142" i="4"/>
  <c r="K1142" i="4"/>
  <c r="C1142" i="4"/>
  <c r="I1141" i="4"/>
  <c r="O1141" i="4"/>
  <c r="G1141" i="4"/>
  <c r="K1141" i="4"/>
  <c r="C1141" i="4"/>
  <c r="I1140" i="4"/>
  <c r="O1140" i="4"/>
  <c r="G1140" i="4"/>
  <c r="M1140" i="4"/>
  <c r="E1140" i="4"/>
  <c r="K1140" i="4"/>
  <c r="C1140" i="4"/>
  <c r="O1139" i="4"/>
  <c r="G1139" i="4"/>
  <c r="M1139" i="4"/>
  <c r="E1139" i="4"/>
  <c r="K1139" i="4"/>
  <c r="C1139" i="4"/>
  <c r="I1138" i="4"/>
  <c r="M1138" i="4"/>
  <c r="E1138" i="4"/>
  <c r="K1138" i="4"/>
  <c r="C1138" i="4"/>
  <c r="I1137" i="4"/>
  <c r="O1137" i="4"/>
  <c r="G1137" i="4"/>
  <c r="K1137" i="4"/>
  <c r="C1137" i="4"/>
  <c r="I1136" i="4"/>
  <c r="O1136" i="4"/>
  <c r="G1136" i="4"/>
  <c r="M1136" i="4"/>
  <c r="E1136" i="4"/>
  <c r="K1136" i="4"/>
  <c r="C1136" i="4"/>
  <c r="O1135" i="4"/>
  <c r="G1135" i="4"/>
  <c r="M1135" i="4"/>
  <c r="E1135" i="4"/>
  <c r="K1135" i="4"/>
  <c r="C1135" i="4"/>
  <c r="I1134" i="4"/>
  <c r="M1134" i="4"/>
  <c r="E1134" i="4"/>
  <c r="K1134" i="4"/>
  <c r="C1134" i="4"/>
  <c r="I1133" i="4"/>
  <c r="O1133" i="4"/>
  <c r="G1133" i="4"/>
  <c r="K1133" i="4"/>
  <c r="C1133" i="4"/>
  <c r="I1132" i="4"/>
  <c r="O1132" i="4"/>
  <c r="G1132" i="4"/>
  <c r="M1132" i="4"/>
  <c r="E1132" i="4"/>
  <c r="K1132" i="4"/>
  <c r="C1132" i="4"/>
  <c r="O1131" i="4"/>
  <c r="G1131" i="4"/>
  <c r="M1131" i="4"/>
  <c r="E1131" i="4"/>
  <c r="K1131" i="4"/>
  <c r="C1131" i="4"/>
  <c r="I1130" i="4"/>
  <c r="M1130" i="4"/>
  <c r="E1130" i="4"/>
  <c r="K1130" i="4"/>
  <c r="C1130" i="4"/>
  <c r="I1129" i="4"/>
  <c r="O1129" i="4"/>
  <c r="G1129" i="4"/>
  <c r="K1129" i="4"/>
  <c r="C1129" i="4"/>
  <c r="I1128" i="4"/>
  <c r="O1128" i="4"/>
  <c r="G1128" i="4"/>
  <c r="M1128" i="4"/>
  <c r="E1128" i="4"/>
  <c r="K1128" i="4"/>
  <c r="C1128" i="4"/>
  <c r="O1127" i="4"/>
  <c r="G1127" i="4"/>
  <c r="M1127" i="4"/>
  <c r="E1127" i="4"/>
  <c r="K1127" i="4"/>
  <c r="C1127" i="4"/>
  <c r="I1126" i="4"/>
  <c r="M1126" i="4"/>
  <c r="E1126" i="4"/>
  <c r="K1126" i="4"/>
  <c r="C1126" i="4"/>
  <c r="I1125" i="4"/>
  <c r="O1125" i="4"/>
  <c r="G1125" i="4"/>
  <c r="K1125" i="4"/>
  <c r="C1125" i="4"/>
  <c r="I1124" i="4"/>
  <c r="O1124" i="4"/>
  <c r="G1124" i="4"/>
  <c r="M1124" i="4"/>
  <c r="E1124" i="4"/>
  <c r="K1124" i="4"/>
  <c r="C1124" i="4"/>
  <c r="O1123" i="4"/>
  <c r="G1123" i="4"/>
  <c r="M1123" i="4"/>
  <c r="E1123" i="4"/>
  <c r="K1123" i="4"/>
  <c r="C1123" i="4"/>
  <c r="I1122" i="4"/>
  <c r="M1122" i="4"/>
  <c r="E1122" i="4"/>
  <c r="K1122" i="4"/>
  <c r="C1122" i="4"/>
  <c r="I1121" i="4"/>
  <c r="O1121" i="4"/>
  <c r="G1121" i="4"/>
  <c r="K1121" i="4"/>
  <c r="C1121" i="4"/>
  <c r="I1120" i="4"/>
  <c r="O1120" i="4"/>
  <c r="G1120" i="4"/>
  <c r="M1120" i="4"/>
  <c r="E1120" i="4"/>
  <c r="K1120" i="4"/>
  <c r="C1120" i="4"/>
  <c r="O1119" i="4"/>
  <c r="G1119" i="4"/>
  <c r="M1119" i="4"/>
  <c r="E1119" i="4"/>
  <c r="K1119" i="4"/>
  <c r="C1119" i="4"/>
  <c r="I1118" i="4"/>
  <c r="M1118" i="4"/>
  <c r="E1118" i="4"/>
  <c r="K1118" i="4"/>
  <c r="C1118" i="4"/>
  <c r="I1117" i="4"/>
  <c r="O1117" i="4"/>
  <c r="G1117" i="4"/>
  <c r="K1117" i="4"/>
  <c r="C1117" i="4"/>
  <c r="I1116" i="4"/>
  <c r="O1116" i="4"/>
  <c r="G1116" i="4"/>
  <c r="M1116" i="4"/>
  <c r="E1116" i="4"/>
  <c r="K1116" i="4"/>
  <c r="C1116" i="4"/>
  <c r="O1115" i="4"/>
  <c r="G1115" i="4"/>
  <c r="M1115" i="4"/>
  <c r="E1115" i="4"/>
  <c r="K1115" i="4"/>
  <c r="C1115" i="4"/>
  <c r="I1114" i="4"/>
  <c r="M1114" i="4"/>
  <c r="E1114" i="4"/>
  <c r="K1114" i="4"/>
  <c r="C1114" i="4"/>
  <c r="I1112" i="4"/>
  <c r="O1112" i="4"/>
  <c r="G1112" i="4"/>
  <c r="M1112" i="4"/>
  <c r="E1112" i="4"/>
  <c r="K1112" i="4"/>
  <c r="C1112" i="4"/>
  <c r="O1111" i="4"/>
  <c r="G1111" i="4"/>
  <c r="M1111" i="4"/>
  <c r="E1111" i="4"/>
  <c r="K1111" i="4"/>
  <c r="C1111" i="4"/>
  <c r="I1110" i="4"/>
  <c r="M1110" i="4"/>
  <c r="E1110" i="4"/>
  <c r="K1110" i="4"/>
  <c r="C1110" i="4"/>
  <c r="I1109" i="4"/>
  <c r="O1109" i="4"/>
  <c r="G1109" i="4"/>
  <c r="M1109" i="4"/>
  <c r="E1109" i="4"/>
  <c r="K1109" i="4"/>
  <c r="C1109" i="4"/>
  <c r="I1108" i="4"/>
  <c r="O1108" i="4"/>
  <c r="G1108" i="4"/>
  <c r="M1108" i="4"/>
  <c r="E1108" i="4"/>
  <c r="K1108" i="4"/>
  <c r="C1108" i="4"/>
  <c r="O1107" i="4"/>
  <c r="G1107" i="4"/>
  <c r="M1107" i="4"/>
  <c r="E1107" i="4"/>
  <c r="K1107" i="4"/>
  <c r="C1107" i="4"/>
  <c r="I1106" i="4"/>
  <c r="M1106" i="4"/>
  <c r="E1106" i="4"/>
  <c r="K1106" i="4"/>
  <c r="C1106" i="4"/>
  <c r="I1105" i="4"/>
  <c r="O1105" i="4"/>
  <c r="G1105" i="4"/>
  <c r="M1105" i="4"/>
  <c r="E1105" i="4"/>
  <c r="K1105" i="4"/>
  <c r="C1105" i="4"/>
  <c r="I1104" i="4"/>
  <c r="O1104" i="4"/>
  <c r="G1104" i="4"/>
  <c r="M1104" i="4"/>
  <c r="E1104" i="4"/>
  <c r="K1104" i="4"/>
  <c r="C1104" i="4"/>
  <c r="O1103" i="4"/>
  <c r="G1103" i="4"/>
  <c r="M1103" i="4"/>
  <c r="E1103" i="4"/>
  <c r="K1103" i="4"/>
  <c r="C1103" i="4"/>
  <c r="I1102" i="4"/>
  <c r="M1102" i="4"/>
  <c r="E1102" i="4"/>
  <c r="K1102" i="4"/>
  <c r="C1102" i="4"/>
  <c r="I1101" i="4"/>
  <c r="O1101" i="4"/>
  <c r="G1101" i="4"/>
  <c r="M1101" i="4"/>
  <c r="E1101" i="4"/>
  <c r="K1101" i="4"/>
  <c r="C1101" i="4"/>
  <c r="I1100" i="4"/>
  <c r="O1100" i="4"/>
  <c r="G1100" i="4"/>
  <c r="M1100" i="4"/>
  <c r="E1100" i="4"/>
  <c r="K1100" i="4"/>
  <c r="C1100" i="4"/>
  <c r="I1099" i="4"/>
  <c r="O1099" i="4"/>
  <c r="G1099" i="4"/>
  <c r="M1099" i="4"/>
  <c r="E1099" i="4"/>
  <c r="K1099" i="4"/>
  <c r="C1099" i="4"/>
  <c r="I1098" i="4"/>
  <c r="O1098" i="4"/>
  <c r="G1098" i="4"/>
  <c r="M1098" i="4"/>
  <c r="E1098" i="4"/>
  <c r="K1098" i="4"/>
  <c r="C1098" i="4"/>
  <c r="I1097" i="4"/>
  <c r="O1097" i="4"/>
  <c r="G1097" i="4"/>
  <c r="M1097" i="4"/>
  <c r="E1097" i="4"/>
  <c r="K1097" i="4"/>
  <c r="C1097" i="4"/>
  <c r="I1096" i="4"/>
  <c r="O1096" i="4"/>
  <c r="G1096" i="4"/>
  <c r="M1096" i="4"/>
  <c r="E1096" i="4"/>
  <c r="K1096" i="4"/>
  <c r="C1096" i="4"/>
  <c r="I1095" i="4"/>
  <c r="O1095" i="4"/>
  <c r="G1095" i="4"/>
  <c r="M1095" i="4"/>
  <c r="E1095" i="4"/>
  <c r="K1095" i="4"/>
  <c r="C1095" i="4"/>
  <c r="I1094" i="4"/>
  <c r="O1094" i="4"/>
  <c r="G1094" i="4"/>
  <c r="G1113" i="4"/>
  <c r="M1094" i="4"/>
  <c r="M1113" i="4"/>
  <c r="E1094" i="4"/>
  <c r="E1113" i="4"/>
  <c r="K1113" i="4"/>
  <c r="K1094" i="4"/>
  <c r="C1113" i="4"/>
  <c r="C1094" i="4"/>
  <c r="I1093" i="4"/>
  <c r="I1113" i="4"/>
  <c r="O1113" i="4"/>
  <c r="O1093" i="4"/>
  <c r="AB1021" i="5"/>
  <c r="AC1013" i="5"/>
  <c r="AB973" i="5"/>
  <c r="AB839" i="5"/>
  <c r="AB775" i="5"/>
  <c r="AB711" i="5"/>
  <c r="AB647" i="5"/>
  <c r="AC587" i="5"/>
  <c r="N1117" i="5"/>
  <c r="AB583" i="5"/>
  <c r="B1117" i="5"/>
  <c r="AB566" i="5"/>
  <c r="C1116" i="5"/>
  <c r="AC540" i="5"/>
  <c r="M1113" i="5"/>
  <c r="T1113" i="5"/>
  <c r="L1113" i="5"/>
  <c r="AC523" i="5"/>
  <c r="N1112" i="5"/>
  <c r="AC522" i="5"/>
  <c r="M1112" i="5"/>
  <c r="AB519" i="5"/>
  <c r="B1112" i="5"/>
  <c r="AC487" i="5"/>
  <c r="N1109" i="5"/>
  <c r="AC476" i="5"/>
  <c r="M1108" i="5"/>
  <c r="AC459" i="5"/>
  <c r="N1107" i="5"/>
  <c r="AC458" i="5"/>
  <c r="M1107" i="5"/>
  <c r="T1107" i="5"/>
  <c r="L1107" i="5"/>
  <c r="D1107" i="5"/>
  <c r="AB455" i="5"/>
  <c r="AB438" i="5"/>
  <c r="C1105" i="5"/>
  <c r="V1104" i="5"/>
  <c r="AC423" i="5"/>
  <c r="N1104" i="5"/>
  <c r="F1104" i="5"/>
  <c r="AC412" i="5"/>
  <c r="M1103" i="5"/>
  <c r="AC395" i="5"/>
  <c r="N1101" i="5"/>
  <c r="AC394" i="5"/>
  <c r="M1101" i="5"/>
  <c r="AB391" i="5"/>
  <c r="B1101" i="5"/>
  <c r="Q1096" i="5"/>
  <c r="I1096" i="5"/>
  <c r="E1094" i="3"/>
  <c r="I1091" i="3"/>
  <c r="E1086" i="3"/>
  <c r="I1083" i="3"/>
  <c r="E1078" i="3"/>
  <c r="I1075" i="3"/>
  <c r="J1156" i="4"/>
  <c r="B1156" i="4"/>
  <c r="J1152" i="4"/>
  <c r="B1152" i="4"/>
  <c r="J1148" i="4"/>
  <c r="B1148" i="4"/>
  <c r="J1144" i="4"/>
  <c r="B1144" i="4"/>
  <c r="J1140" i="4"/>
  <c r="B1140" i="4"/>
  <c r="J1136" i="4"/>
  <c r="B1136" i="4"/>
  <c r="J1132" i="4"/>
  <c r="B1132" i="4"/>
  <c r="J1128" i="4"/>
  <c r="B1128" i="4"/>
  <c r="J1124" i="4"/>
  <c r="B1124" i="4"/>
  <c r="J1120" i="4"/>
  <c r="B1120" i="4"/>
  <c r="J1116" i="4"/>
  <c r="B1116" i="4"/>
  <c r="J1112" i="4"/>
  <c r="B1112" i="4"/>
  <c r="J1108" i="4"/>
  <c r="B1108" i="4"/>
  <c r="J1104" i="4"/>
  <c r="B1104" i="4"/>
  <c r="J1100" i="4"/>
  <c r="B1100" i="4"/>
  <c r="J1096" i="4"/>
  <c r="B1096" i="4"/>
  <c r="J1092" i="4"/>
  <c r="B1092" i="4"/>
  <c r="J1088" i="4"/>
  <c r="B1088" i="4"/>
  <c r="J1084" i="4"/>
  <c r="B1084" i="4"/>
  <c r="J1080" i="4"/>
  <c r="B1080" i="4"/>
  <c r="J1076" i="4"/>
  <c r="B1076" i="4"/>
  <c r="L1113" i="4"/>
  <c r="D1113" i="4"/>
  <c r="AB1013" i="5"/>
  <c r="AB949" i="5"/>
  <c r="AB895" i="5"/>
  <c r="N1158" i="4"/>
  <c r="F1158" i="4"/>
  <c r="H1155" i="4"/>
  <c r="N1154" i="4"/>
  <c r="F1154" i="4"/>
  <c r="H1151" i="4"/>
  <c r="N1150" i="4"/>
  <c r="F1150" i="4"/>
  <c r="H1147" i="4"/>
  <c r="N1146" i="4"/>
  <c r="F1146" i="4"/>
  <c r="H1143" i="4"/>
  <c r="N1142" i="4"/>
  <c r="F1142" i="4"/>
  <c r="H1139" i="4"/>
  <c r="N1138" i="4"/>
  <c r="F1138" i="4"/>
  <c r="H1135" i="4"/>
  <c r="N1134" i="4"/>
  <c r="F1134" i="4"/>
  <c r="H1131" i="4"/>
  <c r="N1130" i="4"/>
  <c r="F1130" i="4"/>
  <c r="H1127" i="4"/>
  <c r="N1126" i="4"/>
  <c r="F1126" i="4"/>
  <c r="H1123" i="4"/>
  <c r="N1122" i="4"/>
  <c r="F1122" i="4"/>
  <c r="H1119" i="4"/>
  <c r="N1118" i="4"/>
  <c r="F1118" i="4"/>
  <c r="H1115" i="4"/>
  <c r="N1114" i="4"/>
  <c r="F1114" i="4"/>
  <c r="H1111" i="4"/>
  <c r="N1110" i="4"/>
  <c r="F1110" i="4"/>
  <c r="H1107" i="4"/>
  <c r="N1106" i="4"/>
  <c r="F1106" i="4"/>
  <c r="H1103" i="4"/>
  <c r="N1102" i="4"/>
  <c r="F1102" i="4"/>
  <c r="H1099" i="4"/>
  <c r="N1098" i="4"/>
  <c r="F1098" i="4"/>
  <c r="H1095" i="4"/>
  <c r="N1094" i="4"/>
  <c r="F1094" i="4"/>
  <c r="H1091" i="4"/>
  <c r="N1090" i="4"/>
  <c r="F1090" i="4"/>
  <c r="H1087" i="4"/>
  <c r="N1086" i="4"/>
  <c r="F1086" i="4"/>
  <c r="AB1067" i="5"/>
  <c r="AB1045" i="5"/>
  <c r="AB981" i="5"/>
  <c r="AB901" i="5"/>
  <c r="AC826" i="5"/>
  <c r="AB823" i="5"/>
  <c r="AB813" i="5"/>
  <c r="AC762" i="5"/>
  <c r="AB759" i="5"/>
  <c r="AB749" i="5"/>
  <c r="AC698" i="5"/>
  <c r="AB695" i="5"/>
  <c r="AB685" i="5"/>
  <c r="AC634" i="5"/>
  <c r="AB631" i="5"/>
  <c r="AB621" i="5"/>
  <c r="T1117" i="5"/>
  <c r="L1117" i="5"/>
  <c r="AC570" i="5"/>
  <c r="AB567" i="5"/>
  <c r="B1116" i="5"/>
  <c r="AB557" i="5"/>
  <c r="V1115" i="5"/>
  <c r="AB550" i="5"/>
  <c r="C1114" i="5"/>
  <c r="AC506" i="5"/>
  <c r="T1111" i="5"/>
  <c r="L1111" i="5"/>
  <c r="D1111" i="5"/>
  <c r="AB503" i="5"/>
  <c r="B1110" i="5"/>
  <c r="AB493" i="5"/>
  <c r="V1108" i="5"/>
  <c r="AC471" i="5"/>
  <c r="N1108" i="5"/>
  <c r="F1108" i="5"/>
  <c r="AC442" i="5"/>
  <c r="M1105" i="5"/>
  <c r="AB439" i="5"/>
  <c r="AB429" i="5"/>
  <c r="AB422" i="5"/>
  <c r="C1104" i="5"/>
  <c r="AB393" i="5"/>
  <c r="T1101" i="5"/>
  <c r="D1101" i="5"/>
  <c r="AC378" i="5"/>
  <c r="AB375" i="5"/>
  <c r="B1100" i="5"/>
  <c r="AB365" i="5"/>
  <c r="N1099" i="5"/>
  <c r="F1099" i="5"/>
  <c r="V1098" i="5"/>
  <c r="AC352" i="5"/>
  <c r="N1098" i="5"/>
  <c r="AB352" i="5"/>
  <c r="F1098" i="5"/>
  <c r="AC247" i="5"/>
  <c r="O1089" i="5"/>
  <c r="AB229" i="5"/>
  <c r="D1088" i="5"/>
  <c r="AC222" i="5"/>
  <c r="AB221" i="5"/>
  <c r="J1087" i="5"/>
  <c r="AB217" i="5"/>
  <c r="B1087" i="5"/>
  <c r="H1096" i="3"/>
  <c r="C1095" i="3"/>
  <c r="G1092" i="3"/>
  <c r="H1092" i="3"/>
  <c r="C1089" i="3"/>
  <c r="D1087" i="3"/>
  <c r="G1084" i="3"/>
  <c r="H1084" i="3"/>
  <c r="C1081" i="3"/>
  <c r="D1079" i="3"/>
  <c r="G1076" i="3"/>
  <c r="H1076" i="3"/>
  <c r="C1073" i="3"/>
  <c r="D1071" i="3"/>
  <c r="F1070" i="3"/>
  <c r="M1157" i="4"/>
  <c r="E1157" i="4"/>
  <c r="M1153" i="4"/>
  <c r="E1153" i="4"/>
  <c r="M1149" i="4"/>
  <c r="E1149" i="4"/>
  <c r="M1145" i="4"/>
  <c r="E1145" i="4"/>
  <c r="M1141" i="4"/>
  <c r="E1141" i="4"/>
  <c r="M1137" i="4"/>
  <c r="E1137" i="4"/>
  <c r="M1133" i="4"/>
  <c r="E1133" i="4"/>
  <c r="M1129" i="4"/>
  <c r="E1129" i="4"/>
  <c r="M1125" i="4"/>
  <c r="E1125" i="4"/>
  <c r="M1121" i="4"/>
  <c r="E1121" i="4"/>
  <c r="M1117" i="4"/>
  <c r="E1117" i="4"/>
  <c r="AB1068" i="5"/>
  <c r="AB1053" i="5"/>
  <c r="AB989" i="5"/>
  <c r="AB925" i="5"/>
  <c r="AB924" i="5"/>
  <c r="AB903" i="5"/>
  <c r="X1089" i="5"/>
  <c r="AC241" i="5"/>
  <c r="P1089" i="5"/>
  <c r="AC231" i="5"/>
  <c r="M1088" i="5"/>
  <c r="AB228" i="5"/>
  <c r="AC223" i="5"/>
  <c r="L1157" i="4"/>
  <c r="D1157" i="4"/>
  <c r="L1153" i="4"/>
  <c r="D1153" i="4"/>
  <c r="L1149" i="4"/>
  <c r="D1149" i="4"/>
  <c r="L1145" i="4"/>
  <c r="D1145" i="4"/>
  <c r="L1141" i="4"/>
  <c r="D1141" i="4"/>
  <c r="L1137" i="4"/>
  <c r="D1137" i="4"/>
  <c r="L1133" i="4"/>
  <c r="D1133" i="4"/>
  <c r="L1129" i="4"/>
  <c r="D1129" i="4"/>
  <c r="L1125" i="4"/>
  <c r="D1125" i="4"/>
  <c r="L1121" i="4"/>
  <c r="D1121" i="4"/>
  <c r="L1117" i="4"/>
  <c r="D1117" i="4"/>
  <c r="L1109" i="4"/>
  <c r="D1109" i="4"/>
  <c r="L1105" i="4"/>
  <c r="D1105" i="4"/>
  <c r="L1101" i="4"/>
  <c r="D1101" i="4"/>
  <c r="L1097" i="4"/>
  <c r="D1097" i="4"/>
  <c r="L1093" i="4"/>
  <c r="D1093" i="4"/>
  <c r="L1089" i="4"/>
  <c r="D1089" i="4"/>
  <c r="L1085" i="4"/>
  <c r="D1085" i="4"/>
  <c r="H1083" i="4"/>
  <c r="N1082" i="4"/>
  <c r="F1082" i="4"/>
  <c r="L1081" i="4"/>
  <c r="D1081" i="4"/>
  <c r="H1079" i="4"/>
  <c r="N1078" i="4"/>
  <c r="F1078" i="4"/>
  <c r="L1077" i="4"/>
  <c r="D1077" i="4"/>
  <c r="H1075" i="4"/>
  <c r="N1074" i="4"/>
  <c r="F1074" i="4"/>
  <c r="L1073" i="4"/>
  <c r="D1073" i="4"/>
  <c r="J1072" i="4"/>
  <c r="B1072" i="4"/>
  <c r="H1071" i="4"/>
  <c r="M1116" i="5"/>
  <c r="AB997" i="5"/>
  <c r="AB933" i="5"/>
  <c r="AB891" i="5"/>
  <c r="AC887" i="5"/>
  <c r="AB881" i="5"/>
  <c r="AC1065" i="5"/>
  <c r="AB1064" i="5"/>
  <c r="AC1058" i="5"/>
  <c r="AB1051" i="5"/>
  <c r="AB1043" i="5"/>
  <c r="AB1035" i="5"/>
  <c r="AB1027" i="5"/>
  <c r="AB1019" i="5"/>
  <c r="AB1011" i="5"/>
  <c r="AB1003" i="5"/>
  <c r="AB995" i="5"/>
  <c r="AB987" i="5"/>
  <c r="AB979" i="5"/>
  <c r="AB971" i="5"/>
  <c r="AB963" i="5"/>
  <c r="AB955" i="5"/>
  <c r="AB947" i="5"/>
  <c r="AB939" i="5"/>
  <c r="AB931" i="5"/>
  <c r="AB906" i="5"/>
  <c r="AB841" i="5"/>
  <c r="AC834" i="5"/>
  <c r="AB831" i="5"/>
  <c r="AB777" i="5"/>
  <c r="AC770" i="5"/>
  <c r="AB767" i="5"/>
  <c r="AB757" i="5"/>
  <c r="AB713" i="5"/>
  <c r="AC706" i="5"/>
  <c r="AB703" i="5"/>
  <c r="AB693" i="5"/>
  <c r="AB649" i="5"/>
  <c r="AC642" i="5"/>
  <c r="AB639" i="5"/>
  <c r="AB629" i="5"/>
  <c r="AB585" i="5"/>
  <c r="AC578" i="5"/>
  <c r="AB575" i="5"/>
  <c r="AB565" i="5"/>
  <c r="V1114" i="5"/>
  <c r="AC543" i="5"/>
  <c r="N1114" i="5"/>
  <c r="F1114" i="5"/>
  <c r="AB521" i="5"/>
  <c r="AC514" i="5"/>
  <c r="AB511" i="5"/>
  <c r="AB501" i="5"/>
  <c r="AB494" i="5"/>
  <c r="C1110" i="5"/>
  <c r="AB457" i="5"/>
  <c r="AC450" i="5"/>
  <c r="T1106" i="5"/>
  <c r="J1106" i="5"/>
  <c r="AB447" i="5"/>
  <c r="AB1106" i="5" s="1"/>
  <c r="B1106" i="5"/>
  <c r="AB437" i="5"/>
  <c r="T1104" i="5"/>
  <c r="L1104" i="5"/>
  <c r="AB401" i="5"/>
  <c r="AC386" i="5"/>
  <c r="AB383" i="5"/>
  <c r="AB373" i="5"/>
  <c r="AB356" i="5"/>
  <c r="AB347" i="5"/>
  <c r="D1097" i="5"/>
  <c r="AB337" i="5"/>
  <c r="U1096" i="5"/>
  <c r="AC325" i="5"/>
  <c r="M1096" i="5"/>
  <c r="AB323" i="5"/>
  <c r="AB321" i="5"/>
  <c r="B1095" i="5"/>
  <c r="AB276" i="5"/>
  <c r="AC191" i="5"/>
  <c r="M1084" i="5"/>
  <c r="AB172" i="5"/>
  <c r="B1083" i="5"/>
  <c r="AC143" i="5"/>
  <c r="M1080" i="5"/>
  <c r="D1079" i="5"/>
  <c r="AC98" i="5"/>
  <c r="AB93" i="5"/>
  <c r="B1076" i="5"/>
  <c r="AC86" i="5"/>
  <c r="AB60" i="5"/>
  <c r="S1073" i="5"/>
  <c r="J1073" i="5"/>
  <c r="AB51" i="5"/>
  <c r="B1073" i="5"/>
  <c r="AB41" i="5"/>
  <c r="AB1066" i="5"/>
  <c r="AC1061" i="5"/>
  <c r="AB898" i="5"/>
  <c r="AB892" i="5"/>
  <c r="AB230" i="5"/>
  <c r="C1088" i="5"/>
  <c r="A1097" i="6"/>
  <c r="B1096" i="6"/>
  <c r="M1118" i="5"/>
  <c r="F1116" i="5"/>
  <c r="AC1062" i="5"/>
  <c r="AB1059" i="5"/>
  <c r="AC914" i="5"/>
  <c r="AB899" i="5"/>
  <c r="K1091" i="5"/>
  <c r="C1091" i="5"/>
  <c r="AC26" i="5"/>
  <c r="M1071" i="5"/>
  <c r="AB1062" i="5"/>
  <c r="AB1055" i="5"/>
  <c r="AB1047" i="5"/>
  <c r="AB1039" i="5"/>
  <c r="AB1031" i="5"/>
  <c r="AB1023" i="5"/>
  <c r="AB1015" i="5"/>
  <c r="AB1007" i="5"/>
  <c r="AB999" i="5"/>
  <c r="AB991" i="5"/>
  <c r="AB983" i="5"/>
  <c r="AB975" i="5"/>
  <c r="AB967" i="5"/>
  <c r="AB959" i="5"/>
  <c r="AB951" i="5"/>
  <c r="AB943" i="5"/>
  <c r="AB935" i="5"/>
  <c r="AB927" i="5"/>
  <c r="AB923" i="5"/>
  <c r="AB913" i="5"/>
  <c r="AB900" i="5"/>
  <c r="AB847" i="5"/>
  <c r="AC804" i="5"/>
  <c r="AB783" i="5"/>
  <c r="AB719" i="5"/>
  <c r="AB655" i="5"/>
  <c r="AB591" i="5"/>
  <c r="AB527" i="5"/>
  <c r="V1110" i="5"/>
  <c r="AC495" i="5"/>
  <c r="N1110" i="5"/>
  <c r="F1110" i="5"/>
  <c r="AC484" i="5"/>
  <c r="M1109" i="5"/>
  <c r="D1108" i="5"/>
  <c r="AB463" i="5"/>
  <c r="B1107" i="5"/>
  <c r="T1105" i="5"/>
  <c r="L1105" i="5"/>
  <c r="D1105" i="5"/>
  <c r="AB399" i="5"/>
  <c r="AC346" i="5"/>
  <c r="M1097" i="5"/>
  <c r="AB346" i="5"/>
  <c r="E1097" i="5"/>
  <c r="S1095" i="5"/>
  <c r="K1095" i="5"/>
  <c r="X1092" i="5"/>
  <c r="AC281" i="5"/>
  <c r="P1092" i="5"/>
  <c r="H1092" i="5"/>
  <c r="AB268" i="5"/>
  <c r="AB266" i="5"/>
  <c r="AB265" i="5"/>
  <c r="B1091" i="5"/>
  <c r="T1083" i="5"/>
  <c r="F1079" i="5"/>
  <c r="U1079" i="5"/>
  <c r="AC121" i="5"/>
  <c r="M1079" i="5"/>
  <c r="AB118" i="5"/>
  <c r="B1078" i="5"/>
  <c r="AB26" i="5"/>
  <c r="C1071" i="5"/>
  <c r="AC922" i="5"/>
  <c r="AB911" i="5"/>
  <c r="AB907" i="5"/>
  <c r="AC890" i="5"/>
  <c r="AB879" i="5"/>
  <c r="AB860" i="5"/>
  <c r="AB825" i="5"/>
  <c r="AC818" i="5"/>
  <c r="AB815" i="5"/>
  <c r="AB805" i="5"/>
  <c r="AB796" i="5"/>
  <c r="AB761" i="5"/>
  <c r="AC754" i="5"/>
  <c r="AB751" i="5"/>
  <c r="AB741" i="5"/>
  <c r="AB732" i="5"/>
  <c r="AB697" i="5"/>
  <c r="AC690" i="5"/>
  <c r="AB687" i="5"/>
  <c r="AB677" i="5"/>
  <c r="AB668" i="5"/>
  <c r="AB633" i="5"/>
  <c r="AC626" i="5"/>
  <c r="AB623" i="5"/>
  <c r="AB613" i="5"/>
  <c r="AB604" i="5"/>
  <c r="V1118" i="5"/>
  <c r="AC591" i="5"/>
  <c r="N1118" i="5"/>
  <c r="F1118" i="5"/>
  <c r="AB569" i="5"/>
  <c r="AC562" i="5"/>
  <c r="AB559" i="5"/>
  <c r="AB549" i="5"/>
  <c r="AB540" i="5"/>
  <c r="AB505" i="5"/>
  <c r="AC498" i="5"/>
  <c r="AB495" i="5"/>
  <c r="AB485" i="5"/>
  <c r="AB476" i="5"/>
  <c r="AB441" i="5"/>
  <c r="AC434" i="5"/>
  <c r="AB431" i="5"/>
  <c r="AB421" i="5"/>
  <c r="AB412" i="5"/>
  <c r="V1102" i="5"/>
  <c r="AC399" i="5"/>
  <c r="N1102" i="5"/>
  <c r="F1102" i="5"/>
  <c r="AB385" i="5"/>
  <c r="AC370" i="5"/>
  <c r="AB367" i="5"/>
  <c r="AB357" i="5"/>
  <c r="X1097" i="5"/>
  <c r="P1097" i="5"/>
  <c r="H1097" i="5"/>
  <c r="AB297" i="5"/>
  <c r="AB289" i="5"/>
  <c r="AB207" i="5"/>
  <c r="AB201" i="5"/>
  <c r="AB200" i="5"/>
  <c r="AB158" i="5"/>
  <c r="R1082" i="5"/>
  <c r="J1082" i="5"/>
  <c r="AB157" i="5"/>
  <c r="B1082" i="5"/>
  <c r="T1078" i="5"/>
  <c r="C1073" i="5"/>
  <c r="AB52" i="5"/>
  <c r="I1072" i="5"/>
  <c r="S267" i="6"/>
  <c r="Q1090" i="6"/>
  <c r="L235" i="6"/>
  <c r="H1087" i="6"/>
  <c r="L218" i="6"/>
  <c r="E1086" i="6"/>
  <c r="S198" i="6"/>
  <c r="S1084" i="6" s="1"/>
  <c r="Q1084" i="6"/>
  <c r="L194" i="6"/>
  <c r="C1084" i="6"/>
  <c r="L151" i="6"/>
  <c r="I1080" i="6"/>
  <c r="AB1063" i="5"/>
  <c r="AB1061" i="5"/>
  <c r="AB921" i="5"/>
  <c r="AB914" i="5"/>
  <c r="AB908" i="5"/>
  <c r="AB889" i="5"/>
  <c r="AB882" i="5"/>
  <c r="AC874" i="5"/>
  <c r="AB871" i="5"/>
  <c r="AB852" i="5"/>
  <c r="AB817" i="5"/>
  <c r="AC810" i="5"/>
  <c r="AB807" i="5"/>
  <c r="AB797" i="5"/>
  <c r="AB788" i="5"/>
  <c r="AB753" i="5"/>
  <c r="AC746" i="5"/>
  <c r="AB743" i="5"/>
  <c r="AB733" i="5"/>
  <c r="AB724" i="5"/>
  <c r="AB689" i="5"/>
  <c r="AC682" i="5"/>
  <c r="AB679" i="5"/>
  <c r="AB669" i="5"/>
  <c r="AB660" i="5"/>
  <c r="AB625" i="5"/>
  <c r="AC618" i="5"/>
  <c r="AB615" i="5"/>
  <c r="AB605" i="5"/>
  <c r="AB596" i="5"/>
  <c r="AB561" i="5"/>
  <c r="AC554" i="5"/>
  <c r="T1115" i="5"/>
  <c r="L1115" i="5"/>
  <c r="D1115" i="5"/>
  <c r="AB551" i="5"/>
  <c r="AB541" i="5"/>
  <c r="AB532" i="5"/>
  <c r="AB497" i="5"/>
  <c r="AC490" i="5"/>
  <c r="AB487" i="5"/>
  <c r="AB477" i="5"/>
  <c r="AB468" i="5"/>
  <c r="AC426" i="5"/>
  <c r="R1104" i="5"/>
  <c r="J1104" i="5"/>
  <c r="AB423" i="5"/>
  <c r="B1104" i="5"/>
  <c r="AB413" i="5"/>
  <c r="AB404" i="5"/>
  <c r="AB377" i="5"/>
  <c r="AC362" i="5"/>
  <c r="T1099" i="5"/>
  <c r="L1099" i="5"/>
  <c r="D1099" i="5"/>
  <c r="AB359" i="5"/>
  <c r="AC336" i="5"/>
  <c r="T1095" i="5"/>
  <c r="L1095" i="5"/>
  <c r="AB315" i="5"/>
  <c r="D1095" i="5"/>
  <c r="AB305" i="5"/>
  <c r="W1093" i="5"/>
  <c r="O1093" i="5"/>
  <c r="G1093" i="5"/>
  <c r="AB291" i="5"/>
  <c r="AC283" i="5"/>
  <c r="AB251" i="5"/>
  <c r="S1089" i="5"/>
  <c r="K1089" i="5"/>
  <c r="C1089" i="5"/>
  <c r="AB193" i="5"/>
  <c r="AB181" i="5"/>
  <c r="AB177" i="5"/>
  <c r="AB176" i="5"/>
  <c r="AB161" i="5"/>
  <c r="AB144" i="5"/>
  <c r="T1080" i="5"/>
  <c r="L1080" i="5"/>
  <c r="AB136" i="5"/>
  <c r="D1080" i="5"/>
  <c r="AB71" i="5"/>
  <c r="AB69" i="5"/>
  <c r="AB65" i="5"/>
  <c r="AB63" i="5"/>
  <c r="AB1049" i="5"/>
  <c r="AB919" i="5"/>
  <c r="AB915" i="5"/>
  <c r="AB887" i="5"/>
  <c r="AB883" i="5"/>
  <c r="AB873" i="5"/>
  <c r="AB863" i="5"/>
  <c r="AB844" i="5"/>
  <c r="AB809" i="5"/>
  <c r="AB799" i="5"/>
  <c r="AB780" i="5"/>
  <c r="AB745" i="5"/>
  <c r="AB735" i="5"/>
  <c r="AB716" i="5"/>
  <c r="AB681" i="5"/>
  <c r="AB671" i="5"/>
  <c r="AB652" i="5"/>
  <c r="AB617" i="5"/>
  <c r="AB607" i="5"/>
  <c r="AB588" i="5"/>
  <c r="AB553" i="5"/>
  <c r="AB543" i="5"/>
  <c r="AB524" i="5"/>
  <c r="AB489" i="5"/>
  <c r="AB479" i="5"/>
  <c r="AB460" i="5"/>
  <c r="V1106" i="5"/>
  <c r="AC447" i="5"/>
  <c r="N1106" i="5"/>
  <c r="F1106" i="5"/>
  <c r="AB433" i="5"/>
  <c r="AB415" i="5"/>
  <c r="AB396" i="5"/>
  <c r="AB369" i="5"/>
  <c r="AB334" i="5"/>
  <c r="AB314" i="5"/>
  <c r="AB260" i="5"/>
  <c r="B1090" i="5"/>
  <c r="AB180" i="5"/>
  <c r="S1081" i="5"/>
  <c r="K1081" i="5"/>
  <c r="C1081" i="5"/>
  <c r="AB79" i="5"/>
  <c r="V1075" i="5"/>
  <c r="N1075" i="5"/>
  <c r="F1075" i="5"/>
  <c r="AB70" i="5"/>
  <c r="AB29" i="5"/>
  <c r="L1018" i="6"/>
  <c r="AB1041" i="5"/>
  <c r="AB1033" i="5"/>
  <c r="AB1025" i="5"/>
  <c r="AB993" i="5"/>
  <c r="AB985" i="5"/>
  <c r="AB977" i="5"/>
  <c r="AB969" i="5"/>
  <c r="AB961" i="5"/>
  <c r="AB953" i="5"/>
  <c r="AB945" i="5"/>
  <c r="AB937" i="5"/>
  <c r="AB929" i="5"/>
  <c r="AB922" i="5"/>
  <c r="AB916" i="5"/>
  <c r="AB897" i="5"/>
  <c r="AB890" i="5"/>
  <c r="AB884" i="5"/>
  <c r="AC876" i="5"/>
  <c r="AB865" i="5"/>
  <c r="AB855" i="5"/>
  <c r="AB801" i="5"/>
  <c r="AB791" i="5"/>
  <c r="AB737" i="5"/>
  <c r="AB727" i="5"/>
  <c r="AB673" i="5"/>
  <c r="AB663" i="5"/>
  <c r="AB609" i="5"/>
  <c r="AB599" i="5"/>
  <c r="AB545" i="5"/>
  <c r="AB535" i="5"/>
  <c r="AB481" i="5"/>
  <c r="R1108" i="5"/>
  <c r="J1108" i="5"/>
  <c r="AB471" i="5"/>
  <c r="B1108" i="5"/>
  <c r="AB425" i="5"/>
  <c r="T1103" i="5"/>
  <c r="L1103" i="5"/>
  <c r="D1103" i="5"/>
  <c r="AB407" i="5"/>
  <c r="AB361" i="5"/>
  <c r="AB351" i="5"/>
  <c r="AB225" i="5"/>
  <c r="U1087" i="5"/>
  <c r="AC220" i="5"/>
  <c r="M1087" i="5"/>
  <c r="E1087" i="5"/>
  <c r="AB150" i="5"/>
  <c r="AB107" i="5"/>
  <c r="AC74" i="5"/>
  <c r="AB72" i="5"/>
  <c r="AB35" i="5"/>
  <c r="L1032" i="6"/>
  <c r="AC1056" i="5"/>
  <c r="AC1054" i="5"/>
  <c r="AC1049" i="5"/>
  <c r="AC1048" i="5"/>
  <c r="AC1046" i="5"/>
  <c r="AC1041" i="5"/>
  <c r="AC1040" i="5"/>
  <c r="AC1038" i="5"/>
  <c r="AC1033" i="5"/>
  <c r="AC1032" i="5"/>
  <c r="AC1030" i="5"/>
  <c r="AC1025" i="5"/>
  <c r="AC1024" i="5"/>
  <c r="AC1022" i="5"/>
  <c r="AC1017" i="5"/>
  <c r="AC1016" i="5"/>
  <c r="AC1014" i="5"/>
  <c r="AC1009" i="5"/>
  <c r="AC1008" i="5"/>
  <c r="AC1006" i="5"/>
  <c r="AC1001" i="5"/>
  <c r="AC1000" i="5"/>
  <c r="AC998" i="5"/>
  <c r="AC993" i="5"/>
  <c r="AC992" i="5"/>
  <c r="AC990" i="5"/>
  <c r="AC985" i="5"/>
  <c r="AC984" i="5"/>
  <c r="AC982" i="5"/>
  <c r="AC977" i="5"/>
  <c r="AC976" i="5"/>
  <c r="AC974" i="5"/>
  <c r="AC969" i="5"/>
  <c r="AC968" i="5"/>
  <c r="AC966" i="5"/>
  <c r="AC961" i="5"/>
  <c r="AC960" i="5"/>
  <c r="AC958" i="5"/>
  <c r="AC953" i="5"/>
  <c r="AC952" i="5"/>
  <c r="AC950" i="5"/>
  <c r="AC945" i="5"/>
  <c r="AC944" i="5"/>
  <c r="AC942" i="5"/>
  <c r="AC937" i="5"/>
  <c r="AC936" i="5"/>
  <c r="AC934" i="5"/>
  <c r="AC929" i="5"/>
  <c r="AC928" i="5"/>
  <c r="AC926" i="5"/>
  <c r="AC921" i="5"/>
  <c r="AC920" i="5"/>
  <c r="AC918" i="5"/>
  <c r="AC913" i="5"/>
  <c r="AC912" i="5"/>
  <c r="AC910" i="5"/>
  <c r="AC905" i="5"/>
  <c r="AC904" i="5"/>
  <c r="AC902" i="5"/>
  <c r="AC897" i="5"/>
  <c r="AC896" i="5"/>
  <c r="AC894" i="5"/>
  <c r="AC889" i="5"/>
  <c r="AC888" i="5"/>
  <c r="AC886" i="5"/>
  <c r="AC881" i="5"/>
  <c r="AC880" i="5"/>
  <c r="AC878" i="5"/>
  <c r="AC873" i="5"/>
  <c r="AC872" i="5"/>
  <c r="AC870" i="5"/>
  <c r="AC865" i="5"/>
  <c r="AC864" i="5"/>
  <c r="AC862" i="5"/>
  <c r="AC857" i="5"/>
  <c r="AC856" i="5"/>
  <c r="AC854" i="5"/>
  <c r="AC849" i="5"/>
  <c r="AC848" i="5"/>
  <c r="AC846" i="5"/>
  <c r="AC841" i="5"/>
  <c r="AC840" i="5"/>
  <c r="AC838" i="5"/>
  <c r="AC833" i="5"/>
  <c r="AC832" i="5"/>
  <c r="AC830" i="5"/>
  <c r="AC825" i="5"/>
  <c r="AC824" i="5"/>
  <c r="AC822" i="5"/>
  <c r="AC817" i="5"/>
  <c r="AC816" i="5"/>
  <c r="AC814" i="5"/>
  <c r="AC809" i="5"/>
  <c r="AC808" i="5"/>
  <c r="AC806" i="5"/>
  <c r="AC801" i="5"/>
  <c r="AC800" i="5"/>
  <c r="AC798" i="5"/>
  <c r="AC793" i="5"/>
  <c r="AC792" i="5"/>
  <c r="AC790" i="5"/>
  <c r="AC785" i="5"/>
  <c r="AC784" i="5"/>
  <c r="AC782" i="5"/>
  <c r="AC777" i="5"/>
  <c r="AC776" i="5"/>
  <c r="AC774" i="5"/>
  <c r="AC769" i="5"/>
  <c r="AC768" i="5"/>
  <c r="AC766" i="5"/>
  <c r="AC761" i="5"/>
  <c r="AC760" i="5"/>
  <c r="AC758" i="5"/>
  <c r="AC753" i="5"/>
  <c r="AC752" i="5"/>
  <c r="AC750" i="5"/>
  <c r="AC745" i="5"/>
  <c r="AC744" i="5"/>
  <c r="AC742" i="5"/>
  <c r="AC737" i="5"/>
  <c r="AC736" i="5"/>
  <c r="AC734" i="5"/>
  <c r="AC729" i="5"/>
  <c r="AC728" i="5"/>
  <c r="AC726" i="5"/>
  <c r="AC721" i="5"/>
  <c r="AC720" i="5"/>
  <c r="AC718" i="5"/>
  <c r="AC713" i="5"/>
  <c r="AC712" i="5"/>
  <c r="AC710" i="5"/>
  <c r="AC705" i="5"/>
  <c r="AC704" i="5"/>
  <c r="AC702" i="5"/>
  <c r="AC697" i="5"/>
  <c r="AC696" i="5"/>
  <c r="AC694" i="5"/>
  <c r="AC689" i="5"/>
  <c r="AC688" i="5"/>
  <c r="AC686" i="5"/>
  <c r="AC681" i="5"/>
  <c r="AC680" i="5"/>
  <c r="AC678" i="5"/>
  <c r="AC673" i="5"/>
  <c r="AC672" i="5"/>
  <c r="AC670" i="5"/>
  <c r="AC665" i="5"/>
  <c r="AC664" i="5"/>
  <c r="AC662" i="5"/>
  <c r="AC657" i="5"/>
  <c r="AC656" i="5"/>
  <c r="AC654" i="5"/>
  <c r="AC649" i="5"/>
  <c r="AC648" i="5"/>
  <c r="AC646" i="5"/>
  <c r="AC641" i="5"/>
  <c r="AC640" i="5"/>
  <c r="AC638" i="5"/>
  <c r="AC633" i="5"/>
  <c r="AC632" i="5"/>
  <c r="AC630" i="5"/>
  <c r="AC625" i="5"/>
  <c r="AC624" i="5"/>
  <c r="AC622" i="5"/>
  <c r="AC617" i="5"/>
  <c r="AC616" i="5"/>
  <c r="AC614" i="5"/>
  <c r="AC609" i="5"/>
  <c r="AC608" i="5"/>
  <c r="AC606" i="5"/>
  <c r="AC601" i="5"/>
  <c r="AC600" i="5"/>
  <c r="AC598" i="5"/>
  <c r="AC593" i="5"/>
  <c r="AC592" i="5"/>
  <c r="AC590" i="5"/>
  <c r="AC585" i="5"/>
  <c r="AC584" i="5"/>
  <c r="AC582" i="5"/>
  <c r="AC577" i="5"/>
  <c r="AC576" i="5"/>
  <c r="AC574" i="5"/>
  <c r="AC569" i="5"/>
  <c r="AC568" i="5"/>
  <c r="AC566" i="5"/>
  <c r="AC561" i="5"/>
  <c r="AC560" i="5"/>
  <c r="AC558" i="5"/>
  <c r="AC553" i="5"/>
  <c r="AC1115" i="5" s="1"/>
  <c r="AC552" i="5"/>
  <c r="AC550" i="5"/>
  <c r="AC545" i="5"/>
  <c r="AC544" i="5"/>
  <c r="AC542" i="5"/>
  <c r="AC537" i="5"/>
  <c r="AC536" i="5"/>
  <c r="AC534" i="5"/>
  <c r="AC529" i="5"/>
  <c r="AC528" i="5"/>
  <c r="AC526" i="5"/>
  <c r="AC521" i="5"/>
  <c r="AC520" i="5"/>
  <c r="AC518" i="5"/>
  <c r="AC513" i="5"/>
  <c r="AC512" i="5"/>
  <c r="AC510" i="5"/>
  <c r="AC505" i="5"/>
  <c r="AC504" i="5"/>
  <c r="AC502" i="5"/>
  <c r="AC497" i="5"/>
  <c r="AC496" i="5"/>
  <c r="AC494" i="5"/>
  <c r="AC489" i="5"/>
  <c r="AC488" i="5"/>
  <c r="AC486" i="5"/>
  <c r="AC481" i="5"/>
  <c r="AC480" i="5"/>
  <c r="AC478" i="5"/>
  <c r="AC473" i="5"/>
  <c r="AC472" i="5"/>
  <c r="AC470" i="5"/>
  <c r="AC1108" i="5" s="1"/>
  <c r="AC465" i="5"/>
  <c r="AC464" i="5"/>
  <c r="AC462" i="5"/>
  <c r="AC457" i="5"/>
  <c r="AC456" i="5"/>
  <c r="AC454" i="5"/>
  <c r="AC449" i="5"/>
  <c r="AC448" i="5"/>
  <c r="AC446" i="5"/>
  <c r="AC441" i="5"/>
  <c r="AC440" i="5"/>
  <c r="AC438" i="5"/>
  <c r="AC433" i="5"/>
  <c r="AC432" i="5"/>
  <c r="AC430" i="5"/>
  <c r="AC425" i="5"/>
  <c r="AC424" i="5"/>
  <c r="AC422" i="5"/>
  <c r="AC417" i="5"/>
  <c r="AC416" i="5"/>
  <c r="AC414" i="5"/>
  <c r="AC409" i="5"/>
  <c r="AC408" i="5"/>
  <c r="AC406" i="5"/>
  <c r="AC401" i="5"/>
  <c r="AC400" i="5"/>
  <c r="AC398" i="5"/>
  <c r="AC393" i="5"/>
  <c r="AC392" i="5"/>
  <c r="AC390" i="5"/>
  <c r="AC385" i="5"/>
  <c r="AC384" i="5"/>
  <c r="AC382" i="5"/>
  <c r="AC377" i="5"/>
  <c r="AC376" i="5"/>
  <c r="AC374" i="5"/>
  <c r="AC369" i="5"/>
  <c r="AC368" i="5"/>
  <c r="AC366" i="5"/>
  <c r="AC361" i="5"/>
  <c r="AC1099" i="5" s="1"/>
  <c r="AC360" i="5"/>
  <c r="AC358" i="5"/>
  <c r="AC353" i="5"/>
  <c r="AC350" i="5"/>
  <c r="AC343" i="5"/>
  <c r="AB332" i="5"/>
  <c r="AB328" i="5"/>
  <c r="AC323" i="5"/>
  <c r="AC322" i="5"/>
  <c r="AC311" i="5"/>
  <c r="AB300" i="5"/>
  <c r="AB296" i="5"/>
  <c r="AB275" i="5"/>
  <c r="AB262" i="5"/>
  <c r="AC254" i="5"/>
  <c r="AB253" i="5"/>
  <c r="AB249" i="5"/>
  <c r="AB227" i="5"/>
  <c r="AB226" i="5"/>
  <c r="AC219" i="5"/>
  <c r="AB212" i="5"/>
  <c r="AB204" i="5"/>
  <c r="AC180" i="5"/>
  <c r="AB162" i="5"/>
  <c r="AB142" i="5"/>
  <c r="AB140" i="5"/>
  <c r="AC135" i="5"/>
  <c r="AC122" i="5"/>
  <c r="AB120" i="5"/>
  <c r="AC110" i="5"/>
  <c r="AB109" i="5"/>
  <c r="AB103" i="5"/>
  <c r="AC96" i="5"/>
  <c r="S1074" i="5"/>
  <c r="K1074" i="5"/>
  <c r="C1074" i="5"/>
  <c r="AB44" i="5"/>
  <c r="V1072" i="5"/>
  <c r="AC39" i="5"/>
  <c r="N1072" i="5"/>
  <c r="E1072" i="5"/>
  <c r="AB37" i="5"/>
  <c r="AB874" i="5"/>
  <c r="AB866" i="5"/>
  <c r="AB858" i="5"/>
  <c r="AB850" i="5"/>
  <c r="AB842" i="5"/>
  <c r="AB834" i="5"/>
  <c r="AB826" i="5"/>
  <c r="AB818" i="5"/>
  <c r="AB810" i="5"/>
  <c r="AB802" i="5"/>
  <c r="AB794" i="5"/>
  <c r="AB786" i="5"/>
  <c r="AB778" i="5"/>
  <c r="AB770" i="5"/>
  <c r="AB762" i="5"/>
  <c r="AB754" i="5"/>
  <c r="AB746" i="5"/>
  <c r="AB738" i="5"/>
  <c r="AB730" i="5"/>
  <c r="AB722" i="5"/>
  <c r="AB714" i="5"/>
  <c r="AB706" i="5"/>
  <c r="AB698" i="5"/>
  <c r="AB690" i="5"/>
  <c r="AB682" i="5"/>
  <c r="AB674" i="5"/>
  <c r="AB666" i="5"/>
  <c r="AB658" i="5"/>
  <c r="AB650" i="5"/>
  <c r="AB642" i="5"/>
  <c r="AB634" i="5"/>
  <c r="AB626" i="5"/>
  <c r="AB618" i="5"/>
  <c r="AB610" i="5"/>
  <c r="AB602" i="5"/>
  <c r="AB594" i="5"/>
  <c r="AB586" i="5"/>
  <c r="AB578" i="5"/>
  <c r="AB570" i="5"/>
  <c r="AB562" i="5"/>
  <c r="AB554" i="5"/>
  <c r="AB546" i="5"/>
  <c r="AB538" i="5"/>
  <c r="AB530" i="5"/>
  <c r="AB522" i="5"/>
  <c r="AB514" i="5"/>
  <c r="AB506" i="5"/>
  <c r="AB498" i="5"/>
  <c r="AB490" i="5"/>
  <c r="AB482" i="5"/>
  <c r="AB474" i="5"/>
  <c r="AB466" i="5"/>
  <c r="AB458" i="5"/>
  <c r="AB450" i="5"/>
  <c r="AB442" i="5"/>
  <c r="AB434" i="5"/>
  <c r="AB426" i="5"/>
  <c r="AB418" i="5"/>
  <c r="AB410" i="5"/>
  <c r="AB402" i="5"/>
  <c r="AB394" i="5"/>
  <c r="AB386" i="5"/>
  <c r="AB378" i="5"/>
  <c r="AB370" i="5"/>
  <c r="AB362" i="5"/>
  <c r="AB355" i="5"/>
  <c r="AB354" i="5"/>
  <c r="AB348" i="5"/>
  <c r="AB344" i="5"/>
  <c r="AC339" i="5"/>
  <c r="AC338" i="5"/>
  <c r="AC327" i="5"/>
  <c r="AB316" i="5"/>
  <c r="AB312" i="5"/>
  <c r="AC307" i="5"/>
  <c r="AC306" i="5"/>
  <c r="AC295" i="5"/>
  <c r="AB292" i="5"/>
  <c r="AC285" i="5"/>
  <c r="AB283" i="5"/>
  <c r="AC274" i="5"/>
  <c r="AB257" i="5"/>
  <c r="AB245" i="5"/>
  <c r="AC225" i="5"/>
  <c r="AB197" i="5"/>
  <c r="AC188" i="5"/>
  <c r="AB175" i="5"/>
  <c r="AB169" i="5"/>
  <c r="AB167" i="5"/>
  <c r="AB166" i="5"/>
  <c r="AB154" i="5"/>
  <c r="AB147" i="5"/>
  <c r="AB146" i="5"/>
  <c r="AC129" i="5"/>
  <c r="AB126" i="5"/>
  <c r="AB115" i="5"/>
  <c r="AB99" i="5"/>
  <c r="Q1076" i="5"/>
  <c r="I1076" i="5"/>
  <c r="AC87" i="5"/>
  <c r="AC79" i="5"/>
  <c r="AB53" i="5"/>
  <c r="AC29" i="5"/>
  <c r="L1063" i="6"/>
  <c r="L1051" i="6"/>
  <c r="L988" i="6"/>
  <c r="L982" i="6"/>
  <c r="L909" i="6"/>
  <c r="AB875" i="5"/>
  <c r="AB867" i="5"/>
  <c r="AB859" i="5"/>
  <c r="AB851" i="5"/>
  <c r="AB843" i="5"/>
  <c r="AB835" i="5"/>
  <c r="AB827" i="5"/>
  <c r="AB819" i="5"/>
  <c r="AB811" i="5"/>
  <c r="AB803" i="5"/>
  <c r="AB795" i="5"/>
  <c r="AB787" i="5"/>
  <c r="AB779" i="5"/>
  <c r="AB771" i="5"/>
  <c r="AB763" i="5"/>
  <c r="AB755" i="5"/>
  <c r="AB747" i="5"/>
  <c r="AB739" i="5"/>
  <c r="AB731" i="5"/>
  <c r="AB723" i="5"/>
  <c r="AB715" i="5"/>
  <c r="AB707" i="5"/>
  <c r="AB699" i="5"/>
  <c r="AB691" i="5"/>
  <c r="AB683" i="5"/>
  <c r="AB675" i="5"/>
  <c r="AB667" i="5"/>
  <c r="AB659" i="5"/>
  <c r="AB651" i="5"/>
  <c r="AB643" i="5"/>
  <c r="AB635" i="5"/>
  <c r="AB627" i="5"/>
  <c r="AB619" i="5"/>
  <c r="AB611" i="5"/>
  <c r="AB603" i="5"/>
  <c r="AB595" i="5"/>
  <c r="AB587" i="5"/>
  <c r="AB579" i="5"/>
  <c r="AB571" i="5"/>
  <c r="AB563" i="5"/>
  <c r="AB555" i="5"/>
  <c r="AB547" i="5"/>
  <c r="AB539" i="5"/>
  <c r="AB531" i="5"/>
  <c r="AB523" i="5"/>
  <c r="AB515" i="5"/>
  <c r="AB507" i="5"/>
  <c r="AB499" i="5"/>
  <c r="AB491" i="5"/>
  <c r="AB483" i="5"/>
  <c r="AB475" i="5"/>
  <c r="AB467" i="5"/>
  <c r="AB459" i="5"/>
  <c r="AB451" i="5"/>
  <c r="AB443" i="5"/>
  <c r="AB435" i="5"/>
  <c r="AB427" i="5"/>
  <c r="AB419" i="5"/>
  <c r="AB411" i="5"/>
  <c r="AB403" i="5"/>
  <c r="AB395" i="5"/>
  <c r="AB387" i="5"/>
  <c r="AB379" i="5"/>
  <c r="AB371" i="5"/>
  <c r="AB363" i="5"/>
  <c r="AB345" i="5"/>
  <c r="AC340" i="5"/>
  <c r="AB326" i="5"/>
  <c r="AB325" i="5"/>
  <c r="AB313" i="5"/>
  <c r="AC308" i="5"/>
  <c r="AB294" i="5"/>
  <c r="AC286" i="5"/>
  <c r="AB285" i="5"/>
  <c r="AB281" i="5"/>
  <c r="AB259" i="5"/>
  <c r="AB258" i="5"/>
  <c r="AC251" i="5"/>
  <c r="AB244" i="5"/>
  <c r="AB236" i="5"/>
  <c r="AC212" i="5"/>
  <c r="AC199" i="5"/>
  <c r="AB196" i="5"/>
  <c r="AC189" i="5"/>
  <c r="AB187" i="5"/>
  <c r="AC178" i="5"/>
  <c r="AC130" i="5"/>
  <c r="AB128" i="5"/>
  <c r="AB117" i="5"/>
  <c r="AB116" i="5"/>
  <c r="AC107" i="5"/>
  <c r="AB98" i="5"/>
  <c r="AC88" i="5"/>
  <c r="AB87" i="5"/>
  <c r="AB59" i="5"/>
  <c r="AB48" i="5"/>
  <c r="L991" i="6"/>
  <c r="AB339" i="5"/>
  <c r="AC309" i="5"/>
  <c r="AB307" i="5"/>
  <c r="AC289" i="5"/>
  <c r="AB261" i="5"/>
  <c r="AC252" i="5"/>
  <c r="AB239" i="5"/>
  <c r="AB233" i="5"/>
  <c r="AB232" i="5"/>
  <c r="AB211" i="5"/>
  <c r="AB198" i="5"/>
  <c r="AC190" i="5"/>
  <c r="AB189" i="5"/>
  <c r="AB185" i="5"/>
  <c r="AB141" i="5"/>
  <c r="AB139" i="5"/>
  <c r="AB138" i="5"/>
  <c r="AC131" i="5"/>
  <c r="AB119" i="5"/>
  <c r="AC108" i="5"/>
  <c r="AB95" i="5"/>
  <c r="AB80" i="5"/>
  <c r="AC55" i="5"/>
  <c r="AB54" i="5"/>
  <c r="AC36" i="5"/>
  <c r="AB36" i="5"/>
  <c r="AB33" i="5"/>
  <c r="L1012" i="6"/>
  <c r="AB335" i="5"/>
  <c r="AB319" i="5"/>
  <c r="AB303" i="5"/>
  <c r="AC294" i="5"/>
  <c r="AC293" i="5"/>
  <c r="AC291" i="5"/>
  <c r="AB279" i="5"/>
  <c r="AB270" i="5"/>
  <c r="AC262" i="5"/>
  <c r="AC261" i="5"/>
  <c r="AC259" i="5"/>
  <c r="AB247" i="5"/>
  <c r="AB238" i="5"/>
  <c r="AC230" i="5"/>
  <c r="AC229" i="5"/>
  <c r="AC227" i="5"/>
  <c r="AB215" i="5"/>
  <c r="AB206" i="5"/>
  <c r="AC198" i="5"/>
  <c r="AC197" i="5"/>
  <c r="AC195" i="5"/>
  <c r="AB183" i="5"/>
  <c r="AB174" i="5"/>
  <c r="AC164" i="5"/>
  <c r="AC163" i="5"/>
  <c r="AB160" i="5"/>
  <c r="AC154" i="5"/>
  <c r="AB152" i="5"/>
  <c r="AC142" i="5"/>
  <c r="AC139" i="5"/>
  <c r="AC128" i="5"/>
  <c r="AC127" i="5"/>
  <c r="AC120" i="5"/>
  <c r="AC119" i="5"/>
  <c r="AB101" i="5"/>
  <c r="AB91" i="5"/>
  <c r="AC85" i="5"/>
  <c r="AC84" i="5"/>
  <c r="AC83" i="5"/>
  <c r="AC73" i="5"/>
  <c r="AC72" i="5"/>
  <c r="AC71" i="5"/>
  <c r="AB68" i="5"/>
  <c r="AC59" i="5"/>
  <c r="AB45" i="5"/>
  <c r="L1036" i="6"/>
  <c r="L1031" i="6"/>
  <c r="L1029" i="6"/>
  <c r="L1010" i="6"/>
  <c r="L1002" i="6"/>
  <c r="L987" i="6"/>
  <c r="AB343" i="5"/>
  <c r="AB327" i="5"/>
  <c r="AB311" i="5"/>
  <c r="AB295" i="5"/>
  <c r="AB286" i="5"/>
  <c r="AC278" i="5"/>
  <c r="AC277" i="5"/>
  <c r="AC275" i="5"/>
  <c r="AB263" i="5"/>
  <c r="AB254" i="5"/>
  <c r="AC246" i="5"/>
  <c r="AC245" i="5"/>
  <c r="AC243" i="5"/>
  <c r="AB231" i="5"/>
  <c r="AB222" i="5"/>
  <c r="AC214" i="5"/>
  <c r="AC213" i="5"/>
  <c r="AC211" i="5"/>
  <c r="AB199" i="5"/>
  <c r="AB190" i="5"/>
  <c r="AC182" i="5"/>
  <c r="AC181" i="5"/>
  <c r="AC179" i="5"/>
  <c r="AB165" i="5"/>
  <c r="AB155" i="5"/>
  <c r="AB145" i="5"/>
  <c r="AB143" i="5"/>
  <c r="AB137" i="5"/>
  <c r="AB132" i="5"/>
  <c r="AB129" i="5"/>
  <c r="AB122" i="5"/>
  <c r="AB110" i="5"/>
  <c r="AC100" i="5"/>
  <c r="AC99" i="5"/>
  <c r="AB96" i="5"/>
  <c r="AC90" i="5"/>
  <c r="AB88" i="5"/>
  <c r="AB85" i="5"/>
  <c r="AB81" i="5"/>
  <c r="AB74" i="5"/>
  <c r="AB61" i="5"/>
  <c r="AB1074" i="5" s="1"/>
  <c r="AC56" i="5"/>
  <c r="AC40" i="5"/>
  <c r="AB39" i="5"/>
  <c r="L1060" i="6"/>
  <c r="L993" i="6"/>
  <c r="L979" i="6"/>
  <c r="L510" i="6"/>
  <c r="F1110" i="6"/>
  <c r="F1112" i="6"/>
  <c r="F1114" i="6"/>
  <c r="F1116" i="6"/>
  <c r="F1111" i="6"/>
  <c r="F1115" i="6"/>
  <c r="N1110" i="6"/>
  <c r="N1112" i="6"/>
  <c r="N1114" i="6"/>
  <c r="N1111" i="6"/>
  <c r="N1115" i="6"/>
  <c r="L486" i="6"/>
  <c r="L1108" i="6" s="1"/>
  <c r="F1108" i="6"/>
  <c r="L470" i="6"/>
  <c r="L1107" i="6" s="1"/>
  <c r="F1107" i="6"/>
  <c r="N1107" i="6"/>
  <c r="L462" i="6"/>
  <c r="L1106" i="6" s="1"/>
  <c r="F1106" i="6"/>
  <c r="L438" i="6"/>
  <c r="L1104" i="6" s="1"/>
  <c r="F1104" i="6"/>
  <c r="L422" i="6"/>
  <c r="L1103" i="6" s="1"/>
  <c r="F1103" i="6"/>
  <c r="N1103" i="6"/>
  <c r="L414" i="6"/>
  <c r="L1102" i="6" s="1"/>
  <c r="F1102" i="6"/>
  <c r="S359" i="6"/>
  <c r="Q1097" i="6"/>
  <c r="L358" i="6"/>
  <c r="C1097" i="6"/>
  <c r="S321" i="6"/>
  <c r="S1094" i="6" s="1"/>
  <c r="Q1094" i="6"/>
  <c r="L270" i="6"/>
  <c r="C1090" i="6"/>
  <c r="AB340" i="5"/>
  <c r="AC334" i="5"/>
  <c r="AB324" i="5"/>
  <c r="AC318" i="5"/>
  <c r="AB308" i="5"/>
  <c r="AC302" i="5"/>
  <c r="AB284" i="5"/>
  <c r="AB252" i="5"/>
  <c r="AB220" i="5"/>
  <c r="AB188" i="5"/>
  <c r="AC149" i="5"/>
  <c r="AB130" i="5"/>
  <c r="AB108" i="5"/>
  <c r="AB86" i="5"/>
  <c r="AC51" i="5"/>
  <c r="AB32" i="5"/>
  <c r="AC30" i="5"/>
  <c r="L1054" i="6"/>
  <c r="L1048" i="6"/>
  <c r="L944" i="6"/>
  <c r="L826" i="6"/>
  <c r="AC347" i="5"/>
  <c r="AC331" i="5"/>
  <c r="AC315" i="5"/>
  <c r="AC299" i="5"/>
  <c r="AB287" i="5"/>
  <c r="AB278" i="5"/>
  <c r="AB1092" i="5" s="1"/>
  <c r="AC270" i="5"/>
  <c r="AC269" i="5"/>
  <c r="AC267" i="5"/>
  <c r="AB255" i="5"/>
  <c r="AB246" i="5"/>
  <c r="AC238" i="5"/>
  <c r="AC237" i="5"/>
  <c r="AC235" i="5"/>
  <c r="AB223" i="5"/>
  <c r="AB214" i="5"/>
  <c r="AC206" i="5"/>
  <c r="AC205" i="5"/>
  <c r="AC203" i="5"/>
  <c r="AB191" i="5"/>
  <c r="AB182" i="5"/>
  <c r="AC174" i="5"/>
  <c r="AC173" i="5"/>
  <c r="AC171" i="5"/>
  <c r="AC160" i="5"/>
  <c r="AC159" i="5"/>
  <c r="AC152" i="5"/>
  <c r="AC151" i="5"/>
  <c r="AB133" i="5"/>
  <c r="AB123" i="5"/>
  <c r="AB113" i="5"/>
  <c r="AB111" i="5"/>
  <c r="AB105" i="5"/>
  <c r="AB100" i="5"/>
  <c r="AB97" i="5"/>
  <c r="AB1077" i="5" s="1"/>
  <c r="AB90" i="5"/>
  <c r="AB77" i="5"/>
  <c r="AB75" i="5"/>
  <c r="AC69" i="5"/>
  <c r="AC68" i="5"/>
  <c r="AC67" i="5"/>
  <c r="AB56" i="5"/>
  <c r="AC46" i="5"/>
  <c r="AB31" i="5"/>
  <c r="L946" i="6"/>
  <c r="L857" i="6"/>
  <c r="AC144" i="5"/>
  <c r="AC112" i="5"/>
  <c r="AC76" i="5"/>
  <c r="AC60" i="5"/>
  <c r="AC52" i="5"/>
  <c r="AB28" i="5"/>
  <c r="T1115" i="6"/>
  <c r="T1111" i="6"/>
  <c r="L1064" i="6"/>
  <c r="L1057" i="6"/>
  <c r="L1030" i="6"/>
  <c r="L1013" i="6"/>
  <c r="L998" i="6"/>
  <c r="L973" i="6"/>
  <c r="L906" i="6"/>
  <c r="L723" i="6"/>
  <c r="L388" i="6"/>
  <c r="L1100" i="6" s="1"/>
  <c r="F1100" i="6"/>
  <c r="S1097" i="6"/>
  <c r="S1090" i="6"/>
  <c r="S244" i="6"/>
  <c r="S1088" i="6" s="1"/>
  <c r="Q1088" i="6"/>
  <c r="S234" i="6"/>
  <c r="S1087" i="6" s="1"/>
  <c r="Q1087" i="6"/>
  <c r="S1085" i="6"/>
  <c r="Q150" i="6"/>
  <c r="R1080" i="6"/>
  <c r="E1079" i="6"/>
  <c r="S115" i="6"/>
  <c r="S1077" i="6" s="1"/>
  <c r="Q1077" i="6"/>
  <c r="S92" i="6"/>
  <c r="S1075" i="6" s="1"/>
  <c r="Q1075" i="6"/>
  <c r="S1073" i="6"/>
  <c r="S55" i="6"/>
  <c r="S1072" i="6" s="1"/>
  <c r="Q1072" i="6"/>
  <c r="Q27" i="6"/>
  <c r="S27" i="6" s="1"/>
  <c r="AB153" i="5"/>
  <c r="AB121" i="5"/>
  <c r="AB89" i="5"/>
  <c r="AB73" i="5"/>
  <c r="AC57" i="5"/>
  <c r="AC49" i="5"/>
  <c r="AB38" i="5"/>
  <c r="AB30" i="5"/>
  <c r="B1094" i="6"/>
  <c r="L1061" i="6"/>
  <c r="L1043" i="6"/>
  <c r="L1041" i="6"/>
  <c r="L1028" i="6"/>
  <c r="L951" i="6"/>
  <c r="L861" i="6"/>
  <c r="AC168" i="5"/>
  <c r="AC136" i="5"/>
  <c r="AC104" i="5"/>
  <c r="AC80" i="5"/>
  <c r="AC64" i="5"/>
  <c r="AC58" i="5"/>
  <c r="AC50" i="5"/>
  <c r="AC48" i="5"/>
  <c r="L1053" i="6"/>
  <c r="L1026" i="6"/>
  <c r="L1006" i="6"/>
  <c r="L1050" i="6"/>
  <c r="L1027" i="6"/>
  <c r="L1015" i="6"/>
  <c r="L1001" i="6"/>
  <c r="L978" i="6"/>
  <c r="L971" i="6"/>
  <c r="L949" i="6"/>
  <c r="L940" i="6"/>
  <c r="L928" i="6"/>
  <c r="L925" i="6"/>
  <c r="L907" i="6"/>
  <c r="L903" i="6"/>
  <c r="L890" i="6"/>
  <c r="L872" i="6"/>
  <c r="L753" i="6"/>
  <c r="L1066" i="6"/>
  <c r="L1034" i="6"/>
  <c r="L1020" i="6"/>
  <c r="L1008" i="6"/>
  <c r="L1000" i="6"/>
  <c r="L994" i="6"/>
  <c r="L961" i="6"/>
  <c r="L866" i="6"/>
  <c r="L805" i="6"/>
  <c r="L792" i="6"/>
  <c r="L790" i="6"/>
  <c r="L1045" i="6"/>
  <c r="L1024" i="6"/>
  <c r="L984" i="6"/>
  <c r="L975" i="6"/>
  <c r="L968" i="6"/>
  <c r="L954" i="6"/>
  <c r="L936" i="6"/>
  <c r="L919" i="6"/>
  <c r="L914" i="6"/>
  <c r="L901" i="6"/>
  <c r="L868" i="6"/>
  <c r="L833" i="6"/>
  <c r="L800" i="6"/>
  <c r="L769" i="6"/>
  <c r="L1058" i="6"/>
  <c r="L977" i="6"/>
  <c r="L970" i="6"/>
  <c r="L963" i="6"/>
  <c r="L947" i="6"/>
  <c r="L885" i="6"/>
  <c r="L775" i="6"/>
  <c r="L771" i="6"/>
  <c r="L992" i="6"/>
  <c r="L927" i="6"/>
  <c r="L916" i="6"/>
  <c r="L896" i="6"/>
  <c r="L874" i="6"/>
  <c r="L863" i="6"/>
  <c r="L852" i="6"/>
  <c r="L794" i="6"/>
  <c r="L780" i="6"/>
  <c r="L733" i="6"/>
  <c r="L725" i="6"/>
  <c r="L715" i="6"/>
  <c r="L697" i="6"/>
  <c r="L691" i="6"/>
  <c r="L237" i="6"/>
  <c r="L214" i="6"/>
  <c r="L136" i="6"/>
  <c r="L34" i="6"/>
  <c r="L1016" i="6"/>
  <c r="L952" i="6"/>
  <c r="L920" i="6"/>
  <c r="L898" i="6"/>
  <c r="L887" i="6"/>
  <c r="L876" i="6"/>
  <c r="L856" i="6"/>
  <c r="L834" i="6"/>
  <c r="L827" i="6"/>
  <c r="L820" i="6"/>
  <c r="L813" i="6"/>
  <c r="L761" i="6"/>
  <c r="L710" i="6"/>
  <c r="L705" i="6"/>
  <c r="L601" i="6"/>
  <c r="L976" i="6"/>
  <c r="L922" i="6"/>
  <c r="L911" i="6"/>
  <c r="L900" i="6"/>
  <c r="L880" i="6"/>
  <c r="L858" i="6"/>
  <c r="L847" i="6"/>
  <c r="L836" i="6"/>
  <c r="L829" i="6"/>
  <c r="L825" i="6"/>
  <c r="L803" i="6"/>
  <c r="L290" i="6"/>
  <c r="L924" i="6"/>
  <c r="L904" i="6"/>
  <c r="L882" i="6"/>
  <c r="L871" i="6"/>
  <c r="L860" i="6"/>
  <c r="L840" i="6"/>
  <c r="L801" i="6"/>
  <c r="L765" i="6"/>
  <c r="L742" i="6"/>
  <c r="L714" i="6"/>
  <c r="L808" i="6"/>
  <c r="L774" i="6"/>
  <c r="L766" i="6"/>
  <c r="L740" i="6"/>
  <c r="L717" i="6"/>
  <c r="L706" i="6"/>
  <c r="L699" i="6"/>
  <c r="L655" i="6"/>
  <c r="L624" i="6"/>
  <c r="L602" i="6"/>
  <c r="L129" i="6"/>
  <c r="L807" i="6"/>
  <c r="L773" i="6"/>
  <c r="L755" i="6"/>
  <c r="L747" i="6"/>
  <c r="L718" i="6"/>
  <c r="L646" i="6"/>
  <c r="L643" i="6"/>
  <c r="L613" i="6"/>
  <c r="L360" i="6"/>
  <c r="L354" i="6"/>
  <c r="L329" i="6"/>
  <c r="L297" i="6"/>
  <c r="L272" i="6"/>
  <c r="L832" i="6"/>
  <c r="L728" i="6"/>
  <c r="L726" i="6"/>
  <c r="L720" i="6"/>
  <c r="L702" i="6"/>
  <c r="L686" i="6"/>
  <c r="L669" i="6"/>
  <c r="L664" i="6"/>
  <c r="L653" i="6"/>
  <c r="L648" i="6"/>
  <c r="L635" i="6"/>
  <c r="L374" i="6"/>
  <c r="L262" i="6"/>
  <c r="L257" i="6"/>
  <c r="L816" i="6"/>
  <c r="L799" i="6"/>
  <c r="L793" i="6"/>
  <c r="L785" i="6"/>
  <c r="L781" i="6"/>
  <c r="L743" i="6"/>
  <c r="L730" i="6"/>
  <c r="L695" i="6"/>
  <c r="L683" i="6"/>
  <c r="L652" i="6"/>
  <c r="L638" i="6"/>
  <c r="L605" i="6"/>
  <c r="L178" i="6"/>
  <c r="L758" i="6"/>
  <c r="L694" i="6"/>
  <c r="L690" i="6"/>
  <c r="L688" i="6"/>
  <c r="L662" i="6"/>
  <c r="L640" i="6"/>
  <c r="L629" i="6"/>
  <c r="L618" i="6"/>
  <c r="L265" i="6"/>
  <c r="L232" i="6"/>
  <c r="L150" i="6"/>
  <c r="L133" i="6"/>
  <c r="L130" i="6"/>
  <c r="L672" i="6"/>
  <c r="L661" i="6"/>
  <c r="L650" i="6"/>
  <c r="L630" i="6"/>
  <c r="L608" i="6"/>
  <c r="L273" i="6"/>
  <c r="L221" i="6"/>
  <c r="L206" i="6"/>
  <c r="L1085" i="6" s="1"/>
  <c r="L199" i="6"/>
  <c r="L177" i="6"/>
  <c r="L163" i="6"/>
  <c r="L750" i="6"/>
  <c r="L736" i="6"/>
  <c r="L734" i="6"/>
  <c r="L674" i="6"/>
  <c r="L654" i="6"/>
  <c r="L632" i="6"/>
  <c r="L621" i="6"/>
  <c r="L610" i="6"/>
  <c r="L369" i="6"/>
  <c r="L366" i="6"/>
  <c r="L337" i="6"/>
  <c r="L1096" i="6" s="1"/>
  <c r="L334" i="6"/>
  <c r="L305" i="6"/>
  <c r="L302" i="6"/>
  <c r="L217" i="6"/>
  <c r="L180" i="6"/>
  <c r="L168" i="6"/>
  <c r="L1082" i="6" s="1"/>
  <c r="L678" i="6"/>
  <c r="L656" i="6"/>
  <c r="L645" i="6"/>
  <c r="L634" i="6"/>
  <c r="L614" i="6"/>
  <c r="L234" i="6"/>
  <c r="L200" i="6"/>
  <c r="L143" i="6"/>
  <c r="L375" i="6"/>
  <c r="L367" i="6"/>
  <c r="L359" i="6"/>
  <c r="L351" i="6"/>
  <c r="L343" i="6"/>
  <c r="L335" i="6"/>
  <c r="L327" i="6"/>
  <c r="L319" i="6"/>
  <c r="L311" i="6"/>
  <c r="L303" i="6"/>
  <c r="L295" i="6"/>
  <c r="L287" i="6"/>
  <c r="L279" i="6"/>
  <c r="L271" i="6"/>
  <c r="L263" i="6"/>
  <c r="L260" i="6"/>
  <c r="L241" i="6"/>
  <c r="L225" i="6"/>
  <c r="L191" i="6"/>
  <c r="L181" i="6"/>
  <c r="L161" i="6"/>
  <c r="L55" i="6"/>
  <c r="Q32" i="6"/>
  <c r="S32" i="6" s="1"/>
  <c r="L371" i="6"/>
  <c r="L363" i="6"/>
  <c r="L355" i="6"/>
  <c r="L347" i="6"/>
  <c r="L339" i="6"/>
  <c r="L331" i="6"/>
  <c r="L323" i="6"/>
  <c r="L315" i="6"/>
  <c r="L307" i="6"/>
  <c r="L299" i="6"/>
  <c r="L291" i="6"/>
  <c r="L283" i="6"/>
  <c r="L275" i="6"/>
  <c r="L267" i="6"/>
  <c r="L252" i="6"/>
  <c r="L223" i="6"/>
  <c r="L213" i="6"/>
  <c r="L193" i="6"/>
  <c r="L159" i="6"/>
  <c r="L149" i="6"/>
  <c r="S43" i="6"/>
  <c r="Q43" i="6"/>
  <c r="Q39" i="6"/>
  <c r="S39" i="6"/>
  <c r="S1071" i="6" s="1"/>
  <c r="L236" i="6"/>
  <c r="L230" i="6"/>
  <c r="L216" i="6"/>
  <c r="L196" i="6"/>
  <c r="L189" i="6"/>
  <c r="L166" i="6"/>
  <c r="L152" i="6"/>
  <c r="L132" i="6"/>
  <c r="L117" i="6"/>
  <c r="L87" i="6"/>
  <c r="L373" i="6"/>
  <c r="L365" i="6"/>
  <c r="L357" i="6"/>
  <c r="L349" i="6"/>
  <c r="L1097" i="6" s="1"/>
  <c r="L341" i="6"/>
  <c r="L333" i="6"/>
  <c r="L325" i="6"/>
  <c r="L317" i="6"/>
  <c r="L309" i="6"/>
  <c r="L301" i="6"/>
  <c r="L293" i="6"/>
  <c r="L285" i="6"/>
  <c r="L277" i="6"/>
  <c r="L269" i="6"/>
  <c r="L261" i="6"/>
  <c r="L248" i="6"/>
  <c r="L245" i="6"/>
  <c r="L229" i="6"/>
  <c r="L209" i="6"/>
  <c r="L175" i="6"/>
  <c r="L165" i="6"/>
  <c r="L145" i="6"/>
  <c r="L1080" i="6" s="1"/>
  <c r="L131" i="6"/>
  <c r="L126" i="6"/>
  <c r="L118" i="6"/>
  <c r="L110" i="6"/>
  <c r="L102" i="6"/>
  <c r="L94" i="6"/>
  <c r="L91" i="6"/>
  <c r="L62" i="6"/>
  <c r="L59" i="6"/>
  <c r="S30" i="6"/>
  <c r="L122" i="6"/>
  <c r="L78" i="6"/>
  <c r="L49" i="6"/>
  <c r="S41" i="6"/>
  <c r="Q41" i="6"/>
  <c r="L28" i="6"/>
  <c r="L86" i="6"/>
  <c r="L83" i="6"/>
  <c r="L40" i="6"/>
  <c r="L124" i="6"/>
  <c r="L116" i="6"/>
  <c r="L108" i="6"/>
  <c r="L100" i="6"/>
  <c r="L92" i="6"/>
  <c r="L84" i="6"/>
  <c r="L76" i="6"/>
  <c r="L68" i="6"/>
  <c r="L60" i="6"/>
  <c r="L52" i="6"/>
  <c r="L47" i="6"/>
  <c r="L46" i="6"/>
  <c r="L31" i="6"/>
  <c r="L120" i="6"/>
  <c r="L112" i="6"/>
  <c r="L104" i="6"/>
  <c r="L96" i="6"/>
  <c r="L1076" i="6" s="1"/>
  <c r="L88" i="6"/>
  <c r="L80" i="6"/>
  <c r="L72" i="6"/>
  <c r="L64" i="6"/>
  <c r="L56" i="6"/>
  <c r="L42" i="6"/>
  <c r="L39" i="6"/>
  <c r="L1071" i="6" s="1"/>
  <c r="L114" i="6"/>
  <c r="L106" i="6"/>
  <c r="L98" i="6"/>
  <c r="L90" i="6"/>
  <c r="L82" i="6"/>
  <c r="L74" i="6"/>
  <c r="L66" i="6"/>
  <c r="L58" i="6"/>
  <c r="L44" i="6"/>
  <c r="Q28" i="6"/>
  <c r="S28" i="6" s="1"/>
  <c r="L26" i="6"/>
  <c r="L25" i="6"/>
  <c r="L1070" i="6" s="1"/>
  <c r="AC1082" i="5" l="1"/>
  <c r="AB1094" i="5"/>
  <c r="AB1113" i="5"/>
  <c r="AC1078" i="5"/>
  <c r="AC1119" i="5"/>
  <c r="AB1073" i="5"/>
  <c r="AB1089" i="5"/>
  <c r="AB1103" i="5"/>
  <c r="AB1119" i="5"/>
  <c r="AB1117" i="5"/>
  <c r="AB1112" i="5"/>
  <c r="AC1072" i="5"/>
  <c r="AC1090" i="5"/>
  <c r="AC1101" i="5"/>
  <c r="AC1117" i="5"/>
  <c r="AC1077" i="5"/>
  <c r="L1073" i="6"/>
  <c r="L1087" i="6"/>
  <c r="L1093" i="6"/>
  <c r="AB1080" i="5"/>
  <c r="AC1097" i="5"/>
  <c r="AC1104" i="5"/>
  <c r="AC1111" i="5"/>
  <c r="AB1114" i="5"/>
  <c r="AB1071" i="5"/>
  <c r="AC1096" i="5"/>
  <c r="AB1088" i="5"/>
  <c r="I1119" i="2"/>
  <c r="J1119" i="2"/>
  <c r="B1119" i="2"/>
  <c r="H1119" i="2"/>
  <c r="C1119" i="2"/>
  <c r="G1119" i="2"/>
  <c r="E1119" i="2"/>
  <c r="F1119" i="2"/>
  <c r="K1119" i="2"/>
  <c r="A1120" i="2"/>
  <c r="B1120" i="5"/>
  <c r="J1120" i="5"/>
  <c r="R1120" i="5"/>
  <c r="AC1120" i="5"/>
  <c r="K1120" i="5"/>
  <c r="T1120" i="5"/>
  <c r="C1120" i="5"/>
  <c r="L1120" i="5"/>
  <c r="U1120" i="5"/>
  <c r="G1120" i="5"/>
  <c r="S1120" i="5"/>
  <c r="H1120" i="5"/>
  <c r="V1120" i="5"/>
  <c r="I1120" i="5"/>
  <c r="W1120" i="5"/>
  <c r="E1120" i="5"/>
  <c r="P1120" i="5"/>
  <c r="N1120" i="5"/>
  <c r="O1120" i="5"/>
  <c r="Q1120" i="5"/>
  <c r="F1120" i="5"/>
  <c r="D1120" i="5"/>
  <c r="M1120" i="5"/>
  <c r="X1120" i="5"/>
  <c r="AB1120" i="5"/>
  <c r="A1121" i="5"/>
  <c r="L1099" i="6"/>
  <c r="L1086" i="6"/>
  <c r="L1081" i="6"/>
  <c r="AB1081" i="5"/>
  <c r="AC1076" i="5"/>
  <c r="AB1090" i="5"/>
  <c r="AC1106" i="5"/>
  <c r="AC1113" i="5"/>
  <c r="AB1115" i="5"/>
  <c r="AB1091" i="5"/>
  <c r="AC1071" i="5"/>
  <c r="L1072" i="6"/>
  <c r="AB1078" i="5"/>
  <c r="AB1107" i="5"/>
  <c r="AC1095" i="5"/>
  <c r="L1084" i="6"/>
  <c r="L1078" i="6"/>
  <c r="L1088" i="6"/>
  <c r="AB1108" i="5"/>
  <c r="AB1104" i="5"/>
  <c r="L1079" i="6"/>
  <c r="AC1094" i="5"/>
  <c r="L1074" i="6"/>
  <c r="L1091" i="6"/>
  <c r="Q1071" i="6"/>
  <c r="L1089" i="6"/>
  <c r="L1083" i="6"/>
  <c r="AC1074" i="5"/>
  <c r="AB1075" i="5"/>
  <c r="S150" i="6"/>
  <c r="S1080" i="6" s="1"/>
  <c r="Q1080" i="6"/>
  <c r="AC1083" i="5"/>
  <c r="AB1076" i="5"/>
  <c r="AC1084" i="5"/>
  <c r="AB1095" i="5"/>
  <c r="AC1087" i="5"/>
  <c r="AC282" i="5"/>
  <c r="AC1105" i="5"/>
  <c r="AC1114" i="5"/>
  <c r="AB1093" i="5"/>
  <c r="AB1101" i="5"/>
  <c r="AB1118" i="5"/>
  <c r="AB1116" i="5"/>
  <c r="AC1089" i="5"/>
  <c r="AC1080" i="5"/>
  <c r="Q1091" i="6"/>
  <c r="AB1097" i="5"/>
  <c r="L1095" i="6"/>
  <c r="L1112" i="6"/>
  <c r="L1116" i="6"/>
  <c r="L1111" i="6"/>
  <c r="L1115" i="6"/>
  <c r="L1113" i="6"/>
  <c r="L1110" i="6"/>
  <c r="L1114" i="6"/>
  <c r="AC1110" i="5"/>
  <c r="AB1098" i="5"/>
  <c r="AB1111" i="5"/>
  <c r="AB1087" i="5"/>
  <c r="AB1110" i="5"/>
  <c r="G1119" i="3"/>
  <c r="H1119" i="3"/>
  <c r="I1119" i="3"/>
  <c r="E1119" i="3"/>
  <c r="A1120" i="3"/>
  <c r="D1119" i="3"/>
  <c r="B1119" i="3"/>
  <c r="C1119" i="3"/>
  <c r="F1119" i="3"/>
  <c r="J1119" i="3"/>
  <c r="L1094" i="6"/>
  <c r="AC1091" i="5"/>
  <c r="AB1086" i="5"/>
  <c r="AC1103" i="5"/>
  <c r="AB1085" i="5"/>
  <c r="AC1079" i="5"/>
  <c r="S26" i="6"/>
  <c r="S1070" i="6" s="1"/>
  <c r="Q1070" i="6"/>
  <c r="L1077" i="6"/>
  <c r="AC1075" i="5"/>
  <c r="AC1093" i="5"/>
  <c r="AB1096" i="5"/>
  <c r="AC1098" i="5"/>
  <c r="AC1100" i="5"/>
  <c r="AC1107" i="5"/>
  <c r="AC1116" i="5"/>
  <c r="AB1109" i="5"/>
  <c r="AB1082" i="5"/>
  <c r="AB1102" i="5"/>
  <c r="AB1100" i="5"/>
  <c r="S1091" i="6"/>
  <c r="L1092" i="6"/>
  <c r="L1075" i="6"/>
  <c r="AC1073" i="5"/>
  <c r="AC1086" i="5"/>
  <c r="AB1084" i="5"/>
  <c r="B1097" i="6"/>
  <c r="A1098" i="6"/>
  <c r="L1090" i="6"/>
  <c r="L1098" i="6"/>
  <c r="AC1092" i="5"/>
  <c r="AC1112" i="5"/>
  <c r="AB1099" i="5"/>
  <c r="AB1079" i="5"/>
  <c r="AC1081" i="5"/>
  <c r="AC1088" i="5"/>
  <c r="AB1083" i="5"/>
  <c r="AB1072" i="5"/>
  <c r="AC1102" i="5"/>
  <c r="AC1109" i="5"/>
  <c r="AC1118" i="5"/>
  <c r="AB1105" i="5"/>
  <c r="S134" i="6"/>
  <c r="S1079" i="6" s="1"/>
  <c r="Q1079" i="6"/>
  <c r="AC1085" i="5"/>
  <c r="E1120" i="3" l="1"/>
  <c r="F1120" i="3"/>
  <c r="G1120" i="3"/>
  <c r="C1120" i="3"/>
  <c r="A1121" i="3"/>
  <c r="J1120" i="3"/>
  <c r="B1120" i="3"/>
  <c r="I1120" i="3"/>
  <c r="D1120" i="3"/>
  <c r="H1120" i="3"/>
  <c r="H1121" i="5"/>
  <c r="P1121" i="5"/>
  <c r="X1121" i="5"/>
  <c r="C1121" i="5"/>
  <c r="L1121" i="5"/>
  <c r="U1121" i="5"/>
  <c r="D1121" i="5"/>
  <c r="M1121" i="5"/>
  <c r="V1121" i="5"/>
  <c r="F1121" i="5"/>
  <c r="R1121" i="5"/>
  <c r="G1121" i="5"/>
  <c r="S1121" i="5"/>
  <c r="I1121" i="5"/>
  <c r="T1121" i="5"/>
  <c r="B1121" i="5"/>
  <c r="O1121" i="5"/>
  <c r="A1122" i="5"/>
  <c r="K1121" i="5"/>
  <c r="N1121" i="5"/>
  <c r="Q1121" i="5"/>
  <c r="E1121" i="5"/>
  <c r="AB1121" i="5"/>
  <c r="AC1121" i="5"/>
  <c r="J1121" i="5"/>
  <c r="W1121" i="5"/>
  <c r="G1120" i="2"/>
  <c r="H1120" i="2"/>
  <c r="B1120" i="2"/>
  <c r="J1120" i="2"/>
  <c r="C1120" i="2"/>
  <c r="F1120" i="2"/>
  <c r="E1120" i="2"/>
  <c r="I1120" i="2"/>
  <c r="K1120" i="2"/>
  <c r="A1121" i="2"/>
  <c r="A1099" i="6"/>
  <c r="B1098" i="6"/>
  <c r="B1099" i="6" l="1"/>
  <c r="A1100" i="6"/>
  <c r="E1121" i="2"/>
  <c r="F1121" i="2"/>
  <c r="B1121" i="2"/>
  <c r="C1121" i="2"/>
  <c r="I1121" i="2"/>
  <c r="J1121" i="2"/>
  <c r="G1121" i="2"/>
  <c r="H1121" i="2"/>
  <c r="K1121" i="2"/>
  <c r="A1122" i="2"/>
  <c r="C1121" i="3"/>
  <c r="A1122" i="3"/>
  <c r="D1121" i="3"/>
  <c r="E1121" i="3"/>
  <c r="I1121" i="3"/>
  <c r="G1121" i="3"/>
  <c r="H1121" i="3"/>
  <c r="J1121" i="3"/>
  <c r="B1121" i="3"/>
  <c r="F1121" i="3"/>
  <c r="F1122" i="5"/>
  <c r="N1122" i="5"/>
  <c r="V1122" i="5"/>
  <c r="D1122" i="5"/>
  <c r="M1122" i="5"/>
  <c r="W1122" i="5"/>
  <c r="E1122" i="5"/>
  <c r="O1122" i="5"/>
  <c r="X1122" i="5"/>
  <c r="C1122" i="5"/>
  <c r="Q1122" i="5"/>
  <c r="G1122" i="5"/>
  <c r="R1122" i="5"/>
  <c r="H1122" i="5"/>
  <c r="S1122" i="5"/>
  <c r="L1122" i="5"/>
  <c r="AC1122" i="5"/>
  <c r="J1122" i="5"/>
  <c r="K1122" i="5"/>
  <c r="P1122" i="5"/>
  <c r="B1122" i="5"/>
  <c r="A1123" i="5"/>
  <c r="AB1122" i="5"/>
  <c r="U1122" i="5"/>
  <c r="I1122" i="5"/>
  <c r="T1122" i="5"/>
  <c r="I1122" i="3" l="1"/>
  <c r="B1122" i="3"/>
  <c r="J1122" i="3"/>
  <c r="C1122" i="3"/>
  <c r="A1123" i="3"/>
  <c r="G1122" i="3"/>
  <c r="D1122" i="3"/>
  <c r="E1122" i="3"/>
  <c r="H1122" i="3"/>
  <c r="F1122" i="3"/>
  <c r="B1122" i="2"/>
  <c r="K1122" i="2"/>
  <c r="C1122" i="2"/>
  <c r="A1123" i="2"/>
  <c r="E1122" i="2"/>
  <c r="F1122" i="2"/>
  <c r="H1122" i="2"/>
  <c r="G1122" i="2"/>
  <c r="I1122" i="2"/>
  <c r="J1122" i="2"/>
  <c r="D1123" i="5"/>
  <c r="L1123" i="5"/>
  <c r="T1123" i="5"/>
  <c r="F1123" i="5"/>
  <c r="O1123" i="5"/>
  <c r="X1123" i="5"/>
  <c r="G1123" i="5"/>
  <c r="B1123" i="5"/>
  <c r="N1123" i="5"/>
  <c r="AB1123" i="5"/>
  <c r="C1123" i="5"/>
  <c r="P1123" i="5"/>
  <c r="AC1123" i="5"/>
  <c r="E1123" i="5"/>
  <c r="Q1123" i="5"/>
  <c r="A1124" i="5"/>
  <c r="K1123" i="5"/>
  <c r="V1123" i="5"/>
  <c r="I1123" i="5"/>
  <c r="J1123" i="5"/>
  <c r="M1123" i="5"/>
  <c r="W1123" i="5"/>
  <c r="S1123" i="5"/>
  <c r="U1123" i="5"/>
  <c r="H1123" i="5"/>
  <c r="R1123" i="5"/>
  <c r="A1101" i="6"/>
  <c r="B1100" i="6"/>
  <c r="G1123" i="3" l="1"/>
  <c r="H1123" i="3"/>
  <c r="I1123" i="3"/>
  <c r="E1123" i="3"/>
  <c r="C1123" i="3"/>
  <c r="D1123" i="3"/>
  <c r="A1124" i="3"/>
  <c r="F1123" i="3"/>
  <c r="J1123" i="3"/>
  <c r="B1123" i="3"/>
  <c r="B1101" i="6"/>
  <c r="A1102" i="6"/>
  <c r="B1124" i="5"/>
  <c r="J1124" i="5"/>
  <c r="R1124" i="5"/>
  <c r="AC1124" i="5"/>
  <c r="G1124" i="5"/>
  <c r="P1124" i="5"/>
  <c r="AB1124" i="5"/>
  <c r="I1124" i="5"/>
  <c r="T1124" i="5"/>
  <c r="K1124" i="5"/>
  <c r="U1124" i="5"/>
  <c r="L1124" i="5"/>
  <c r="V1124" i="5"/>
  <c r="F1124" i="5"/>
  <c r="Q1124" i="5"/>
  <c r="D1124" i="5"/>
  <c r="X1124" i="5"/>
  <c r="E1124" i="5"/>
  <c r="A1125" i="5"/>
  <c r="H1124" i="5"/>
  <c r="S1124" i="5"/>
  <c r="C1124" i="5"/>
  <c r="M1124" i="5"/>
  <c r="N1124" i="5"/>
  <c r="W1124" i="5"/>
  <c r="O1124" i="5"/>
  <c r="I1123" i="2"/>
  <c r="J1123" i="2"/>
  <c r="E1123" i="2"/>
  <c r="F1123" i="2"/>
  <c r="K1123" i="2"/>
  <c r="G1123" i="2"/>
  <c r="H1123" i="2"/>
  <c r="A1124" i="2"/>
  <c r="B1123" i="2"/>
  <c r="C1123" i="2"/>
  <c r="G1124" i="2" l="1"/>
  <c r="H1124" i="2"/>
  <c r="E1124" i="2"/>
  <c r="A1125" i="2"/>
  <c r="F1124" i="2"/>
  <c r="J1124" i="2"/>
  <c r="I1124" i="2"/>
  <c r="K1124" i="2"/>
  <c r="B1124" i="2"/>
  <c r="C1124" i="2"/>
  <c r="H1125" i="5"/>
  <c r="P1125" i="5"/>
  <c r="X1125" i="5"/>
  <c r="I1125" i="5"/>
  <c r="R1125" i="5"/>
  <c r="A1126" i="5"/>
  <c r="D1125" i="5"/>
  <c r="N1125" i="5"/>
  <c r="AB1125" i="5"/>
  <c r="E1125" i="5"/>
  <c r="O1125" i="5"/>
  <c r="AC1125" i="5"/>
  <c r="F1125" i="5"/>
  <c r="Q1125" i="5"/>
  <c r="B1125" i="5"/>
  <c r="L1125" i="5"/>
  <c r="V1125" i="5"/>
  <c r="T1125" i="5"/>
  <c r="U1125" i="5"/>
  <c r="C1125" i="5"/>
  <c r="W1125" i="5"/>
  <c r="M1125" i="5"/>
  <c r="J1125" i="5"/>
  <c r="K1125" i="5"/>
  <c r="S1125" i="5"/>
  <c r="G1125" i="5"/>
  <c r="E1124" i="3"/>
  <c r="F1124" i="3"/>
  <c r="G1124" i="3"/>
  <c r="C1124" i="3"/>
  <c r="A1125" i="3"/>
  <c r="I1124" i="3"/>
  <c r="J1124" i="3"/>
  <c r="B1124" i="3"/>
  <c r="D1124" i="3"/>
  <c r="H1124" i="3"/>
  <c r="A1103" i="6"/>
  <c r="B1102" i="6"/>
  <c r="F1126" i="5" l="1"/>
  <c r="N1126" i="5"/>
  <c r="V1126" i="5"/>
  <c r="J1126" i="5"/>
  <c r="S1126" i="5"/>
  <c r="I1126" i="5"/>
  <c r="T1126" i="5"/>
  <c r="K1126" i="5"/>
  <c r="U1126" i="5"/>
  <c r="B1126" i="5"/>
  <c r="L1126" i="5"/>
  <c r="W1126" i="5"/>
  <c r="G1126" i="5"/>
  <c r="Q1126" i="5"/>
  <c r="A1127" i="5"/>
  <c r="O1126" i="5"/>
  <c r="P1126" i="5"/>
  <c r="R1126" i="5"/>
  <c r="H1126" i="5"/>
  <c r="AB1126" i="5"/>
  <c r="AC1126" i="5"/>
  <c r="D1126" i="5"/>
  <c r="E1126" i="5"/>
  <c r="C1126" i="5"/>
  <c r="M1126" i="5"/>
  <c r="X1126" i="5"/>
  <c r="B1103" i="6"/>
  <c r="A1104" i="6"/>
  <c r="E1125" i="2"/>
  <c r="F1125" i="2"/>
  <c r="G1125" i="2"/>
  <c r="A1126" i="2"/>
  <c r="H1125" i="2"/>
  <c r="K1125" i="2"/>
  <c r="I1125" i="2"/>
  <c r="J1125" i="2"/>
  <c r="B1125" i="2"/>
  <c r="C1125" i="2"/>
  <c r="C1125" i="3"/>
  <c r="A1126" i="3"/>
  <c r="D1125" i="3"/>
  <c r="E1125" i="3"/>
  <c r="I1125" i="3"/>
  <c r="H1125" i="3"/>
  <c r="B1125" i="3"/>
  <c r="F1125" i="3"/>
  <c r="G1125" i="3"/>
  <c r="J1125" i="3"/>
  <c r="I1126" i="3" l="1"/>
  <c r="B1126" i="3"/>
  <c r="J1126" i="3"/>
  <c r="C1126" i="3"/>
  <c r="A1127" i="3"/>
  <c r="G1126" i="3"/>
  <c r="E1126" i="3"/>
  <c r="F1126" i="3"/>
  <c r="H1126" i="3"/>
  <c r="D1126" i="3"/>
  <c r="B1126" i="2"/>
  <c r="K1126" i="2"/>
  <c r="C1126" i="2"/>
  <c r="A1127" i="2"/>
  <c r="G1126" i="2"/>
  <c r="H1126" i="2"/>
  <c r="J1126" i="2"/>
  <c r="I1126" i="2"/>
  <c r="E1126" i="2"/>
  <c r="F1126" i="2"/>
  <c r="D1127" i="5"/>
  <c r="L1127" i="5"/>
  <c r="T1127" i="5"/>
  <c r="B1127" i="5"/>
  <c r="K1127" i="5"/>
  <c r="U1127" i="5"/>
  <c r="E1127" i="5"/>
  <c r="O1127" i="5"/>
  <c r="AB1127" i="5"/>
  <c r="F1127" i="5"/>
  <c r="P1127" i="5"/>
  <c r="AC1127" i="5"/>
  <c r="G1127" i="5"/>
  <c r="Q1127" i="5"/>
  <c r="A1128" i="5"/>
  <c r="M1127" i="5"/>
  <c r="W1127" i="5"/>
  <c r="I1127" i="5"/>
  <c r="J1127" i="5"/>
  <c r="N1127" i="5"/>
  <c r="C1127" i="5"/>
  <c r="X1127" i="5"/>
  <c r="H1127" i="5"/>
  <c r="R1127" i="5"/>
  <c r="S1127" i="5"/>
  <c r="V1127" i="5"/>
  <c r="A1105" i="6"/>
  <c r="B1104" i="6"/>
  <c r="B1105" i="6" l="1"/>
  <c r="A1106" i="6"/>
  <c r="I1127" i="2"/>
  <c r="J1127" i="2"/>
  <c r="G1127" i="2"/>
  <c r="H1127" i="2"/>
  <c r="C1127" i="2"/>
  <c r="K1127" i="2"/>
  <c r="A1128" i="2"/>
  <c r="B1127" i="2"/>
  <c r="E1127" i="2"/>
  <c r="F1127" i="2"/>
  <c r="G1127" i="3"/>
  <c r="H1127" i="3"/>
  <c r="I1127" i="3"/>
  <c r="E1127" i="3"/>
  <c r="A1128" i="3"/>
  <c r="D1127" i="3"/>
  <c r="C1127" i="3"/>
  <c r="B1127" i="3"/>
  <c r="F1127" i="3"/>
  <c r="J1127" i="3"/>
  <c r="B1128" i="5"/>
  <c r="J1128" i="5"/>
  <c r="R1128" i="5"/>
  <c r="AC1128" i="5"/>
  <c r="D1128" i="5"/>
  <c r="M1128" i="5"/>
  <c r="V1128" i="5"/>
  <c r="I1128" i="5"/>
  <c r="T1128" i="5"/>
  <c r="K1128" i="5"/>
  <c r="U1128" i="5"/>
  <c r="L1128" i="5"/>
  <c r="W1128" i="5"/>
  <c r="G1128" i="5"/>
  <c r="Q1128" i="5"/>
  <c r="E1128" i="5"/>
  <c r="AB1128" i="5"/>
  <c r="F1128" i="5"/>
  <c r="A1129" i="5"/>
  <c r="H1128" i="5"/>
  <c r="S1128" i="5"/>
  <c r="O1128" i="5"/>
  <c r="P1128" i="5"/>
  <c r="X1128" i="5"/>
  <c r="C1128" i="5"/>
  <c r="N1128" i="5"/>
  <c r="A1107" i="6" l="1"/>
  <c r="B1106" i="6"/>
  <c r="H1129" i="5"/>
  <c r="P1129" i="5"/>
  <c r="X1129" i="5"/>
  <c r="E1129" i="5"/>
  <c r="N1129" i="5"/>
  <c r="W1129" i="5"/>
  <c r="D1129" i="5"/>
  <c r="O1129" i="5"/>
  <c r="AC1129" i="5"/>
  <c r="F1129" i="5"/>
  <c r="Q1129" i="5"/>
  <c r="A1130" i="5"/>
  <c r="G1129" i="5"/>
  <c r="R1129" i="5"/>
  <c r="B1129" i="5"/>
  <c r="L1129" i="5"/>
  <c r="V1129" i="5"/>
  <c r="T1129" i="5"/>
  <c r="U1129" i="5"/>
  <c r="C1129" i="5"/>
  <c r="AB1129" i="5"/>
  <c r="M1129" i="5"/>
  <c r="K1129" i="5"/>
  <c r="J1129" i="5"/>
  <c r="I1129" i="5"/>
  <c r="S1129" i="5"/>
  <c r="E1128" i="3"/>
  <c r="F1128" i="3"/>
  <c r="G1128" i="3"/>
  <c r="C1128" i="3"/>
  <c r="A1129" i="3"/>
  <c r="B1128" i="3"/>
  <c r="D1128" i="3"/>
  <c r="H1128" i="3"/>
  <c r="I1128" i="3"/>
  <c r="J1128" i="3"/>
  <c r="G1128" i="2"/>
  <c r="H1128" i="2"/>
  <c r="I1128" i="2"/>
  <c r="J1128" i="2"/>
  <c r="A1129" i="2"/>
  <c r="B1128" i="2"/>
  <c r="K1128" i="2"/>
  <c r="C1128" i="2"/>
  <c r="E1128" i="2"/>
  <c r="F1128" i="2"/>
  <c r="F1130" i="5" l="1"/>
  <c r="N1130" i="5"/>
  <c r="V1130" i="5"/>
  <c r="G1130" i="5"/>
  <c r="P1130" i="5"/>
  <c r="AB1130" i="5"/>
  <c r="J1130" i="5"/>
  <c r="T1130" i="5"/>
  <c r="K1130" i="5"/>
  <c r="U1130" i="5"/>
  <c r="B1130" i="5"/>
  <c r="L1130" i="5"/>
  <c r="W1130" i="5"/>
  <c r="H1130" i="5"/>
  <c r="R1130" i="5"/>
  <c r="O1130" i="5"/>
  <c r="Q1130" i="5"/>
  <c r="S1130" i="5"/>
  <c r="I1130" i="5"/>
  <c r="D1130" i="5"/>
  <c r="E1130" i="5"/>
  <c r="M1130" i="5"/>
  <c r="X1130" i="5"/>
  <c r="AC1130" i="5"/>
  <c r="C1130" i="5"/>
  <c r="A1131" i="5"/>
  <c r="E1129" i="2"/>
  <c r="F1129" i="2"/>
  <c r="I1129" i="2"/>
  <c r="C1129" i="2"/>
  <c r="J1129" i="2"/>
  <c r="K1129" i="2"/>
  <c r="A1130" i="2"/>
  <c r="B1129" i="2"/>
  <c r="G1129" i="2"/>
  <c r="H1129" i="2"/>
  <c r="C1129" i="3"/>
  <c r="A1130" i="3"/>
  <c r="D1129" i="3"/>
  <c r="E1129" i="3"/>
  <c r="I1129" i="3"/>
  <c r="G1129" i="3"/>
  <c r="H1129" i="3"/>
  <c r="J1129" i="3"/>
  <c r="B1129" i="3"/>
  <c r="F1129" i="3"/>
  <c r="B1107" i="6"/>
  <c r="A1108" i="6"/>
  <c r="I1130" i="3" l="1"/>
  <c r="B1130" i="3"/>
  <c r="J1130" i="3"/>
  <c r="C1130" i="3"/>
  <c r="A1131" i="3"/>
  <c r="G1130" i="3"/>
  <c r="F1130" i="3"/>
  <c r="D1130" i="3"/>
  <c r="E1130" i="3"/>
  <c r="H1130" i="3"/>
  <c r="A1109" i="6"/>
  <c r="B1108" i="6"/>
  <c r="D1131" i="5"/>
  <c r="L1131" i="5"/>
  <c r="T1131" i="5"/>
  <c r="H1131" i="5"/>
  <c r="Q1131" i="5"/>
  <c r="AC1131" i="5"/>
  <c r="E1131" i="5"/>
  <c r="O1131" i="5"/>
  <c r="AB1131" i="5"/>
  <c r="F1131" i="5"/>
  <c r="P1131" i="5"/>
  <c r="A1132" i="5"/>
  <c r="G1131" i="5"/>
  <c r="R1131" i="5"/>
  <c r="B1131" i="5"/>
  <c r="M1131" i="5"/>
  <c r="W1131" i="5"/>
  <c r="J1131" i="5"/>
  <c r="K1131" i="5"/>
  <c r="N1131" i="5"/>
  <c r="C1131" i="5"/>
  <c r="X1131" i="5"/>
  <c r="U1131" i="5"/>
  <c r="V1131" i="5"/>
  <c r="I1131" i="5"/>
  <c r="S1131" i="5"/>
  <c r="B1130" i="2"/>
  <c r="K1130" i="2"/>
  <c r="C1130" i="2"/>
  <c r="A1131" i="2"/>
  <c r="I1130" i="2"/>
  <c r="J1130" i="2"/>
  <c r="E1130" i="2"/>
  <c r="G1130" i="2"/>
  <c r="H1130" i="2"/>
  <c r="F1130" i="2"/>
  <c r="B1132" i="5" l="1"/>
  <c r="J1132" i="5"/>
  <c r="R1132" i="5"/>
  <c r="AC1132" i="5"/>
  <c r="I1132" i="5"/>
  <c r="S1132" i="5"/>
  <c r="K1132" i="5"/>
  <c r="U1132" i="5"/>
  <c r="L1132" i="5"/>
  <c r="V1132" i="5"/>
  <c r="C1132" i="5"/>
  <c r="M1132" i="5"/>
  <c r="W1132" i="5"/>
  <c r="G1132" i="5"/>
  <c r="Q1132" i="5"/>
  <c r="E1132" i="5"/>
  <c r="AB1132" i="5"/>
  <c r="F1132" i="5"/>
  <c r="A1133" i="5"/>
  <c r="H1132" i="5"/>
  <c r="T1132" i="5"/>
  <c r="P1132" i="5"/>
  <c r="O1132" i="5"/>
  <c r="D1132" i="5"/>
  <c r="N1132" i="5"/>
  <c r="X1132" i="5"/>
  <c r="G1131" i="3"/>
  <c r="H1131" i="3"/>
  <c r="I1131" i="3"/>
  <c r="E1131" i="3"/>
  <c r="C1131" i="3"/>
  <c r="D1131" i="3"/>
  <c r="A1132" i="3"/>
  <c r="F1131" i="3"/>
  <c r="J1131" i="3"/>
  <c r="B1131" i="3"/>
  <c r="B1109" i="6"/>
  <c r="A1110" i="6"/>
  <c r="I1131" i="2"/>
  <c r="J1131" i="2"/>
  <c r="K1131" i="2"/>
  <c r="A1132" i="2"/>
  <c r="C1131" i="2"/>
  <c r="E1131" i="2"/>
  <c r="F1131" i="2"/>
  <c r="B1131" i="2"/>
  <c r="G1131" i="2"/>
  <c r="H1131" i="2"/>
  <c r="H1133" i="5" l="1"/>
  <c r="P1133" i="5"/>
  <c r="X1133" i="5"/>
  <c r="B1133" i="5"/>
  <c r="K1133" i="5"/>
  <c r="T1133" i="5"/>
  <c r="E1133" i="5"/>
  <c r="O1133" i="5"/>
  <c r="AC1133" i="5"/>
  <c r="F1133" i="5"/>
  <c r="Q1133" i="5"/>
  <c r="A1134" i="5"/>
  <c r="G1133" i="5"/>
  <c r="R1133" i="5"/>
  <c r="C1133" i="5"/>
  <c r="M1133" i="5"/>
  <c r="W1133" i="5"/>
  <c r="U1133" i="5"/>
  <c r="V1133" i="5"/>
  <c r="D1133" i="5"/>
  <c r="AB1133" i="5"/>
  <c r="N1133" i="5"/>
  <c r="J1133" i="5"/>
  <c r="L1133" i="5"/>
  <c r="S1133" i="5"/>
  <c r="I1133" i="5"/>
  <c r="G1132" i="2"/>
  <c r="H1132" i="2"/>
  <c r="K1132" i="2"/>
  <c r="A1133" i="2"/>
  <c r="B1132" i="2"/>
  <c r="C1132" i="2"/>
  <c r="E1132" i="2"/>
  <c r="F1132" i="2"/>
  <c r="I1132" i="2"/>
  <c r="J1132" i="2"/>
  <c r="A1111" i="6"/>
  <c r="B1110" i="6"/>
  <c r="E1132" i="3"/>
  <c r="F1132" i="3"/>
  <c r="G1132" i="3"/>
  <c r="C1132" i="3"/>
  <c r="A1133" i="3"/>
  <c r="I1132" i="3"/>
  <c r="J1132" i="3"/>
  <c r="D1132" i="3"/>
  <c r="H1132" i="3"/>
  <c r="B1132" i="3"/>
  <c r="B1111" i="6" l="1"/>
  <c r="A1112" i="6"/>
  <c r="E1133" i="2"/>
  <c r="F1133" i="2"/>
  <c r="K1133" i="2"/>
  <c r="H1133" i="2"/>
  <c r="A1134" i="2"/>
  <c r="C1133" i="2"/>
  <c r="G1133" i="2"/>
  <c r="B1133" i="2"/>
  <c r="I1133" i="2"/>
  <c r="J1133" i="2"/>
  <c r="C1133" i="3"/>
  <c r="A1134" i="3"/>
  <c r="D1133" i="3"/>
  <c r="E1133" i="3"/>
  <c r="I1133" i="3"/>
  <c r="H1133" i="3"/>
  <c r="B1133" i="3"/>
  <c r="F1133" i="3"/>
  <c r="G1133" i="3"/>
  <c r="J1133" i="3"/>
  <c r="F1134" i="5"/>
  <c r="N1134" i="5"/>
  <c r="V1134" i="5"/>
  <c r="C1134" i="5"/>
  <c r="L1134" i="5"/>
  <c r="U1134" i="5"/>
  <c r="J1134" i="5"/>
  <c r="T1134" i="5"/>
  <c r="K1134" i="5"/>
  <c r="W1134" i="5"/>
  <c r="B1134" i="5"/>
  <c r="M1134" i="5"/>
  <c r="X1134" i="5"/>
  <c r="H1134" i="5"/>
  <c r="R1134" i="5"/>
  <c r="P1134" i="5"/>
  <c r="Q1134" i="5"/>
  <c r="S1134" i="5"/>
  <c r="I1134" i="5"/>
  <c r="AC1134" i="5"/>
  <c r="A1135" i="5"/>
  <c r="D1134" i="5"/>
  <c r="E1134" i="5"/>
  <c r="O1134" i="5"/>
  <c r="AB1134" i="5"/>
  <c r="G1134" i="5"/>
  <c r="B1134" i="2" l="1"/>
  <c r="K1134" i="2"/>
  <c r="C1134" i="2"/>
  <c r="A1135" i="2"/>
  <c r="E1134" i="2"/>
  <c r="F1134" i="2"/>
  <c r="G1134" i="2"/>
  <c r="I1134" i="2"/>
  <c r="J1134" i="2"/>
  <c r="H1134" i="2"/>
  <c r="D1135" i="5"/>
  <c r="L1135" i="5"/>
  <c r="T1135" i="5"/>
  <c r="E1135" i="5"/>
  <c r="N1135" i="5"/>
  <c r="W1135" i="5"/>
  <c r="F1135" i="5"/>
  <c r="P1135" i="5"/>
  <c r="AC1135" i="5"/>
  <c r="G1135" i="5"/>
  <c r="Q1135" i="5"/>
  <c r="A1136" i="5"/>
  <c r="H1135" i="5"/>
  <c r="R1135" i="5"/>
  <c r="B1135" i="5"/>
  <c r="M1135" i="5"/>
  <c r="X1135" i="5"/>
  <c r="J1135" i="5"/>
  <c r="K1135" i="5"/>
  <c r="O1135" i="5"/>
  <c r="C1135" i="5"/>
  <c r="AB1135" i="5"/>
  <c r="U1135" i="5"/>
  <c r="V1135" i="5"/>
  <c r="I1135" i="5"/>
  <c r="S1135" i="5"/>
  <c r="A1113" i="6"/>
  <c r="B1112" i="6"/>
  <c r="I1134" i="3"/>
  <c r="B1134" i="3"/>
  <c r="J1134" i="3"/>
  <c r="C1134" i="3"/>
  <c r="A1135" i="3"/>
  <c r="G1134" i="3"/>
  <c r="E1134" i="3"/>
  <c r="F1134" i="3"/>
  <c r="H1134" i="3"/>
  <c r="D1134" i="3"/>
  <c r="I1135" i="2" l="1"/>
  <c r="J1135" i="2"/>
  <c r="B1135" i="2"/>
  <c r="H1135" i="2"/>
  <c r="C1135" i="2"/>
  <c r="F1135" i="2"/>
  <c r="E1135" i="2"/>
  <c r="G1135" i="2"/>
  <c r="K1135" i="2"/>
  <c r="A1136" i="2"/>
  <c r="G1135" i="3"/>
  <c r="H1135" i="3"/>
  <c r="I1135" i="3"/>
  <c r="E1135" i="3"/>
  <c r="A1136" i="3"/>
  <c r="C1135" i="3"/>
  <c r="B1135" i="3"/>
  <c r="D1135" i="3"/>
  <c r="F1135" i="3"/>
  <c r="J1135" i="3"/>
  <c r="B1136" i="5"/>
  <c r="J1136" i="5"/>
  <c r="R1136" i="5"/>
  <c r="AC1136" i="5"/>
  <c r="F1136" i="5"/>
  <c r="O1136" i="5"/>
  <c r="X1136" i="5"/>
  <c r="K1136" i="5"/>
  <c r="U1136" i="5"/>
  <c r="L1136" i="5"/>
  <c r="V1136" i="5"/>
  <c r="C1136" i="5"/>
  <c r="M1136" i="5"/>
  <c r="W1136" i="5"/>
  <c r="H1136" i="5"/>
  <c r="S1136" i="5"/>
  <c r="E1136" i="5"/>
  <c r="A1137" i="5"/>
  <c r="G1136" i="5"/>
  <c r="I1136" i="5"/>
  <c r="T1136" i="5"/>
  <c r="P1136" i="5"/>
  <c r="Q1136" i="5"/>
  <c r="AB1136" i="5"/>
  <c r="D1136" i="5"/>
  <c r="N1136" i="5"/>
  <c r="B1113" i="6"/>
  <c r="A1114" i="6"/>
  <c r="A1115" i="6" l="1"/>
  <c r="B1114" i="6"/>
  <c r="E1136" i="3"/>
  <c r="F1136" i="3"/>
  <c r="G1136" i="3"/>
  <c r="C1136" i="3"/>
  <c r="A1137" i="3"/>
  <c r="J1136" i="3"/>
  <c r="B1136" i="3"/>
  <c r="D1136" i="3"/>
  <c r="H1136" i="3"/>
  <c r="I1136" i="3"/>
  <c r="H1137" i="5"/>
  <c r="P1137" i="5"/>
  <c r="X1137" i="5"/>
  <c r="G1137" i="5"/>
  <c r="Q1137" i="5"/>
  <c r="AC1137" i="5"/>
  <c r="E1137" i="5"/>
  <c r="O1137" i="5"/>
  <c r="A1138" i="5"/>
  <c r="F1137" i="5"/>
  <c r="R1137" i="5"/>
  <c r="I1137" i="5"/>
  <c r="S1137" i="5"/>
  <c r="C1137" i="5"/>
  <c r="M1137" i="5"/>
  <c r="W1137" i="5"/>
  <c r="U1137" i="5"/>
  <c r="B1137" i="5"/>
  <c r="V1137" i="5"/>
  <c r="D1137" i="5"/>
  <c r="AB1137" i="5"/>
  <c r="N1137" i="5"/>
  <c r="J1137" i="5"/>
  <c r="K1137" i="5"/>
  <c r="L1137" i="5"/>
  <c r="T1137" i="5"/>
  <c r="G1136" i="2"/>
  <c r="H1136" i="2"/>
  <c r="B1136" i="2"/>
  <c r="C1136" i="2"/>
  <c r="F1136" i="2"/>
  <c r="I1136" i="2"/>
  <c r="J1136" i="2"/>
  <c r="E1136" i="2"/>
  <c r="K1136" i="2"/>
  <c r="A1137" i="2"/>
  <c r="E1137" i="2" l="1"/>
  <c r="F1137" i="2"/>
  <c r="B1137" i="2"/>
  <c r="C1137" i="2"/>
  <c r="G1137" i="2"/>
  <c r="H1137" i="2"/>
  <c r="I1137" i="2"/>
  <c r="J1137" i="2"/>
  <c r="K1137" i="2"/>
  <c r="A1138" i="2"/>
  <c r="C1137" i="3"/>
  <c r="A1138" i="3"/>
  <c r="D1137" i="3"/>
  <c r="E1137" i="3"/>
  <c r="I1137" i="3"/>
  <c r="G1137" i="3"/>
  <c r="H1137" i="3"/>
  <c r="J1137" i="3"/>
  <c r="B1137" i="3"/>
  <c r="F1137" i="3"/>
  <c r="F1138" i="5"/>
  <c r="N1138" i="5"/>
  <c r="V1138" i="5"/>
  <c r="I1138" i="5"/>
  <c r="R1138" i="5"/>
  <c r="A1139" i="5"/>
  <c r="K1138" i="5"/>
  <c r="U1138" i="5"/>
  <c r="B1138" i="5"/>
  <c r="L1138" i="5"/>
  <c r="W1138" i="5"/>
  <c r="C1138" i="5"/>
  <c r="M1138" i="5"/>
  <c r="X1138" i="5"/>
  <c r="H1138" i="5"/>
  <c r="S1138" i="5"/>
  <c r="P1138" i="5"/>
  <c r="Q1138" i="5"/>
  <c r="T1138" i="5"/>
  <c r="J1138" i="5"/>
  <c r="E1138" i="5"/>
  <c r="G1138" i="5"/>
  <c r="AC1138" i="5"/>
  <c r="O1138" i="5"/>
  <c r="AB1138" i="5"/>
  <c r="D1138" i="5"/>
  <c r="B1115" i="6"/>
  <c r="A1116" i="6"/>
  <c r="B1116" i="6" l="1"/>
  <c r="A1117" i="6"/>
  <c r="D1139" i="5"/>
  <c r="L1139" i="5"/>
  <c r="T1139" i="5"/>
  <c r="J1139" i="5"/>
  <c r="S1139" i="5"/>
  <c r="F1139" i="5"/>
  <c r="P1139" i="5"/>
  <c r="AC1139" i="5"/>
  <c r="G1139" i="5"/>
  <c r="Q1139" i="5"/>
  <c r="A1140" i="5"/>
  <c r="H1139" i="5"/>
  <c r="R1139" i="5"/>
  <c r="C1139" i="5"/>
  <c r="N1139" i="5"/>
  <c r="X1139" i="5"/>
  <c r="K1139" i="5"/>
  <c r="M1139" i="5"/>
  <c r="O1139" i="5"/>
  <c r="E1139" i="5"/>
  <c r="AB1139" i="5"/>
  <c r="V1139" i="5"/>
  <c r="B1139" i="5"/>
  <c r="W1139" i="5"/>
  <c r="I1139" i="5"/>
  <c r="U1139" i="5"/>
  <c r="B1138" i="2"/>
  <c r="K1138" i="2"/>
  <c r="C1138" i="2"/>
  <c r="A1139" i="2"/>
  <c r="F1138" i="2"/>
  <c r="G1138" i="2"/>
  <c r="E1138" i="2"/>
  <c r="I1138" i="2"/>
  <c r="J1138" i="2"/>
  <c r="H1138" i="2"/>
  <c r="I1138" i="3"/>
  <c r="B1138" i="3"/>
  <c r="J1138" i="3"/>
  <c r="C1138" i="3"/>
  <c r="A1139" i="3"/>
  <c r="G1138" i="3"/>
  <c r="E1138" i="3"/>
  <c r="D1138" i="3"/>
  <c r="H1138" i="3"/>
  <c r="F1138" i="3"/>
  <c r="I1139" i="2" l="1"/>
  <c r="F1139" i="2"/>
  <c r="J1139" i="2"/>
  <c r="A1140" i="2"/>
  <c r="B1139" i="2"/>
  <c r="K1139" i="2"/>
  <c r="C1139" i="2"/>
  <c r="E1139" i="2"/>
  <c r="G1139" i="2"/>
  <c r="H1139" i="2"/>
  <c r="B1140" i="5"/>
  <c r="J1140" i="5"/>
  <c r="R1140" i="5"/>
  <c r="AC1140" i="5"/>
  <c r="C1140" i="5"/>
  <c r="L1140" i="5"/>
  <c r="U1140" i="5"/>
  <c r="K1140" i="5"/>
  <c r="V1140" i="5"/>
  <c r="M1140" i="5"/>
  <c r="W1140" i="5"/>
  <c r="D1140" i="5"/>
  <c r="N1140" i="5"/>
  <c r="X1140" i="5"/>
  <c r="H1140" i="5"/>
  <c r="S1140" i="5"/>
  <c r="F1140" i="5"/>
  <c r="A1141" i="5"/>
  <c r="G1140" i="5"/>
  <c r="I1140" i="5"/>
  <c r="T1140" i="5"/>
  <c r="E1140" i="5"/>
  <c r="O1140" i="5"/>
  <c r="P1140" i="5"/>
  <c r="AB1140" i="5"/>
  <c r="Q1140" i="5"/>
  <c r="G1139" i="3"/>
  <c r="H1139" i="3"/>
  <c r="I1139" i="3"/>
  <c r="E1139" i="3"/>
  <c r="C1139" i="3"/>
  <c r="D1139" i="3"/>
  <c r="F1139" i="3"/>
  <c r="J1139" i="3"/>
  <c r="A1140" i="3"/>
  <c r="B1139" i="3"/>
  <c r="B1117" i="6"/>
  <c r="A1118" i="6"/>
  <c r="H1141" i="5" l="1"/>
  <c r="P1141" i="5"/>
  <c r="X1141" i="5"/>
  <c r="D1141" i="5"/>
  <c r="M1141" i="5"/>
  <c r="V1141" i="5"/>
  <c r="F1141" i="5"/>
  <c r="Q1141" i="5"/>
  <c r="A1142" i="5"/>
  <c r="G1141" i="5"/>
  <c r="R1141" i="5"/>
  <c r="I1141" i="5"/>
  <c r="S1141" i="5"/>
  <c r="C1141" i="5"/>
  <c r="N1141" i="5"/>
  <c r="AB1141" i="5"/>
  <c r="U1141" i="5"/>
  <c r="B1141" i="5"/>
  <c r="W1141" i="5"/>
  <c r="E1141" i="5"/>
  <c r="AC1141" i="5"/>
  <c r="O1141" i="5"/>
  <c r="K1141" i="5"/>
  <c r="L1141" i="5"/>
  <c r="T1141" i="5"/>
  <c r="J1141" i="5"/>
  <c r="E1140" i="3"/>
  <c r="F1140" i="3"/>
  <c r="G1140" i="3"/>
  <c r="C1140" i="3"/>
  <c r="A1141" i="3"/>
  <c r="I1140" i="3"/>
  <c r="J1140" i="3"/>
  <c r="B1140" i="3"/>
  <c r="D1140" i="3"/>
  <c r="H1140" i="3"/>
  <c r="F1118" i="6"/>
  <c r="N1118" i="6"/>
  <c r="G1118" i="6"/>
  <c r="O1118" i="6"/>
  <c r="C1118" i="6"/>
  <c r="K1118" i="6"/>
  <c r="S1118" i="6"/>
  <c r="H1118" i="6"/>
  <c r="T1118" i="6"/>
  <c r="I1118" i="6"/>
  <c r="A1119" i="6"/>
  <c r="D1118" i="6"/>
  <c r="Q1118" i="6"/>
  <c r="L1118" i="6"/>
  <c r="M1118" i="6"/>
  <c r="P1118" i="6"/>
  <c r="E1118" i="6"/>
  <c r="J1118" i="6"/>
  <c r="R1118" i="6"/>
  <c r="B1118" i="6"/>
  <c r="G1140" i="2"/>
  <c r="H1140" i="2"/>
  <c r="B1140" i="2"/>
  <c r="C1140" i="2"/>
  <c r="I1140" i="2"/>
  <c r="J1140" i="2"/>
  <c r="K1140" i="2"/>
  <c r="A1141" i="2"/>
  <c r="E1140" i="2"/>
  <c r="F1140" i="2"/>
  <c r="C1141" i="3" l="1"/>
  <c r="A1142" i="3"/>
  <c r="D1141" i="3"/>
  <c r="E1141" i="3"/>
  <c r="I1141" i="3"/>
  <c r="H1141" i="3"/>
  <c r="G1141" i="3"/>
  <c r="B1141" i="3"/>
  <c r="F1141" i="3"/>
  <c r="J1141" i="3"/>
  <c r="E1141" i="2"/>
  <c r="F1141" i="2"/>
  <c r="H1141" i="2"/>
  <c r="I1141" i="2"/>
  <c r="G1141" i="2"/>
  <c r="B1141" i="2"/>
  <c r="K1141" i="2"/>
  <c r="C1141" i="2"/>
  <c r="A1142" i="2"/>
  <c r="J1141" i="2"/>
  <c r="B1119" i="6"/>
  <c r="J1119" i="6"/>
  <c r="R1119" i="6"/>
  <c r="C1119" i="6"/>
  <c r="K1119" i="6"/>
  <c r="S1119" i="6"/>
  <c r="G1119" i="6"/>
  <c r="O1119" i="6"/>
  <c r="M1119" i="6"/>
  <c r="N1119" i="6"/>
  <c r="I1119" i="6"/>
  <c r="L1119" i="6"/>
  <c r="P1119" i="6"/>
  <c r="Q1119" i="6"/>
  <c r="F1119" i="6"/>
  <c r="D1119" i="6"/>
  <c r="A1120" i="6"/>
  <c r="H1119" i="6"/>
  <c r="T1119" i="6"/>
  <c r="E1119" i="6"/>
  <c r="F1142" i="5"/>
  <c r="N1142" i="5"/>
  <c r="V1142" i="5"/>
  <c r="E1142" i="5"/>
  <c r="O1142" i="5"/>
  <c r="X1142" i="5"/>
  <c r="K1142" i="5"/>
  <c r="U1142" i="5"/>
  <c r="B1142" i="5"/>
  <c r="L1142" i="5"/>
  <c r="W1142" i="5"/>
  <c r="C1142" i="5"/>
  <c r="M1142" i="5"/>
  <c r="AB1142" i="5"/>
  <c r="I1142" i="5"/>
  <c r="S1142" i="5"/>
  <c r="Q1142" i="5"/>
  <c r="R1142" i="5"/>
  <c r="T1142" i="5"/>
  <c r="J1142" i="5"/>
  <c r="A1143" i="5"/>
  <c r="H1142" i="5"/>
  <c r="G1142" i="5"/>
  <c r="D1142" i="5"/>
  <c r="P1142" i="5"/>
  <c r="AC1142" i="5"/>
  <c r="B1142" i="2" l="1"/>
  <c r="K1142" i="2"/>
  <c r="G1142" i="2"/>
  <c r="H1142" i="2"/>
  <c r="C1142" i="2"/>
  <c r="A1143" i="2"/>
  <c r="E1142" i="2"/>
  <c r="F1142" i="2"/>
  <c r="I1142" i="2"/>
  <c r="J1142" i="2"/>
  <c r="F1120" i="6"/>
  <c r="N1120" i="6"/>
  <c r="G1120" i="6"/>
  <c r="O1120" i="6"/>
  <c r="C1120" i="6"/>
  <c r="K1120" i="6"/>
  <c r="S1120" i="6"/>
  <c r="E1120" i="6"/>
  <c r="R1120" i="6"/>
  <c r="H1120" i="6"/>
  <c r="T1120" i="6"/>
  <c r="B1120" i="6"/>
  <c r="P1120" i="6"/>
  <c r="L1120" i="6"/>
  <c r="M1120" i="6"/>
  <c r="Q1120" i="6"/>
  <c r="I1120" i="6"/>
  <c r="J1120" i="6"/>
  <c r="A1121" i="6"/>
  <c r="D1120" i="6"/>
  <c r="I1142" i="3"/>
  <c r="B1142" i="3"/>
  <c r="J1142" i="3"/>
  <c r="C1142" i="3"/>
  <c r="A1143" i="3"/>
  <c r="G1142" i="3"/>
  <c r="E1142" i="3"/>
  <c r="F1142" i="3"/>
  <c r="H1142" i="3"/>
  <c r="D1142" i="3"/>
  <c r="D1143" i="5"/>
  <c r="L1143" i="5"/>
  <c r="T1143" i="5"/>
  <c r="G1143" i="5"/>
  <c r="P1143" i="5"/>
  <c r="AB1143" i="5"/>
  <c r="F1143" i="5"/>
  <c r="Q1143" i="5"/>
  <c r="A1144" i="5"/>
  <c r="H1143" i="5"/>
  <c r="R1143" i="5"/>
  <c r="I1143" i="5"/>
  <c r="S1143" i="5"/>
  <c r="C1143" i="5"/>
  <c r="N1143" i="5"/>
  <c r="X1143" i="5"/>
  <c r="K1143" i="5"/>
  <c r="M1143" i="5"/>
  <c r="O1143" i="5"/>
  <c r="E1143" i="5"/>
  <c r="AC1143" i="5"/>
  <c r="B1143" i="5"/>
  <c r="W1143" i="5"/>
  <c r="J1143" i="5"/>
  <c r="U1143" i="5"/>
  <c r="V1143" i="5"/>
  <c r="I1143" i="2" l="1"/>
  <c r="J1143" i="2"/>
  <c r="C1143" i="2"/>
  <c r="F1143" i="2"/>
  <c r="B1143" i="2"/>
  <c r="K1143" i="2"/>
  <c r="A1144" i="2"/>
  <c r="E1143" i="2"/>
  <c r="G1143" i="2"/>
  <c r="H1143" i="2"/>
  <c r="G1143" i="3"/>
  <c r="H1143" i="3"/>
  <c r="I1143" i="3"/>
  <c r="E1143" i="3"/>
  <c r="A1144" i="3"/>
  <c r="B1143" i="3"/>
  <c r="C1143" i="3"/>
  <c r="F1143" i="3"/>
  <c r="J1143" i="3"/>
  <c r="D1143" i="3"/>
  <c r="B1121" i="6"/>
  <c r="J1121" i="6"/>
  <c r="R1121" i="6"/>
  <c r="C1121" i="6"/>
  <c r="K1121" i="6"/>
  <c r="S1121" i="6"/>
  <c r="G1121" i="6"/>
  <c r="O1121" i="6"/>
  <c r="L1121" i="6"/>
  <c r="M1121" i="6"/>
  <c r="H1121" i="6"/>
  <c r="A1122" i="6"/>
  <c r="N1121" i="6"/>
  <c r="P1121" i="6"/>
  <c r="Q1121" i="6"/>
  <c r="F1121" i="6"/>
  <c r="D1121" i="6"/>
  <c r="E1121" i="6"/>
  <c r="I1121" i="6"/>
  <c r="T1121" i="6"/>
  <c r="B1144" i="5"/>
  <c r="J1144" i="5"/>
  <c r="R1144" i="5"/>
  <c r="AC1144" i="5"/>
  <c r="H1144" i="5"/>
  <c r="Q1144" i="5"/>
  <c r="A1145" i="5"/>
  <c r="L1144" i="5"/>
  <c r="V1144" i="5"/>
  <c r="C1144" i="5"/>
  <c r="M1144" i="5"/>
  <c r="W1144" i="5"/>
  <c r="D1144" i="5"/>
  <c r="N1144" i="5"/>
  <c r="X1144" i="5"/>
  <c r="I1144" i="5"/>
  <c r="T1144" i="5"/>
  <c r="F1144" i="5"/>
  <c r="G1144" i="5"/>
  <c r="K1144" i="5"/>
  <c r="U1144" i="5"/>
  <c r="P1144" i="5"/>
  <c r="S1144" i="5"/>
  <c r="AB1144" i="5"/>
  <c r="E1144" i="5"/>
  <c r="O1144" i="5"/>
  <c r="F1122" i="6" l="1"/>
  <c r="N1122" i="6"/>
  <c r="G1122" i="6"/>
  <c r="O1122" i="6"/>
  <c r="C1122" i="6"/>
  <c r="K1122" i="6"/>
  <c r="S1122" i="6"/>
  <c r="D1122" i="6"/>
  <c r="Q1122" i="6"/>
  <c r="E1122" i="6"/>
  <c r="R1122" i="6"/>
  <c r="M1122" i="6"/>
  <c r="L1122" i="6"/>
  <c r="P1122" i="6"/>
  <c r="T1122" i="6"/>
  <c r="I1122" i="6"/>
  <c r="J1122" i="6"/>
  <c r="A1123" i="6"/>
  <c r="B1122" i="6"/>
  <c r="H1122" i="6"/>
  <c r="H1145" i="5"/>
  <c r="P1145" i="5"/>
  <c r="X1145" i="5"/>
  <c r="J1145" i="5"/>
  <c r="S1145" i="5"/>
  <c r="F1145" i="5"/>
  <c r="Q1145" i="5"/>
  <c r="A1146" i="5"/>
  <c r="G1145" i="5"/>
  <c r="R1145" i="5"/>
  <c r="I1145" i="5"/>
  <c r="T1145" i="5"/>
  <c r="D1145" i="5"/>
  <c r="N1145" i="5"/>
  <c r="AB1145" i="5"/>
  <c r="B1145" i="5"/>
  <c r="V1145" i="5"/>
  <c r="C1145" i="5"/>
  <c r="W1145" i="5"/>
  <c r="E1145" i="5"/>
  <c r="AC1145" i="5"/>
  <c r="O1145" i="5"/>
  <c r="L1145" i="5"/>
  <c r="K1145" i="5"/>
  <c r="U1145" i="5"/>
  <c r="M1145" i="5"/>
  <c r="E1144" i="3"/>
  <c r="F1144" i="3"/>
  <c r="G1144" i="3"/>
  <c r="C1144" i="3"/>
  <c r="A1145" i="3"/>
  <c r="B1144" i="3"/>
  <c r="I1144" i="3"/>
  <c r="D1144" i="3"/>
  <c r="H1144" i="3"/>
  <c r="J1144" i="3"/>
  <c r="G1144" i="2"/>
  <c r="A1145" i="2"/>
  <c r="H1144" i="2"/>
  <c r="J1144" i="2"/>
  <c r="B1144" i="2"/>
  <c r="I1144" i="2"/>
  <c r="K1144" i="2"/>
  <c r="C1144" i="2"/>
  <c r="E1144" i="2"/>
  <c r="F1144" i="2"/>
  <c r="C1145" i="3" l="1"/>
  <c r="A1146" i="3"/>
  <c r="D1145" i="3"/>
  <c r="E1145" i="3"/>
  <c r="I1145" i="3"/>
  <c r="G1145" i="3"/>
  <c r="H1145" i="3"/>
  <c r="J1145" i="3"/>
  <c r="B1145" i="3"/>
  <c r="F1145" i="3"/>
  <c r="E1145" i="2"/>
  <c r="F1145" i="2"/>
  <c r="I1145" i="2"/>
  <c r="G1145" i="2"/>
  <c r="H1145" i="2"/>
  <c r="B1145" i="2"/>
  <c r="K1145" i="2"/>
  <c r="C1145" i="2"/>
  <c r="A1146" i="2"/>
  <c r="J1145" i="2"/>
  <c r="B1123" i="6"/>
  <c r="J1123" i="6"/>
  <c r="R1123" i="6"/>
  <c r="C1123" i="6"/>
  <c r="K1123" i="6"/>
  <c r="S1123" i="6"/>
  <c r="G1123" i="6"/>
  <c r="O1123" i="6"/>
  <c r="I1123" i="6"/>
  <c r="L1123" i="6"/>
  <c r="F1123" i="6"/>
  <c r="T1123" i="6"/>
  <c r="N1123" i="6"/>
  <c r="P1123" i="6"/>
  <c r="Q1123" i="6"/>
  <c r="H1123" i="6"/>
  <c r="D1123" i="6"/>
  <c r="M1123" i="6"/>
  <c r="A1124" i="6"/>
  <c r="E1123" i="6"/>
  <c r="F1146" i="5"/>
  <c r="N1146" i="5"/>
  <c r="V1146" i="5"/>
  <c r="B1146" i="5"/>
  <c r="K1146" i="5"/>
  <c r="T1146" i="5"/>
  <c r="L1146" i="5"/>
  <c r="W1146" i="5"/>
  <c r="C1146" i="5"/>
  <c r="M1146" i="5"/>
  <c r="X1146" i="5"/>
  <c r="D1146" i="5"/>
  <c r="O1146" i="5"/>
  <c r="AB1146" i="5"/>
  <c r="I1146" i="5"/>
  <c r="S1146" i="5"/>
  <c r="Q1146" i="5"/>
  <c r="R1146" i="5"/>
  <c r="U1146" i="5"/>
  <c r="J1146" i="5"/>
  <c r="G1146" i="5"/>
  <c r="H1146" i="5"/>
  <c r="P1146" i="5"/>
  <c r="AC1146" i="5"/>
  <c r="A1147" i="5"/>
  <c r="E1146" i="5"/>
  <c r="F1124" i="6" l="1"/>
  <c r="N1124" i="6"/>
  <c r="G1124" i="6"/>
  <c r="O1124" i="6"/>
  <c r="C1124" i="6"/>
  <c r="K1124" i="6"/>
  <c r="S1124" i="6"/>
  <c r="B1124" i="6"/>
  <c r="P1124" i="6"/>
  <c r="D1124" i="6"/>
  <c r="Q1124" i="6"/>
  <c r="L1124" i="6"/>
  <c r="M1124" i="6"/>
  <c r="R1124" i="6"/>
  <c r="T1124" i="6"/>
  <c r="I1124" i="6"/>
  <c r="J1124" i="6"/>
  <c r="A1125" i="6"/>
  <c r="E1124" i="6"/>
  <c r="H1124" i="6"/>
  <c r="B1146" i="2"/>
  <c r="K1146" i="2"/>
  <c r="H1146" i="2"/>
  <c r="C1146" i="2"/>
  <c r="A1147" i="2"/>
  <c r="F1146" i="2"/>
  <c r="G1146" i="2"/>
  <c r="E1146" i="2"/>
  <c r="I1146" i="2"/>
  <c r="J1146" i="2"/>
  <c r="I1146" i="3"/>
  <c r="B1146" i="3"/>
  <c r="J1146" i="3"/>
  <c r="C1146" i="3"/>
  <c r="A1147" i="3"/>
  <c r="G1146" i="3"/>
  <c r="F1146" i="3"/>
  <c r="D1146" i="3"/>
  <c r="E1146" i="3"/>
  <c r="H1146" i="3"/>
  <c r="D1147" i="5"/>
  <c r="L1147" i="5"/>
  <c r="T1147" i="5"/>
  <c r="C1147" i="5"/>
  <c r="M1147" i="5"/>
  <c r="V1147" i="5"/>
  <c r="G1147" i="5"/>
  <c r="Q1147" i="5"/>
  <c r="A1148" i="5"/>
  <c r="H1147" i="5"/>
  <c r="R1147" i="5"/>
  <c r="I1147" i="5"/>
  <c r="S1147" i="5"/>
  <c r="E1147" i="5"/>
  <c r="O1147" i="5"/>
  <c r="AB1147" i="5"/>
  <c r="K1147" i="5"/>
  <c r="N1147" i="5"/>
  <c r="P1147" i="5"/>
  <c r="F1147" i="5"/>
  <c r="AC1147" i="5"/>
  <c r="W1147" i="5"/>
  <c r="X1147" i="5"/>
  <c r="B1147" i="5"/>
  <c r="J1147" i="5"/>
  <c r="U1147" i="5"/>
  <c r="G1147" i="3" l="1"/>
  <c r="H1147" i="3"/>
  <c r="I1147" i="3"/>
  <c r="E1147" i="3"/>
  <c r="C1147" i="3"/>
  <c r="D1147" i="3"/>
  <c r="A1148" i="3"/>
  <c r="F1147" i="3"/>
  <c r="J1147" i="3"/>
  <c r="B1147" i="3"/>
  <c r="B1125" i="6"/>
  <c r="J1125" i="6"/>
  <c r="R1125" i="6"/>
  <c r="C1125" i="6"/>
  <c r="K1125" i="6"/>
  <c r="S1125" i="6"/>
  <c r="G1125" i="6"/>
  <c r="O1125" i="6"/>
  <c r="H1125" i="6"/>
  <c r="A1126" i="6"/>
  <c r="I1125" i="6"/>
  <c r="E1125" i="6"/>
  <c r="Q1125" i="6"/>
  <c r="N1125" i="6"/>
  <c r="P1125" i="6"/>
  <c r="T1125" i="6"/>
  <c r="L1125" i="6"/>
  <c r="D1125" i="6"/>
  <c r="F1125" i="6"/>
  <c r="M1125" i="6"/>
  <c r="B1148" i="5"/>
  <c r="J1148" i="5"/>
  <c r="R1148" i="5"/>
  <c r="AC1148" i="5"/>
  <c r="E1148" i="5"/>
  <c r="N1148" i="5"/>
  <c r="W1148" i="5"/>
  <c r="L1148" i="5"/>
  <c r="V1148" i="5"/>
  <c r="C1148" i="5"/>
  <c r="M1148" i="5"/>
  <c r="X1148" i="5"/>
  <c r="D1148" i="5"/>
  <c r="O1148" i="5"/>
  <c r="AB1148" i="5"/>
  <c r="I1148" i="5"/>
  <c r="T1148" i="5"/>
  <c r="G1148" i="5"/>
  <c r="H1148" i="5"/>
  <c r="K1148" i="5"/>
  <c r="U1148" i="5"/>
  <c r="S1148" i="5"/>
  <c r="Q1148" i="5"/>
  <c r="F1148" i="5"/>
  <c r="P1148" i="5"/>
  <c r="A1149" i="5"/>
  <c r="I1147" i="2"/>
  <c r="J1147" i="2"/>
  <c r="A1148" i="2"/>
  <c r="F1147" i="2"/>
  <c r="B1147" i="2"/>
  <c r="K1147" i="2"/>
  <c r="C1147" i="2"/>
  <c r="E1147" i="2"/>
  <c r="G1147" i="2"/>
  <c r="H1147" i="2"/>
  <c r="H1149" i="5" l="1"/>
  <c r="P1149" i="5"/>
  <c r="X1149" i="5"/>
  <c r="F1149" i="5"/>
  <c r="O1149" i="5"/>
  <c r="AB1149" i="5"/>
  <c r="G1149" i="5"/>
  <c r="R1149" i="5"/>
  <c r="I1149" i="5"/>
  <c r="S1149" i="5"/>
  <c r="J1149" i="5"/>
  <c r="T1149" i="5"/>
  <c r="D1149" i="5"/>
  <c r="N1149" i="5"/>
  <c r="AC1149" i="5"/>
  <c r="B1149" i="5"/>
  <c r="V1149" i="5"/>
  <c r="C1149" i="5"/>
  <c r="W1149" i="5"/>
  <c r="E1149" i="5"/>
  <c r="A1150" i="5"/>
  <c r="Q1149" i="5"/>
  <c r="L1149" i="5"/>
  <c r="M1149" i="5"/>
  <c r="U1149" i="5"/>
  <c r="K1149" i="5"/>
  <c r="E1148" i="3"/>
  <c r="F1148" i="3"/>
  <c r="G1148" i="3"/>
  <c r="C1148" i="3"/>
  <c r="A1149" i="3"/>
  <c r="I1148" i="3"/>
  <c r="J1148" i="3"/>
  <c r="D1148" i="3"/>
  <c r="H1148" i="3"/>
  <c r="B1148" i="3"/>
  <c r="F1126" i="6"/>
  <c r="N1126" i="6"/>
  <c r="G1126" i="6"/>
  <c r="O1126" i="6"/>
  <c r="C1126" i="6"/>
  <c r="K1126" i="6"/>
  <c r="S1126" i="6"/>
  <c r="M1126" i="6"/>
  <c r="B1126" i="6"/>
  <c r="P1126" i="6"/>
  <c r="J1126" i="6"/>
  <c r="Q1126" i="6"/>
  <c r="R1126" i="6"/>
  <c r="T1126" i="6"/>
  <c r="I1126" i="6"/>
  <c r="L1126" i="6"/>
  <c r="A1127" i="6"/>
  <c r="E1126" i="6"/>
  <c r="D1126" i="6"/>
  <c r="H1126" i="6"/>
  <c r="G1148" i="2"/>
  <c r="A1149" i="2"/>
  <c r="H1148" i="2"/>
  <c r="B1148" i="2"/>
  <c r="I1148" i="2"/>
  <c r="J1148" i="2"/>
  <c r="K1148" i="2"/>
  <c r="E1148" i="2"/>
  <c r="F1148" i="2"/>
  <c r="C1148" i="2"/>
  <c r="F1150" i="5" l="1"/>
  <c r="N1150" i="5"/>
  <c r="V1150" i="5"/>
  <c r="H1150" i="5"/>
  <c r="Q1150" i="5"/>
  <c r="AC1150" i="5"/>
  <c r="B1150" i="5"/>
  <c r="L1150" i="5"/>
  <c r="W1150" i="5"/>
  <c r="C1150" i="5"/>
  <c r="M1150" i="5"/>
  <c r="X1150" i="5"/>
  <c r="D1150" i="5"/>
  <c r="O1150" i="5"/>
  <c r="AB1150" i="5"/>
  <c r="J1150" i="5"/>
  <c r="T1150" i="5"/>
  <c r="R1150" i="5"/>
  <c r="S1150" i="5"/>
  <c r="U1150" i="5"/>
  <c r="K1150" i="5"/>
  <c r="E1150" i="5"/>
  <c r="G1150" i="5"/>
  <c r="P1150" i="5"/>
  <c r="A1151" i="5"/>
  <c r="I1150" i="5"/>
  <c r="C1149" i="3"/>
  <c r="A1150" i="3"/>
  <c r="D1149" i="3"/>
  <c r="E1149" i="3"/>
  <c r="I1149" i="3"/>
  <c r="H1149" i="3"/>
  <c r="B1149" i="3"/>
  <c r="F1149" i="3"/>
  <c r="G1149" i="3"/>
  <c r="J1149" i="3"/>
  <c r="B1127" i="6"/>
  <c r="J1127" i="6"/>
  <c r="R1127" i="6"/>
  <c r="C1127" i="6"/>
  <c r="K1127" i="6"/>
  <c r="S1127" i="6"/>
  <c r="G1127" i="6"/>
  <c r="O1127" i="6"/>
  <c r="F1127" i="6"/>
  <c r="T1127" i="6"/>
  <c r="H1127" i="6"/>
  <c r="A1128" i="6"/>
  <c r="D1127" i="6"/>
  <c r="P1127" i="6"/>
  <c r="N1127" i="6"/>
  <c r="Q1127" i="6"/>
  <c r="L1127" i="6"/>
  <c r="E1127" i="6"/>
  <c r="M1127" i="6"/>
  <c r="I1127" i="6"/>
  <c r="E1149" i="2"/>
  <c r="F1149" i="2"/>
  <c r="H1149" i="2"/>
  <c r="G1149" i="2"/>
  <c r="I1149" i="2"/>
  <c r="J1149" i="2"/>
  <c r="B1149" i="2"/>
  <c r="K1149" i="2"/>
  <c r="C1149" i="2"/>
  <c r="A1150" i="2"/>
  <c r="F1128" i="6" l="1"/>
  <c r="N1128" i="6"/>
  <c r="G1128" i="6"/>
  <c r="O1128" i="6"/>
  <c r="C1128" i="6"/>
  <c r="K1128" i="6"/>
  <c r="S1128" i="6"/>
  <c r="L1128" i="6"/>
  <c r="M1128" i="6"/>
  <c r="I1128" i="6"/>
  <c r="A1129" i="6"/>
  <c r="Q1128" i="6"/>
  <c r="R1128" i="6"/>
  <c r="B1128" i="6"/>
  <c r="T1128" i="6"/>
  <c r="J1128" i="6"/>
  <c r="P1128" i="6"/>
  <c r="E1128" i="6"/>
  <c r="D1128" i="6"/>
  <c r="H1128" i="6"/>
  <c r="I1150" i="3"/>
  <c r="B1150" i="3"/>
  <c r="J1150" i="3"/>
  <c r="C1150" i="3"/>
  <c r="A1151" i="3"/>
  <c r="G1150" i="3"/>
  <c r="E1150" i="3"/>
  <c r="F1150" i="3"/>
  <c r="H1150" i="3"/>
  <c r="D1150" i="3"/>
  <c r="B1150" i="2"/>
  <c r="K1150" i="2"/>
  <c r="C1150" i="2"/>
  <c r="A1151" i="2"/>
  <c r="G1150" i="2"/>
  <c r="H1150" i="2"/>
  <c r="E1150" i="2"/>
  <c r="F1150" i="2"/>
  <c r="I1150" i="2"/>
  <c r="J1150" i="2"/>
  <c r="D1151" i="5"/>
  <c r="L1151" i="5"/>
  <c r="T1151" i="5"/>
  <c r="I1151" i="5"/>
  <c r="R1151" i="5"/>
  <c r="A1152" i="5"/>
  <c r="G1151" i="5"/>
  <c r="Q1151" i="5"/>
  <c r="H1151" i="5"/>
  <c r="S1151" i="5"/>
  <c r="J1151" i="5"/>
  <c r="U1151" i="5"/>
  <c r="E1151" i="5"/>
  <c r="O1151" i="5"/>
  <c r="AB1151" i="5"/>
  <c r="M1151" i="5"/>
  <c r="N1151" i="5"/>
  <c r="P1151" i="5"/>
  <c r="F1151" i="5"/>
  <c r="AC1151" i="5"/>
  <c r="B1151" i="5"/>
  <c r="C1151" i="5"/>
  <c r="W1151" i="5"/>
  <c r="X1151" i="5"/>
  <c r="K1151" i="5"/>
  <c r="V1151" i="5"/>
  <c r="B1152" i="5" l="1"/>
  <c r="J1152" i="5"/>
  <c r="R1152" i="5"/>
  <c r="AC1152" i="5"/>
  <c r="K1152" i="5"/>
  <c r="T1152" i="5"/>
  <c r="C1152" i="5"/>
  <c r="M1152" i="5"/>
  <c r="W1152" i="5"/>
  <c r="D1152" i="5"/>
  <c r="N1152" i="5"/>
  <c r="X1152" i="5"/>
  <c r="E1152" i="5"/>
  <c r="O1152" i="5"/>
  <c r="AB1152" i="5"/>
  <c r="I1152" i="5"/>
  <c r="U1152" i="5"/>
  <c r="G1152" i="5"/>
  <c r="H1152" i="5"/>
  <c r="L1152" i="5"/>
  <c r="V1152" i="5"/>
  <c r="Q1152" i="5"/>
  <c r="S1152" i="5"/>
  <c r="A1153" i="5"/>
  <c r="F1152" i="5"/>
  <c r="P1152" i="5"/>
  <c r="B1129" i="6"/>
  <c r="J1129" i="6"/>
  <c r="R1129" i="6"/>
  <c r="C1129" i="6"/>
  <c r="K1129" i="6"/>
  <c r="S1129" i="6"/>
  <c r="G1129" i="6"/>
  <c r="O1129" i="6"/>
  <c r="E1129" i="6"/>
  <c r="Q1129" i="6"/>
  <c r="F1129" i="6"/>
  <c r="T1129" i="6"/>
  <c r="N1129" i="6"/>
  <c r="P1129" i="6"/>
  <c r="A1130" i="6"/>
  <c r="L1129" i="6"/>
  <c r="D1129" i="6"/>
  <c r="H1129" i="6"/>
  <c r="I1129" i="6"/>
  <c r="M1129" i="6"/>
  <c r="I1151" i="2"/>
  <c r="F1151" i="2"/>
  <c r="J1151" i="2"/>
  <c r="C1151" i="2"/>
  <c r="A1152" i="2"/>
  <c r="B1151" i="2"/>
  <c r="K1151" i="2"/>
  <c r="E1151" i="2"/>
  <c r="G1151" i="2"/>
  <c r="H1151" i="2"/>
  <c r="G1151" i="3"/>
  <c r="H1151" i="3"/>
  <c r="I1151" i="3"/>
  <c r="E1151" i="3"/>
  <c r="A1152" i="3"/>
  <c r="C1151" i="3"/>
  <c r="B1151" i="3"/>
  <c r="D1151" i="3"/>
  <c r="F1151" i="3"/>
  <c r="J1151" i="3"/>
  <c r="H1153" i="5" l="1"/>
  <c r="P1153" i="5"/>
  <c r="X1153" i="5"/>
  <c r="C1153" i="5"/>
  <c r="L1153" i="5"/>
  <c r="U1153" i="5"/>
  <c r="G1153" i="5"/>
  <c r="R1153" i="5"/>
  <c r="I1153" i="5"/>
  <c r="S1153" i="5"/>
  <c r="J1153" i="5"/>
  <c r="T1153" i="5"/>
  <c r="E1153" i="5"/>
  <c r="O1153" i="5"/>
  <c r="AC1153" i="5"/>
  <c r="B1153" i="5"/>
  <c r="W1153" i="5"/>
  <c r="D1153" i="5"/>
  <c r="AB1153" i="5"/>
  <c r="F1153" i="5"/>
  <c r="A1154" i="5"/>
  <c r="Q1153" i="5"/>
  <c r="N1153" i="5"/>
  <c r="K1153" i="5"/>
  <c r="M1153" i="5"/>
  <c r="V1153" i="5"/>
  <c r="G1152" i="2"/>
  <c r="H1152" i="2"/>
  <c r="B1152" i="2"/>
  <c r="A1153" i="2"/>
  <c r="I1152" i="2"/>
  <c r="J1152" i="2"/>
  <c r="K1152" i="2"/>
  <c r="E1152" i="2"/>
  <c r="F1152" i="2"/>
  <c r="C1152" i="2"/>
  <c r="E1152" i="3"/>
  <c r="F1152" i="3"/>
  <c r="G1152" i="3"/>
  <c r="C1152" i="3"/>
  <c r="A1153" i="3"/>
  <c r="J1152" i="3"/>
  <c r="B1152" i="3"/>
  <c r="D1152" i="3"/>
  <c r="H1152" i="3"/>
  <c r="I1152" i="3"/>
  <c r="F1130" i="6"/>
  <c r="N1130" i="6"/>
  <c r="G1130" i="6"/>
  <c r="O1130" i="6"/>
  <c r="C1130" i="6"/>
  <c r="K1130" i="6"/>
  <c r="S1130" i="6"/>
  <c r="J1130" i="6"/>
  <c r="L1130" i="6"/>
  <c r="H1130" i="6"/>
  <c r="T1130" i="6"/>
  <c r="Q1130" i="6"/>
  <c r="R1130" i="6"/>
  <c r="B1130" i="6"/>
  <c r="A1131" i="6"/>
  <c r="M1130" i="6"/>
  <c r="P1130" i="6"/>
  <c r="E1130" i="6"/>
  <c r="D1130" i="6"/>
  <c r="I1130" i="6"/>
  <c r="B1131" i="6" l="1"/>
  <c r="J1131" i="6"/>
  <c r="R1131" i="6"/>
  <c r="C1131" i="6"/>
  <c r="K1131" i="6"/>
  <c r="S1131" i="6"/>
  <c r="G1131" i="6"/>
  <c r="O1131" i="6"/>
  <c r="D1131" i="6"/>
  <c r="P1131" i="6"/>
  <c r="E1131" i="6"/>
  <c r="Q1131" i="6"/>
  <c r="M1131" i="6"/>
  <c r="T1131" i="6"/>
  <c r="A1132" i="6"/>
  <c r="L1131" i="6"/>
  <c r="F1131" i="6"/>
  <c r="H1131" i="6"/>
  <c r="N1131" i="6"/>
  <c r="I1131" i="6"/>
  <c r="F1154" i="5"/>
  <c r="N1154" i="5"/>
  <c r="V1154" i="5"/>
  <c r="D1154" i="5"/>
  <c r="M1154" i="5"/>
  <c r="W1154" i="5"/>
  <c r="B1154" i="5"/>
  <c r="L1154" i="5"/>
  <c r="X1154" i="5"/>
  <c r="C1154" i="5"/>
  <c r="O1154" i="5"/>
  <c r="AB1154" i="5"/>
  <c r="E1154" i="5"/>
  <c r="P1154" i="5"/>
  <c r="AC1154" i="5"/>
  <c r="J1154" i="5"/>
  <c r="T1154" i="5"/>
  <c r="R1154" i="5"/>
  <c r="S1154" i="5"/>
  <c r="U1154" i="5"/>
  <c r="K1154" i="5"/>
  <c r="H1154" i="5"/>
  <c r="I1154" i="5"/>
  <c r="Q1154" i="5"/>
  <c r="A1155" i="5"/>
  <c r="G1154" i="5"/>
  <c r="E1153" i="2"/>
  <c r="J1153" i="2"/>
  <c r="F1153" i="2"/>
  <c r="H1153" i="2"/>
  <c r="I1153" i="2"/>
  <c r="G1153" i="2"/>
  <c r="B1153" i="2"/>
  <c r="K1153" i="2"/>
  <c r="C1153" i="2"/>
  <c r="A1154" i="2"/>
  <c r="C1153" i="3"/>
  <c r="A1154" i="3"/>
  <c r="D1153" i="3"/>
  <c r="E1153" i="3"/>
  <c r="I1153" i="3"/>
  <c r="G1153" i="3"/>
  <c r="H1153" i="3"/>
  <c r="J1153" i="3"/>
  <c r="B1153" i="3"/>
  <c r="F1153" i="3"/>
  <c r="B1154" i="2" l="1"/>
  <c r="K1154" i="2"/>
  <c r="C1154" i="2"/>
  <c r="A1155" i="2"/>
  <c r="E1154" i="2"/>
  <c r="F1154" i="2"/>
  <c r="G1154" i="2"/>
  <c r="I1154" i="2"/>
  <c r="J1154" i="2"/>
  <c r="H1154" i="2"/>
  <c r="D1155" i="5"/>
  <c r="L1155" i="5"/>
  <c r="T1155" i="5"/>
  <c r="F1155" i="5"/>
  <c r="O1155" i="5"/>
  <c r="X1155" i="5"/>
  <c r="H1155" i="5"/>
  <c r="R1155" i="5"/>
  <c r="I1155" i="5"/>
  <c r="S1155" i="5"/>
  <c r="J1155" i="5"/>
  <c r="U1155" i="5"/>
  <c r="E1155" i="5"/>
  <c r="P1155" i="5"/>
  <c r="AC1155" i="5"/>
  <c r="M1155" i="5"/>
  <c r="N1155" i="5"/>
  <c r="Q1155" i="5"/>
  <c r="G1155" i="5"/>
  <c r="A1156" i="5"/>
  <c r="W1155" i="5"/>
  <c r="AB1155" i="5"/>
  <c r="B1155" i="5"/>
  <c r="C1155" i="5"/>
  <c r="K1155" i="5"/>
  <c r="V1155" i="5"/>
  <c r="F1132" i="6"/>
  <c r="N1132" i="6"/>
  <c r="G1132" i="6"/>
  <c r="O1132" i="6"/>
  <c r="C1132" i="6"/>
  <c r="K1132" i="6"/>
  <c r="S1132" i="6"/>
  <c r="I1132" i="6"/>
  <c r="A1133" i="6"/>
  <c r="J1132" i="6"/>
  <c r="E1132" i="6"/>
  <c r="R1132" i="6"/>
  <c r="Q1132" i="6"/>
  <c r="T1132" i="6"/>
  <c r="B1132" i="6"/>
  <c r="M1132" i="6"/>
  <c r="P1132" i="6"/>
  <c r="H1132" i="6"/>
  <c r="D1132" i="6"/>
  <c r="L1132" i="6"/>
  <c r="I1154" i="3"/>
  <c r="B1154" i="3"/>
  <c r="J1154" i="3"/>
  <c r="C1154" i="3"/>
  <c r="A1155" i="3"/>
  <c r="G1154" i="3"/>
  <c r="E1154" i="3"/>
  <c r="D1154" i="3"/>
  <c r="H1154" i="3"/>
  <c r="F1154" i="3"/>
  <c r="I1155" i="2" l="1"/>
  <c r="J1155" i="2"/>
  <c r="C1155" i="2"/>
  <c r="E1155" i="2"/>
  <c r="B1155" i="2"/>
  <c r="K1155" i="2"/>
  <c r="A1156" i="2"/>
  <c r="F1155" i="2"/>
  <c r="G1155" i="2"/>
  <c r="H1155" i="2"/>
  <c r="B1156" i="5"/>
  <c r="J1156" i="5"/>
  <c r="R1156" i="5"/>
  <c r="AC1156" i="5"/>
  <c r="G1156" i="5"/>
  <c r="P1156" i="5"/>
  <c r="AB1156" i="5"/>
  <c r="C1156" i="5"/>
  <c r="M1156" i="5"/>
  <c r="W1156" i="5"/>
  <c r="D1156" i="5"/>
  <c r="N1156" i="5"/>
  <c r="X1156" i="5"/>
  <c r="E1156" i="5"/>
  <c r="O1156" i="5"/>
  <c r="A1157" i="5"/>
  <c r="K1156" i="5"/>
  <c r="U1156" i="5"/>
  <c r="H1156" i="5"/>
  <c r="I1156" i="5"/>
  <c r="L1156" i="5"/>
  <c r="V1156" i="5"/>
  <c r="F1156" i="5"/>
  <c r="Q1156" i="5"/>
  <c r="S1156" i="5"/>
  <c r="T1156" i="5"/>
  <c r="G1155" i="3"/>
  <c r="H1155" i="3"/>
  <c r="I1155" i="3"/>
  <c r="E1155" i="3"/>
  <c r="C1155" i="3"/>
  <c r="D1155" i="3"/>
  <c r="F1155" i="3"/>
  <c r="J1155" i="3"/>
  <c r="A1156" i="3"/>
  <c r="B1155" i="3"/>
  <c r="B1133" i="6"/>
  <c r="J1133" i="6"/>
  <c r="R1133" i="6"/>
  <c r="C1133" i="6"/>
  <c r="K1133" i="6"/>
  <c r="S1133" i="6"/>
  <c r="G1133" i="6"/>
  <c r="O1133" i="6"/>
  <c r="N1133" i="6"/>
  <c r="D1133" i="6"/>
  <c r="P1133" i="6"/>
  <c r="L1133" i="6"/>
  <c r="T1133" i="6"/>
  <c r="A1134" i="6"/>
  <c r="E1133" i="6"/>
  <c r="M1133" i="6"/>
  <c r="F1133" i="6"/>
  <c r="H1133" i="6"/>
  <c r="I1133" i="6"/>
  <c r="Q1133" i="6"/>
  <c r="G1156" i="2" l="1"/>
  <c r="H1156" i="2"/>
  <c r="J1156" i="2"/>
  <c r="K1156" i="2"/>
  <c r="C1156" i="2"/>
  <c r="I1156" i="2"/>
  <c r="B1156" i="2"/>
  <c r="E1156" i="2"/>
  <c r="F1156" i="2"/>
  <c r="E1156" i="3"/>
  <c r="F1156" i="3"/>
  <c r="G1156" i="3"/>
  <c r="C1156" i="3"/>
  <c r="I1156" i="3"/>
  <c r="J1156" i="3"/>
  <c r="B1156" i="3"/>
  <c r="D1156" i="3"/>
  <c r="H1156" i="3"/>
  <c r="F1134" i="6"/>
  <c r="N1134" i="6"/>
  <c r="G1134" i="6"/>
  <c r="O1134" i="6"/>
  <c r="C1134" i="6"/>
  <c r="K1134" i="6"/>
  <c r="S1134" i="6"/>
  <c r="H1134" i="6"/>
  <c r="T1134" i="6"/>
  <c r="I1134" i="6"/>
  <c r="A1135" i="6"/>
  <c r="D1134" i="6"/>
  <c r="Q1134" i="6"/>
  <c r="R1134" i="6"/>
  <c r="B1134" i="6"/>
  <c r="M1134" i="6"/>
  <c r="P1134" i="6"/>
  <c r="J1134" i="6"/>
  <c r="E1134" i="6"/>
  <c r="L1134" i="6"/>
  <c r="H1157" i="5"/>
  <c r="P1157" i="5"/>
  <c r="X1157" i="5"/>
  <c r="I1157" i="5"/>
  <c r="R1157" i="5"/>
  <c r="G1157" i="5"/>
  <c r="S1157" i="5"/>
  <c r="J1157" i="5"/>
  <c r="T1157" i="5"/>
  <c r="K1157" i="5"/>
  <c r="U1157" i="5"/>
  <c r="E1157" i="5"/>
  <c r="O1157" i="5"/>
  <c r="AC1157" i="5"/>
  <c r="C1157" i="5"/>
  <c r="W1157" i="5"/>
  <c r="D1157" i="5"/>
  <c r="AB1157" i="5"/>
  <c r="F1157" i="5"/>
  <c r="Q1157" i="5"/>
  <c r="M1157" i="5"/>
  <c r="N1157" i="5"/>
  <c r="V1157" i="5"/>
  <c r="B1157" i="5"/>
  <c r="L1157" i="5"/>
  <c r="B1135" i="6" l="1"/>
  <c r="J1135" i="6"/>
  <c r="R1135" i="6"/>
  <c r="C1135" i="6"/>
  <c r="K1135" i="6"/>
  <c r="S1135" i="6"/>
  <c r="G1135" i="6"/>
  <c r="O1135" i="6"/>
  <c r="M1135" i="6"/>
  <c r="N1135" i="6"/>
  <c r="I1135" i="6"/>
  <c r="T1135" i="6"/>
  <c r="D1135" i="6"/>
  <c r="A1136" i="6"/>
  <c r="E1135" i="6"/>
  <c r="P1135" i="6"/>
  <c r="F1135" i="6"/>
  <c r="H1135" i="6"/>
  <c r="Q1135" i="6"/>
  <c r="L1135" i="6"/>
  <c r="F1136" i="6" l="1"/>
  <c r="N1136" i="6"/>
  <c r="G1136" i="6"/>
  <c r="O1136" i="6"/>
  <c r="C1136" i="6"/>
  <c r="K1136" i="6"/>
  <c r="S1136" i="6"/>
  <c r="E1136" i="6"/>
  <c r="R1136" i="6"/>
  <c r="H1136" i="6"/>
  <c r="T1136" i="6"/>
  <c r="B1136" i="6"/>
  <c r="P1136" i="6"/>
  <c r="A1137" i="6"/>
  <c r="D1136" i="6"/>
  <c r="M1136" i="6"/>
  <c r="Q1136" i="6"/>
  <c r="J1136" i="6"/>
  <c r="I1136" i="6"/>
  <c r="L1136" i="6"/>
  <c r="B1137" i="6" l="1"/>
  <c r="J1137" i="6"/>
  <c r="R1137" i="6"/>
  <c r="C1137" i="6"/>
  <c r="K1137" i="6"/>
  <c r="S1137" i="6"/>
  <c r="G1137" i="6"/>
  <c r="O1137" i="6"/>
  <c r="L1137" i="6"/>
  <c r="M1137" i="6"/>
  <c r="H1137" i="6"/>
  <c r="A1138" i="6"/>
  <c r="T1137" i="6"/>
  <c r="D1137" i="6"/>
  <c r="E1137" i="6"/>
  <c r="P1137" i="6"/>
  <c r="F1137" i="6"/>
  <c r="I1137" i="6"/>
  <c r="N1137" i="6"/>
  <c r="Q1137" i="6"/>
  <c r="F1138" i="6" l="1"/>
  <c r="N1138" i="6"/>
  <c r="G1138" i="6"/>
  <c r="O1138" i="6"/>
  <c r="C1138" i="6"/>
  <c r="K1138" i="6"/>
  <c r="S1138" i="6"/>
  <c r="D1138" i="6"/>
  <c r="Q1138" i="6"/>
  <c r="E1138" i="6"/>
  <c r="R1138" i="6"/>
  <c r="M1138" i="6"/>
  <c r="A1139" i="6"/>
  <c r="B1138" i="6"/>
  <c r="H1138" i="6"/>
  <c r="P1138" i="6"/>
  <c r="T1138" i="6"/>
  <c r="J1138" i="6"/>
  <c r="I1138" i="6"/>
  <c r="L1138" i="6"/>
  <c r="B1139" i="6" l="1"/>
  <c r="J1139" i="6"/>
  <c r="R1139" i="6"/>
  <c r="C1139" i="6"/>
  <c r="K1139" i="6"/>
  <c r="S1139" i="6"/>
  <c r="G1139" i="6"/>
  <c r="O1139" i="6"/>
  <c r="I1139" i="6"/>
  <c r="L1139" i="6"/>
  <c r="F1139" i="6"/>
  <c r="T1139" i="6"/>
  <c r="A1140" i="6"/>
  <c r="D1139" i="6"/>
  <c r="E1139" i="6"/>
  <c r="P1139" i="6"/>
  <c r="H1139" i="6"/>
  <c r="M1139" i="6"/>
  <c r="Q1139" i="6"/>
  <c r="N1139" i="6"/>
  <c r="F1140" i="6" l="1"/>
  <c r="N1140" i="6"/>
  <c r="G1140" i="6"/>
  <c r="O1140" i="6"/>
  <c r="C1140" i="6"/>
  <c r="K1140" i="6"/>
  <c r="S1140" i="6"/>
  <c r="B1140" i="6"/>
  <c r="P1140" i="6"/>
  <c r="D1140" i="6"/>
  <c r="Q1140" i="6"/>
  <c r="L1140" i="6"/>
  <c r="A1141" i="6"/>
  <c r="E1140" i="6"/>
  <c r="H1140" i="6"/>
  <c r="R1140" i="6"/>
  <c r="T1140" i="6"/>
  <c r="J1140" i="6"/>
  <c r="I1140" i="6"/>
  <c r="M1140" i="6"/>
  <c r="B1141" i="6" l="1"/>
  <c r="J1141" i="6"/>
  <c r="R1141" i="6"/>
  <c r="C1141" i="6"/>
  <c r="K1141" i="6"/>
  <c r="S1141" i="6"/>
  <c r="G1141" i="6"/>
  <c r="O1141" i="6"/>
  <c r="H1141" i="6"/>
  <c r="A1142" i="6"/>
  <c r="I1141" i="6"/>
  <c r="E1141" i="6"/>
  <c r="Q1141" i="6"/>
  <c r="D1141" i="6"/>
  <c r="F1141" i="6"/>
  <c r="P1141" i="6"/>
  <c r="L1141" i="6"/>
  <c r="M1141" i="6"/>
  <c r="N1141" i="6"/>
  <c r="T1141" i="6"/>
  <c r="F1142" i="6" l="1"/>
  <c r="N1142" i="6"/>
  <c r="G1142" i="6"/>
  <c r="O1142" i="6"/>
  <c r="C1142" i="6"/>
  <c r="K1142" i="6"/>
  <c r="S1142" i="6"/>
  <c r="M1142" i="6"/>
  <c r="B1142" i="6"/>
  <c r="P1142" i="6"/>
  <c r="J1142" i="6"/>
  <c r="D1142" i="6"/>
  <c r="A1143" i="6"/>
  <c r="E1142" i="6"/>
  <c r="H1142" i="6"/>
  <c r="R1142" i="6"/>
  <c r="T1142" i="6"/>
  <c r="L1142" i="6"/>
  <c r="I1142" i="6"/>
  <c r="Q1142" i="6"/>
  <c r="B1143" i="6" l="1"/>
  <c r="J1143" i="6"/>
  <c r="R1143" i="6"/>
  <c r="C1143" i="6"/>
  <c r="K1143" i="6"/>
  <c r="S1143" i="6"/>
  <c r="G1143" i="6"/>
  <c r="O1143" i="6"/>
  <c r="F1143" i="6"/>
  <c r="T1143" i="6"/>
  <c r="H1143" i="6"/>
  <c r="A1144" i="6"/>
  <c r="D1143" i="6"/>
  <c r="P1143" i="6"/>
  <c r="E1143" i="6"/>
  <c r="I1143" i="6"/>
  <c r="Q1143" i="6"/>
  <c r="L1143" i="6"/>
  <c r="M1143" i="6"/>
  <c r="N1143" i="6"/>
  <c r="F1144" i="6" l="1"/>
  <c r="N1144" i="6"/>
  <c r="G1144" i="6"/>
  <c r="O1144" i="6"/>
  <c r="C1144" i="6"/>
  <c r="K1144" i="6"/>
  <c r="S1144" i="6"/>
  <c r="L1144" i="6"/>
  <c r="M1144" i="6"/>
  <c r="I1144" i="6"/>
  <c r="A1145" i="6"/>
  <c r="D1144" i="6"/>
  <c r="E1144" i="6"/>
  <c r="H1144" i="6"/>
  <c r="R1144" i="6"/>
  <c r="T1144" i="6"/>
  <c r="P1144" i="6"/>
  <c r="B1144" i="6"/>
  <c r="J1144" i="6"/>
  <c r="Q1144" i="6"/>
  <c r="B1145" i="6" l="1"/>
  <c r="J1145" i="6"/>
  <c r="R1145" i="6"/>
  <c r="C1145" i="6"/>
  <c r="K1145" i="6"/>
  <c r="S1145" i="6"/>
  <c r="G1145" i="6"/>
  <c r="O1145" i="6"/>
  <c r="E1145" i="6"/>
  <c r="Q1145" i="6"/>
  <c r="F1145" i="6"/>
  <c r="T1145" i="6"/>
  <c r="N1145" i="6"/>
  <c r="D1145" i="6"/>
  <c r="H1145" i="6"/>
  <c r="I1145" i="6"/>
  <c r="A1146" i="6"/>
  <c r="L1145" i="6"/>
  <c r="M1145" i="6"/>
  <c r="P1145" i="6"/>
  <c r="F1146" i="6" l="1"/>
  <c r="N1146" i="6"/>
  <c r="G1146" i="6"/>
  <c r="O1146" i="6"/>
  <c r="C1146" i="6"/>
  <c r="K1146" i="6"/>
  <c r="S1146" i="6"/>
  <c r="J1146" i="6"/>
  <c r="L1146" i="6"/>
  <c r="H1146" i="6"/>
  <c r="T1146" i="6"/>
  <c r="D1146" i="6"/>
  <c r="E1146" i="6"/>
  <c r="I1146" i="6"/>
  <c r="R1146" i="6"/>
  <c r="A1147" i="6"/>
  <c r="P1146" i="6"/>
  <c r="B1146" i="6"/>
  <c r="M1146" i="6"/>
  <c r="Q1146" i="6"/>
  <c r="B1147" i="6" l="1"/>
  <c r="J1147" i="6"/>
  <c r="R1147" i="6"/>
  <c r="C1147" i="6"/>
  <c r="K1147" i="6"/>
  <c r="S1147" i="6"/>
  <c r="G1147" i="6"/>
  <c r="O1147" i="6"/>
  <c r="D1147" i="6"/>
  <c r="P1147" i="6"/>
  <c r="E1147" i="6"/>
  <c r="Q1147" i="6"/>
  <c r="M1147" i="6"/>
  <c r="F1147" i="6"/>
  <c r="H1147" i="6"/>
  <c r="I1147" i="6"/>
  <c r="A1148" i="6"/>
  <c r="L1147" i="6"/>
  <c r="N1147" i="6"/>
  <c r="T1147" i="6"/>
  <c r="F1148" i="6" l="1"/>
  <c r="N1148" i="6"/>
  <c r="G1148" i="6"/>
  <c r="O1148" i="6"/>
  <c r="C1148" i="6"/>
  <c r="K1148" i="6"/>
  <c r="S1148" i="6"/>
  <c r="I1148" i="6"/>
  <c r="A1149" i="6"/>
  <c r="J1148" i="6"/>
  <c r="E1148" i="6"/>
  <c r="R1148" i="6"/>
  <c r="D1148" i="6"/>
  <c r="H1148" i="6"/>
  <c r="L1148" i="6"/>
  <c r="T1148" i="6"/>
  <c r="P1148" i="6"/>
  <c r="B1148" i="6"/>
  <c r="M1148" i="6"/>
  <c r="Q1148" i="6"/>
  <c r="B1149" i="6" l="1"/>
  <c r="J1149" i="6"/>
  <c r="R1149" i="6"/>
  <c r="C1149" i="6"/>
  <c r="K1149" i="6"/>
  <c r="S1149" i="6"/>
  <c r="G1149" i="6"/>
  <c r="O1149" i="6"/>
  <c r="N1149" i="6"/>
  <c r="D1149" i="6"/>
  <c r="P1149" i="6"/>
  <c r="L1149" i="6"/>
  <c r="F1149" i="6"/>
  <c r="H1149" i="6"/>
  <c r="I1149" i="6"/>
  <c r="A1150" i="6"/>
  <c r="E1149" i="6"/>
  <c r="M1149" i="6"/>
  <c r="Q1149" i="6"/>
  <c r="T1149" i="6"/>
  <c r="F1150" i="6" l="1"/>
  <c r="N1150" i="6"/>
  <c r="G1150" i="6"/>
  <c r="O1150" i="6"/>
  <c r="C1150" i="6"/>
  <c r="K1150" i="6"/>
  <c r="S1150" i="6"/>
  <c r="H1150" i="6"/>
  <c r="T1150" i="6"/>
  <c r="I1150" i="6"/>
  <c r="A1151" i="6"/>
  <c r="D1150" i="6"/>
  <c r="Q1150" i="6"/>
  <c r="E1150" i="6"/>
  <c r="J1150" i="6"/>
  <c r="L1150" i="6"/>
  <c r="P1150" i="6"/>
  <c r="M1150" i="6"/>
  <c r="R1150" i="6"/>
  <c r="B1150" i="6"/>
  <c r="B1151" i="6" l="1"/>
  <c r="J1151" i="6"/>
  <c r="R1151" i="6"/>
  <c r="C1151" i="6"/>
  <c r="K1151" i="6"/>
  <c r="S1151" i="6"/>
  <c r="G1151" i="6"/>
  <c r="O1151" i="6"/>
  <c r="M1151" i="6"/>
  <c r="N1151" i="6"/>
  <c r="I1151" i="6"/>
  <c r="F1151" i="6"/>
  <c r="H1151" i="6"/>
  <c r="L1151" i="6"/>
  <c r="D1151" i="6"/>
  <c r="A1152" i="6"/>
  <c r="E1151" i="6"/>
  <c r="P1151" i="6"/>
  <c r="Q1151" i="6"/>
  <c r="T1151" i="6"/>
  <c r="F1152" i="6" l="1"/>
  <c r="N1152" i="6"/>
  <c r="G1152" i="6"/>
  <c r="O1152" i="6"/>
  <c r="C1152" i="6"/>
  <c r="K1152" i="6"/>
  <c r="S1152" i="6"/>
  <c r="E1152" i="6"/>
  <c r="R1152" i="6"/>
  <c r="H1152" i="6"/>
  <c r="T1152" i="6"/>
  <c r="B1152" i="6"/>
  <c r="P1152" i="6"/>
  <c r="I1152" i="6"/>
  <c r="J1152" i="6"/>
  <c r="L1152" i="6"/>
  <c r="Q1152" i="6"/>
  <c r="D1152" i="6"/>
  <c r="M1152" i="6"/>
  <c r="A1153" i="6"/>
  <c r="B1153" i="6" l="1"/>
  <c r="J1153" i="6"/>
  <c r="R1153" i="6"/>
  <c r="C1153" i="6"/>
  <c r="K1153" i="6"/>
  <c r="S1153" i="6"/>
  <c r="G1153" i="6"/>
  <c r="O1153" i="6"/>
  <c r="L1153" i="6"/>
  <c r="M1153" i="6"/>
  <c r="H1153" i="6"/>
  <c r="A1154" i="6"/>
  <c r="F1153" i="6"/>
  <c r="I1153" i="6"/>
  <c r="N1153" i="6"/>
  <c r="D1153" i="6"/>
  <c r="E1153" i="6"/>
  <c r="P1153" i="6"/>
  <c r="Q1153" i="6"/>
  <c r="T1153" i="6"/>
  <c r="F1154" i="6" l="1"/>
  <c r="N1154" i="6"/>
  <c r="G1154" i="6"/>
  <c r="O1154" i="6"/>
  <c r="C1154" i="6"/>
  <c r="K1154" i="6"/>
  <c r="S1154" i="6"/>
  <c r="D1154" i="6"/>
  <c r="Q1154" i="6"/>
  <c r="E1154" i="6"/>
  <c r="R1154" i="6"/>
  <c r="M1154" i="6"/>
  <c r="I1154" i="6"/>
  <c r="J1154" i="6"/>
  <c r="L1154" i="6"/>
  <c r="B1154" i="6"/>
  <c r="T1154" i="6"/>
  <c r="H1154" i="6"/>
  <c r="P1154" i="6"/>
  <c r="A1155" i="6"/>
  <c r="B1155" i="6" l="1"/>
  <c r="C1155" i="6"/>
  <c r="K1155" i="6"/>
  <c r="S1155" i="6"/>
  <c r="G1155" i="6"/>
  <c r="O1155" i="6"/>
  <c r="I1155" i="6"/>
  <c r="T1155" i="6"/>
  <c r="J1155" i="6"/>
  <c r="A1156" i="6"/>
  <c r="F1155" i="6"/>
  <c r="Q1155" i="6"/>
  <c r="H1155" i="6"/>
  <c r="L1155" i="6"/>
  <c r="M1155" i="6"/>
  <c r="D1155" i="6"/>
  <c r="E1155" i="6"/>
  <c r="N1155" i="6"/>
  <c r="P1155" i="6"/>
  <c r="R1155" i="6"/>
  <c r="G1156" i="6" l="1"/>
  <c r="O1156" i="6"/>
  <c r="C1156" i="6"/>
  <c r="K1156" i="6"/>
  <c r="S1156" i="6"/>
  <c r="J1156" i="6"/>
  <c r="L1156" i="6"/>
  <c r="H1156" i="6"/>
  <c r="R1156" i="6"/>
  <c r="E1156" i="6"/>
  <c r="F1156" i="6"/>
  <c r="I1156" i="6"/>
  <c r="B1156" i="6"/>
  <c r="Q1156" i="6"/>
  <c r="T1156" i="6"/>
  <c r="N1156" i="6"/>
  <c r="D1156" i="6"/>
  <c r="M1156" i="6"/>
  <c r="P1156" i="6"/>
</calcChain>
</file>

<file path=xl/sharedStrings.xml><?xml version="1.0" encoding="utf-8"?>
<sst xmlns="http://schemas.openxmlformats.org/spreadsheetml/2006/main" count="254" uniqueCount="101">
  <si>
    <t>WITHOUT NOx</t>
  </si>
  <si>
    <t>WITH NOx</t>
  </si>
  <si>
    <t>Selection</t>
  </si>
  <si>
    <t>Natural Gas</t>
  </si>
  <si>
    <t>WITHOUT SO2 &amp; NOx</t>
  </si>
  <si>
    <t>WITH SO2 &amp; NOx</t>
  </si>
  <si>
    <t>Heavy Oil SO2</t>
  </si>
  <si>
    <t>HIGH PRICES</t>
  </si>
  <si>
    <t>MEDIUM PRICES</t>
  </si>
  <si>
    <t>LOW PRICES</t>
  </si>
  <si>
    <t>Coal</t>
  </si>
  <si>
    <t>Light Oil SO2</t>
  </si>
  <si>
    <t>Heavy Oil</t>
  </si>
  <si>
    <t>Light Oil</t>
  </si>
  <si>
    <t>$/MMBTU</t>
  </si>
  <si>
    <t>MONTH</t>
  </si>
  <si>
    <t>RIVIERA</t>
  </si>
  <si>
    <t>CANAVERAL</t>
  </si>
  <si>
    <t>MARTIN</t>
  </si>
  <si>
    <t>PUTNAM</t>
  </si>
  <si>
    <t>FT MYERS</t>
  </si>
  <si>
    <t>LAUDERDALE</t>
  </si>
  <si>
    <t>PORT EVERGLADES</t>
  </si>
  <si>
    <t>OLEANDER</t>
  </si>
  <si>
    <t>WCEC</t>
  </si>
  <si>
    <t>TURKEY POINT</t>
  </si>
  <si>
    <t>HIGH</t>
  </si>
  <si>
    <t>LOW</t>
  </si>
  <si>
    <t>January 06, 2014 - LYSTRA LOUTAN</t>
  </si>
  <si>
    <t>$/BBL.</t>
  </si>
  <si>
    <t>WTI</t>
  </si>
  <si>
    <t>RIVIERA 1%</t>
  </si>
  <si>
    <t>SANFORD 1%</t>
  </si>
  <si>
    <t>INDIAN RIVER &amp; CANAVERAL 1%</t>
  </si>
  <si>
    <r>
      <t>TURKEY POINT 1%</t>
    </r>
    <r>
      <rPr>
        <b/>
        <sz val="14"/>
        <rFont val="Arial"/>
        <family val="2"/>
      </rPr>
      <t>/</t>
    </r>
    <r>
      <rPr>
        <b/>
        <sz val="14"/>
        <color indexed="17"/>
        <rFont val="Arial"/>
        <family val="2"/>
      </rPr>
      <t>0.7%</t>
    </r>
  </si>
  <si>
    <t>MANATEE 1%/0.7%</t>
  </si>
  <si>
    <t>PORT EVERGLADES 1%</t>
  </si>
  <si>
    <t>MARTIN 1%</t>
  </si>
  <si>
    <t>MARTIN 0.7%</t>
  </si>
  <si>
    <t>DISPATCH PRICE WITH SO2 &amp; NOx</t>
  </si>
  <si>
    <t>DISPATCH PRICE WITHOUT SO2 &amp; NOx</t>
  </si>
  <si>
    <t>WEIGHTED AVERAGE WITH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</si>
  <si>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</si>
  <si>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</si>
  <si>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</si>
  <si>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</si>
  <si>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</si>
  <si>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</si>
  <si>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MM$</t>
  </si>
  <si>
    <t>WEIGHTED AVERAGE GULFSTREAM FIRM</t>
  </si>
  <si>
    <t>WEIGHTED AVERAGE FGT FIRM</t>
  </si>
  <si>
    <t>UPS REPLACEMENT SUNK DEMAND CHARGE</t>
  </si>
  <si>
    <t>UPS REPLACEMENT DISPATCH PRICE</t>
  </si>
  <si>
    <t>BAY GAS STORAGE DEMAND CHARGE</t>
  </si>
  <si>
    <t>GULF SOUTH</t>
  </si>
  <si>
    <t>TRANSCO 4A</t>
  </si>
  <si>
    <t>SESH</t>
  </si>
  <si>
    <t>GULFSTREAM</t>
  </si>
  <si>
    <t>FGT</t>
  </si>
  <si>
    <t>HENRY HUB</t>
  </si>
  <si>
    <t>GULFSTREAM NON-FIRM BACKHAUL</t>
  </si>
  <si>
    <t>GULFSTREAM NON-FIRM</t>
  </si>
  <si>
    <r>
      <t xml:space="preserve">GULFSTREAM FIRM </t>
    </r>
    <r>
      <rPr>
        <b/>
        <sz val="12"/>
        <color indexed="10"/>
        <rFont val="Arial"/>
        <family val="2"/>
      </rPr>
      <t>TRANSNCO 4A</t>
    </r>
    <r>
      <rPr>
        <b/>
        <sz val="12"/>
        <rFont val="Arial"/>
        <family val="2"/>
      </rPr>
      <t xml:space="preserve"> VOLUMES</t>
    </r>
  </si>
  <si>
    <t>GULFSTREAM FIRM CONTRACTUAL DISPATCH PRICE</t>
  </si>
  <si>
    <r>
      <t xml:space="preserve">GULFSTREAM FIRM </t>
    </r>
    <r>
      <rPr>
        <b/>
        <sz val="12"/>
        <color indexed="12"/>
        <rFont val="Arial"/>
        <family val="2"/>
      </rPr>
      <t xml:space="preserve">GULF SOUTH </t>
    </r>
    <r>
      <rPr>
        <b/>
        <sz val="12"/>
        <rFont val="Arial"/>
        <family val="2"/>
      </rPr>
      <t>DISPATCH PRICE</t>
    </r>
  </si>
  <si>
    <r>
      <t xml:space="preserve">GULFSTREAM FIRM </t>
    </r>
    <r>
      <rPr>
        <b/>
        <sz val="12"/>
        <color indexed="17"/>
        <rFont val="Arial"/>
        <family val="2"/>
      </rPr>
      <t>SESH</t>
    </r>
    <r>
      <rPr>
        <b/>
        <sz val="12"/>
        <rFont val="Arial"/>
        <family val="2"/>
      </rPr>
      <t xml:space="preserve"> DISPATCH PRICE</t>
    </r>
  </si>
  <si>
    <t>FGT NON-FIRM</t>
  </si>
  <si>
    <t>FUTURE GAS PIPELINE</t>
  </si>
  <si>
    <r>
      <t xml:space="preserve">PHASE VIII FGT FIRM FROM </t>
    </r>
    <r>
      <rPr>
        <b/>
        <sz val="12"/>
        <color indexed="17"/>
        <rFont val="Arial"/>
        <family val="2"/>
      </rPr>
      <t>SESH</t>
    </r>
  </si>
  <si>
    <r>
      <t xml:space="preserve">PHASE VIII FGT FIRM FROM </t>
    </r>
    <r>
      <rPr>
        <b/>
        <sz val="12"/>
        <color indexed="10"/>
        <rFont val="Arial"/>
        <family val="2"/>
      </rPr>
      <t>TRANSCO 4A</t>
    </r>
  </si>
  <si>
    <t>PHASE VIII ZONE 3 MOBILE BAY/DESTIN FGT FIRM</t>
  </si>
  <si>
    <r>
      <t xml:space="preserve">ZONE 3 MOBILE BAY/DESTIN FGT FIRM </t>
    </r>
    <r>
      <rPr>
        <b/>
        <sz val="12"/>
        <color indexed="12"/>
        <rFont val="Arial"/>
        <family val="2"/>
      </rPr>
      <t>GULF SOUTH</t>
    </r>
  </si>
  <si>
    <r>
      <t xml:space="preserve">ZONE 3 MOBILE BAY/DESTIN FGT FIRM </t>
    </r>
    <r>
      <rPr>
        <b/>
        <sz val="12"/>
        <color indexed="17"/>
        <rFont val="Arial"/>
        <family val="2"/>
      </rPr>
      <t>SESH</t>
    </r>
  </si>
  <si>
    <t>ZONE 3 MOBILE BAY/DESTIN FGT FIRM</t>
  </si>
  <si>
    <t>ZONE 3 FGT FIRM</t>
  </si>
  <si>
    <t>ZONE 2 FGT FIRM</t>
  </si>
  <si>
    <t>ZONE 1 FGT FIRM</t>
  </si>
  <si>
    <t>ESTMATED SUNK DEMAND CHARGE(S) FOR THE NEW PIPELINE WILL BE PROVIDED UPON REQUEST</t>
  </si>
  <si>
    <t>FIRM TRANSPORT AND STORAGE CONTRACTS THROUGH FGT PHASE VIII</t>
  </si>
  <si>
    <t>SUNK DEMAND CHARGE FOR ALL CURRENT</t>
  </si>
  <si>
    <t>MMCF/DAY</t>
  </si>
  <si>
    <t>DAYS</t>
  </si>
  <si>
    <t>GULFSTREAM NON-FIRM &amp; NON-FIRM BACKHAUL</t>
  </si>
  <si>
    <t>TOTAL GULFSTREAM FIRM</t>
  </si>
  <si>
    <r>
      <t xml:space="preserve">GULFSTREAM FIRN </t>
    </r>
    <r>
      <rPr>
        <b/>
        <sz val="12"/>
        <color indexed="10"/>
        <rFont val="Arial"/>
        <family val="2"/>
      </rPr>
      <t>TRANSNCO 4A</t>
    </r>
    <r>
      <rPr>
        <b/>
        <sz val="12"/>
        <rFont val="Arial"/>
        <family val="2"/>
      </rPr>
      <t xml:space="preserve"> VOLUMES</t>
    </r>
  </si>
  <si>
    <t>GULFSTREAM FIRM CONTRACTUAL BALANCE</t>
  </si>
  <si>
    <r>
      <t xml:space="preserve">GULFSTREAM FIRM </t>
    </r>
    <r>
      <rPr>
        <b/>
        <sz val="12"/>
        <color indexed="12"/>
        <rFont val="Arial"/>
        <family val="2"/>
      </rPr>
      <t>GULF SOUTH</t>
    </r>
    <r>
      <rPr>
        <b/>
        <sz val="12"/>
        <rFont val="Arial"/>
        <family val="2"/>
      </rPr>
      <t xml:space="preserve"> VOLUMES</t>
    </r>
  </si>
  <si>
    <r>
      <t xml:space="preserve">GULFSTREAM FIRM </t>
    </r>
    <r>
      <rPr>
        <b/>
        <sz val="12"/>
        <color indexed="17"/>
        <rFont val="Arial"/>
        <family val="2"/>
      </rPr>
      <t>SESH</t>
    </r>
    <r>
      <rPr>
        <b/>
        <sz val="12"/>
        <rFont val="Arial"/>
        <family val="2"/>
      </rPr>
      <t xml:space="preserve"> VOLUMES</t>
    </r>
  </si>
  <si>
    <t>TOTAL FGT FIRM</t>
  </si>
  <si>
    <t>PHASE VIII FTS 3</t>
  </si>
  <si>
    <t>FGT FIRM BY ZONE</t>
  </si>
  <si>
    <t>Florida Power &amp; Light Company</t>
  </si>
  <si>
    <t>Docket No. 160154-EI</t>
  </si>
  <si>
    <t>Staff's First Set of Interrogatories</t>
  </si>
  <si>
    <t>Interrogatory No. 2</t>
  </si>
  <si>
    <t>Tab 1 of 6</t>
  </si>
  <si>
    <t>Attachment No. 24</t>
  </si>
  <si>
    <t>Tab 2 of 6</t>
  </si>
  <si>
    <t>Tab 3 of 6</t>
  </si>
  <si>
    <t>Tab 4 of 6</t>
  </si>
  <si>
    <t>Tab 5 of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</si>
</sst>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00"/>
    <numFmt numFmtId="165" formatCode="0_)"/>
    <numFmt numFmtId="166" formatCode="&quot;$&quot;#,##0.00"/>
    <numFmt numFmtId="167" formatCode="[$-409]mmm\-yy;@"/>
    <numFmt numFmtId="168" formatCode="&quot;$&quot;#,##0.0"/>
    <numFmt numFmtId="169" formatCode="&quot;$&quot;#,##0.0_);[Red]\(&quot;$&quot;#,##0.0\)"/>
    <numFmt numFmtId="170" formatCode="0.0"/>
  </numFmts>
  <fonts count="21" x14ac:knownFonts="1">
    <font>
      <sz val="12"/>
      <name val="Helv"/>
    </font>
    <font>
      <sz val="11"/>
      <color theme="1"/>
      <name val="Calibri"/>
      <family val="2"/>
      <scheme val="minor"/>
    </font>
    <font>
      <sz val="12"/>
      <name val="Helv"/>
    </font>
    <font>
      <sz val="12"/>
      <color indexed="12"/>
      <name val="Helv"/>
    </font>
    <font>
      <b/>
      <sz val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indexed="12"/>
      <name val="Arial"/>
      <family val="2"/>
    </font>
    <font>
      <b/>
      <sz val="14"/>
      <name val="Arial"/>
      <family val="2"/>
    </font>
    <font>
      <b/>
      <sz val="14"/>
      <color indexed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sz val="12"/>
      <color theme="3"/>
      <name val="Arial"/>
      <family val="2"/>
    </font>
    <font>
      <b/>
      <sz val="12"/>
      <color theme="3"/>
      <name val="Arial"/>
      <family val="2"/>
    </font>
    <font>
      <b/>
      <sz val="12"/>
      <color indexed="10"/>
      <name val="Arial"/>
      <family val="2"/>
    </font>
    <font>
      <b/>
      <sz val="12"/>
      <color indexed="17"/>
      <name val="Arial"/>
      <family val="2"/>
    </font>
    <font>
      <b/>
      <sz val="16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25">
    <xf numFmtId="164" fontId="0" fillId="0" borderId="0">
      <alignment horizontal="left" wrapText="1"/>
    </xf>
    <xf numFmtId="44" fontId="5" fillId="0" borderId="0" applyFont="0" applyFill="0" applyBorder="0" applyAlignment="0" applyProtection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5" fillId="0" borderId="0"/>
  </cellStyleXfs>
  <cellXfs count="124">
    <xf numFmtId="164" fontId="0" fillId="0" borderId="0" xfId="0">
      <alignment horizontal="left" wrapText="1"/>
    </xf>
    <xf numFmtId="165" fontId="0" fillId="0" borderId="0" xfId="0" applyNumberFormat="1" applyAlignment="1"/>
    <xf numFmtId="165" fontId="3" fillId="0" borderId="1" xfId="0" quotePrefix="1" applyNumberFormat="1" applyFont="1" applyBorder="1" applyAlignment="1">
      <alignment horizontal="left"/>
    </xf>
    <xf numFmtId="165" fontId="3" fillId="0" borderId="3" xfId="0" quotePrefix="1" applyNumberFormat="1" applyFont="1" applyBorder="1" applyAlignment="1">
      <alignment horizontal="left"/>
    </xf>
    <xf numFmtId="165" fontId="4" fillId="0" borderId="4" xfId="0" applyNumberFormat="1" applyFont="1" applyBorder="1" applyAlignment="1"/>
    <xf numFmtId="165" fontId="3" fillId="0" borderId="1" xfId="0" applyNumberFormat="1" applyFont="1" applyBorder="1" applyAlignment="1"/>
    <xf numFmtId="165" fontId="3" fillId="0" borderId="3" xfId="0" applyNumberFormat="1" applyFont="1" applyBorder="1" applyAlignment="1"/>
    <xf numFmtId="165" fontId="4" fillId="0" borderId="4" xfId="0" quotePrefix="1" applyNumberFormat="1" applyFont="1" applyBorder="1" applyAlignment="1">
      <alignment horizontal="left"/>
    </xf>
    <xf numFmtId="0" fontId="5" fillId="0" borderId="0" xfId="24"/>
    <xf numFmtId="0" fontId="5" fillId="0" borderId="0" xfId="24" applyAlignment="1">
      <alignment horizontal="center"/>
    </xf>
    <xf numFmtId="166" fontId="6" fillId="0" borderId="0" xfId="24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6" fillId="0" borderId="0" xfId="0" applyNumberFormat="1" applyFont="1" applyAlignment="1"/>
    <xf numFmtId="17" fontId="2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167" fontId="6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center"/>
    </xf>
    <xf numFmtId="8" fontId="5" fillId="0" borderId="0" xfId="24" applyNumberFormat="1"/>
    <xf numFmtId="0" fontId="5" fillId="0" borderId="0" xfId="24" applyAlignment="1">
      <alignment horizontal="center" wrapText="1"/>
    </xf>
    <xf numFmtId="0" fontId="7" fillId="0" borderId="0" xfId="24" applyFont="1" applyAlignment="1">
      <alignment horizontal="center" wrapText="1"/>
    </xf>
    <xf numFmtId="0" fontId="8" fillId="0" borderId="0" xfId="24" applyFont="1" applyAlignment="1">
      <alignment horizontal="center" wrapText="1"/>
    </xf>
    <xf numFmtId="0" fontId="7" fillId="0" borderId="0" xfId="24" quotePrefix="1" applyFont="1" applyAlignment="1">
      <alignment horizontal="center" wrapText="1"/>
    </xf>
    <xf numFmtId="10" fontId="9" fillId="2" borderId="0" xfId="24" applyNumberFormat="1" applyFont="1" applyFill="1" applyAlignment="1">
      <alignment horizontal="center"/>
    </xf>
    <xf numFmtId="0" fontId="7" fillId="2" borderId="0" xfId="24" applyFont="1" applyFill="1" applyAlignment="1">
      <alignment horizontal="center"/>
    </xf>
    <xf numFmtId="166" fontId="7" fillId="0" borderId="0" xfId="24" applyNumberFormat="1" applyFont="1" applyFill="1" applyAlignment="1">
      <alignment horizontal="center"/>
    </xf>
    <xf numFmtId="15" fontId="7" fillId="0" borderId="0" xfId="24" applyNumberFormat="1" applyFont="1" applyAlignment="1">
      <alignment horizontal="left"/>
    </xf>
    <xf numFmtId="8" fontId="6" fillId="0" borderId="0" xfId="24" applyNumberFormat="1" applyFont="1" applyAlignment="1">
      <alignment horizontal="center"/>
    </xf>
    <xf numFmtId="166" fontId="6" fillId="4" borderId="0" xfId="24" applyNumberFormat="1" applyFont="1" applyFill="1" applyAlignment="1">
      <alignment horizontal="center"/>
    </xf>
    <xf numFmtId="166" fontId="6" fillId="5" borderId="0" xfId="24" applyNumberFormat="1" applyFont="1" applyFill="1" applyAlignment="1">
      <alignment horizontal="center"/>
    </xf>
    <xf numFmtId="8" fontId="6" fillId="6" borderId="0" xfId="24" applyNumberFormat="1" applyFont="1" applyFill="1" applyAlignment="1">
      <alignment horizontal="center"/>
    </xf>
    <xf numFmtId="15" fontId="7" fillId="0" borderId="0" xfId="24" applyNumberFormat="1" applyFont="1" applyFill="1" applyAlignment="1">
      <alignment horizontal="left"/>
    </xf>
    <xf numFmtId="0" fontId="5" fillId="0" borderId="0" xfId="24" applyFill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0" xfId="1" applyNumberFormat="1" applyFont="1" applyAlignment="1">
      <alignment horizontal="center"/>
    </xf>
    <xf numFmtId="44" fontId="12" fillId="0" borderId="0" xfId="1" applyFont="1" applyAlignment="1">
      <alignment horizontal="center"/>
    </xf>
    <xf numFmtId="0" fontId="8" fillId="0" borderId="0" xfId="24" applyFont="1" applyAlignment="1">
      <alignment horizontal="center"/>
    </xf>
    <xf numFmtId="165" fontId="7" fillId="0" borderId="0" xfId="0" quotePrefix="1" applyNumberFormat="1" applyFont="1" applyFill="1" applyAlignment="1">
      <alignment horizontal="center"/>
    </xf>
    <xf numFmtId="165" fontId="7" fillId="0" borderId="0" xfId="0" applyNumberFormat="1" applyFont="1" applyFill="1" applyAlignment="1">
      <alignment horizontal="center"/>
    </xf>
    <xf numFmtId="165" fontId="7" fillId="3" borderId="0" xfId="0" quotePrefix="1" applyNumberFormat="1" applyFont="1" applyFill="1" applyAlignment="1">
      <alignment horizontal="center"/>
    </xf>
    <xf numFmtId="165" fontId="7" fillId="7" borderId="0" xfId="0" quotePrefix="1" applyNumberFormat="1" applyFont="1" applyFill="1" applyAlignment="1">
      <alignment horizontal="center"/>
    </xf>
    <xf numFmtId="165" fontId="7" fillId="8" borderId="0" xfId="0" quotePrefix="1" applyNumberFormat="1" applyFont="1" applyFill="1" applyAlignment="1">
      <alignment horizontal="center"/>
    </xf>
    <xf numFmtId="0" fontId="5" fillId="0" borderId="0" xfId="24" applyFill="1"/>
    <xf numFmtId="165" fontId="7" fillId="3" borderId="0" xfId="0" quotePrefix="1" applyNumberFormat="1" applyFont="1" applyFill="1" applyAlignment="1">
      <alignment horizontal="center" vertical="center" wrapText="1"/>
    </xf>
    <xf numFmtId="165" fontId="7" fillId="7" borderId="0" xfId="0" quotePrefix="1" applyNumberFormat="1" applyFont="1" applyFill="1" applyAlignment="1">
      <alignment horizontal="center" vertical="center" wrapText="1"/>
    </xf>
    <xf numFmtId="165" fontId="7" fillId="8" borderId="0" xfId="0" quotePrefix="1" applyNumberFormat="1" applyFont="1" applyFill="1" applyAlignment="1">
      <alignment horizontal="center" vertical="center" wrapText="1"/>
    </xf>
    <xf numFmtId="0" fontId="13" fillId="0" borderId="0" xfId="24" applyFont="1"/>
    <xf numFmtId="10" fontId="7" fillId="2" borderId="0" xfId="24" quotePrefix="1" applyNumberFormat="1" applyFont="1" applyFill="1" applyAlignment="1">
      <alignment horizontal="center"/>
    </xf>
    <xf numFmtId="15" fontId="7" fillId="2" borderId="0" xfId="24" applyNumberFormat="1" applyFont="1" applyFill="1" applyAlignment="1">
      <alignment horizontal="left"/>
    </xf>
    <xf numFmtId="15" fontId="7" fillId="0" borderId="0" xfId="24" quotePrefix="1" applyNumberFormat="1" applyFont="1" applyAlignment="1">
      <alignment horizontal="left"/>
    </xf>
    <xf numFmtId="0" fontId="14" fillId="0" borderId="0" xfId="24" applyFont="1"/>
    <xf numFmtId="168" fontId="6" fillId="0" borderId="0" xfId="24" applyNumberFormat="1" applyFont="1" applyAlignment="1">
      <alignment horizontal="center"/>
    </xf>
    <xf numFmtId="166" fontId="6" fillId="7" borderId="0" xfId="24" applyNumberFormat="1" applyFont="1" applyFill="1" applyAlignment="1">
      <alignment horizontal="center"/>
    </xf>
    <xf numFmtId="168" fontId="5" fillId="0" borderId="0" xfId="24" applyNumberFormat="1"/>
    <xf numFmtId="166" fontId="5" fillId="0" borderId="0" xfId="24" applyNumberFormat="1"/>
    <xf numFmtId="166" fontId="7" fillId="9" borderId="0" xfId="24" applyNumberFormat="1" applyFont="1" applyFill="1" applyAlignment="1">
      <alignment horizontal="center"/>
    </xf>
    <xf numFmtId="168" fontId="6" fillId="0" borderId="0" xfId="24" applyNumberFormat="1" applyFont="1"/>
    <xf numFmtId="166" fontId="6" fillId="0" borderId="0" xfId="24" applyNumberFormat="1" applyFont="1"/>
    <xf numFmtId="168" fontId="15" fillId="0" borderId="0" xfId="24" applyNumberFormat="1" applyFont="1" applyAlignment="1">
      <alignment horizontal="center"/>
    </xf>
    <xf numFmtId="169" fontId="6" fillId="0" borderId="0" xfId="24" applyNumberFormat="1" applyFont="1" applyAlignment="1">
      <alignment horizontal="center"/>
    </xf>
    <xf numFmtId="168" fontId="15" fillId="10" borderId="0" xfId="24" applyNumberFormat="1" applyFont="1" applyFill="1" applyAlignment="1">
      <alignment horizontal="center"/>
    </xf>
    <xf numFmtId="169" fontId="6" fillId="9" borderId="0" xfId="24" applyNumberFormat="1" applyFont="1" applyFill="1" applyAlignment="1">
      <alignment horizontal="center"/>
    </xf>
    <xf numFmtId="168" fontId="15" fillId="11" borderId="0" xfId="24" applyNumberFormat="1" applyFont="1" applyFill="1" applyAlignment="1">
      <alignment horizontal="center"/>
    </xf>
    <xf numFmtId="168" fontId="15" fillId="12" borderId="0" xfId="24" applyNumberFormat="1" applyFont="1" applyFill="1" applyAlignment="1">
      <alignment horizontal="center"/>
    </xf>
    <xf numFmtId="166" fontId="6" fillId="9" borderId="0" xfId="24" applyNumberFormat="1" applyFont="1" applyFill="1" applyAlignment="1">
      <alignment horizontal="center"/>
    </xf>
    <xf numFmtId="168" fontId="15" fillId="13" borderId="0" xfId="24" applyNumberFormat="1" applyFont="1" applyFill="1" applyAlignment="1">
      <alignment horizontal="center"/>
    </xf>
    <xf numFmtId="168" fontId="15" fillId="14" borderId="0" xfId="24" applyNumberFormat="1" applyFont="1" applyFill="1" applyAlignment="1">
      <alignment horizontal="center"/>
    </xf>
    <xf numFmtId="168" fontId="15" fillId="15" borderId="0" xfId="24" applyNumberFormat="1" applyFont="1" applyFill="1" applyAlignment="1">
      <alignment horizontal="center"/>
    </xf>
    <xf numFmtId="166" fontId="16" fillId="4" borderId="0" xfId="24" applyNumberFormat="1" applyFont="1" applyFill="1" applyAlignment="1">
      <alignment horizontal="center"/>
    </xf>
    <xf numFmtId="166" fontId="16" fillId="7" borderId="0" xfId="24" applyNumberFormat="1" applyFont="1" applyFill="1" applyAlignment="1">
      <alignment horizontal="center"/>
    </xf>
    <xf numFmtId="168" fontId="16" fillId="0" borderId="0" xfId="24" applyNumberFormat="1" applyFont="1" applyAlignment="1">
      <alignment horizontal="center"/>
    </xf>
    <xf numFmtId="166" fontId="16" fillId="0" borderId="0" xfId="24" applyNumberFormat="1" applyFont="1" applyAlignment="1">
      <alignment horizontal="center"/>
    </xf>
    <xf numFmtId="169" fontId="16" fillId="0" borderId="0" xfId="24" applyNumberFormat="1" applyFont="1" applyAlignment="1">
      <alignment horizontal="center"/>
    </xf>
    <xf numFmtId="166" fontId="17" fillId="9" borderId="0" xfId="24" applyNumberFormat="1" applyFont="1" applyFill="1" applyAlignment="1">
      <alignment horizontal="center"/>
    </xf>
    <xf numFmtId="0" fontId="7" fillId="4" borderId="0" xfId="24" applyFont="1" applyFill="1" applyAlignment="1">
      <alignment horizontal="center" wrapText="1"/>
    </xf>
    <xf numFmtId="0" fontId="7" fillId="7" borderId="0" xfId="24" applyFont="1" applyFill="1" applyAlignment="1">
      <alignment horizontal="center" wrapText="1"/>
    </xf>
    <xf numFmtId="0" fontId="7" fillId="9" borderId="0" xfId="24" applyFont="1" applyFill="1" applyAlignment="1">
      <alignment horizontal="center" wrapText="1"/>
    </xf>
    <xf numFmtId="0" fontId="7" fillId="4" borderId="0" xfId="24" quotePrefix="1" applyFont="1" applyFill="1" applyAlignment="1">
      <alignment horizontal="center" wrapText="1"/>
    </xf>
    <xf numFmtId="0" fontId="7" fillId="3" borderId="0" xfId="24" quotePrefix="1" applyFont="1" applyFill="1" applyAlignment="1">
      <alignment horizontal="center" wrapText="1"/>
    </xf>
    <xf numFmtId="0" fontId="7" fillId="7" borderId="0" xfId="24" quotePrefix="1" applyFont="1" applyFill="1" applyAlignment="1">
      <alignment horizontal="center" wrapText="1"/>
    </xf>
    <xf numFmtId="0" fontId="7" fillId="0" borderId="0" xfId="24" applyFont="1" applyAlignment="1">
      <alignment horizontal="center"/>
    </xf>
    <xf numFmtId="10" fontId="7" fillId="0" borderId="0" xfId="24" applyNumberFormat="1" applyFont="1" applyFill="1" applyAlignment="1">
      <alignment horizontal="center"/>
    </xf>
    <xf numFmtId="0" fontId="7" fillId="0" borderId="0" xfId="24" applyFont="1" applyFill="1" applyAlignment="1">
      <alignment horizontal="center"/>
    </xf>
    <xf numFmtId="10" fontId="7" fillId="2" borderId="0" xfId="24" applyNumberFormat="1" applyFont="1" applyFill="1" applyAlignment="1">
      <alignment horizontal="center"/>
    </xf>
    <xf numFmtId="0" fontId="7" fillId="0" borderId="0" xfId="24" quotePrefix="1" applyFont="1" applyAlignment="1">
      <alignment horizontal="center"/>
    </xf>
    <xf numFmtId="1" fontId="6" fillId="0" borderId="0" xfId="24" applyNumberFormat="1" applyFont="1" applyAlignment="1">
      <alignment horizontal="center"/>
    </xf>
    <xf numFmtId="1" fontId="5" fillId="0" borderId="0" xfId="24" applyNumberFormat="1" applyAlignment="1">
      <alignment horizontal="center"/>
    </xf>
    <xf numFmtId="1" fontId="6" fillId="16" borderId="0" xfId="24" applyNumberFormat="1" applyFont="1" applyFill="1" applyAlignment="1">
      <alignment horizontal="center"/>
    </xf>
    <xf numFmtId="1" fontId="6" fillId="0" borderId="0" xfId="24" applyNumberFormat="1" applyFont="1" applyFill="1" applyAlignment="1">
      <alignment horizontal="center"/>
    </xf>
    <xf numFmtId="3" fontId="6" fillId="0" borderId="0" xfId="24" applyNumberFormat="1" applyFont="1" applyAlignment="1">
      <alignment horizontal="center"/>
    </xf>
    <xf numFmtId="3" fontId="6" fillId="0" borderId="0" xfId="24" applyNumberFormat="1" applyFont="1" applyFill="1" applyAlignment="1">
      <alignment horizontal="center"/>
    </xf>
    <xf numFmtId="3" fontId="6" fillId="16" borderId="0" xfId="24" applyNumberFormat="1" applyFont="1" applyFill="1" applyAlignment="1">
      <alignment horizontal="center"/>
    </xf>
    <xf numFmtId="170" fontId="7" fillId="9" borderId="0" xfId="24" applyNumberFormat="1" applyFont="1" applyFill="1" applyAlignment="1">
      <alignment horizontal="center"/>
    </xf>
    <xf numFmtId="3" fontId="6" fillId="9" borderId="0" xfId="24" applyNumberFormat="1" applyFont="1" applyFill="1" applyAlignment="1">
      <alignment horizontal="center"/>
    </xf>
    <xf numFmtId="3" fontId="6" fillId="0" borderId="0" xfId="0" applyNumberFormat="1" applyFont="1" applyAlignment="1">
      <alignment horizontal="center"/>
    </xf>
    <xf numFmtId="1" fontId="6" fillId="0" borderId="0" xfId="0" applyNumberFormat="1" applyFont="1" applyAlignment="1"/>
    <xf numFmtId="1" fontId="7" fillId="9" borderId="0" xfId="24" applyNumberFormat="1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9" borderId="0" xfId="24" applyNumberFormat="1" applyFont="1" applyFill="1" applyAlignment="1">
      <alignment horizontal="center"/>
    </xf>
    <xf numFmtId="0" fontId="8" fillId="9" borderId="0" xfId="24" applyFont="1" applyFill="1" applyAlignment="1">
      <alignment horizontal="center" wrapText="1"/>
    </xf>
    <xf numFmtId="0" fontId="7" fillId="3" borderId="0" xfId="24" applyFont="1" applyFill="1" applyAlignment="1">
      <alignment horizontal="center" wrapText="1"/>
    </xf>
    <xf numFmtId="0" fontId="6" fillId="0" borderId="0" xfId="24" applyFont="1" applyAlignment="1">
      <alignment horizontal="center" wrapText="1"/>
    </xf>
    <xf numFmtId="0" fontId="7" fillId="0" borderId="0" xfId="24" quotePrefix="1" applyFont="1" applyFill="1" applyAlignment="1">
      <alignment horizontal="center"/>
    </xf>
    <xf numFmtId="0" fontId="7" fillId="0" borderId="0" xfId="24" applyFont="1" applyFill="1" applyAlignment="1"/>
    <xf numFmtId="0" fontId="7" fillId="8" borderId="0" xfId="24" applyFont="1" applyFill="1" applyAlignment="1">
      <alignment horizontal="center"/>
    </xf>
    <xf numFmtId="0" fontId="7" fillId="4" borderId="0" xfId="24" quotePrefix="1" applyFont="1" applyFill="1" applyAlignment="1">
      <alignment horizontal="center"/>
    </xf>
    <xf numFmtId="0" fontId="7" fillId="0" borderId="0" xfId="24" applyFont="1"/>
    <xf numFmtId="165" fontId="4" fillId="0" borderId="0" xfId="0" applyNumberFormat="1" applyFont="1" applyAlignment="1">
      <alignment horizontal="left"/>
    </xf>
    <xf numFmtId="165" fontId="3" fillId="0" borderId="2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7" fillId="4" borderId="0" xfId="0" quotePrefix="1" applyNumberFormat="1" applyFont="1" applyFill="1" applyAlignment="1">
      <alignment horizontal="center"/>
    </xf>
    <xf numFmtId="0" fontId="7" fillId="0" borderId="0" xfId="24" applyFont="1" applyAlignment="1">
      <alignment horizontal="center"/>
    </xf>
    <xf numFmtId="0" fontId="7" fillId="9" borderId="0" xfId="24" quotePrefix="1" applyFont="1" applyFill="1" applyAlignment="1">
      <alignment horizontal="center"/>
    </xf>
    <xf numFmtId="0" fontId="7" fillId="9" borderId="0" xfId="24" applyFont="1" applyFill="1" applyAlignment="1">
      <alignment horizontal="center"/>
    </xf>
    <xf numFmtId="0" fontId="7" fillId="4" borderId="0" xfId="24" applyFont="1" applyFill="1" applyAlignment="1">
      <alignment horizontal="center"/>
    </xf>
    <xf numFmtId="0" fontId="7" fillId="4" borderId="0" xfId="24" quotePrefix="1" applyFont="1" applyFill="1" applyAlignment="1">
      <alignment horizontal="center"/>
    </xf>
    <xf numFmtId="0" fontId="20" fillId="4" borderId="7" xfId="24" quotePrefix="1" applyFont="1" applyFill="1" applyBorder="1" applyAlignment="1">
      <alignment horizontal="center"/>
    </xf>
    <xf numFmtId="0" fontId="20" fillId="4" borderId="6" xfId="24" quotePrefix="1" applyFont="1" applyFill="1" applyBorder="1" applyAlignment="1">
      <alignment horizontal="center"/>
    </xf>
    <xf numFmtId="0" fontId="20" fillId="4" borderId="5" xfId="24" quotePrefix="1" applyFont="1" applyFill="1" applyBorder="1" applyAlignment="1">
      <alignment horizontal="center"/>
    </xf>
    <xf numFmtId="0" fontId="7" fillId="0" borderId="0" xfId="24" quotePrefix="1" applyFont="1" applyFill="1" applyAlignment="1">
      <alignment horizontal="center"/>
    </xf>
    <xf numFmtId="0" fontId="7" fillId="8" borderId="0" xfId="24" quotePrefix="1" applyFont="1" applyFill="1" applyAlignment="1">
      <alignment horizontal="center"/>
    </xf>
    <xf numFmtId="0" fontId="7" fillId="8" borderId="0" xfId="24" applyFont="1" applyFill="1" applyAlignment="1">
      <alignment horizontal="center"/>
    </xf>
  </cellXfs>
  <cellStyles count="25">
    <cellStyle name="_CC Oil" xfId="2"/>
    <cellStyle name="_DSO Oil" xfId="3"/>
    <cellStyle name="_FLCC Oil" xfId="4"/>
    <cellStyle name="_FLPEGT Oil" xfId="5"/>
    <cellStyle name="_FMCT Oil" xfId="6"/>
    <cellStyle name="_GTDW_DataTemplate" xfId="7"/>
    <cellStyle name="_Gulfstream Gas" xfId="8"/>
    <cellStyle name="_MR .7 Oil" xfId="9"/>
    <cellStyle name="_MR 1 Oil" xfId="10"/>
    <cellStyle name="_MRCT Oil" xfId="11"/>
    <cellStyle name="_MT Gulfstream Gas" xfId="12"/>
    <cellStyle name="_MT Oil" xfId="13"/>
    <cellStyle name="_OLCT Oil" xfId="14"/>
    <cellStyle name="_PE Oil" xfId="15"/>
    <cellStyle name="_PN Oil" xfId="16"/>
    <cellStyle name="_RV Oil" xfId="17"/>
    <cellStyle name="_SHCT Oil" xfId="18"/>
    <cellStyle name="_SN Oil" xfId="19"/>
    <cellStyle name="_TP Oil" xfId="20"/>
    <cellStyle name="Currency" xfId="1" builtinId="4"/>
    <cellStyle name="Normal" xfId="0" builtinId="0"/>
    <cellStyle name="Normal 2" xfId="21"/>
    <cellStyle name="Normal 2 2" xfId="22"/>
    <cellStyle name="Normal 2 3" xfId="23"/>
    <cellStyle name="Normal_060415 RAP Fuel Price Forecast Template - Case 1 (Historical Spread)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9" fmlaRange="CONTROL!$B$9:$B$11" sel="2" val="0"/>
</file>

<file path=xl/ctrlProps/ctrlProp2.xml><?xml version="1.0" encoding="utf-8"?>
<formControlPr xmlns="http://schemas.microsoft.com/office/spreadsheetml/2009/9/main" objectType="Drop" dropLines="2" dropStyle="combo" dx="18" fmlaLink="CONTROL!$C$27" fmlaRange="CONTROL!$B$27:$B$28" val="0"/>
</file>

<file path=xl/ctrlProps/ctrlProp3.xml><?xml version="1.0" encoding="utf-8"?>
<formControlPr xmlns="http://schemas.microsoft.com/office/spreadsheetml/2009/9/main" objectType="Drop" dropLines="3" dropStyle="combo" dx="18" fmlaLink="CONTROL!$C$15" fmlaRange="CONTROL!$B$15:$B$17" sel="2" val="0"/>
</file>

<file path=xl/ctrlProps/ctrlProp4.xml><?xml version="1.0" encoding="utf-8"?>
<formControlPr xmlns="http://schemas.microsoft.com/office/spreadsheetml/2009/9/main" objectType="Drop" dropLines="2" dropStyle="combo" dx="18" fmlaLink="CONTROL!$C$38" fmlaRange="CONTROL!$B$38:$B$39" val="0"/>
</file>

<file path=xl/ctrlProps/ctrlProp5.xml><?xml version="1.0" encoding="utf-8"?>
<formControlPr xmlns="http://schemas.microsoft.com/office/spreadsheetml/2009/9/main" objectType="Drop" dropLines="3" dropStyle="combo" dx="18" fmlaLink="CONTROL!$C$32" fmlaRange="CONTROL!$B$32:$B$34" sel="2" val="0"/>
</file>

<file path=xl/ctrlProps/ctrlProp6.xml><?xml version="1.0" encoding="utf-8"?>
<formControlPr xmlns="http://schemas.microsoft.com/office/spreadsheetml/2009/9/main" objectType="Drop" dropLines="3" dropStyle="combo" dx="18" fmlaLink="CONTROL!$C$21" fmlaRange="CONTROL!$B$21:$B$23" sel="2" val="0"/>
</file>

<file path=xl/ctrlProps/ctrlProp7.xml><?xml version="1.0" encoding="utf-8"?>
<formControlPr xmlns="http://schemas.microsoft.com/office/spreadsheetml/2009/9/main" objectType="Drop" dropLines="2" dropStyle="combo" dx="18" fmlaLink="CONTROL!$C$42" fmlaRange="CONTROL!$B$42:$B$43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</xdr:row>
          <xdr:rowOff>28575</xdr:rowOff>
        </xdr:from>
        <xdr:to>
          <xdr:col>7</xdr:col>
          <xdr:colOff>123825</xdr:colOff>
          <xdr:row>8</xdr:row>
          <xdr:rowOff>114300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7</xdr:row>
          <xdr:rowOff>57150</xdr:rowOff>
        </xdr:from>
        <xdr:to>
          <xdr:col>8</xdr:col>
          <xdr:colOff>314325</xdr:colOff>
          <xdr:row>8</xdr:row>
          <xdr:rowOff>133350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142875</xdr:rowOff>
        </xdr:from>
        <xdr:to>
          <xdr:col>8</xdr:col>
          <xdr:colOff>314325</xdr:colOff>
          <xdr:row>9</xdr:row>
          <xdr:rowOff>38100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447675</xdr:colOff>
          <xdr:row>7</xdr:row>
          <xdr:rowOff>142875</xdr:rowOff>
        </xdr:from>
        <xdr:to>
          <xdr:col>9</xdr:col>
          <xdr:colOff>581025</xdr:colOff>
          <xdr:row>9</xdr:row>
          <xdr:rowOff>38100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7</xdr:row>
          <xdr:rowOff>38100</xdr:rowOff>
        </xdr:from>
        <xdr:to>
          <xdr:col>6</xdr:col>
          <xdr:colOff>381000</xdr:colOff>
          <xdr:row>8</xdr:row>
          <xdr:rowOff>95250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7</xdr:row>
          <xdr:rowOff>28575</xdr:rowOff>
        </xdr:from>
        <xdr:to>
          <xdr:col>8</xdr:col>
          <xdr:colOff>552450</xdr:colOff>
          <xdr:row>8</xdr:row>
          <xdr:rowOff>114300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133350</xdr:rowOff>
        </xdr:from>
        <xdr:to>
          <xdr:col>12</xdr:col>
          <xdr:colOff>266700</xdr:colOff>
          <xdr:row>9</xdr:row>
          <xdr:rowOff>9525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4.zip\2014\1.%20January\140106%202014%20-%202100%20LONG-TERM%20FORECAST%20FPL%20METHODOLOGY%20-%20To%20Delet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_Setup_"/>
      <sheetName val="PIRA - LONG TERM GAS BACKUP"/>
      <sheetName val="OIL &amp; GAS SEASONALITY"/>
      <sheetName val="FGT NON-FIRM"/>
      <sheetName val="FGT PRIMARY FIRM ZONE 1"/>
      <sheetName val="FGT PRIMARY FIRM ZONE 2"/>
      <sheetName val="FGT PRIMARY FIRM ZONE 3"/>
      <sheetName val="FGT FIRM ZONE 3 MOBILE BAY-DES"/>
      <sheetName val="FTS 3  FIRM ZONE 3 MOBILE BAY-D"/>
      <sheetName val="TRANSCO 4A LATERAL TO FTS 3"/>
      <sheetName val="TRANSCO 4 LATERAL TO GULFSTREAM"/>
      <sheetName val="SESH TO FGT FIRM ZONE 3 MOB BAY"/>
      <sheetName val="SESH TO FTS 3"/>
      <sheetName val="SESH TO GULFSTREAM"/>
      <sheetName val="GULFSTREAM FIRM "/>
      <sheetName val="GULFSTREAM NON-FIRM"/>
      <sheetName val="GULFSTREAM NON-FIRM  BACKHAUL "/>
      <sheetName val="UPS REPLACEMENT"/>
      <sheetName val="FUTURE GAS PIPELINE"/>
      <sheetName val="Upload"/>
      <sheetName val="MOST LIKELY COAL &amp; PET COKE"/>
      <sheetName val="GULF SOUTH TO FGT Z3 MOBILE BAY"/>
      <sheetName val="GULF SOUTH TO GULFSTREAM"/>
      <sheetName val="PIRA - LONG TERM OIL BACKUP"/>
      <sheetName val="DISTILLATE &amp; RESIDUAL FUEL OIL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C43"/>
  <sheetViews>
    <sheetView showGridLines="0" tabSelected="1" zoomScale="70" zoomScaleNormal="70" workbookViewId="0">
      <selection sqref="A1:A6"/>
    </sheetView>
  </sheetViews>
  <sheetFormatPr defaultColWidth="8.88671875" defaultRowHeight="15.75" x14ac:dyDescent="0.25"/>
  <cols>
    <col min="1" max="1" width="8.88671875" style="1"/>
    <col min="2" max="2" width="15.5546875" style="1" bestFit="1" customWidth="1"/>
    <col min="3" max="3" width="9.5546875" style="1" bestFit="1" customWidth="1"/>
    <col min="4" max="16384" width="8.88671875" style="1"/>
  </cols>
  <sheetData>
    <row r="1" spans="1:3" x14ac:dyDescent="0.25">
      <c r="A1" s="108" t="s">
        <v>91</v>
      </c>
    </row>
    <row r="2" spans="1:3" x14ac:dyDescent="0.25">
      <c r="A2" s="108" t="s">
        <v>92</v>
      </c>
    </row>
    <row r="3" spans="1:3" x14ac:dyDescent="0.25">
      <c r="A3" s="108" t="s">
        <v>93</v>
      </c>
    </row>
    <row r="4" spans="1:3" x14ac:dyDescent="0.25">
      <c r="A4" s="108" t="s">
        <v>94</v>
      </c>
    </row>
    <row r="5" spans="1:3" x14ac:dyDescent="0.25">
      <c r="A5" s="108" t="s">
        <v>96</v>
      </c>
    </row>
    <row r="6" spans="1:3" x14ac:dyDescent="0.25">
      <c r="A6" s="108" t="s">
        <v>95</v>
      </c>
    </row>
    <row r="8" spans="1:3" x14ac:dyDescent="0.25">
      <c r="B8" s="4" t="s">
        <v>13</v>
      </c>
      <c r="C8" s="4" t="s">
        <v>2</v>
      </c>
    </row>
    <row r="9" spans="1:3" x14ac:dyDescent="0.25">
      <c r="B9" s="6" t="s">
        <v>9</v>
      </c>
      <c r="C9" s="109">
        <v>2</v>
      </c>
    </row>
    <row r="10" spans="1:3" x14ac:dyDescent="0.25">
      <c r="B10" s="6" t="s">
        <v>8</v>
      </c>
      <c r="C10" s="111"/>
    </row>
    <row r="11" spans="1:3" x14ac:dyDescent="0.25">
      <c r="B11" s="5" t="s">
        <v>7</v>
      </c>
      <c r="C11" s="110"/>
    </row>
    <row r="14" spans="1:3" x14ac:dyDescent="0.25">
      <c r="B14" s="4" t="s">
        <v>12</v>
      </c>
      <c r="C14" s="4" t="s">
        <v>2</v>
      </c>
    </row>
    <row r="15" spans="1:3" x14ac:dyDescent="0.25">
      <c r="B15" s="6" t="s">
        <v>9</v>
      </c>
      <c r="C15" s="109">
        <v>2</v>
      </c>
    </row>
    <row r="16" spans="1:3" x14ac:dyDescent="0.25">
      <c r="B16" s="6" t="s">
        <v>8</v>
      </c>
      <c r="C16" s="111"/>
    </row>
    <row r="17" spans="2:3" x14ac:dyDescent="0.25">
      <c r="B17" s="5" t="s">
        <v>7</v>
      </c>
      <c r="C17" s="110"/>
    </row>
    <row r="20" spans="2:3" x14ac:dyDescent="0.25">
      <c r="B20" s="4" t="s">
        <v>3</v>
      </c>
      <c r="C20" s="4" t="s">
        <v>2</v>
      </c>
    </row>
    <row r="21" spans="2:3" x14ac:dyDescent="0.25">
      <c r="B21" s="6" t="s">
        <v>9</v>
      </c>
      <c r="C21" s="109">
        <v>2</v>
      </c>
    </row>
    <row r="22" spans="2:3" x14ac:dyDescent="0.25">
      <c r="B22" s="6" t="s">
        <v>8</v>
      </c>
      <c r="C22" s="111"/>
    </row>
    <row r="23" spans="2:3" x14ac:dyDescent="0.25">
      <c r="B23" s="5" t="s">
        <v>7</v>
      </c>
      <c r="C23" s="110"/>
    </row>
    <row r="26" spans="2:3" x14ac:dyDescent="0.25">
      <c r="B26" s="7" t="s">
        <v>11</v>
      </c>
      <c r="C26" s="7" t="s">
        <v>2</v>
      </c>
    </row>
    <row r="27" spans="2:3" x14ac:dyDescent="0.25">
      <c r="B27" s="3" t="s">
        <v>5</v>
      </c>
      <c r="C27" s="109">
        <v>1</v>
      </c>
    </row>
    <row r="28" spans="2:3" x14ac:dyDescent="0.25">
      <c r="B28" s="2" t="s">
        <v>4</v>
      </c>
      <c r="C28" s="110"/>
    </row>
    <row r="31" spans="2:3" x14ac:dyDescent="0.25">
      <c r="B31" s="4" t="s">
        <v>10</v>
      </c>
      <c r="C31" s="4" t="s">
        <v>2</v>
      </c>
    </row>
    <row r="32" spans="2:3" x14ac:dyDescent="0.25">
      <c r="B32" s="6" t="s">
        <v>9</v>
      </c>
      <c r="C32" s="109">
        <v>2</v>
      </c>
    </row>
    <row r="33" spans="2:3" x14ac:dyDescent="0.25">
      <c r="B33" s="6" t="s">
        <v>8</v>
      </c>
      <c r="C33" s="111"/>
    </row>
    <row r="34" spans="2:3" x14ac:dyDescent="0.25">
      <c r="B34" s="5" t="s">
        <v>7</v>
      </c>
      <c r="C34" s="110"/>
    </row>
    <row r="37" spans="2:3" x14ac:dyDescent="0.25">
      <c r="B37" s="4" t="s">
        <v>6</v>
      </c>
      <c r="C37" s="4" t="s">
        <v>2</v>
      </c>
    </row>
    <row r="38" spans="2:3" x14ac:dyDescent="0.25">
      <c r="B38" s="3" t="s">
        <v>5</v>
      </c>
      <c r="C38" s="109">
        <v>1</v>
      </c>
    </row>
    <row r="39" spans="2:3" x14ac:dyDescent="0.25">
      <c r="B39" s="2" t="s">
        <v>4</v>
      </c>
      <c r="C39" s="110"/>
    </row>
    <row r="41" spans="2:3" x14ac:dyDescent="0.25">
      <c r="B41" s="4" t="s">
        <v>3</v>
      </c>
      <c r="C41" s="4" t="s">
        <v>2</v>
      </c>
    </row>
    <row r="42" spans="2:3" x14ac:dyDescent="0.25">
      <c r="B42" s="3" t="s">
        <v>1</v>
      </c>
      <c r="C42" s="109">
        <v>1</v>
      </c>
    </row>
    <row r="43" spans="2:3" x14ac:dyDescent="0.25">
      <c r="B43" s="2" t="s">
        <v>0</v>
      </c>
      <c r="C43" s="110"/>
    </row>
  </sheetData>
  <mergeCells count="7">
    <mergeCell ref="C42:C43"/>
    <mergeCell ref="C32:C34"/>
    <mergeCell ref="C38:C39"/>
    <mergeCell ref="C9:C11"/>
    <mergeCell ref="C15:C17"/>
    <mergeCell ref="C21:C23"/>
    <mergeCell ref="C27:C28"/>
  </mergeCells>
  <pageMargins left="0.25" right="0.25" top="0.5" bottom="0.5" header="0.25" footer="0.25"/>
  <pageSetup scale="70" orientation="landscape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/>
  <dimension ref="A1:Q1176"/>
  <sheetViews>
    <sheetView zoomScale="70" zoomScaleNormal="70" workbookViewId="0">
      <pane xSplit="1" ySplit="11" topLeftCell="C1127" activePane="bottomRight" state="frozen"/>
      <selection activeCell="A4" sqref="A4:XFD6"/>
      <selection pane="topRight" activeCell="A4" sqref="A4:XFD6"/>
      <selection pane="bottomLeft" activeCell="A4" sqref="A4:XFD6"/>
      <selection pane="bottomRight" activeCell="A7" sqref="A7"/>
    </sheetView>
  </sheetViews>
  <sheetFormatPr defaultColWidth="7.109375" defaultRowHeight="12.75" x14ac:dyDescent="0.2"/>
  <cols>
    <col min="1" max="1" width="19.77734375" style="9" customWidth="1"/>
    <col min="2" max="4" width="16.109375" style="9" customWidth="1"/>
    <col min="5" max="5" width="21" style="9" customWidth="1"/>
    <col min="6" max="9" width="16.109375" style="9" customWidth="1"/>
    <col min="10" max="10" width="12.33203125" style="8" customWidth="1"/>
    <col min="11" max="11" width="10.77734375" style="8" customWidth="1"/>
    <col min="12" max="12" width="11.6640625" style="8" customWidth="1"/>
    <col min="13" max="16384" width="7.109375" style="8"/>
  </cols>
  <sheetData>
    <row r="1" spans="1:17" ht="15.75" x14ac:dyDescent="0.25">
      <c r="A1" s="108" t="s">
        <v>91</v>
      </c>
    </row>
    <row r="2" spans="1:17" ht="15.75" x14ac:dyDescent="0.25">
      <c r="A2" s="108" t="s">
        <v>92</v>
      </c>
    </row>
    <row r="3" spans="1:17" ht="15.75" x14ac:dyDescent="0.25">
      <c r="A3" s="108" t="s">
        <v>93</v>
      </c>
    </row>
    <row r="4" spans="1:17" ht="15.75" x14ac:dyDescent="0.25">
      <c r="A4" s="108" t="s">
        <v>94</v>
      </c>
    </row>
    <row r="5" spans="1:17" ht="15.75" x14ac:dyDescent="0.25">
      <c r="A5" s="108" t="s">
        <v>96</v>
      </c>
    </row>
    <row r="6" spans="1:17" ht="15.75" x14ac:dyDescent="0.25">
      <c r="A6" s="108" t="s">
        <v>97</v>
      </c>
    </row>
    <row r="8" spans="1:17" ht="15.75" x14ac:dyDescent="0.25">
      <c r="A8" s="25" t="s">
        <v>28</v>
      </c>
      <c r="B8" s="8"/>
      <c r="C8" s="8"/>
      <c r="D8" s="8"/>
      <c r="E8" s="8"/>
      <c r="F8" s="8"/>
      <c r="G8" s="8"/>
      <c r="H8" s="8"/>
      <c r="I8" s="8"/>
    </row>
    <row r="9" spans="1:17" ht="15.75" x14ac:dyDescent="0.25">
      <c r="A9" s="25"/>
      <c r="B9" s="24"/>
      <c r="C9" s="23" t="s">
        <v>27</v>
      </c>
      <c r="D9" s="22">
        <f>1-0.273</f>
        <v>0.72699999999999998</v>
      </c>
      <c r="E9" s="23" t="s">
        <v>26</v>
      </c>
      <c r="F9" s="22">
        <f>1+0.273</f>
        <v>1.2730000000000001</v>
      </c>
      <c r="G9" s="8"/>
      <c r="H9" s="8"/>
      <c r="I9" s="8"/>
    </row>
    <row r="10" spans="1:17" s="18" customFormat="1" ht="21" customHeight="1" x14ac:dyDescent="0.25">
      <c r="B10" s="19" t="s">
        <v>25</v>
      </c>
      <c r="C10" s="19" t="s">
        <v>24</v>
      </c>
      <c r="D10" s="19" t="s">
        <v>23</v>
      </c>
      <c r="E10" s="21" t="s">
        <v>22</v>
      </c>
      <c r="F10" s="19" t="s">
        <v>21</v>
      </c>
      <c r="G10" s="21" t="s">
        <v>20</v>
      </c>
      <c r="H10" s="21" t="s">
        <v>19</v>
      </c>
      <c r="I10" s="19" t="s">
        <v>18</v>
      </c>
      <c r="J10" s="19" t="s">
        <v>17</v>
      </c>
      <c r="K10" s="19" t="s">
        <v>16</v>
      </c>
      <c r="L10" s="19"/>
    </row>
    <row r="11" spans="1:17" s="18" customFormat="1" ht="19.5" customHeight="1" x14ac:dyDescent="0.25">
      <c r="A11" s="20" t="s">
        <v>15</v>
      </c>
      <c r="B11" s="19" t="s">
        <v>14</v>
      </c>
      <c r="C11" s="19" t="s">
        <v>14</v>
      </c>
      <c r="D11" s="19" t="s">
        <v>14</v>
      </c>
      <c r="E11" s="19" t="s">
        <v>14</v>
      </c>
      <c r="F11" s="19" t="s">
        <v>14</v>
      </c>
      <c r="G11" s="19" t="s">
        <v>14</v>
      </c>
      <c r="H11" s="19" t="s">
        <v>14</v>
      </c>
      <c r="I11" s="19" t="s">
        <v>14</v>
      </c>
      <c r="J11" s="19" t="s">
        <v>14</v>
      </c>
      <c r="K11" s="19" t="s">
        <v>14</v>
      </c>
      <c r="L11" s="19"/>
    </row>
    <row r="12" spans="1:17" ht="15" x14ac:dyDescent="0.2">
      <c r="A12" s="16">
        <v>41275</v>
      </c>
      <c r="B12" s="10">
        <v>24.537438554750199</v>
      </c>
      <c r="C12" s="10">
        <v>24.1051915564654</v>
      </c>
      <c r="D12" s="10">
        <v>24.1051915564654</v>
      </c>
      <c r="E12" s="10">
        <v>23.9685330658994</v>
      </c>
      <c r="F12" s="10">
        <v>23.9685330658994</v>
      </c>
      <c r="G12" s="10">
        <v>24.239908537597501</v>
      </c>
      <c r="H12" s="10">
        <v>24.1051915564654</v>
      </c>
      <c r="I12" s="10">
        <v>24.1051915564654</v>
      </c>
      <c r="J12" s="10">
        <v>23.744985724561499</v>
      </c>
      <c r="K12" s="10">
        <v>24.1051915564654</v>
      </c>
      <c r="L12" s="10"/>
      <c r="M12" s="17"/>
      <c r="N12" s="17"/>
      <c r="O12" s="17"/>
      <c r="P12" s="17"/>
      <c r="Q12" s="17"/>
    </row>
    <row r="13" spans="1:17" ht="15" x14ac:dyDescent="0.2">
      <c r="A13" s="16">
        <v>41306</v>
      </c>
      <c r="B13" s="10">
        <v>25.612662092624401</v>
      </c>
      <c r="C13" s="10">
        <v>25.180415094339601</v>
      </c>
      <c r="D13" s="10">
        <v>25.180415094339601</v>
      </c>
      <c r="E13" s="10">
        <v>25.043756603773598</v>
      </c>
      <c r="F13" s="10">
        <v>25.043756603773598</v>
      </c>
      <c r="G13" s="10">
        <v>25.315132075471698</v>
      </c>
      <c r="H13" s="10">
        <v>25.180415094339601</v>
      </c>
      <c r="I13" s="10">
        <v>25.180415094339601</v>
      </c>
      <c r="J13" s="10">
        <v>24.8202092624357</v>
      </c>
      <c r="K13" s="10">
        <v>25.180415094339601</v>
      </c>
      <c r="L13" s="10"/>
      <c r="M13" s="17"/>
      <c r="N13" s="17"/>
      <c r="O13" s="17"/>
      <c r="P13" s="17"/>
      <c r="Q13" s="17"/>
    </row>
    <row r="14" spans="1:17" ht="15" x14ac:dyDescent="0.2">
      <c r="A14" s="16">
        <v>41334</v>
      </c>
      <c r="B14" s="10">
        <v>23.994085486637498</v>
      </c>
      <c r="C14" s="10">
        <v>23.561838488352802</v>
      </c>
      <c r="D14" s="10">
        <v>23.561838488352802</v>
      </c>
      <c r="E14" s="10">
        <v>23.425179997786799</v>
      </c>
      <c r="F14" s="10">
        <v>23.425179997786799</v>
      </c>
      <c r="G14" s="10">
        <v>23.696555469484899</v>
      </c>
      <c r="H14" s="10">
        <v>23.561838488352802</v>
      </c>
      <c r="I14" s="10">
        <v>23.561838488352802</v>
      </c>
      <c r="J14" s="10">
        <v>23.201632656448801</v>
      </c>
      <c r="K14" s="10">
        <v>23.561838488352802</v>
      </c>
      <c r="L14" s="10"/>
      <c r="M14" s="17"/>
      <c r="N14" s="17"/>
      <c r="O14" s="17"/>
      <c r="P14" s="17"/>
      <c r="Q14" s="17"/>
    </row>
    <row r="15" spans="1:17" ht="15" x14ac:dyDescent="0.2">
      <c r="A15" s="16">
        <v>41365</v>
      </c>
      <c r="B15" s="10">
        <v>22.9189005145798</v>
      </c>
      <c r="C15" s="10">
        <v>22.486653516295</v>
      </c>
      <c r="D15" s="10">
        <v>22.486653516295</v>
      </c>
      <c r="E15" s="10">
        <v>22.349995025729001</v>
      </c>
      <c r="F15" s="10">
        <v>22.349995025729001</v>
      </c>
      <c r="G15" s="10">
        <v>22.621370497427101</v>
      </c>
      <c r="H15" s="10">
        <v>22.486653516295</v>
      </c>
      <c r="I15" s="10">
        <v>22.486653516295</v>
      </c>
      <c r="J15" s="10">
        <v>22.126447684391099</v>
      </c>
      <c r="K15" s="10">
        <v>22.486653516295</v>
      </c>
      <c r="L15" s="10"/>
      <c r="M15" s="17"/>
      <c r="N15" s="17"/>
      <c r="O15" s="17"/>
      <c r="P15" s="17"/>
      <c r="Q15" s="17"/>
    </row>
    <row r="16" spans="1:17" ht="15" x14ac:dyDescent="0.2">
      <c r="A16" s="16">
        <v>41395</v>
      </c>
      <c r="B16" s="10">
        <v>22.8476548995739</v>
      </c>
      <c r="C16" s="10">
        <v>22.4154079012892</v>
      </c>
      <c r="D16" s="10">
        <v>22.4154079012892</v>
      </c>
      <c r="E16" s="10">
        <v>22.278749410723201</v>
      </c>
      <c r="F16" s="10">
        <v>22.278749410723201</v>
      </c>
      <c r="G16" s="10">
        <v>22.550124882421301</v>
      </c>
      <c r="H16" s="10">
        <v>22.4154079012892</v>
      </c>
      <c r="I16" s="10">
        <v>22.4154079012892</v>
      </c>
      <c r="J16" s="10">
        <v>22.055202069385299</v>
      </c>
      <c r="K16" s="10">
        <v>22.4154079012892</v>
      </c>
      <c r="L16" s="10"/>
      <c r="M16" s="17"/>
      <c r="N16" s="17"/>
      <c r="O16" s="17"/>
      <c r="P16" s="17"/>
      <c r="Q16" s="17"/>
    </row>
    <row r="17" spans="1:17" ht="15" x14ac:dyDescent="0.2">
      <c r="A17" s="16">
        <v>41426</v>
      </c>
      <c r="B17" s="10">
        <v>22.7692229845626</v>
      </c>
      <c r="C17" s="10">
        <v>22.336975986277899</v>
      </c>
      <c r="D17" s="10">
        <v>22.336975986277899</v>
      </c>
      <c r="E17" s="10">
        <v>22.200317495711801</v>
      </c>
      <c r="F17" s="10">
        <v>22.200317495711801</v>
      </c>
      <c r="G17" s="10">
        <v>22.471692967409901</v>
      </c>
      <c r="H17" s="10">
        <v>22.336975986277899</v>
      </c>
      <c r="I17" s="10">
        <v>22.336975986277899</v>
      </c>
      <c r="J17" s="10">
        <v>21.976770154373899</v>
      </c>
      <c r="K17" s="10">
        <v>22.336975986277899</v>
      </c>
      <c r="L17" s="10"/>
      <c r="M17" s="17"/>
      <c r="N17" s="17"/>
      <c r="O17" s="17"/>
      <c r="P17" s="17"/>
      <c r="Q17" s="17"/>
    </row>
    <row r="18" spans="1:17" ht="15" x14ac:dyDescent="0.2">
      <c r="A18" s="16">
        <v>41456</v>
      </c>
      <c r="B18" s="10">
        <v>23.7831210645715</v>
      </c>
      <c r="C18" s="10">
        <v>23.3508740662867</v>
      </c>
      <c r="D18" s="10">
        <v>23.3508740662867</v>
      </c>
      <c r="E18" s="10">
        <v>23.214215575720701</v>
      </c>
      <c r="F18" s="10">
        <v>23.214215575720701</v>
      </c>
      <c r="G18" s="10">
        <v>23.485591047418801</v>
      </c>
      <c r="H18" s="10">
        <v>23.3508740662867</v>
      </c>
      <c r="I18" s="10">
        <v>23.3508740662867</v>
      </c>
      <c r="J18" s="10">
        <v>22.990668234382799</v>
      </c>
      <c r="K18" s="10">
        <v>23.3508740662867</v>
      </c>
      <c r="L18" s="10"/>
      <c r="M18" s="17"/>
      <c r="N18" s="17"/>
      <c r="O18" s="17"/>
      <c r="P18" s="17"/>
      <c r="Q18" s="17"/>
    </row>
    <row r="19" spans="1:17" ht="15" x14ac:dyDescent="0.2">
      <c r="A19" s="16">
        <v>41487</v>
      </c>
      <c r="B19" s="10">
        <v>24.206792840148299</v>
      </c>
      <c r="C19" s="10">
        <v>23.7745458418635</v>
      </c>
      <c r="D19" s="10">
        <v>23.7745458418635</v>
      </c>
      <c r="E19" s="10">
        <v>23.637887351297501</v>
      </c>
      <c r="F19" s="10">
        <v>23.637887351297501</v>
      </c>
      <c r="G19" s="10">
        <v>23.909262822995601</v>
      </c>
      <c r="H19" s="10">
        <v>23.7745458418635</v>
      </c>
      <c r="I19" s="10">
        <v>23.7745458418635</v>
      </c>
      <c r="J19" s="10">
        <v>23.414340009959599</v>
      </c>
      <c r="K19" s="10">
        <v>23.7745458418635</v>
      </c>
      <c r="L19" s="10"/>
      <c r="M19" s="17"/>
      <c r="N19" s="17"/>
      <c r="O19" s="17"/>
      <c r="P19" s="17"/>
      <c r="Q19" s="17"/>
    </row>
    <row r="20" spans="1:17" ht="15" x14ac:dyDescent="0.2">
      <c r="A20" s="16">
        <v>41518</v>
      </c>
      <c r="B20" s="10">
        <v>24.283552315608901</v>
      </c>
      <c r="C20" s="10">
        <v>23.851305317324201</v>
      </c>
      <c r="D20" s="10">
        <v>23.851305317324201</v>
      </c>
      <c r="E20" s="10">
        <v>23.714646826758099</v>
      </c>
      <c r="F20" s="10">
        <v>23.714646826758099</v>
      </c>
      <c r="G20" s="10">
        <v>23.986022298456302</v>
      </c>
      <c r="H20" s="10">
        <v>23.851305317324201</v>
      </c>
      <c r="I20" s="10">
        <v>23.851305317324201</v>
      </c>
      <c r="J20" s="10">
        <v>23.4910994854202</v>
      </c>
      <c r="K20" s="10">
        <v>23.851305317324201</v>
      </c>
      <c r="L20" s="10"/>
      <c r="M20" s="17"/>
      <c r="N20" s="17"/>
      <c r="O20" s="17"/>
      <c r="P20" s="17"/>
      <c r="Q20" s="17"/>
    </row>
    <row r="21" spans="1:17" ht="15" x14ac:dyDescent="0.2">
      <c r="A21" s="16">
        <v>41548</v>
      </c>
      <c r="B21" s="10">
        <v>23.8538143639684</v>
      </c>
      <c r="C21" s="10">
        <v>23.4215673656836</v>
      </c>
      <c r="D21" s="10">
        <v>23.4215673656836</v>
      </c>
      <c r="E21" s="10">
        <v>23.284908875117601</v>
      </c>
      <c r="F21" s="10">
        <v>23.284908875117601</v>
      </c>
      <c r="G21" s="10">
        <v>23.556284346815701</v>
      </c>
      <c r="H21" s="10">
        <v>23.4215673656836</v>
      </c>
      <c r="I21" s="10">
        <v>23.4215673656836</v>
      </c>
      <c r="J21" s="10">
        <v>23.061361533779699</v>
      </c>
      <c r="K21" s="10">
        <v>23.4215673656836</v>
      </c>
      <c r="L21" s="10"/>
      <c r="M21" s="17"/>
      <c r="N21" s="17"/>
      <c r="O21" s="17"/>
      <c r="P21" s="17"/>
      <c r="Q21" s="17"/>
    </row>
    <row r="22" spans="1:17" ht="15" x14ac:dyDescent="0.2">
      <c r="A22" s="16">
        <v>41579</v>
      </c>
      <c r="B22" s="10">
        <v>23.397955060034299</v>
      </c>
      <c r="C22" s="10">
        <v>22.965708061749599</v>
      </c>
      <c r="D22" s="10">
        <v>22.965708061749599</v>
      </c>
      <c r="E22" s="10">
        <v>22.8290495711835</v>
      </c>
      <c r="F22" s="10">
        <v>22.8290495711835</v>
      </c>
      <c r="G22" s="10">
        <v>23.1004250428816</v>
      </c>
      <c r="H22" s="10">
        <v>22.965708061749599</v>
      </c>
      <c r="I22" s="10">
        <v>22.965708061749599</v>
      </c>
      <c r="J22" s="10">
        <v>22.605502229845602</v>
      </c>
      <c r="K22" s="10">
        <v>22.965708061749599</v>
      </c>
      <c r="L22" s="10"/>
      <c r="M22" s="17"/>
      <c r="N22" s="17"/>
      <c r="O22" s="17"/>
      <c r="P22" s="17"/>
      <c r="Q22" s="17"/>
    </row>
    <row r="23" spans="1:17" ht="15" x14ac:dyDescent="0.2">
      <c r="A23" s="16">
        <v>41609</v>
      </c>
      <c r="B23" s="10">
        <v>24.204794511149199</v>
      </c>
      <c r="C23" s="10">
        <v>23.772547512864499</v>
      </c>
      <c r="D23" s="10">
        <v>23.772547512864499</v>
      </c>
      <c r="E23" s="10">
        <v>23.6358890222985</v>
      </c>
      <c r="F23" s="10">
        <v>23.6358890222985</v>
      </c>
      <c r="G23" s="10">
        <v>23.9072644939966</v>
      </c>
      <c r="H23" s="10">
        <v>23.772547512864499</v>
      </c>
      <c r="I23" s="10">
        <v>23.772547512864499</v>
      </c>
      <c r="J23" s="10">
        <v>23.412341680960498</v>
      </c>
      <c r="K23" s="10">
        <v>23.772547512864499</v>
      </c>
      <c r="L23" s="10"/>
      <c r="M23" s="17"/>
      <c r="N23" s="17"/>
      <c r="O23" s="17"/>
      <c r="P23" s="17"/>
      <c r="Q23" s="17"/>
    </row>
    <row r="24" spans="1:17" ht="15" x14ac:dyDescent="0.2">
      <c r="A24" s="16">
        <v>41640</v>
      </c>
      <c r="B24" s="10">
        <v>23.8186250428816</v>
      </c>
      <c r="C24" s="10">
        <v>23.386378044596899</v>
      </c>
      <c r="D24" s="10">
        <v>23.386378044596899</v>
      </c>
      <c r="E24" s="10">
        <v>23.2497195540309</v>
      </c>
      <c r="F24" s="10">
        <v>23.2497195540309</v>
      </c>
      <c r="G24" s="10">
        <v>23.521095025729</v>
      </c>
      <c r="H24" s="10">
        <v>23.386378044596899</v>
      </c>
      <c r="I24" s="10">
        <v>23.386378044596899</v>
      </c>
      <c r="J24" s="10">
        <v>23.026172212693002</v>
      </c>
      <c r="K24" s="10">
        <v>23.386378044596899</v>
      </c>
      <c r="L24" s="10"/>
      <c r="M24" s="17"/>
      <c r="N24" s="17"/>
      <c r="O24" s="17"/>
      <c r="P24" s="17"/>
      <c r="Q24" s="17"/>
    </row>
    <row r="25" spans="1:17" ht="15" x14ac:dyDescent="0.2">
      <c r="A25" s="16">
        <v>41671</v>
      </c>
      <c r="B25" s="10">
        <f>23.4638 * CHOOSE(CONTROL!$C$9, $D$9, 100%, $F$9) + CHOOSE(CONTROL!$C$27, 0.0021, 0)</f>
        <v>23.465899999999998</v>
      </c>
      <c r="C25" s="10">
        <f>23.0316 * CHOOSE(CONTROL!$C$9, $D$9, 100%, $F$9) + CHOOSE(CONTROL!$C$27, 0.0021, 0)</f>
        <v>23.0337</v>
      </c>
      <c r="D25" s="10">
        <f>23.0316 * CHOOSE(CONTROL!$C$9, $D$9, 100%, $F$9) + CHOOSE(CONTROL!$C$27, 0.0021, 0)</f>
        <v>23.0337</v>
      </c>
      <c r="E25" s="10">
        <f>22.8949 * CHOOSE(CONTROL!$C$9, $D$9, 100%, $F$9) + CHOOSE(CONTROL!$C$27, 0.0021, 0)</f>
        <v>22.896999999999998</v>
      </c>
      <c r="F25" s="10">
        <f>22.8949 * CHOOSE(CONTROL!$C$9, $D$9, 100%, $F$9) + CHOOSE(CONTROL!$C$27, 0.0021, 0)</f>
        <v>22.896999999999998</v>
      </c>
      <c r="G25" s="10">
        <f>23.1663 * CHOOSE(CONTROL!$C$9, $D$9, 100%, $F$9) + CHOOSE(CONTROL!$C$27, 0.0021, 0)</f>
        <v>23.168399999999998</v>
      </c>
      <c r="H25" s="10">
        <f>23.0316 * CHOOSE(CONTROL!$C$9, $D$9, 100%, $F$9) + CHOOSE(CONTROL!$C$27, 0.0021, 0)</f>
        <v>23.0337</v>
      </c>
      <c r="I25" s="10">
        <f>23.0316 * CHOOSE(CONTROL!$C$9, $D$9, 100%, $F$9) + CHOOSE(CONTROL!$C$27, 0.0021, 0)</f>
        <v>23.0337</v>
      </c>
      <c r="J25" s="10">
        <f>22.6714 * CHOOSE(CONTROL!$C$9, $D$9, 100%, $F$9) + CHOOSE(CONTROL!$C$27, 0.0021, 0)</f>
        <v>22.673499999999997</v>
      </c>
      <c r="K25" s="10">
        <f>23.0316 * CHOOSE(CONTROL!$C$9, $D$9, 100%, $F$9) + CHOOSE(CONTROL!$C$27, 0.0021, 0)</f>
        <v>23.0337</v>
      </c>
      <c r="L25" s="10"/>
      <c r="M25" s="17"/>
      <c r="N25" s="17"/>
      <c r="O25" s="17"/>
      <c r="P25" s="17"/>
      <c r="Q25" s="17"/>
    </row>
    <row r="26" spans="1:17" ht="15" x14ac:dyDescent="0.2">
      <c r="A26" s="16">
        <v>41699</v>
      </c>
      <c r="B26" s="10">
        <f>23.3608 * CHOOSE(CONTROL!$C$9, $D$9, 100%, $F$9) + CHOOSE(CONTROL!$C$27, 0.0021, 0)</f>
        <v>23.3629</v>
      </c>
      <c r="C26" s="10">
        <f>22.9285 * CHOOSE(CONTROL!$C$9, $D$9, 100%, $F$9) + CHOOSE(CONTROL!$C$27, 0.0021, 0)</f>
        <v>22.930599999999998</v>
      </c>
      <c r="D26" s="10">
        <f>22.9285 * CHOOSE(CONTROL!$C$9, $D$9, 100%, $F$9) + CHOOSE(CONTROL!$C$27, 0.0021, 0)</f>
        <v>22.930599999999998</v>
      </c>
      <c r="E26" s="10">
        <f>22.7919 * CHOOSE(CONTROL!$C$9, $D$9, 100%, $F$9) + CHOOSE(CONTROL!$C$27, 0.0021, 0)</f>
        <v>22.793999999999997</v>
      </c>
      <c r="F26" s="10">
        <f>22.7919 * CHOOSE(CONTROL!$C$9, $D$9, 100%, $F$9) + CHOOSE(CONTROL!$C$27, 0.0021, 0)</f>
        <v>22.793999999999997</v>
      </c>
      <c r="G26" s="10">
        <f>23.0633 * CHOOSE(CONTROL!$C$9, $D$9, 100%, $F$9) + CHOOSE(CONTROL!$C$27, 0.0021, 0)</f>
        <v>23.0654</v>
      </c>
      <c r="H26" s="10">
        <f>22.9285 * CHOOSE(CONTROL!$C$9, $D$9, 100%, $F$9) + CHOOSE(CONTROL!$C$27, 0.0021, 0)</f>
        <v>22.930599999999998</v>
      </c>
      <c r="I26" s="10">
        <f>22.9285 * CHOOSE(CONTROL!$C$9, $D$9, 100%, $F$9) + CHOOSE(CONTROL!$C$27, 0.0021, 0)</f>
        <v>22.930599999999998</v>
      </c>
      <c r="J26" s="10">
        <f>22.5683 * CHOOSE(CONTROL!$C$9, $D$9, 100%, $F$9) + CHOOSE(CONTROL!$C$27, 0.0021, 0)</f>
        <v>22.570399999999999</v>
      </c>
      <c r="K26" s="10">
        <f>22.9285 * CHOOSE(CONTROL!$C$9, $D$9, 100%, $F$9) + CHOOSE(CONTROL!$C$27, 0.0021, 0)</f>
        <v>22.930599999999998</v>
      </c>
      <c r="L26" s="10"/>
      <c r="M26" s="17"/>
      <c r="N26" s="17"/>
      <c r="O26" s="17"/>
      <c r="P26" s="17"/>
      <c r="Q26" s="17"/>
    </row>
    <row r="27" spans="1:17" ht="15" x14ac:dyDescent="0.2">
      <c r="A27" s="16">
        <v>41730</v>
      </c>
      <c r="B27" s="10">
        <f>23.283 * CHOOSE(CONTROL!$C$9, $D$9, 100%, $F$9) + CHOOSE(CONTROL!$C$27, 0.0021, 0)</f>
        <v>23.2851</v>
      </c>
      <c r="C27" s="10">
        <f>22.8507 * CHOOSE(CONTROL!$C$9, $D$9, 100%, $F$9) + CHOOSE(CONTROL!$C$27, 0.0021, 0)</f>
        <v>22.852799999999998</v>
      </c>
      <c r="D27" s="10">
        <f>22.8507 * CHOOSE(CONTROL!$C$9, $D$9, 100%, $F$9) + CHOOSE(CONTROL!$C$27, 0.0021, 0)</f>
        <v>22.852799999999998</v>
      </c>
      <c r="E27" s="10">
        <f>22.7141 * CHOOSE(CONTROL!$C$9, $D$9, 100%, $F$9) + CHOOSE(CONTROL!$C$27, 0.0021, 0)</f>
        <v>22.716199999999997</v>
      </c>
      <c r="F27" s="10">
        <f>22.7141 * CHOOSE(CONTROL!$C$9, $D$9, 100%, $F$9) + CHOOSE(CONTROL!$C$27, 0.0021, 0)</f>
        <v>22.716199999999997</v>
      </c>
      <c r="G27" s="10">
        <f>22.9855 * CHOOSE(CONTROL!$C$9, $D$9, 100%, $F$9) + CHOOSE(CONTROL!$C$27, 0.0021, 0)</f>
        <v>22.987599999999997</v>
      </c>
      <c r="H27" s="10">
        <f>22.8507 * CHOOSE(CONTROL!$C$9, $D$9, 100%, $F$9) + CHOOSE(CONTROL!$C$27, 0.0021, 0)</f>
        <v>22.852799999999998</v>
      </c>
      <c r="I27" s="10">
        <f>22.8507 * CHOOSE(CONTROL!$C$9, $D$9, 100%, $F$9) + CHOOSE(CONTROL!$C$27, 0.0021, 0)</f>
        <v>22.852799999999998</v>
      </c>
      <c r="J27" s="10">
        <f>22.4905 * CHOOSE(CONTROL!$C$9, $D$9, 100%, $F$9) + CHOOSE(CONTROL!$C$27, 0.0021, 0)</f>
        <v>22.492599999999999</v>
      </c>
      <c r="K27" s="10">
        <f>22.8507 * CHOOSE(CONTROL!$C$9, $D$9, 100%, $F$9) + CHOOSE(CONTROL!$C$27, 0.0021, 0)</f>
        <v>22.852799999999998</v>
      </c>
      <c r="L27" s="10"/>
      <c r="M27" s="17"/>
      <c r="N27" s="17"/>
      <c r="O27" s="17"/>
      <c r="P27" s="17"/>
      <c r="Q27" s="17"/>
    </row>
    <row r="28" spans="1:17" ht="15" x14ac:dyDescent="0.2">
      <c r="A28" s="16">
        <v>41760</v>
      </c>
      <c r="B28" s="10">
        <f>23.229 * CHOOSE(CONTROL!$C$9, $D$9, 100%, $F$9) + CHOOSE(CONTROL!$C$27, 0.0021, 0)</f>
        <v>23.231099999999998</v>
      </c>
      <c r="C28" s="10">
        <f>22.7967 * CHOOSE(CONTROL!$C$9, $D$9, 100%, $F$9) + CHOOSE(CONTROL!$C$27, 0.0021, 0)</f>
        <v>22.7988</v>
      </c>
      <c r="D28" s="10">
        <f>22.7967 * CHOOSE(CONTROL!$C$9, $D$9, 100%, $F$9) + CHOOSE(CONTROL!$C$27, 0.0021, 0)</f>
        <v>22.7988</v>
      </c>
      <c r="E28" s="10">
        <f>22.66 * CHOOSE(CONTROL!$C$9, $D$9, 100%, $F$9) + CHOOSE(CONTROL!$C$27, 0.0021, 0)</f>
        <v>22.662099999999999</v>
      </c>
      <c r="F28" s="10">
        <f>22.66 * CHOOSE(CONTROL!$C$9, $D$9, 100%, $F$9) + CHOOSE(CONTROL!$C$27, 0.0021, 0)</f>
        <v>22.662099999999999</v>
      </c>
      <c r="G28" s="10">
        <f>22.9314 * CHOOSE(CONTROL!$C$9, $D$9, 100%, $F$9) + CHOOSE(CONTROL!$C$27, 0.0021, 0)</f>
        <v>22.933499999999999</v>
      </c>
      <c r="H28" s="10">
        <f>22.7967 * CHOOSE(CONTROL!$C$9, $D$9, 100%, $F$9) + CHOOSE(CONTROL!$C$27, 0.0021, 0)</f>
        <v>22.7988</v>
      </c>
      <c r="I28" s="10">
        <f>22.7967 * CHOOSE(CONTROL!$C$9, $D$9, 100%, $F$9) + CHOOSE(CONTROL!$C$27, 0.0021, 0)</f>
        <v>22.7988</v>
      </c>
      <c r="J28" s="10">
        <f>22.4365 * CHOOSE(CONTROL!$C$9, $D$9, 100%, $F$9) + CHOOSE(CONTROL!$C$27, 0.0021, 0)</f>
        <v>22.438599999999997</v>
      </c>
      <c r="K28" s="10">
        <f>22.7967 * CHOOSE(CONTROL!$C$9, $D$9, 100%, $F$9) + CHOOSE(CONTROL!$C$27, 0.0021, 0)</f>
        <v>22.7988</v>
      </c>
      <c r="L28" s="10"/>
      <c r="M28" s="17"/>
      <c r="N28" s="17"/>
      <c r="O28" s="17"/>
      <c r="P28" s="17"/>
      <c r="Q28" s="17"/>
    </row>
    <row r="29" spans="1:17" ht="15" x14ac:dyDescent="0.2">
      <c r="A29" s="16">
        <v>41791</v>
      </c>
      <c r="B29" s="10">
        <f>23.185 * CHOOSE(CONTROL!$C$9, $D$9, 100%, $F$9) + CHOOSE(CONTROL!$C$27, 0.0021, 0)</f>
        <v>23.187099999999997</v>
      </c>
      <c r="C29" s="10">
        <f>22.7528 * CHOOSE(CONTROL!$C$9, $D$9, 100%, $F$9) + CHOOSE(CONTROL!$C$27, 0.0021, 0)</f>
        <v>22.754899999999999</v>
      </c>
      <c r="D29" s="10">
        <f>22.7528 * CHOOSE(CONTROL!$C$9, $D$9, 100%, $F$9) + CHOOSE(CONTROL!$C$27, 0.0021, 0)</f>
        <v>22.754899999999999</v>
      </c>
      <c r="E29" s="10">
        <f>22.6161 * CHOOSE(CONTROL!$C$9, $D$9, 100%, $F$9) + CHOOSE(CONTROL!$C$27, 0.0021, 0)</f>
        <v>22.618199999999998</v>
      </c>
      <c r="F29" s="10">
        <f>22.6161 * CHOOSE(CONTROL!$C$9, $D$9, 100%, $F$9) + CHOOSE(CONTROL!$C$27, 0.0021, 0)</f>
        <v>22.618199999999998</v>
      </c>
      <c r="G29" s="10">
        <f>22.8875 * CHOOSE(CONTROL!$C$9, $D$9, 100%, $F$9) + CHOOSE(CONTROL!$C$27, 0.0021, 0)</f>
        <v>22.889599999999998</v>
      </c>
      <c r="H29" s="10">
        <f>22.7528 * CHOOSE(CONTROL!$C$9, $D$9, 100%, $F$9) + CHOOSE(CONTROL!$C$27, 0.0021, 0)</f>
        <v>22.754899999999999</v>
      </c>
      <c r="I29" s="10">
        <f>22.7528 * CHOOSE(CONTROL!$C$9, $D$9, 100%, $F$9) + CHOOSE(CONTROL!$C$27, 0.0021, 0)</f>
        <v>22.754899999999999</v>
      </c>
      <c r="J29" s="10">
        <f>22.3926 * CHOOSE(CONTROL!$C$9, $D$9, 100%, $F$9) + CHOOSE(CONTROL!$C$27, 0.0021, 0)</f>
        <v>22.3947</v>
      </c>
      <c r="K29" s="10">
        <f>22.7528 * CHOOSE(CONTROL!$C$9, $D$9, 100%, $F$9) + CHOOSE(CONTROL!$C$27, 0.0021, 0)</f>
        <v>22.754899999999999</v>
      </c>
      <c r="L29" s="10"/>
      <c r="M29" s="17"/>
      <c r="N29" s="17"/>
      <c r="O29" s="17"/>
      <c r="P29" s="17"/>
      <c r="Q29" s="17"/>
    </row>
    <row r="30" spans="1:17" ht="15" x14ac:dyDescent="0.2">
      <c r="A30" s="16">
        <v>41821</v>
      </c>
      <c r="B30" s="10">
        <f>23.167 * CHOOSE(CONTROL!$C$9, $D$9, 100%, $F$9) + CHOOSE(CONTROL!$C$27, 0.0021, 0)</f>
        <v>23.1691</v>
      </c>
      <c r="C30" s="10">
        <f>22.7348 * CHOOSE(CONTROL!$C$9, $D$9, 100%, $F$9) + CHOOSE(CONTROL!$C$27, 0.0021, 0)</f>
        <v>22.736899999999999</v>
      </c>
      <c r="D30" s="10">
        <f>22.7348 * CHOOSE(CONTROL!$C$9, $D$9, 100%, $F$9) + CHOOSE(CONTROL!$C$27, 0.0021, 0)</f>
        <v>22.736899999999999</v>
      </c>
      <c r="E30" s="10">
        <f>22.5981 * CHOOSE(CONTROL!$C$9, $D$9, 100%, $F$9) + CHOOSE(CONTROL!$C$27, 0.0021, 0)</f>
        <v>22.600199999999997</v>
      </c>
      <c r="F30" s="10">
        <f>22.5981 * CHOOSE(CONTROL!$C$9, $D$9, 100%, $F$9) + CHOOSE(CONTROL!$C$27, 0.0021, 0)</f>
        <v>22.600199999999997</v>
      </c>
      <c r="G30" s="10">
        <f>22.8695 * CHOOSE(CONTROL!$C$9, $D$9, 100%, $F$9) + CHOOSE(CONTROL!$C$27, 0.0021, 0)</f>
        <v>22.871599999999997</v>
      </c>
      <c r="H30" s="10">
        <f>22.7348 * CHOOSE(CONTROL!$C$9, $D$9, 100%, $F$9) + CHOOSE(CONTROL!$C$27, 0.0021, 0)</f>
        <v>22.736899999999999</v>
      </c>
      <c r="I30" s="10">
        <f>22.7348 * CHOOSE(CONTROL!$C$9, $D$9, 100%, $F$9) + CHOOSE(CONTROL!$C$27, 0.0021, 0)</f>
        <v>22.736899999999999</v>
      </c>
      <c r="J30" s="10">
        <f>22.3745 * CHOOSE(CONTROL!$C$9, $D$9, 100%, $F$9) + CHOOSE(CONTROL!$C$27, 0.0021, 0)</f>
        <v>22.3766</v>
      </c>
      <c r="K30" s="10">
        <f>22.7348 * CHOOSE(CONTROL!$C$9, $D$9, 100%, $F$9) + CHOOSE(CONTROL!$C$27, 0.0021, 0)</f>
        <v>22.736899999999999</v>
      </c>
      <c r="L30" s="10"/>
      <c r="M30" s="17"/>
      <c r="N30" s="17"/>
      <c r="O30" s="17"/>
      <c r="P30" s="17"/>
      <c r="Q30" s="17"/>
    </row>
    <row r="31" spans="1:17" ht="15" x14ac:dyDescent="0.2">
      <c r="A31" s="16">
        <v>41852</v>
      </c>
      <c r="B31" s="10">
        <f>23.1475 * CHOOSE(CONTROL!$C$9, $D$9, 100%, $F$9) + CHOOSE(CONTROL!$C$27, 0.0021, 0)</f>
        <v>23.1496</v>
      </c>
      <c r="C31" s="10">
        <f>22.7153 * CHOOSE(CONTROL!$C$9, $D$9, 100%, $F$9) + CHOOSE(CONTROL!$C$27, 0.0021, 0)</f>
        <v>22.717399999999998</v>
      </c>
      <c r="D31" s="10">
        <f>22.7153 * CHOOSE(CONTROL!$C$9, $D$9, 100%, $F$9) + CHOOSE(CONTROL!$C$27, 0.0021, 0)</f>
        <v>22.717399999999998</v>
      </c>
      <c r="E31" s="10">
        <f>22.5786 * CHOOSE(CONTROL!$C$9, $D$9, 100%, $F$9) + CHOOSE(CONTROL!$C$27, 0.0021, 0)</f>
        <v>22.5807</v>
      </c>
      <c r="F31" s="10">
        <f>22.5786 * CHOOSE(CONTROL!$C$9, $D$9, 100%, $F$9) + CHOOSE(CONTROL!$C$27, 0.0021, 0)</f>
        <v>22.5807</v>
      </c>
      <c r="G31" s="10">
        <f>22.85 * CHOOSE(CONTROL!$C$9, $D$9, 100%, $F$9) + CHOOSE(CONTROL!$C$27, 0.0021, 0)</f>
        <v>22.8521</v>
      </c>
      <c r="H31" s="10">
        <f>22.7153 * CHOOSE(CONTROL!$C$9, $D$9, 100%, $F$9) + CHOOSE(CONTROL!$C$27, 0.0021, 0)</f>
        <v>22.717399999999998</v>
      </c>
      <c r="I31" s="10">
        <f>22.7153 * CHOOSE(CONTROL!$C$9, $D$9, 100%, $F$9) + CHOOSE(CONTROL!$C$27, 0.0021, 0)</f>
        <v>22.717399999999998</v>
      </c>
      <c r="J31" s="10">
        <f>22.3551 * CHOOSE(CONTROL!$C$9, $D$9, 100%, $F$9) + CHOOSE(CONTROL!$C$27, 0.0021, 0)</f>
        <v>22.357199999999999</v>
      </c>
      <c r="K31" s="10">
        <f>22.7153 * CHOOSE(CONTROL!$C$9, $D$9, 100%, $F$9) + CHOOSE(CONTROL!$C$27, 0.0021, 0)</f>
        <v>22.717399999999998</v>
      </c>
      <c r="L31" s="10"/>
      <c r="M31" s="17"/>
      <c r="N31" s="17"/>
      <c r="O31" s="17"/>
      <c r="P31" s="17"/>
      <c r="Q31" s="17"/>
    </row>
    <row r="32" spans="1:17" ht="15" x14ac:dyDescent="0.2">
      <c r="A32" s="16">
        <v>41883</v>
      </c>
      <c r="B32" s="10">
        <f>23.1259 * CHOOSE(CONTROL!$C$9, $D$9, 100%, $F$9) + CHOOSE(CONTROL!$C$27, 0.0021, 0)</f>
        <v>23.128</v>
      </c>
      <c r="C32" s="10">
        <f>22.6937 * CHOOSE(CONTROL!$C$9, $D$9, 100%, $F$9) + CHOOSE(CONTROL!$C$27, 0.0021, 0)</f>
        <v>22.695799999999998</v>
      </c>
      <c r="D32" s="10">
        <f>22.6937 * CHOOSE(CONTROL!$C$9, $D$9, 100%, $F$9) + CHOOSE(CONTROL!$C$27, 0.0021, 0)</f>
        <v>22.695799999999998</v>
      </c>
      <c r="E32" s="10">
        <f>22.557 * CHOOSE(CONTROL!$C$9, $D$9, 100%, $F$9) + CHOOSE(CONTROL!$C$27, 0.0021, 0)</f>
        <v>22.559099999999997</v>
      </c>
      <c r="F32" s="10">
        <f>22.557 * CHOOSE(CONTROL!$C$9, $D$9, 100%, $F$9) + CHOOSE(CONTROL!$C$27, 0.0021, 0)</f>
        <v>22.559099999999997</v>
      </c>
      <c r="G32" s="10">
        <f>22.8284 * CHOOSE(CONTROL!$C$9, $D$9, 100%, $F$9) + CHOOSE(CONTROL!$C$27, 0.0021, 0)</f>
        <v>22.830499999999997</v>
      </c>
      <c r="H32" s="10">
        <f>22.6937 * CHOOSE(CONTROL!$C$9, $D$9, 100%, $F$9) + CHOOSE(CONTROL!$C$27, 0.0021, 0)</f>
        <v>22.695799999999998</v>
      </c>
      <c r="I32" s="10">
        <f>22.6937 * CHOOSE(CONTROL!$C$9, $D$9, 100%, $F$9) + CHOOSE(CONTROL!$C$27, 0.0021, 0)</f>
        <v>22.695799999999998</v>
      </c>
      <c r="J32" s="10">
        <f>22.3335 * CHOOSE(CONTROL!$C$9, $D$9, 100%, $F$9) + CHOOSE(CONTROL!$C$27, 0.0021, 0)</f>
        <v>22.335599999999999</v>
      </c>
      <c r="K32" s="10">
        <f>22.6937 * CHOOSE(CONTROL!$C$9, $D$9, 100%, $F$9) + CHOOSE(CONTROL!$C$27, 0.0021, 0)</f>
        <v>22.695799999999998</v>
      </c>
      <c r="L32" s="10"/>
      <c r="M32" s="17"/>
      <c r="N32" s="17"/>
      <c r="O32" s="17"/>
      <c r="P32" s="17"/>
      <c r="Q32" s="17"/>
    </row>
    <row r="33" spans="1:17" ht="15" x14ac:dyDescent="0.2">
      <c r="A33" s="16">
        <v>41913</v>
      </c>
      <c r="B33" s="10">
        <f>23.1022 * CHOOSE(CONTROL!$C$9, $D$9, 100%, $F$9) + CHOOSE(CONTROL!$C$27, 0.0021, 0)</f>
        <v>23.104299999999999</v>
      </c>
      <c r="C33" s="10">
        <f>22.6699 * CHOOSE(CONTROL!$C$9, $D$9, 100%, $F$9) + CHOOSE(CONTROL!$C$27, 0.0021, 0)</f>
        <v>22.671999999999997</v>
      </c>
      <c r="D33" s="10">
        <f>22.6699 * CHOOSE(CONTROL!$C$9, $D$9, 100%, $F$9) + CHOOSE(CONTROL!$C$27, 0.0021, 0)</f>
        <v>22.671999999999997</v>
      </c>
      <c r="E33" s="10">
        <f>22.5333 * CHOOSE(CONTROL!$C$9, $D$9, 100%, $F$9) + CHOOSE(CONTROL!$C$27, 0.0021, 0)</f>
        <v>22.535399999999999</v>
      </c>
      <c r="F33" s="10">
        <f>22.5333 * CHOOSE(CONTROL!$C$9, $D$9, 100%, $F$9) + CHOOSE(CONTROL!$C$27, 0.0021, 0)</f>
        <v>22.535399999999999</v>
      </c>
      <c r="G33" s="10">
        <f>22.8046 * CHOOSE(CONTROL!$C$9, $D$9, 100%, $F$9) + CHOOSE(CONTROL!$C$27, 0.0021, 0)</f>
        <v>22.806699999999999</v>
      </c>
      <c r="H33" s="10">
        <f>22.6699 * CHOOSE(CONTROL!$C$9, $D$9, 100%, $F$9) + CHOOSE(CONTROL!$C$27, 0.0021, 0)</f>
        <v>22.671999999999997</v>
      </c>
      <c r="I33" s="10">
        <f>22.6699 * CHOOSE(CONTROL!$C$9, $D$9, 100%, $F$9) + CHOOSE(CONTROL!$C$27, 0.0021, 0)</f>
        <v>22.671999999999997</v>
      </c>
      <c r="J33" s="10">
        <f>22.3097 * CHOOSE(CONTROL!$C$9, $D$9, 100%, $F$9) + CHOOSE(CONTROL!$C$27, 0.0021, 0)</f>
        <v>22.311799999999998</v>
      </c>
      <c r="K33" s="10">
        <f>22.6699 * CHOOSE(CONTROL!$C$9, $D$9, 100%, $F$9) + CHOOSE(CONTROL!$C$27, 0.0021, 0)</f>
        <v>22.671999999999997</v>
      </c>
      <c r="L33" s="10"/>
      <c r="M33" s="17"/>
      <c r="N33" s="17"/>
      <c r="O33" s="17"/>
      <c r="P33" s="17"/>
      <c r="Q33" s="17"/>
    </row>
    <row r="34" spans="1:17" ht="15" x14ac:dyDescent="0.2">
      <c r="A34" s="16">
        <v>41944</v>
      </c>
      <c r="B34" s="10">
        <f>23.0719 * CHOOSE(CONTROL!$C$9, $D$9, 100%, $F$9) + CHOOSE(CONTROL!$C$27, 0.0021, 0)</f>
        <v>23.073999999999998</v>
      </c>
      <c r="C34" s="10">
        <f>22.6397 * CHOOSE(CONTROL!$C$9, $D$9, 100%, $F$9) + CHOOSE(CONTROL!$C$27, 0.0021, 0)</f>
        <v>22.6418</v>
      </c>
      <c r="D34" s="10">
        <f>22.6397 * CHOOSE(CONTROL!$C$9, $D$9, 100%, $F$9) + CHOOSE(CONTROL!$C$27, 0.0021, 0)</f>
        <v>22.6418</v>
      </c>
      <c r="E34" s="10">
        <f>22.503 * CHOOSE(CONTROL!$C$9, $D$9, 100%, $F$9) + CHOOSE(CONTROL!$C$27, 0.0021, 0)</f>
        <v>22.505099999999999</v>
      </c>
      <c r="F34" s="10">
        <f>22.503 * CHOOSE(CONTROL!$C$9, $D$9, 100%, $F$9) + CHOOSE(CONTROL!$C$27, 0.0021, 0)</f>
        <v>22.505099999999999</v>
      </c>
      <c r="G34" s="10">
        <f>22.7744 * CHOOSE(CONTROL!$C$9, $D$9, 100%, $F$9) + CHOOSE(CONTROL!$C$27, 0.0021, 0)</f>
        <v>22.776499999999999</v>
      </c>
      <c r="H34" s="10">
        <f>22.6397 * CHOOSE(CONTROL!$C$9, $D$9, 100%, $F$9) + CHOOSE(CONTROL!$C$27, 0.0021, 0)</f>
        <v>22.6418</v>
      </c>
      <c r="I34" s="10">
        <f>22.6397 * CHOOSE(CONTROL!$C$9, $D$9, 100%, $F$9) + CHOOSE(CONTROL!$C$27, 0.0021, 0)</f>
        <v>22.6418</v>
      </c>
      <c r="J34" s="10">
        <f>22.2795 * CHOOSE(CONTROL!$C$9, $D$9, 100%, $F$9) + CHOOSE(CONTROL!$C$27, 0.0021, 0)</f>
        <v>22.281599999999997</v>
      </c>
      <c r="K34" s="10">
        <f>22.6397 * CHOOSE(CONTROL!$C$9, $D$9, 100%, $F$9) + CHOOSE(CONTROL!$C$27, 0.0021, 0)</f>
        <v>22.6418</v>
      </c>
      <c r="L34" s="10"/>
      <c r="M34" s="17"/>
      <c r="N34" s="17"/>
      <c r="O34" s="17"/>
      <c r="P34" s="17"/>
      <c r="Q34" s="17"/>
    </row>
    <row r="35" spans="1:17" ht="15" x14ac:dyDescent="0.2">
      <c r="A35" s="16">
        <v>41974</v>
      </c>
      <c r="B35" s="10">
        <f>23.038 * CHOOSE(CONTROL!$C$9, $D$9, 100%, $F$9) + CHOOSE(CONTROL!$C$27, 0.0021, 0)</f>
        <v>23.040099999999999</v>
      </c>
      <c r="C35" s="10">
        <f>22.6058 * CHOOSE(CONTROL!$C$9, $D$9, 100%, $F$9) + CHOOSE(CONTROL!$C$27, 0.0021, 0)</f>
        <v>22.607899999999997</v>
      </c>
      <c r="D35" s="10">
        <f>22.6058 * CHOOSE(CONTROL!$C$9, $D$9, 100%, $F$9) + CHOOSE(CONTROL!$C$27, 0.0021, 0)</f>
        <v>22.607899999999997</v>
      </c>
      <c r="E35" s="10">
        <f>22.4691 * CHOOSE(CONTROL!$C$9, $D$9, 100%, $F$9) + CHOOSE(CONTROL!$C$27, 0.0021, 0)</f>
        <v>22.4712</v>
      </c>
      <c r="F35" s="10">
        <f>22.4691 * CHOOSE(CONTROL!$C$9, $D$9, 100%, $F$9) + CHOOSE(CONTROL!$C$27, 0.0021, 0)</f>
        <v>22.4712</v>
      </c>
      <c r="G35" s="10">
        <f>22.7405 * CHOOSE(CONTROL!$C$9, $D$9, 100%, $F$9) + CHOOSE(CONTROL!$C$27, 0.0021, 0)</f>
        <v>22.742599999999999</v>
      </c>
      <c r="H35" s="10">
        <f>22.6058 * CHOOSE(CONTROL!$C$9, $D$9, 100%, $F$9) + CHOOSE(CONTROL!$C$27, 0.0021, 0)</f>
        <v>22.607899999999997</v>
      </c>
      <c r="I35" s="10">
        <f>22.6058 * CHOOSE(CONTROL!$C$9, $D$9, 100%, $F$9) + CHOOSE(CONTROL!$C$27, 0.0021, 0)</f>
        <v>22.607899999999997</v>
      </c>
      <c r="J35" s="10">
        <f>22.2456 * CHOOSE(CONTROL!$C$9, $D$9, 100%, $F$9) + CHOOSE(CONTROL!$C$27, 0.0021, 0)</f>
        <v>22.247699999999998</v>
      </c>
      <c r="K35" s="10">
        <f>22.6058 * CHOOSE(CONTROL!$C$9, $D$9, 100%, $F$9) + CHOOSE(CONTROL!$C$27, 0.0021, 0)</f>
        <v>22.607899999999997</v>
      </c>
      <c r="L35" s="10"/>
      <c r="M35" s="17"/>
      <c r="N35" s="17"/>
      <c r="O35" s="17"/>
      <c r="P35" s="17"/>
      <c r="Q35" s="17"/>
    </row>
    <row r="36" spans="1:17" ht="15" x14ac:dyDescent="0.2">
      <c r="A36" s="16">
        <v>42005</v>
      </c>
      <c r="B36" s="10">
        <f>23.0035 * CHOOSE(CONTROL!$C$9, $D$9, 100%, $F$9) + CHOOSE(CONTROL!$C$27, 0.0021, 0)</f>
        <v>23.005599999999998</v>
      </c>
      <c r="C36" s="10">
        <f>22.5712 * CHOOSE(CONTROL!$C$9, $D$9, 100%, $F$9) + CHOOSE(CONTROL!$C$27, 0.0021, 0)</f>
        <v>22.5733</v>
      </c>
      <c r="D36" s="10">
        <f>22.5712 * CHOOSE(CONTROL!$C$9, $D$9, 100%, $F$9) + CHOOSE(CONTROL!$C$27, 0.0021, 0)</f>
        <v>22.5733</v>
      </c>
      <c r="E36" s="10">
        <f>22.4346 * CHOOSE(CONTROL!$C$9, $D$9, 100%, $F$9) + CHOOSE(CONTROL!$C$27, 0.0021, 0)</f>
        <v>22.436699999999998</v>
      </c>
      <c r="F36" s="10">
        <f>22.4346 * CHOOSE(CONTROL!$C$9, $D$9, 100%, $F$9) + CHOOSE(CONTROL!$C$27, 0.0021, 0)</f>
        <v>22.436699999999998</v>
      </c>
      <c r="G36" s="10">
        <f>22.7059 * CHOOSE(CONTROL!$C$9, $D$9, 100%, $F$9) + CHOOSE(CONTROL!$C$27, 0.0021, 0)</f>
        <v>22.707999999999998</v>
      </c>
      <c r="H36" s="10">
        <f>22.5712 * CHOOSE(CONTROL!$C$9, $D$9, 100%, $F$9) + CHOOSE(CONTROL!$C$27, 0.0021, 0)</f>
        <v>22.5733</v>
      </c>
      <c r="I36" s="10">
        <f>22.5712 * CHOOSE(CONTROL!$C$9, $D$9, 100%, $F$9) + CHOOSE(CONTROL!$C$27, 0.0021, 0)</f>
        <v>22.5733</v>
      </c>
      <c r="J36" s="10">
        <f>22.5712 * CHOOSE(CONTROL!$C$9, $D$9, 100%, $F$9) + CHOOSE(CONTROL!$C$27, 0.0021, 0)</f>
        <v>22.5733</v>
      </c>
      <c r="K36" s="10">
        <f>22.5712 * CHOOSE(CONTROL!$C$9, $D$9, 100%, $F$9) + CHOOSE(CONTROL!$C$27, 0.0021, 0)</f>
        <v>22.5733</v>
      </c>
      <c r="L36" s="10"/>
      <c r="M36" s="17"/>
      <c r="N36" s="17"/>
      <c r="O36" s="17"/>
      <c r="P36" s="17"/>
      <c r="Q36" s="17"/>
    </row>
    <row r="37" spans="1:17" ht="15" x14ac:dyDescent="0.2">
      <c r="A37" s="16">
        <v>42036</v>
      </c>
      <c r="B37" s="10">
        <f>22.9336 * CHOOSE(CONTROL!$C$9, $D$9, 100%, $F$9) + CHOOSE(CONTROL!$C$27, 0.0021, 0)</f>
        <v>22.935699999999997</v>
      </c>
      <c r="C37" s="10">
        <f>22.5013 * CHOOSE(CONTROL!$C$9, $D$9, 100%, $F$9) + CHOOSE(CONTROL!$C$27, 0.0021, 0)</f>
        <v>22.503399999999999</v>
      </c>
      <c r="D37" s="10">
        <f>22.5013 * CHOOSE(CONTROL!$C$9, $D$9, 100%, $F$9) + CHOOSE(CONTROL!$C$27, 0.0021, 0)</f>
        <v>22.503399999999999</v>
      </c>
      <c r="E37" s="10">
        <f>22.3647 * CHOOSE(CONTROL!$C$9, $D$9, 100%, $F$9) + CHOOSE(CONTROL!$C$27, 0.0021, 0)</f>
        <v>22.366799999999998</v>
      </c>
      <c r="F37" s="10">
        <f>22.3647 * CHOOSE(CONTROL!$C$9, $D$9, 100%, $F$9) + CHOOSE(CONTROL!$C$27, 0.0021, 0)</f>
        <v>22.366799999999998</v>
      </c>
      <c r="G37" s="10">
        <f>22.6361 * CHOOSE(CONTROL!$C$9, $D$9, 100%, $F$9) + CHOOSE(CONTROL!$C$27, 0.0021, 0)</f>
        <v>22.638199999999998</v>
      </c>
      <c r="H37" s="10">
        <f>22.5013 * CHOOSE(CONTROL!$C$9, $D$9, 100%, $F$9) + CHOOSE(CONTROL!$C$27, 0.0021, 0)</f>
        <v>22.503399999999999</v>
      </c>
      <c r="I37" s="10">
        <f>22.5013 * CHOOSE(CONTROL!$C$9, $D$9, 100%, $F$9) + CHOOSE(CONTROL!$C$27, 0.0021, 0)</f>
        <v>22.503399999999999</v>
      </c>
      <c r="J37" s="10">
        <f>22.5013 * CHOOSE(CONTROL!$C$9, $D$9, 100%, $F$9) + CHOOSE(CONTROL!$C$27, 0.0021, 0)</f>
        <v>22.503399999999999</v>
      </c>
      <c r="K37" s="10">
        <f>22.5013 * CHOOSE(CONTROL!$C$9, $D$9, 100%, $F$9) + CHOOSE(CONTROL!$C$27, 0.0021, 0)</f>
        <v>22.503399999999999</v>
      </c>
      <c r="L37" s="10"/>
      <c r="M37" s="17"/>
      <c r="N37" s="17"/>
      <c r="O37" s="17"/>
      <c r="P37" s="17"/>
      <c r="Q37" s="17"/>
    </row>
    <row r="38" spans="1:17" ht="15" x14ac:dyDescent="0.2">
      <c r="A38" s="16">
        <v>42064</v>
      </c>
      <c r="B38" s="10">
        <f>22.8147 * CHOOSE(CONTROL!$C$9, $D$9, 100%, $F$9) + CHOOSE(CONTROL!$C$27, 0.0021, 0)</f>
        <v>22.816799999999997</v>
      </c>
      <c r="C38" s="10">
        <f>22.3825 * CHOOSE(CONTROL!$C$9, $D$9, 100%, $F$9) + CHOOSE(CONTROL!$C$27, 0.0021, 0)</f>
        <v>22.384599999999999</v>
      </c>
      <c r="D38" s="10">
        <f>22.3825 * CHOOSE(CONTROL!$C$9, $D$9, 100%, $F$9) + CHOOSE(CONTROL!$C$27, 0.0021, 0)</f>
        <v>22.384599999999999</v>
      </c>
      <c r="E38" s="10">
        <f>22.2458 * CHOOSE(CONTROL!$C$9, $D$9, 100%, $F$9) + CHOOSE(CONTROL!$C$27, 0.0021, 0)</f>
        <v>22.247899999999998</v>
      </c>
      <c r="F38" s="10">
        <f>22.2458 * CHOOSE(CONTROL!$C$9, $D$9, 100%, $F$9) + CHOOSE(CONTROL!$C$27, 0.0021, 0)</f>
        <v>22.247899999999998</v>
      </c>
      <c r="G38" s="10">
        <f>22.5172 * CHOOSE(CONTROL!$C$9, $D$9, 100%, $F$9) + CHOOSE(CONTROL!$C$27, 0.0021, 0)</f>
        <v>22.519299999999998</v>
      </c>
      <c r="H38" s="10">
        <f>22.3825 * CHOOSE(CONTROL!$C$9, $D$9, 100%, $F$9) + CHOOSE(CONTROL!$C$27, 0.0021, 0)</f>
        <v>22.384599999999999</v>
      </c>
      <c r="I38" s="10">
        <f>22.3825 * CHOOSE(CONTROL!$C$9, $D$9, 100%, $F$9) + CHOOSE(CONTROL!$C$27, 0.0021, 0)</f>
        <v>22.384599999999999</v>
      </c>
      <c r="J38" s="10">
        <f>22.3825 * CHOOSE(CONTROL!$C$9, $D$9, 100%, $F$9) + CHOOSE(CONTROL!$C$27, 0.0021, 0)</f>
        <v>22.384599999999999</v>
      </c>
      <c r="K38" s="10">
        <f>22.3825 * CHOOSE(CONTROL!$C$9, $D$9, 100%, $F$9) + CHOOSE(CONTROL!$C$27, 0.0021, 0)</f>
        <v>22.384599999999999</v>
      </c>
      <c r="L38" s="10"/>
      <c r="M38" s="17"/>
      <c r="N38" s="17"/>
      <c r="O38" s="17"/>
      <c r="P38" s="17"/>
      <c r="Q38" s="17"/>
    </row>
    <row r="39" spans="1:17" ht="15" x14ac:dyDescent="0.2">
      <c r="A39" s="16">
        <v>42095</v>
      </c>
      <c r="B39" s="10">
        <f>22.6814 * CHOOSE(CONTROL!$C$9, $D$9, 100%, $F$9) + CHOOSE(CONTROL!$C$27, 0.0021, 0)</f>
        <v>22.683499999999999</v>
      </c>
      <c r="C39" s="10">
        <f>22.2492 * CHOOSE(CONTROL!$C$9, $D$9, 100%, $F$9) + CHOOSE(CONTROL!$C$27, 0.0021, 0)</f>
        <v>22.251299999999997</v>
      </c>
      <c r="D39" s="10">
        <f>22.2492 * CHOOSE(CONTROL!$C$9, $D$9, 100%, $F$9) + CHOOSE(CONTROL!$C$27, 0.0021, 0)</f>
        <v>22.251299999999997</v>
      </c>
      <c r="E39" s="10">
        <f>22.1125 * CHOOSE(CONTROL!$C$9, $D$9, 100%, $F$9) + CHOOSE(CONTROL!$C$27, 0.0021, 0)</f>
        <v>22.114599999999999</v>
      </c>
      <c r="F39" s="10">
        <f>22.1125 * CHOOSE(CONTROL!$C$9, $D$9, 100%, $F$9) + CHOOSE(CONTROL!$C$27, 0.0021, 0)</f>
        <v>22.114599999999999</v>
      </c>
      <c r="G39" s="10">
        <f>22.3839 * CHOOSE(CONTROL!$C$9, $D$9, 100%, $F$9) + CHOOSE(CONTROL!$C$27, 0.0021, 0)</f>
        <v>22.385999999999999</v>
      </c>
      <c r="H39" s="10">
        <f>22.2492 * CHOOSE(CONTROL!$C$9, $D$9, 100%, $F$9) + CHOOSE(CONTROL!$C$27, 0.0021, 0)</f>
        <v>22.251299999999997</v>
      </c>
      <c r="I39" s="10">
        <f>22.2492 * CHOOSE(CONTROL!$C$9, $D$9, 100%, $F$9) + CHOOSE(CONTROL!$C$27, 0.0021, 0)</f>
        <v>22.251299999999997</v>
      </c>
      <c r="J39" s="10">
        <f>22.2492 * CHOOSE(CONTROL!$C$9, $D$9, 100%, $F$9) + CHOOSE(CONTROL!$C$27, 0.0021, 0)</f>
        <v>22.251299999999997</v>
      </c>
      <c r="K39" s="10">
        <f>22.2492 * CHOOSE(CONTROL!$C$9, $D$9, 100%, $F$9) + CHOOSE(CONTROL!$C$27, 0.0021, 0)</f>
        <v>22.251299999999997</v>
      </c>
      <c r="L39" s="10"/>
      <c r="M39" s="17"/>
      <c r="N39" s="17"/>
      <c r="O39" s="17"/>
      <c r="P39" s="17"/>
      <c r="Q39" s="17"/>
    </row>
    <row r="40" spans="1:17" ht="15" x14ac:dyDescent="0.2">
      <c r="A40" s="16">
        <v>42125</v>
      </c>
      <c r="B40" s="10">
        <f>22.5482 * CHOOSE(CONTROL!$C$9, $D$9, 100%, $F$9) + CHOOSE(CONTROL!$C$27, 0.0021, 0)</f>
        <v>22.5503</v>
      </c>
      <c r="C40" s="10">
        <f>22.1159 * CHOOSE(CONTROL!$C$9, $D$9, 100%, $F$9) + CHOOSE(CONTROL!$C$27, 0.0021, 0)</f>
        <v>22.117999999999999</v>
      </c>
      <c r="D40" s="10">
        <f>22.1159 * CHOOSE(CONTROL!$C$9, $D$9, 100%, $F$9) + CHOOSE(CONTROL!$C$27, 0.0021, 0)</f>
        <v>22.117999999999999</v>
      </c>
      <c r="E40" s="10">
        <f>21.9793 * CHOOSE(CONTROL!$C$9, $D$9, 100%, $F$9) + CHOOSE(CONTROL!$C$27, 0.0021, 0)</f>
        <v>21.981399999999997</v>
      </c>
      <c r="F40" s="10">
        <f>21.9793 * CHOOSE(CONTROL!$C$9, $D$9, 100%, $F$9) + CHOOSE(CONTROL!$C$27, 0.0021, 0)</f>
        <v>21.981399999999997</v>
      </c>
      <c r="G40" s="10">
        <f>22.2506 * CHOOSE(CONTROL!$C$9, $D$9, 100%, $F$9) + CHOOSE(CONTROL!$C$27, 0.0021, 0)</f>
        <v>22.252699999999997</v>
      </c>
      <c r="H40" s="10">
        <f>22.1159 * CHOOSE(CONTROL!$C$9, $D$9, 100%, $F$9) + CHOOSE(CONTROL!$C$27, 0.0021, 0)</f>
        <v>22.117999999999999</v>
      </c>
      <c r="I40" s="10">
        <f>22.1159 * CHOOSE(CONTROL!$C$9, $D$9, 100%, $F$9) + CHOOSE(CONTROL!$C$27, 0.0021, 0)</f>
        <v>22.117999999999999</v>
      </c>
      <c r="J40" s="10">
        <f>22.1159 * CHOOSE(CONTROL!$C$9, $D$9, 100%, $F$9) + CHOOSE(CONTROL!$C$27, 0.0021, 0)</f>
        <v>22.117999999999999</v>
      </c>
      <c r="K40" s="10">
        <f>22.1159 * CHOOSE(CONTROL!$C$9, $D$9, 100%, $F$9) + CHOOSE(CONTROL!$C$27, 0.0021, 0)</f>
        <v>22.117999999999999</v>
      </c>
      <c r="L40" s="10"/>
      <c r="M40" s="17"/>
      <c r="N40" s="17"/>
      <c r="O40" s="17"/>
      <c r="P40" s="17"/>
      <c r="Q40" s="17"/>
    </row>
    <row r="41" spans="1:17" ht="15" x14ac:dyDescent="0.2">
      <c r="A41" s="16">
        <v>42156</v>
      </c>
      <c r="B41" s="10">
        <f>22.4113 * CHOOSE(CONTROL!$C$9, $D$9, 100%, $F$9) + CHOOSE(CONTROL!$C$27, 0.0021, 0)</f>
        <v>22.413399999999999</v>
      </c>
      <c r="C41" s="10">
        <f>21.979 * CHOOSE(CONTROL!$C$9, $D$9, 100%, $F$9) + CHOOSE(CONTROL!$C$27, 0.0021, 0)</f>
        <v>21.981099999999998</v>
      </c>
      <c r="D41" s="10">
        <f>21.979 * CHOOSE(CONTROL!$C$9, $D$9, 100%, $F$9) + CHOOSE(CONTROL!$C$27, 0.0021, 0)</f>
        <v>21.981099999999998</v>
      </c>
      <c r="E41" s="10">
        <f>21.8424 * CHOOSE(CONTROL!$C$9, $D$9, 100%, $F$9) + CHOOSE(CONTROL!$C$27, 0.0021, 0)</f>
        <v>21.8445</v>
      </c>
      <c r="F41" s="10">
        <f>21.8424 * CHOOSE(CONTROL!$C$9, $D$9, 100%, $F$9) + CHOOSE(CONTROL!$C$27, 0.0021, 0)</f>
        <v>21.8445</v>
      </c>
      <c r="G41" s="10">
        <f>22.1138 * CHOOSE(CONTROL!$C$9, $D$9, 100%, $F$9) + CHOOSE(CONTROL!$C$27, 0.0021, 0)</f>
        <v>22.1159</v>
      </c>
      <c r="H41" s="10">
        <f>21.979 * CHOOSE(CONTROL!$C$9, $D$9, 100%, $F$9) + CHOOSE(CONTROL!$C$27, 0.0021, 0)</f>
        <v>21.981099999999998</v>
      </c>
      <c r="I41" s="10">
        <f>21.979 * CHOOSE(CONTROL!$C$9, $D$9, 100%, $F$9) + CHOOSE(CONTROL!$C$27, 0.0021, 0)</f>
        <v>21.981099999999998</v>
      </c>
      <c r="J41" s="10">
        <f>21.979 * CHOOSE(CONTROL!$C$9, $D$9, 100%, $F$9) + CHOOSE(CONTROL!$C$27, 0.0021, 0)</f>
        <v>21.981099999999998</v>
      </c>
      <c r="K41" s="10">
        <f>21.979 * CHOOSE(CONTROL!$C$9, $D$9, 100%, $F$9) + CHOOSE(CONTROL!$C$27, 0.0021, 0)</f>
        <v>21.981099999999998</v>
      </c>
      <c r="L41" s="10"/>
      <c r="M41" s="17"/>
      <c r="N41" s="17"/>
      <c r="O41" s="17"/>
      <c r="P41" s="17"/>
      <c r="Q41" s="17"/>
    </row>
    <row r="42" spans="1:17" ht="15" x14ac:dyDescent="0.2">
      <c r="A42" s="16">
        <v>42186</v>
      </c>
      <c r="B42" s="10">
        <f>22.3573 * CHOOSE(CONTROL!$C$9, $D$9, 100%, $F$9) + CHOOSE(CONTROL!$C$27, 0.0021, 0)</f>
        <v>22.359399999999997</v>
      </c>
      <c r="C42" s="10">
        <f>21.925 * CHOOSE(CONTROL!$C$9, $D$9, 100%, $F$9) + CHOOSE(CONTROL!$C$27, 0.0021, 0)</f>
        <v>21.927099999999999</v>
      </c>
      <c r="D42" s="10">
        <f>21.925 * CHOOSE(CONTROL!$C$9, $D$9, 100%, $F$9) + CHOOSE(CONTROL!$C$27, 0.0021, 0)</f>
        <v>21.927099999999999</v>
      </c>
      <c r="E42" s="10">
        <f>21.7884 * CHOOSE(CONTROL!$C$9, $D$9, 100%, $F$9) + CHOOSE(CONTROL!$C$27, 0.0021, 0)</f>
        <v>21.790499999999998</v>
      </c>
      <c r="F42" s="10">
        <f>21.7884 * CHOOSE(CONTROL!$C$9, $D$9, 100%, $F$9) + CHOOSE(CONTROL!$C$27, 0.0021, 0)</f>
        <v>21.790499999999998</v>
      </c>
      <c r="G42" s="10">
        <f>22.0597 * CHOOSE(CONTROL!$C$9, $D$9, 100%, $F$9) + CHOOSE(CONTROL!$C$27, 0.0021, 0)</f>
        <v>22.061799999999998</v>
      </c>
      <c r="H42" s="10">
        <f>21.925 * CHOOSE(CONTROL!$C$9, $D$9, 100%, $F$9) + CHOOSE(CONTROL!$C$27, 0.0021, 0)</f>
        <v>21.927099999999999</v>
      </c>
      <c r="I42" s="10">
        <f>21.925 * CHOOSE(CONTROL!$C$9, $D$9, 100%, $F$9) + CHOOSE(CONTROL!$C$27, 0.0021, 0)</f>
        <v>21.927099999999999</v>
      </c>
      <c r="J42" s="10">
        <f>21.925 * CHOOSE(CONTROL!$C$9, $D$9, 100%, $F$9) + CHOOSE(CONTROL!$C$27, 0.0021, 0)</f>
        <v>21.927099999999999</v>
      </c>
      <c r="K42" s="10">
        <f>21.925 * CHOOSE(CONTROL!$C$9, $D$9, 100%, $F$9) + CHOOSE(CONTROL!$C$27, 0.0021, 0)</f>
        <v>21.927099999999999</v>
      </c>
      <c r="L42" s="10"/>
      <c r="M42" s="17"/>
      <c r="N42" s="17"/>
      <c r="O42" s="17"/>
      <c r="P42" s="17"/>
      <c r="Q42" s="17"/>
    </row>
    <row r="43" spans="1:17" ht="15" x14ac:dyDescent="0.2">
      <c r="A43" s="16">
        <v>42217</v>
      </c>
      <c r="B43" s="10">
        <f>22.3176 * CHOOSE(CONTROL!$C$9, $D$9, 100%, $F$9) + CHOOSE(CONTROL!$C$27, 0.0021, 0)</f>
        <v>22.319699999999997</v>
      </c>
      <c r="C43" s="10">
        <f>21.8854 * CHOOSE(CONTROL!$C$9, $D$9, 100%, $F$9) + CHOOSE(CONTROL!$C$27, 0.0021, 0)</f>
        <v>21.887499999999999</v>
      </c>
      <c r="D43" s="10">
        <f>21.8854 * CHOOSE(CONTROL!$C$9, $D$9, 100%, $F$9) + CHOOSE(CONTROL!$C$27, 0.0021, 0)</f>
        <v>21.887499999999999</v>
      </c>
      <c r="E43" s="10">
        <f>21.7487 * CHOOSE(CONTROL!$C$9, $D$9, 100%, $F$9) + CHOOSE(CONTROL!$C$27, 0.0021, 0)</f>
        <v>21.750799999999998</v>
      </c>
      <c r="F43" s="10">
        <f>21.7487 * CHOOSE(CONTROL!$C$9, $D$9, 100%, $F$9) + CHOOSE(CONTROL!$C$27, 0.0021, 0)</f>
        <v>21.750799999999998</v>
      </c>
      <c r="G43" s="10">
        <f>22.0201 * CHOOSE(CONTROL!$C$9, $D$9, 100%, $F$9) + CHOOSE(CONTROL!$C$27, 0.0021, 0)</f>
        <v>22.022199999999998</v>
      </c>
      <c r="H43" s="10">
        <f>21.8854 * CHOOSE(CONTROL!$C$9, $D$9, 100%, $F$9) + CHOOSE(CONTROL!$C$27, 0.0021, 0)</f>
        <v>21.887499999999999</v>
      </c>
      <c r="I43" s="10">
        <f>21.8854 * CHOOSE(CONTROL!$C$9, $D$9, 100%, $F$9) + CHOOSE(CONTROL!$C$27, 0.0021, 0)</f>
        <v>21.887499999999999</v>
      </c>
      <c r="J43" s="10">
        <f>21.8854 * CHOOSE(CONTROL!$C$9, $D$9, 100%, $F$9) + CHOOSE(CONTROL!$C$27, 0.0021, 0)</f>
        <v>21.887499999999999</v>
      </c>
      <c r="K43" s="10">
        <f>21.8854 * CHOOSE(CONTROL!$C$9, $D$9, 100%, $F$9) + CHOOSE(CONTROL!$C$27, 0.0021, 0)</f>
        <v>21.887499999999999</v>
      </c>
      <c r="L43" s="10"/>
      <c r="M43" s="17"/>
      <c r="N43" s="17"/>
      <c r="O43" s="17"/>
      <c r="P43" s="17"/>
      <c r="Q43" s="17"/>
    </row>
    <row r="44" spans="1:17" ht="15" x14ac:dyDescent="0.2">
      <c r="A44" s="16">
        <v>42248</v>
      </c>
      <c r="B44" s="10">
        <f>22.2852 * CHOOSE(CONTROL!$C$9, $D$9, 100%, $F$9) + CHOOSE(CONTROL!$C$27, 0.0021, 0)</f>
        <v>22.287299999999998</v>
      </c>
      <c r="C44" s="10">
        <f>21.853 * CHOOSE(CONTROL!$C$9, $D$9, 100%, $F$9) + CHOOSE(CONTROL!$C$27, 0.0021, 0)</f>
        <v>21.8551</v>
      </c>
      <c r="D44" s="10">
        <f>21.853 * CHOOSE(CONTROL!$C$9, $D$9, 100%, $F$9) + CHOOSE(CONTROL!$C$27, 0.0021, 0)</f>
        <v>21.8551</v>
      </c>
      <c r="E44" s="10">
        <f>21.7163 * CHOOSE(CONTROL!$C$9, $D$9, 100%, $F$9) + CHOOSE(CONTROL!$C$27, 0.0021, 0)</f>
        <v>21.718399999999999</v>
      </c>
      <c r="F44" s="10">
        <f>21.7163 * CHOOSE(CONTROL!$C$9, $D$9, 100%, $F$9) + CHOOSE(CONTROL!$C$27, 0.0021, 0)</f>
        <v>21.718399999999999</v>
      </c>
      <c r="G44" s="10">
        <f>21.9877 * CHOOSE(CONTROL!$C$9, $D$9, 100%, $F$9) + CHOOSE(CONTROL!$C$27, 0.0021, 0)</f>
        <v>21.989799999999999</v>
      </c>
      <c r="H44" s="10">
        <f>21.853 * CHOOSE(CONTROL!$C$9, $D$9, 100%, $F$9) + CHOOSE(CONTROL!$C$27, 0.0021, 0)</f>
        <v>21.8551</v>
      </c>
      <c r="I44" s="10">
        <f>21.853 * CHOOSE(CONTROL!$C$9, $D$9, 100%, $F$9) + CHOOSE(CONTROL!$C$27, 0.0021, 0)</f>
        <v>21.8551</v>
      </c>
      <c r="J44" s="10">
        <f>21.853 * CHOOSE(CONTROL!$C$9, $D$9, 100%, $F$9) + CHOOSE(CONTROL!$C$27, 0.0021, 0)</f>
        <v>21.8551</v>
      </c>
      <c r="K44" s="10">
        <f>21.853 * CHOOSE(CONTROL!$C$9, $D$9, 100%, $F$9) + CHOOSE(CONTROL!$C$27, 0.0021, 0)</f>
        <v>21.8551</v>
      </c>
      <c r="L44" s="10"/>
      <c r="M44" s="17"/>
      <c r="N44" s="17"/>
      <c r="O44" s="17"/>
      <c r="P44" s="17"/>
      <c r="Q44" s="17"/>
    </row>
    <row r="45" spans="1:17" ht="15" x14ac:dyDescent="0.2">
      <c r="A45" s="16">
        <v>42278</v>
      </c>
      <c r="B45" s="10">
        <f>22.2456 * CHOOSE(CONTROL!$C$9, $D$9, 100%, $F$9) + CHOOSE(CONTROL!$C$27, 0.0021, 0)</f>
        <v>22.247699999999998</v>
      </c>
      <c r="C45" s="10">
        <f>21.8133 * CHOOSE(CONTROL!$C$9, $D$9, 100%, $F$9) + CHOOSE(CONTROL!$C$27, 0.0021, 0)</f>
        <v>21.8154</v>
      </c>
      <c r="D45" s="10">
        <f>21.8133 * CHOOSE(CONTROL!$C$9, $D$9, 100%, $F$9) + CHOOSE(CONTROL!$C$27, 0.0021, 0)</f>
        <v>21.8154</v>
      </c>
      <c r="E45" s="10">
        <f>21.6767 * CHOOSE(CONTROL!$C$9, $D$9, 100%, $F$9) + CHOOSE(CONTROL!$C$27, 0.0021, 0)</f>
        <v>21.678799999999999</v>
      </c>
      <c r="F45" s="10">
        <f>21.6767 * CHOOSE(CONTROL!$C$9, $D$9, 100%, $F$9) + CHOOSE(CONTROL!$C$27, 0.0021, 0)</f>
        <v>21.678799999999999</v>
      </c>
      <c r="G45" s="10">
        <f>21.9481 * CHOOSE(CONTROL!$C$9, $D$9, 100%, $F$9) + CHOOSE(CONTROL!$C$27, 0.0021, 0)</f>
        <v>21.950199999999999</v>
      </c>
      <c r="H45" s="10">
        <f>21.8133 * CHOOSE(CONTROL!$C$9, $D$9, 100%, $F$9) + CHOOSE(CONTROL!$C$27, 0.0021, 0)</f>
        <v>21.8154</v>
      </c>
      <c r="I45" s="10">
        <f>21.8133 * CHOOSE(CONTROL!$C$9, $D$9, 100%, $F$9) + CHOOSE(CONTROL!$C$27, 0.0021, 0)</f>
        <v>21.8154</v>
      </c>
      <c r="J45" s="10">
        <f>21.8133 * CHOOSE(CONTROL!$C$9, $D$9, 100%, $F$9) + CHOOSE(CONTROL!$C$27, 0.0021, 0)</f>
        <v>21.8154</v>
      </c>
      <c r="K45" s="10">
        <f>21.8133 * CHOOSE(CONTROL!$C$9, $D$9, 100%, $F$9) + CHOOSE(CONTROL!$C$27, 0.0021, 0)</f>
        <v>21.8154</v>
      </c>
      <c r="L45" s="10"/>
      <c r="M45" s="17"/>
      <c r="N45" s="17"/>
      <c r="O45" s="17"/>
      <c r="P45" s="17"/>
      <c r="Q45" s="17"/>
    </row>
    <row r="46" spans="1:17" ht="15" x14ac:dyDescent="0.2">
      <c r="A46" s="16">
        <v>42309</v>
      </c>
      <c r="B46" s="10">
        <f>22.1916 * CHOOSE(CONTROL!$C$9, $D$9, 100%, $F$9) + CHOOSE(CONTROL!$C$27, 0.0021, 0)</f>
        <v>22.1937</v>
      </c>
      <c r="C46" s="10">
        <f>21.7593 * CHOOSE(CONTROL!$C$9, $D$9, 100%, $F$9) + CHOOSE(CONTROL!$C$27, 0.0021, 0)</f>
        <v>21.761399999999998</v>
      </c>
      <c r="D46" s="10">
        <f>21.7593 * CHOOSE(CONTROL!$C$9, $D$9, 100%, $F$9) + CHOOSE(CONTROL!$C$27, 0.0021, 0)</f>
        <v>21.761399999999998</v>
      </c>
      <c r="E46" s="10">
        <f>21.6227 * CHOOSE(CONTROL!$C$9, $D$9, 100%, $F$9) + CHOOSE(CONTROL!$C$27, 0.0021, 0)</f>
        <v>21.624799999999997</v>
      </c>
      <c r="F46" s="10">
        <f>21.6227 * CHOOSE(CONTROL!$C$9, $D$9, 100%, $F$9) + CHOOSE(CONTROL!$C$27, 0.0021, 0)</f>
        <v>21.624799999999997</v>
      </c>
      <c r="G46" s="10">
        <f>21.894 * CHOOSE(CONTROL!$C$9, $D$9, 100%, $F$9) + CHOOSE(CONTROL!$C$27, 0.0021, 0)</f>
        <v>21.896099999999997</v>
      </c>
      <c r="H46" s="10">
        <f>21.7593 * CHOOSE(CONTROL!$C$9, $D$9, 100%, $F$9) + CHOOSE(CONTROL!$C$27, 0.0021, 0)</f>
        <v>21.761399999999998</v>
      </c>
      <c r="I46" s="10">
        <f>21.7593 * CHOOSE(CONTROL!$C$9, $D$9, 100%, $F$9) + CHOOSE(CONTROL!$C$27, 0.0021, 0)</f>
        <v>21.761399999999998</v>
      </c>
      <c r="J46" s="10">
        <f>21.7593 * CHOOSE(CONTROL!$C$9, $D$9, 100%, $F$9) + CHOOSE(CONTROL!$C$27, 0.0021, 0)</f>
        <v>21.761399999999998</v>
      </c>
      <c r="K46" s="10">
        <f>21.7593 * CHOOSE(CONTROL!$C$9, $D$9, 100%, $F$9) + CHOOSE(CONTROL!$C$27, 0.0021, 0)</f>
        <v>21.761399999999998</v>
      </c>
      <c r="L46" s="10"/>
      <c r="M46" s="17"/>
      <c r="N46" s="17"/>
      <c r="O46" s="17"/>
      <c r="P46" s="17"/>
      <c r="Q46" s="17"/>
    </row>
    <row r="47" spans="1:17" ht="15" x14ac:dyDescent="0.2">
      <c r="A47" s="16">
        <v>42339</v>
      </c>
      <c r="B47" s="10">
        <f>22.1303 * CHOOSE(CONTROL!$C$9, $D$9, 100%, $F$9) + CHOOSE(CONTROL!$C$27, 0.0021, 0)</f>
        <v>22.132399999999997</v>
      </c>
      <c r="C47" s="10">
        <f>21.6981 * CHOOSE(CONTROL!$C$9, $D$9, 100%, $F$9) + CHOOSE(CONTROL!$C$27, 0.0021, 0)</f>
        <v>21.700199999999999</v>
      </c>
      <c r="D47" s="10">
        <f>21.6981 * CHOOSE(CONTROL!$C$9, $D$9, 100%, $F$9) + CHOOSE(CONTROL!$C$27, 0.0021, 0)</f>
        <v>21.700199999999999</v>
      </c>
      <c r="E47" s="10">
        <f>21.5614 * CHOOSE(CONTROL!$C$9, $D$9, 100%, $F$9) + CHOOSE(CONTROL!$C$27, 0.0021, 0)</f>
        <v>21.563499999999998</v>
      </c>
      <c r="F47" s="10">
        <f>21.5614 * CHOOSE(CONTROL!$C$9, $D$9, 100%, $F$9) + CHOOSE(CONTROL!$C$27, 0.0021, 0)</f>
        <v>21.563499999999998</v>
      </c>
      <c r="G47" s="10">
        <f>21.8328 * CHOOSE(CONTROL!$C$9, $D$9, 100%, $F$9) + CHOOSE(CONTROL!$C$27, 0.0021, 0)</f>
        <v>21.834899999999998</v>
      </c>
      <c r="H47" s="10">
        <f>21.6981 * CHOOSE(CONTROL!$C$9, $D$9, 100%, $F$9) + CHOOSE(CONTROL!$C$27, 0.0021, 0)</f>
        <v>21.700199999999999</v>
      </c>
      <c r="I47" s="10">
        <f>21.6981 * CHOOSE(CONTROL!$C$9, $D$9, 100%, $F$9) + CHOOSE(CONTROL!$C$27, 0.0021, 0)</f>
        <v>21.700199999999999</v>
      </c>
      <c r="J47" s="10">
        <f>21.6981 * CHOOSE(CONTROL!$C$9, $D$9, 100%, $F$9) + CHOOSE(CONTROL!$C$27, 0.0021, 0)</f>
        <v>21.700199999999999</v>
      </c>
      <c r="K47" s="10">
        <f>21.6981 * CHOOSE(CONTROL!$C$9, $D$9, 100%, $F$9) + CHOOSE(CONTROL!$C$27, 0.0021, 0)</f>
        <v>21.700199999999999</v>
      </c>
      <c r="L47" s="10"/>
      <c r="M47" s="17"/>
      <c r="N47" s="17"/>
      <c r="O47" s="17"/>
      <c r="P47" s="17"/>
      <c r="Q47" s="17"/>
    </row>
    <row r="48" spans="1:17" ht="15" x14ac:dyDescent="0.2">
      <c r="A48" s="16">
        <v>42370</v>
      </c>
      <c r="B48" s="10">
        <f>22.0943 * CHOOSE(CONTROL!$C$9, $D$9, 100%, $F$9) + CHOOSE(CONTROL!$C$27, 0.0021, 0)</f>
        <v>22.096399999999999</v>
      </c>
      <c r="C48" s="10">
        <f>21.6621 * CHOOSE(CONTROL!$C$9, $D$9, 100%, $F$9) + CHOOSE(CONTROL!$C$27, 0.0021, 0)</f>
        <v>21.664199999999997</v>
      </c>
      <c r="D48" s="10">
        <f>21.6621 * CHOOSE(CONTROL!$C$9, $D$9, 100%, $F$9) + CHOOSE(CONTROL!$C$27, 0.0021, 0)</f>
        <v>21.664199999999997</v>
      </c>
      <c r="E48" s="10">
        <f>21.5254 * CHOOSE(CONTROL!$C$9, $D$9, 100%, $F$9) + CHOOSE(CONTROL!$C$27, 0.0021, 0)</f>
        <v>21.5275</v>
      </c>
      <c r="F48" s="10">
        <f>21.5254 * CHOOSE(CONTROL!$C$9, $D$9, 100%, $F$9) + CHOOSE(CONTROL!$C$27, 0.0021, 0)</f>
        <v>21.5275</v>
      </c>
      <c r="G48" s="10">
        <f>21.7968 * CHOOSE(CONTROL!$C$9, $D$9, 100%, $F$9) + CHOOSE(CONTROL!$C$27, 0.0021, 0)</f>
        <v>21.7989</v>
      </c>
      <c r="H48" s="10">
        <f>21.6621 * CHOOSE(CONTROL!$C$9, $D$9, 100%, $F$9) + CHOOSE(CONTROL!$C$27, 0.0021, 0)</f>
        <v>21.664199999999997</v>
      </c>
      <c r="I48" s="10">
        <f>21.6621 * CHOOSE(CONTROL!$C$9, $D$9, 100%, $F$9) + CHOOSE(CONTROL!$C$27, 0.0021, 0)</f>
        <v>21.664199999999997</v>
      </c>
      <c r="J48" s="10">
        <f>21.6621 * CHOOSE(CONTROL!$C$9, $D$9, 100%, $F$9) + CHOOSE(CONTROL!$C$27, 0.0021, 0)</f>
        <v>21.664199999999997</v>
      </c>
      <c r="K48" s="10">
        <f>21.6621 * CHOOSE(CONTROL!$C$9, $D$9, 100%, $F$9) + CHOOSE(CONTROL!$C$27, 0.0021, 0)</f>
        <v>21.664199999999997</v>
      </c>
      <c r="L48" s="10"/>
    </row>
    <row r="49" spans="1:12" ht="15" x14ac:dyDescent="0.2">
      <c r="A49" s="16">
        <v>42401</v>
      </c>
      <c r="B49" s="10">
        <f>22.0187 * CHOOSE(CONTROL!$C$9, $D$9, 100%, $F$9) + CHOOSE(CONTROL!$C$27, 0.0021, 0)</f>
        <v>22.020799999999998</v>
      </c>
      <c r="C49" s="10">
        <f>21.5864 * CHOOSE(CONTROL!$C$9, $D$9, 100%, $F$9) + CHOOSE(CONTROL!$C$27, 0.0021, 0)</f>
        <v>21.5885</v>
      </c>
      <c r="D49" s="10">
        <f>21.5864 * CHOOSE(CONTROL!$C$9, $D$9, 100%, $F$9) + CHOOSE(CONTROL!$C$27, 0.0021, 0)</f>
        <v>21.5885</v>
      </c>
      <c r="E49" s="10">
        <f>21.4498 * CHOOSE(CONTROL!$C$9, $D$9, 100%, $F$9) + CHOOSE(CONTROL!$C$27, 0.0021, 0)</f>
        <v>21.451899999999998</v>
      </c>
      <c r="F49" s="10">
        <f>21.4498 * CHOOSE(CONTROL!$C$9, $D$9, 100%, $F$9) + CHOOSE(CONTROL!$C$27, 0.0021, 0)</f>
        <v>21.451899999999998</v>
      </c>
      <c r="G49" s="10">
        <f>21.7211 * CHOOSE(CONTROL!$C$9, $D$9, 100%, $F$9) + CHOOSE(CONTROL!$C$27, 0.0021, 0)</f>
        <v>21.723199999999999</v>
      </c>
      <c r="H49" s="10">
        <f>21.5864 * CHOOSE(CONTROL!$C$9, $D$9, 100%, $F$9) + CHOOSE(CONTROL!$C$27, 0.0021, 0)</f>
        <v>21.5885</v>
      </c>
      <c r="I49" s="10">
        <f>21.5864 * CHOOSE(CONTROL!$C$9, $D$9, 100%, $F$9) + CHOOSE(CONTROL!$C$27, 0.0021, 0)</f>
        <v>21.5885</v>
      </c>
      <c r="J49" s="10">
        <f>21.5864 * CHOOSE(CONTROL!$C$9, $D$9, 100%, $F$9) + CHOOSE(CONTROL!$C$27, 0.0021, 0)</f>
        <v>21.5885</v>
      </c>
      <c r="K49" s="10">
        <f>21.5864 * CHOOSE(CONTROL!$C$9, $D$9, 100%, $F$9) + CHOOSE(CONTROL!$C$27, 0.0021, 0)</f>
        <v>21.5885</v>
      </c>
      <c r="L49" s="10"/>
    </row>
    <row r="50" spans="1:12" ht="15" x14ac:dyDescent="0.2">
      <c r="A50" s="16">
        <v>42430</v>
      </c>
      <c r="B50" s="10">
        <f>21.9178 * CHOOSE(CONTROL!$C$9, $D$9, 100%, $F$9) + CHOOSE(CONTROL!$C$27, 0.0021, 0)</f>
        <v>21.919899999999998</v>
      </c>
      <c r="C50" s="10">
        <f>21.4856 * CHOOSE(CONTROL!$C$9, $D$9, 100%, $F$9) + CHOOSE(CONTROL!$C$27, 0.0021, 0)</f>
        <v>21.4877</v>
      </c>
      <c r="D50" s="10">
        <f>21.4856 * CHOOSE(CONTROL!$C$9, $D$9, 100%, $F$9) + CHOOSE(CONTROL!$C$27, 0.0021, 0)</f>
        <v>21.4877</v>
      </c>
      <c r="E50" s="10">
        <f>21.3489 * CHOOSE(CONTROL!$C$9, $D$9, 100%, $F$9) + CHOOSE(CONTROL!$C$27, 0.0021, 0)</f>
        <v>21.350999999999999</v>
      </c>
      <c r="F50" s="10">
        <f>21.3489 * CHOOSE(CONTROL!$C$9, $D$9, 100%, $F$9) + CHOOSE(CONTROL!$C$27, 0.0021, 0)</f>
        <v>21.350999999999999</v>
      </c>
      <c r="G50" s="10">
        <f>21.6203 * CHOOSE(CONTROL!$C$9, $D$9, 100%, $F$9) + CHOOSE(CONTROL!$C$27, 0.0021, 0)</f>
        <v>21.622399999999999</v>
      </c>
      <c r="H50" s="10">
        <f>21.4856 * CHOOSE(CONTROL!$C$9, $D$9, 100%, $F$9) + CHOOSE(CONTROL!$C$27, 0.0021, 0)</f>
        <v>21.4877</v>
      </c>
      <c r="I50" s="10">
        <f>21.4856 * CHOOSE(CONTROL!$C$9, $D$9, 100%, $F$9) + CHOOSE(CONTROL!$C$27, 0.0021, 0)</f>
        <v>21.4877</v>
      </c>
      <c r="J50" s="10">
        <f>21.4856 * CHOOSE(CONTROL!$C$9, $D$9, 100%, $F$9) + CHOOSE(CONTROL!$C$27, 0.0021, 0)</f>
        <v>21.4877</v>
      </c>
      <c r="K50" s="10">
        <f>21.4856 * CHOOSE(CONTROL!$C$9, $D$9, 100%, $F$9) + CHOOSE(CONTROL!$C$27, 0.0021, 0)</f>
        <v>21.4877</v>
      </c>
      <c r="L50" s="10"/>
    </row>
    <row r="51" spans="1:12" ht="15" x14ac:dyDescent="0.2">
      <c r="A51" s="16">
        <v>42461</v>
      </c>
      <c r="B51" s="10">
        <f>21.7917 * CHOOSE(CONTROL!$C$9, $D$9, 100%, $F$9) + CHOOSE(CONTROL!$C$27, 0.0021, 0)</f>
        <v>21.793799999999997</v>
      </c>
      <c r="C51" s="10">
        <f>21.3595 * CHOOSE(CONTROL!$C$9, $D$9, 100%, $F$9) + CHOOSE(CONTROL!$C$27, 0.0021, 0)</f>
        <v>21.361599999999999</v>
      </c>
      <c r="D51" s="10">
        <f>21.3595 * CHOOSE(CONTROL!$C$9, $D$9, 100%, $F$9) + CHOOSE(CONTROL!$C$27, 0.0021, 0)</f>
        <v>21.361599999999999</v>
      </c>
      <c r="E51" s="10">
        <f>21.2228 * CHOOSE(CONTROL!$C$9, $D$9, 100%, $F$9) + CHOOSE(CONTROL!$C$27, 0.0021, 0)</f>
        <v>21.224899999999998</v>
      </c>
      <c r="F51" s="10">
        <f>21.2228 * CHOOSE(CONTROL!$C$9, $D$9, 100%, $F$9) + CHOOSE(CONTROL!$C$27, 0.0021, 0)</f>
        <v>21.224899999999998</v>
      </c>
      <c r="G51" s="10">
        <f>21.4942 * CHOOSE(CONTROL!$C$9, $D$9, 100%, $F$9) + CHOOSE(CONTROL!$C$27, 0.0021, 0)</f>
        <v>21.496299999999998</v>
      </c>
      <c r="H51" s="10">
        <f>21.3595 * CHOOSE(CONTROL!$C$9, $D$9, 100%, $F$9) + CHOOSE(CONTROL!$C$27, 0.0021, 0)</f>
        <v>21.361599999999999</v>
      </c>
      <c r="I51" s="10">
        <f>21.3595 * CHOOSE(CONTROL!$C$9, $D$9, 100%, $F$9) + CHOOSE(CONTROL!$C$27, 0.0021, 0)</f>
        <v>21.361599999999999</v>
      </c>
      <c r="J51" s="10">
        <f>21.3595 * CHOOSE(CONTROL!$C$9, $D$9, 100%, $F$9) + CHOOSE(CONTROL!$C$27, 0.0021, 0)</f>
        <v>21.361599999999999</v>
      </c>
      <c r="K51" s="10">
        <f>21.3595 * CHOOSE(CONTROL!$C$9, $D$9, 100%, $F$9) + CHOOSE(CONTROL!$C$27, 0.0021, 0)</f>
        <v>21.361599999999999</v>
      </c>
      <c r="L51" s="10"/>
    </row>
    <row r="52" spans="1:12" ht="15" x14ac:dyDescent="0.2">
      <c r="A52" s="16">
        <v>42491</v>
      </c>
      <c r="B52" s="10">
        <f>21.6801 * CHOOSE(CONTROL!$C$9, $D$9, 100%, $F$9) + CHOOSE(CONTROL!$C$27, 0.0021, 0)</f>
        <v>21.682199999999998</v>
      </c>
      <c r="C52" s="10">
        <f>21.2478 * CHOOSE(CONTROL!$C$9, $D$9, 100%, $F$9) + CHOOSE(CONTROL!$C$27, 0.0021, 0)</f>
        <v>21.2499</v>
      </c>
      <c r="D52" s="10">
        <f>21.2478 * CHOOSE(CONTROL!$C$9, $D$9, 100%, $F$9) + CHOOSE(CONTROL!$C$27, 0.0021, 0)</f>
        <v>21.2499</v>
      </c>
      <c r="E52" s="10">
        <f>21.1112 * CHOOSE(CONTROL!$C$9, $D$9, 100%, $F$9) + CHOOSE(CONTROL!$C$27, 0.0021, 0)</f>
        <v>21.113299999999999</v>
      </c>
      <c r="F52" s="10">
        <f>21.1112 * CHOOSE(CONTROL!$C$9, $D$9, 100%, $F$9) + CHOOSE(CONTROL!$C$27, 0.0021, 0)</f>
        <v>21.113299999999999</v>
      </c>
      <c r="G52" s="10">
        <f>21.3825 * CHOOSE(CONTROL!$C$9, $D$9, 100%, $F$9) + CHOOSE(CONTROL!$C$27, 0.0021, 0)</f>
        <v>21.384599999999999</v>
      </c>
      <c r="H52" s="10">
        <f>21.2478 * CHOOSE(CONTROL!$C$9, $D$9, 100%, $F$9) + CHOOSE(CONTROL!$C$27, 0.0021, 0)</f>
        <v>21.2499</v>
      </c>
      <c r="I52" s="10">
        <f>21.2478 * CHOOSE(CONTROL!$C$9, $D$9, 100%, $F$9) + CHOOSE(CONTROL!$C$27, 0.0021, 0)</f>
        <v>21.2499</v>
      </c>
      <c r="J52" s="10">
        <f>21.2478 * CHOOSE(CONTROL!$C$9, $D$9, 100%, $F$9) + CHOOSE(CONTROL!$C$27, 0.0021, 0)</f>
        <v>21.2499</v>
      </c>
      <c r="K52" s="10">
        <f>21.2478 * CHOOSE(CONTROL!$C$9, $D$9, 100%, $F$9) + CHOOSE(CONTROL!$C$27, 0.0021, 0)</f>
        <v>21.2499</v>
      </c>
      <c r="L52" s="10"/>
    </row>
    <row r="53" spans="1:12" ht="15" x14ac:dyDescent="0.2">
      <c r="A53" s="16">
        <v>42522</v>
      </c>
      <c r="B53" s="10">
        <f>21.5756 * CHOOSE(CONTROL!$C$9, $D$9, 100%, $F$9) + CHOOSE(CONTROL!$C$27, 0.0021, 0)</f>
        <v>21.5777</v>
      </c>
      <c r="C53" s="10">
        <f>21.1434 * CHOOSE(CONTROL!$C$9, $D$9, 100%, $F$9) + CHOOSE(CONTROL!$C$27, 0.0021, 0)</f>
        <v>21.145499999999998</v>
      </c>
      <c r="D53" s="10">
        <f>21.1434 * CHOOSE(CONTROL!$C$9, $D$9, 100%, $F$9) + CHOOSE(CONTROL!$C$27, 0.0021, 0)</f>
        <v>21.145499999999998</v>
      </c>
      <c r="E53" s="10">
        <f>21.0067 * CHOOSE(CONTROL!$C$9, $D$9, 100%, $F$9) + CHOOSE(CONTROL!$C$27, 0.0021, 0)</f>
        <v>21.008799999999997</v>
      </c>
      <c r="F53" s="10">
        <f>21.0067 * CHOOSE(CONTROL!$C$9, $D$9, 100%, $F$9) + CHOOSE(CONTROL!$C$27, 0.0021, 0)</f>
        <v>21.008799999999997</v>
      </c>
      <c r="G53" s="10">
        <f>21.2781 * CHOOSE(CONTROL!$C$9, $D$9, 100%, $F$9) + CHOOSE(CONTROL!$C$27, 0.0021, 0)</f>
        <v>21.280199999999997</v>
      </c>
      <c r="H53" s="10">
        <f>21.1434 * CHOOSE(CONTROL!$C$9, $D$9, 100%, $F$9) + CHOOSE(CONTROL!$C$27, 0.0021, 0)</f>
        <v>21.145499999999998</v>
      </c>
      <c r="I53" s="10">
        <f>21.1434 * CHOOSE(CONTROL!$C$9, $D$9, 100%, $F$9) + CHOOSE(CONTROL!$C$27, 0.0021, 0)</f>
        <v>21.145499999999998</v>
      </c>
      <c r="J53" s="10">
        <f>21.1434 * CHOOSE(CONTROL!$C$9, $D$9, 100%, $F$9) + CHOOSE(CONTROL!$C$27, 0.0021, 0)</f>
        <v>21.145499999999998</v>
      </c>
      <c r="K53" s="10">
        <f>21.1434 * CHOOSE(CONTROL!$C$9, $D$9, 100%, $F$9) + CHOOSE(CONTROL!$C$27, 0.0021, 0)</f>
        <v>21.145499999999998</v>
      </c>
      <c r="L53" s="10"/>
    </row>
    <row r="54" spans="1:12" ht="15" x14ac:dyDescent="0.2">
      <c r="A54" s="16">
        <v>42552</v>
      </c>
      <c r="B54" s="10">
        <f>21.5108 * CHOOSE(CONTROL!$C$9, $D$9, 100%, $F$9) + CHOOSE(CONTROL!$C$27, 0.0021, 0)</f>
        <v>21.512899999999998</v>
      </c>
      <c r="C54" s="10">
        <f>21.0785 * CHOOSE(CONTROL!$C$9, $D$9, 100%, $F$9) + CHOOSE(CONTROL!$C$27, 0.0021, 0)</f>
        <v>21.080599999999997</v>
      </c>
      <c r="D54" s="10">
        <f>21.0785 * CHOOSE(CONTROL!$C$9, $D$9, 100%, $F$9) + CHOOSE(CONTROL!$C$27, 0.0021, 0)</f>
        <v>21.080599999999997</v>
      </c>
      <c r="E54" s="10">
        <f>20.9419 * CHOOSE(CONTROL!$C$9, $D$9, 100%, $F$9) + CHOOSE(CONTROL!$C$27, 0.0021, 0)</f>
        <v>20.943999999999999</v>
      </c>
      <c r="F54" s="10">
        <f>20.9419 * CHOOSE(CONTROL!$C$9, $D$9, 100%, $F$9) + CHOOSE(CONTROL!$C$27, 0.0021, 0)</f>
        <v>20.943999999999999</v>
      </c>
      <c r="G54" s="10">
        <f>21.2132 * CHOOSE(CONTROL!$C$9, $D$9, 100%, $F$9) + CHOOSE(CONTROL!$C$27, 0.0021, 0)</f>
        <v>21.215299999999999</v>
      </c>
      <c r="H54" s="10">
        <f>21.0785 * CHOOSE(CONTROL!$C$9, $D$9, 100%, $F$9) + CHOOSE(CONTROL!$C$27, 0.0021, 0)</f>
        <v>21.080599999999997</v>
      </c>
      <c r="I54" s="10">
        <f>21.0785 * CHOOSE(CONTROL!$C$9, $D$9, 100%, $F$9) + CHOOSE(CONTROL!$C$27, 0.0021, 0)</f>
        <v>21.080599999999997</v>
      </c>
      <c r="J54" s="10">
        <f>21.0785 * CHOOSE(CONTROL!$C$9, $D$9, 100%, $F$9) + CHOOSE(CONTROL!$C$27, 0.0021, 0)</f>
        <v>21.080599999999997</v>
      </c>
      <c r="K54" s="10">
        <f>21.0785 * CHOOSE(CONTROL!$C$9, $D$9, 100%, $F$9) + CHOOSE(CONTROL!$C$27, 0.0021, 0)</f>
        <v>21.080599999999997</v>
      </c>
      <c r="L54" s="10"/>
    </row>
    <row r="55" spans="1:12" ht="15" x14ac:dyDescent="0.2">
      <c r="A55" s="16">
        <v>42583</v>
      </c>
      <c r="B55" s="10">
        <f>21.4459 * CHOOSE(CONTROL!$C$9, $D$9, 100%, $F$9) + CHOOSE(CONTROL!$C$27, 0.0021, 0)</f>
        <v>21.448</v>
      </c>
      <c r="C55" s="10">
        <f>21.0137 * CHOOSE(CONTROL!$C$9, $D$9, 100%, $F$9) + CHOOSE(CONTROL!$C$27, 0.0021, 0)</f>
        <v>21.015799999999999</v>
      </c>
      <c r="D55" s="10">
        <f>21.0137 * CHOOSE(CONTROL!$C$9, $D$9, 100%, $F$9) + CHOOSE(CONTROL!$C$27, 0.0021, 0)</f>
        <v>21.015799999999999</v>
      </c>
      <c r="E55" s="10">
        <f>20.877 * CHOOSE(CONTROL!$C$9, $D$9, 100%, $F$9) + CHOOSE(CONTROL!$C$27, 0.0021, 0)</f>
        <v>20.879099999999998</v>
      </c>
      <c r="F55" s="10">
        <f>20.877 * CHOOSE(CONTROL!$C$9, $D$9, 100%, $F$9) + CHOOSE(CONTROL!$C$27, 0.0021, 0)</f>
        <v>20.879099999999998</v>
      </c>
      <c r="G55" s="10">
        <f>21.1484 * CHOOSE(CONTROL!$C$9, $D$9, 100%, $F$9) + CHOOSE(CONTROL!$C$27, 0.0021, 0)</f>
        <v>21.150499999999997</v>
      </c>
      <c r="H55" s="10">
        <f>21.0137 * CHOOSE(CONTROL!$C$9, $D$9, 100%, $F$9) + CHOOSE(CONTROL!$C$27, 0.0021, 0)</f>
        <v>21.015799999999999</v>
      </c>
      <c r="I55" s="10">
        <f>21.0137 * CHOOSE(CONTROL!$C$9, $D$9, 100%, $F$9) + CHOOSE(CONTROL!$C$27, 0.0021, 0)</f>
        <v>21.015799999999999</v>
      </c>
      <c r="J55" s="10">
        <f>21.0137 * CHOOSE(CONTROL!$C$9, $D$9, 100%, $F$9) + CHOOSE(CONTROL!$C$27, 0.0021, 0)</f>
        <v>21.015799999999999</v>
      </c>
      <c r="K55" s="10">
        <f>21.0137 * CHOOSE(CONTROL!$C$9, $D$9, 100%, $F$9) + CHOOSE(CONTROL!$C$27, 0.0021, 0)</f>
        <v>21.015799999999999</v>
      </c>
      <c r="L55" s="10"/>
    </row>
    <row r="56" spans="1:12" ht="15" x14ac:dyDescent="0.2">
      <c r="A56" s="16">
        <v>42614</v>
      </c>
      <c r="B56" s="10">
        <f>21.3955 * CHOOSE(CONTROL!$C$9, $D$9, 100%, $F$9) + CHOOSE(CONTROL!$C$27, 0.0021, 0)</f>
        <v>21.397599999999997</v>
      </c>
      <c r="C56" s="10">
        <f>20.9633 * CHOOSE(CONTROL!$C$9, $D$9, 100%, $F$9) + CHOOSE(CONTROL!$C$27, 0.0021, 0)</f>
        <v>20.965399999999999</v>
      </c>
      <c r="D56" s="10">
        <f>20.9633 * CHOOSE(CONTROL!$C$9, $D$9, 100%, $F$9) + CHOOSE(CONTROL!$C$27, 0.0021, 0)</f>
        <v>20.965399999999999</v>
      </c>
      <c r="E56" s="10">
        <f>20.8266 * CHOOSE(CONTROL!$C$9, $D$9, 100%, $F$9) + CHOOSE(CONTROL!$C$27, 0.0021, 0)</f>
        <v>20.828699999999998</v>
      </c>
      <c r="F56" s="10">
        <f>20.8266 * CHOOSE(CONTROL!$C$9, $D$9, 100%, $F$9) + CHOOSE(CONTROL!$C$27, 0.0021, 0)</f>
        <v>20.828699999999998</v>
      </c>
      <c r="G56" s="10">
        <f>21.098 * CHOOSE(CONTROL!$C$9, $D$9, 100%, $F$9) + CHOOSE(CONTROL!$C$27, 0.0021, 0)</f>
        <v>21.100099999999998</v>
      </c>
      <c r="H56" s="10">
        <f>20.9633 * CHOOSE(CONTROL!$C$9, $D$9, 100%, $F$9) + CHOOSE(CONTROL!$C$27, 0.0021, 0)</f>
        <v>20.965399999999999</v>
      </c>
      <c r="I56" s="10">
        <f>20.9633 * CHOOSE(CONTROL!$C$9, $D$9, 100%, $F$9) + CHOOSE(CONTROL!$C$27, 0.0021, 0)</f>
        <v>20.965399999999999</v>
      </c>
      <c r="J56" s="10">
        <f>20.9633 * CHOOSE(CONTROL!$C$9, $D$9, 100%, $F$9) + CHOOSE(CONTROL!$C$27, 0.0021, 0)</f>
        <v>20.965399999999999</v>
      </c>
      <c r="K56" s="10">
        <f>20.9633 * CHOOSE(CONTROL!$C$9, $D$9, 100%, $F$9) + CHOOSE(CONTROL!$C$27, 0.0021, 0)</f>
        <v>20.965399999999999</v>
      </c>
      <c r="L56" s="10"/>
    </row>
    <row r="57" spans="1:12" ht="15" x14ac:dyDescent="0.2">
      <c r="A57" s="16">
        <v>42644</v>
      </c>
      <c r="B57" s="10">
        <f>21.3451 * CHOOSE(CONTROL!$C$9, $D$9, 100%, $F$9) + CHOOSE(CONTROL!$C$27, 0.0021, 0)</f>
        <v>21.347199999999997</v>
      </c>
      <c r="C57" s="10">
        <f>20.9128 * CHOOSE(CONTROL!$C$9, $D$9, 100%, $F$9) + CHOOSE(CONTROL!$C$27, 0.0021, 0)</f>
        <v>20.914899999999999</v>
      </c>
      <c r="D57" s="10">
        <f>20.9128 * CHOOSE(CONTROL!$C$9, $D$9, 100%, $F$9) + CHOOSE(CONTROL!$C$27, 0.0021, 0)</f>
        <v>20.914899999999999</v>
      </c>
      <c r="E57" s="10">
        <f>20.7762 * CHOOSE(CONTROL!$C$9, $D$9, 100%, $F$9) + CHOOSE(CONTROL!$C$27, 0.0021, 0)</f>
        <v>20.778299999999998</v>
      </c>
      <c r="F57" s="10">
        <f>20.7762 * CHOOSE(CONTROL!$C$9, $D$9, 100%, $F$9) + CHOOSE(CONTROL!$C$27, 0.0021, 0)</f>
        <v>20.778299999999998</v>
      </c>
      <c r="G57" s="10">
        <f>21.0475 * CHOOSE(CONTROL!$C$9, $D$9, 100%, $F$9) + CHOOSE(CONTROL!$C$27, 0.0021, 0)</f>
        <v>21.049599999999998</v>
      </c>
      <c r="H57" s="10">
        <f>20.9128 * CHOOSE(CONTROL!$C$9, $D$9, 100%, $F$9) + CHOOSE(CONTROL!$C$27, 0.0021, 0)</f>
        <v>20.914899999999999</v>
      </c>
      <c r="I57" s="10">
        <f>20.9128 * CHOOSE(CONTROL!$C$9, $D$9, 100%, $F$9) + CHOOSE(CONTROL!$C$27, 0.0021, 0)</f>
        <v>20.914899999999999</v>
      </c>
      <c r="J57" s="10">
        <f>20.9128 * CHOOSE(CONTROL!$C$9, $D$9, 100%, $F$9) + CHOOSE(CONTROL!$C$27, 0.0021, 0)</f>
        <v>20.914899999999999</v>
      </c>
      <c r="K57" s="10">
        <f>20.9128 * CHOOSE(CONTROL!$C$9, $D$9, 100%, $F$9) + CHOOSE(CONTROL!$C$27, 0.0021, 0)</f>
        <v>20.914899999999999</v>
      </c>
      <c r="L57" s="10"/>
    </row>
    <row r="58" spans="1:12" ht="15" x14ac:dyDescent="0.2">
      <c r="A58" s="16">
        <v>42675</v>
      </c>
      <c r="B58" s="10">
        <f>21.3055 * CHOOSE(CONTROL!$C$9, $D$9, 100%, $F$9) + CHOOSE(CONTROL!$C$27, 0.0021, 0)</f>
        <v>21.307599999999997</v>
      </c>
      <c r="C58" s="10">
        <f>20.8732 * CHOOSE(CONTROL!$C$9, $D$9, 100%, $F$9) + CHOOSE(CONTROL!$C$27, 0.0021, 0)</f>
        <v>20.875299999999999</v>
      </c>
      <c r="D58" s="10">
        <f>20.8732 * CHOOSE(CONTROL!$C$9, $D$9, 100%, $F$9) + CHOOSE(CONTROL!$C$27, 0.0021, 0)</f>
        <v>20.875299999999999</v>
      </c>
      <c r="E58" s="10">
        <f>20.7365 * CHOOSE(CONTROL!$C$9, $D$9, 100%, $F$9) + CHOOSE(CONTROL!$C$27, 0.0021, 0)</f>
        <v>20.738599999999998</v>
      </c>
      <c r="F58" s="10">
        <f>20.7365 * CHOOSE(CONTROL!$C$9, $D$9, 100%, $F$9) + CHOOSE(CONTROL!$C$27, 0.0021, 0)</f>
        <v>20.738599999999998</v>
      </c>
      <c r="G58" s="10">
        <f>21.0079 * CHOOSE(CONTROL!$C$9, $D$9, 100%, $F$9) + CHOOSE(CONTROL!$C$27, 0.0021, 0)</f>
        <v>21.009999999999998</v>
      </c>
      <c r="H58" s="10">
        <f>20.8732 * CHOOSE(CONTROL!$C$9, $D$9, 100%, $F$9) + CHOOSE(CONTROL!$C$27, 0.0021, 0)</f>
        <v>20.875299999999999</v>
      </c>
      <c r="I58" s="10">
        <f>20.8732 * CHOOSE(CONTROL!$C$9, $D$9, 100%, $F$9) + CHOOSE(CONTROL!$C$27, 0.0021, 0)</f>
        <v>20.875299999999999</v>
      </c>
      <c r="J58" s="10">
        <f>20.8732 * CHOOSE(CONTROL!$C$9, $D$9, 100%, $F$9) + CHOOSE(CONTROL!$C$27, 0.0021, 0)</f>
        <v>20.875299999999999</v>
      </c>
      <c r="K58" s="10">
        <f>20.8732 * CHOOSE(CONTROL!$C$9, $D$9, 100%, $F$9) + CHOOSE(CONTROL!$C$27, 0.0021, 0)</f>
        <v>20.875299999999999</v>
      </c>
      <c r="L58" s="10"/>
    </row>
    <row r="59" spans="1:12" ht="15" x14ac:dyDescent="0.2">
      <c r="A59" s="16">
        <v>42705</v>
      </c>
      <c r="B59" s="10">
        <f>21.2694 * CHOOSE(CONTROL!$C$9, $D$9, 100%, $F$9) + CHOOSE(CONTROL!$C$27, 0.0021, 0)</f>
        <v>21.2715</v>
      </c>
      <c r="C59" s="10">
        <f>20.8372 * CHOOSE(CONTROL!$C$9, $D$9, 100%, $F$9) + CHOOSE(CONTROL!$C$27, 0.0021, 0)</f>
        <v>20.839299999999998</v>
      </c>
      <c r="D59" s="10">
        <f>20.8372 * CHOOSE(CONTROL!$C$9, $D$9, 100%, $F$9) + CHOOSE(CONTROL!$C$27, 0.0021, 0)</f>
        <v>20.839299999999998</v>
      </c>
      <c r="E59" s="10">
        <f>20.7005 * CHOOSE(CONTROL!$C$9, $D$9, 100%, $F$9) + CHOOSE(CONTROL!$C$27, 0.0021, 0)</f>
        <v>20.7026</v>
      </c>
      <c r="F59" s="10">
        <f>20.7005 * CHOOSE(CONTROL!$C$9, $D$9, 100%, $F$9) + CHOOSE(CONTROL!$C$27, 0.0021, 0)</f>
        <v>20.7026</v>
      </c>
      <c r="G59" s="10">
        <f>20.9719 * CHOOSE(CONTROL!$C$9, $D$9, 100%, $F$9) + CHOOSE(CONTROL!$C$27, 0.0021, 0)</f>
        <v>20.974</v>
      </c>
      <c r="H59" s="10">
        <f>20.8372 * CHOOSE(CONTROL!$C$9, $D$9, 100%, $F$9) + CHOOSE(CONTROL!$C$27, 0.0021, 0)</f>
        <v>20.839299999999998</v>
      </c>
      <c r="I59" s="10">
        <f>20.8372 * CHOOSE(CONTROL!$C$9, $D$9, 100%, $F$9) + CHOOSE(CONTROL!$C$27, 0.0021, 0)</f>
        <v>20.839299999999998</v>
      </c>
      <c r="J59" s="10">
        <f>20.8372 * CHOOSE(CONTROL!$C$9, $D$9, 100%, $F$9) + CHOOSE(CONTROL!$C$27, 0.0021, 0)</f>
        <v>20.839299999999998</v>
      </c>
      <c r="K59" s="10">
        <f>20.8372 * CHOOSE(CONTROL!$C$9, $D$9, 100%, $F$9) + CHOOSE(CONTROL!$C$27, 0.0021, 0)</f>
        <v>20.839299999999998</v>
      </c>
      <c r="L59" s="10"/>
    </row>
    <row r="60" spans="1:12" ht="15" x14ac:dyDescent="0.2">
      <c r="A60" s="16">
        <v>42736</v>
      </c>
      <c r="B60" s="10">
        <f>21.2586 * CHOOSE(CONTROL!$C$9, $D$9, 100%, $F$9) + CHOOSE(CONTROL!$C$27, 0.0021, 0)</f>
        <v>21.2607</v>
      </c>
      <c r="C60" s="10">
        <f>20.8264 * CHOOSE(CONTROL!$C$9, $D$9, 100%, $F$9) + CHOOSE(CONTROL!$C$27, 0.0021, 0)</f>
        <v>20.828499999999998</v>
      </c>
      <c r="D60" s="10">
        <f>20.8264 * CHOOSE(CONTROL!$C$9, $D$9, 100%, $F$9) + CHOOSE(CONTROL!$C$27, 0.0021, 0)</f>
        <v>20.828499999999998</v>
      </c>
      <c r="E60" s="10">
        <f>20.6897 * CHOOSE(CONTROL!$C$9, $D$9, 100%, $F$9) + CHOOSE(CONTROL!$C$27, 0.0021, 0)</f>
        <v>20.691799999999997</v>
      </c>
      <c r="F60" s="10">
        <f>20.6897 * CHOOSE(CONTROL!$C$9, $D$9, 100%, $F$9) + CHOOSE(CONTROL!$C$27, 0.0021, 0)</f>
        <v>20.691799999999997</v>
      </c>
      <c r="G60" s="10">
        <f>20.9611 * CHOOSE(CONTROL!$C$9, $D$9, 100%, $F$9) + CHOOSE(CONTROL!$C$27, 0.0021, 0)</f>
        <v>20.963199999999997</v>
      </c>
      <c r="H60" s="10">
        <f>20.8264 * CHOOSE(CONTROL!$C$9, $D$9, 100%, $F$9) + CHOOSE(CONTROL!$C$27, 0.0021, 0)</f>
        <v>20.828499999999998</v>
      </c>
      <c r="I60" s="10">
        <f>20.8264 * CHOOSE(CONTROL!$C$9, $D$9, 100%, $F$9) + CHOOSE(CONTROL!$C$27, 0.0021, 0)</f>
        <v>20.828499999999998</v>
      </c>
      <c r="J60" s="10">
        <f>20.8264 * CHOOSE(CONTROL!$C$9, $D$9, 100%, $F$9) + CHOOSE(CONTROL!$C$27, 0.0021, 0)</f>
        <v>20.828499999999998</v>
      </c>
      <c r="K60" s="10">
        <f>20.8264 * CHOOSE(CONTROL!$C$9, $D$9, 100%, $F$9) + CHOOSE(CONTROL!$C$27, 0.0021, 0)</f>
        <v>20.828499999999998</v>
      </c>
      <c r="L60" s="10"/>
    </row>
    <row r="61" spans="1:12" ht="15" x14ac:dyDescent="0.2">
      <c r="A61" s="16">
        <v>42767</v>
      </c>
      <c r="B61" s="10">
        <f>21.165 * CHOOSE(CONTROL!$C$9, $D$9, 100%, $F$9) + CHOOSE(CONTROL!$C$27, 0.0021, 0)</f>
        <v>21.167099999999998</v>
      </c>
      <c r="C61" s="10">
        <f>20.7327 * CHOOSE(CONTROL!$C$9, $D$9, 100%, $F$9) + CHOOSE(CONTROL!$C$27, 0.0021, 0)</f>
        <v>20.7348</v>
      </c>
      <c r="D61" s="10">
        <f>20.7327 * CHOOSE(CONTROL!$C$9, $D$9, 100%, $F$9) + CHOOSE(CONTROL!$C$27, 0.0021, 0)</f>
        <v>20.7348</v>
      </c>
      <c r="E61" s="10">
        <f>20.5961 * CHOOSE(CONTROL!$C$9, $D$9, 100%, $F$9) + CHOOSE(CONTROL!$C$27, 0.0021, 0)</f>
        <v>20.598199999999999</v>
      </c>
      <c r="F61" s="10">
        <f>20.5961 * CHOOSE(CONTROL!$C$9, $D$9, 100%, $F$9) + CHOOSE(CONTROL!$C$27, 0.0021, 0)</f>
        <v>20.598199999999999</v>
      </c>
      <c r="G61" s="10">
        <f>20.8674 * CHOOSE(CONTROL!$C$9, $D$9, 100%, $F$9) + CHOOSE(CONTROL!$C$27, 0.0021, 0)</f>
        <v>20.869499999999999</v>
      </c>
      <c r="H61" s="10">
        <f>20.7327 * CHOOSE(CONTROL!$C$9, $D$9, 100%, $F$9) + CHOOSE(CONTROL!$C$27, 0.0021, 0)</f>
        <v>20.7348</v>
      </c>
      <c r="I61" s="10">
        <f>20.7327 * CHOOSE(CONTROL!$C$9, $D$9, 100%, $F$9) + CHOOSE(CONTROL!$C$27, 0.0021, 0)</f>
        <v>20.7348</v>
      </c>
      <c r="J61" s="10">
        <f>20.7327 * CHOOSE(CONTROL!$C$9, $D$9, 100%, $F$9) + CHOOSE(CONTROL!$C$27, 0.0021, 0)</f>
        <v>20.7348</v>
      </c>
      <c r="K61" s="10">
        <f>20.7327 * CHOOSE(CONTROL!$C$9, $D$9, 100%, $F$9) + CHOOSE(CONTROL!$C$27, 0.0021, 0)</f>
        <v>20.7348</v>
      </c>
      <c r="L61" s="10"/>
    </row>
    <row r="62" spans="1:12" ht="15" x14ac:dyDescent="0.2">
      <c r="A62" s="16">
        <v>42795</v>
      </c>
      <c r="B62" s="10">
        <f>21.0569 * CHOOSE(CONTROL!$C$9, $D$9, 100%, $F$9) + CHOOSE(CONTROL!$C$27, 0.0021, 0)</f>
        <v>21.058999999999997</v>
      </c>
      <c r="C62" s="10">
        <f>20.6247 * CHOOSE(CONTROL!$C$9, $D$9, 100%, $F$9) + CHOOSE(CONTROL!$C$27, 0.0021, 0)</f>
        <v>20.626799999999999</v>
      </c>
      <c r="D62" s="10">
        <f>20.6247 * CHOOSE(CONTROL!$C$9, $D$9, 100%, $F$9) + CHOOSE(CONTROL!$C$27, 0.0021, 0)</f>
        <v>20.626799999999999</v>
      </c>
      <c r="E62" s="10">
        <f>20.488 * CHOOSE(CONTROL!$C$9, $D$9, 100%, $F$9) + CHOOSE(CONTROL!$C$27, 0.0021, 0)</f>
        <v>20.490099999999998</v>
      </c>
      <c r="F62" s="10">
        <f>20.488 * CHOOSE(CONTROL!$C$9, $D$9, 100%, $F$9) + CHOOSE(CONTROL!$C$27, 0.0021, 0)</f>
        <v>20.490099999999998</v>
      </c>
      <c r="G62" s="10">
        <f>20.7594 * CHOOSE(CONTROL!$C$9, $D$9, 100%, $F$9) + CHOOSE(CONTROL!$C$27, 0.0021, 0)</f>
        <v>20.761499999999998</v>
      </c>
      <c r="H62" s="10">
        <f>20.6247 * CHOOSE(CONTROL!$C$9, $D$9, 100%, $F$9) + CHOOSE(CONTROL!$C$27, 0.0021, 0)</f>
        <v>20.626799999999999</v>
      </c>
      <c r="I62" s="10">
        <f>20.6247 * CHOOSE(CONTROL!$C$9, $D$9, 100%, $F$9) + CHOOSE(CONTROL!$C$27, 0.0021, 0)</f>
        <v>20.626799999999999</v>
      </c>
      <c r="J62" s="10">
        <f>20.6247 * CHOOSE(CONTROL!$C$9, $D$9, 100%, $F$9) + CHOOSE(CONTROL!$C$27, 0.0021, 0)</f>
        <v>20.626799999999999</v>
      </c>
      <c r="K62" s="10">
        <f>20.6247 * CHOOSE(CONTROL!$C$9, $D$9, 100%, $F$9) + CHOOSE(CONTROL!$C$27, 0.0021, 0)</f>
        <v>20.626799999999999</v>
      </c>
      <c r="L62" s="10"/>
    </row>
    <row r="63" spans="1:12" ht="15" x14ac:dyDescent="0.2">
      <c r="A63" s="16">
        <v>42826</v>
      </c>
      <c r="B63" s="10">
        <f>20.9092 * CHOOSE(CONTROL!$C$9, $D$9, 100%, $F$9) + CHOOSE(CONTROL!$C$27, 0.0021, 0)</f>
        <v>20.911299999999997</v>
      </c>
      <c r="C63" s="10">
        <f>20.477 * CHOOSE(CONTROL!$C$9, $D$9, 100%, $F$9) + CHOOSE(CONTROL!$C$27, 0.0021, 0)</f>
        <v>20.479099999999999</v>
      </c>
      <c r="D63" s="10">
        <f>20.477 * CHOOSE(CONTROL!$C$9, $D$9, 100%, $F$9) + CHOOSE(CONTROL!$C$27, 0.0021, 0)</f>
        <v>20.479099999999999</v>
      </c>
      <c r="E63" s="10">
        <f>20.3403 * CHOOSE(CONTROL!$C$9, $D$9, 100%, $F$9) + CHOOSE(CONTROL!$C$27, 0.0021, 0)</f>
        <v>20.342399999999998</v>
      </c>
      <c r="F63" s="10">
        <f>20.3403 * CHOOSE(CONTROL!$C$9, $D$9, 100%, $F$9) + CHOOSE(CONTROL!$C$27, 0.0021, 0)</f>
        <v>20.342399999999998</v>
      </c>
      <c r="G63" s="10">
        <f>20.6117 * CHOOSE(CONTROL!$C$9, $D$9, 100%, $F$9) + CHOOSE(CONTROL!$C$27, 0.0021, 0)</f>
        <v>20.613799999999998</v>
      </c>
      <c r="H63" s="10">
        <f>20.477 * CHOOSE(CONTROL!$C$9, $D$9, 100%, $F$9) + CHOOSE(CONTROL!$C$27, 0.0021, 0)</f>
        <v>20.479099999999999</v>
      </c>
      <c r="I63" s="10">
        <f>20.477 * CHOOSE(CONTROL!$C$9, $D$9, 100%, $F$9) + CHOOSE(CONTROL!$C$27, 0.0021, 0)</f>
        <v>20.479099999999999</v>
      </c>
      <c r="J63" s="10">
        <f>20.477 * CHOOSE(CONTROL!$C$9, $D$9, 100%, $F$9) + CHOOSE(CONTROL!$C$27, 0.0021, 0)</f>
        <v>20.479099999999999</v>
      </c>
      <c r="K63" s="10">
        <f>20.477 * CHOOSE(CONTROL!$C$9, $D$9, 100%, $F$9) + CHOOSE(CONTROL!$C$27, 0.0021, 0)</f>
        <v>20.479099999999999</v>
      </c>
      <c r="L63" s="10"/>
    </row>
    <row r="64" spans="1:12" ht="15" x14ac:dyDescent="0.2">
      <c r="A64" s="16">
        <v>42856</v>
      </c>
      <c r="B64" s="10">
        <f>20.8012 * CHOOSE(CONTROL!$C$9, $D$9, 100%, $F$9) + CHOOSE(CONTROL!$C$27, 0.0021, 0)</f>
        <v>20.8033</v>
      </c>
      <c r="C64" s="10">
        <f>20.3689 * CHOOSE(CONTROL!$C$9, $D$9, 100%, $F$9) + CHOOSE(CONTROL!$C$27, 0.0021, 0)</f>
        <v>20.370999999999999</v>
      </c>
      <c r="D64" s="10">
        <f>20.3689 * CHOOSE(CONTROL!$C$9, $D$9, 100%, $F$9) + CHOOSE(CONTROL!$C$27, 0.0021, 0)</f>
        <v>20.370999999999999</v>
      </c>
      <c r="E64" s="10">
        <f>20.2323 * CHOOSE(CONTROL!$C$9, $D$9, 100%, $F$9) + CHOOSE(CONTROL!$C$27, 0.0021, 0)</f>
        <v>20.234399999999997</v>
      </c>
      <c r="F64" s="10">
        <f>20.2323 * CHOOSE(CONTROL!$C$9, $D$9, 100%, $F$9) + CHOOSE(CONTROL!$C$27, 0.0021, 0)</f>
        <v>20.234399999999997</v>
      </c>
      <c r="G64" s="10">
        <f>20.5036 * CHOOSE(CONTROL!$C$9, $D$9, 100%, $F$9) + CHOOSE(CONTROL!$C$27, 0.0021, 0)</f>
        <v>20.505699999999997</v>
      </c>
      <c r="H64" s="10">
        <f>20.3689 * CHOOSE(CONTROL!$C$9, $D$9, 100%, $F$9) + CHOOSE(CONTROL!$C$27, 0.0021, 0)</f>
        <v>20.370999999999999</v>
      </c>
      <c r="I64" s="10">
        <f>20.3689 * CHOOSE(CONTROL!$C$9, $D$9, 100%, $F$9) + CHOOSE(CONTROL!$C$27, 0.0021, 0)</f>
        <v>20.370999999999999</v>
      </c>
      <c r="J64" s="10">
        <f>20.3689 * CHOOSE(CONTROL!$C$9, $D$9, 100%, $F$9) + CHOOSE(CONTROL!$C$27, 0.0021, 0)</f>
        <v>20.370999999999999</v>
      </c>
      <c r="K64" s="10">
        <f>20.3689 * CHOOSE(CONTROL!$C$9, $D$9, 100%, $F$9) + CHOOSE(CONTROL!$C$27, 0.0021, 0)</f>
        <v>20.370999999999999</v>
      </c>
      <c r="L64" s="10"/>
    </row>
    <row r="65" spans="1:12" ht="15" x14ac:dyDescent="0.2">
      <c r="A65" s="16">
        <v>42887</v>
      </c>
      <c r="B65" s="10">
        <f>20.7111 * CHOOSE(CONTROL!$C$9, $D$9, 100%, $F$9) + CHOOSE(CONTROL!$C$27, 0.0021, 0)</f>
        <v>20.713199999999997</v>
      </c>
      <c r="C65" s="10">
        <f>20.2789 * CHOOSE(CONTROL!$C$9, $D$9, 100%, $F$9) + CHOOSE(CONTROL!$C$27, 0.0021, 0)</f>
        <v>20.280999999999999</v>
      </c>
      <c r="D65" s="10">
        <f>20.2789 * CHOOSE(CONTROL!$C$9, $D$9, 100%, $F$9) + CHOOSE(CONTROL!$C$27, 0.0021, 0)</f>
        <v>20.280999999999999</v>
      </c>
      <c r="E65" s="10">
        <f>20.1422 * CHOOSE(CONTROL!$C$9, $D$9, 100%, $F$9) + CHOOSE(CONTROL!$C$27, 0.0021, 0)</f>
        <v>20.144299999999998</v>
      </c>
      <c r="F65" s="10">
        <f>20.1422 * CHOOSE(CONTROL!$C$9, $D$9, 100%, $F$9) + CHOOSE(CONTROL!$C$27, 0.0021, 0)</f>
        <v>20.144299999999998</v>
      </c>
      <c r="G65" s="10">
        <f>20.4136 * CHOOSE(CONTROL!$C$9, $D$9, 100%, $F$9) + CHOOSE(CONTROL!$C$27, 0.0021, 0)</f>
        <v>20.415699999999998</v>
      </c>
      <c r="H65" s="10">
        <f>20.2789 * CHOOSE(CONTROL!$C$9, $D$9, 100%, $F$9) + CHOOSE(CONTROL!$C$27, 0.0021, 0)</f>
        <v>20.280999999999999</v>
      </c>
      <c r="I65" s="10">
        <f>20.2789 * CHOOSE(CONTROL!$C$9, $D$9, 100%, $F$9) + CHOOSE(CONTROL!$C$27, 0.0021, 0)</f>
        <v>20.280999999999999</v>
      </c>
      <c r="J65" s="10">
        <f>20.2789 * CHOOSE(CONTROL!$C$9, $D$9, 100%, $F$9) + CHOOSE(CONTROL!$C$27, 0.0021, 0)</f>
        <v>20.280999999999999</v>
      </c>
      <c r="K65" s="10">
        <f>20.2789 * CHOOSE(CONTROL!$C$9, $D$9, 100%, $F$9) + CHOOSE(CONTROL!$C$27, 0.0021, 0)</f>
        <v>20.280999999999999</v>
      </c>
      <c r="L65" s="10"/>
    </row>
    <row r="66" spans="1:12" ht="15" x14ac:dyDescent="0.2">
      <c r="A66" s="16">
        <v>42917</v>
      </c>
      <c r="B66" s="10">
        <f>20.6427 * CHOOSE(CONTROL!$C$9, $D$9, 100%, $F$9) + CHOOSE(CONTROL!$C$27, 0.0021, 0)</f>
        <v>20.6448</v>
      </c>
      <c r="C66" s="10">
        <f>20.2104 * CHOOSE(CONTROL!$C$9, $D$9, 100%, $F$9) + CHOOSE(CONTROL!$C$27, 0.0021, 0)</f>
        <v>20.212499999999999</v>
      </c>
      <c r="D66" s="10">
        <f>20.2104 * CHOOSE(CONTROL!$C$9, $D$9, 100%, $F$9) + CHOOSE(CONTROL!$C$27, 0.0021, 0)</f>
        <v>20.212499999999999</v>
      </c>
      <c r="E66" s="10">
        <f>20.0738 * CHOOSE(CONTROL!$C$9, $D$9, 100%, $F$9) + CHOOSE(CONTROL!$C$27, 0.0021, 0)</f>
        <v>20.075899999999997</v>
      </c>
      <c r="F66" s="10">
        <f>20.0738 * CHOOSE(CONTROL!$C$9, $D$9, 100%, $F$9) + CHOOSE(CONTROL!$C$27, 0.0021, 0)</f>
        <v>20.075899999999997</v>
      </c>
      <c r="G66" s="10">
        <f>20.3451 * CHOOSE(CONTROL!$C$9, $D$9, 100%, $F$9) + CHOOSE(CONTROL!$C$27, 0.0021, 0)</f>
        <v>20.347199999999997</v>
      </c>
      <c r="H66" s="10">
        <f>20.2104 * CHOOSE(CONTROL!$C$9, $D$9, 100%, $F$9) + CHOOSE(CONTROL!$C$27, 0.0021, 0)</f>
        <v>20.212499999999999</v>
      </c>
      <c r="I66" s="10">
        <f>20.2104 * CHOOSE(CONTROL!$C$9, $D$9, 100%, $F$9) + CHOOSE(CONTROL!$C$27, 0.0021, 0)</f>
        <v>20.212499999999999</v>
      </c>
      <c r="J66" s="10">
        <f>20.2104 * CHOOSE(CONTROL!$C$9, $D$9, 100%, $F$9) + CHOOSE(CONTROL!$C$27, 0.0021, 0)</f>
        <v>20.212499999999999</v>
      </c>
      <c r="K66" s="10">
        <f>20.2104 * CHOOSE(CONTROL!$C$9, $D$9, 100%, $F$9) + CHOOSE(CONTROL!$C$27, 0.0021, 0)</f>
        <v>20.212499999999999</v>
      </c>
      <c r="L66" s="10"/>
    </row>
    <row r="67" spans="1:12" ht="15" x14ac:dyDescent="0.2">
      <c r="A67" s="16">
        <v>42948</v>
      </c>
      <c r="B67" s="10">
        <f>20.5742 * CHOOSE(CONTROL!$C$9, $D$9, 100%, $F$9) + CHOOSE(CONTROL!$C$27, 0.0021, 0)</f>
        <v>20.5763</v>
      </c>
      <c r="C67" s="10">
        <f>20.142 * CHOOSE(CONTROL!$C$9, $D$9, 100%, $F$9) + CHOOSE(CONTROL!$C$27, 0.0021, 0)</f>
        <v>20.144099999999998</v>
      </c>
      <c r="D67" s="10">
        <f>20.142 * CHOOSE(CONTROL!$C$9, $D$9, 100%, $F$9) + CHOOSE(CONTROL!$C$27, 0.0021, 0)</f>
        <v>20.144099999999998</v>
      </c>
      <c r="E67" s="10">
        <f>20.0053 * CHOOSE(CONTROL!$C$9, $D$9, 100%, $F$9) + CHOOSE(CONTROL!$C$27, 0.0021, 0)</f>
        <v>20.007399999999997</v>
      </c>
      <c r="F67" s="10">
        <f>20.0053 * CHOOSE(CONTROL!$C$9, $D$9, 100%, $F$9) + CHOOSE(CONTROL!$C$27, 0.0021, 0)</f>
        <v>20.007399999999997</v>
      </c>
      <c r="G67" s="10">
        <f>20.2767 * CHOOSE(CONTROL!$C$9, $D$9, 100%, $F$9) + CHOOSE(CONTROL!$C$27, 0.0021, 0)</f>
        <v>20.2788</v>
      </c>
      <c r="H67" s="10">
        <f>20.142 * CHOOSE(CONTROL!$C$9, $D$9, 100%, $F$9) + CHOOSE(CONTROL!$C$27, 0.0021, 0)</f>
        <v>20.144099999999998</v>
      </c>
      <c r="I67" s="10">
        <f>20.142 * CHOOSE(CONTROL!$C$9, $D$9, 100%, $F$9) + CHOOSE(CONTROL!$C$27, 0.0021, 0)</f>
        <v>20.144099999999998</v>
      </c>
      <c r="J67" s="10">
        <f>20.142 * CHOOSE(CONTROL!$C$9, $D$9, 100%, $F$9) + CHOOSE(CONTROL!$C$27, 0.0021, 0)</f>
        <v>20.144099999999998</v>
      </c>
      <c r="K67" s="10">
        <f>20.142 * CHOOSE(CONTROL!$C$9, $D$9, 100%, $F$9) + CHOOSE(CONTROL!$C$27, 0.0021, 0)</f>
        <v>20.144099999999998</v>
      </c>
      <c r="L67" s="10"/>
    </row>
    <row r="68" spans="1:12" ht="15" x14ac:dyDescent="0.2">
      <c r="A68" s="16">
        <v>42979</v>
      </c>
      <c r="B68" s="10">
        <f>20.5238 * CHOOSE(CONTROL!$C$9, $D$9, 100%, $F$9) + CHOOSE(CONTROL!$C$27, 0.0021, 0)</f>
        <v>20.5259</v>
      </c>
      <c r="C68" s="10">
        <f>20.0916 * CHOOSE(CONTROL!$C$9, $D$9, 100%, $F$9) + CHOOSE(CONTROL!$C$27, 0.0021, 0)</f>
        <v>20.093699999999998</v>
      </c>
      <c r="D68" s="10">
        <f>20.0916 * CHOOSE(CONTROL!$C$9, $D$9, 100%, $F$9) + CHOOSE(CONTROL!$C$27, 0.0021, 0)</f>
        <v>20.093699999999998</v>
      </c>
      <c r="E68" s="10">
        <f>19.9549 * CHOOSE(CONTROL!$C$9, $D$9, 100%, $F$9) + CHOOSE(CONTROL!$C$27, 0.0021, 0)</f>
        <v>19.956999999999997</v>
      </c>
      <c r="F68" s="10">
        <f>19.9549 * CHOOSE(CONTROL!$C$9, $D$9, 100%, $F$9) + CHOOSE(CONTROL!$C$27, 0.0021, 0)</f>
        <v>19.956999999999997</v>
      </c>
      <c r="G68" s="10">
        <f>20.2263 * CHOOSE(CONTROL!$C$9, $D$9, 100%, $F$9) + CHOOSE(CONTROL!$C$27, 0.0021, 0)</f>
        <v>20.228399999999997</v>
      </c>
      <c r="H68" s="10">
        <f>20.0916 * CHOOSE(CONTROL!$C$9, $D$9, 100%, $F$9) + CHOOSE(CONTROL!$C$27, 0.0021, 0)</f>
        <v>20.093699999999998</v>
      </c>
      <c r="I68" s="10">
        <f>20.0916 * CHOOSE(CONTROL!$C$9, $D$9, 100%, $F$9) + CHOOSE(CONTROL!$C$27, 0.0021, 0)</f>
        <v>20.093699999999998</v>
      </c>
      <c r="J68" s="10">
        <f>20.0916 * CHOOSE(CONTROL!$C$9, $D$9, 100%, $F$9) + CHOOSE(CONTROL!$C$27, 0.0021, 0)</f>
        <v>20.093699999999998</v>
      </c>
      <c r="K68" s="10">
        <f>20.0916 * CHOOSE(CONTROL!$C$9, $D$9, 100%, $F$9) + CHOOSE(CONTROL!$C$27, 0.0021, 0)</f>
        <v>20.093699999999998</v>
      </c>
      <c r="L68" s="10"/>
    </row>
    <row r="69" spans="1:12" ht="15" x14ac:dyDescent="0.2">
      <c r="A69" s="16">
        <v>43009</v>
      </c>
      <c r="B69" s="10">
        <f>20.4878 * CHOOSE(CONTROL!$C$9, $D$9, 100%, $F$9) + CHOOSE(CONTROL!$C$27, 0.0021, 0)</f>
        <v>20.489899999999999</v>
      </c>
      <c r="C69" s="10">
        <f>20.0555 * CHOOSE(CONTROL!$C$9, $D$9, 100%, $F$9) + CHOOSE(CONTROL!$C$27, 0.0021, 0)</f>
        <v>20.057599999999997</v>
      </c>
      <c r="D69" s="10">
        <f>20.0555 * CHOOSE(CONTROL!$C$9, $D$9, 100%, $F$9) + CHOOSE(CONTROL!$C$27, 0.0021, 0)</f>
        <v>20.057599999999997</v>
      </c>
      <c r="E69" s="10">
        <f>19.9189 * CHOOSE(CONTROL!$C$9, $D$9, 100%, $F$9) + CHOOSE(CONTROL!$C$27, 0.0021, 0)</f>
        <v>19.920999999999999</v>
      </c>
      <c r="F69" s="10">
        <f>19.9189 * CHOOSE(CONTROL!$C$9, $D$9, 100%, $F$9) + CHOOSE(CONTROL!$C$27, 0.0021, 0)</f>
        <v>19.920999999999999</v>
      </c>
      <c r="G69" s="10">
        <f>20.1903 * CHOOSE(CONTROL!$C$9, $D$9, 100%, $F$9) + CHOOSE(CONTROL!$C$27, 0.0021, 0)</f>
        <v>20.192399999999999</v>
      </c>
      <c r="H69" s="10">
        <f>20.0555 * CHOOSE(CONTROL!$C$9, $D$9, 100%, $F$9) + CHOOSE(CONTROL!$C$27, 0.0021, 0)</f>
        <v>20.057599999999997</v>
      </c>
      <c r="I69" s="10">
        <f>20.0555 * CHOOSE(CONTROL!$C$9, $D$9, 100%, $F$9) + CHOOSE(CONTROL!$C$27, 0.0021, 0)</f>
        <v>20.057599999999997</v>
      </c>
      <c r="J69" s="10">
        <f>20.0555 * CHOOSE(CONTROL!$C$9, $D$9, 100%, $F$9) + CHOOSE(CONTROL!$C$27, 0.0021, 0)</f>
        <v>20.057599999999997</v>
      </c>
      <c r="K69" s="10">
        <f>20.0555 * CHOOSE(CONTROL!$C$9, $D$9, 100%, $F$9) + CHOOSE(CONTROL!$C$27, 0.0021, 0)</f>
        <v>20.057599999999997</v>
      </c>
      <c r="L69" s="10"/>
    </row>
    <row r="70" spans="1:12" ht="15" x14ac:dyDescent="0.2">
      <c r="A70" s="16">
        <v>43040</v>
      </c>
      <c r="B70" s="10">
        <f>20.4662 * CHOOSE(CONTROL!$C$9, $D$9, 100%, $F$9) + CHOOSE(CONTROL!$C$27, 0.0021, 0)</f>
        <v>20.468299999999999</v>
      </c>
      <c r="C70" s="10">
        <f>20.0339 * CHOOSE(CONTROL!$C$9, $D$9, 100%, $F$9) + CHOOSE(CONTROL!$C$27, 0.0021, 0)</f>
        <v>20.035999999999998</v>
      </c>
      <c r="D70" s="10">
        <f>20.0339 * CHOOSE(CONTROL!$C$9, $D$9, 100%, $F$9) + CHOOSE(CONTROL!$C$27, 0.0021, 0)</f>
        <v>20.035999999999998</v>
      </c>
      <c r="E70" s="10">
        <f>19.8973 * CHOOSE(CONTROL!$C$9, $D$9, 100%, $F$9) + CHOOSE(CONTROL!$C$27, 0.0021, 0)</f>
        <v>19.8994</v>
      </c>
      <c r="F70" s="10">
        <f>19.8973 * CHOOSE(CONTROL!$C$9, $D$9, 100%, $F$9) + CHOOSE(CONTROL!$C$27, 0.0021, 0)</f>
        <v>19.8994</v>
      </c>
      <c r="G70" s="10">
        <f>20.1686 * CHOOSE(CONTROL!$C$9, $D$9, 100%, $F$9) + CHOOSE(CONTROL!$C$27, 0.0021, 0)</f>
        <v>20.1707</v>
      </c>
      <c r="H70" s="10">
        <f>20.0339 * CHOOSE(CONTROL!$C$9, $D$9, 100%, $F$9) + CHOOSE(CONTROL!$C$27, 0.0021, 0)</f>
        <v>20.035999999999998</v>
      </c>
      <c r="I70" s="10">
        <f>20.0339 * CHOOSE(CONTROL!$C$9, $D$9, 100%, $F$9) + CHOOSE(CONTROL!$C$27, 0.0021, 0)</f>
        <v>20.035999999999998</v>
      </c>
      <c r="J70" s="10">
        <f>20.0339 * CHOOSE(CONTROL!$C$9, $D$9, 100%, $F$9) + CHOOSE(CONTROL!$C$27, 0.0021, 0)</f>
        <v>20.035999999999998</v>
      </c>
      <c r="K70" s="10">
        <f>20.0339 * CHOOSE(CONTROL!$C$9, $D$9, 100%, $F$9) + CHOOSE(CONTROL!$C$27, 0.0021, 0)</f>
        <v>20.035999999999998</v>
      </c>
      <c r="L70" s="10"/>
    </row>
    <row r="71" spans="1:12" ht="15" x14ac:dyDescent="0.2">
      <c r="A71" s="16">
        <v>43070</v>
      </c>
      <c r="B71" s="10">
        <f>20.4446 * CHOOSE(CONTROL!$C$9, $D$9, 100%, $F$9) + CHOOSE(CONTROL!$C$27, 0.0021, 0)</f>
        <v>20.4467</v>
      </c>
      <c r="C71" s="10">
        <f>20.0123 * CHOOSE(CONTROL!$C$9, $D$9, 100%, $F$9) + CHOOSE(CONTROL!$C$27, 0.0021, 0)</f>
        <v>20.014399999999998</v>
      </c>
      <c r="D71" s="10">
        <f>20.0123 * CHOOSE(CONTROL!$C$9, $D$9, 100%, $F$9) + CHOOSE(CONTROL!$C$27, 0.0021, 0)</f>
        <v>20.014399999999998</v>
      </c>
      <c r="E71" s="10">
        <f>19.8757 * CHOOSE(CONTROL!$C$9, $D$9, 100%, $F$9) + CHOOSE(CONTROL!$C$27, 0.0021, 0)</f>
        <v>19.877799999999997</v>
      </c>
      <c r="F71" s="10">
        <f>19.8757 * CHOOSE(CONTROL!$C$9, $D$9, 100%, $F$9) + CHOOSE(CONTROL!$C$27, 0.0021, 0)</f>
        <v>19.877799999999997</v>
      </c>
      <c r="G71" s="10">
        <f>20.147 * CHOOSE(CONTROL!$C$9, $D$9, 100%, $F$9) + CHOOSE(CONTROL!$C$27, 0.0021, 0)</f>
        <v>20.149099999999997</v>
      </c>
      <c r="H71" s="10">
        <f>20.0123 * CHOOSE(CONTROL!$C$9, $D$9, 100%, $F$9) + CHOOSE(CONTROL!$C$27, 0.0021, 0)</f>
        <v>20.014399999999998</v>
      </c>
      <c r="I71" s="10">
        <f>20.0123 * CHOOSE(CONTROL!$C$9, $D$9, 100%, $F$9) + CHOOSE(CONTROL!$C$27, 0.0021, 0)</f>
        <v>20.014399999999998</v>
      </c>
      <c r="J71" s="10">
        <f>20.0123 * CHOOSE(CONTROL!$C$9, $D$9, 100%, $F$9) + CHOOSE(CONTROL!$C$27, 0.0021, 0)</f>
        <v>20.014399999999998</v>
      </c>
      <c r="K71" s="10">
        <f>20.0123 * CHOOSE(CONTROL!$C$9, $D$9, 100%, $F$9) + CHOOSE(CONTROL!$C$27, 0.0021, 0)</f>
        <v>20.014399999999998</v>
      </c>
      <c r="L71" s="10"/>
    </row>
    <row r="72" spans="1:12" ht="15" x14ac:dyDescent="0.2">
      <c r="A72" s="16">
        <v>43101</v>
      </c>
      <c r="B72" s="10">
        <f>20.4338 * CHOOSE(CONTROL!$C$9, $D$9, 100%, $F$9) + CHOOSE(CONTROL!$C$27, 0.0021, 0)</f>
        <v>20.4359</v>
      </c>
      <c r="C72" s="10">
        <f>20.0015 * CHOOSE(CONTROL!$C$9, $D$9, 100%, $F$9) + CHOOSE(CONTROL!$C$27, 0.0021, 0)</f>
        <v>20.003599999999999</v>
      </c>
      <c r="D72" s="10">
        <f>20.0015 * CHOOSE(CONTROL!$C$9, $D$9, 100%, $F$9) + CHOOSE(CONTROL!$C$27, 0.0021, 0)</f>
        <v>20.003599999999999</v>
      </c>
      <c r="E72" s="10">
        <f>19.8649 * CHOOSE(CONTROL!$C$9, $D$9, 100%, $F$9) + CHOOSE(CONTROL!$C$27, 0.0021, 0)</f>
        <v>19.866999999999997</v>
      </c>
      <c r="F72" s="10">
        <f>19.8649 * CHOOSE(CONTROL!$C$9, $D$9, 100%, $F$9) + CHOOSE(CONTROL!$C$27, 0.0021, 0)</f>
        <v>19.866999999999997</v>
      </c>
      <c r="G72" s="10">
        <f>20.1362 * CHOOSE(CONTROL!$C$9, $D$9, 100%, $F$9) + CHOOSE(CONTROL!$C$27, 0.0021, 0)</f>
        <v>20.138299999999997</v>
      </c>
      <c r="H72" s="10">
        <f>20.0015 * CHOOSE(CONTROL!$C$9, $D$9, 100%, $F$9) + CHOOSE(CONTROL!$C$27, 0.0021, 0)</f>
        <v>20.003599999999999</v>
      </c>
      <c r="I72" s="10">
        <f>20.0015 * CHOOSE(CONTROL!$C$9, $D$9, 100%, $F$9) + CHOOSE(CONTROL!$C$27, 0.0021, 0)</f>
        <v>20.003599999999999</v>
      </c>
      <c r="J72" s="10">
        <f>20.0015 * CHOOSE(CONTROL!$C$9, $D$9, 100%, $F$9) + CHOOSE(CONTROL!$C$27, 0.0021, 0)</f>
        <v>20.003599999999999</v>
      </c>
      <c r="K72" s="10">
        <f>20.0015 * CHOOSE(CONTROL!$C$9, $D$9, 100%, $F$9) + CHOOSE(CONTROL!$C$27, 0.0021, 0)</f>
        <v>20.003599999999999</v>
      </c>
      <c r="L72" s="10"/>
    </row>
    <row r="73" spans="1:12" ht="15" x14ac:dyDescent="0.2">
      <c r="A73" s="16">
        <v>43132</v>
      </c>
      <c r="B73" s="10">
        <f>21.7311 * CHOOSE(CONTROL!$C$9, $D$9, 100%, $F$9) + CHOOSE(CONTROL!$C$27, 0.0021, 0)</f>
        <v>21.7332</v>
      </c>
      <c r="C73" s="10">
        <f>21.2989 * CHOOSE(CONTROL!$C$9, $D$9, 100%, $F$9) + CHOOSE(CONTROL!$C$27, 0.0021, 0)</f>
        <v>21.300999999999998</v>
      </c>
      <c r="D73" s="10">
        <f>21.2989 * CHOOSE(CONTROL!$C$9, $D$9, 100%, $F$9) + CHOOSE(CONTROL!$C$27, 0.0021, 0)</f>
        <v>21.300999999999998</v>
      </c>
      <c r="E73" s="10">
        <f>21.1622 * CHOOSE(CONTROL!$C$9, $D$9, 100%, $F$9) + CHOOSE(CONTROL!$C$27, 0.0021, 0)</f>
        <v>21.164299999999997</v>
      </c>
      <c r="F73" s="10">
        <f>21.1622 * CHOOSE(CONTROL!$C$9, $D$9, 100%, $F$9) + CHOOSE(CONTROL!$C$27, 0.0021, 0)</f>
        <v>21.164299999999997</v>
      </c>
      <c r="G73" s="10">
        <f>21.4336 * CHOOSE(CONTROL!$C$9, $D$9, 100%, $F$9) + CHOOSE(CONTROL!$C$27, 0.0021, 0)</f>
        <v>21.435699999999997</v>
      </c>
      <c r="H73" s="10">
        <f>21.2989 * CHOOSE(CONTROL!$C$9, $D$9, 100%, $F$9) + CHOOSE(CONTROL!$C$27, 0.0021, 0)</f>
        <v>21.300999999999998</v>
      </c>
      <c r="I73" s="10">
        <f>21.2989 * CHOOSE(CONTROL!$C$9, $D$9, 100%, $F$9) + CHOOSE(CONTROL!$C$27, 0.0021, 0)</f>
        <v>21.300999999999998</v>
      </c>
      <c r="J73" s="10">
        <f>21.2989 * CHOOSE(CONTROL!$C$9, $D$9, 100%, $F$9) + CHOOSE(CONTROL!$C$27, 0.0021, 0)</f>
        <v>21.300999999999998</v>
      </c>
      <c r="K73" s="10">
        <f>21.2989 * CHOOSE(CONTROL!$C$9, $D$9, 100%, $F$9) + CHOOSE(CONTROL!$C$27, 0.0021, 0)</f>
        <v>21.300999999999998</v>
      </c>
      <c r="L73" s="10"/>
    </row>
    <row r="74" spans="1:12" ht="15" x14ac:dyDescent="0.2">
      <c r="A74" s="16">
        <v>43160</v>
      </c>
      <c r="B74" s="10">
        <f>21.6198 * CHOOSE(CONTROL!$C$9, $D$9, 100%, $F$9) + CHOOSE(CONTROL!$C$27, 0.0021, 0)</f>
        <v>21.6219</v>
      </c>
      <c r="C74" s="10">
        <f>21.1876 * CHOOSE(CONTROL!$C$9, $D$9, 100%, $F$9) + CHOOSE(CONTROL!$C$27, 0.0021, 0)</f>
        <v>21.189699999999998</v>
      </c>
      <c r="D74" s="10">
        <f>21.1876 * CHOOSE(CONTROL!$C$9, $D$9, 100%, $F$9) + CHOOSE(CONTROL!$C$27, 0.0021, 0)</f>
        <v>21.189699999999998</v>
      </c>
      <c r="E74" s="10">
        <f>21.0509 * CHOOSE(CONTROL!$C$9, $D$9, 100%, $F$9) + CHOOSE(CONTROL!$C$27, 0.0021, 0)</f>
        <v>21.052999999999997</v>
      </c>
      <c r="F74" s="10">
        <f>21.0509 * CHOOSE(CONTROL!$C$9, $D$9, 100%, $F$9) + CHOOSE(CONTROL!$C$27, 0.0021, 0)</f>
        <v>21.052999999999997</v>
      </c>
      <c r="G74" s="10">
        <f>21.3223 * CHOOSE(CONTROL!$C$9, $D$9, 100%, $F$9) + CHOOSE(CONTROL!$C$27, 0.0021, 0)</f>
        <v>21.324399999999997</v>
      </c>
      <c r="H74" s="10">
        <f>21.1876 * CHOOSE(CONTROL!$C$9, $D$9, 100%, $F$9) + CHOOSE(CONTROL!$C$27, 0.0021, 0)</f>
        <v>21.189699999999998</v>
      </c>
      <c r="I74" s="10">
        <f>21.1876 * CHOOSE(CONTROL!$C$9, $D$9, 100%, $F$9) + CHOOSE(CONTROL!$C$27, 0.0021, 0)</f>
        <v>21.189699999999998</v>
      </c>
      <c r="J74" s="10">
        <f>21.1876 * CHOOSE(CONTROL!$C$9, $D$9, 100%, $F$9) + CHOOSE(CONTROL!$C$27, 0.0021, 0)</f>
        <v>21.189699999999998</v>
      </c>
      <c r="K74" s="10">
        <f>21.1876 * CHOOSE(CONTROL!$C$9, $D$9, 100%, $F$9) + CHOOSE(CONTROL!$C$27, 0.0021, 0)</f>
        <v>21.189699999999998</v>
      </c>
      <c r="L74" s="10"/>
    </row>
    <row r="75" spans="1:12" ht="15" x14ac:dyDescent="0.2">
      <c r="A75" s="16">
        <v>43191</v>
      </c>
      <c r="B75" s="10">
        <f>21.4678 * CHOOSE(CONTROL!$C$9, $D$9, 100%, $F$9) + CHOOSE(CONTROL!$C$27, 0.0021, 0)</f>
        <v>21.469899999999999</v>
      </c>
      <c r="C75" s="10">
        <f>21.0355 * CHOOSE(CONTROL!$C$9, $D$9, 100%, $F$9) + CHOOSE(CONTROL!$C$27, 0.0021, 0)</f>
        <v>21.037599999999998</v>
      </c>
      <c r="D75" s="10">
        <f>21.0355 * CHOOSE(CONTROL!$C$9, $D$9, 100%, $F$9) + CHOOSE(CONTROL!$C$27, 0.0021, 0)</f>
        <v>21.037599999999998</v>
      </c>
      <c r="E75" s="10">
        <f>20.8989 * CHOOSE(CONTROL!$C$9, $D$9, 100%, $F$9) + CHOOSE(CONTROL!$C$27, 0.0021, 0)</f>
        <v>20.901</v>
      </c>
      <c r="F75" s="10">
        <f>20.8989 * CHOOSE(CONTROL!$C$9, $D$9, 100%, $F$9) + CHOOSE(CONTROL!$C$27, 0.0021, 0)</f>
        <v>20.901</v>
      </c>
      <c r="G75" s="10">
        <f>21.1702 * CHOOSE(CONTROL!$C$9, $D$9, 100%, $F$9) + CHOOSE(CONTROL!$C$27, 0.0021, 0)</f>
        <v>21.1723</v>
      </c>
      <c r="H75" s="10">
        <f>21.0355 * CHOOSE(CONTROL!$C$9, $D$9, 100%, $F$9) + CHOOSE(CONTROL!$C$27, 0.0021, 0)</f>
        <v>21.037599999999998</v>
      </c>
      <c r="I75" s="10">
        <f>21.0355 * CHOOSE(CONTROL!$C$9, $D$9, 100%, $F$9) + CHOOSE(CONTROL!$C$27, 0.0021, 0)</f>
        <v>21.037599999999998</v>
      </c>
      <c r="J75" s="10">
        <f>21.0355 * CHOOSE(CONTROL!$C$9, $D$9, 100%, $F$9) + CHOOSE(CONTROL!$C$27, 0.0021, 0)</f>
        <v>21.037599999999998</v>
      </c>
      <c r="K75" s="10">
        <f>21.0355 * CHOOSE(CONTROL!$C$9, $D$9, 100%, $F$9) + CHOOSE(CONTROL!$C$27, 0.0021, 0)</f>
        <v>21.037599999999998</v>
      </c>
      <c r="L75" s="10"/>
    </row>
    <row r="76" spans="1:12" ht="15" x14ac:dyDescent="0.2">
      <c r="A76" s="16">
        <v>43221</v>
      </c>
      <c r="B76" s="10">
        <f>21.3565 * CHOOSE(CONTROL!$C$9, $D$9, 100%, $F$9) + CHOOSE(CONTROL!$C$27, 0.0021, 0)</f>
        <v>21.358599999999999</v>
      </c>
      <c r="C76" s="10">
        <f>20.9242 * CHOOSE(CONTROL!$C$9, $D$9, 100%, $F$9) + CHOOSE(CONTROL!$C$27, 0.0021, 0)</f>
        <v>20.926299999999998</v>
      </c>
      <c r="D76" s="10">
        <f>20.9242 * CHOOSE(CONTROL!$C$9, $D$9, 100%, $F$9) + CHOOSE(CONTROL!$C$27, 0.0021, 0)</f>
        <v>20.926299999999998</v>
      </c>
      <c r="E76" s="10">
        <f>20.7876 * CHOOSE(CONTROL!$C$9, $D$9, 100%, $F$9) + CHOOSE(CONTROL!$C$27, 0.0021, 0)</f>
        <v>20.7897</v>
      </c>
      <c r="F76" s="10">
        <f>20.7876 * CHOOSE(CONTROL!$C$9, $D$9, 100%, $F$9) + CHOOSE(CONTROL!$C$27, 0.0021, 0)</f>
        <v>20.7897</v>
      </c>
      <c r="G76" s="10">
        <f>21.0589 * CHOOSE(CONTROL!$C$9, $D$9, 100%, $F$9) + CHOOSE(CONTROL!$C$27, 0.0021, 0)</f>
        <v>21.061</v>
      </c>
      <c r="H76" s="10">
        <f>20.9242 * CHOOSE(CONTROL!$C$9, $D$9, 100%, $F$9) + CHOOSE(CONTROL!$C$27, 0.0021, 0)</f>
        <v>20.926299999999998</v>
      </c>
      <c r="I76" s="10">
        <f>20.9242 * CHOOSE(CONTROL!$C$9, $D$9, 100%, $F$9) + CHOOSE(CONTROL!$C$27, 0.0021, 0)</f>
        <v>20.926299999999998</v>
      </c>
      <c r="J76" s="10">
        <f>20.9242 * CHOOSE(CONTROL!$C$9, $D$9, 100%, $F$9) + CHOOSE(CONTROL!$C$27, 0.0021, 0)</f>
        <v>20.926299999999998</v>
      </c>
      <c r="K76" s="10">
        <f>20.9242 * CHOOSE(CONTROL!$C$9, $D$9, 100%, $F$9) + CHOOSE(CONTROL!$C$27, 0.0021, 0)</f>
        <v>20.926299999999998</v>
      </c>
      <c r="L76" s="10"/>
    </row>
    <row r="77" spans="1:12" ht="15" x14ac:dyDescent="0.2">
      <c r="A77" s="16">
        <v>43252</v>
      </c>
      <c r="B77" s="10">
        <f>21.2637 * CHOOSE(CONTROL!$C$9, $D$9, 100%, $F$9) + CHOOSE(CONTROL!$C$27, 0.0021, 0)</f>
        <v>21.265799999999999</v>
      </c>
      <c r="C77" s="10">
        <f>20.8314 * CHOOSE(CONTROL!$C$9, $D$9, 100%, $F$9) + CHOOSE(CONTROL!$C$27, 0.0021, 0)</f>
        <v>20.833499999999997</v>
      </c>
      <c r="D77" s="10">
        <f>20.8314 * CHOOSE(CONTROL!$C$9, $D$9, 100%, $F$9) + CHOOSE(CONTROL!$C$27, 0.0021, 0)</f>
        <v>20.833499999999997</v>
      </c>
      <c r="E77" s="10">
        <f>20.6948 * CHOOSE(CONTROL!$C$9, $D$9, 100%, $F$9) + CHOOSE(CONTROL!$C$27, 0.0021, 0)</f>
        <v>20.696899999999999</v>
      </c>
      <c r="F77" s="10">
        <f>20.6948 * CHOOSE(CONTROL!$C$9, $D$9, 100%, $F$9) + CHOOSE(CONTROL!$C$27, 0.0021, 0)</f>
        <v>20.696899999999999</v>
      </c>
      <c r="G77" s="10">
        <f>20.9661 * CHOOSE(CONTROL!$C$9, $D$9, 100%, $F$9) + CHOOSE(CONTROL!$C$27, 0.0021, 0)</f>
        <v>20.9682</v>
      </c>
      <c r="H77" s="10">
        <f>20.8314 * CHOOSE(CONTROL!$C$9, $D$9, 100%, $F$9) + CHOOSE(CONTROL!$C$27, 0.0021, 0)</f>
        <v>20.833499999999997</v>
      </c>
      <c r="I77" s="10">
        <f>20.8314 * CHOOSE(CONTROL!$C$9, $D$9, 100%, $F$9) + CHOOSE(CONTROL!$C$27, 0.0021, 0)</f>
        <v>20.833499999999997</v>
      </c>
      <c r="J77" s="10">
        <f>20.8314 * CHOOSE(CONTROL!$C$9, $D$9, 100%, $F$9) + CHOOSE(CONTROL!$C$27, 0.0021, 0)</f>
        <v>20.833499999999997</v>
      </c>
      <c r="K77" s="10">
        <f>20.8314 * CHOOSE(CONTROL!$C$9, $D$9, 100%, $F$9) + CHOOSE(CONTROL!$C$27, 0.0021, 0)</f>
        <v>20.833499999999997</v>
      </c>
      <c r="L77" s="10"/>
    </row>
    <row r="78" spans="1:12" ht="15" x14ac:dyDescent="0.2">
      <c r="A78" s="16">
        <v>43282</v>
      </c>
      <c r="B78" s="10">
        <f>21.1932 * CHOOSE(CONTROL!$C$9, $D$9, 100%, $F$9) + CHOOSE(CONTROL!$C$27, 0.0021, 0)</f>
        <v>21.1953</v>
      </c>
      <c r="C78" s="10">
        <f>20.761 * CHOOSE(CONTROL!$C$9, $D$9, 100%, $F$9) + CHOOSE(CONTROL!$C$27, 0.0021, 0)</f>
        <v>20.763099999999998</v>
      </c>
      <c r="D78" s="10">
        <f>20.761 * CHOOSE(CONTROL!$C$9, $D$9, 100%, $F$9) + CHOOSE(CONTROL!$C$27, 0.0021, 0)</f>
        <v>20.763099999999998</v>
      </c>
      <c r="E78" s="10">
        <f>20.6243 * CHOOSE(CONTROL!$C$9, $D$9, 100%, $F$9) + CHOOSE(CONTROL!$C$27, 0.0021, 0)</f>
        <v>20.6264</v>
      </c>
      <c r="F78" s="10">
        <f>20.6243 * CHOOSE(CONTROL!$C$9, $D$9, 100%, $F$9) + CHOOSE(CONTROL!$C$27, 0.0021, 0)</f>
        <v>20.6264</v>
      </c>
      <c r="G78" s="10">
        <f>20.8957 * CHOOSE(CONTROL!$C$9, $D$9, 100%, $F$9) + CHOOSE(CONTROL!$C$27, 0.0021, 0)</f>
        <v>20.8978</v>
      </c>
      <c r="H78" s="10">
        <f>20.761 * CHOOSE(CONTROL!$C$9, $D$9, 100%, $F$9) + CHOOSE(CONTROL!$C$27, 0.0021, 0)</f>
        <v>20.763099999999998</v>
      </c>
      <c r="I78" s="10">
        <f>20.761 * CHOOSE(CONTROL!$C$9, $D$9, 100%, $F$9) + CHOOSE(CONTROL!$C$27, 0.0021, 0)</f>
        <v>20.763099999999998</v>
      </c>
      <c r="J78" s="10">
        <f>20.761 * CHOOSE(CONTROL!$C$9, $D$9, 100%, $F$9) + CHOOSE(CONTROL!$C$27, 0.0021, 0)</f>
        <v>20.763099999999998</v>
      </c>
      <c r="K78" s="10">
        <f>20.761 * CHOOSE(CONTROL!$C$9, $D$9, 100%, $F$9) + CHOOSE(CONTROL!$C$27, 0.0021, 0)</f>
        <v>20.763099999999998</v>
      </c>
      <c r="L78" s="10"/>
    </row>
    <row r="79" spans="1:12" ht="15" x14ac:dyDescent="0.2">
      <c r="A79" s="16">
        <v>43313</v>
      </c>
      <c r="B79" s="10">
        <f>21.1227 * CHOOSE(CONTROL!$C$9, $D$9, 100%, $F$9) + CHOOSE(CONTROL!$C$27, 0.0021, 0)</f>
        <v>21.124799999999997</v>
      </c>
      <c r="C79" s="10">
        <f>20.6904 * CHOOSE(CONTROL!$C$9, $D$9, 100%, $F$9) + CHOOSE(CONTROL!$C$27, 0.0021, 0)</f>
        <v>20.692499999999999</v>
      </c>
      <c r="D79" s="10">
        <f>20.6904 * CHOOSE(CONTROL!$C$9, $D$9, 100%, $F$9) + CHOOSE(CONTROL!$C$27, 0.0021, 0)</f>
        <v>20.692499999999999</v>
      </c>
      <c r="E79" s="10">
        <f>20.5538 * CHOOSE(CONTROL!$C$9, $D$9, 100%, $F$9) + CHOOSE(CONTROL!$C$27, 0.0021, 0)</f>
        <v>20.555899999999998</v>
      </c>
      <c r="F79" s="10">
        <f>20.5538 * CHOOSE(CONTROL!$C$9, $D$9, 100%, $F$9) + CHOOSE(CONTROL!$C$27, 0.0021, 0)</f>
        <v>20.555899999999998</v>
      </c>
      <c r="G79" s="10">
        <f>20.8252 * CHOOSE(CONTROL!$C$9, $D$9, 100%, $F$9) + CHOOSE(CONTROL!$C$27, 0.0021, 0)</f>
        <v>20.827299999999997</v>
      </c>
      <c r="H79" s="10">
        <f>20.6904 * CHOOSE(CONTROL!$C$9, $D$9, 100%, $F$9) + CHOOSE(CONTROL!$C$27, 0.0021, 0)</f>
        <v>20.692499999999999</v>
      </c>
      <c r="I79" s="10">
        <f>20.6904 * CHOOSE(CONTROL!$C$9, $D$9, 100%, $F$9) + CHOOSE(CONTROL!$C$27, 0.0021, 0)</f>
        <v>20.692499999999999</v>
      </c>
      <c r="J79" s="10">
        <f>20.6904 * CHOOSE(CONTROL!$C$9, $D$9, 100%, $F$9) + CHOOSE(CONTROL!$C$27, 0.0021, 0)</f>
        <v>20.692499999999999</v>
      </c>
      <c r="K79" s="10">
        <f>20.6904 * CHOOSE(CONTROL!$C$9, $D$9, 100%, $F$9) + CHOOSE(CONTROL!$C$27, 0.0021, 0)</f>
        <v>20.692499999999999</v>
      </c>
      <c r="L79" s="10"/>
    </row>
    <row r="80" spans="1:12" ht="15" x14ac:dyDescent="0.2">
      <c r="A80" s="16">
        <v>43344</v>
      </c>
      <c r="B80" s="10">
        <f>21.0707 * CHOOSE(CONTROL!$C$9, $D$9, 100%, $F$9) + CHOOSE(CONTROL!$C$27, 0.0021, 0)</f>
        <v>21.072799999999997</v>
      </c>
      <c r="C80" s="10">
        <f>20.6385 * CHOOSE(CONTROL!$C$9, $D$9, 100%, $F$9) + CHOOSE(CONTROL!$C$27, 0.0021, 0)</f>
        <v>20.640599999999999</v>
      </c>
      <c r="D80" s="10">
        <f>20.6385 * CHOOSE(CONTROL!$C$9, $D$9, 100%, $F$9) + CHOOSE(CONTROL!$C$27, 0.0021, 0)</f>
        <v>20.640599999999999</v>
      </c>
      <c r="E80" s="10">
        <f>20.5018 * CHOOSE(CONTROL!$C$9, $D$9, 100%, $F$9) + CHOOSE(CONTROL!$C$27, 0.0021, 0)</f>
        <v>20.503899999999998</v>
      </c>
      <c r="F80" s="10">
        <f>20.5018 * CHOOSE(CONTROL!$C$9, $D$9, 100%, $F$9) + CHOOSE(CONTROL!$C$27, 0.0021, 0)</f>
        <v>20.503899999999998</v>
      </c>
      <c r="G80" s="10">
        <f>20.7732 * CHOOSE(CONTROL!$C$9, $D$9, 100%, $F$9) + CHOOSE(CONTROL!$C$27, 0.0021, 0)</f>
        <v>20.775299999999998</v>
      </c>
      <c r="H80" s="10">
        <f>20.6385 * CHOOSE(CONTROL!$C$9, $D$9, 100%, $F$9) + CHOOSE(CONTROL!$C$27, 0.0021, 0)</f>
        <v>20.640599999999999</v>
      </c>
      <c r="I80" s="10">
        <f>20.6385 * CHOOSE(CONTROL!$C$9, $D$9, 100%, $F$9) + CHOOSE(CONTROL!$C$27, 0.0021, 0)</f>
        <v>20.640599999999999</v>
      </c>
      <c r="J80" s="10">
        <f>20.6385 * CHOOSE(CONTROL!$C$9, $D$9, 100%, $F$9) + CHOOSE(CONTROL!$C$27, 0.0021, 0)</f>
        <v>20.640599999999999</v>
      </c>
      <c r="K80" s="10">
        <f>20.6385 * CHOOSE(CONTROL!$C$9, $D$9, 100%, $F$9) + CHOOSE(CONTROL!$C$27, 0.0021, 0)</f>
        <v>20.640599999999999</v>
      </c>
      <c r="L80" s="10"/>
    </row>
    <row r="81" spans="1:12" ht="15" x14ac:dyDescent="0.2">
      <c r="A81" s="16">
        <v>43374</v>
      </c>
      <c r="B81" s="10">
        <f>21.0336 * CHOOSE(CONTROL!$C$9, $D$9, 100%, $F$9) + CHOOSE(CONTROL!$C$27, 0.0021, 0)</f>
        <v>21.035699999999999</v>
      </c>
      <c r="C81" s="10">
        <f>20.6014 * CHOOSE(CONTROL!$C$9, $D$9, 100%, $F$9) + CHOOSE(CONTROL!$C$27, 0.0021, 0)</f>
        <v>20.6035</v>
      </c>
      <c r="D81" s="10">
        <f>20.6014 * CHOOSE(CONTROL!$C$9, $D$9, 100%, $F$9) + CHOOSE(CONTROL!$C$27, 0.0021, 0)</f>
        <v>20.6035</v>
      </c>
      <c r="E81" s="10">
        <f>20.4647 * CHOOSE(CONTROL!$C$9, $D$9, 100%, $F$9) + CHOOSE(CONTROL!$C$27, 0.0021, 0)</f>
        <v>20.466799999999999</v>
      </c>
      <c r="F81" s="10">
        <f>20.4647 * CHOOSE(CONTROL!$C$9, $D$9, 100%, $F$9) + CHOOSE(CONTROL!$C$27, 0.0021, 0)</f>
        <v>20.466799999999999</v>
      </c>
      <c r="G81" s="10">
        <f>20.7361 * CHOOSE(CONTROL!$C$9, $D$9, 100%, $F$9) + CHOOSE(CONTROL!$C$27, 0.0021, 0)</f>
        <v>20.738199999999999</v>
      </c>
      <c r="H81" s="10">
        <f>20.6014 * CHOOSE(CONTROL!$C$9, $D$9, 100%, $F$9) + CHOOSE(CONTROL!$C$27, 0.0021, 0)</f>
        <v>20.6035</v>
      </c>
      <c r="I81" s="10">
        <f>20.6014 * CHOOSE(CONTROL!$C$9, $D$9, 100%, $F$9) + CHOOSE(CONTROL!$C$27, 0.0021, 0)</f>
        <v>20.6035</v>
      </c>
      <c r="J81" s="10">
        <f>20.6014 * CHOOSE(CONTROL!$C$9, $D$9, 100%, $F$9) + CHOOSE(CONTROL!$C$27, 0.0021, 0)</f>
        <v>20.6035</v>
      </c>
      <c r="K81" s="10">
        <f>20.6014 * CHOOSE(CONTROL!$C$9, $D$9, 100%, $F$9) + CHOOSE(CONTROL!$C$27, 0.0021, 0)</f>
        <v>20.6035</v>
      </c>
      <c r="L81" s="10"/>
    </row>
    <row r="82" spans="1:12" ht="15" x14ac:dyDescent="0.2">
      <c r="A82" s="16">
        <v>43405</v>
      </c>
      <c r="B82" s="10">
        <f>21.0114 * CHOOSE(CONTROL!$C$9, $D$9, 100%, $F$9) + CHOOSE(CONTROL!$C$27, 0.0021, 0)</f>
        <v>21.013499999999997</v>
      </c>
      <c r="C82" s="10">
        <f>20.5791 * CHOOSE(CONTROL!$C$9, $D$9, 100%, $F$9) + CHOOSE(CONTROL!$C$27, 0.0021, 0)</f>
        <v>20.581199999999999</v>
      </c>
      <c r="D82" s="10">
        <f>20.5791 * CHOOSE(CONTROL!$C$9, $D$9, 100%, $F$9) + CHOOSE(CONTROL!$C$27, 0.0021, 0)</f>
        <v>20.581199999999999</v>
      </c>
      <c r="E82" s="10">
        <f>20.4425 * CHOOSE(CONTROL!$C$9, $D$9, 100%, $F$9) + CHOOSE(CONTROL!$C$27, 0.0021, 0)</f>
        <v>20.444599999999998</v>
      </c>
      <c r="F82" s="10">
        <f>20.4425 * CHOOSE(CONTROL!$C$9, $D$9, 100%, $F$9) + CHOOSE(CONTROL!$C$27, 0.0021, 0)</f>
        <v>20.444599999999998</v>
      </c>
      <c r="G82" s="10">
        <f>20.7139 * CHOOSE(CONTROL!$C$9, $D$9, 100%, $F$9) + CHOOSE(CONTROL!$C$27, 0.0021, 0)</f>
        <v>20.715999999999998</v>
      </c>
      <c r="H82" s="10">
        <f>20.5791 * CHOOSE(CONTROL!$C$9, $D$9, 100%, $F$9) + CHOOSE(CONTROL!$C$27, 0.0021, 0)</f>
        <v>20.581199999999999</v>
      </c>
      <c r="I82" s="10">
        <f>20.5791 * CHOOSE(CONTROL!$C$9, $D$9, 100%, $F$9) + CHOOSE(CONTROL!$C$27, 0.0021, 0)</f>
        <v>20.581199999999999</v>
      </c>
      <c r="J82" s="10">
        <f>20.5791 * CHOOSE(CONTROL!$C$9, $D$9, 100%, $F$9) + CHOOSE(CONTROL!$C$27, 0.0021, 0)</f>
        <v>20.581199999999999</v>
      </c>
      <c r="K82" s="10">
        <f>20.5791 * CHOOSE(CONTROL!$C$9, $D$9, 100%, $F$9) + CHOOSE(CONTROL!$C$27, 0.0021, 0)</f>
        <v>20.581199999999999</v>
      </c>
      <c r="L82" s="10"/>
    </row>
    <row r="83" spans="1:12" ht="15" x14ac:dyDescent="0.2">
      <c r="A83" s="16">
        <v>43435</v>
      </c>
      <c r="B83" s="10">
        <f>20.9891 * CHOOSE(CONTROL!$C$9, $D$9, 100%, $F$9) + CHOOSE(CONTROL!$C$27, 0.0021, 0)</f>
        <v>20.991199999999999</v>
      </c>
      <c r="C83" s="10">
        <f>20.5569 * CHOOSE(CONTROL!$C$9, $D$9, 100%, $F$9) + CHOOSE(CONTROL!$C$27, 0.0021, 0)</f>
        <v>20.558999999999997</v>
      </c>
      <c r="D83" s="10">
        <f>20.5569 * CHOOSE(CONTROL!$C$9, $D$9, 100%, $F$9) + CHOOSE(CONTROL!$C$27, 0.0021, 0)</f>
        <v>20.558999999999997</v>
      </c>
      <c r="E83" s="10">
        <f>20.4202 * CHOOSE(CONTROL!$C$9, $D$9, 100%, $F$9) + CHOOSE(CONTROL!$C$27, 0.0021, 0)</f>
        <v>20.4223</v>
      </c>
      <c r="F83" s="10">
        <f>20.4202 * CHOOSE(CONTROL!$C$9, $D$9, 100%, $F$9) + CHOOSE(CONTROL!$C$27, 0.0021, 0)</f>
        <v>20.4223</v>
      </c>
      <c r="G83" s="10">
        <f>20.6916 * CHOOSE(CONTROL!$C$9, $D$9, 100%, $F$9) + CHOOSE(CONTROL!$C$27, 0.0021, 0)</f>
        <v>20.6937</v>
      </c>
      <c r="H83" s="10">
        <f>20.5569 * CHOOSE(CONTROL!$C$9, $D$9, 100%, $F$9) + CHOOSE(CONTROL!$C$27, 0.0021, 0)</f>
        <v>20.558999999999997</v>
      </c>
      <c r="I83" s="10">
        <f>20.5569 * CHOOSE(CONTROL!$C$9, $D$9, 100%, $F$9) + CHOOSE(CONTROL!$C$27, 0.0021, 0)</f>
        <v>20.558999999999997</v>
      </c>
      <c r="J83" s="10">
        <f>20.5569 * CHOOSE(CONTROL!$C$9, $D$9, 100%, $F$9) + CHOOSE(CONTROL!$C$27, 0.0021, 0)</f>
        <v>20.558999999999997</v>
      </c>
      <c r="K83" s="10">
        <f>20.5569 * CHOOSE(CONTROL!$C$9, $D$9, 100%, $F$9) + CHOOSE(CONTROL!$C$27, 0.0021, 0)</f>
        <v>20.558999999999997</v>
      </c>
      <c r="L83" s="10"/>
    </row>
    <row r="84" spans="1:12" ht="15" x14ac:dyDescent="0.2">
      <c r="A84" s="16">
        <v>43466</v>
      </c>
      <c r="B84" s="10">
        <f>25.9784 * CHOOSE(CONTROL!$C$9, $D$9, 100%, $F$9) + CHOOSE(CONTROL!$C$27, 0.0021, 0)</f>
        <v>25.980499999999999</v>
      </c>
      <c r="C84" s="10">
        <f>25.5461 * CHOOSE(CONTROL!$C$9, $D$9, 100%, $F$9) + CHOOSE(CONTROL!$C$27, 0.0021, 0)</f>
        <v>25.548199999999998</v>
      </c>
      <c r="D84" s="10">
        <f>25.5461 * CHOOSE(CONTROL!$C$9, $D$9, 100%, $F$9) + CHOOSE(CONTROL!$C$27, 0.0021, 0)</f>
        <v>25.548199999999998</v>
      </c>
      <c r="E84" s="10">
        <f>25.4095 * CHOOSE(CONTROL!$C$9, $D$9, 100%, $F$9) + CHOOSE(CONTROL!$C$27, 0.0021, 0)</f>
        <v>25.4116</v>
      </c>
      <c r="F84" s="10">
        <f>25.4095 * CHOOSE(CONTROL!$C$9, $D$9, 100%, $F$9) + CHOOSE(CONTROL!$C$27, 0.0021, 0)</f>
        <v>25.4116</v>
      </c>
      <c r="G84" s="10">
        <f>25.6809 * CHOOSE(CONTROL!$C$9, $D$9, 100%, $F$9) + CHOOSE(CONTROL!$C$27, 0.0021, 0)</f>
        <v>25.683</v>
      </c>
      <c r="H84" s="10">
        <f>25.5461 * CHOOSE(CONTROL!$C$9, $D$9, 100%, $F$9) + CHOOSE(CONTROL!$C$27, 0.0021, 0)</f>
        <v>25.548199999999998</v>
      </c>
      <c r="I84" s="10">
        <f>25.5461 * CHOOSE(CONTROL!$C$9, $D$9, 100%, $F$9) + CHOOSE(CONTROL!$C$27, 0.0021, 0)</f>
        <v>25.548199999999998</v>
      </c>
      <c r="J84" s="10">
        <f>25.5461 * CHOOSE(CONTROL!$C$9, $D$9, 100%, $F$9) + CHOOSE(CONTROL!$C$27, 0.0021, 0)</f>
        <v>25.548199999999998</v>
      </c>
      <c r="K84" s="10">
        <f>25.5461 * CHOOSE(CONTROL!$C$9, $D$9, 100%, $F$9) + CHOOSE(CONTROL!$C$27, 0.0021, 0)</f>
        <v>25.548199999999998</v>
      </c>
      <c r="L84" s="10"/>
    </row>
    <row r="85" spans="1:12" ht="15" x14ac:dyDescent="0.2">
      <c r="A85" s="16">
        <v>43497</v>
      </c>
      <c r="B85" s="10">
        <f>25.3084 * CHOOSE(CONTROL!$C$9, $D$9, 100%, $F$9) + CHOOSE(CONTROL!$C$27, 0.0021, 0)</f>
        <v>25.310499999999998</v>
      </c>
      <c r="C85" s="10">
        <f>24.8762 * CHOOSE(CONTROL!$C$9, $D$9, 100%, $F$9) + CHOOSE(CONTROL!$C$27, 0.0021, 0)</f>
        <v>24.878299999999999</v>
      </c>
      <c r="D85" s="10">
        <f>24.8762 * CHOOSE(CONTROL!$C$9, $D$9, 100%, $F$9) + CHOOSE(CONTROL!$C$27, 0.0021, 0)</f>
        <v>24.878299999999999</v>
      </c>
      <c r="E85" s="10">
        <f>24.7395 * CHOOSE(CONTROL!$C$9, $D$9, 100%, $F$9) + CHOOSE(CONTROL!$C$27, 0.0021, 0)</f>
        <v>24.741599999999998</v>
      </c>
      <c r="F85" s="10">
        <f>24.7395 * CHOOSE(CONTROL!$C$9, $D$9, 100%, $F$9) + CHOOSE(CONTROL!$C$27, 0.0021, 0)</f>
        <v>24.741599999999998</v>
      </c>
      <c r="G85" s="10">
        <f>25.0109 * CHOOSE(CONTROL!$C$9, $D$9, 100%, $F$9) + CHOOSE(CONTROL!$C$27, 0.0021, 0)</f>
        <v>25.012999999999998</v>
      </c>
      <c r="H85" s="10">
        <f>24.8762 * CHOOSE(CONTROL!$C$9, $D$9, 100%, $F$9) + CHOOSE(CONTROL!$C$27, 0.0021, 0)</f>
        <v>24.878299999999999</v>
      </c>
      <c r="I85" s="10">
        <f>24.8762 * CHOOSE(CONTROL!$C$9, $D$9, 100%, $F$9) + CHOOSE(CONTROL!$C$27, 0.0021, 0)</f>
        <v>24.878299999999999</v>
      </c>
      <c r="J85" s="10">
        <f>24.8762 * CHOOSE(CONTROL!$C$9, $D$9, 100%, $F$9) + CHOOSE(CONTROL!$C$27, 0.0021, 0)</f>
        <v>24.878299999999999</v>
      </c>
      <c r="K85" s="10">
        <f>24.8762 * CHOOSE(CONTROL!$C$9, $D$9, 100%, $F$9) + CHOOSE(CONTROL!$C$27, 0.0021, 0)</f>
        <v>24.878299999999999</v>
      </c>
      <c r="L85" s="10"/>
    </row>
    <row r="86" spans="1:12" ht="15" x14ac:dyDescent="0.2">
      <c r="A86" s="16">
        <v>43525</v>
      </c>
      <c r="B86" s="10">
        <f>25.0319 * CHOOSE(CONTROL!$C$9, $D$9, 100%, $F$9) + CHOOSE(CONTROL!$C$27, 0.0021, 0)</f>
        <v>25.033999999999999</v>
      </c>
      <c r="C86" s="10">
        <f>24.5996 * CHOOSE(CONTROL!$C$9, $D$9, 100%, $F$9) + CHOOSE(CONTROL!$C$27, 0.0021, 0)</f>
        <v>24.601699999999997</v>
      </c>
      <c r="D86" s="10">
        <f>24.5996 * CHOOSE(CONTROL!$C$9, $D$9, 100%, $F$9) + CHOOSE(CONTROL!$C$27, 0.0021, 0)</f>
        <v>24.601699999999997</v>
      </c>
      <c r="E86" s="10">
        <f>24.463 * CHOOSE(CONTROL!$C$9, $D$9, 100%, $F$9) + CHOOSE(CONTROL!$C$27, 0.0021, 0)</f>
        <v>24.4651</v>
      </c>
      <c r="F86" s="10">
        <f>24.463 * CHOOSE(CONTROL!$C$9, $D$9, 100%, $F$9) + CHOOSE(CONTROL!$C$27, 0.0021, 0)</f>
        <v>24.4651</v>
      </c>
      <c r="G86" s="10">
        <f>24.7343 * CHOOSE(CONTROL!$C$9, $D$9, 100%, $F$9) + CHOOSE(CONTROL!$C$27, 0.0021, 0)</f>
        <v>24.7364</v>
      </c>
      <c r="H86" s="10">
        <f>24.5996 * CHOOSE(CONTROL!$C$9, $D$9, 100%, $F$9) + CHOOSE(CONTROL!$C$27, 0.0021, 0)</f>
        <v>24.601699999999997</v>
      </c>
      <c r="I86" s="10">
        <f>24.5996 * CHOOSE(CONTROL!$C$9, $D$9, 100%, $F$9) + CHOOSE(CONTROL!$C$27, 0.0021, 0)</f>
        <v>24.601699999999997</v>
      </c>
      <c r="J86" s="10">
        <f>24.5996 * CHOOSE(CONTROL!$C$9, $D$9, 100%, $F$9) + CHOOSE(CONTROL!$C$27, 0.0021, 0)</f>
        <v>24.601699999999997</v>
      </c>
      <c r="K86" s="10">
        <f>24.5996 * CHOOSE(CONTROL!$C$9, $D$9, 100%, $F$9) + CHOOSE(CONTROL!$C$27, 0.0021, 0)</f>
        <v>24.601699999999997</v>
      </c>
      <c r="L86" s="10"/>
    </row>
    <row r="87" spans="1:12" ht="15" x14ac:dyDescent="0.2">
      <c r="A87" s="16">
        <v>43556</v>
      </c>
      <c r="B87" s="10">
        <f>24.7016 * CHOOSE(CONTROL!$C$9, $D$9, 100%, $F$9) + CHOOSE(CONTROL!$C$27, 0.0021, 0)</f>
        <v>24.703699999999998</v>
      </c>
      <c r="C87" s="10">
        <f>24.2694 * CHOOSE(CONTROL!$C$9, $D$9, 100%, $F$9) + CHOOSE(CONTROL!$C$27, 0.0021, 0)</f>
        <v>24.2715</v>
      </c>
      <c r="D87" s="10">
        <f>24.2694 * CHOOSE(CONTROL!$C$9, $D$9, 100%, $F$9) + CHOOSE(CONTROL!$C$27, 0.0021, 0)</f>
        <v>24.2715</v>
      </c>
      <c r="E87" s="10">
        <f>24.1327 * CHOOSE(CONTROL!$C$9, $D$9, 100%, $F$9) + CHOOSE(CONTROL!$C$27, 0.0021, 0)</f>
        <v>24.134799999999998</v>
      </c>
      <c r="F87" s="10">
        <f>24.1327 * CHOOSE(CONTROL!$C$9, $D$9, 100%, $F$9) + CHOOSE(CONTROL!$C$27, 0.0021, 0)</f>
        <v>24.134799999999998</v>
      </c>
      <c r="G87" s="10">
        <f>24.4041 * CHOOSE(CONTROL!$C$9, $D$9, 100%, $F$9) + CHOOSE(CONTROL!$C$27, 0.0021, 0)</f>
        <v>24.406199999999998</v>
      </c>
      <c r="H87" s="10">
        <f>24.2694 * CHOOSE(CONTROL!$C$9, $D$9, 100%, $F$9) + CHOOSE(CONTROL!$C$27, 0.0021, 0)</f>
        <v>24.2715</v>
      </c>
      <c r="I87" s="10">
        <f>24.2694 * CHOOSE(CONTROL!$C$9, $D$9, 100%, $F$9) + CHOOSE(CONTROL!$C$27, 0.0021, 0)</f>
        <v>24.2715</v>
      </c>
      <c r="J87" s="10">
        <f>24.2694 * CHOOSE(CONTROL!$C$9, $D$9, 100%, $F$9) + CHOOSE(CONTROL!$C$27, 0.0021, 0)</f>
        <v>24.2715</v>
      </c>
      <c r="K87" s="10">
        <f>24.2694 * CHOOSE(CONTROL!$C$9, $D$9, 100%, $F$9) + CHOOSE(CONTROL!$C$27, 0.0021, 0)</f>
        <v>24.2715</v>
      </c>
      <c r="L87" s="10"/>
    </row>
    <row r="88" spans="1:12" ht="15" x14ac:dyDescent="0.2">
      <c r="A88" s="16">
        <v>43586</v>
      </c>
      <c r="B88" s="10">
        <f>25.1722 * CHOOSE(CONTROL!$C$9, $D$9, 100%, $F$9) + CHOOSE(CONTROL!$C$27, 0.0021, 0)</f>
        <v>25.174299999999999</v>
      </c>
      <c r="C88" s="10">
        <f>24.74 * CHOOSE(CONTROL!$C$9, $D$9, 100%, $F$9) + CHOOSE(CONTROL!$C$27, 0.0021, 0)</f>
        <v>24.742099999999997</v>
      </c>
      <c r="D88" s="10">
        <f>24.74 * CHOOSE(CONTROL!$C$9, $D$9, 100%, $F$9) + CHOOSE(CONTROL!$C$27, 0.0021, 0)</f>
        <v>24.742099999999997</v>
      </c>
      <c r="E88" s="10">
        <f>24.6033 * CHOOSE(CONTROL!$C$9, $D$9, 100%, $F$9) + CHOOSE(CONTROL!$C$27, 0.0021, 0)</f>
        <v>24.605399999999999</v>
      </c>
      <c r="F88" s="10">
        <f>24.6033 * CHOOSE(CONTROL!$C$9, $D$9, 100%, $F$9) + CHOOSE(CONTROL!$C$27, 0.0021, 0)</f>
        <v>24.605399999999999</v>
      </c>
      <c r="G88" s="10">
        <f>24.8747 * CHOOSE(CONTROL!$C$9, $D$9, 100%, $F$9) + CHOOSE(CONTROL!$C$27, 0.0021, 0)</f>
        <v>24.876799999999999</v>
      </c>
      <c r="H88" s="10">
        <f>24.74 * CHOOSE(CONTROL!$C$9, $D$9, 100%, $F$9) + CHOOSE(CONTROL!$C$27, 0.0021, 0)</f>
        <v>24.742099999999997</v>
      </c>
      <c r="I88" s="10">
        <f>24.74 * CHOOSE(CONTROL!$C$9, $D$9, 100%, $F$9) + CHOOSE(CONTROL!$C$27, 0.0021, 0)</f>
        <v>24.742099999999997</v>
      </c>
      <c r="J88" s="10">
        <f>24.74 * CHOOSE(CONTROL!$C$9, $D$9, 100%, $F$9) + CHOOSE(CONTROL!$C$27, 0.0021, 0)</f>
        <v>24.742099999999997</v>
      </c>
      <c r="K88" s="10">
        <f>24.74 * CHOOSE(CONTROL!$C$9, $D$9, 100%, $F$9) + CHOOSE(CONTROL!$C$27, 0.0021, 0)</f>
        <v>24.742099999999997</v>
      </c>
      <c r="L88" s="10"/>
    </row>
    <row r="89" spans="1:12" ht="15" x14ac:dyDescent="0.2">
      <c r="A89" s="16">
        <v>43617</v>
      </c>
      <c r="B89" s="10">
        <f>25.4541 * CHOOSE(CONTROL!$C$9, $D$9, 100%, $F$9) + CHOOSE(CONTROL!$C$27, 0.0021, 0)</f>
        <v>25.456199999999999</v>
      </c>
      <c r="C89" s="10">
        <f>25.0219 * CHOOSE(CONTROL!$C$9, $D$9, 100%, $F$9) + CHOOSE(CONTROL!$C$27, 0.0021, 0)</f>
        <v>25.023999999999997</v>
      </c>
      <c r="D89" s="10">
        <f>25.0219 * CHOOSE(CONTROL!$C$9, $D$9, 100%, $F$9) + CHOOSE(CONTROL!$C$27, 0.0021, 0)</f>
        <v>25.023999999999997</v>
      </c>
      <c r="E89" s="10">
        <f>24.8852 * CHOOSE(CONTROL!$C$9, $D$9, 100%, $F$9) + CHOOSE(CONTROL!$C$27, 0.0021, 0)</f>
        <v>24.8873</v>
      </c>
      <c r="F89" s="10">
        <f>24.8852 * CHOOSE(CONTROL!$C$9, $D$9, 100%, $F$9) + CHOOSE(CONTROL!$C$27, 0.0021, 0)</f>
        <v>24.8873</v>
      </c>
      <c r="G89" s="10">
        <f>25.1566 * CHOOSE(CONTROL!$C$9, $D$9, 100%, $F$9) + CHOOSE(CONTROL!$C$27, 0.0021, 0)</f>
        <v>25.1587</v>
      </c>
      <c r="H89" s="10">
        <f>25.0219 * CHOOSE(CONTROL!$C$9, $D$9, 100%, $F$9) + CHOOSE(CONTROL!$C$27, 0.0021, 0)</f>
        <v>25.023999999999997</v>
      </c>
      <c r="I89" s="10">
        <f>25.0219 * CHOOSE(CONTROL!$C$9, $D$9, 100%, $F$9) + CHOOSE(CONTROL!$C$27, 0.0021, 0)</f>
        <v>25.023999999999997</v>
      </c>
      <c r="J89" s="10">
        <f>25.0219 * CHOOSE(CONTROL!$C$9, $D$9, 100%, $F$9) + CHOOSE(CONTROL!$C$27, 0.0021, 0)</f>
        <v>25.023999999999997</v>
      </c>
      <c r="K89" s="10">
        <f>25.0219 * CHOOSE(CONTROL!$C$9, $D$9, 100%, $F$9) + CHOOSE(CONTROL!$C$27, 0.0021, 0)</f>
        <v>25.023999999999997</v>
      </c>
      <c r="L89" s="10"/>
    </row>
    <row r="90" spans="1:12" ht="15" x14ac:dyDescent="0.2">
      <c r="A90" s="16">
        <v>43647</v>
      </c>
      <c r="B90" s="10">
        <f>25.9191 * CHOOSE(CONTROL!$C$9, $D$9, 100%, $F$9) + CHOOSE(CONTROL!$C$27, 0.0021, 0)</f>
        <v>25.921199999999999</v>
      </c>
      <c r="C90" s="10">
        <f>25.4869 * CHOOSE(CONTROL!$C$9, $D$9, 100%, $F$9) + CHOOSE(CONTROL!$C$27, 0.0021, 0)</f>
        <v>25.488999999999997</v>
      </c>
      <c r="D90" s="10">
        <f>25.4869 * CHOOSE(CONTROL!$C$9, $D$9, 100%, $F$9) + CHOOSE(CONTROL!$C$27, 0.0021, 0)</f>
        <v>25.488999999999997</v>
      </c>
      <c r="E90" s="10">
        <f>25.3502 * CHOOSE(CONTROL!$C$9, $D$9, 100%, $F$9) + CHOOSE(CONTROL!$C$27, 0.0021, 0)</f>
        <v>25.3523</v>
      </c>
      <c r="F90" s="10">
        <f>25.3502 * CHOOSE(CONTROL!$C$9, $D$9, 100%, $F$9) + CHOOSE(CONTROL!$C$27, 0.0021, 0)</f>
        <v>25.3523</v>
      </c>
      <c r="G90" s="10">
        <f>25.6216 * CHOOSE(CONTROL!$C$9, $D$9, 100%, $F$9) + CHOOSE(CONTROL!$C$27, 0.0021, 0)</f>
        <v>25.623699999999999</v>
      </c>
      <c r="H90" s="10">
        <f>25.4869 * CHOOSE(CONTROL!$C$9, $D$9, 100%, $F$9) + CHOOSE(CONTROL!$C$27, 0.0021, 0)</f>
        <v>25.488999999999997</v>
      </c>
      <c r="I90" s="10">
        <f>25.4869 * CHOOSE(CONTROL!$C$9, $D$9, 100%, $F$9) + CHOOSE(CONTROL!$C$27, 0.0021, 0)</f>
        <v>25.488999999999997</v>
      </c>
      <c r="J90" s="10">
        <f>25.4869 * CHOOSE(CONTROL!$C$9, $D$9, 100%, $F$9) + CHOOSE(CONTROL!$C$27, 0.0021, 0)</f>
        <v>25.488999999999997</v>
      </c>
      <c r="K90" s="10">
        <f>25.4869 * CHOOSE(CONTROL!$C$9, $D$9, 100%, $F$9) + CHOOSE(CONTROL!$C$27, 0.0021, 0)</f>
        <v>25.488999999999997</v>
      </c>
      <c r="L90" s="10"/>
    </row>
    <row r="91" spans="1:12" ht="15" x14ac:dyDescent="0.2">
      <c r="A91" s="16">
        <v>43678</v>
      </c>
      <c r="B91" s="10">
        <f>26.061 * CHOOSE(CONTROL!$C$9, $D$9, 100%, $F$9) + CHOOSE(CONTROL!$C$27, 0.0021, 0)</f>
        <v>26.063099999999999</v>
      </c>
      <c r="C91" s="10">
        <f>25.6288 * CHOOSE(CONTROL!$C$9, $D$9, 100%, $F$9) + CHOOSE(CONTROL!$C$27, 0.0021, 0)</f>
        <v>25.630899999999997</v>
      </c>
      <c r="D91" s="10">
        <f>25.6288 * CHOOSE(CONTROL!$C$9, $D$9, 100%, $F$9) + CHOOSE(CONTROL!$C$27, 0.0021, 0)</f>
        <v>25.630899999999997</v>
      </c>
      <c r="E91" s="10">
        <f>25.4921 * CHOOSE(CONTROL!$C$9, $D$9, 100%, $F$9) + CHOOSE(CONTROL!$C$27, 0.0021, 0)</f>
        <v>25.494199999999999</v>
      </c>
      <c r="F91" s="10">
        <f>25.4921 * CHOOSE(CONTROL!$C$9, $D$9, 100%, $F$9) + CHOOSE(CONTROL!$C$27, 0.0021, 0)</f>
        <v>25.494199999999999</v>
      </c>
      <c r="G91" s="10">
        <f>25.7635 * CHOOSE(CONTROL!$C$9, $D$9, 100%, $F$9) + CHOOSE(CONTROL!$C$27, 0.0021, 0)</f>
        <v>25.765599999999999</v>
      </c>
      <c r="H91" s="10">
        <f>25.6288 * CHOOSE(CONTROL!$C$9, $D$9, 100%, $F$9) + CHOOSE(CONTROL!$C$27, 0.0021, 0)</f>
        <v>25.630899999999997</v>
      </c>
      <c r="I91" s="10">
        <f>25.6288 * CHOOSE(CONTROL!$C$9, $D$9, 100%, $F$9) + CHOOSE(CONTROL!$C$27, 0.0021, 0)</f>
        <v>25.630899999999997</v>
      </c>
      <c r="J91" s="10">
        <f>25.6288 * CHOOSE(CONTROL!$C$9, $D$9, 100%, $F$9) + CHOOSE(CONTROL!$C$27, 0.0021, 0)</f>
        <v>25.630899999999997</v>
      </c>
      <c r="K91" s="10">
        <f>25.6288 * CHOOSE(CONTROL!$C$9, $D$9, 100%, $F$9) + CHOOSE(CONTROL!$C$27, 0.0021, 0)</f>
        <v>25.630899999999997</v>
      </c>
      <c r="L91" s="10"/>
    </row>
    <row r="92" spans="1:12" ht="15" x14ac:dyDescent="0.2">
      <c r="A92" s="16">
        <v>43709</v>
      </c>
      <c r="B92" s="10">
        <f>26.5444 * CHOOSE(CONTROL!$C$9, $D$9, 100%, $F$9) + CHOOSE(CONTROL!$C$27, 0.0021, 0)</f>
        <v>26.546499999999998</v>
      </c>
      <c r="C92" s="10">
        <f>26.1121 * CHOOSE(CONTROL!$C$9, $D$9, 100%, $F$9) + CHOOSE(CONTROL!$C$27, 0.0021, 0)</f>
        <v>26.1142</v>
      </c>
      <c r="D92" s="10">
        <f>26.1121 * CHOOSE(CONTROL!$C$9, $D$9, 100%, $F$9) + CHOOSE(CONTROL!$C$27, 0.0021, 0)</f>
        <v>26.1142</v>
      </c>
      <c r="E92" s="10">
        <f>25.9755 * CHOOSE(CONTROL!$C$9, $D$9, 100%, $F$9) + CHOOSE(CONTROL!$C$27, 0.0021, 0)</f>
        <v>25.977599999999999</v>
      </c>
      <c r="F92" s="10">
        <f>25.9755 * CHOOSE(CONTROL!$C$9, $D$9, 100%, $F$9) + CHOOSE(CONTROL!$C$27, 0.0021, 0)</f>
        <v>25.977599999999999</v>
      </c>
      <c r="G92" s="10">
        <f>26.2468 * CHOOSE(CONTROL!$C$9, $D$9, 100%, $F$9) + CHOOSE(CONTROL!$C$27, 0.0021, 0)</f>
        <v>26.248899999999999</v>
      </c>
      <c r="H92" s="10">
        <f>26.1121 * CHOOSE(CONTROL!$C$9, $D$9, 100%, $F$9) + CHOOSE(CONTROL!$C$27, 0.0021, 0)</f>
        <v>26.1142</v>
      </c>
      <c r="I92" s="10">
        <f>26.1121 * CHOOSE(CONTROL!$C$9, $D$9, 100%, $F$9) + CHOOSE(CONTROL!$C$27, 0.0021, 0)</f>
        <v>26.1142</v>
      </c>
      <c r="J92" s="10">
        <f>26.1121 * CHOOSE(CONTROL!$C$9, $D$9, 100%, $F$9) + CHOOSE(CONTROL!$C$27, 0.0021, 0)</f>
        <v>26.1142</v>
      </c>
      <c r="K92" s="10">
        <f>26.1121 * CHOOSE(CONTROL!$C$9, $D$9, 100%, $F$9) + CHOOSE(CONTROL!$C$27, 0.0021, 0)</f>
        <v>26.1142</v>
      </c>
      <c r="L92" s="10"/>
    </row>
    <row r="93" spans="1:12" ht="15" x14ac:dyDescent="0.2">
      <c r="A93" s="16">
        <v>43739</v>
      </c>
      <c r="B93" s="10">
        <f>27.1562 * CHOOSE(CONTROL!$C$9, $D$9, 100%, $F$9) + CHOOSE(CONTROL!$C$27, 0.0021, 0)</f>
        <v>27.158299999999997</v>
      </c>
      <c r="C93" s="10">
        <f>26.7239 * CHOOSE(CONTROL!$C$9, $D$9, 100%, $F$9) + CHOOSE(CONTROL!$C$27, 0.0021, 0)</f>
        <v>26.725999999999999</v>
      </c>
      <c r="D93" s="10">
        <f>26.7239 * CHOOSE(CONTROL!$C$9, $D$9, 100%, $F$9) + CHOOSE(CONTROL!$C$27, 0.0021, 0)</f>
        <v>26.725999999999999</v>
      </c>
      <c r="E93" s="10">
        <f>26.5873 * CHOOSE(CONTROL!$C$9, $D$9, 100%, $F$9) + CHOOSE(CONTROL!$C$27, 0.0021, 0)</f>
        <v>26.589399999999998</v>
      </c>
      <c r="F93" s="10">
        <f>26.5873 * CHOOSE(CONTROL!$C$9, $D$9, 100%, $F$9) + CHOOSE(CONTROL!$C$27, 0.0021, 0)</f>
        <v>26.589399999999998</v>
      </c>
      <c r="G93" s="10">
        <f>26.8587 * CHOOSE(CONTROL!$C$9, $D$9, 100%, $F$9) + CHOOSE(CONTROL!$C$27, 0.0021, 0)</f>
        <v>26.860799999999998</v>
      </c>
      <c r="H93" s="10">
        <f>26.7239 * CHOOSE(CONTROL!$C$9, $D$9, 100%, $F$9) + CHOOSE(CONTROL!$C$27, 0.0021, 0)</f>
        <v>26.725999999999999</v>
      </c>
      <c r="I93" s="10">
        <f>26.7239 * CHOOSE(CONTROL!$C$9, $D$9, 100%, $F$9) + CHOOSE(CONTROL!$C$27, 0.0021, 0)</f>
        <v>26.725999999999999</v>
      </c>
      <c r="J93" s="10">
        <f>26.7239 * CHOOSE(CONTROL!$C$9, $D$9, 100%, $F$9) + CHOOSE(CONTROL!$C$27, 0.0021, 0)</f>
        <v>26.725999999999999</v>
      </c>
      <c r="K93" s="10">
        <f>26.7239 * CHOOSE(CONTROL!$C$9, $D$9, 100%, $F$9) + CHOOSE(CONTROL!$C$27, 0.0021, 0)</f>
        <v>26.725999999999999</v>
      </c>
      <c r="L93" s="10"/>
    </row>
    <row r="94" spans="1:12" ht="15" x14ac:dyDescent="0.2">
      <c r="A94" s="16">
        <v>43770</v>
      </c>
      <c r="B94" s="10">
        <f>27.2136 * CHOOSE(CONTROL!$C$9, $D$9, 100%, $F$9) + CHOOSE(CONTROL!$C$27, 0.0021, 0)</f>
        <v>27.215699999999998</v>
      </c>
      <c r="C94" s="10">
        <f>26.7814 * CHOOSE(CONTROL!$C$9, $D$9, 100%, $F$9) + CHOOSE(CONTROL!$C$27, 0.0021, 0)</f>
        <v>26.7835</v>
      </c>
      <c r="D94" s="10">
        <f>26.7814 * CHOOSE(CONTROL!$C$9, $D$9, 100%, $F$9) + CHOOSE(CONTROL!$C$27, 0.0021, 0)</f>
        <v>26.7835</v>
      </c>
      <c r="E94" s="10">
        <f>26.6447 * CHOOSE(CONTROL!$C$9, $D$9, 100%, $F$9) + CHOOSE(CONTROL!$C$27, 0.0021, 0)</f>
        <v>26.646799999999999</v>
      </c>
      <c r="F94" s="10">
        <f>26.6447 * CHOOSE(CONTROL!$C$9, $D$9, 100%, $F$9) + CHOOSE(CONTROL!$C$27, 0.0021, 0)</f>
        <v>26.646799999999999</v>
      </c>
      <c r="G94" s="10">
        <f>26.9161 * CHOOSE(CONTROL!$C$9, $D$9, 100%, $F$9) + CHOOSE(CONTROL!$C$27, 0.0021, 0)</f>
        <v>26.918199999999999</v>
      </c>
      <c r="H94" s="10">
        <f>26.7814 * CHOOSE(CONTROL!$C$9, $D$9, 100%, $F$9) + CHOOSE(CONTROL!$C$27, 0.0021, 0)</f>
        <v>26.7835</v>
      </c>
      <c r="I94" s="10">
        <f>26.7814 * CHOOSE(CONTROL!$C$9, $D$9, 100%, $F$9) + CHOOSE(CONTROL!$C$27, 0.0021, 0)</f>
        <v>26.7835</v>
      </c>
      <c r="J94" s="10">
        <f>26.7814 * CHOOSE(CONTROL!$C$9, $D$9, 100%, $F$9) + CHOOSE(CONTROL!$C$27, 0.0021, 0)</f>
        <v>26.7835</v>
      </c>
      <c r="K94" s="10">
        <f>26.7814 * CHOOSE(CONTROL!$C$9, $D$9, 100%, $F$9) + CHOOSE(CONTROL!$C$27, 0.0021, 0)</f>
        <v>26.7835</v>
      </c>
      <c r="L94" s="10"/>
    </row>
    <row r="95" spans="1:12" ht="15" x14ac:dyDescent="0.2">
      <c r="A95" s="16">
        <v>43800</v>
      </c>
      <c r="B95" s="10">
        <f>26.725 * CHOOSE(CONTROL!$C$9, $D$9, 100%, $F$9) + CHOOSE(CONTROL!$C$27, 0.0021, 0)</f>
        <v>26.7271</v>
      </c>
      <c r="C95" s="10">
        <f>26.2927 * CHOOSE(CONTROL!$C$9, $D$9, 100%, $F$9) + CHOOSE(CONTROL!$C$27, 0.0021, 0)</f>
        <v>26.294799999999999</v>
      </c>
      <c r="D95" s="10">
        <f>26.2927 * CHOOSE(CONTROL!$C$9, $D$9, 100%, $F$9) + CHOOSE(CONTROL!$C$27, 0.0021, 0)</f>
        <v>26.294799999999999</v>
      </c>
      <c r="E95" s="10">
        <f>26.1561 * CHOOSE(CONTROL!$C$9, $D$9, 100%, $F$9) + CHOOSE(CONTROL!$C$27, 0.0021, 0)</f>
        <v>26.158199999999997</v>
      </c>
      <c r="F95" s="10">
        <f>26.1561 * CHOOSE(CONTROL!$C$9, $D$9, 100%, $F$9) + CHOOSE(CONTROL!$C$27, 0.0021, 0)</f>
        <v>26.158199999999997</v>
      </c>
      <c r="G95" s="10">
        <f>26.4275 * CHOOSE(CONTROL!$C$9, $D$9, 100%, $F$9) + CHOOSE(CONTROL!$C$27, 0.0021, 0)</f>
        <v>26.429599999999997</v>
      </c>
      <c r="H95" s="10">
        <f>26.2927 * CHOOSE(CONTROL!$C$9, $D$9, 100%, $F$9) + CHOOSE(CONTROL!$C$27, 0.0021, 0)</f>
        <v>26.294799999999999</v>
      </c>
      <c r="I95" s="10">
        <f>26.2927 * CHOOSE(CONTROL!$C$9, $D$9, 100%, $F$9) + CHOOSE(CONTROL!$C$27, 0.0021, 0)</f>
        <v>26.294799999999999</v>
      </c>
      <c r="J95" s="10">
        <f>26.2927 * CHOOSE(CONTROL!$C$9, $D$9, 100%, $F$9) + CHOOSE(CONTROL!$C$27, 0.0021, 0)</f>
        <v>26.294799999999999</v>
      </c>
      <c r="K95" s="10">
        <f>26.2927 * CHOOSE(CONTROL!$C$9, $D$9, 100%, $F$9) + CHOOSE(CONTROL!$C$27, 0.0021, 0)</f>
        <v>26.294799999999999</v>
      </c>
      <c r="L95" s="10"/>
    </row>
    <row r="96" spans="1:12" ht="15" x14ac:dyDescent="0.2">
      <c r="A96" s="16">
        <v>43831</v>
      </c>
      <c r="B96" s="10">
        <f>26.5751 * CHOOSE(CONTROL!$C$9, $D$9, 100%, $F$9) + CHOOSE(CONTROL!$C$27, 0.0021, 0)</f>
        <v>26.577199999999998</v>
      </c>
      <c r="C96" s="10">
        <f>26.1429 * CHOOSE(CONTROL!$C$9, $D$9, 100%, $F$9) + CHOOSE(CONTROL!$C$27, 0.0021, 0)</f>
        <v>26.145</v>
      </c>
      <c r="D96" s="10">
        <f>26.1429 * CHOOSE(CONTROL!$C$9, $D$9, 100%, $F$9) + CHOOSE(CONTROL!$C$27, 0.0021, 0)</f>
        <v>26.145</v>
      </c>
      <c r="E96" s="10">
        <f>26.0062 * CHOOSE(CONTROL!$C$9, $D$9, 100%, $F$9) + CHOOSE(CONTROL!$C$27, 0.0021, 0)</f>
        <v>26.008299999999998</v>
      </c>
      <c r="F96" s="10">
        <f>26.0062 * CHOOSE(CONTROL!$C$9, $D$9, 100%, $F$9) + CHOOSE(CONTROL!$C$27, 0.0021, 0)</f>
        <v>26.008299999999998</v>
      </c>
      <c r="G96" s="10">
        <f>26.2776 * CHOOSE(CONTROL!$C$9, $D$9, 100%, $F$9) + CHOOSE(CONTROL!$C$27, 0.0021, 0)</f>
        <v>26.279699999999998</v>
      </c>
      <c r="H96" s="10">
        <f>26.1429 * CHOOSE(CONTROL!$C$9, $D$9, 100%, $F$9) + CHOOSE(CONTROL!$C$27, 0.0021, 0)</f>
        <v>26.145</v>
      </c>
      <c r="I96" s="10">
        <f>26.1429 * CHOOSE(CONTROL!$C$9, $D$9, 100%, $F$9) + CHOOSE(CONTROL!$C$27, 0.0021, 0)</f>
        <v>26.145</v>
      </c>
      <c r="J96" s="10">
        <f>26.1429 * CHOOSE(CONTROL!$C$9, $D$9, 100%, $F$9) + CHOOSE(CONTROL!$C$27, 0.0021, 0)</f>
        <v>26.145</v>
      </c>
      <c r="K96" s="10">
        <f>26.1429 * CHOOSE(CONTROL!$C$9, $D$9, 100%, $F$9) + CHOOSE(CONTROL!$C$27, 0.0021, 0)</f>
        <v>26.145</v>
      </c>
      <c r="L96" s="10"/>
    </row>
    <row r="97" spans="1:12" ht="15" x14ac:dyDescent="0.2">
      <c r="A97" s="16">
        <v>43862</v>
      </c>
      <c r="B97" s="10">
        <f>25.8883 * CHOOSE(CONTROL!$C$9, $D$9, 100%, $F$9) + CHOOSE(CONTROL!$C$27, 0.0021, 0)</f>
        <v>25.8904</v>
      </c>
      <c r="C97" s="10">
        <f>25.456 * CHOOSE(CONTROL!$C$9, $D$9, 100%, $F$9) + CHOOSE(CONTROL!$C$27, 0.0021, 0)</f>
        <v>25.458099999999998</v>
      </c>
      <c r="D97" s="10">
        <f>25.456 * CHOOSE(CONTROL!$C$9, $D$9, 100%, $F$9) + CHOOSE(CONTROL!$C$27, 0.0021, 0)</f>
        <v>25.458099999999998</v>
      </c>
      <c r="E97" s="10">
        <f>25.3194 * CHOOSE(CONTROL!$C$9, $D$9, 100%, $F$9) + CHOOSE(CONTROL!$C$27, 0.0021, 0)</f>
        <v>25.3215</v>
      </c>
      <c r="F97" s="10">
        <f>25.3194 * CHOOSE(CONTROL!$C$9, $D$9, 100%, $F$9) + CHOOSE(CONTROL!$C$27, 0.0021, 0)</f>
        <v>25.3215</v>
      </c>
      <c r="G97" s="10">
        <f>25.5908 * CHOOSE(CONTROL!$C$9, $D$9, 100%, $F$9) + CHOOSE(CONTROL!$C$27, 0.0021, 0)</f>
        <v>25.5929</v>
      </c>
      <c r="H97" s="10">
        <f>25.456 * CHOOSE(CONTROL!$C$9, $D$9, 100%, $F$9) + CHOOSE(CONTROL!$C$27, 0.0021, 0)</f>
        <v>25.458099999999998</v>
      </c>
      <c r="I97" s="10">
        <f>25.456 * CHOOSE(CONTROL!$C$9, $D$9, 100%, $F$9) + CHOOSE(CONTROL!$C$27, 0.0021, 0)</f>
        <v>25.458099999999998</v>
      </c>
      <c r="J97" s="10">
        <f>25.456 * CHOOSE(CONTROL!$C$9, $D$9, 100%, $F$9) + CHOOSE(CONTROL!$C$27, 0.0021, 0)</f>
        <v>25.458099999999998</v>
      </c>
      <c r="K97" s="10">
        <f>25.456 * CHOOSE(CONTROL!$C$9, $D$9, 100%, $F$9) + CHOOSE(CONTROL!$C$27, 0.0021, 0)</f>
        <v>25.458099999999998</v>
      </c>
      <c r="L97" s="10"/>
    </row>
    <row r="98" spans="1:12" ht="15" x14ac:dyDescent="0.2">
      <c r="A98" s="16">
        <v>43891</v>
      </c>
      <c r="B98" s="10">
        <f>25.6048 * CHOOSE(CONTROL!$C$9, $D$9, 100%, $F$9) + CHOOSE(CONTROL!$C$27, 0.0021, 0)</f>
        <v>25.6069</v>
      </c>
      <c r="C98" s="10">
        <f>25.1725 * CHOOSE(CONTROL!$C$9, $D$9, 100%, $F$9) + CHOOSE(CONTROL!$C$27, 0.0021, 0)</f>
        <v>25.174599999999998</v>
      </c>
      <c r="D98" s="10">
        <f>25.1725 * CHOOSE(CONTROL!$C$9, $D$9, 100%, $F$9) + CHOOSE(CONTROL!$C$27, 0.0021, 0)</f>
        <v>25.174599999999998</v>
      </c>
      <c r="E98" s="10">
        <f>25.0359 * CHOOSE(CONTROL!$C$9, $D$9, 100%, $F$9) + CHOOSE(CONTROL!$C$27, 0.0021, 0)</f>
        <v>25.038</v>
      </c>
      <c r="F98" s="10">
        <f>25.0359 * CHOOSE(CONTROL!$C$9, $D$9, 100%, $F$9) + CHOOSE(CONTROL!$C$27, 0.0021, 0)</f>
        <v>25.038</v>
      </c>
      <c r="G98" s="10">
        <f>25.3072 * CHOOSE(CONTROL!$C$9, $D$9, 100%, $F$9) + CHOOSE(CONTROL!$C$27, 0.0021, 0)</f>
        <v>25.3093</v>
      </c>
      <c r="H98" s="10">
        <f>25.1725 * CHOOSE(CONTROL!$C$9, $D$9, 100%, $F$9) + CHOOSE(CONTROL!$C$27, 0.0021, 0)</f>
        <v>25.174599999999998</v>
      </c>
      <c r="I98" s="10">
        <f>25.1725 * CHOOSE(CONTROL!$C$9, $D$9, 100%, $F$9) + CHOOSE(CONTROL!$C$27, 0.0021, 0)</f>
        <v>25.174599999999998</v>
      </c>
      <c r="J98" s="10">
        <f>25.1725 * CHOOSE(CONTROL!$C$9, $D$9, 100%, $F$9) + CHOOSE(CONTROL!$C$27, 0.0021, 0)</f>
        <v>25.174599999999998</v>
      </c>
      <c r="K98" s="10">
        <f>25.1725 * CHOOSE(CONTROL!$C$9, $D$9, 100%, $F$9) + CHOOSE(CONTROL!$C$27, 0.0021, 0)</f>
        <v>25.174599999999998</v>
      </c>
      <c r="L98" s="10"/>
    </row>
    <row r="99" spans="1:12" ht="15" x14ac:dyDescent="0.2">
      <c r="A99" s="16">
        <v>43922</v>
      </c>
      <c r="B99" s="10">
        <f>25.2662 * CHOOSE(CONTROL!$C$9, $D$9, 100%, $F$9) + CHOOSE(CONTROL!$C$27, 0.0021, 0)</f>
        <v>25.2683</v>
      </c>
      <c r="C99" s="10">
        <f>24.834 * CHOOSE(CONTROL!$C$9, $D$9, 100%, $F$9) + CHOOSE(CONTROL!$C$27, 0.0021, 0)</f>
        <v>24.836099999999998</v>
      </c>
      <c r="D99" s="10">
        <f>24.834 * CHOOSE(CONTROL!$C$9, $D$9, 100%, $F$9) + CHOOSE(CONTROL!$C$27, 0.0021, 0)</f>
        <v>24.836099999999998</v>
      </c>
      <c r="E99" s="10">
        <f>24.6973 * CHOOSE(CONTROL!$C$9, $D$9, 100%, $F$9) + CHOOSE(CONTROL!$C$27, 0.0021, 0)</f>
        <v>24.699399999999997</v>
      </c>
      <c r="F99" s="10">
        <f>24.6973 * CHOOSE(CONTROL!$C$9, $D$9, 100%, $F$9) + CHOOSE(CONTROL!$C$27, 0.0021, 0)</f>
        <v>24.699399999999997</v>
      </c>
      <c r="G99" s="10">
        <f>24.9687 * CHOOSE(CONTROL!$C$9, $D$9, 100%, $F$9) + CHOOSE(CONTROL!$C$27, 0.0021, 0)</f>
        <v>24.970799999999997</v>
      </c>
      <c r="H99" s="10">
        <f>24.834 * CHOOSE(CONTROL!$C$9, $D$9, 100%, $F$9) + CHOOSE(CONTROL!$C$27, 0.0021, 0)</f>
        <v>24.836099999999998</v>
      </c>
      <c r="I99" s="10">
        <f>24.834 * CHOOSE(CONTROL!$C$9, $D$9, 100%, $F$9) + CHOOSE(CONTROL!$C$27, 0.0021, 0)</f>
        <v>24.836099999999998</v>
      </c>
      <c r="J99" s="10">
        <f>24.834 * CHOOSE(CONTROL!$C$9, $D$9, 100%, $F$9) + CHOOSE(CONTROL!$C$27, 0.0021, 0)</f>
        <v>24.836099999999998</v>
      </c>
      <c r="K99" s="10">
        <f>24.834 * CHOOSE(CONTROL!$C$9, $D$9, 100%, $F$9) + CHOOSE(CONTROL!$C$27, 0.0021, 0)</f>
        <v>24.836099999999998</v>
      </c>
      <c r="L99" s="10"/>
    </row>
    <row r="100" spans="1:12" ht="15" x14ac:dyDescent="0.2">
      <c r="A100" s="16">
        <v>43952</v>
      </c>
      <c r="B100" s="10">
        <f>25.7487 * CHOOSE(CONTROL!$C$9, $D$9, 100%, $F$9) + CHOOSE(CONTROL!$C$27, 0.0021, 0)</f>
        <v>25.750799999999998</v>
      </c>
      <c r="C100" s="10">
        <f>25.3164 * CHOOSE(CONTROL!$C$9, $D$9, 100%, $F$9) + CHOOSE(CONTROL!$C$27, 0.0021, 0)</f>
        <v>25.3185</v>
      </c>
      <c r="D100" s="10">
        <f>25.3164 * CHOOSE(CONTROL!$C$9, $D$9, 100%, $F$9) + CHOOSE(CONTROL!$C$27, 0.0021, 0)</f>
        <v>25.3185</v>
      </c>
      <c r="E100" s="10">
        <f>25.1798 * CHOOSE(CONTROL!$C$9, $D$9, 100%, $F$9) + CHOOSE(CONTROL!$C$27, 0.0021, 0)</f>
        <v>25.181899999999999</v>
      </c>
      <c r="F100" s="10">
        <f>25.1798 * CHOOSE(CONTROL!$C$9, $D$9, 100%, $F$9) + CHOOSE(CONTROL!$C$27, 0.0021, 0)</f>
        <v>25.181899999999999</v>
      </c>
      <c r="G100" s="10">
        <f>25.4512 * CHOOSE(CONTROL!$C$9, $D$9, 100%, $F$9) + CHOOSE(CONTROL!$C$27, 0.0021, 0)</f>
        <v>25.453299999999999</v>
      </c>
      <c r="H100" s="10">
        <f>25.3164 * CHOOSE(CONTROL!$C$9, $D$9, 100%, $F$9) + CHOOSE(CONTROL!$C$27, 0.0021, 0)</f>
        <v>25.3185</v>
      </c>
      <c r="I100" s="10">
        <f>25.3164 * CHOOSE(CONTROL!$C$9, $D$9, 100%, $F$9) + CHOOSE(CONTROL!$C$27, 0.0021, 0)</f>
        <v>25.3185</v>
      </c>
      <c r="J100" s="10">
        <f>25.3164 * CHOOSE(CONTROL!$C$9, $D$9, 100%, $F$9) + CHOOSE(CONTROL!$C$27, 0.0021, 0)</f>
        <v>25.3185</v>
      </c>
      <c r="K100" s="10">
        <f>25.3164 * CHOOSE(CONTROL!$C$9, $D$9, 100%, $F$9) + CHOOSE(CONTROL!$C$27, 0.0021, 0)</f>
        <v>25.3185</v>
      </c>
      <c r="L100" s="10"/>
    </row>
    <row r="101" spans="1:12" ht="15" x14ac:dyDescent="0.2">
      <c r="A101" s="16">
        <v>43983</v>
      </c>
      <c r="B101" s="10">
        <f>26.0377 * CHOOSE(CONTROL!$C$9, $D$9, 100%, $F$9) + CHOOSE(CONTROL!$C$27, 0.0021, 0)</f>
        <v>26.0398</v>
      </c>
      <c r="C101" s="10">
        <f>25.6054 * CHOOSE(CONTROL!$C$9, $D$9, 100%, $F$9) + CHOOSE(CONTROL!$C$27, 0.0021, 0)</f>
        <v>25.607499999999998</v>
      </c>
      <c r="D101" s="10">
        <f>25.6054 * CHOOSE(CONTROL!$C$9, $D$9, 100%, $F$9) + CHOOSE(CONTROL!$C$27, 0.0021, 0)</f>
        <v>25.607499999999998</v>
      </c>
      <c r="E101" s="10">
        <f>25.4688 * CHOOSE(CONTROL!$C$9, $D$9, 100%, $F$9) + CHOOSE(CONTROL!$C$27, 0.0021, 0)</f>
        <v>25.4709</v>
      </c>
      <c r="F101" s="10">
        <f>25.4688 * CHOOSE(CONTROL!$C$9, $D$9, 100%, $F$9) + CHOOSE(CONTROL!$C$27, 0.0021, 0)</f>
        <v>25.4709</v>
      </c>
      <c r="G101" s="10">
        <f>25.7401 * CHOOSE(CONTROL!$C$9, $D$9, 100%, $F$9) + CHOOSE(CONTROL!$C$27, 0.0021, 0)</f>
        <v>25.7422</v>
      </c>
      <c r="H101" s="10">
        <f>25.6054 * CHOOSE(CONTROL!$C$9, $D$9, 100%, $F$9) + CHOOSE(CONTROL!$C$27, 0.0021, 0)</f>
        <v>25.607499999999998</v>
      </c>
      <c r="I101" s="10">
        <f>25.6054 * CHOOSE(CONTROL!$C$9, $D$9, 100%, $F$9) + CHOOSE(CONTROL!$C$27, 0.0021, 0)</f>
        <v>25.607499999999998</v>
      </c>
      <c r="J101" s="10">
        <f>25.6054 * CHOOSE(CONTROL!$C$9, $D$9, 100%, $F$9) + CHOOSE(CONTROL!$C$27, 0.0021, 0)</f>
        <v>25.607499999999998</v>
      </c>
      <c r="K101" s="10">
        <f>25.6054 * CHOOSE(CONTROL!$C$9, $D$9, 100%, $F$9) + CHOOSE(CONTROL!$C$27, 0.0021, 0)</f>
        <v>25.607499999999998</v>
      </c>
      <c r="L101" s="10"/>
    </row>
    <row r="102" spans="1:12" ht="15" x14ac:dyDescent="0.2">
      <c r="A102" s="16">
        <v>44013</v>
      </c>
      <c r="B102" s="10">
        <f>26.5144 * CHOOSE(CONTROL!$C$9, $D$9, 100%, $F$9) + CHOOSE(CONTROL!$C$27, 0.0021, 0)</f>
        <v>26.516499999999997</v>
      </c>
      <c r="C102" s="10">
        <f>26.0821 * CHOOSE(CONTROL!$C$9, $D$9, 100%, $F$9) + CHOOSE(CONTROL!$C$27, 0.0021, 0)</f>
        <v>26.084199999999999</v>
      </c>
      <c r="D102" s="10">
        <f>26.0821 * CHOOSE(CONTROL!$C$9, $D$9, 100%, $F$9) + CHOOSE(CONTROL!$C$27, 0.0021, 0)</f>
        <v>26.084199999999999</v>
      </c>
      <c r="E102" s="10">
        <f>25.9455 * CHOOSE(CONTROL!$C$9, $D$9, 100%, $F$9) + CHOOSE(CONTROL!$C$27, 0.0021, 0)</f>
        <v>25.947599999999998</v>
      </c>
      <c r="F102" s="10">
        <f>25.9455 * CHOOSE(CONTROL!$C$9, $D$9, 100%, $F$9) + CHOOSE(CONTROL!$C$27, 0.0021, 0)</f>
        <v>25.947599999999998</v>
      </c>
      <c r="G102" s="10">
        <f>26.2168 * CHOOSE(CONTROL!$C$9, $D$9, 100%, $F$9) + CHOOSE(CONTROL!$C$27, 0.0021, 0)</f>
        <v>26.218899999999998</v>
      </c>
      <c r="H102" s="10">
        <f>26.0821 * CHOOSE(CONTROL!$C$9, $D$9, 100%, $F$9) + CHOOSE(CONTROL!$C$27, 0.0021, 0)</f>
        <v>26.084199999999999</v>
      </c>
      <c r="I102" s="10">
        <f>26.0821 * CHOOSE(CONTROL!$C$9, $D$9, 100%, $F$9) + CHOOSE(CONTROL!$C$27, 0.0021, 0)</f>
        <v>26.084199999999999</v>
      </c>
      <c r="J102" s="10">
        <f>26.0821 * CHOOSE(CONTROL!$C$9, $D$9, 100%, $F$9) + CHOOSE(CONTROL!$C$27, 0.0021, 0)</f>
        <v>26.084199999999999</v>
      </c>
      <c r="K102" s="10">
        <f>26.0821 * CHOOSE(CONTROL!$C$9, $D$9, 100%, $F$9) + CHOOSE(CONTROL!$C$27, 0.0021, 0)</f>
        <v>26.084199999999999</v>
      </c>
      <c r="L102" s="10"/>
    </row>
    <row r="103" spans="1:12" ht="15" x14ac:dyDescent="0.2">
      <c r="A103" s="16">
        <v>44044</v>
      </c>
      <c r="B103" s="10">
        <f>26.6599 * CHOOSE(CONTROL!$C$9, $D$9, 100%, $F$9) + CHOOSE(CONTROL!$C$27, 0.0021, 0)</f>
        <v>26.661999999999999</v>
      </c>
      <c r="C103" s="10">
        <f>26.2276 * CHOOSE(CONTROL!$C$9, $D$9, 100%, $F$9) + CHOOSE(CONTROL!$C$27, 0.0021, 0)</f>
        <v>26.229699999999998</v>
      </c>
      <c r="D103" s="10">
        <f>26.2276 * CHOOSE(CONTROL!$C$9, $D$9, 100%, $F$9) + CHOOSE(CONTROL!$C$27, 0.0021, 0)</f>
        <v>26.229699999999998</v>
      </c>
      <c r="E103" s="10">
        <f>26.091 * CHOOSE(CONTROL!$C$9, $D$9, 100%, $F$9) + CHOOSE(CONTROL!$C$27, 0.0021, 0)</f>
        <v>26.0931</v>
      </c>
      <c r="F103" s="10">
        <f>26.091 * CHOOSE(CONTROL!$C$9, $D$9, 100%, $F$9) + CHOOSE(CONTROL!$C$27, 0.0021, 0)</f>
        <v>26.0931</v>
      </c>
      <c r="G103" s="10">
        <f>26.3623 * CHOOSE(CONTROL!$C$9, $D$9, 100%, $F$9) + CHOOSE(CONTROL!$C$27, 0.0021, 0)</f>
        <v>26.3644</v>
      </c>
      <c r="H103" s="10">
        <f>26.2276 * CHOOSE(CONTROL!$C$9, $D$9, 100%, $F$9) + CHOOSE(CONTROL!$C$27, 0.0021, 0)</f>
        <v>26.229699999999998</v>
      </c>
      <c r="I103" s="10">
        <f>26.2276 * CHOOSE(CONTROL!$C$9, $D$9, 100%, $F$9) + CHOOSE(CONTROL!$C$27, 0.0021, 0)</f>
        <v>26.229699999999998</v>
      </c>
      <c r="J103" s="10">
        <f>26.2276 * CHOOSE(CONTROL!$C$9, $D$9, 100%, $F$9) + CHOOSE(CONTROL!$C$27, 0.0021, 0)</f>
        <v>26.229699999999998</v>
      </c>
      <c r="K103" s="10">
        <f>26.2276 * CHOOSE(CONTROL!$C$9, $D$9, 100%, $F$9) + CHOOSE(CONTROL!$C$27, 0.0021, 0)</f>
        <v>26.229699999999998</v>
      </c>
      <c r="L103" s="10"/>
    </row>
    <row r="104" spans="1:12" ht="15" x14ac:dyDescent="0.2">
      <c r="A104" s="16">
        <v>44075</v>
      </c>
      <c r="B104" s="10">
        <f>27.1554 * CHOOSE(CONTROL!$C$9, $D$9, 100%, $F$9) + CHOOSE(CONTROL!$C$27, 0.0021, 0)</f>
        <v>27.157499999999999</v>
      </c>
      <c r="C104" s="10">
        <f>26.7231 * CHOOSE(CONTROL!$C$9, $D$9, 100%, $F$9) + CHOOSE(CONTROL!$C$27, 0.0021, 0)</f>
        <v>26.725199999999997</v>
      </c>
      <c r="D104" s="10">
        <f>26.7231 * CHOOSE(CONTROL!$C$9, $D$9, 100%, $F$9) + CHOOSE(CONTROL!$C$27, 0.0021, 0)</f>
        <v>26.725199999999997</v>
      </c>
      <c r="E104" s="10">
        <f>26.5865 * CHOOSE(CONTROL!$C$9, $D$9, 100%, $F$9) + CHOOSE(CONTROL!$C$27, 0.0021, 0)</f>
        <v>26.5886</v>
      </c>
      <c r="F104" s="10">
        <f>26.5865 * CHOOSE(CONTROL!$C$9, $D$9, 100%, $F$9) + CHOOSE(CONTROL!$C$27, 0.0021, 0)</f>
        <v>26.5886</v>
      </c>
      <c r="G104" s="10">
        <f>26.8578 * CHOOSE(CONTROL!$C$9, $D$9, 100%, $F$9) + CHOOSE(CONTROL!$C$27, 0.0021, 0)</f>
        <v>26.8599</v>
      </c>
      <c r="H104" s="10">
        <f>26.7231 * CHOOSE(CONTROL!$C$9, $D$9, 100%, $F$9) + CHOOSE(CONTROL!$C$27, 0.0021, 0)</f>
        <v>26.725199999999997</v>
      </c>
      <c r="I104" s="10">
        <f>26.7231 * CHOOSE(CONTROL!$C$9, $D$9, 100%, $F$9) + CHOOSE(CONTROL!$C$27, 0.0021, 0)</f>
        <v>26.725199999999997</v>
      </c>
      <c r="J104" s="10">
        <f>26.7231 * CHOOSE(CONTROL!$C$9, $D$9, 100%, $F$9) + CHOOSE(CONTROL!$C$27, 0.0021, 0)</f>
        <v>26.725199999999997</v>
      </c>
      <c r="K104" s="10">
        <f>26.7231 * CHOOSE(CONTROL!$C$9, $D$9, 100%, $F$9) + CHOOSE(CONTROL!$C$27, 0.0021, 0)</f>
        <v>26.725199999999997</v>
      </c>
      <c r="L104" s="10"/>
    </row>
    <row r="105" spans="1:12" ht="15" x14ac:dyDescent="0.2">
      <c r="A105" s="16">
        <v>44105</v>
      </c>
      <c r="B105" s="10">
        <f>27.7826 * CHOOSE(CONTROL!$C$9, $D$9, 100%, $F$9) + CHOOSE(CONTROL!$C$27, 0.0021, 0)</f>
        <v>27.784699999999997</v>
      </c>
      <c r="C105" s="10">
        <f>27.3504 * CHOOSE(CONTROL!$C$9, $D$9, 100%, $F$9) + CHOOSE(CONTROL!$C$27, 0.0021, 0)</f>
        <v>27.352499999999999</v>
      </c>
      <c r="D105" s="10">
        <f>27.3504 * CHOOSE(CONTROL!$C$9, $D$9, 100%, $F$9) + CHOOSE(CONTROL!$C$27, 0.0021, 0)</f>
        <v>27.352499999999999</v>
      </c>
      <c r="E105" s="10">
        <f>27.2137 * CHOOSE(CONTROL!$C$9, $D$9, 100%, $F$9) + CHOOSE(CONTROL!$C$27, 0.0021, 0)</f>
        <v>27.215799999999998</v>
      </c>
      <c r="F105" s="10">
        <f>27.2137 * CHOOSE(CONTROL!$C$9, $D$9, 100%, $F$9) + CHOOSE(CONTROL!$C$27, 0.0021, 0)</f>
        <v>27.215799999999998</v>
      </c>
      <c r="G105" s="10">
        <f>27.4851 * CHOOSE(CONTROL!$C$9, $D$9, 100%, $F$9) + CHOOSE(CONTROL!$C$27, 0.0021, 0)</f>
        <v>27.487199999999998</v>
      </c>
      <c r="H105" s="10">
        <f>27.3504 * CHOOSE(CONTROL!$C$9, $D$9, 100%, $F$9) + CHOOSE(CONTROL!$C$27, 0.0021, 0)</f>
        <v>27.352499999999999</v>
      </c>
      <c r="I105" s="10">
        <f>27.3504 * CHOOSE(CONTROL!$C$9, $D$9, 100%, $F$9) + CHOOSE(CONTROL!$C$27, 0.0021, 0)</f>
        <v>27.352499999999999</v>
      </c>
      <c r="J105" s="10">
        <f>27.3504 * CHOOSE(CONTROL!$C$9, $D$9, 100%, $F$9) + CHOOSE(CONTROL!$C$27, 0.0021, 0)</f>
        <v>27.352499999999999</v>
      </c>
      <c r="K105" s="10">
        <f>27.3504 * CHOOSE(CONTROL!$C$9, $D$9, 100%, $F$9) + CHOOSE(CONTROL!$C$27, 0.0021, 0)</f>
        <v>27.352499999999999</v>
      </c>
      <c r="L105" s="10"/>
    </row>
    <row r="106" spans="1:12" ht="15" x14ac:dyDescent="0.2">
      <c r="A106" s="16">
        <v>44136</v>
      </c>
      <c r="B106" s="10">
        <f>27.8415 * CHOOSE(CONTROL!$C$9, $D$9, 100%, $F$9) + CHOOSE(CONTROL!$C$27, 0.0021, 0)</f>
        <v>27.843599999999999</v>
      </c>
      <c r="C106" s="10">
        <f>27.4092 * CHOOSE(CONTROL!$C$9, $D$9, 100%, $F$9) + CHOOSE(CONTROL!$C$27, 0.0021, 0)</f>
        <v>27.411299999999997</v>
      </c>
      <c r="D106" s="10">
        <f>27.4092 * CHOOSE(CONTROL!$C$9, $D$9, 100%, $F$9) + CHOOSE(CONTROL!$C$27, 0.0021, 0)</f>
        <v>27.411299999999997</v>
      </c>
      <c r="E106" s="10">
        <f>27.2726 * CHOOSE(CONTROL!$C$9, $D$9, 100%, $F$9) + CHOOSE(CONTROL!$C$27, 0.0021, 0)</f>
        <v>27.274699999999999</v>
      </c>
      <c r="F106" s="10">
        <f>27.2726 * CHOOSE(CONTROL!$C$9, $D$9, 100%, $F$9) + CHOOSE(CONTROL!$C$27, 0.0021, 0)</f>
        <v>27.274699999999999</v>
      </c>
      <c r="G106" s="10">
        <f>27.544 * CHOOSE(CONTROL!$C$9, $D$9, 100%, $F$9) + CHOOSE(CONTROL!$C$27, 0.0021, 0)</f>
        <v>27.546099999999999</v>
      </c>
      <c r="H106" s="10">
        <f>27.4092 * CHOOSE(CONTROL!$C$9, $D$9, 100%, $F$9) + CHOOSE(CONTROL!$C$27, 0.0021, 0)</f>
        <v>27.411299999999997</v>
      </c>
      <c r="I106" s="10">
        <f>27.4092 * CHOOSE(CONTROL!$C$9, $D$9, 100%, $F$9) + CHOOSE(CONTROL!$C$27, 0.0021, 0)</f>
        <v>27.411299999999997</v>
      </c>
      <c r="J106" s="10">
        <f>27.4092 * CHOOSE(CONTROL!$C$9, $D$9, 100%, $F$9) + CHOOSE(CONTROL!$C$27, 0.0021, 0)</f>
        <v>27.411299999999997</v>
      </c>
      <c r="K106" s="10">
        <f>27.4092 * CHOOSE(CONTROL!$C$9, $D$9, 100%, $F$9) + CHOOSE(CONTROL!$C$27, 0.0021, 0)</f>
        <v>27.411299999999997</v>
      </c>
      <c r="L106" s="10"/>
    </row>
    <row r="107" spans="1:12" ht="15" x14ac:dyDescent="0.2">
      <c r="A107" s="16">
        <v>44166</v>
      </c>
      <c r="B107" s="10">
        <f>27.3405 * CHOOSE(CONTROL!$C$9, $D$9, 100%, $F$9) + CHOOSE(CONTROL!$C$27, 0.0021, 0)</f>
        <v>27.342599999999997</v>
      </c>
      <c r="C107" s="10">
        <f>26.9083 * CHOOSE(CONTROL!$C$9, $D$9, 100%, $F$9) + CHOOSE(CONTROL!$C$27, 0.0021, 0)</f>
        <v>26.910399999999999</v>
      </c>
      <c r="D107" s="10">
        <f>26.9083 * CHOOSE(CONTROL!$C$9, $D$9, 100%, $F$9) + CHOOSE(CONTROL!$C$27, 0.0021, 0)</f>
        <v>26.910399999999999</v>
      </c>
      <c r="E107" s="10">
        <f>26.7716 * CHOOSE(CONTROL!$C$9, $D$9, 100%, $F$9) + CHOOSE(CONTROL!$C$27, 0.0021, 0)</f>
        <v>26.773699999999998</v>
      </c>
      <c r="F107" s="10">
        <f>26.7716 * CHOOSE(CONTROL!$C$9, $D$9, 100%, $F$9) + CHOOSE(CONTROL!$C$27, 0.0021, 0)</f>
        <v>26.773699999999998</v>
      </c>
      <c r="G107" s="10">
        <f>27.043 * CHOOSE(CONTROL!$C$9, $D$9, 100%, $F$9) + CHOOSE(CONTROL!$C$27, 0.0021, 0)</f>
        <v>27.045099999999998</v>
      </c>
      <c r="H107" s="10">
        <f>26.9083 * CHOOSE(CONTROL!$C$9, $D$9, 100%, $F$9) + CHOOSE(CONTROL!$C$27, 0.0021, 0)</f>
        <v>26.910399999999999</v>
      </c>
      <c r="I107" s="10">
        <f>26.9083 * CHOOSE(CONTROL!$C$9, $D$9, 100%, $F$9) + CHOOSE(CONTROL!$C$27, 0.0021, 0)</f>
        <v>26.910399999999999</v>
      </c>
      <c r="J107" s="10">
        <f>26.9083 * CHOOSE(CONTROL!$C$9, $D$9, 100%, $F$9) + CHOOSE(CONTROL!$C$27, 0.0021, 0)</f>
        <v>26.910399999999999</v>
      </c>
      <c r="K107" s="10">
        <f>26.9083 * CHOOSE(CONTROL!$C$9, $D$9, 100%, $F$9) + CHOOSE(CONTROL!$C$27, 0.0021, 0)</f>
        <v>26.910399999999999</v>
      </c>
      <c r="L107" s="10"/>
    </row>
    <row r="108" spans="1:12" ht="15" x14ac:dyDescent="0.2">
      <c r="A108" s="16">
        <v>44197</v>
      </c>
      <c r="B108" s="10">
        <f>27.7083 * CHOOSE(CONTROL!$C$9, $D$9, 100%, $F$9) + CHOOSE(CONTROL!$C$27, 0.0021, 0)</f>
        <v>27.7104</v>
      </c>
      <c r="C108" s="10">
        <f>27.276 * CHOOSE(CONTROL!$C$9, $D$9, 100%, $F$9) + CHOOSE(CONTROL!$C$27, 0.0021, 0)</f>
        <v>27.278099999999998</v>
      </c>
      <c r="D108" s="10">
        <f>27.276 * CHOOSE(CONTROL!$C$9, $D$9, 100%, $F$9) + CHOOSE(CONTROL!$C$27, 0.0021, 0)</f>
        <v>27.278099999999998</v>
      </c>
      <c r="E108" s="10">
        <f>27.1394 * CHOOSE(CONTROL!$C$9, $D$9, 100%, $F$9) + CHOOSE(CONTROL!$C$27, 0.0021, 0)</f>
        <v>27.141499999999997</v>
      </c>
      <c r="F108" s="10">
        <f>27.1394 * CHOOSE(CONTROL!$C$9, $D$9, 100%, $F$9) + CHOOSE(CONTROL!$C$27, 0.0021, 0)</f>
        <v>27.141499999999997</v>
      </c>
      <c r="G108" s="10">
        <f>27.4108 * CHOOSE(CONTROL!$C$9, $D$9, 100%, $F$9) + CHOOSE(CONTROL!$C$27, 0.0021, 0)</f>
        <v>27.412899999999997</v>
      </c>
      <c r="H108" s="10">
        <f>27.276 * CHOOSE(CONTROL!$C$9, $D$9, 100%, $F$9) + CHOOSE(CONTROL!$C$27, 0.0021, 0)</f>
        <v>27.278099999999998</v>
      </c>
      <c r="I108" s="10">
        <f>27.276 * CHOOSE(CONTROL!$C$9, $D$9, 100%, $F$9) + CHOOSE(CONTROL!$C$27, 0.0021, 0)</f>
        <v>27.278099999999998</v>
      </c>
      <c r="J108" s="10">
        <f>27.276 * CHOOSE(CONTROL!$C$9, $D$9, 100%, $F$9) + CHOOSE(CONTROL!$C$27, 0.0021, 0)</f>
        <v>27.278099999999998</v>
      </c>
      <c r="K108" s="10">
        <f>27.276 * CHOOSE(CONTROL!$C$9, $D$9, 100%, $F$9) + CHOOSE(CONTROL!$C$27, 0.0021, 0)</f>
        <v>27.278099999999998</v>
      </c>
      <c r="L108" s="10"/>
    </row>
    <row r="109" spans="1:12" ht="15" x14ac:dyDescent="0.2">
      <c r="A109" s="16">
        <v>44228</v>
      </c>
      <c r="B109" s="10">
        <f>26.9894 * CHOOSE(CONTROL!$C$9, $D$9, 100%, $F$9) + CHOOSE(CONTROL!$C$27, 0.0021, 0)</f>
        <v>26.991499999999998</v>
      </c>
      <c r="C109" s="10">
        <f>26.5571 * CHOOSE(CONTROL!$C$9, $D$9, 100%, $F$9) + CHOOSE(CONTROL!$C$27, 0.0021, 0)</f>
        <v>26.559199999999997</v>
      </c>
      <c r="D109" s="10">
        <f>26.5571 * CHOOSE(CONTROL!$C$9, $D$9, 100%, $F$9) + CHOOSE(CONTROL!$C$27, 0.0021, 0)</f>
        <v>26.559199999999997</v>
      </c>
      <c r="E109" s="10">
        <f>26.4205 * CHOOSE(CONTROL!$C$9, $D$9, 100%, $F$9) + CHOOSE(CONTROL!$C$27, 0.0021, 0)</f>
        <v>26.422599999999999</v>
      </c>
      <c r="F109" s="10">
        <f>26.4205 * CHOOSE(CONTROL!$C$9, $D$9, 100%, $F$9) + CHOOSE(CONTROL!$C$27, 0.0021, 0)</f>
        <v>26.422599999999999</v>
      </c>
      <c r="G109" s="10">
        <f>26.6919 * CHOOSE(CONTROL!$C$9, $D$9, 100%, $F$9) + CHOOSE(CONTROL!$C$27, 0.0021, 0)</f>
        <v>26.693999999999999</v>
      </c>
      <c r="H109" s="10">
        <f>26.5571 * CHOOSE(CONTROL!$C$9, $D$9, 100%, $F$9) + CHOOSE(CONTROL!$C$27, 0.0021, 0)</f>
        <v>26.559199999999997</v>
      </c>
      <c r="I109" s="10">
        <f>26.5571 * CHOOSE(CONTROL!$C$9, $D$9, 100%, $F$9) + CHOOSE(CONTROL!$C$27, 0.0021, 0)</f>
        <v>26.559199999999997</v>
      </c>
      <c r="J109" s="10">
        <f>26.5571 * CHOOSE(CONTROL!$C$9, $D$9, 100%, $F$9) + CHOOSE(CONTROL!$C$27, 0.0021, 0)</f>
        <v>26.559199999999997</v>
      </c>
      <c r="K109" s="10">
        <f>26.5571 * CHOOSE(CONTROL!$C$9, $D$9, 100%, $F$9) + CHOOSE(CONTROL!$C$27, 0.0021, 0)</f>
        <v>26.559199999999997</v>
      </c>
      <c r="L109" s="10"/>
    </row>
    <row r="110" spans="1:12" ht="15" x14ac:dyDescent="0.2">
      <c r="A110" s="16">
        <v>44256</v>
      </c>
      <c r="B110" s="10">
        <f>26.6926 * CHOOSE(CONTROL!$C$9, $D$9, 100%, $F$9) + CHOOSE(CONTROL!$C$27, 0.0021, 0)</f>
        <v>26.694699999999997</v>
      </c>
      <c r="C110" s="10">
        <f>26.2604 * CHOOSE(CONTROL!$C$9, $D$9, 100%, $F$9) + CHOOSE(CONTROL!$C$27, 0.0021, 0)</f>
        <v>26.262499999999999</v>
      </c>
      <c r="D110" s="10">
        <f>26.2604 * CHOOSE(CONTROL!$C$9, $D$9, 100%, $F$9) + CHOOSE(CONTROL!$C$27, 0.0021, 0)</f>
        <v>26.262499999999999</v>
      </c>
      <c r="E110" s="10">
        <f>26.1237 * CHOOSE(CONTROL!$C$9, $D$9, 100%, $F$9) + CHOOSE(CONTROL!$C$27, 0.0021, 0)</f>
        <v>26.125799999999998</v>
      </c>
      <c r="F110" s="10">
        <f>26.1237 * CHOOSE(CONTROL!$C$9, $D$9, 100%, $F$9) + CHOOSE(CONTROL!$C$27, 0.0021, 0)</f>
        <v>26.125799999999998</v>
      </c>
      <c r="G110" s="10">
        <f>26.3951 * CHOOSE(CONTROL!$C$9, $D$9, 100%, $F$9) + CHOOSE(CONTROL!$C$27, 0.0021, 0)</f>
        <v>26.397199999999998</v>
      </c>
      <c r="H110" s="10">
        <f>26.2604 * CHOOSE(CONTROL!$C$9, $D$9, 100%, $F$9) + CHOOSE(CONTROL!$C$27, 0.0021, 0)</f>
        <v>26.262499999999999</v>
      </c>
      <c r="I110" s="10">
        <f>26.2604 * CHOOSE(CONTROL!$C$9, $D$9, 100%, $F$9) + CHOOSE(CONTROL!$C$27, 0.0021, 0)</f>
        <v>26.262499999999999</v>
      </c>
      <c r="J110" s="10">
        <f>26.2604 * CHOOSE(CONTROL!$C$9, $D$9, 100%, $F$9) + CHOOSE(CONTROL!$C$27, 0.0021, 0)</f>
        <v>26.262499999999999</v>
      </c>
      <c r="K110" s="10">
        <f>26.2604 * CHOOSE(CONTROL!$C$9, $D$9, 100%, $F$9) + CHOOSE(CONTROL!$C$27, 0.0021, 0)</f>
        <v>26.262499999999999</v>
      </c>
      <c r="L110" s="10"/>
    </row>
    <row r="111" spans="1:12" ht="15" x14ac:dyDescent="0.2">
      <c r="A111" s="16">
        <v>44287</v>
      </c>
      <c r="B111" s="10">
        <f>26.3383 * CHOOSE(CONTROL!$C$9, $D$9, 100%, $F$9) + CHOOSE(CONTROL!$C$27, 0.0021, 0)</f>
        <v>26.340399999999999</v>
      </c>
      <c r="C111" s="10">
        <f>25.906 * CHOOSE(CONTROL!$C$9, $D$9, 100%, $F$9) + CHOOSE(CONTROL!$C$27, 0.0021, 0)</f>
        <v>25.908099999999997</v>
      </c>
      <c r="D111" s="10">
        <f>25.906 * CHOOSE(CONTROL!$C$9, $D$9, 100%, $F$9) + CHOOSE(CONTROL!$C$27, 0.0021, 0)</f>
        <v>25.908099999999997</v>
      </c>
      <c r="E111" s="10">
        <f>25.7694 * CHOOSE(CONTROL!$C$9, $D$9, 100%, $F$9) + CHOOSE(CONTROL!$C$27, 0.0021, 0)</f>
        <v>25.7715</v>
      </c>
      <c r="F111" s="10">
        <f>25.7694 * CHOOSE(CONTROL!$C$9, $D$9, 100%, $F$9) + CHOOSE(CONTROL!$C$27, 0.0021, 0)</f>
        <v>25.7715</v>
      </c>
      <c r="G111" s="10">
        <f>26.0408 * CHOOSE(CONTROL!$C$9, $D$9, 100%, $F$9) + CHOOSE(CONTROL!$C$27, 0.0021, 0)</f>
        <v>26.042899999999999</v>
      </c>
      <c r="H111" s="10">
        <f>25.906 * CHOOSE(CONTROL!$C$9, $D$9, 100%, $F$9) + CHOOSE(CONTROL!$C$27, 0.0021, 0)</f>
        <v>25.908099999999997</v>
      </c>
      <c r="I111" s="10">
        <f>25.906 * CHOOSE(CONTROL!$C$9, $D$9, 100%, $F$9) + CHOOSE(CONTROL!$C$27, 0.0021, 0)</f>
        <v>25.908099999999997</v>
      </c>
      <c r="J111" s="10">
        <f>25.906 * CHOOSE(CONTROL!$C$9, $D$9, 100%, $F$9) + CHOOSE(CONTROL!$C$27, 0.0021, 0)</f>
        <v>25.908099999999997</v>
      </c>
      <c r="K111" s="10">
        <f>25.906 * CHOOSE(CONTROL!$C$9, $D$9, 100%, $F$9) + CHOOSE(CONTROL!$C$27, 0.0021, 0)</f>
        <v>25.908099999999997</v>
      </c>
      <c r="L111" s="10"/>
    </row>
    <row r="112" spans="1:12" ht="15" x14ac:dyDescent="0.2">
      <c r="A112" s="16">
        <v>44317</v>
      </c>
      <c r="B112" s="10">
        <f>26.8433 * CHOOSE(CONTROL!$C$9, $D$9, 100%, $F$9) + CHOOSE(CONTROL!$C$27, 0.0021, 0)</f>
        <v>26.845399999999998</v>
      </c>
      <c r="C112" s="10">
        <f>26.411 * CHOOSE(CONTROL!$C$9, $D$9, 100%, $F$9) + CHOOSE(CONTROL!$C$27, 0.0021, 0)</f>
        <v>26.4131</v>
      </c>
      <c r="D112" s="10">
        <f>26.411 * CHOOSE(CONTROL!$C$9, $D$9, 100%, $F$9) + CHOOSE(CONTROL!$C$27, 0.0021, 0)</f>
        <v>26.4131</v>
      </c>
      <c r="E112" s="10">
        <f>26.2744 * CHOOSE(CONTROL!$C$9, $D$9, 100%, $F$9) + CHOOSE(CONTROL!$C$27, 0.0021, 0)</f>
        <v>26.276499999999999</v>
      </c>
      <c r="F112" s="10">
        <f>26.2744 * CHOOSE(CONTROL!$C$9, $D$9, 100%, $F$9) + CHOOSE(CONTROL!$C$27, 0.0021, 0)</f>
        <v>26.276499999999999</v>
      </c>
      <c r="G112" s="10">
        <f>26.5457 * CHOOSE(CONTROL!$C$9, $D$9, 100%, $F$9) + CHOOSE(CONTROL!$C$27, 0.0021, 0)</f>
        <v>26.547799999999999</v>
      </c>
      <c r="H112" s="10">
        <f>26.411 * CHOOSE(CONTROL!$C$9, $D$9, 100%, $F$9) + CHOOSE(CONTROL!$C$27, 0.0021, 0)</f>
        <v>26.4131</v>
      </c>
      <c r="I112" s="10">
        <f>26.411 * CHOOSE(CONTROL!$C$9, $D$9, 100%, $F$9) + CHOOSE(CONTROL!$C$27, 0.0021, 0)</f>
        <v>26.4131</v>
      </c>
      <c r="J112" s="10">
        <f>26.411 * CHOOSE(CONTROL!$C$9, $D$9, 100%, $F$9) + CHOOSE(CONTROL!$C$27, 0.0021, 0)</f>
        <v>26.4131</v>
      </c>
      <c r="K112" s="10">
        <f>26.411 * CHOOSE(CONTROL!$C$9, $D$9, 100%, $F$9) + CHOOSE(CONTROL!$C$27, 0.0021, 0)</f>
        <v>26.4131</v>
      </c>
      <c r="L112" s="10"/>
    </row>
    <row r="113" spans="1:12" ht="15" x14ac:dyDescent="0.2">
      <c r="A113" s="16">
        <v>44348</v>
      </c>
      <c r="B113" s="10">
        <f>27.1457 * CHOOSE(CONTROL!$C$9, $D$9, 100%, $F$9) + CHOOSE(CONTROL!$C$27, 0.0021, 0)</f>
        <v>27.1478</v>
      </c>
      <c r="C113" s="10">
        <f>26.7135 * CHOOSE(CONTROL!$C$9, $D$9, 100%, $F$9) + CHOOSE(CONTROL!$C$27, 0.0021, 0)</f>
        <v>26.715599999999998</v>
      </c>
      <c r="D113" s="10">
        <f>26.7135 * CHOOSE(CONTROL!$C$9, $D$9, 100%, $F$9) + CHOOSE(CONTROL!$C$27, 0.0021, 0)</f>
        <v>26.715599999999998</v>
      </c>
      <c r="E113" s="10">
        <f>26.5768 * CHOOSE(CONTROL!$C$9, $D$9, 100%, $F$9) + CHOOSE(CONTROL!$C$27, 0.0021, 0)</f>
        <v>26.578899999999997</v>
      </c>
      <c r="F113" s="10">
        <f>26.5768 * CHOOSE(CONTROL!$C$9, $D$9, 100%, $F$9) + CHOOSE(CONTROL!$C$27, 0.0021, 0)</f>
        <v>26.578899999999997</v>
      </c>
      <c r="G113" s="10">
        <f>26.8482 * CHOOSE(CONTROL!$C$9, $D$9, 100%, $F$9) + CHOOSE(CONTROL!$C$27, 0.0021, 0)</f>
        <v>26.850299999999997</v>
      </c>
      <c r="H113" s="10">
        <f>26.7135 * CHOOSE(CONTROL!$C$9, $D$9, 100%, $F$9) + CHOOSE(CONTROL!$C$27, 0.0021, 0)</f>
        <v>26.715599999999998</v>
      </c>
      <c r="I113" s="10">
        <f>26.7135 * CHOOSE(CONTROL!$C$9, $D$9, 100%, $F$9) + CHOOSE(CONTROL!$C$27, 0.0021, 0)</f>
        <v>26.715599999999998</v>
      </c>
      <c r="J113" s="10">
        <f>26.7135 * CHOOSE(CONTROL!$C$9, $D$9, 100%, $F$9) + CHOOSE(CONTROL!$C$27, 0.0021, 0)</f>
        <v>26.715599999999998</v>
      </c>
      <c r="K113" s="10">
        <f>26.7135 * CHOOSE(CONTROL!$C$9, $D$9, 100%, $F$9) + CHOOSE(CONTROL!$C$27, 0.0021, 0)</f>
        <v>26.715599999999998</v>
      </c>
      <c r="L113" s="10"/>
    </row>
    <row r="114" spans="1:12" ht="15" x14ac:dyDescent="0.2">
      <c r="A114" s="16">
        <v>44378</v>
      </c>
      <c r="B114" s="10">
        <f>27.6447 * CHOOSE(CONTROL!$C$9, $D$9, 100%, $F$9) + CHOOSE(CONTROL!$C$27, 0.0021, 0)</f>
        <v>27.646799999999999</v>
      </c>
      <c r="C114" s="10">
        <f>27.2124 * CHOOSE(CONTROL!$C$9, $D$9, 100%, $F$9) + CHOOSE(CONTROL!$C$27, 0.0021, 0)</f>
        <v>27.214499999999997</v>
      </c>
      <c r="D114" s="10">
        <f>27.2124 * CHOOSE(CONTROL!$C$9, $D$9, 100%, $F$9) + CHOOSE(CONTROL!$C$27, 0.0021, 0)</f>
        <v>27.214499999999997</v>
      </c>
      <c r="E114" s="10">
        <f>27.0758 * CHOOSE(CONTROL!$C$9, $D$9, 100%, $F$9) + CHOOSE(CONTROL!$C$27, 0.0021, 0)</f>
        <v>27.0779</v>
      </c>
      <c r="F114" s="10">
        <f>27.0758 * CHOOSE(CONTROL!$C$9, $D$9, 100%, $F$9) + CHOOSE(CONTROL!$C$27, 0.0021, 0)</f>
        <v>27.0779</v>
      </c>
      <c r="G114" s="10">
        <f>27.3471 * CHOOSE(CONTROL!$C$9, $D$9, 100%, $F$9) + CHOOSE(CONTROL!$C$27, 0.0021, 0)</f>
        <v>27.3492</v>
      </c>
      <c r="H114" s="10">
        <f>27.2124 * CHOOSE(CONTROL!$C$9, $D$9, 100%, $F$9) + CHOOSE(CONTROL!$C$27, 0.0021, 0)</f>
        <v>27.214499999999997</v>
      </c>
      <c r="I114" s="10">
        <f>27.2124 * CHOOSE(CONTROL!$C$9, $D$9, 100%, $F$9) + CHOOSE(CONTROL!$C$27, 0.0021, 0)</f>
        <v>27.214499999999997</v>
      </c>
      <c r="J114" s="10">
        <f>27.2124 * CHOOSE(CONTROL!$C$9, $D$9, 100%, $F$9) + CHOOSE(CONTROL!$C$27, 0.0021, 0)</f>
        <v>27.214499999999997</v>
      </c>
      <c r="K114" s="10">
        <f>27.2124 * CHOOSE(CONTROL!$C$9, $D$9, 100%, $F$9) + CHOOSE(CONTROL!$C$27, 0.0021, 0)</f>
        <v>27.214499999999997</v>
      </c>
      <c r="L114" s="10"/>
    </row>
    <row r="115" spans="1:12" ht="15" x14ac:dyDescent="0.2">
      <c r="A115" s="16">
        <v>44409</v>
      </c>
      <c r="B115" s="10">
        <f>27.797 * CHOOSE(CONTROL!$C$9, $D$9, 100%, $F$9) + CHOOSE(CONTROL!$C$27, 0.0021, 0)</f>
        <v>27.799099999999999</v>
      </c>
      <c r="C115" s="10">
        <f>27.3647 * CHOOSE(CONTROL!$C$9, $D$9, 100%, $F$9) + CHOOSE(CONTROL!$C$27, 0.0021, 0)</f>
        <v>27.366799999999998</v>
      </c>
      <c r="D115" s="10">
        <f>27.3647 * CHOOSE(CONTROL!$C$9, $D$9, 100%, $F$9) + CHOOSE(CONTROL!$C$27, 0.0021, 0)</f>
        <v>27.366799999999998</v>
      </c>
      <c r="E115" s="10">
        <f>27.2281 * CHOOSE(CONTROL!$C$9, $D$9, 100%, $F$9) + CHOOSE(CONTROL!$C$27, 0.0021, 0)</f>
        <v>27.2302</v>
      </c>
      <c r="F115" s="10">
        <f>27.2281 * CHOOSE(CONTROL!$C$9, $D$9, 100%, $F$9) + CHOOSE(CONTROL!$C$27, 0.0021, 0)</f>
        <v>27.2302</v>
      </c>
      <c r="G115" s="10">
        <f>27.4994 * CHOOSE(CONTROL!$C$9, $D$9, 100%, $F$9) + CHOOSE(CONTROL!$C$27, 0.0021, 0)</f>
        <v>27.5015</v>
      </c>
      <c r="H115" s="10">
        <f>27.3647 * CHOOSE(CONTROL!$C$9, $D$9, 100%, $F$9) + CHOOSE(CONTROL!$C$27, 0.0021, 0)</f>
        <v>27.366799999999998</v>
      </c>
      <c r="I115" s="10">
        <f>27.3647 * CHOOSE(CONTROL!$C$9, $D$9, 100%, $F$9) + CHOOSE(CONTROL!$C$27, 0.0021, 0)</f>
        <v>27.366799999999998</v>
      </c>
      <c r="J115" s="10">
        <f>27.3647 * CHOOSE(CONTROL!$C$9, $D$9, 100%, $F$9) + CHOOSE(CONTROL!$C$27, 0.0021, 0)</f>
        <v>27.366799999999998</v>
      </c>
      <c r="K115" s="10">
        <f>27.3647 * CHOOSE(CONTROL!$C$9, $D$9, 100%, $F$9) + CHOOSE(CONTROL!$C$27, 0.0021, 0)</f>
        <v>27.366799999999998</v>
      </c>
      <c r="L115" s="10"/>
    </row>
    <row r="116" spans="1:12" ht="15" x14ac:dyDescent="0.2">
      <c r="A116" s="16">
        <v>44440</v>
      </c>
      <c r="B116" s="10">
        <f>28.3156 * CHOOSE(CONTROL!$C$9, $D$9, 100%, $F$9) + CHOOSE(CONTROL!$C$27, 0.0021, 0)</f>
        <v>28.317699999999999</v>
      </c>
      <c r="C116" s="10">
        <f>27.8834 * CHOOSE(CONTROL!$C$9, $D$9, 100%, $F$9) + CHOOSE(CONTROL!$C$27, 0.0021, 0)</f>
        <v>27.8855</v>
      </c>
      <c r="D116" s="10">
        <f>27.8834 * CHOOSE(CONTROL!$C$9, $D$9, 100%, $F$9) + CHOOSE(CONTROL!$C$27, 0.0021, 0)</f>
        <v>27.8855</v>
      </c>
      <c r="E116" s="10">
        <f>27.7467 * CHOOSE(CONTROL!$C$9, $D$9, 100%, $F$9) + CHOOSE(CONTROL!$C$27, 0.0021, 0)</f>
        <v>27.748799999999999</v>
      </c>
      <c r="F116" s="10">
        <f>27.7467 * CHOOSE(CONTROL!$C$9, $D$9, 100%, $F$9) + CHOOSE(CONTROL!$C$27, 0.0021, 0)</f>
        <v>27.748799999999999</v>
      </c>
      <c r="G116" s="10">
        <f>28.0181 * CHOOSE(CONTROL!$C$9, $D$9, 100%, $F$9) + CHOOSE(CONTROL!$C$27, 0.0021, 0)</f>
        <v>28.020199999999999</v>
      </c>
      <c r="H116" s="10">
        <f>27.8834 * CHOOSE(CONTROL!$C$9, $D$9, 100%, $F$9) + CHOOSE(CONTROL!$C$27, 0.0021, 0)</f>
        <v>27.8855</v>
      </c>
      <c r="I116" s="10">
        <f>27.8834 * CHOOSE(CONTROL!$C$9, $D$9, 100%, $F$9) + CHOOSE(CONTROL!$C$27, 0.0021, 0)</f>
        <v>27.8855</v>
      </c>
      <c r="J116" s="10">
        <f>27.8834 * CHOOSE(CONTROL!$C$9, $D$9, 100%, $F$9) + CHOOSE(CONTROL!$C$27, 0.0021, 0)</f>
        <v>27.8855</v>
      </c>
      <c r="K116" s="10">
        <f>27.8834 * CHOOSE(CONTROL!$C$9, $D$9, 100%, $F$9) + CHOOSE(CONTROL!$C$27, 0.0021, 0)</f>
        <v>27.8855</v>
      </c>
      <c r="L116" s="10"/>
    </row>
    <row r="117" spans="1:12" ht="15" x14ac:dyDescent="0.2">
      <c r="A117" s="16">
        <v>44470</v>
      </c>
      <c r="B117" s="10">
        <f>28.9721 * CHOOSE(CONTROL!$C$9, $D$9, 100%, $F$9) + CHOOSE(CONTROL!$C$27, 0.0021, 0)</f>
        <v>28.9742</v>
      </c>
      <c r="C117" s="10">
        <f>28.5399 * CHOOSE(CONTROL!$C$9, $D$9, 100%, $F$9) + CHOOSE(CONTROL!$C$27, 0.0021, 0)</f>
        <v>28.541999999999998</v>
      </c>
      <c r="D117" s="10">
        <f>28.5399 * CHOOSE(CONTROL!$C$9, $D$9, 100%, $F$9) + CHOOSE(CONTROL!$C$27, 0.0021, 0)</f>
        <v>28.541999999999998</v>
      </c>
      <c r="E117" s="10">
        <f>28.4032 * CHOOSE(CONTROL!$C$9, $D$9, 100%, $F$9) + CHOOSE(CONTROL!$C$27, 0.0021, 0)</f>
        <v>28.405299999999997</v>
      </c>
      <c r="F117" s="10">
        <f>28.4032 * CHOOSE(CONTROL!$C$9, $D$9, 100%, $F$9) + CHOOSE(CONTROL!$C$27, 0.0021, 0)</f>
        <v>28.405299999999997</v>
      </c>
      <c r="G117" s="10">
        <f>28.6746 * CHOOSE(CONTROL!$C$9, $D$9, 100%, $F$9) + CHOOSE(CONTROL!$C$27, 0.0021, 0)</f>
        <v>28.6767</v>
      </c>
      <c r="H117" s="10">
        <f>28.5399 * CHOOSE(CONTROL!$C$9, $D$9, 100%, $F$9) + CHOOSE(CONTROL!$C$27, 0.0021, 0)</f>
        <v>28.541999999999998</v>
      </c>
      <c r="I117" s="10">
        <f>28.5399 * CHOOSE(CONTROL!$C$9, $D$9, 100%, $F$9) + CHOOSE(CONTROL!$C$27, 0.0021, 0)</f>
        <v>28.541999999999998</v>
      </c>
      <c r="J117" s="10">
        <f>28.5399 * CHOOSE(CONTROL!$C$9, $D$9, 100%, $F$9) + CHOOSE(CONTROL!$C$27, 0.0021, 0)</f>
        <v>28.541999999999998</v>
      </c>
      <c r="K117" s="10">
        <f>28.5399 * CHOOSE(CONTROL!$C$9, $D$9, 100%, $F$9) + CHOOSE(CONTROL!$C$27, 0.0021, 0)</f>
        <v>28.541999999999998</v>
      </c>
      <c r="L117" s="10"/>
    </row>
    <row r="118" spans="1:12" ht="15" x14ac:dyDescent="0.2">
      <c r="A118" s="16">
        <v>44501</v>
      </c>
      <c r="B118" s="10">
        <f>29.0337 * CHOOSE(CONTROL!$C$9, $D$9, 100%, $F$9) + CHOOSE(CONTROL!$C$27, 0.0021, 0)</f>
        <v>29.035799999999998</v>
      </c>
      <c r="C118" s="10">
        <f>28.6015 * CHOOSE(CONTROL!$C$9, $D$9, 100%, $F$9) + CHOOSE(CONTROL!$C$27, 0.0021, 0)</f>
        <v>28.6036</v>
      </c>
      <c r="D118" s="10">
        <f>28.6015 * CHOOSE(CONTROL!$C$9, $D$9, 100%, $F$9) + CHOOSE(CONTROL!$C$27, 0.0021, 0)</f>
        <v>28.6036</v>
      </c>
      <c r="E118" s="10">
        <f>28.4648 * CHOOSE(CONTROL!$C$9, $D$9, 100%, $F$9) + CHOOSE(CONTROL!$C$27, 0.0021, 0)</f>
        <v>28.466899999999999</v>
      </c>
      <c r="F118" s="10">
        <f>28.4648 * CHOOSE(CONTROL!$C$9, $D$9, 100%, $F$9) + CHOOSE(CONTROL!$C$27, 0.0021, 0)</f>
        <v>28.466899999999999</v>
      </c>
      <c r="G118" s="10">
        <f>28.7362 * CHOOSE(CONTROL!$C$9, $D$9, 100%, $F$9) + CHOOSE(CONTROL!$C$27, 0.0021, 0)</f>
        <v>28.738299999999999</v>
      </c>
      <c r="H118" s="10">
        <f>28.6015 * CHOOSE(CONTROL!$C$9, $D$9, 100%, $F$9) + CHOOSE(CONTROL!$C$27, 0.0021, 0)</f>
        <v>28.6036</v>
      </c>
      <c r="I118" s="10">
        <f>28.6015 * CHOOSE(CONTROL!$C$9, $D$9, 100%, $F$9) + CHOOSE(CONTROL!$C$27, 0.0021, 0)</f>
        <v>28.6036</v>
      </c>
      <c r="J118" s="10">
        <f>28.6015 * CHOOSE(CONTROL!$C$9, $D$9, 100%, $F$9) + CHOOSE(CONTROL!$C$27, 0.0021, 0)</f>
        <v>28.6036</v>
      </c>
      <c r="K118" s="10">
        <f>28.6015 * CHOOSE(CONTROL!$C$9, $D$9, 100%, $F$9) + CHOOSE(CONTROL!$C$27, 0.0021, 0)</f>
        <v>28.6036</v>
      </c>
      <c r="L118" s="10"/>
    </row>
    <row r="119" spans="1:12" ht="15" x14ac:dyDescent="0.2">
      <c r="A119" s="16">
        <v>44531</v>
      </c>
      <c r="B119" s="10">
        <f>28.5094 * CHOOSE(CONTROL!$C$9, $D$9, 100%, $F$9) + CHOOSE(CONTROL!$C$27, 0.0021, 0)</f>
        <v>28.511499999999998</v>
      </c>
      <c r="C119" s="10">
        <f>28.0771 * CHOOSE(CONTROL!$C$9, $D$9, 100%, $F$9) + CHOOSE(CONTROL!$C$27, 0.0021, 0)</f>
        <v>28.0792</v>
      </c>
      <c r="D119" s="10">
        <f>28.0771 * CHOOSE(CONTROL!$C$9, $D$9, 100%, $F$9) + CHOOSE(CONTROL!$C$27, 0.0021, 0)</f>
        <v>28.0792</v>
      </c>
      <c r="E119" s="10">
        <f>27.9405 * CHOOSE(CONTROL!$C$9, $D$9, 100%, $F$9) + CHOOSE(CONTROL!$C$27, 0.0021, 0)</f>
        <v>27.942599999999999</v>
      </c>
      <c r="F119" s="10">
        <f>27.9405 * CHOOSE(CONTROL!$C$9, $D$9, 100%, $F$9) + CHOOSE(CONTROL!$C$27, 0.0021, 0)</f>
        <v>27.942599999999999</v>
      </c>
      <c r="G119" s="10">
        <f>28.2119 * CHOOSE(CONTROL!$C$9, $D$9, 100%, $F$9) + CHOOSE(CONTROL!$C$27, 0.0021, 0)</f>
        <v>28.213999999999999</v>
      </c>
      <c r="H119" s="10">
        <f>28.0771 * CHOOSE(CONTROL!$C$9, $D$9, 100%, $F$9) + CHOOSE(CONTROL!$C$27, 0.0021, 0)</f>
        <v>28.0792</v>
      </c>
      <c r="I119" s="10">
        <f>28.0771 * CHOOSE(CONTROL!$C$9, $D$9, 100%, $F$9) + CHOOSE(CONTROL!$C$27, 0.0021, 0)</f>
        <v>28.0792</v>
      </c>
      <c r="J119" s="10">
        <f>28.0771 * CHOOSE(CONTROL!$C$9, $D$9, 100%, $F$9) + CHOOSE(CONTROL!$C$27, 0.0021, 0)</f>
        <v>28.0792</v>
      </c>
      <c r="K119" s="10">
        <f>28.0771 * CHOOSE(CONTROL!$C$9, $D$9, 100%, $F$9) + CHOOSE(CONTROL!$C$27, 0.0021, 0)</f>
        <v>28.0792</v>
      </c>
      <c r="L119" s="10"/>
    </row>
    <row r="120" spans="1:12" ht="15" x14ac:dyDescent="0.2">
      <c r="A120" s="16">
        <v>44562</v>
      </c>
      <c r="B120" s="10">
        <f>29.021 * CHOOSE(CONTROL!$C$9, $D$9, 100%, $F$9) + CHOOSE(CONTROL!$C$27, 0.0021, 0)</f>
        <v>29.023099999999999</v>
      </c>
      <c r="C120" s="10">
        <f>28.5888 * CHOOSE(CONTROL!$C$9, $D$9, 100%, $F$9) + CHOOSE(CONTROL!$C$27, 0.0021, 0)</f>
        <v>28.590899999999998</v>
      </c>
      <c r="D120" s="10">
        <f>28.5888 * CHOOSE(CONTROL!$C$9, $D$9, 100%, $F$9) + CHOOSE(CONTROL!$C$27, 0.0021, 0)</f>
        <v>28.590899999999998</v>
      </c>
      <c r="E120" s="10">
        <f>28.4521 * CHOOSE(CONTROL!$C$9, $D$9, 100%, $F$9) + CHOOSE(CONTROL!$C$27, 0.0021, 0)</f>
        <v>28.4542</v>
      </c>
      <c r="F120" s="10">
        <f>28.4521 * CHOOSE(CONTROL!$C$9, $D$9, 100%, $F$9) + CHOOSE(CONTROL!$C$27, 0.0021, 0)</f>
        <v>28.4542</v>
      </c>
      <c r="G120" s="10">
        <f>28.7235 * CHOOSE(CONTROL!$C$9, $D$9, 100%, $F$9) + CHOOSE(CONTROL!$C$27, 0.0021, 0)</f>
        <v>28.7256</v>
      </c>
      <c r="H120" s="10">
        <f>28.5888 * CHOOSE(CONTROL!$C$9, $D$9, 100%, $F$9) + CHOOSE(CONTROL!$C$27, 0.0021, 0)</f>
        <v>28.590899999999998</v>
      </c>
      <c r="I120" s="10">
        <f>28.5888 * CHOOSE(CONTROL!$C$9, $D$9, 100%, $F$9) + CHOOSE(CONTROL!$C$27, 0.0021, 0)</f>
        <v>28.590899999999998</v>
      </c>
      <c r="J120" s="10">
        <f>28.5888 * CHOOSE(CONTROL!$C$9, $D$9, 100%, $F$9) + CHOOSE(CONTROL!$C$27, 0.0021, 0)</f>
        <v>28.590899999999998</v>
      </c>
      <c r="K120" s="10">
        <f>28.5888 * CHOOSE(CONTROL!$C$9, $D$9, 100%, $F$9) + CHOOSE(CONTROL!$C$27, 0.0021, 0)</f>
        <v>28.590899999999998</v>
      </c>
      <c r="L120" s="10"/>
    </row>
    <row r="121" spans="1:12" ht="15" x14ac:dyDescent="0.2">
      <c r="A121" s="16">
        <v>44593</v>
      </c>
      <c r="B121" s="10">
        <f>28.265 * CHOOSE(CONTROL!$C$9, $D$9, 100%, $F$9) + CHOOSE(CONTROL!$C$27, 0.0021, 0)</f>
        <v>28.267099999999999</v>
      </c>
      <c r="C121" s="10">
        <f>27.8327 * CHOOSE(CONTROL!$C$9, $D$9, 100%, $F$9) + CHOOSE(CONTROL!$C$27, 0.0021, 0)</f>
        <v>27.834799999999998</v>
      </c>
      <c r="D121" s="10">
        <f>27.8327 * CHOOSE(CONTROL!$C$9, $D$9, 100%, $F$9) + CHOOSE(CONTROL!$C$27, 0.0021, 0)</f>
        <v>27.834799999999998</v>
      </c>
      <c r="E121" s="10">
        <f>27.6961 * CHOOSE(CONTROL!$C$9, $D$9, 100%, $F$9) + CHOOSE(CONTROL!$C$27, 0.0021, 0)</f>
        <v>27.6982</v>
      </c>
      <c r="F121" s="10">
        <f>27.6961 * CHOOSE(CONTROL!$C$9, $D$9, 100%, $F$9) + CHOOSE(CONTROL!$C$27, 0.0021, 0)</f>
        <v>27.6982</v>
      </c>
      <c r="G121" s="10">
        <f>27.9674 * CHOOSE(CONTROL!$C$9, $D$9, 100%, $F$9) + CHOOSE(CONTROL!$C$27, 0.0021, 0)</f>
        <v>27.9695</v>
      </c>
      <c r="H121" s="10">
        <f>27.8327 * CHOOSE(CONTROL!$C$9, $D$9, 100%, $F$9) + CHOOSE(CONTROL!$C$27, 0.0021, 0)</f>
        <v>27.834799999999998</v>
      </c>
      <c r="I121" s="10">
        <f>27.8327 * CHOOSE(CONTROL!$C$9, $D$9, 100%, $F$9) + CHOOSE(CONTROL!$C$27, 0.0021, 0)</f>
        <v>27.834799999999998</v>
      </c>
      <c r="J121" s="10">
        <f>27.8327 * CHOOSE(CONTROL!$C$9, $D$9, 100%, $F$9) + CHOOSE(CONTROL!$C$27, 0.0021, 0)</f>
        <v>27.834799999999998</v>
      </c>
      <c r="K121" s="10">
        <f>27.8327 * CHOOSE(CONTROL!$C$9, $D$9, 100%, $F$9) + CHOOSE(CONTROL!$C$27, 0.0021, 0)</f>
        <v>27.834799999999998</v>
      </c>
      <c r="L121" s="10"/>
    </row>
    <row r="122" spans="1:12" ht="15" x14ac:dyDescent="0.2">
      <c r="A122" s="16">
        <v>44621</v>
      </c>
      <c r="B122" s="10">
        <f>27.9529 * CHOOSE(CONTROL!$C$9, $D$9, 100%, $F$9) + CHOOSE(CONTROL!$C$27, 0.0021, 0)</f>
        <v>27.954999999999998</v>
      </c>
      <c r="C122" s="10">
        <f>27.5206 * CHOOSE(CONTROL!$C$9, $D$9, 100%, $F$9) + CHOOSE(CONTROL!$C$27, 0.0021, 0)</f>
        <v>27.5227</v>
      </c>
      <c r="D122" s="10">
        <f>27.5206 * CHOOSE(CONTROL!$C$9, $D$9, 100%, $F$9) + CHOOSE(CONTROL!$C$27, 0.0021, 0)</f>
        <v>27.5227</v>
      </c>
      <c r="E122" s="10">
        <f>27.384 * CHOOSE(CONTROL!$C$9, $D$9, 100%, $F$9) + CHOOSE(CONTROL!$C$27, 0.0021, 0)</f>
        <v>27.386099999999999</v>
      </c>
      <c r="F122" s="10">
        <f>27.384 * CHOOSE(CONTROL!$C$9, $D$9, 100%, $F$9) + CHOOSE(CONTROL!$C$27, 0.0021, 0)</f>
        <v>27.386099999999999</v>
      </c>
      <c r="G122" s="10">
        <f>27.6554 * CHOOSE(CONTROL!$C$9, $D$9, 100%, $F$9) + CHOOSE(CONTROL!$C$27, 0.0021, 0)</f>
        <v>27.657499999999999</v>
      </c>
      <c r="H122" s="10">
        <f>27.5206 * CHOOSE(CONTROL!$C$9, $D$9, 100%, $F$9) + CHOOSE(CONTROL!$C$27, 0.0021, 0)</f>
        <v>27.5227</v>
      </c>
      <c r="I122" s="10">
        <f>27.5206 * CHOOSE(CONTROL!$C$9, $D$9, 100%, $F$9) + CHOOSE(CONTROL!$C$27, 0.0021, 0)</f>
        <v>27.5227</v>
      </c>
      <c r="J122" s="10">
        <f>27.5206 * CHOOSE(CONTROL!$C$9, $D$9, 100%, $F$9) + CHOOSE(CONTROL!$C$27, 0.0021, 0)</f>
        <v>27.5227</v>
      </c>
      <c r="K122" s="10">
        <f>27.5206 * CHOOSE(CONTROL!$C$9, $D$9, 100%, $F$9) + CHOOSE(CONTROL!$C$27, 0.0021, 0)</f>
        <v>27.5227</v>
      </c>
      <c r="L122" s="10"/>
    </row>
    <row r="123" spans="1:12" ht="15" x14ac:dyDescent="0.2">
      <c r="A123" s="16">
        <v>44652</v>
      </c>
      <c r="B123" s="10">
        <f>27.5802 * CHOOSE(CONTROL!$C$9, $D$9, 100%, $F$9) + CHOOSE(CONTROL!$C$27, 0.0021, 0)</f>
        <v>27.5823</v>
      </c>
      <c r="C123" s="10">
        <f>27.148 * CHOOSE(CONTROL!$C$9, $D$9, 100%, $F$9) + CHOOSE(CONTROL!$C$27, 0.0021, 0)</f>
        <v>27.150099999999998</v>
      </c>
      <c r="D123" s="10">
        <f>27.148 * CHOOSE(CONTROL!$C$9, $D$9, 100%, $F$9) + CHOOSE(CONTROL!$C$27, 0.0021, 0)</f>
        <v>27.150099999999998</v>
      </c>
      <c r="E123" s="10">
        <f>27.0113 * CHOOSE(CONTROL!$C$9, $D$9, 100%, $F$9) + CHOOSE(CONTROL!$C$27, 0.0021, 0)</f>
        <v>27.013399999999997</v>
      </c>
      <c r="F123" s="10">
        <f>27.0113 * CHOOSE(CONTROL!$C$9, $D$9, 100%, $F$9) + CHOOSE(CONTROL!$C$27, 0.0021, 0)</f>
        <v>27.013399999999997</v>
      </c>
      <c r="G123" s="10">
        <f>27.2827 * CHOOSE(CONTROL!$C$9, $D$9, 100%, $F$9) + CHOOSE(CONTROL!$C$27, 0.0021, 0)</f>
        <v>27.284799999999997</v>
      </c>
      <c r="H123" s="10">
        <f>27.148 * CHOOSE(CONTROL!$C$9, $D$9, 100%, $F$9) + CHOOSE(CONTROL!$C$27, 0.0021, 0)</f>
        <v>27.150099999999998</v>
      </c>
      <c r="I123" s="10">
        <f>27.148 * CHOOSE(CONTROL!$C$9, $D$9, 100%, $F$9) + CHOOSE(CONTROL!$C$27, 0.0021, 0)</f>
        <v>27.150099999999998</v>
      </c>
      <c r="J123" s="10">
        <f>27.148 * CHOOSE(CONTROL!$C$9, $D$9, 100%, $F$9) + CHOOSE(CONTROL!$C$27, 0.0021, 0)</f>
        <v>27.150099999999998</v>
      </c>
      <c r="K123" s="10">
        <f>27.148 * CHOOSE(CONTROL!$C$9, $D$9, 100%, $F$9) + CHOOSE(CONTROL!$C$27, 0.0021, 0)</f>
        <v>27.150099999999998</v>
      </c>
      <c r="L123" s="10"/>
    </row>
    <row r="124" spans="1:12" ht="15" x14ac:dyDescent="0.2">
      <c r="A124" s="16">
        <v>44682</v>
      </c>
      <c r="B124" s="10">
        <f>28.1113 * CHOOSE(CONTROL!$C$9, $D$9, 100%, $F$9) + CHOOSE(CONTROL!$C$27, 0.0021, 0)</f>
        <v>28.113399999999999</v>
      </c>
      <c r="C124" s="10">
        <f>27.6791 * CHOOSE(CONTROL!$C$9, $D$9, 100%, $F$9) + CHOOSE(CONTROL!$C$27, 0.0021, 0)</f>
        <v>27.681199999999997</v>
      </c>
      <c r="D124" s="10">
        <f>27.6791 * CHOOSE(CONTROL!$C$9, $D$9, 100%, $F$9) + CHOOSE(CONTROL!$C$27, 0.0021, 0)</f>
        <v>27.681199999999997</v>
      </c>
      <c r="E124" s="10">
        <f>27.5424 * CHOOSE(CONTROL!$C$9, $D$9, 100%, $F$9) + CHOOSE(CONTROL!$C$27, 0.0021, 0)</f>
        <v>27.544499999999999</v>
      </c>
      <c r="F124" s="10">
        <f>27.5424 * CHOOSE(CONTROL!$C$9, $D$9, 100%, $F$9) + CHOOSE(CONTROL!$C$27, 0.0021, 0)</f>
        <v>27.544499999999999</v>
      </c>
      <c r="G124" s="10">
        <f>27.8138 * CHOOSE(CONTROL!$C$9, $D$9, 100%, $F$9) + CHOOSE(CONTROL!$C$27, 0.0021, 0)</f>
        <v>27.815899999999999</v>
      </c>
      <c r="H124" s="10">
        <f>27.6791 * CHOOSE(CONTROL!$C$9, $D$9, 100%, $F$9) + CHOOSE(CONTROL!$C$27, 0.0021, 0)</f>
        <v>27.681199999999997</v>
      </c>
      <c r="I124" s="10">
        <f>27.6791 * CHOOSE(CONTROL!$C$9, $D$9, 100%, $F$9) + CHOOSE(CONTROL!$C$27, 0.0021, 0)</f>
        <v>27.681199999999997</v>
      </c>
      <c r="J124" s="10">
        <f>27.6791 * CHOOSE(CONTROL!$C$9, $D$9, 100%, $F$9) + CHOOSE(CONTROL!$C$27, 0.0021, 0)</f>
        <v>27.681199999999997</v>
      </c>
      <c r="K124" s="10">
        <f>27.6791 * CHOOSE(CONTROL!$C$9, $D$9, 100%, $F$9) + CHOOSE(CONTROL!$C$27, 0.0021, 0)</f>
        <v>27.681199999999997</v>
      </c>
      <c r="L124" s="10"/>
    </row>
    <row r="125" spans="1:12" ht="15" x14ac:dyDescent="0.2">
      <c r="A125" s="16">
        <v>44713</v>
      </c>
      <c r="B125" s="10">
        <f>28.4294 * CHOOSE(CONTROL!$C$9, $D$9, 100%, $F$9) + CHOOSE(CONTROL!$C$27, 0.0021, 0)</f>
        <v>28.4315</v>
      </c>
      <c r="C125" s="10">
        <f>27.9971 * CHOOSE(CONTROL!$C$9, $D$9, 100%, $F$9) + CHOOSE(CONTROL!$C$27, 0.0021, 0)</f>
        <v>27.999199999999998</v>
      </c>
      <c r="D125" s="10">
        <f>27.9971 * CHOOSE(CONTROL!$C$9, $D$9, 100%, $F$9) + CHOOSE(CONTROL!$C$27, 0.0021, 0)</f>
        <v>27.999199999999998</v>
      </c>
      <c r="E125" s="10">
        <f>27.8605 * CHOOSE(CONTROL!$C$9, $D$9, 100%, $F$9) + CHOOSE(CONTROL!$C$27, 0.0021, 0)</f>
        <v>27.862599999999997</v>
      </c>
      <c r="F125" s="10">
        <f>27.8605 * CHOOSE(CONTROL!$C$9, $D$9, 100%, $F$9) + CHOOSE(CONTROL!$C$27, 0.0021, 0)</f>
        <v>27.862599999999997</v>
      </c>
      <c r="G125" s="10">
        <f>28.1319 * CHOOSE(CONTROL!$C$9, $D$9, 100%, $F$9) + CHOOSE(CONTROL!$C$27, 0.0021, 0)</f>
        <v>28.134</v>
      </c>
      <c r="H125" s="10">
        <f>27.9971 * CHOOSE(CONTROL!$C$9, $D$9, 100%, $F$9) + CHOOSE(CONTROL!$C$27, 0.0021, 0)</f>
        <v>27.999199999999998</v>
      </c>
      <c r="I125" s="10">
        <f>27.9971 * CHOOSE(CONTROL!$C$9, $D$9, 100%, $F$9) + CHOOSE(CONTROL!$C$27, 0.0021, 0)</f>
        <v>27.999199999999998</v>
      </c>
      <c r="J125" s="10">
        <f>27.9971 * CHOOSE(CONTROL!$C$9, $D$9, 100%, $F$9) + CHOOSE(CONTROL!$C$27, 0.0021, 0)</f>
        <v>27.999199999999998</v>
      </c>
      <c r="K125" s="10">
        <f>27.9971 * CHOOSE(CONTROL!$C$9, $D$9, 100%, $F$9) + CHOOSE(CONTROL!$C$27, 0.0021, 0)</f>
        <v>27.999199999999998</v>
      </c>
      <c r="L125" s="10"/>
    </row>
    <row r="126" spans="1:12" ht="15" x14ac:dyDescent="0.2">
      <c r="A126" s="16">
        <v>44743</v>
      </c>
      <c r="B126" s="10">
        <f>28.9541 * CHOOSE(CONTROL!$C$9, $D$9, 100%, $F$9) + CHOOSE(CONTROL!$C$27, 0.0021, 0)</f>
        <v>28.956199999999999</v>
      </c>
      <c r="C126" s="10">
        <f>28.5219 * CHOOSE(CONTROL!$C$9, $D$9, 100%, $F$9) + CHOOSE(CONTROL!$C$27, 0.0021, 0)</f>
        <v>28.523999999999997</v>
      </c>
      <c r="D126" s="10">
        <f>28.5219 * CHOOSE(CONTROL!$C$9, $D$9, 100%, $F$9) + CHOOSE(CONTROL!$C$27, 0.0021, 0)</f>
        <v>28.523999999999997</v>
      </c>
      <c r="E126" s="10">
        <f>28.3852 * CHOOSE(CONTROL!$C$9, $D$9, 100%, $F$9) + CHOOSE(CONTROL!$C$27, 0.0021, 0)</f>
        <v>28.3873</v>
      </c>
      <c r="F126" s="10">
        <f>28.3852 * CHOOSE(CONTROL!$C$9, $D$9, 100%, $F$9) + CHOOSE(CONTROL!$C$27, 0.0021, 0)</f>
        <v>28.3873</v>
      </c>
      <c r="G126" s="10">
        <f>28.6566 * CHOOSE(CONTROL!$C$9, $D$9, 100%, $F$9) + CHOOSE(CONTROL!$C$27, 0.0021, 0)</f>
        <v>28.6587</v>
      </c>
      <c r="H126" s="10">
        <f>28.5219 * CHOOSE(CONTROL!$C$9, $D$9, 100%, $F$9) + CHOOSE(CONTROL!$C$27, 0.0021, 0)</f>
        <v>28.523999999999997</v>
      </c>
      <c r="I126" s="10">
        <f>28.5219 * CHOOSE(CONTROL!$C$9, $D$9, 100%, $F$9) + CHOOSE(CONTROL!$C$27, 0.0021, 0)</f>
        <v>28.523999999999997</v>
      </c>
      <c r="J126" s="10">
        <f>28.5219 * CHOOSE(CONTROL!$C$9, $D$9, 100%, $F$9) + CHOOSE(CONTROL!$C$27, 0.0021, 0)</f>
        <v>28.523999999999997</v>
      </c>
      <c r="K126" s="10">
        <f>28.5219 * CHOOSE(CONTROL!$C$9, $D$9, 100%, $F$9) + CHOOSE(CONTROL!$C$27, 0.0021, 0)</f>
        <v>28.523999999999997</v>
      </c>
      <c r="L126" s="10"/>
    </row>
    <row r="127" spans="1:12" ht="15" x14ac:dyDescent="0.2">
      <c r="A127" s="16">
        <v>44774</v>
      </c>
      <c r="B127" s="10">
        <f>29.1143 * CHOOSE(CONTROL!$C$9, $D$9, 100%, $F$9) + CHOOSE(CONTROL!$C$27, 0.0021, 0)</f>
        <v>29.116399999999999</v>
      </c>
      <c r="C127" s="10">
        <f>28.682 * CHOOSE(CONTROL!$C$9, $D$9, 100%, $F$9) + CHOOSE(CONTROL!$C$27, 0.0021, 0)</f>
        <v>28.684099999999997</v>
      </c>
      <c r="D127" s="10">
        <f>28.682 * CHOOSE(CONTROL!$C$9, $D$9, 100%, $F$9) + CHOOSE(CONTROL!$C$27, 0.0021, 0)</f>
        <v>28.684099999999997</v>
      </c>
      <c r="E127" s="10">
        <f>28.5454 * CHOOSE(CONTROL!$C$9, $D$9, 100%, $F$9) + CHOOSE(CONTROL!$C$27, 0.0021, 0)</f>
        <v>28.547499999999999</v>
      </c>
      <c r="F127" s="10">
        <f>28.5454 * CHOOSE(CONTROL!$C$9, $D$9, 100%, $F$9) + CHOOSE(CONTROL!$C$27, 0.0021, 0)</f>
        <v>28.547499999999999</v>
      </c>
      <c r="G127" s="10">
        <f>28.8167 * CHOOSE(CONTROL!$C$9, $D$9, 100%, $F$9) + CHOOSE(CONTROL!$C$27, 0.0021, 0)</f>
        <v>28.8188</v>
      </c>
      <c r="H127" s="10">
        <f>28.682 * CHOOSE(CONTROL!$C$9, $D$9, 100%, $F$9) + CHOOSE(CONTROL!$C$27, 0.0021, 0)</f>
        <v>28.684099999999997</v>
      </c>
      <c r="I127" s="10">
        <f>28.682 * CHOOSE(CONTROL!$C$9, $D$9, 100%, $F$9) + CHOOSE(CONTROL!$C$27, 0.0021, 0)</f>
        <v>28.684099999999997</v>
      </c>
      <c r="J127" s="10">
        <f>28.682 * CHOOSE(CONTROL!$C$9, $D$9, 100%, $F$9) + CHOOSE(CONTROL!$C$27, 0.0021, 0)</f>
        <v>28.684099999999997</v>
      </c>
      <c r="K127" s="10">
        <f>28.682 * CHOOSE(CONTROL!$C$9, $D$9, 100%, $F$9) + CHOOSE(CONTROL!$C$27, 0.0021, 0)</f>
        <v>28.684099999999997</v>
      </c>
      <c r="L127" s="10"/>
    </row>
    <row r="128" spans="1:12" ht="15" x14ac:dyDescent="0.2">
      <c r="A128" s="16">
        <v>44805</v>
      </c>
      <c r="B128" s="10">
        <f>29.6597 * CHOOSE(CONTROL!$C$9, $D$9, 100%, $F$9) + CHOOSE(CONTROL!$C$27, 0.0021, 0)</f>
        <v>29.661799999999999</v>
      </c>
      <c r="C128" s="10">
        <f>29.2274 * CHOOSE(CONTROL!$C$9, $D$9, 100%, $F$9) + CHOOSE(CONTROL!$C$27, 0.0021, 0)</f>
        <v>29.229499999999998</v>
      </c>
      <c r="D128" s="10">
        <f>29.2274 * CHOOSE(CONTROL!$C$9, $D$9, 100%, $F$9) + CHOOSE(CONTROL!$C$27, 0.0021, 0)</f>
        <v>29.229499999999998</v>
      </c>
      <c r="E128" s="10">
        <f>29.0908 * CHOOSE(CONTROL!$C$9, $D$9, 100%, $F$9) + CHOOSE(CONTROL!$C$27, 0.0021, 0)</f>
        <v>29.0929</v>
      </c>
      <c r="F128" s="10">
        <f>29.0908 * CHOOSE(CONTROL!$C$9, $D$9, 100%, $F$9) + CHOOSE(CONTROL!$C$27, 0.0021, 0)</f>
        <v>29.0929</v>
      </c>
      <c r="G128" s="10">
        <f>29.3622 * CHOOSE(CONTROL!$C$9, $D$9, 100%, $F$9) + CHOOSE(CONTROL!$C$27, 0.0021, 0)</f>
        <v>29.3643</v>
      </c>
      <c r="H128" s="10">
        <f>29.2274 * CHOOSE(CONTROL!$C$9, $D$9, 100%, $F$9) + CHOOSE(CONTROL!$C$27, 0.0021, 0)</f>
        <v>29.229499999999998</v>
      </c>
      <c r="I128" s="10">
        <f>29.2274 * CHOOSE(CONTROL!$C$9, $D$9, 100%, $F$9) + CHOOSE(CONTROL!$C$27, 0.0021, 0)</f>
        <v>29.229499999999998</v>
      </c>
      <c r="J128" s="10">
        <f>29.2274 * CHOOSE(CONTROL!$C$9, $D$9, 100%, $F$9) + CHOOSE(CONTROL!$C$27, 0.0021, 0)</f>
        <v>29.229499999999998</v>
      </c>
      <c r="K128" s="10">
        <f>29.2274 * CHOOSE(CONTROL!$C$9, $D$9, 100%, $F$9) + CHOOSE(CONTROL!$C$27, 0.0021, 0)</f>
        <v>29.229499999999998</v>
      </c>
      <c r="L128" s="10"/>
    </row>
    <row r="129" spans="1:12" ht="15" x14ac:dyDescent="0.2">
      <c r="A129" s="16">
        <v>44835</v>
      </c>
      <c r="B129" s="10">
        <f>30.3501 * CHOOSE(CONTROL!$C$9, $D$9, 100%, $F$9) + CHOOSE(CONTROL!$C$27, 0.0021, 0)</f>
        <v>30.3522</v>
      </c>
      <c r="C129" s="10">
        <f>29.9179 * CHOOSE(CONTROL!$C$9, $D$9, 100%, $F$9) + CHOOSE(CONTROL!$C$27, 0.0021, 0)</f>
        <v>29.919999999999998</v>
      </c>
      <c r="D129" s="10">
        <f>29.9179 * CHOOSE(CONTROL!$C$9, $D$9, 100%, $F$9) + CHOOSE(CONTROL!$C$27, 0.0021, 0)</f>
        <v>29.919999999999998</v>
      </c>
      <c r="E129" s="10">
        <f>29.7812 * CHOOSE(CONTROL!$C$9, $D$9, 100%, $F$9) + CHOOSE(CONTROL!$C$27, 0.0021, 0)</f>
        <v>29.783299999999997</v>
      </c>
      <c r="F129" s="10">
        <f>29.7812 * CHOOSE(CONTROL!$C$9, $D$9, 100%, $F$9) + CHOOSE(CONTROL!$C$27, 0.0021, 0)</f>
        <v>29.783299999999997</v>
      </c>
      <c r="G129" s="10">
        <f>30.0526 * CHOOSE(CONTROL!$C$9, $D$9, 100%, $F$9) + CHOOSE(CONTROL!$C$27, 0.0021, 0)</f>
        <v>30.0547</v>
      </c>
      <c r="H129" s="10">
        <f>29.9179 * CHOOSE(CONTROL!$C$9, $D$9, 100%, $F$9) + CHOOSE(CONTROL!$C$27, 0.0021, 0)</f>
        <v>29.919999999999998</v>
      </c>
      <c r="I129" s="10">
        <f>29.9179 * CHOOSE(CONTROL!$C$9, $D$9, 100%, $F$9) + CHOOSE(CONTROL!$C$27, 0.0021, 0)</f>
        <v>29.919999999999998</v>
      </c>
      <c r="J129" s="10">
        <f>29.9179 * CHOOSE(CONTROL!$C$9, $D$9, 100%, $F$9) + CHOOSE(CONTROL!$C$27, 0.0021, 0)</f>
        <v>29.919999999999998</v>
      </c>
      <c r="K129" s="10">
        <f>29.9179 * CHOOSE(CONTROL!$C$9, $D$9, 100%, $F$9) + CHOOSE(CONTROL!$C$27, 0.0021, 0)</f>
        <v>29.919999999999998</v>
      </c>
      <c r="L129" s="10"/>
    </row>
    <row r="130" spans="1:12" ht="15" x14ac:dyDescent="0.2">
      <c r="A130" s="16">
        <v>44866</v>
      </c>
      <c r="B130" s="10">
        <f>30.4149 * CHOOSE(CONTROL!$C$9, $D$9, 100%, $F$9) + CHOOSE(CONTROL!$C$27, 0.0021, 0)</f>
        <v>30.416999999999998</v>
      </c>
      <c r="C130" s="10">
        <f>29.9827 * CHOOSE(CONTROL!$C$9, $D$9, 100%, $F$9) + CHOOSE(CONTROL!$C$27, 0.0021, 0)</f>
        <v>29.9848</v>
      </c>
      <c r="D130" s="10">
        <f>29.9827 * CHOOSE(CONTROL!$C$9, $D$9, 100%, $F$9) + CHOOSE(CONTROL!$C$27, 0.0021, 0)</f>
        <v>29.9848</v>
      </c>
      <c r="E130" s="10">
        <f>29.846 * CHOOSE(CONTROL!$C$9, $D$9, 100%, $F$9) + CHOOSE(CONTROL!$C$27, 0.0021, 0)</f>
        <v>29.848099999999999</v>
      </c>
      <c r="F130" s="10">
        <f>29.846 * CHOOSE(CONTROL!$C$9, $D$9, 100%, $F$9) + CHOOSE(CONTROL!$C$27, 0.0021, 0)</f>
        <v>29.848099999999999</v>
      </c>
      <c r="G130" s="10">
        <f>30.1174 * CHOOSE(CONTROL!$C$9, $D$9, 100%, $F$9) + CHOOSE(CONTROL!$C$27, 0.0021, 0)</f>
        <v>30.119499999999999</v>
      </c>
      <c r="H130" s="10">
        <f>29.9827 * CHOOSE(CONTROL!$C$9, $D$9, 100%, $F$9) + CHOOSE(CONTROL!$C$27, 0.0021, 0)</f>
        <v>29.9848</v>
      </c>
      <c r="I130" s="10">
        <f>29.9827 * CHOOSE(CONTROL!$C$9, $D$9, 100%, $F$9) + CHOOSE(CONTROL!$C$27, 0.0021, 0)</f>
        <v>29.9848</v>
      </c>
      <c r="J130" s="10">
        <f>29.9827 * CHOOSE(CONTROL!$C$9, $D$9, 100%, $F$9) + CHOOSE(CONTROL!$C$27, 0.0021, 0)</f>
        <v>29.9848</v>
      </c>
      <c r="K130" s="10">
        <f>29.9827 * CHOOSE(CONTROL!$C$9, $D$9, 100%, $F$9) + CHOOSE(CONTROL!$C$27, 0.0021, 0)</f>
        <v>29.9848</v>
      </c>
      <c r="L130" s="10"/>
    </row>
    <row r="131" spans="1:12" ht="15" x14ac:dyDescent="0.2">
      <c r="A131" s="16">
        <v>44896</v>
      </c>
      <c r="B131" s="10">
        <f>29.8635 * CHOOSE(CONTROL!$C$9, $D$9, 100%, $F$9) + CHOOSE(CONTROL!$C$27, 0.0021, 0)</f>
        <v>29.865599999999997</v>
      </c>
      <c r="C131" s="10">
        <f>29.4313 * CHOOSE(CONTROL!$C$9, $D$9, 100%, $F$9) + CHOOSE(CONTROL!$C$27, 0.0021, 0)</f>
        <v>29.433399999999999</v>
      </c>
      <c r="D131" s="10">
        <f>29.4313 * CHOOSE(CONTROL!$C$9, $D$9, 100%, $F$9) + CHOOSE(CONTROL!$C$27, 0.0021, 0)</f>
        <v>29.433399999999999</v>
      </c>
      <c r="E131" s="10">
        <f>29.2946 * CHOOSE(CONTROL!$C$9, $D$9, 100%, $F$9) + CHOOSE(CONTROL!$C$27, 0.0021, 0)</f>
        <v>29.296699999999998</v>
      </c>
      <c r="F131" s="10">
        <f>29.2946 * CHOOSE(CONTROL!$C$9, $D$9, 100%, $F$9) + CHOOSE(CONTROL!$C$27, 0.0021, 0)</f>
        <v>29.296699999999998</v>
      </c>
      <c r="G131" s="10">
        <f>29.566 * CHOOSE(CONTROL!$C$9, $D$9, 100%, $F$9) + CHOOSE(CONTROL!$C$27, 0.0021, 0)</f>
        <v>29.568099999999998</v>
      </c>
      <c r="H131" s="10">
        <f>29.4313 * CHOOSE(CONTROL!$C$9, $D$9, 100%, $F$9) + CHOOSE(CONTROL!$C$27, 0.0021, 0)</f>
        <v>29.433399999999999</v>
      </c>
      <c r="I131" s="10">
        <f>29.4313 * CHOOSE(CONTROL!$C$9, $D$9, 100%, $F$9) + CHOOSE(CONTROL!$C$27, 0.0021, 0)</f>
        <v>29.433399999999999</v>
      </c>
      <c r="J131" s="10">
        <f>29.4313 * CHOOSE(CONTROL!$C$9, $D$9, 100%, $F$9) + CHOOSE(CONTROL!$C$27, 0.0021, 0)</f>
        <v>29.433399999999999</v>
      </c>
      <c r="K131" s="10">
        <f>29.4313 * CHOOSE(CONTROL!$C$9, $D$9, 100%, $F$9) + CHOOSE(CONTROL!$C$27, 0.0021, 0)</f>
        <v>29.433399999999999</v>
      </c>
      <c r="L131" s="10"/>
    </row>
    <row r="132" spans="1:12" ht="15" x14ac:dyDescent="0.2">
      <c r="A132" s="16">
        <v>44927</v>
      </c>
      <c r="B132" s="10">
        <f>30.2727 * CHOOSE(CONTROL!$C$9, $D$9, 100%, $F$9) + CHOOSE(CONTROL!$C$27, 0.0021, 0)</f>
        <v>30.274799999999999</v>
      </c>
      <c r="C132" s="10">
        <f>29.8405 * CHOOSE(CONTROL!$C$9, $D$9, 100%, $F$9) + CHOOSE(CONTROL!$C$27, 0.0021, 0)</f>
        <v>29.842599999999997</v>
      </c>
      <c r="D132" s="10">
        <f>29.8405 * CHOOSE(CONTROL!$C$9, $D$9, 100%, $F$9) + CHOOSE(CONTROL!$C$27, 0.0021, 0)</f>
        <v>29.842599999999997</v>
      </c>
      <c r="E132" s="10">
        <f>29.7038 * CHOOSE(CONTROL!$C$9, $D$9, 100%, $F$9) + CHOOSE(CONTROL!$C$27, 0.0021, 0)</f>
        <v>29.7059</v>
      </c>
      <c r="F132" s="10">
        <f>29.7038 * CHOOSE(CONTROL!$C$9, $D$9, 100%, $F$9) + CHOOSE(CONTROL!$C$27, 0.0021, 0)</f>
        <v>29.7059</v>
      </c>
      <c r="G132" s="10">
        <f>29.9752 * CHOOSE(CONTROL!$C$9, $D$9, 100%, $F$9) + CHOOSE(CONTROL!$C$27, 0.0021, 0)</f>
        <v>29.9773</v>
      </c>
      <c r="H132" s="10">
        <f>29.8405 * CHOOSE(CONTROL!$C$9, $D$9, 100%, $F$9) + CHOOSE(CONTROL!$C$27, 0.0021, 0)</f>
        <v>29.842599999999997</v>
      </c>
      <c r="I132" s="10">
        <f>29.8405 * CHOOSE(CONTROL!$C$9, $D$9, 100%, $F$9) + CHOOSE(CONTROL!$C$27, 0.0021, 0)</f>
        <v>29.842599999999997</v>
      </c>
      <c r="J132" s="10">
        <f>29.8405 * CHOOSE(CONTROL!$C$9, $D$9, 100%, $F$9) + CHOOSE(CONTROL!$C$27, 0.0021, 0)</f>
        <v>29.842599999999997</v>
      </c>
      <c r="K132" s="10">
        <f>29.8405 * CHOOSE(CONTROL!$C$9, $D$9, 100%, $F$9) + CHOOSE(CONTROL!$C$27, 0.0021, 0)</f>
        <v>29.842599999999997</v>
      </c>
      <c r="L132" s="10"/>
    </row>
    <row r="133" spans="1:12" ht="15" x14ac:dyDescent="0.2">
      <c r="A133" s="16">
        <v>44958</v>
      </c>
      <c r="B133" s="10">
        <f>29.4813 * CHOOSE(CONTROL!$C$9, $D$9, 100%, $F$9) + CHOOSE(CONTROL!$C$27, 0.0021, 0)</f>
        <v>29.4834</v>
      </c>
      <c r="C133" s="10">
        <f>29.049 * CHOOSE(CONTROL!$C$9, $D$9, 100%, $F$9) + CHOOSE(CONTROL!$C$27, 0.0021, 0)</f>
        <v>29.051099999999998</v>
      </c>
      <c r="D133" s="10">
        <f>29.049 * CHOOSE(CONTROL!$C$9, $D$9, 100%, $F$9) + CHOOSE(CONTROL!$C$27, 0.0021, 0)</f>
        <v>29.051099999999998</v>
      </c>
      <c r="E133" s="10">
        <f>28.9124 * CHOOSE(CONTROL!$C$9, $D$9, 100%, $F$9) + CHOOSE(CONTROL!$C$27, 0.0021, 0)</f>
        <v>28.9145</v>
      </c>
      <c r="F133" s="10">
        <f>28.9124 * CHOOSE(CONTROL!$C$9, $D$9, 100%, $F$9) + CHOOSE(CONTROL!$C$27, 0.0021, 0)</f>
        <v>28.9145</v>
      </c>
      <c r="G133" s="10">
        <f>29.1837 * CHOOSE(CONTROL!$C$9, $D$9, 100%, $F$9) + CHOOSE(CONTROL!$C$27, 0.0021, 0)</f>
        <v>29.1858</v>
      </c>
      <c r="H133" s="10">
        <f>29.049 * CHOOSE(CONTROL!$C$9, $D$9, 100%, $F$9) + CHOOSE(CONTROL!$C$27, 0.0021, 0)</f>
        <v>29.051099999999998</v>
      </c>
      <c r="I133" s="10">
        <f>29.049 * CHOOSE(CONTROL!$C$9, $D$9, 100%, $F$9) + CHOOSE(CONTROL!$C$27, 0.0021, 0)</f>
        <v>29.051099999999998</v>
      </c>
      <c r="J133" s="10">
        <f>29.049 * CHOOSE(CONTROL!$C$9, $D$9, 100%, $F$9) + CHOOSE(CONTROL!$C$27, 0.0021, 0)</f>
        <v>29.051099999999998</v>
      </c>
      <c r="K133" s="10">
        <f>29.049 * CHOOSE(CONTROL!$C$9, $D$9, 100%, $F$9) + CHOOSE(CONTROL!$C$27, 0.0021, 0)</f>
        <v>29.051099999999998</v>
      </c>
      <c r="L133" s="10"/>
    </row>
    <row r="134" spans="1:12" ht="15" x14ac:dyDescent="0.2">
      <c r="A134" s="16">
        <v>44986</v>
      </c>
      <c r="B134" s="10">
        <f>29.1546 * CHOOSE(CONTROL!$C$9, $D$9, 100%, $F$9) + CHOOSE(CONTROL!$C$27, 0.0021, 0)</f>
        <v>29.156699999999997</v>
      </c>
      <c r="C134" s="10">
        <f>28.7223 * CHOOSE(CONTROL!$C$9, $D$9, 100%, $F$9) + CHOOSE(CONTROL!$C$27, 0.0021, 0)</f>
        <v>28.724399999999999</v>
      </c>
      <c r="D134" s="10">
        <f>28.7223 * CHOOSE(CONTROL!$C$9, $D$9, 100%, $F$9) + CHOOSE(CONTROL!$C$27, 0.0021, 0)</f>
        <v>28.724399999999999</v>
      </c>
      <c r="E134" s="10">
        <f>28.5857 * CHOOSE(CONTROL!$C$9, $D$9, 100%, $F$9) + CHOOSE(CONTROL!$C$27, 0.0021, 0)</f>
        <v>28.587799999999998</v>
      </c>
      <c r="F134" s="10">
        <f>28.5857 * CHOOSE(CONTROL!$C$9, $D$9, 100%, $F$9) + CHOOSE(CONTROL!$C$27, 0.0021, 0)</f>
        <v>28.587799999999998</v>
      </c>
      <c r="G134" s="10">
        <f>28.857 * CHOOSE(CONTROL!$C$9, $D$9, 100%, $F$9) + CHOOSE(CONTROL!$C$27, 0.0021, 0)</f>
        <v>28.859099999999998</v>
      </c>
      <c r="H134" s="10">
        <f>28.7223 * CHOOSE(CONTROL!$C$9, $D$9, 100%, $F$9) + CHOOSE(CONTROL!$C$27, 0.0021, 0)</f>
        <v>28.724399999999999</v>
      </c>
      <c r="I134" s="10">
        <f>28.7223 * CHOOSE(CONTROL!$C$9, $D$9, 100%, $F$9) + CHOOSE(CONTROL!$C$27, 0.0021, 0)</f>
        <v>28.724399999999999</v>
      </c>
      <c r="J134" s="10">
        <f>28.7223 * CHOOSE(CONTROL!$C$9, $D$9, 100%, $F$9) + CHOOSE(CONTROL!$C$27, 0.0021, 0)</f>
        <v>28.724399999999999</v>
      </c>
      <c r="K134" s="10">
        <f>28.7223 * CHOOSE(CONTROL!$C$9, $D$9, 100%, $F$9) + CHOOSE(CONTROL!$C$27, 0.0021, 0)</f>
        <v>28.724399999999999</v>
      </c>
      <c r="L134" s="10"/>
    </row>
    <row r="135" spans="1:12" ht="15" x14ac:dyDescent="0.2">
      <c r="A135" s="16">
        <v>45017</v>
      </c>
      <c r="B135" s="10">
        <f>28.7645 * CHOOSE(CONTROL!$C$9, $D$9, 100%, $F$9) + CHOOSE(CONTROL!$C$27, 0.0021, 0)</f>
        <v>28.7666</v>
      </c>
      <c r="C135" s="10">
        <f>28.3322 * CHOOSE(CONTROL!$C$9, $D$9, 100%, $F$9) + CHOOSE(CONTROL!$C$27, 0.0021, 0)</f>
        <v>28.334299999999999</v>
      </c>
      <c r="D135" s="10">
        <f>28.3322 * CHOOSE(CONTROL!$C$9, $D$9, 100%, $F$9) + CHOOSE(CONTROL!$C$27, 0.0021, 0)</f>
        <v>28.334299999999999</v>
      </c>
      <c r="E135" s="10">
        <f>28.1956 * CHOOSE(CONTROL!$C$9, $D$9, 100%, $F$9) + CHOOSE(CONTROL!$C$27, 0.0021, 0)</f>
        <v>28.197699999999998</v>
      </c>
      <c r="F135" s="10">
        <f>28.1956 * CHOOSE(CONTROL!$C$9, $D$9, 100%, $F$9) + CHOOSE(CONTROL!$C$27, 0.0021, 0)</f>
        <v>28.197699999999998</v>
      </c>
      <c r="G135" s="10">
        <f>28.4669 * CHOOSE(CONTROL!$C$9, $D$9, 100%, $F$9) + CHOOSE(CONTROL!$C$27, 0.0021, 0)</f>
        <v>28.468999999999998</v>
      </c>
      <c r="H135" s="10">
        <f>28.3322 * CHOOSE(CONTROL!$C$9, $D$9, 100%, $F$9) + CHOOSE(CONTROL!$C$27, 0.0021, 0)</f>
        <v>28.334299999999999</v>
      </c>
      <c r="I135" s="10">
        <f>28.3322 * CHOOSE(CONTROL!$C$9, $D$9, 100%, $F$9) + CHOOSE(CONTROL!$C$27, 0.0021, 0)</f>
        <v>28.334299999999999</v>
      </c>
      <c r="J135" s="10">
        <f>28.3322 * CHOOSE(CONTROL!$C$9, $D$9, 100%, $F$9) + CHOOSE(CONTROL!$C$27, 0.0021, 0)</f>
        <v>28.334299999999999</v>
      </c>
      <c r="K135" s="10">
        <f>28.3322 * CHOOSE(CONTROL!$C$9, $D$9, 100%, $F$9) + CHOOSE(CONTROL!$C$27, 0.0021, 0)</f>
        <v>28.334299999999999</v>
      </c>
      <c r="L135" s="10"/>
    </row>
    <row r="136" spans="1:12" ht="15" x14ac:dyDescent="0.2">
      <c r="A136" s="16">
        <v>45047</v>
      </c>
      <c r="B136" s="10">
        <f>29.3204 * CHOOSE(CONTROL!$C$9, $D$9, 100%, $F$9) + CHOOSE(CONTROL!$C$27, 0.0021, 0)</f>
        <v>29.322499999999998</v>
      </c>
      <c r="C136" s="10">
        <f>28.8881 * CHOOSE(CONTROL!$C$9, $D$9, 100%, $F$9) + CHOOSE(CONTROL!$C$27, 0.0021, 0)</f>
        <v>28.8902</v>
      </c>
      <c r="D136" s="10">
        <f>28.8881 * CHOOSE(CONTROL!$C$9, $D$9, 100%, $F$9) + CHOOSE(CONTROL!$C$27, 0.0021, 0)</f>
        <v>28.8902</v>
      </c>
      <c r="E136" s="10">
        <f>28.7515 * CHOOSE(CONTROL!$C$9, $D$9, 100%, $F$9) + CHOOSE(CONTROL!$C$27, 0.0021, 0)</f>
        <v>28.753599999999999</v>
      </c>
      <c r="F136" s="10">
        <f>28.7515 * CHOOSE(CONTROL!$C$9, $D$9, 100%, $F$9) + CHOOSE(CONTROL!$C$27, 0.0021, 0)</f>
        <v>28.753599999999999</v>
      </c>
      <c r="G136" s="10">
        <f>29.0229 * CHOOSE(CONTROL!$C$9, $D$9, 100%, $F$9) + CHOOSE(CONTROL!$C$27, 0.0021, 0)</f>
        <v>29.024999999999999</v>
      </c>
      <c r="H136" s="10">
        <f>28.8881 * CHOOSE(CONTROL!$C$9, $D$9, 100%, $F$9) + CHOOSE(CONTROL!$C$27, 0.0021, 0)</f>
        <v>28.8902</v>
      </c>
      <c r="I136" s="10">
        <f>28.8881 * CHOOSE(CONTROL!$C$9, $D$9, 100%, $F$9) + CHOOSE(CONTROL!$C$27, 0.0021, 0)</f>
        <v>28.8902</v>
      </c>
      <c r="J136" s="10">
        <f>28.8881 * CHOOSE(CONTROL!$C$9, $D$9, 100%, $F$9) + CHOOSE(CONTROL!$C$27, 0.0021, 0)</f>
        <v>28.8902</v>
      </c>
      <c r="K136" s="10">
        <f>28.8881 * CHOOSE(CONTROL!$C$9, $D$9, 100%, $F$9) + CHOOSE(CONTROL!$C$27, 0.0021, 0)</f>
        <v>28.8902</v>
      </c>
      <c r="L136" s="10"/>
    </row>
    <row r="137" spans="1:12" ht="15" x14ac:dyDescent="0.2">
      <c r="A137" s="16">
        <v>45078</v>
      </c>
      <c r="B137" s="10">
        <f>29.6534 * CHOOSE(CONTROL!$C$9, $D$9, 100%, $F$9) + CHOOSE(CONTROL!$C$27, 0.0021, 0)</f>
        <v>29.6555</v>
      </c>
      <c r="C137" s="10">
        <f>29.2211 * CHOOSE(CONTROL!$C$9, $D$9, 100%, $F$9) + CHOOSE(CONTROL!$C$27, 0.0021, 0)</f>
        <v>29.223199999999999</v>
      </c>
      <c r="D137" s="10">
        <f>29.2211 * CHOOSE(CONTROL!$C$9, $D$9, 100%, $F$9) + CHOOSE(CONTROL!$C$27, 0.0021, 0)</f>
        <v>29.223199999999999</v>
      </c>
      <c r="E137" s="10">
        <f>29.0845 * CHOOSE(CONTROL!$C$9, $D$9, 100%, $F$9) + CHOOSE(CONTROL!$C$27, 0.0021, 0)</f>
        <v>29.086599999999997</v>
      </c>
      <c r="F137" s="10">
        <f>29.0845 * CHOOSE(CONTROL!$C$9, $D$9, 100%, $F$9) + CHOOSE(CONTROL!$C$27, 0.0021, 0)</f>
        <v>29.086599999999997</v>
      </c>
      <c r="G137" s="10">
        <f>29.3558 * CHOOSE(CONTROL!$C$9, $D$9, 100%, $F$9) + CHOOSE(CONTROL!$C$27, 0.0021, 0)</f>
        <v>29.357899999999997</v>
      </c>
      <c r="H137" s="10">
        <f>29.2211 * CHOOSE(CONTROL!$C$9, $D$9, 100%, $F$9) + CHOOSE(CONTROL!$C$27, 0.0021, 0)</f>
        <v>29.223199999999999</v>
      </c>
      <c r="I137" s="10">
        <f>29.2211 * CHOOSE(CONTROL!$C$9, $D$9, 100%, $F$9) + CHOOSE(CONTROL!$C$27, 0.0021, 0)</f>
        <v>29.223199999999999</v>
      </c>
      <c r="J137" s="10">
        <f>29.2211 * CHOOSE(CONTROL!$C$9, $D$9, 100%, $F$9) + CHOOSE(CONTROL!$C$27, 0.0021, 0)</f>
        <v>29.223199999999999</v>
      </c>
      <c r="K137" s="10">
        <f>29.2211 * CHOOSE(CONTROL!$C$9, $D$9, 100%, $F$9) + CHOOSE(CONTROL!$C$27, 0.0021, 0)</f>
        <v>29.223199999999999</v>
      </c>
      <c r="L137" s="10"/>
    </row>
    <row r="138" spans="1:12" ht="15" x14ac:dyDescent="0.2">
      <c r="A138" s="16">
        <v>45108</v>
      </c>
      <c r="B138" s="10">
        <f>30.2027 * CHOOSE(CONTROL!$C$9, $D$9, 100%, $F$9) + CHOOSE(CONTROL!$C$27, 0.0021, 0)</f>
        <v>30.204799999999999</v>
      </c>
      <c r="C138" s="10">
        <f>29.7704 * CHOOSE(CONTROL!$C$9, $D$9, 100%, $F$9) + CHOOSE(CONTROL!$C$27, 0.0021, 0)</f>
        <v>29.772499999999997</v>
      </c>
      <c r="D138" s="10">
        <f>29.7704 * CHOOSE(CONTROL!$C$9, $D$9, 100%, $F$9) + CHOOSE(CONTROL!$C$27, 0.0021, 0)</f>
        <v>29.772499999999997</v>
      </c>
      <c r="E138" s="10">
        <f>29.6338 * CHOOSE(CONTROL!$C$9, $D$9, 100%, $F$9) + CHOOSE(CONTROL!$C$27, 0.0021, 0)</f>
        <v>29.635899999999999</v>
      </c>
      <c r="F138" s="10">
        <f>29.6338 * CHOOSE(CONTROL!$C$9, $D$9, 100%, $F$9) + CHOOSE(CONTROL!$C$27, 0.0021, 0)</f>
        <v>29.635899999999999</v>
      </c>
      <c r="G138" s="10">
        <f>29.9051 * CHOOSE(CONTROL!$C$9, $D$9, 100%, $F$9) + CHOOSE(CONTROL!$C$27, 0.0021, 0)</f>
        <v>29.9072</v>
      </c>
      <c r="H138" s="10">
        <f>29.7704 * CHOOSE(CONTROL!$C$9, $D$9, 100%, $F$9) + CHOOSE(CONTROL!$C$27, 0.0021, 0)</f>
        <v>29.772499999999997</v>
      </c>
      <c r="I138" s="10">
        <f>29.7704 * CHOOSE(CONTROL!$C$9, $D$9, 100%, $F$9) + CHOOSE(CONTROL!$C$27, 0.0021, 0)</f>
        <v>29.772499999999997</v>
      </c>
      <c r="J138" s="10">
        <f>29.7704 * CHOOSE(CONTROL!$C$9, $D$9, 100%, $F$9) + CHOOSE(CONTROL!$C$27, 0.0021, 0)</f>
        <v>29.772499999999997</v>
      </c>
      <c r="K138" s="10">
        <f>29.7704 * CHOOSE(CONTROL!$C$9, $D$9, 100%, $F$9) + CHOOSE(CONTROL!$C$27, 0.0021, 0)</f>
        <v>29.772499999999997</v>
      </c>
      <c r="L138" s="10"/>
    </row>
    <row r="139" spans="1:12" ht="15" x14ac:dyDescent="0.2">
      <c r="A139" s="16">
        <v>45139</v>
      </c>
      <c r="B139" s="10">
        <f>30.3703 * CHOOSE(CONTROL!$C$9, $D$9, 100%, $F$9) + CHOOSE(CONTROL!$C$27, 0.0021, 0)</f>
        <v>30.372399999999999</v>
      </c>
      <c r="C139" s="10">
        <f>29.9381 * CHOOSE(CONTROL!$C$9, $D$9, 100%, $F$9) + CHOOSE(CONTROL!$C$27, 0.0021, 0)</f>
        <v>29.940199999999997</v>
      </c>
      <c r="D139" s="10">
        <f>29.9381 * CHOOSE(CONTROL!$C$9, $D$9, 100%, $F$9) + CHOOSE(CONTROL!$C$27, 0.0021, 0)</f>
        <v>29.940199999999997</v>
      </c>
      <c r="E139" s="10">
        <f>29.8014 * CHOOSE(CONTROL!$C$9, $D$9, 100%, $F$9) + CHOOSE(CONTROL!$C$27, 0.0021, 0)</f>
        <v>29.8035</v>
      </c>
      <c r="F139" s="10">
        <f>29.8014 * CHOOSE(CONTROL!$C$9, $D$9, 100%, $F$9) + CHOOSE(CONTROL!$C$27, 0.0021, 0)</f>
        <v>29.8035</v>
      </c>
      <c r="G139" s="10">
        <f>30.0728 * CHOOSE(CONTROL!$C$9, $D$9, 100%, $F$9) + CHOOSE(CONTROL!$C$27, 0.0021, 0)</f>
        <v>30.0749</v>
      </c>
      <c r="H139" s="10">
        <f>29.9381 * CHOOSE(CONTROL!$C$9, $D$9, 100%, $F$9) + CHOOSE(CONTROL!$C$27, 0.0021, 0)</f>
        <v>29.940199999999997</v>
      </c>
      <c r="I139" s="10">
        <f>29.9381 * CHOOSE(CONTROL!$C$9, $D$9, 100%, $F$9) + CHOOSE(CONTROL!$C$27, 0.0021, 0)</f>
        <v>29.940199999999997</v>
      </c>
      <c r="J139" s="10">
        <f>29.9381 * CHOOSE(CONTROL!$C$9, $D$9, 100%, $F$9) + CHOOSE(CONTROL!$C$27, 0.0021, 0)</f>
        <v>29.940199999999997</v>
      </c>
      <c r="K139" s="10">
        <f>29.9381 * CHOOSE(CONTROL!$C$9, $D$9, 100%, $F$9) + CHOOSE(CONTROL!$C$27, 0.0021, 0)</f>
        <v>29.940199999999997</v>
      </c>
      <c r="L139" s="10"/>
    </row>
    <row r="140" spans="1:12" ht="15" x14ac:dyDescent="0.2">
      <c r="A140" s="16">
        <v>45170</v>
      </c>
      <c r="B140" s="10">
        <f>30.9413 * CHOOSE(CONTROL!$C$9, $D$9, 100%, $F$9) + CHOOSE(CONTROL!$C$27, 0.0021, 0)</f>
        <v>30.943399999999997</v>
      </c>
      <c r="C140" s="10">
        <f>30.509 * CHOOSE(CONTROL!$C$9, $D$9, 100%, $F$9) + CHOOSE(CONTROL!$C$27, 0.0021, 0)</f>
        <v>30.511099999999999</v>
      </c>
      <c r="D140" s="10">
        <f>30.509 * CHOOSE(CONTROL!$C$9, $D$9, 100%, $F$9) + CHOOSE(CONTROL!$C$27, 0.0021, 0)</f>
        <v>30.511099999999999</v>
      </c>
      <c r="E140" s="10">
        <f>30.3724 * CHOOSE(CONTROL!$C$9, $D$9, 100%, $F$9) + CHOOSE(CONTROL!$C$27, 0.0021, 0)</f>
        <v>30.374499999999998</v>
      </c>
      <c r="F140" s="10">
        <f>30.3724 * CHOOSE(CONTROL!$C$9, $D$9, 100%, $F$9) + CHOOSE(CONTROL!$C$27, 0.0021, 0)</f>
        <v>30.374499999999998</v>
      </c>
      <c r="G140" s="10">
        <f>30.6438 * CHOOSE(CONTROL!$C$9, $D$9, 100%, $F$9) + CHOOSE(CONTROL!$C$27, 0.0021, 0)</f>
        <v>30.645899999999997</v>
      </c>
      <c r="H140" s="10">
        <f>30.509 * CHOOSE(CONTROL!$C$9, $D$9, 100%, $F$9) + CHOOSE(CONTROL!$C$27, 0.0021, 0)</f>
        <v>30.511099999999999</v>
      </c>
      <c r="I140" s="10">
        <f>30.509 * CHOOSE(CONTROL!$C$9, $D$9, 100%, $F$9) + CHOOSE(CONTROL!$C$27, 0.0021, 0)</f>
        <v>30.511099999999999</v>
      </c>
      <c r="J140" s="10">
        <f>30.509 * CHOOSE(CONTROL!$C$9, $D$9, 100%, $F$9) + CHOOSE(CONTROL!$C$27, 0.0021, 0)</f>
        <v>30.511099999999999</v>
      </c>
      <c r="K140" s="10">
        <f>30.509 * CHOOSE(CONTROL!$C$9, $D$9, 100%, $F$9) + CHOOSE(CONTROL!$C$27, 0.0021, 0)</f>
        <v>30.511099999999999</v>
      </c>
      <c r="L140" s="10"/>
    </row>
    <row r="141" spans="1:12" ht="15" x14ac:dyDescent="0.2">
      <c r="A141" s="16">
        <v>45200</v>
      </c>
      <c r="B141" s="10">
        <f>31.664 * CHOOSE(CONTROL!$C$9, $D$9, 100%, $F$9) + CHOOSE(CONTROL!$C$27, 0.0021, 0)</f>
        <v>31.6661</v>
      </c>
      <c r="C141" s="10">
        <f>31.2318 * CHOOSE(CONTROL!$C$9, $D$9, 100%, $F$9) + CHOOSE(CONTROL!$C$27, 0.0021, 0)</f>
        <v>31.233899999999998</v>
      </c>
      <c r="D141" s="10">
        <f>31.2318 * CHOOSE(CONTROL!$C$9, $D$9, 100%, $F$9) + CHOOSE(CONTROL!$C$27, 0.0021, 0)</f>
        <v>31.233899999999998</v>
      </c>
      <c r="E141" s="10">
        <f>31.0951 * CHOOSE(CONTROL!$C$9, $D$9, 100%, $F$9) + CHOOSE(CONTROL!$C$27, 0.0021, 0)</f>
        <v>31.097199999999997</v>
      </c>
      <c r="F141" s="10">
        <f>31.0951 * CHOOSE(CONTROL!$C$9, $D$9, 100%, $F$9) + CHOOSE(CONTROL!$C$27, 0.0021, 0)</f>
        <v>31.097199999999997</v>
      </c>
      <c r="G141" s="10">
        <f>31.3665 * CHOOSE(CONTROL!$C$9, $D$9, 100%, $F$9) + CHOOSE(CONTROL!$C$27, 0.0021, 0)</f>
        <v>31.368599999999997</v>
      </c>
      <c r="H141" s="10">
        <f>31.2318 * CHOOSE(CONTROL!$C$9, $D$9, 100%, $F$9) + CHOOSE(CONTROL!$C$27, 0.0021, 0)</f>
        <v>31.233899999999998</v>
      </c>
      <c r="I141" s="10">
        <f>31.2318 * CHOOSE(CONTROL!$C$9, $D$9, 100%, $F$9) + CHOOSE(CONTROL!$C$27, 0.0021, 0)</f>
        <v>31.233899999999998</v>
      </c>
      <c r="J141" s="10">
        <f>31.2318 * CHOOSE(CONTROL!$C$9, $D$9, 100%, $F$9) + CHOOSE(CONTROL!$C$27, 0.0021, 0)</f>
        <v>31.233899999999998</v>
      </c>
      <c r="K141" s="10">
        <f>31.2318 * CHOOSE(CONTROL!$C$9, $D$9, 100%, $F$9) + CHOOSE(CONTROL!$C$27, 0.0021, 0)</f>
        <v>31.233899999999998</v>
      </c>
      <c r="L141" s="10"/>
    </row>
    <row r="142" spans="1:12" ht="15" x14ac:dyDescent="0.2">
      <c r="A142" s="16">
        <v>45231</v>
      </c>
      <c r="B142" s="10">
        <f>31.7319 * CHOOSE(CONTROL!$C$9, $D$9, 100%, $F$9) + CHOOSE(CONTROL!$C$27, 0.0021, 0)</f>
        <v>31.733999999999998</v>
      </c>
      <c r="C142" s="10">
        <f>31.2996 * CHOOSE(CONTROL!$C$9, $D$9, 100%, $F$9) + CHOOSE(CONTROL!$C$27, 0.0021, 0)</f>
        <v>31.3017</v>
      </c>
      <c r="D142" s="10">
        <f>31.2996 * CHOOSE(CONTROL!$C$9, $D$9, 100%, $F$9) + CHOOSE(CONTROL!$C$27, 0.0021, 0)</f>
        <v>31.3017</v>
      </c>
      <c r="E142" s="10">
        <f>31.163 * CHOOSE(CONTROL!$C$9, $D$9, 100%, $F$9) + CHOOSE(CONTROL!$C$27, 0.0021, 0)</f>
        <v>31.165099999999999</v>
      </c>
      <c r="F142" s="10">
        <f>31.163 * CHOOSE(CONTROL!$C$9, $D$9, 100%, $F$9) + CHOOSE(CONTROL!$C$27, 0.0021, 0)</f>
        <v>31.165099999999999</v>
      </c>
      <c r="G142" s="10">
        <f>31.4344 * CHOOSE(CONTROL!$C$9, $D$9, 100%, $F$9) + CHOOSE(CONTROL!$C$27, 0.0021, 0)</f>
        <v>31.436499999999999</v>
      </c>
      <c r="H142" s="10">
        <f>31.2996 * CHOOSE(CONTROL!$C$9, $D$9, 100%, $F$9) + CHOOSE(CONTROL!$C$27, 0.0021, 0)</f>
        <v>31.3017</v>
      </c>
      <c r="I142" s="10">
        <f>31.2996 * CHOOSE(CONTROL!$C$9, $D$9, 100%, $F$9) + CHOOSE(CONTROL!$C$27, 0.0021, 0)</f>
        <v>31.3017</v>
      </c>
      <c r="J142" s="10">
        <f>31.2996 * CHOOSE(CONTROL!$C$9, $D$9, 100%, $F$9) + CHOOSE(CONTROL!$C$27, 0.0021, 0)</f>
        <v>31.3017</v>
      </c>
      <c r="K142" s="10">
        <f>31.2996 * CHOOSE(CONTROL!$C$9, $D$9, 100%, $F$9) + CHOOSE(CONTROL!$C$27, 0.0021, 0)</f>
        <v>31.3017</v>
      </c>
      <c r="L142" s="10"/>
    </row>
    <row r="143" spans="1:12" ht="15" x14ac:dyDescent="0.2">
      <c r="A143" s="16">
        <v>45261</v>
      </c>
      <c r="B143" s="10">
        <f>31.1546 * CHOOSE(CONTROL!$C$9, $D$9, 100%, $F$9) + CHOOSE(CONTROL!$C$27, 0.0021, 0)</f>
        <v>31.156699999999997</v>
      </c>
      <c r="C143" s="10">
        <f>30.7224 * CHOOSE(CONTROL!$C$9, $D$9, 100%, $F$9) + CHOOSE(CONTROL!$C$27, 0.0021, 0)</f>
        <v>30.724499999999999</v>
      </c>
      <c r="D143" s="10">
        <f>30.7224 * CHOOSE(CONTROL!$C$9, $D$9, 100%, $F$9) + CHOOSE(CONTROL!$C$27, 0.0021, 0)</f>
        <v>30.724499999999999</v>
      </c>
      <c r="E143" s="10">
        <f>30.5857 * CHOOSE(CONTROL!$C$9, $D$9, 100%, $F$9) + CHOOSE(CONTROL!$C$27, 0.0021, 0)</f>
        <v>30.587799999999998</v>
      </c>
      <c r="F143" s="10">
        <f>30.5857 * CHOOSE(CONTROL!$C$9, $D$9, 100%, $F$9) + CHOOSE(CONTROL!$C$27, 0.0021, 0)</f>
        <v>30.587799999999998</v>
      </c>
      <c r="G143" s="10">
        <f>30.8571 * CHOOSE(CONTROL!$C$9, $D$9, 100%, $F$9) + CHOOSE(CONTROL!$C$27, 0.0021, 0)</f>
        <v>30.859199999999998</v>
      </c>
      <c r="H143" s="10">
        <f>30.7224 * CHOOSE(CONTROL!$C$9, $D$9, 100%, $F$9) + CHOOSE(CONTROL!$C$27, 0.0021, 0)</f>
        <v>30.724499999999999</v>
      </c>
      <c r="I143" s="10">
        <f>30.7224 * CHOOSE(CONTROL!$C$9, $D$9, 100%, $F$9) + CHOOSE(CONTROL!$C$27, 0.0021, 0)</f>
        <v>30.724499999999999</v>
      </c>
      <c r="J143" s="10">
        <f>30.7224 * CHOOSE(CONTROL!$C$9, $D$9, 100%, $F$9) + CHOOSE(CONTROL!$C$27, 0.0021, 0)</f>
        <v>30.724499999999999</v>
      </c>
      <c r="K143" s="10">
        <f>30.7224 * CHOOSE(CONTROL!$C$9, $D$9, 100%, $F$9) + CHOOSE(CONTROL!$C$27, 0.0021, 0)</f>
        <v>30.724499999999999</v>
      </c>
      <c r="L143" s="10"/>
    </row>
    <row r="144" spans="1:12" ht="15" x14ac:dyDescent="0.2">
      <c r="A144" s="16">
        <v>45292</v>
      </c>
      <c r="B144" s="10">
        <f>31.4824 * CHOOSE(CONTROL!$C$9, $D$9, 100%, $F$9) + CHOOSE(CONTROL!$C$27, 0.0021, 0)</f>
        <v>31.484499999999997</v>
      </c>
      <c r="C144" s="10">
        <f>31.0501 * CHOOSE(CONTROL!$C$9, $D$9, 100%, $F$9) + CHOOSE(CONTROL!$C$27, 0.0021, 0)</f>
        <v>31.052199999999999</v>
      </c>
      <c r="D144" s="10">
        <f>31.0501 * CHOOSE(CONTROL!$C$9, $D$9, 100%, $F$9) + CHOOSE(CONTROL!$C$27, 0.0021, 0)</f>
        <v>31.052199999999999</v>
      </c>
      <c r="E144" s="10">
        <f>30.9135 * CHOOSE(CONTROL!$C$9, $D$9, 100%, $F$9) + CHOOSE(CONTROL!$C$27, 0.0021, 0)</f>
        <v>30.915599999999998</v>
      </c>
      <c r="F144" s="10">
        <f>30.9135 * CHOOSE(CONTROL!$C$9, $D$9, 100%, $F$9) + CHOOSE(CONTROL!$C$27, 0.0021, 0)</f>
        <v>30.915599999999998</v>
      </c>
      <c r="G144" s="10">
        <f>31.1848 * CHOOSE(CONTROL!$C$9, $D$9, 100%, $F$9) + CHOOSE(CONTROL!$C$27, 0.0021, 0)</f>
        <v>31.186899999999998</v>
      </c>
      <c r="H144" s="10">
        <f>31.0501 * CHOOSE(CONTROL!$C$9, $D$9, 100%, $F$9) + CHOOSE(CONTROL!$C$27, 0.0021, 0)</f>
        <v>31.052199999999999</v>
      </c>
      <c r="I144" s="10">
        <f>31.0501 * CHOOSE(CONTROL!$C$9, $D$9, 100%, $F$9) + CHOOSE(CONTROL!$C$27, 0.0021, 0)</f>
        <v>31.052199999999999</v>
      </c>
      <c r="J144" s="10">
        <f>31.0501 * CHOOSE(CONTROL!$C$9, $D$9, 100%, $F$9) + CHOOSE(CONTROL!$C$27, 0.0021, 0)</f>
        <v>31.052199999999999</v>
      </c>
      <c r="K144" s="10">
        <f>31.0501 * CHOOSE(CONTROL!$C$9, $D$9, 100%, $F$9) + CHOOSE(CONTROL!$C$27, 0.0021, 0)</f>
        <v>31.052199999999999</v>
      </c>
      <c r="L144" s="10"/>
    </row>
    <row r="145" spans="1:12" ht="15" x14ac:dyDescent="0.2">
      <c r="A145" s="16">
        <v>45323</v>
      </c>
      <c r="B145" s="10">
        <f>30.6567 * CHOOSE(CONTROL!$C$9, $D$9, 100%, $F$9) + CHOOSE(CONTROL!$C$27, 0.0021, 0)</f>
        <v>30.658799999999999</v>
      </c>
      <c r="C145" s="10">
        <f>30.2245 * CHOOSE(CONTROL!$C$9, $D$9, 100%, $F$9) + CHOOSE(CONTROL!$C$27, 0.0021, 0)</f>
        <v>30.226599999999998</v>
      </c>
      <c r="D145" s="10">
        <f>30.2245 * CHOOSE(CONTROL!$C$9, $D$9, 100%, $F$9) + CHOOSE(CONTROL!$C$27, 0.0021, 0)</f>
        <v>30.226599999999998</v>
      </c>
      <c r="E145" s="10">
        <f>30.0878 * CHOOSE(CONTROL!$C$9, $D$9, 100%, $F$9) + CHOOSE(CONTROL!$C$27, 0.0021, 0)</f>
        <v>30.0899</v>
      </c>
      <c r="F145" s="10">
        <f>30.0878 * CHOOSE(CONTROL!$C$9, $D$9, 100%, $F$9) + CHOOSE(CONTROL!$C$27, 0.0021, 0)</f>
        <v>30.0899</v>
      </c>
      <c r="G145" s="10">
        <f>30.3592 * CHOOSE(CONTROL!$C$9, $D$9, 100%, $F$9) + CHOOSE(CONTROL!$C$27, 0.0021, 0)</f>
        <v>30.3613</v>
      </c>
      <c r="H145" s="10">
        <f>30.2245 * CHOOSE(CONTROL!$C$9, $D$9, 100%, $F$9) + CHOOSE(CONTROL!$C$27, 0.0021, 0)</f>
        <v>30.226599999999998</v>
      </c>
      <c r="I145" s="10">
        <f>30.2245 * CHOOSE(CONTROL!$C$9, $D$9, 100%, $F$9) + CHOOSE(CONTROL!$C$27, 0.0021, 0)</f>
        <v>30.226599999999998</v>
      </c>
      <c r="J145" s="10">
        <f>30.2245 * CHOOSE(CONTROL!$C$9, $D$9, 100%, $F$9) + CHOOSE(CONTROL!$C$27, 0.0021, 0)</f>
        <v>30.226599999999998</v>
      </c>
      <c r="K145" s="10">
        <f>30.2245 * CHOOSE(CONTROL!$C$9, $D$9, 100%, $F$9) + CHOOSE(CONTROL!$C$27, 0.0021, 0)</f>
        <v>30.226599999999998</v>
      </c>
      <c r="L145" s="10"/>
    </row>
    <row r="146" spans="1:12" ht="15" x14ac:dyDescent="0.2">
      <c r="A146" s="16">
        <v>45352</v>
      </c>
      <c r="B146" s="10">
        <f>30.3159 * CHOOSE(CONTROL!$C$9, $D$9, 100%, $F$9) + CHOOSE(CONTROL!$C$27, 0.0021, 0)</f>
        <v>30.317999999999998</v>
      </c>
      <c r="C146" s="10">
        <f>29.8837 * CHOOSE(CONTROL!$C$9, $D$9, 100%, $F$9) + CHOOSE(CONTROL!$C$27, 0.0021, 0)</f>
        <v>29.8858</v>
      </c>
      <c r="D146" s="10">
        <f>29.8837 * CHOOSE(CONTROL!$C$9, $D$9, 100%, $F$9) + CHOOSE(CONTROL!$C$27, 0.0021, 0)</f>
        <v>29.8858</v>
      </c>
      <c r="E146" s="10">
        <f>29.747 * CHOOSE(CONTROL!$C$9, $D$9, 100%, $F$9) + CHOOSE(CONTROL!$C$27, 0.0021, 0)</f>
        <v>29.749099999999999</v>
      </c>
      <c r="F146" s="10">
        <f>29.747 * CHOOSE(CONTROL!$C$9, $D$9, 100%, $F$9) + CHOOSE(CONTROL!$C$27, 0.0021, 0)</f>
        <v>29.749099999999999</v>
      </c>
      <c r="G146" s="10">
        <f>30.0184 * CHOOSE(CONTROL!$C$9, $D$9, 100%, $F$9) + CHOOSE(CONTROL!$C$27, 0.0021, 0)</f>
        <v>30.020499999999998</v>
      </c>
      <c r="H146" s="10">
        <f>29.8837 * CHOOSE(CONTROL!$C$9, $D$9, 100%, $F$9) + CHOOSE(CONTROL!$C$27, 0.0021, 0)</f>
        <v>29.8858</v>
      </c>
      <c r="I146" s="10">
        <f>29.8837 * CHOOSE(CONTROL!$C$9, $D$9, 100%, $F$9) + CHOOSE(CONTROL!$C$27, 0.0021, 0)</f>
        <v>29.8858</v>
      </c>
      <c r="J146" s="10">
        <f>29.8837 * CHOOSE(CONTROL!$C$9, $D$9, 100%, $F$9) + CHOOSE(CONTROL!$C$27, 0.0021, 0)</f>
        <v>29.8858</v>
      </c>
      <c r="K146" s="10">
        <f>29.8837 * CHOOSE(CONTROL!$C$9, $D$9, 100%, $F$9) + CHOOSE(CONTROL!$C$27, 0.0021, 0)</f>
        <v>29.8858</v>
      </c>
      <c r="L146" s="10"/>
    </row>
    <row r="147" spans="1:12" ht="15" x14ac:dyDescent="0.2">
      <c r="A147" s="16">
        <v>45383</v>
      </c>
      <c r="B147" s="10">
        <f>29.9089 * CHOOSE(CONTROL!$C$9, $D$9, 100%, $F$9) + CHOOSE(CONTROL!$C$27, 0.0021, 0)</f>
        <v>29.910999999999998</v>
      </c>
      <c r="C147" s="10">
        <f>29.4767 * CHOOSE(CONTROL!$C$9, $D$9, 100%, $F$9) + CHOOSE(CONTROL!$C$27, 0.0021, 0)</f>
        <v>29.4788</v>
      </c>
      <c r="D147" s="10">
        <f>29.4767 * CHOOSE(CONTROL!$C$9, $D$9, 100%, $F$9) + CHOOSE(CONTROL!$C$27, 0.0021, 0)</f>
        <v>29.4788</v>
      </c>
      <c r="E147" s="10">
        <f>29.34 * CHOOSE(CONTROL!$C$9, $D$9, 100%, $F$9) + CHOOSE(CONTROL!$C$27, 0.0021, 0)</f>
        <v>29.342099999999999</v>
      </c>
      <c r="F147" s="10">
        <f>29.34 * CHOOSE(CONTROL!$C$9, $D$9, 100%, $F$9) + CHOOSE(CONTROL!$C$27, 0.0021, 0)</f>
        <v>29.342099999999999</v>
      </c>
      <c r="G147" s="10">
        <f>29.6114 * CHOOSE(CONTROL!$C$9, $D$9, 100%, $F$9) + CHOOSE(CONTROL!$C$27, 0.0021, 0)</f>
        <v>29.613499999999998</v>
      </c>
      <c r="H147" s="10">
        <f>29.4767 * CHOOSE(CONTROL!$C$9, $D$9, 100%, $F$9) + CHOOSE(CONTROL!$C$27, 0.0021, 0)</f>
        <v>29.4788</v>
      </c>
      <c r="I147" s="10">
        <f>29.4767 * CHOOSE(CONTROL!$C$9, $D$9, 100%, $F$9) + CHOOSE(CONTROL!$C$27, 0.0021, 0)</f>
        <v>29.4788</v>
      </c>
      <c r="J147" s="10">
        <f>29.4767 * CHOOSE(CONTROL!$C$9, $D$9, 100%, $F$9) + CHOOSE(CONTROL!$C$27, 0.0021, 0)</f>
        <v>29.4788</v>
      </c>
      <c r="K147" s="10">
        <f>29.4767 * CHOOSE(CONTROL!$C$9, $D$9, 100%, $F$9) + CHOOSE(CONTROL!$C$27, 0.0021, 0)</f>
        <v>29.4788</v>
      </c>
      <c r="L147" s="10"/>
    </row>
    <row r="148" spans="1:12" ht="15" x14ac:dyDescent="0.2">
      <c r="A148" s="16">
        <v>45413</v>
      </c>
      <c r="B148" s="10">
        <f>30.4889 * CHOOSE(CONTROL!$C$9, $D$9, 100%, $F$9) + CHOOSE(CONTROL!$C$27, 0.0021, 0)</f>
        <v>30.491</v>
      </c>
      <c r="C148" s="10">
        <f>30.0567 * CHOOSE(CONTROL!$C$9, $D$9, 100%, $F$9) + CHOOSE(CONTROL!$C$27, 0.0021, 0)</f>
        <v>30.058799999999998</v>
      </c>
      <c r="D148" s="10">
        <f>30.0567 * CHOOSE(CONTROL!$C$9, $D$9, 100%, $F$9) + CHOOSE(CONTROL!$C$27, 0.0021, 0)</f>
        <v>30.058799999999998</v>
      </c>
      <c r="E148" s="10">
        <f>29.92 * CHOOSE(CONTROL!$C$9, $D$9, 100%, $F$9) + CHOOSE(CONTROL!$C$27, 0.0021, 0)</f>
        <v>29.9221</v>
      </c>
      <c r="F148" s="10">
        <f>29.92 * CHOOSE(CONTROL!$C$9, $D$9, 100%, $F$9) + CHOOSE(CONTROL!$C$27, 0.0021, 0)</f>
        <v>29.9221</v>
      </c>
      <c r="G148" s="10">
        <f>30.1914 * CHOOSE(CONTROL!$C$9, $D$9, 100%, $F$9) + CHOOSE(CONTROL!$C$27, 0.0021, 0)</f>
        <v>30.1935</v>
      </c>
      <c r="H148" s="10">
        <f>30.0567 * CHOOSE(CONTROL!$C$9, $D$9, 100%, $F$9) + CHOOSE(CONTROL!$C$27, 0.0021, 0)</f>
        <v>30.058799999999998</v>
      </c>
      <c r="I148" s="10">
        <f>30.0567 * CHOOSE(CONTROL!$C$9, $D$9, 100%, $F$9) + CHOOSE(CONTROL!$C$27, 0.0021, 0)</f>
        <v>30.058799999999998</v>
      </c>
      <c r="J148" s="10">
        <f>30.0567 * CHOOSE(CONTROL!$C$9, $D$9, 100%, $F$9) + CHOOSE(CONTROL!$C$27, 0.0021, 0)</f>
        <v>30.058799999999998</v>
      </c>
      <c r="K148" s="10">
        <f>30.0567 * CHOOSE(CONTROL!$C$9, $D$9, 100%, $F$9) + CHOOSE(CONTROL!$C$27, 0.0021, 0)</f>
        <v>30.058799999999998</v>
      </c>
      <c r="L148" s="10"/>
    </row>
    <row r="149" spans="1:12" ht="15" x14ac:dyDescent="0.2">
      <c r="A149" s="16">
        <v>45444</v>
      </c>
      <c r="B149" s="10">
        <f>30.8363 * CHOOSE(CONTROL!$C$9, $D$9, 100%, $F$9) + CHOOSE(CONTROL!$C$27, 0.0021, 0)</f>
        <v>30.8384</v>
      </c>
      <c r="C149" s="10">
        <f>30.404 * CHOOSE(CONTROL!$C$9, $D$9, 100%, $F$9) + CHOOSE(CONTROL!$C$27, 0.0021, 0)</f>
        <v>30.406099999999999</v>
      </c>
      <c r="D149" s="10">
        <f>30.404 * CHOOSE(CONTROL!$C$9, $D$9, 100%, $F$9) + CHOOSE(CONTROL!$C$27, 0.0021, 0)</f>
        <v>30.406099999999999</v>
      </c>
      <c r="E149" s="10">
        <f>30.2674 * CHOOSE(CONTROL!$C$9, $D$9, 100%, $F$9) + CHOOSE(CONTROL!$C$27, 0.0021, 0)</f>
        <v>30.269499999999997</v>
      </c>
      <c r="F149" s="10">
        <f>30.2674 * CHOOSE(CONTROL!$C$9, $D$9, 100%, $F$9) + CHOOSE(CONTROL!$C$27, 0.0021, 0)</f>
        <v>30.269499999999997</v>
      </c>
      <c r="G149" s="10">
        <f>30.5387 * CHOOSE(CONTROL!$C$9, $D$9, 100%, $F$9) + CHOOSE(CONTROL!$C$27, 0.0021, 0)</f>
        <v>30.540799999999997</v>
      </c>
      <c r="H149" s="10">
        <f>30.404 * CHOOSE(CONTROL!$C$9, $D$9, 100%, $F$9) + CHOOSE(CONTROL!$C$27, 0.0021, 0)</f>
        <v>30.406099999999999</v>
      </c>
      <c r="I149" s="10">
        <f>30.404 * CHOOSE(CONTROL!$C$9, $D$9, 100%, $F$9) + CHOOSE(CONTROL!$C$27, 0.0021, 0)</f>
        <v>30.406099999999999</v>
      </c>
      <c r="J149" s="10">
        <f>30.404 * CHOOSE(CONTROL!$C$9, $D$9, 100%, $F$9) + CHOOSE(CONTROL!$C$27, 0.0021, 0)</f>
        <v>30.406099999999999</v>
      </c>
      <c r="K149" s="10">
        <f>30.404 * CHOOSE(CONTROL!$C$9, $D$9, 100%, $F$9) + CHOOSE(CONTROL!$C$27, 0.0021, 0)</f>
        <v>30.406099999999999</v>
      </c>
      <c r="L149" s="10"/>
    </row>
    <row r="150" spans="1:12" ht="15" x14ac:dyDescent="0.2">
      <c r="A150" s="16">
        <v>45474</v>
      </c>
      <c r="B150" s="10">
        <f>31.4093 * CHOOSE(CONTROL!$C$9, $D$9, 100%, $F$9) + CHOOSE(CONTROL!$C$27, 0.0021, 0)</f>
        <v>31.4114</v>
      </c>
      <c r="C150" s="10">
        <f>30.9771 * CHOOSE(CONTROL!$C$9, $D$9, 100%, $F$9) + CHOOSE(CONTROL!$C$27, 0.0021, 0)</f>
        <v>30.979199999999999</v>
      </c>
      <c r="D150" s="10">
        <f>30.9771 * CHOOSE(CONTROL!$C$9, $D$9, 100%, $F$9) + CHOOSE(CONTROL!$C$27, 0.0021, 0)</f>
        <v>30.979199999999999</v>
      </c>
      <c r="E150" s="10">
        <f>30.8404 * CHOOSE(CONTROL!$C$9, $D$9, 100%, $F$9) + CHOOSE(CONTROL!$C$27, 0.0021, 0)</f>
        <v>30.842499999999998</v>
      </c>
      <c r="F150" s="10">
        <f>30.8404 * CHOOSE(CONTROL!$C$9, $D$9, 100%, $F$9) + CHOOSE(CONTROL!$C$27, 0.0021, 0)</f>
        <v>30.842499999999998</v>
      </c>
      <c r="G150" s="10">
        <f>31.1118 * CHOOSE(CONTROL!$C$9, $D$9, 100%, $F$9) + CHOOSE(CONTROL!$C$27, 0.0021, 0)</f>
        <v>31.113899999999997</v>
      </c>
      <c r="H150" s="10">
        <f>30.9771 * CHOOSE(CONTROL!$C$9, $D$9, 100%, $F$9) + CHOOSE(CONTROL!$C$27, 0.0021, 0)</f>
        <v>30.979199999999999</v>
      </c>
      <c r="I150" s="10">
        <f>30.9771 * CHOOSE(CONTROL!$C$9, $D$9, 100%, $F$9) + CHOOSE(CONTROL!$C$27, 0.0021, 0)</f>
        <v>30.979199999999999</v>
      </c>
      <c r="J150" s="10">
        <f>30.9771 * CHOOSE(CONTROL!$C$9, $D$9, 100%, $F$9) + CHOOSE(CONTROL!$C$27, 0.0021, 0)</f>
        <v>30.979199999999999</v>
      </c>
      <c r="K150" s="10">
        <f>30.9771 * CHOOSE(CONTROL!$C$9, $D$9, 100%, $F$9) + CHOOSE(CONTROL!$C$27, 0.0021, 0)</f>
        <v>30.979199999999999</v>
      </c>
      <c r="L150" s="10"/>
    </row>
    <row r="151" spans="1:12" ht="15" x14ac:dyDescent="0.2">
      <c r="A151" s="16">
        <v>45505</v>
      </c>
      <c r="B151" s="10">
        <f>31.5842 * CHOOSE(CONTROL!$C$9, $D$9, 100%, $F$9) + CHOOSE(CONTROL!$C$27, 0.0021, 0)</f>
        <v>31.586299999999998</v>
      </c>
      <c r="C151" s="10">
        <f>31.152 * CHOOSE(CONTROL!$C$9, $D$9, 100%, $F$9) + CHOOSE(CONTROL!$C$27, 0.0021, 0)</f>
        <v>31.1541</v>
      </c>
      <c r="D151" s="10">
        <f>31.152 * CHOOSE(CONTROL!$C$9, $D$9, 100%, $F$9) + CHOOSE(CONTROL!$C$27, 0.0021, 0)</f>
        <v>31.1541</v>
      </c>
      <c r="E151" s="10">
        <f>31.0153 * CHOOSE(CONTROL!$C$9, $D$9, 100%, $F$9) + CHOOSE(CONTROL!$C$27, 0.0021, 0)</f>
        <v>31.017399999999999</v>
      </c>
      <c r="F151" s="10">
        <f>31.0153 * CHOOSE(CONTROL!$C$9, $D$9, 100%, $F$9) + CHOOSE(CONTROL!$C$27, 0.0021, 0)</f>
        <v>31.017399999999999</v>
      </c>
      <c r="G151" s="10">
        <f>31.2867 * CHOOSE(CONTROL!$C$9, $D$9, 100%, $F$9) + CHOOSE(CONTROL!$C$27, 0.0021, 0)</f>
        <v>31.288799999999998</v>
      </c>
      <c r="H151" s="10">
        <f>31.152 * CHOOSE(CONTROL!$C$9, $D$9, 100%, $F$9) + CHOOSE(CONTROL!$C$27, 0.0021, 0)</f>
        <v>31.1541</v>
      </c>
      <c r="I151" s="10">
        <f>31.152 * CHOOSE(CONTROL!$C$9, $D$9, 100%, $F$9) + CHOOSE(CONTROL!$C$27, 0.0021, 0)</f>
        <v>31.1541</v>
      </c>
      <c r="J151" s="10">
        <f>31.152 * CHOOSE(CONTROL!$C$9, $D$9, 100%, $F$9) + CHOOSE(CONTROL!$C$27, 0.0021, 0)</f>
        <v>31.1541</v>
      </c>
      <c r="K151" s="10">
        <f>31.152 * CHOOSE(CONTROL!$C$9, $D$9, 100%, $F$9) + CHOOSE(CONTROL!$C$27, 0.0021, 0)</f>
        <v>31.1541</v>
      </c>
      <c r="L151" s="10"/>
    </row>
    <row r="152" spans="1:12" ht="15" x14ac:dyDescent="0.2">
      <c r="A152" s="16">
        <v>45536</v>
      </c>
      <c r="B152" s="10">
        <f>32.1799 * CHOOSE(CONTROL!$C$9, $D$9, 100%, $F$9) + CHOOSE(CONTROL!$C$27, 0.0021, 0)</f>
        <v>32.182000000000002</v>
      </c>
      <c r="C152" s="10">
        <f>31.7476 * CHOOSE(CONTROL!$C$9, $D$9, 100%, $F$9) + CHOOSE(CONTROL!$C$27, 0.0021, 0)</f>
        <v>31.749699999999997</v>
      </c>
      <c r="D152" s="10">
        <f>31.7476 * CHOOSE(CONTROL!$C$9, $D$9, 100%, $F$9) + CHOOSE(CONTROL!$C$27, 0.0021, 0)</f>
        <v>31.749699999999997</v>
      </c>
      <c r="E152" s="10">
        <f>31.611 * CHOOSE(CONTROL!$C$9, $D$9, 100%, $F$9) + CHOOSE(CONTROL!$C$27, 0.0021, 0)</f>
        <v>31.613099999999999</v>
      </c>
      <c r="F152" s="10">
        <f>31.611 * CHOOSE(CONTROL!$C$9, $D$9, 100%, $F$9) + CHOOSE(CONTROL!$C$27, 0.0021, 0)</f>
        <v>31.613099999999999</v>
      </c>
      <c r="G152" s="10">
        <f>31.8823 * CHOOSE(CONTROL!$C$9, $D$9, 100%, $F$9) + CHOOSE(CONTROL!$C$27, 0.0021, 0)</f>
        <v>31.884399999999999</v>
      </c>
      <c r="H152" s="10">
        <f>31.7476 * CHOOSE(CONTROL!$C$9, $D$9, 100%, $F$9) + CHOOSE(CONTROL!$C$27, 0.0021, 0)</f>
        <v>31.749699999999997</v>
      </c>
      <c r="I152" s="10">
        <f>31.7476 * CHOOSE(CONTROL!$C$9, $D$9, 100%, $F$9) + CHOOSE(CONTROL!$C$27, 0.0021, 0)</f>
        <v>31.749699999999997</v>
      </c>
      <c r="J152" s="10">
        <f>31.7476 * CHOOSE(CONTROL!$C$9, $D$9, 100%, $F$9) + CHOOSE(CONTROL!$C$27, 0.0021, 0)</f>
        <v>31.749699999999997</v>
      </c>
      <c r="K152" s="10">
        <f>31.7476 * CHOOSE(CONTROL!$C$9, $D$9, 100%, $F$9) + CHOOSE(CONTROL!$C$27, 0.0021, 0)</f>
        <v>31.749699999999997</v>
      </c>
      <c r="L152" s="10"/>
    </row>
    <row r="153" spans="1:12" ht="15" x14ac:dyDescent="0.2">
      <c r="A153" s="16">
        <v>45566</v>
      </c>
      <c r="B153" s="10">
        <f>32.9339 * CHOOSE(CONTROL!$C$9, $D$9, 100%, $F$9) + CHOOSE(CONTROL!$C$27, 0.0021, 0)</f>
        <v>32.936</v>
      </c>
      <c r="C153" s="10">
        <f>32.5016 * CHOOSE(CONTROL!$C$9, $D$9, 100%, $F$9) + CHOOSE(CONTROL!$C$27, 0.0021, 0)</f>
        <v>32.503700000000002</v>
      </c>
      <c r="D153" s="10">
        <f>32.5016 * CHOOSE(CONTROL!$C$9, $D$9, 100%, $F$9) + CHOOSE(CONTROL!$C$27, 0.0021, 0)</f>
        <v>32.503700000000002</v>
      </c>
      <c r="E153" s="10">
        <f>32.365 * CHOOSE(CONTROL!$C$9, $D$9, 100%, $F$9) + CHOOSE(CONTROL!$C$27, 0.0021, 0)</f>
        <v>32.367100000000001</v>
      </c>
      <c r="F153" s="10">
        <f>32.365 * CHOOSE(CONTROL!$C$9, $D$9, 100%, $F$9) + CHOOSE(CONTROL!$C$27, 0.0021, 0)</f>
        <v>32.367100000000001</v>
      </c>
      <c r="G153" s="10">
        <f>32.6363 * CHOOSE(CONTROL!$C$9, $D$9, 100%, $F$9) + CHOOSE(CONTROL!$C$27, 0.0021, 0)</f>
        <v>32.638399999999997</v>
      </c>
      <c r="H153" s="10">
        <f>32.5016 * CHOOSE(CONTROL!$C$9, $D$9, 100%, $F$9) + CHOOSE(CONTROL!$C$27, 0.0021, 0)</f>
        <v>32.503700000000002</v>
      </c>
      <c r="I153" s="10">
        <f>32.5016 * CHOOSE(CONTROL!$C$9, $D$9, 100%, $F$9) + CHOOSE(CONTROL!$C$27, 0.0021, 0)</f>
        <v>32.503700000000002</v>
      </c>
      <c r="J153" s="10">
        <f>32.5016 * CHOOSE(CONTROL!$C$9, $D$9, 100%, $F$9) + CHOOSE(CONTROL!$C$27, 0.0021, 0)</f>
        <v>32.503700000000002</v>
      </c>
      <c r="K153" s="10">
        <f>32.5016 * CHOOSE(CONTROL!$C$9, $D$9, 100%, $F$9) + CHOOSE(CONTROL!$C$27, 0.0021, 0)</f>
        <v>32.503700000000002</v>
      </c>
      <c r="L153" s="10"/>
    </row>
    <row r="154" spans="1:12" ht="15" x14ac:dyDescent="0.2">
      <c r="A154" s="16">
        <v>45597</v>
      </c>
      <c r="B154" s="10">
        <f>33.0046 * CHOOSE(CONTROL!$C$9, $D$9, 100%, $F$9) + CHOOSE(CONTROL!$C$27, 0.0021, 0)</f>
        <v>33.006700000000002</v>
      </c>
      <c r="C154" s="10">
        <f>32.5724 * CHOOSE(CONTROL!$C$9, $D$9, 100%, $F$9) + CHOOSE(CONTROL!$C$27, 0.0021, 0)</f>
        <v>32.5745</v>
      </c>
      <c r="D154" s="10">
        <f>32.5724 * CHOOSE(CONTROL!$C$9, $D$9, 100%, $F$9) + CHOOSE(CONTROL!$C$27, 0.0021, 0)</f>
        <v>32.5745</v>
      </c>
      <c r="E154" s="10">
        <f>32.4357 * CHOOSE(CONTROL!$C$9, $D$9, 100%, $F$9) + CHOOSE(CONTROL!$C$27, 0.0021, 0)</f>
        <v>32.437799999999996</v>
      </c>
      <c r="F154" s="10">
        <f>32.4357 * CHOOSE(CONTROL!$C$9, $D$9, 100%, $F$9) + CHOOSE(CONTROL!$C$27, 0.0021, 0)</f>
        <v>32.437799999999996</v>
      </c>
      <c r="G154" s="10">
        <f>32.7071 * CHOOSE(CONTROL!$C$9, $D$9, 100%, $F$9) + CHOOSE(CONTROL!$C$27, 0.0021, 0)</f>
        <v>32.709199999999996</v>
      </c>
      <c r="H154" s="10">
        <f>32.5724 * CHOOSE(CONTROL!$C$9, $D$9, 100%, $F$9) + CHOOSE(CONTROL!$C$27, 0.0021, 0)</f>
        <v>32.5745</v>
      </c>
      <c r="I154" s="10">
        <f>32.5724 * CHOOSE(CONTROL!$C$9, $D$9, 100%, $F$9) + CHOOSE(CONTROL!$C$27, 0.0021, 0)</f>
        <v>32.5745</v>
      </c>
      <c r="J154" s="10">
        <f>32.5724 * CHOOSE(CONTROL!$C$9, $D$9, 100%, $F$9) + CHOOSE(CONTROL!$C$27, 0.0021, 0)</f>
        <v>32.5745</v>
      </c>
      <c r="K154" s="10">
        <f>32.5724 * CHOOSE(CONTROL!$C$9, $D$9, 100%, $F$9) + CHOOSE(CONTROL!$C$27, 0.0021, 0)</f>
        <v>32.5745</v>
      </c>
      <c r="L154" s="10"/>
    </row>
    <row r="155" spans="1:12" ht="15" x14ac:dyDescent="0.2">
      <c r="A155" s="16">
        <v>45627</v>
      </c>
      <c r="B155" s="10">
        <f>32.4025 * CHOOSE(CONTROL!$C$9, $D$9, 100%, $F$9) + CHOOSE(CONTROL!$C$27, 0.0021, 0)</f>
        <v>32.404600000000002</v>
      </c>
      <c r="C155" s="10">
        <f>31.9702 * CHOOSE(CONTROL!$C$9, $D$9, 100%, $F$9) + CHOOSE(CONTROL!$C$27, 0.0021, 0)</f>
        <v>31.972299999999997</v>
      </c>
      <c r="D155" s="10">
        <f>31.9702 * CHOOSE(CONTROL!$C$9, $D$9, 100%, $F$9) + CHOOSE(CONTROL!$C$27, 0.0021, 0)</f>
        <v>31.972299999999997</v>
      </c>
      <c r="E155" s="10">
        <f>31.8335 * CHOOSE(CONTROL!$C$9, $D$9, 100%, $F$9) + CHOOSE(CONTROL!$C$27, 0.0021, 0)</f>
        <v>31.835599999999999</v>
      </c>
      <c r="F155" s="10">
        <f>31.8335 * CHOOSE(CONTROL!$C$9, $D$9, 100%, $F$9) + CHOOSE(CONTROL!$C$27, 0.0021, 0)</f>
        <v>31.835599999999999</v>
      </c>
      <c r="G155" s="10">
        <f>32.1049 * CHOOSE(CONTROL!$C$9, $D$9, 100%, $F$9) + CHOOSE(CONTROL!$C$27, 0.0021, 0)</f>
        <v>32.106999999999999</v>
      </c>
      <c r="H155" s="10">
        <f>31.9702 * CHOOSE(CONTROL!$C$9, $D$9, 100%, $F$9) + CHOOSE(CONTROL!$C$27, 0.0021, 0)</f>
        <v>31.972299999999997</v>
      </c>
      <c r="I155" s="10">
        <f>31.9702 * CHOOSE(CONTROL!$C$9, $D$9, 100%, $F$9) + CHOOSE(CONTROL!$C$27, 0.0021, 0)</f>
        <v>31.972299999999997</v>
      </c>
      <c r="J155" s="10">
        <f>31.9702 * CHOOSE(CONTROL!$C$9, $D$9, 100%, $F$9) + CHOOSE(CONTROL!$C$27, 0.0021, 0)</f>
        <v>31.972299999999997</v>
      </c>
      <c r="K155" s="10">
        <f>31.9702 * CHOOSE(CONTROL!$C$9, $D$9, 100%, $F$9) + CHOOSE(CONTROL!$C$27, 0.0021, 0)</f>
        <v>31.972299999999997</v>
      </c>
      <c r="L155" s="10"/>
    </row>
    <row r="156" spans="1:12" ht="15" x14ac:dyDescent="0.2">
      <c r="A156" s="16">
        <v>45658</v>
      </c>
      <c r="B156" s="10">
        <f>32.652 * CHOOSE(CONTROL!$C$9, $D$9, 100%, $F$9) + CHOOSE(CONTROL!$C$27, 0.0021, 0)</f>
        <v>32.6541</v>
      </c>
      <c r="C156" s="10">
        <f>32.2197 * CHOOSE(CONTROL!$C$9, $D$9, 100%, $F$9) + CHOOSE(CONTROL!$C$27, 0.0021, 0)</f>
        <v>32.221800000000002</v>
      </c>
      <c r="D156" s="10">
        <f>32.2197 * CHOOSE(CONTROL!$C$9, $D$9, 100%, $F$9) + CHOOSE(CONTROL!$C$27, 0.0021, 0)</f>
        <v>32.221800000000002</v>
      </c>
      <c r="E156" s="10">
        <f>32.0831 * CHOOSE(CONTROL!$C$9, $D$9, 100%, $F$9) + CHOOSE(CONTROL!$C$27, 0.0021, 0)</f>
        <v>32.0852</v>
      </c>
      <c r="F156" s="10">
        <f>32.0831 * CHOOSE(CONTROL!$C$9, $D$9, 100%, $F$9) + CHOOSE(CONTROL!$C$27, 0.0021, 0)</f>
        <v>32.0852</v>
      </c>
      <c r="G156" s="10">
        <f>32.3545 * CHOOSE(CONTROL!$C$9, $D$9, 100%, $F$9) + CHOOSE(CONTROL!$C$27, 0.0021, 0)</f>
        <v>32.3566</v>
      </c>
      <c r="H156" s="10">
        <f>32.2197 * CHOOSE(CONTROL!$C$9, $D$9, 100%, $F$9) + CHOOSE(CONTROL!$C$27, 0.0021, 0)</f>
        <v>32.221800000000002</v>
      </c>
      <c r="I156" s="10">
        <f>32.2197 * CHOOSE(CONTROL!$C$9, $D$9, 100%, $F$9) + CHOOSE(CONTROL!$C$27, 0.0021, 0)</f>
        <v>32.221800000000002</v>
      </c>
      <c r="J156" s="10">
        <f>32.2197 * CHOOSE(CONTROL!$C$9, $D$9, 100%, $F$9) + CHOOSE(CONTROL!$C$27, 0.0021, 0)</f>
        <v>32.221800000000002</v>
      </c>
      <c r="K156" s="10">
        <f>32.2197 * CHOOSE(CONTROL!$C$9, $D$9, 100%, $F$9) + CHOOSE(CONTROL!$C$27, 0.0021, 0)</f>
        <v>32.221800000000002</v>
      </c>
      <c r="L156" s="10"/>
    </row>
    <row r="157" spans="1:12" ht="15" x14ac:dyDescent="0.2">
      <c r="A157" s="16">
        <v>45689</v>
      </c>
      <c r="B157" s="10">
        <f>31.7933 * CHOOSE(CONTROL!$C$9, $D$9, 100%, $F$9) + CHOOSE(CONTROL!$C$27, 0.0021, 0)</f>
        <v>31.795399999999997</v>
      </c>
      <c r="C157" s="10">
        <f>31.361 * CHOOSE(CONTROL!$C$9, $D$9, 100%, $F$9) + CHOOSE(CONTROL!$C$27, 0.0021, 0)</f>
        <v>31.363099999999999</v>
      </c>
      <c r="D157" s="10">
        <f>31.361 * CHOOSE(CONTROL!$C$9, $D$9, 100%, $F$9) + CHOOSE(CONTROL!$C$27, 0.0021, 0)</f>
        <v>31.363099999999999</v>
      </c>
      <c r="E157" s="10">
        <f>31.2244 * CHOOSE(CONTROL!$C$9, $D$9, 100%, $F$9) + CHOOSE(CONTROL!$C$27, 0.0021, 0)</f>
        <v>31.226499999999998</v>
      </c>
      <c r="F157" s="10">
        <f>31.2244 * CHOOSE(CONTROL!$C$9, $D$9, 100%, $F$9) + CHOOSE(CONTROL!$C$27, 0.0021, 0)</f>
        <v>31.226499999999998</v>
      </c>
      <c r="G157" s="10">
        <f>31.4957 * CHOOSE(CONTROL!$C$9, $D$9, 100%, $F$9) + CHOOSE(CONTROL!$C$27, 0.0021, 0)</f>
        <v>31.497799999999998</v>
      </c>
      <c r="H157" s="10">
        <f>31.361 * CHOOSE(CONTROL!$C$9, $D$9, 100%, $F$9) + CHOOSE(CONTROL!$C$27, 0.0021, 0)</f>
        <v>31.363099999999999</v>
      </c>
      <c r="I157" s="10">
        <f>31.361 * CHOOSE(CONTROL!$C$9, $D$9, 100%, $F$9) + CHOOSE(CONTROL!$C$27, 0.0021, 0)</f>
        <v>31.363099999999999</v>
      </c>
      <c r="J157" s="10">
        <f>31.361 * CHOOSE(CONTROL!$C$9, $D$9, 100%, $F$9) + CHOOSE(CONTROL!$C$27, 0.0021, 0)</f>
        <v>31.363099999999999</v>
      </c>
      <c r="K157" s="10">
        <f>31.361 * CHOOSE(CONTROL!$C$9, $D$9, 100%, $F$9) + CHOOSE(CONTROL!$C$27, 0.0021, 0)</f>
        <v>31.363099999999999</v>
      </c>
      <c r="L157" s="10"/>
    </row>
    <row r="158" spans="1:12" ht="15" x14ac:dyDescent="0.2">
      <c r="A158" s="16">
        <v>45717</v>
      </c>
      <c r="B158" s="10">
        <f>31.4388 * CHOOSE(CONTROL!$C$9, $D$9, 100%, $F$9) + CHOOSE(CONTROL!$C$27, 0.0021, 0)</f>
        <v>31.440899999999999</v>
      </c>
      <c r="C158" s="10">
        <f>31.0065 * CHOOSE(CONTROL!$C$9, $D$9, 100%, $F$9) + CHOOSE(CONTROL!$C$27, 0.0021, 0)</f>
        <v>31.008599999999998</v>
      </c>
      <c r="D158" s="10">
        <f>31.0065 * CHOOSE(CONTROL!$C$9, $D$9, 100%, $F$9) + CHOOSE(CONTROL!$C$27, 0.0021, 0)</f>
        <v>31.008599999999998</v>
      </c>
      <c r="E158" s="10">
        <f>30.8699 * CHOOSE(CONTROL!$C$9, $D$9, 100%, $F$9) + CHOOSE(CONTROL!$C$27, 0.0021, 0)</f>
        <v>30.872</v>
      </c>
      <c r="F158" s="10">
        <f>30.8699 * CHOOSE(CONTROL!$C$9, $D$9, 100%, $F$9) + CHOOSE(CONTROL!$C$27, 0.0021, 0)</f>
        <v>30.872</v>
      </c>
      <c r="G158" s="10">
        <f>31.1412 * CHOOSE(CONTROL!$C$9, $D$9, 100%, $F$9) + CHOOSE(CONTROL!$C$27, 0.0021, 0)</f>
        <v>31.1433</v>
      </c>
      <c r="H158" s="10">
        <f>31.0065 * CHOOSE(CONTROL!$C$9, $D$9, 100%, $F$9) + CHOOSE(CONTROL!$C$27, 0.0021, 0)</f>
        <v>31.008599999999998</v>
      </c>
      <c r="I158" s="10">
        <f>31.0065 * CHOOSE(CONTROL!$C$9, $D$9, 100%, $F$9) + CHOOSE(CONTROL!$C$27, 0.0021, 0)</f>
        <v>31.008599999999998</v>
      </c>
      <c r="J158" s="10">
        <f>31.0065 * CHOOSE(CONTROL!$C$9, $D$9, 100%, $F$9) + CHOOSE(CONTROL!$C$27, 0.0021, 0)</f>
        <v>31.008599999999998</v>
      </c>
      <c r="K158" s="10">
        <f>31.0065 * CHOOSE(CONTROL!$C$9, $D$9, 100%, $F$9) + CHOOSE(CONTROL!$C$27, 0.0021, 0)</f>
        <v>31.008599999999998</v>
      </c>
      <c r="L158" s="10"/>
    </row>
    <row r="159" spans="1:12" ht="15" x14ac:dyDescent="0.2">
      <c r="A159" s="16">
        <v>45748</v>
      </c>
      <c r="B159" s="10">
        <f>31.0155 * CHOOSE(CONTROL!$C$9, $D$9, 100%, $F$9) + CHOOSE(CONTROL!$C$27, 0.0021, 0)</f>
        <v>31.017599999999998</v>
      </c>
      <c r="C159" s="10">
        <f>30.5833 * CHOOSE(CONTROL!$C$9, $D$9, 100%, $F$9) + CHOOSE(CONTROL!$C$27, 0.0021, 0)</f>
        <v>30.5854</v>
      </c>
      <c r="D159" s="10">
        <f>30.5833 * CHOOSE(CONTROL!$C$9, $D$9, 100%, $F$9) + CHOOSE(CONTROL!$C$27, 0.0021, 0)</f>
        <v>30.5854</v>
      </c>
      <c r="E159" s="10">
        <f>30.4466 * CHOOSE(CONTROL!$C$9, $D$9, 100%, $F$9) + CHOOSE(CONTROL!$C$27, 0.0021, 0)</f>
        <v>30.448699999999999</v>
      </c>
      <c r="F159" s="10">
        <f>30.4466 * CHOOSE(CONTROL!$C$9, $D$9, 100%, $F$9) + CHOOSE(CONTROL!$C$27, 0.0021, 0)</f>
        <v>30.448699999999999</v>
      </c>
      <c r="G159" s="10">
        <f>30.718 * CHOOSE(CONTROL!$C$9, $D$9, 100%, $F$9) + CHOOSE(CONTROL!$C$27, 0.0021, 0)</f>
        <v>30.720099999999999</v>
      </c>
      <c r="H159" s="10">
        <f>30.5833 * CHOOSE(CONTROL!$C$9, $D$9, 100%, $F$9) + CHOOSE(CONTROL!$C$27, 0.0021, 0)</f>
        <v>30.5854</v>
      </c>
      <c r="I159" s="10">
        <f>30.5833 * CHOOSE(CONTROL!$C$9, $D$9, 100%, $F$9) + CHOOSE(CONTROL!$C$27, 0.0021, 0)</f>
        <v>30.5854</v>
      </c>
      <c r="J159" s="10">
        <f>30.5833 * CHOOSE(CONTROL!$C$9, $D$9, 100%, $F$9) + CHOOSE(CONTROL!$C$27, 0.0021, 0)</f>
        <v>30.5854</v>
      </c>
      <c r="K159" s="10">
        <f>30.5833 * CHOOSE(CONTROL!$C$9, $D$9, 100%, $F$9) + CHOOSE(CONTROL!$C$27, 0.0021, 0)</f>
        <v>30.5854</v>
      </c>
      <c r="L159" s="10"/>
    </row>
    <row r="160" spans="1:12" ht="15" x14ac:dyDescent="0.2">
      <c r="A160" s="16">
        <v>45778</v>
      </c>
      <c r="B160" s="10">
        <f>31.6187 * CHOOSE(CONTROL!$C$9, $D$9, 100%, $F$9) + CHOOSE(CONTROL!$C$27, 0.0021, 0)</f>
        <v>31.620799999999999</v>
      </c>
      <c r="C160" s="10">
        <f>31.1865 * CHOOSE(CONTROL!$C$9, $D$9, 100%, $F$9) + CHOOSE(CONTROL!$C$27, 0.0021, 0)</f>
        <v>31.188599999999997</v>
      </c>
      <c r="D160" s="10">
        <f>31.1865 * CHOOSE(CONTROL!$C$9, $D$9, 100%, $F$9) + CHOOSE(CONTROL!$C$27, 0.0021, 0)</f>
        <v>31.188599999999997</v>
      </c>
      <c r="E160" s="10">
        <f>31.0498 * CHOOSE(CONTROL!$C$9, $D$9, 100%, $F$9) + CHOOSE(CONTROL!$C$27, 0.0021, 0)</f>
        <v>31.0519</v>
      </c>
      <c r="F160" s="10">
        <f>31.0498 * CHOOSE(CONTROL!$C$9, $D$9, 100%, $F$9) + CHOOSE(CONTROL!$C$27, 0.0021, 0)</f>
        <v>31.0519</v>
      </c>
      <c r="G160" s="10">
        <f>31.3212 * CHOOSE(CONTROL!$C$9, $D$9, 100%, $F$9) + CHOOSE(CONTROL!$C$27, 0.0021, 0)</f>
        <v>31.3233</v>
      </c>
      <c r="H160" s="10">
        <f>31.1865 * CHOOSE(CONTROL!$C$9, $D$9, 100%, $F$9) + CHOOSE(CONTROL!$C$27, 0.0021, 0)</f>
        <v>31.188599999999997</v>
      </c>
      <c r="I160" s="10">
        <f>31.1865 * CHOOSE(CONTROL!$C$9, $D$9, 100%, $F$9) + CHOOSE(CONTROL!$C$27, 0.0021, 0)</f>
        <v>31.188599999999997</v>
      </c>
      <c r="J160" s="10">
        <f>31.1865 * CHOOSE(CONTROL!$C$9, $D$9, 100%, $F$9) + CHOOSE(CONTROL!$C$27, 0.0021, 0)</f>
        <v>31.188599999999997</v>
      </c>
      <c r="K160" s="10">
        <f>31.1865 * CHOOSE(CONTROL!$C$9, $D$9, 100%, $F$9) + CHOOSE(CONTROL!$C$27, 0.0021, 0)</f>
        <v>31.188599999999997</v>
      </c>
      <c r="L160" s="10"/>
    </row>
    <row r="161" spans="1:12" ht="15" x14ac:dyDescent="0.2">
      <c r="A161" s="16">
        <v>45809</v>
      </c>
      <c r="B161" s="10">
        <f>31.98 * CHOOSE(CONTROL!$C$9, $D$9, 100%, $F$9) + CHOOSE(CONTROL!$C$27, 0.0021, 0)</f>
        <v>31.982099999999999</v>
      </c>
      <c r="C161" s="10">
        <f>31.5478 * CHOOSE(CONTROL!$C$9, $D$9, 100%, $F$9) + CHOOSE(CONTROL!$C$27, 0.0021, 0)</f>
        <v>31.549899999999997</v>
      </c>
      <c r="D161" s="10">
        <f>31.5478 * CHOOSE(CONTROL!$C$9, $D$9, 100%, $F$9) + CHOOSE(CONTROL!$C$27, 0.0021, 0)</f>
        <v>31.549899999999997</v>
      </c>
      <c r="E161" s="10">
        <f>31.4111 * CHOOSE(CONTROL!$C$9, $D$9, 100%, $F$9) + CHOOSE(CONTROL!$C$27, 0.0021, 0)</f>
        <v>31.4132</v>
      </c>
      <c r="F161" s="10">
        <f>31.4111 * CHOOSE(CONTROL!$C$9, $D$9, 100%, $F$9) + CHOOSE(CONTROL!$C$27, 0.0021, 0)</f>
        <v>31.4132</v>
      </c>
      <c r="G161" s="10">
        <f>31.6825 * CHOOSE(CONTROL!$C$9, $D$9, 100%, $F$9) + CHOOSE(CONTROL!$C$27, 0.0021, 0)</f>
        <v>31.6846</v>
      </c>
      <c r="H161" s="10">
        <f>31.5478 * CHOOSE(CONTROL!$C$9, $D$9, 100%, $F$9) + CHOOSE(CONTROL!$C$27, 0.0021, 0)</f>
        <v>31.549899999999997</v>
      </c>
      <c r="I161" s="10">
        <f>31.5478 * CHOOSE(CONTROL!$C$9, $D$9, 100%, $F$9) + CHOOSE(CONTROL!$C$27, 0.0021, 0)</f>
        <v>31.549899999999997</v>
      </c>
      <c r="J161" s="10">
        <f>31.5478 * CHOOSE(CONTROL!$C$9, $D$9, 100%, $F$9) + CHOOSE(CONTROL!$C$27, 0.0021, 0)</f>
        <v>31.549899999999997</v>
      </c>
      <c r="K161" s="10">
        <f>31.5478 * CHOOSE(CONTROL!$C$9, $D$9, 100%, $F$9) + CHOOSE(CONTROL!$C$27, 0.0021, 0)</f>
        <v>31.549899999999997</v>
      </c>
      <c r="L161" s="10"/>
    </row>
    <row r="162" spans="1:12" ht="15" x14ac:dyDescent="0.2">
      <c r="A162" s="16">
        <v>45839</v>
      </c>
      <c r="B162" s="10">
        <f>32.576 * CHOOSE(CONTROL!$C$9, $D$9, 100%, $F$9) + CHOOSE(CONTROL!$C$27, 0.0021, 0)</f>
        <v>32.578099999999999</v>
      </c>
      <c r="C162" s="10">
        <f>32.1438 * CHOOSE(CONTROL!$C$9, $D$9, 100%, $F$9) + CHOOSE(CONTROL!$C$27, 0.0021, 0)</f>
        <v>32.145899999999997</v>
      </c>
      <c r="D162" s="10">
        <f>32.1438 * CHOOSE(CONTROL!$C$9, $D$9, 100%, $F$9) + CHOOSE(CONTROL!$C$27, 0.0021, 0)</f>
        <v>32.145899999999997</v>
      </c>
      <c r="E162" s="10">
        <f>32.0071 * CHOOSE(CONTROL!$C$9, $D$9, 100%, $F$9) + CHOOSE(CONTROL!$C$27, 0.0021, 0)</f>
        <v>32.0092</v>
      </c>
      <c r="F162" s="10">
        <f>32.0071 * CHOOSE(CONTROL!$C$9, $D$9, 100%, $F$9) + CHOOSE(CONTROL!$C$27, 0.0021, 0)</f>
        <v>32.0092</v>
      </c>
      <c r="G162" s="10">
        <f>32.2785 * CHOOSE(CONTROL!$C$9, $D$9, 100%, $F$9) + CHOOSE(CONTROL!$C$27, 0.0021, 0)</f>
        <v>32.2806</v>
      </c>
      <c r="H162" s="10">
        <f>32.1438 * CHOOSE(CONTROL!$C$9, $D$9, 100%, $F$9) + CHOOSE(CONTROL!$C$27, 0.0021, 0)</f>
        <v>32.145899999999997</v>
      </c>
      <c r="I162" s="10">
        <f>32.1438 * CHOOSE(CONTROL!$C$9, $D$9, 100%, $F$9) + CHOOSE(CONTROL!$C$27, 0.0021, 0)</f>
        <v>32.145899999999997</v>
      </c>
      <c r="J162" s="10">
        <f>32.1438 * CHOOSE(CONTROL!$C$9, $D$9, 100%, $F$9) + CHOOSE(CONTROL!$C$27, 0.0021, 0)</f>
        <v>32.145899999999997</v>
      </c>
      <c r="K162" s="10">
        <f>32.1438 * CHOOSE(CONTROL!$C$9, $D$9, 100%, $F$9) + CHOOSE(CONTROL!$C$27, 0.0021, 0)</f>
        <v>32.145899999999997</v>
      </c>
      <c r="L162" s="10"/>
    </row>
    <row r="163" spans="1:12" ht="15" x14ac:dyDescent="0.2">
      <c r="A163" s="16">
        <v>45870</v>
      </c>
      <c r="B163" s="10">
        <f>32.7579 * CHOOSE(CONTROL!$C$9, $D$9, 100%, $F$9) + CHOOSE(CONTROL!$C$27, 0.0021, 0)</f>
        <v>32.76</v>
      </c>
      <c r="C163" s="10">
        <f>32.3257 * CHOOSE(CONTROL!$C$9, $D$9, 100%, $F$9) + CHOOSE(CONTROL!$C$27, 0.0021, 0)</f>
        <v>32.327799999999996</v>
      </c>
      <c r="D163" s="10">
        <f>32.3257 * CHOOSE(CONTROL!$C$9, $D$9, 100%, $F$9) + CHOOSE(CONTROL!$C$27, 0.0021, 0)</f>
        <v>32.327799999999996</v>
      </c>
      <c r="E163" s="10">
        <f>32.189 * CHOOSE(CONTROL!$C$9, $D$9, 100%, $F$9) + CHOOSE(CONTROL!$C$27, 0.0021, 0)</f>
        <v>32.191099999999999</v>
      </c>
      <c r="F163" s="10">
        <f>32.189 * CHOOSE(CONTROL!$C$9, $D$9, 100%, $F$9) + CHOOSE(CONTROL!$C$27, 0.0021, 0)</f>
        <v>32.191099999999999</v>
      </c>
      <c r="G163" s="10">
        <f>32.4604 * CHOOSE(CONTROL!$C$9, $D$9, 100%, $F$9) + CHOOSE(CONTROL!$C$27, 0.0021, 0)</f>
        <v>32.462499999999999</v>
      </c>
      <c r="H163" s="10">
        <f>32.3257 * CHOOSE(CONTROL!$C$9, $D$9, 100%, $F$9) + CHOOSE(CONTROL!$C$27, 0.0021, 0)</f>
        <v>32.327799999999996</v>
      </c>
      <c r="I163" s="10">
        <f>32.3257 * CHOOSE(CONTROL!$C$9, $D$9, 100%, $F$9) + CHOOSE(CONTROL!$C$27, 0.0021, 0)</f>
        <v>32.327799999999996</v>
      </c>
      <c r="J163" s="10">
        <f>32.3257 * CHOOSE(CONTROL!$C$9, $D$9, 100%, $F$9) + CHOOSE(CONTROL!$C$27, 0.0021, 0)</f>
        <v>32.327799999999996</v>
      </c>
      <c r="K163" s="10">
        <f>32.3257 * CHOOSE(CONTROL!$C$9, $D$9, 100%, $F$9) + CHOOSE(CONTROL!$C$27, 0.0021, 0)</f>
        <v>32.327799999999996</v>
      </c>
      <c r="L163" s="10"/>
    </row>
    <row r="164" spans="1:12" ht="15" x14ac:dyDescent="0.2">
      <c r="A164" s="16">
        <v>45901</v>
      </c>
      <c r="B164" s="10">
        <f>33.3774 * CHOOSE(CONTROL!$C$9, $D$9, 100%, $F$9) + CHOOSE(CONTROL!$C$27, 0.0021, 0)</f>
        <v>33.3795</v>
      </c>
      <c r="C164" s="10">
        <f>32.9452 * CHOOSE(CONTROL!$C$9, $D$9, 100%, $F$9) + CHOOSE(CONTROL!$C$27, 0.0021, 0)</f>
        <v>32.947299999999998</v>
      </c>
      <c r="D164" s="10">
        <f>32.9452 * CHOOSE(CONTROL!$C$9, $D$9, 100%, $F$9) + CHOOSE(CONTROL!$C$27, 0.0021, 0)</f>
        <v>32.947299999999998</v>
      </c>
      <c r="E164" s="10">
        <f>32.8085 * CHOOSE(CONTROL!$C$9, $D$9, 100%, $F$9) + CHOOSE(CONTROL!$C$27, 0.0021, 0)</f>
        <v>32.810600000000001</v>
      </c>
      <c r="F164" s="10">
        <f>32.8085 * CHOOSE(CONTROL!$C$9, $D$9, 100%, $F$9) + CHOOSE(CONTROL!$C$27, 0.0021, 0)</f>
        <v>32.810600000000001</v>
      </c>
      <c r="G164" s="10">
        <f>33.0799 * CHOOSE(CONTROL!$C$9, $D$9, 100%, $F$9) + CHOOSE(CONTROL!$C$27, 0.0021, 0)</f>
        <v>33.082000000000001</v>
      </c>
      <c r="H164" s="10">
        <f>32.9452 * CHOOSE(CONTROL!$C$9, $D$9, 100%, $F$9) + CHOOSE(CONTROL!$C$27, 0.0021, 0)</f>
        <v>32.947299999999998</v>
      </c>
      <c r="I164" s="10">
        <f>32.9452 * CHOOSE(CONTROL!$C$9, $D$9, 100%, $F$9) + CHOOSE(CONTROL!$C$27, 0.0021, 0)</f>
        <v>32.947299999999998</v>
      </c>
      <c r="J164" s="10">
        <f>32.9452 * CHOOSE(CONTROL!$C$9, $D$9, 100%, $F$9) + CHOOSE(CONTROL!$C$27, 0.0021, 0)</f>
        <v>32.947299999999998</v>
      </c>
      <c r="K164" s="10">
        <f>32.9452 * CHOOSE(CONTROL!$C$9, $D$9, 100%, $F$9) + CHOOSE(CONTROL!$C$27, 0.0021, 0)</f>
        <v>32.947299999999998</v>
      </c>
      <c r="L164" s="10"/>
    </row>
    <row r="165" spans="1:12" ht="15" x14ac:dyDescent="0.2">
      <c r="A165" s="16">
        <v>45931</v>
      </c>
      <c r="B165" s="10">
        <f>34.1616 * CHOOSE(CONTROL!$C$9, $D$9, 100%, $F$9) + CHOOSE(CONTROL!$C$27, 0.0021, 0)</f>
        <v>34.163699999999999</v>
      </c>
      <c r="C165" s="10">
        <f>33.7294 * CHOOSE(CONTROL!$C$9, $D$9, 100%, $F$9) + CHOOSE(CONTROL!$C$27, 0.0021, 0)</f>
        <v>33.731499999999997</v>
      </c>
      <c r="D165" s="10">
        <f>33.7294 * CHOOSE(CONTROL!$C$9, $D$9, 100%, $F$9) + CHOOSE(CONTROL!$C$27, 0.0021, 0)</f>
        <v>33.731499999999997</v>
      </c>
      <c r="E165" s="10">
        <f>33.5927 * CHOOSE(CONTROL!$C$9, $D$9, 100%, $F$9) + CHOOSE(CONTROL!$C$27, 0.0021, 0)</f>
        <v>33.594799999999999</v>
      </c>
      <c r="F165" s="10">
        <f>33.5927 * CHOOSE(CONTROL!$C$9, $D$9, 100%, $F$9) + CHOOSE(CONTROL!$C$27, 0.0021, 0)</f>
        <v>33.594799999999999</v>
      </c>
      <c r="G165" s="10">
        <f>33.8641 * CHOOSE(CONTROL!$C$9, $D$9, 100%, $F$9) + CHOOSE(CONTROL!$C$27, 0.0021, 0)</f>
        <v>33.866199999999999</v>
      </c>
      <c r="H165" s="10">
        <f>33.7294 * CHOOSE(CONTROL!$C$9, $D$9, 100%, $F$9) + CHOOSE(CONTROL!$C$27, 0.0021, 0)</f>
        <v>33.731499999999997</v>
      </c>
      <c r="I165" s="10">
        <f>33.7294 * CHOOSE(CONTROL!$C$9, $D$9, 100%, $F$9) + CHOOSE(CONTROL!$C$27, 0.0021, 0)</f>
        <v>33.731499999999997</v>
      </c>
      <c r="J165" s="10">
        <f>33.7294 * CHOOSE(CONTROL!$C$9, $D$9, 100%, $F$9) + CHOOSE(CONTROL!$C$27, 0.0021, 0)</f>
        <v>33.731499999999997</v>
      </c>
      <c r="K165" s="10">
        <f>33.7294 * CHOOSE(CONTROL!$C$9, $D$9, 100%, $F$9) + CHOOSE(CONTROL!$C$27, 0.0021, 0)</f>
        <v>33.731499999999997</v>
      </c>
      <c r="L165" s="10"/>
    </row>
    <row r="166" spans="1:12" ht="15" x14ac:dyDescent="0.2">
      <c r="A166" s="16">
        <v>45962</v>
      </c>
      <c r="B166" s="10">
        <f>34.2353 * CHOOSE(CONTROL!$C$9, $D$9, 100%, $F$9) + CHOOSE(CONTROL!$C$27, 0.0021, 0)</f>
        <v>34.237400000000001</v>
      </c>
      <c r="C166" s="10">
        <f>33.803 * CHOOSE(CONTROL!$C$9, $D$9, 100%, $F$9) + CHOOSE(CONTROL!$C$27, 0.0021, 0)</f>
        <v>33.805099999999996</v>
      </c>
      <c r="D166" s="10">
        <f>33.803 * CHOOSE(CONTROL!$C$9, $D$9, 100%, $F$9) + CHOOSE(CONTROL!$C$27, 0.0021, 0)</f>
        <v>33.805099999999996</v>
      </c>
      <c r="E166" s="10">
        <f>33.6663 * CHOOSE(CONTROL!$C$9, $D$9, 100%, $F$9) + CHOOSE(CONTROL!$C$27, 0.0021, 0)</f>
        <v>33.668399999999998</v>
      </c>
      <c r="F166" s="10">
        <f>33.6663 * CHOOSE(CONTROL!$C$9, $D$9, 100%, $F$9) + CHOOSE(CONTROL!$C$27, 0.0021, 0)</f>
        <v>33.668399999999998</v>
      </c>
      <c r="G166" s="10">
        <f>33.9377 * CHOOSE(CONTROL!$C$9, $D$9, 100%, $F$9) + CHOOSE(CONTROL!$C$27, 0.0021, 0)</f>
        <v>33.939799999999998</v>
      </c>
      <c r="H166" s="10">
        <f>33.803 * CHOOSE(CONTROL!$C$9, $D$9, 100%, $F$9) + CHOOSE(CONTROL!$C$27, 0.0021, 0)</f>
        <v>33.805099999999996</v>
      </c>
      <c r="I166" s="10">
        <f>33.803 * CHOOSE(CONTROL!$C$9, $D$9, 100%, $F$9) + CHOOSE(CONTROL!$C$27, 0.0021, 0)</f>
        <v>33.805099999999996</v>
      </c>
      <c r="J166" s="10">
        <f>33.803 * CHOOSE(CONTROL!$C$9, $D$9, 100%, $F$9) + CHOOSE(CONTROL!$C$27, 0.0021, 0)</f>
        <v>33.805099999999996</v>
      </c>
      <c r="K166" s="10">
        <f>33.803 * CHOOSE(CONTROL!$C$9, $D$9, 100%, $F$9) + CHOOSE(CONTROL!$C$27, 0.0021, 0)</f>
        <v>33.805099999999996</v>
      </c>
      <c r="L166" s="10"/>
    </row>
    <row r="167" spans="1:12" ht="15" x14ac:dyDescent="0.2">
      <c r="A167" s="16">
        <v>45992</v>
      </c>
      <c r="B167" s="10">
        <f>33.6089 * CHOOSE(CONTROL!$C$9, $D$9, 100%, $F$9) + CHOOSE(CONTROL!$C$27, 0.0021, 0)</f>
        <v>33.610999999999997</v>
      </c>
      <c r="C167" s="10">
        <f>33.1767 * CHOOSE(CONTROL!$C$9, $D$9, 100%, $F$9) + CHOOSE(CONTROL!$C$27, 0.0021, 0)</f>
        <v>33.178799999999995</v>
      </c>
      <c r="D167" s="10">
        <f>33.1767 * CHOOSE(CONTROL!$C$9, $D$9, 100%, $F$9) + CHOOSE(CONTROL!$C$27, 0.0021, 0)</f>
        <v>33.178799999999995</v>
      </c>
      <c r="E167" s="10">
        <f>33.04 * CHOOSE(CONTROL!$C$9, $D$9, 100%, $F$9) + CHOOSE(CONTROL!$C$27, 0.0021, 0)</f>
        <v>33.042099999999998</v>
      </c>
      <c r="F167" s="10">
        <f>33.04 * CHOOSE(CONTROL!$C$9, $D$9, 100%, $F$9) + CHOOSE(CONTROL!$C$27, 0.0021, 0)</f>
        <v>33.042099999999998</v>
      </c>
      <c r="G167" s="10">
        <f>33.3114 * CHOOSE(CONTROL!$C$9, $D$9, 100%, $F$9) + CHOOSE(CONTROL!$C$27, 0.0021, 0)</f>
        <v>33.313499999999998</v>
      </c>
      <c r="H167" s="10">
        <f>33.1767 * CHOOSE(CONTROL!$C$9, $D$9, 100%, $F$9) + CHOOSE(CONTROL!$C$27, 0.0021, 0)</f>
        <v>33.178799999999995</v>
      </c>
      <c r="I167" s="10">
        <f>33.1767 * CHOOSE(CONTROL!$C$9, $D$9, 100%, $F$9) + CHOOSE(CONTROL!$C$27, 0.0021, 0)</f>
        <v>33.178799999999995</v>
      </c>
      <c r="J167" s="10">
        <f>33.1767 * CHOOSE(CONTROL!$C$9, $D$9, 100%, $F$9) + CHOOSE(CONTROL!$C$27, 0.0021, 0)</f>
        <v>33.178799999999995</v>
      </c>
      <c r="K167" s="10">
        <f>33.1767 * CHOOSE(CONTROL!$C$9, $D$9, 100%, $F$9) + CHOOSE(CONTROL!$C$27, 0.0021, 0)</f>
        <v>33.178799999999995</v>
      </c>
      <c r="L167" s="10"/>
    </row>
    <row r="168" spans="1:12" ht="15" x14ac:dyDescent="0.2">
      <c r="A168" s="16">
        <v>46023</v>
      </c>
      <c r="B168" s="10">
        <f>33.2052 * CHOOSE(CONTROL!$C$9, $D$9, 100%, $F$9) + CHOOSE(CONTROL!$C$27, 0.0021, 0)</f>
        <v>33.207299999999996</v>
      </c>
      <c r="C168" s="10">
        <f>32.773 * CHOOSE(CONTROL!$C$9, $D$9, 100%, $F$9) + CHOOSE(CONTROL!$C$27, 0.0021, 0)</f>
        <v>32.775100000000002</v>
      </c>
      <c r="D168" s="10">
        <f>32.773 * CHOOSE(CONTROL!$C$9, $D$9, 100%, $F$9) + CHOOSE(CONTROL!$C$27, 0.0021, 0)</f>
        <v>32.775100000000002</v>
      </c>
      <c r="E168" s="10">
        <f>32.6363 * CHOOSE(CONTROL!$C$9, $D$9, 100%, $F$9) + CHOOSE(CONTROL!$C$27, 0.0021, 0)</f>
        <v>32.638399999999997</v>
      </c>
      <c r="F168" s="10">
        <f>32.6363 * CHOOSE(CONTROL!$C$9, $D$9, 100%, $F$9) + CHOOSE(CONTROL!$C$27, 0.0021, 0)</f>
        <v>32.638399999999997</v>
      </c>
      <c r="G168" s="10">
        <f>32.9077 * CHOOSE(CONTROL!$C$9, $D$9, 100%, $F$9) + CHOOSE(CONTROL!$C$27, 0.0021, 0)</f>
        <v>32.909799999999997</v>
      </c>
      <c r="H168" s="10">
        <f>32.773 * CHOOSE(CONTROL!$C$9, $D$9, 100%, $F$9) + CHOOSE(CONTROL!$C$27, 0.0021, 0)</f>
        <v>32.775100000000002</v>
      </c>
      <c r="I168" s="10">
        <f>32.773 * CHOOSE(CONTROL!$C$9, $D$9, 100%, $F$9) + CHOOSE(CONTROL!$C$27, 0.0021, 0)</f>
        <v>32.775100000000002</v>
      </c>
      <c r="J168" s="10">
        <f>32.773 * CHOOSE(CONTROL!$C$9, $D$9, 100%, $F$9) + CHOOSE(CONTROL!$C$27, 0.0021, 0)</f>
        <v>32.775100000000002</v>
      </c>
      <c r="K168" s="10">
        <f>32.773 * CHOOSE(CONTROL!$C$9, $D$9, 100%, $F$9) + CHOOSE(CONTROL!$C$27, 0.0021, 0)</f>
        <v>32.775100000000002</v>
      </c>
      <c r="L168" s="10"/>
    </row>
    <row r="169" spans="1:12" ht="15" x14ac:dyDescent="0.2">
      <c r="A169" s="16">
        <v>46054</v>
      </c>
      <c r="B169" s="10">
        <f>32.3309 * CHOOSE(CONTROL!$C$9, $D$9, 100%, $F$9) + CHOOSE(CONTROL!$C$27, 0.0021, 0)</f>
        <v>32.332999999999998</v>
      </c>
      <c r="C169" s="10">
        <f>31.8986 * CHOOSE(CONTROL!$C$9, $D$9, 100%, $F$9) + CHOOSE(CONTROL!$C$27, 0.0021, 0)</f>
        <v>31.900699999999997</v>
      </c>
      <c r="D169" s="10">
        <f>31.8986 * CHOOSE(CONTROL!$C$9, $D$9, 100%, $F$9) + CHOOSE(CONTROL!$C$27, 0.0021, 0)</f>
        <v>31.900699999999997</v>
      </c>
      <c r="E169" s="10">
        <f>31.7619 * CHOOSE(CONTROL!$C$9, $D$9, 100%, $F$9) + CHOOSE(CONTROL!$C$27, 0.0021, 0)</f>
        <v>31.763999999999999</v>
      </c>
      <c r="F169" s="10">
        <f>31.7619 * CHOOSE(CONTROL!$C$9, $D$9, 100%, $F$9) + CHOOSE(CONTROL!$C$27, 0.0021, 0)</f>
        <v>31.763999999999999</v>
      </c>
      <c r="G169" s="10">
        <f>32.0333 * CHOOSE(CONTROL!$C$9, $D$9, 100%, $F$9) + CHOOSE(CONTROL!$C$27, 0.0021, 0)</f>
        <v>32.035399999999996</v>
      </c>
      <c r="H169" s="10">
        <f>31.8986 * CHOOSE(CONTROL!$C$9, $D$9, 100%, $F$9) + CHOOSE(CONTROL!$C$27, 0.0021, 0)</f>
        <v>31.900699999999997</v>
      </c>
      <c r="I169" s="10">
        <f>31.8986 * CHOOSE(CONTROL!$C$9, $D$9, 100%, $F$9) + CHOOSE(CONTROL!$C$27, 0.0021, 0)</f>
        <v>31.900699999999997</v>
      </c>
      <c r="J169" s="10">
        <f>31.8986 * CHOOSE(CONTROL!$C$9, $D$9, 100%, $F$9) + CHOOSE(CONTROL!$C$27, 0.0021, 0)</f>
        <v>31.900699999999997</v>
      </c>
      <c r="K169" s="10">
        <f>31.8986 * CHOOSE(CONTROL!$C$9, $D$9, 100%, $F$9) + CHOOSE(CONTROL!$C$27, 0.0021, 0)</f>
        <v>31.900699999999997</v>
      </c>
      <c r="L169" s="10"/>
    </row>
    <row r="170" spans="1:12" ht="15" x14ac:dyDescent="0.2">
      <c r="A170" s="16">
        <v>46082</v>
      </c>
      <c r="B170" s="10">
        <f>31.9699 * CHOOSE(CONTROL!$C$9, $D$9, 100%, $F$9) + CHOOSE(CONTROL!$C$27, 0.0021, 0)</f>
        <v>31.971999999999998</v>
      </c>
      <c r="C170" s="10">
        <f>31.5377 * CHOOSE(CONTROL!$C$9, $D$9, 100%, $F$9) + CHOOSE(CONTROL!$C$27, 0.0021, 0)</f>
        <v>31.5398</v>
      </c>
      <c r="D170" s="10">
        <f>31.5377 * CHOOSE(CONTROL!$C$9, $D$9, 100%, $F$9) + CHOOSE(CONTROL!$C$27, 0.0021, 0)</f>
        <v>31.5398</v>
      </c>
      <c r="E170" s="10">
        <f>31.401 * CHOOSE(CONTROL!$C$9, $D$9, 100%, $F$9) + CHOOSE(CONTROL!$C$27, 0.0021, 0)</f>
        <v>31.403099999999998</v>
      </c>
      <c r="F170" s="10">
        <f>31.401 * CHOOSE(CONTROL!$C$9, $D$9, 100%, $F$9) + CHOOSE(CONTROL!$C$27, 0.0021, 0)</f>
        <v>31.403099999999998</v>
      </c>
      <c r="G170" s="10">
        <f>31.6724 * CHOOSE(CONTROL!$C$9, $D$9, 100%, $F$9) + CHOOSE(CONTROL!$C$27, 0.0021, 0)</f>
        <v>31.674499999999998</v>
      </c>
      <c r="H170" s="10">
        <f>31.5377 * CHOOSE(CONTROL!$C$9, $D$9, 100%, $F$9) + CHOOSE(CONTROL!$C$27, 0.0021, 0)</f>
        <v>31.5398</v>
      </c>
      <c r="I170" s="10">
        <f>31.5377 * CHOOSE(CONTROL!$C$9, $D$9, 100%, $F$9) + CHOOSE(CONTROL!$C$27, 0.0021, 0)</f>
        <v>31.5398</v>
      </c>
      <c r="J170" s="10">
        <f>31.5377 * CHOOSE(CONTROL!$C$9, $D$9, 100%, $F$9) + CHOOSE(CONTROL!$C$27, 0.0021, 0)</f>
        <v>31.5398</v>
      </c>
      <c r="K170" s="10">
        <f>31.5377 * CHOOSE(CONTROL!$C$9, $D$9, 100%, $F$9) + CHOOSE(CONTROL!$C$27, 0.0021, 0)</f>
        <v>31.5398</v>
      </c>
      <c r="L170" s="10"/>
    </row>
    <row r="171" spans="1:12" ht="15" x14ac:dyDescent="0.2">
      <c r="A171" s="16">
        <v>46113</v>
      </c>
      <c r="B171" s="10">
        <f>31.5389 * CHOOSE(CONTROL!$C$9, $D$9, 100%, $F$9) + CHOOSE(CONTROL!$C$27, 0.0021, 0)</f>
        <v>31.541</v>
      </c>
      <c r="C171" s="10">
        <f>31.1067 * CHOOSE(CONTROL!$C$9, $D$9, 100%, $F$9) + CHOOSE(CONTROL!$C$27, 0.0021, 0)</f>
        <v>31.108799999999999</v>
      </c>
      <c r="D171" s="10">
        <f>31.1067 * CHOOSE(CONTROL!$C$9, $D$9, 100%, $F$9) + CHOOSE(CONTROL!$C$27, 0.0021, 0)</f>
        <v>31.108799999999999</v>
      </c>
      <c r="E171" s="10">
        <f>30.97 * CHOOSE(CONTROL!$C$9, $D$9, 100%, $F$9) + CHOOSE(CONTROL!$C$27, 0.0021, 0)</f>
        <v>30.972099999999998</v>
      </c>
      <c r="F171" s="10">
        <f>30.97 * CHOOSE(CONTROL!$C$9, $D$9, 100%, $F$9) + CHOOSE(CONTROL!$C$27, 0.0021, 0)</f>
        <v>30.972099999999998</v>
      </c>
      <c r="G171" s="10">
        <f>31.2414 * CHOOSE(CONTROL!$C$9, $D$9, 100%, $F$9) + CHOOSE(CONTROL!$C$27, 0.0021, 0)</f>
        <v>31.243499999999997</v>
      </c>
      <c r="H171" s="10">
        <f>31.1067 * CHOOSE(CONTROL!$C$9, $D$9, 100%, $F$9) + CHOOSE(CONTROL!$C$27, 0.0021, 0)</f>
        <v>31.108799999999999</v>
      </c>
      <c r="I171" s="10">
        <f>31.1067 * CHOOSE(CONTROL!$C$9, $D$9, 100%, $F$9) + CHOOSE(CONTROL!$C$27, 0.0021, 0)</f>
        <v>31.108799999999999</v>
      </c>
      <c r="J171" s="10">
        <f>31.1067 * CHOOSE(CONTROL!$C$9, $D$9, 100%, $F$9) + CHOOSE(CONTROL!$C$27, 0.0021, 0)</f>
        <v>31.108799999999999</v>
      </c>
      <c r="K171" s="10">
        <f>31.1067 * CHOOSE(CONTROL!$C$9, $D$9, 100%, $F$9) + CHOOSE(CONTROL!$C$27, 0.0021, 0)</f>
        <v>31.108799999999999</v>
      </c>
      <c r="L171" s="10"/>
    </row>
    <row r="172" spans="1:12" ht="15" x14ac:dyDescent="0.2">
      <c r="A172" s="16">
        <v>46143</v>
      </c>
      <c r="B172" s="10">
        <f>32.1531 * CHOOSE(CONTROL!$C$9, $D$9, 100%, $F$9) + CHOOSE(CONTROL!$C$27, 0.0021, 0)</f>
        <v>32.155200000000001</v>
      </c>
      <c r="C172" s="10">
        <f>31.7209 * CHOOSE(CONTROL!$C$9, $D$9, 100%, $F$9) + CHOOSE(CONTROL!$C$27, 0.0021, 0)</f>
        <v>31.722999999999999</v>
      </c>
      <c r="D172" s="10">
        <f>31.7209 * CHOOSE(CONTROL!$C$9, $D$9, 100%, $F$9) + CHOOSE(CONTROL!$C$27, 0.0021, 0)</f>
        <v>31.722999999999999</v>
      </c>
      <c r="E172" s="10">
        <f>31.5842 * CHOOSE(CONTROL!$C$9, $D$9, 100%, $F$9) + CHOOSE(CONTROL!$C$27, 0.0021, 0)</f>
        <v>31.586299999999998</v>
      </c>
      <c r="F172" s="10">
        <f>31.5842 * CHOOSE(CONTROL!$C$9, $D$9, 100%, $F$9) + CHOOSE(CONTROL!$C$27, 0.0021, 0)</f>
        <v>31.586299999999998</v>
      </c>
      <c r="G172" s="10">
        <f>31.8556 * CHOOSE(CONTROL!$C$9, $D$9, 100%, $F$9) + CHOOSE(CONTROL!$C$27, 0.0021, 0)</f>
        <v>31.857699999999998</v>
      </c>
      <c r="H172" s="10">
        <f>31.7209 * CHOOSE(CONTROL!$C$9, $D$9, 100%, $F$9) + CHOOSE(CONTROL!$C$27, 0.0021, 0)</f>
        <v>31.722999999999999</v>
      </c>
      <c r="I172" s="10">
        <f>31.7209 * CHOOSE(CONTROL!$C$9, $D$9, 100%, $F$9) + CHOOSE(CONTROL!$C$27, 0.0021, 0)</f>
        <v>31.722999999999999</v>
      </c>
      <c r="J172" s="10">
        <f>31.7209 * CHOOSE(CONTROL!$C$9, $D$9, 100%, $F$9) + CHOOSE(CONTROL!$C$27, 0.0021, 0)</f>
        <v>31.722999999999999</v>
      </c>
      <c r="K172" s="10">
        <f>31.7209 * CHOOSE(CONTROL!$C$9, $D$9, 100%, $F$9) + CHOOSE(CONTROL!$C$27, 0.0021, 0)</f>
        <v>31.722999999999999</v>
      </c>
      <c r="L172" s="10"/>
    </row>
    <row r="173" spans="1:12" ht="15" x14ac:dyDescent="0.2">
      <c r="A173" s="16">
        <v>46174</v>
      </c>
      <c r="B173" s="10">
        <f>32.521 * CHOOSE(CONTROL!$C$9, $D$9, 100%, $F$9) + CHOOSE(CONTROL!$C$27, 0.0021, 0)</f>
        <v>32.523099999999999</v>
      </c>
      <c r="C173" s="10">
        <f>32.0888 * CHOOSE(CONTROL!$C$9, $D$9, 100%, $F$9) + CHOOSE(CONTROL!$C$27, 0.0021, 0)</f>
        <v>32.090899999999998</v>
      </c>
      <c r="D173" s="10">
        <f>32.0888 * CHOOSE(CONTROL!$C$9, $D$9, 100%, $F$9) + CHOOSE(CONTROL!$C$27, 0.0021, 0)</f>
        <v>32.090899999999998</v>
      </c>
      <c r="E173" s="10">
        <f>31.9521 * CHOOSE(CONTROL!$C$9, $D$9, 100%, $F$9) + CHOOSE(CONTROL!$C$27, 0.0021, 0)</f>
        <v>31.9542</v>
      </c>
      <c r="F173" s="10">
        <f>31.9521 * CHOOSE(CONTROL!$C$9, $D$9, 100%, $F$9) + CHOOSE(CONTROL!$C$27, 0.0021, 0)</f>
        <v>31.9542</v>
      </c>
      <c r="G173" s="10">
        <f>32.2235 * CHOOSE(CONTROL!$C$9, $D$9, 100%, $F$9) + CHOOSE(CONTROL!$C$27, 0.0021, 0)</f>
        <v>32.2256</v>
      </c>
      <c r="H173" s="10">
        <f>32.0888 * CHOOSE(CONTROL!$C$9, $D$9, 100%, $F$9) + CHOOSE(CONTROL!$C$27, 0.0021, 0)</f>
        <v>32.090899999999998</v>
      </c>
      <c r="I173" s="10">
        <f>32.0888 * CHOOSE(CONTROL!$C$9, $D$9, 100%, $F$9) + CHOOSE(CONTROL!$C$27, 0.0021, 0)</f>
        <v>32.090899999999998</v>
      </c>
      <c r="J173" s="10">
        <f>32.0888 * CHOOSE(CONTROL!$C$9, $D$9, 100%, $F$9) + CHOOSE(CONTROL!$C$27, 0.0021, 0)</f>
        <v>32.090899999999998</v>
      </c>
      <c r="K173" s="10">
        <f>32.0888 * CHOOSE(CONTROL!$C$9, $D$9, 100%, $F$9) + CHOOSE(CONTROL!$C$27, 0.0021, 0)</f>
        <v>32.090899999999998</v>
      </c>
      <c r="L173" s="10"/>
    </row>
    <row r="174" spans="1:12" ht="15" x14ac:dyDescent="0.2">
      <c r="A174" s="16">
        <v>46204</v>
      </c>
      <c r="B174" s="10">
        <f>33.1279 * CHOOSE(CONTROL!$C$9, $D$9, 100%, $F$9) + CHOOSE(CONTROL!$C$27, 0.0021, 0)</f>
        <v>33.129999999999995</v>
      </c>
      <c r="C174" s="10">
        <f>32.6956 * CHOOSE(CONTROL!$C$9, $D$9, 100%, $F$9) + CHOOSE(CONTROL!$C$27, 0.0021, 0)</f>
        <v>32.697699999999998</v>
      </c>
      <c r="D174" s="10">
        <f>32.6956 * CHOOSE(CONTROL!$C$9, $D$9, 100%, $F$9) + CHOOSE(CONTROL!$C$27, 0.0021, 0)</f>
        <v>32.697699999999998</v>
      </c>
      <c r="E174" s="10">
        <f>32.559 * CHOOSE(CONTROL!$C$9, $D$9, 100%, $F$9) + CHOOSE(CONTROL!$C$27, 0.0021, 0)</f>
        <v>32.561099999999996</v>
      </c>
      <c r="F174" s="10">
        <f>32.559 * CHOOSE(CONTROL!$C$9, $D$9, 100%, $F$9) + CHOOSE(CONTROL!$C$27, 0.0021, 0)</f>
        <v>32.561099999999996</v>
      </c>
      <c r="G174" s="10">
        <f>32.8303 * CHOOSE(CONTROL!$C$9, $D$9, 100%, $F$9) + CHOOSE(CONTROL!$C$27, 0.0021, 0)</f>
        <v>32.8324</v>
      </c>
      <c r="H174" s="10">
        <f>32.6956 * CHOOSE(CONTROL!$C$9, $D$9, 100%, $F$9) + CHOOSE(CONTROL!$C$27, 0.0021, 0)</f>
        <v>32.697699999999998</v>
      </c>
      <c r="I174" s="10">
        <f>32.6956 * CHOOSE(CONTROL!$C$9, $D$9, 100%, $F$9) + CHOOSE(CONTROL!$C$27, 0.0021, 0)</f>
        <v>32.697699999999998</v>
      </c>
      <c r="J174" s="10">
        <f>32.6956 * CHOOSE(CONTROL!$C$9, $D$9, 100%, $F$9) + CHOOSE(CONTROL!$C$27, 0.0021, 0)</f>
        <v>32.697699999999998</v>
      </c>
      <c r="K174" s="10">
        <f>32.6956 * CHOOSE(CONTROL!$C$9, $D$9, 100%, $F$9) + CHOOSE(CONTROL!$C$27, 0.0021, 0)</f>
        <v>32.697699999999998</v>
      </c>
      <c r="L174" s="10"/>
    </row>
    <row r="175" spans="1:12" ht="15" x14ac:dyDescent="0.2">
      <c r="A175" s="16">
        <v>46235</v>
      </c>
      <c r="B175" s="10">
        <f>33.3131 * CHOOSE(CONTROL!$C$9, $D$9, 100%, $F$9) + CHOOSE(CONTROL!$C$27, 0.0021, 0)</f>
        <v>33.315199999999997</v>
      </c>
      <c r="C175" s="10">
        <f>32.8808 * CHOOSE(CONTROL!$C$9, $D$9, 100%, $F$9) + CHOOSE(CONTROL!$C$27, 0.0021, 0)</f>
        <v>32.882899999999999</v>
      </c>
      <c r="D175" s="10">
        <f>32.8808 * CHOOSE(CONTROL!$C$9, $D$9, 100%, $F$9) + CHOOSE(CONTROL!$C$27, 0.0021, 0)</f>
        <v>32.882899999999999</v>
      </c>
      <c r="E175" s="10">
        <f>32.7442 * CHOOSE(CONTROL!$C$9, $D$9, 100%, $F$9) + CHOOSE(CONTROL!$C$27, 0.0021, 0)</f>
        <v>32.746299999999998</v>
      </c>
      <c r="F175" s="10">
        <f>32.7442 * CHOOSE(CONTROL!$C$9, $D$9, 100%, $F$9) + CHOOSE(CONTROL!$C$27, 0.0021, 0)</f>
        <v>32.746299999999998</v>
      </c>
      <c r="G175" s="10">
        <f>33.0156 * CHOOSE(CONTROL!$C$9, $D$9, 100%, $F$9) + CHOOSE(CONTROL!$C$27, 0.0021, 0)</f>
        <v>33.017699999999998</v>
      </c>
      <c r="H175" s="10">
        <f>32.8808 * CHOOSE(CONTROL!$C$9, $D$9, 100%, $F$9) + CHOOSE(CONTROL!$C$27, 0.0021, 0)</f>
        <v>32.882899999999999</v>
      </c>
      <c r="I175" s="10">
        <f>32.8808 * CHOOSE(CONTROL!$C$9, $D$9, 100%, $F$9) + CHOOSE(CONTROL!$C$27, 0.0021, 0)</f>
        <v>32.882899999999999</v>
      </c>
      <c r="J175" s="10">
        <f>32.8808 * CHOOSE(CONTROL!$C$9, $D$9, 100%, $F$9) + CHOOSE(CONTROL!$C$27, 0.0021, 0)</f>
        <v>32.882899999999999</v>
      </c>
      <c r="K175" s="10">
        <f>32.8808 * CHOOSE(CONTROL!$C$9, $D$9, 100%, $F$9) + CHOOSE(CONTROL!$C$27, 0.0021, 0)</f>
        <v>32.882899999999999</v>
      </c>
      <c r="L175" s="10"/>
    </row>
    <row r="176" spans="1:12" ht="15" x14ac:dyDescent="0.2">
      <c r="A176" s="16">
        <v>46266</v>
      </c>
      <c r="B176" s="10">
        <f>33.9439 * CHOOSE(CONTROL!$C$9, $D$9, 100%, $F$9) + CHOOSE(CONTROL!$C$27, 0.0021, 0)</f>
        <v>33.945999999999998</v>
      </c>
      <c r="C176" s="10">
        <f>33.5117 * CHOOSE(CONTROL!$C$9, $D$9, 100%, $F$9) + CHOOSE(CONTROL!$C$27, 0.0021, 0)</f>
        <v>33.513799999999996</v>
      </c>
      <c r="D176" s="10">
        <f>33.5117 * CHOOSE(CONTROL!$C$9, $D$9, 100%, $F$9) + CHOOSE(CONTROL!$C$27, 0.0021, 0)</f>
        <v>33.513799999999996</v>
      </c>
      <c r="E176" s="10">
        <f>33.375 * CHOOSE(CONTROL!$C$9, $D$9, 100%, $F$9) + CHOOSE(CONTROL!$C$27, 0.0021, 0)</f>
        <v>33.377099999999999</v>
      </c>
      <c r="F176" s="10">
        <f>33.375 * CHOOSE(CONTROL!$C$9, $D$9, 100%, $F$9) + CHOOSE(CONTROL!$C$27, 0.0021, 0)</f>
        <v>33.377099999999999</v>
      </c>
      <c r="G176" s="10">
        <f>33.6464 * CHOOSE(CONTROL!$C$9, $D$9, 100%, $F$9) + CHOOSE(CONTROL!$C$27, 0.0021, 0)</f>
        <v>33.648499999999999</v>
      </c>
      <c r="H176" s="10">
        <f>33.5117 * CHOOSE(CONTROL!$C$9, $D$9, 100%, $F$9) + CHOOSE(CONTROL!$C$27, 0.0021, 0)</f>
        <v>33.513799999999996</v>
      </c>
      <c r="I176" s="10">
        <f>33.5117 * CHOOSE(CONTROL!$C$9, $D$9, 100%, $F$9) + CHOOSE(CONTROL!$C$27, 0.0021, 0)</f>
        <v>33.513799999999996</v>
      </c>
      <c r="J176" s="10">
        <f>33.5117 * CHOOSE(CONTROL!$C$9, $D$9, 100%, $F$9) + CHOOSE(CONTROL!$C$27, 0.0021, 0)</f>
        <v>33.513799999999996</v>
      </c>
      <c r="K176" s="10">
        <f>33.5117 * CHOOSE(CONTROL!$C$9, $D$9, 100%, $F$9) + CHOOSE(CONTROL!$C$27, 0.0021, 0)</f>
        <v>33.513799999999996</v>
      </c>
      <c r="L176" s="10"/>
    </row>
    <row r="177" spans="1:12" ht="15" x14ac:dyDescent="0.2">
      <c r="A177" s="16">
        <v>46296</v>
      </c>
      <c r="B177" s="10">
        <f>34.7424 * CHOOSE(CONTROL!$C$9, $D$9, 100%, $F$9) + CHOOSE(CONTROL!$C$27, 0.0021, 0)</f>
        <v>34.744500000000002</v>
      </c>
      <c r="C177" s="10">
        <f>34.3101 * CHOOSE(CONTROL!$C$9, $D$9, 100%, $F$9) + CHOOSE(CONTROL!$C$27, 0.0021, 0)</f>
        <v>34.312199999999997</v>
      </c>
      <c r="D177" s="10">
        <f>34.3101 * CHOOSE(CONTROL!$C$9, $D$9, 100%, $F$9) + CHOOSE(CONTROL!$C$27, 0.0021, 0)</f>
        <v>34.312199999999997</v>
      </c>
      <c r="E177" s="10">
        <f>34.1735 * CHOOSE(CONTROL!$C$9, $D$9, 100%, $F$9) + CHOOSE(CONTROL!$C$27, 0.0021, 0)</f>
        <v>34.175599999999996</v>
      </c>
      <c r="F177" s="10">
        <f>34.1735 * CHOOSE(CONTROL!$C$9, $D$9, 100%, $F$9) + CHOOSE(CONTROL!$C$27, 0.0021, 0)</f>
        <v>34.175599999999996</v>
      </c>
      <c r="G177" s="10">
        <f>34.4449 * CHOOSE(CONTROL!$C$9, $D$9, 100%, $F$9) + CHOOSE(CONTROL!$C$27, 0.0021, 0)</f>
        <v>34.446999999999996</v>
      </c>
      <c r="H177" s="10">
        <f>34.3101 * CHOOSE(CONTROL!$C$9, $D$9, 100%, $F$9) + CHOOSE(CONTROL!$C$27, 0.0021, 0)</f>
        <v>34.312199999999997</v>
      </c>
      <c r="I177" s="10">
        <f>34.3101 * CHOOSE(CONTROL!$C$9, $D$9, 100%, $F$9) + CHOOSE(CONTROL!$C$27, 0.0021, 0)</f>
        <v>34.312199999999997</v>
      </c>
      <c r="J177" s="10">
        <f>34.3101 * CHOOSE(CONTROL!$C$9, $D$9, 100%, $F$9) + CHOOSE(CONTROL!$C$27, 0.0021, 0)</f>
        <v>34.312199999999997</v>
      </c>
      <c r="K177" s="10">
        <f>34.3101 * CHOOSE(CONTROL!$C$9, $D$9, 100%, $F$9) + CHOOSE(CONTROL!$C$27, 0.0021, 0)</f>
        <v>34.312199999999997</v>
      </c>
      <c r="L177" s="10"/>
    </row>
    <row r="178" spans="1:12" ht="15" x14ac:dyDescent="0.2">
      <c r="A178" s="16">
        <v>46327</v>
      </c>
      <c r="B178" s="10">
        <f>34.8174 * CHOOSE(CONTROL!$C$9, $D$9, 100%, $F$9) + CHOOSE(CONTROL!$C$27, 0.0021, 0)</f>
        <v>34.819499999999998</v>
      </c>
      <c r="C178" s="10">
        <f>34.3851 * CHOOSE(CONTROL!$C$9, $D$9, 100%, $F$9) + CHOOSE(CONTROL!$C$27, 0.0021, 0)</f>
        <v>34.3872</v>
      </c>
      <c r="D178" s="10">
        <f>34.3851 * CHOOSE(CONTROL!$C$9, $D$9, 100%, $F$9) + CHOOSE(CONTROL!$C$27, 0.0021, 0)</f>
        <v>34.3872</v>
      </c>
      <c r="E178" s="10">
        <f>34.2484 * CHOOSE(CONTROL!$C$9, $D$9, 100%, $F$9) + CHOOSE(CONTROL!$C$27, 0.0021, 0)</f>
        <v>34.250499999999995</v>
      </c>
      <c r="F178" s="10">
        <f>34.2484 * CHOOSE(CONTROL!$C$9, $D$9, 100%, $F$9) + CHOOSE(CONTROL!$C$27, 0.0021, 0)</f>
        <v>34.250499999999995</v>
      </c>
      <c r="G178" s="10">
        <f>34.5198 * CHOOSE(CONTROL!$C$9, $D$9, 100%, $F$9) + CHOOSE(CONTROL!$C$27, 0.0021, 0)</f>
        <v>34.521899999999995</v>
      </c>
      <c r="H178" s="10">
        <f>34.3851 * CHOOSE(CONTROL!$C$9, $D$9, 100%, $F$9) + CHOOSE(CONTROL!$C$27, 0.0021, 0)</f>
        <v>34.3872</v>
      </c>
      <c r="I178" s="10">
        <f>34.3851 * CHOOSE(CONTROL!$C$9, $D$9, 100%, $F$9) + CHOOSE(CONTROL!$C$27, 0.0021, 0)</f>
        <v>34.3872</v>
      </c>
      <c r="J178" s="10">
        <f>34.3851 * CHOOSE(CONTROL!$C$9, $D$9, 100%, $F$9) + CHOOSE(CONTROL!$C$27, 0.0021, 0)</f>
        <v>34.3872</v>
      </c>
      <c r="K178" s="10">
        <f>34.3851 * CHOOSE(CONTROL!$C$9, $D$9, 100%, $F$9) + CHOOSE(CONTROL!$C$27, 0.0021, 0)</f>
        <v>34.3872</v>
      </c>
      <c r="L178" s="10"/>
    </row>
    <row r="179" spans="1:12" ht="15" x14ac:dyDescent="0.2">
      <c r="A179" s="16">
        <v>46357</v>
      </c>
      <c r="B179" s="10">
        <f>34.1796 * CHOOSE(CONTROL!$C$9, $D$9, 100%, $F$9) + CHOOSE(CONTROL!$C$27, 0.0021, 0)</f>
        <v>34.181699999999999</v>
      </c>
      <c r="C179" s="10">
        <f>33.7474 * CHOOSE(CONTROL!$C$9, $D$9, 100%, $F$9) + CHOOSE(CONTROL!$C$27, 0.0021, 0)</f>
        <v>33.749499999999998</v>
      </c>
      <c r="D179" s="10">
        <f>33.7474 * CHOOSE(CONTROL!$C$9, $D$9, 100%, $F$9) + CHOOSE(CONTROL!$C$27, 0.0021, 0)</f>
        <v>33.749499999999998</v>
      </c>
      <c r="E179" s="10">
        <f>33.6107 * CHOOSE(CONTROL!$C$9, $D$9, 100%, $F$9) + CHOOSE(CONTROL!$C$27, 0.0021, 0)</f>
        <v>33.6128</v>
      </c>
      <c r="F179" s="10">
        <f>33.6107 * CHOOSE(CONTROL!$C$9, $D$9, 100%, $F$9) + CHOOSE(CONTROL!$C$27, 0.0021, 0)</f>
        <v>33.6128</v>
      </c>
      <c r="G179" s="10">
        <f>33.8821 * CHOOSE(CONTROL!$C$9, $D$9, 100%, $F$9) + CHOOSE(CONTROL!$C$27, 0.0021, 0)</f>
        <v>33.8842</v>
      </c>
      <c r="H179" s="10">
        <f>33.7474 * CHOOSE(CONTROL!$C$9, $D$9, 100%, $F$9) + CHOOSE(CONTROL!$C$27, 0.0021, 0)</f>
        <v>33.749499999999998</v>
      </c>
      <c r="I179" s="10">
        <f>33.7474 * CHOOSE(CONTROL!$C$9, $D$9, 100%, $F$9) + CHOOSE(CONTROL!$C$27, 0.0021, 0)</f>
        <v>33.749499999999998</v>
      </c>
      <c r="J179" s="10">
        <f>33.7474 * CHOOSE(CONTROL!$C$9, $D$9, 100%, $F$9) + CHOOSE(CONTROL!$C$27, 0.0021, 0)</f>
        <v>33.749499999999998</v>
      </c>
      <c r="K179" s="10">
        <f>33.7474 * CHOOSE(CONTROL!$C$9, $D$9, 100%, $F$9) + CHOOSE(CONTROL!$C$27, 0.0021, 0)</f>
        <v>33.749499999999998</v>
      </c>
      <c r="L179" s="10"/>
    </row>
    <row r="180" spans="1:12" ht="15" x14ac:dyDescent="0.2">
      <c r="A180" s="16">
        <v>46388</v>
      </c>
      <c r="B180" s="10">
        <f>33.7687 * CHOOSE(CONTROL!$C$9, $D$9, 100%, $F$9) + CHOOSE(CONTROL!$C$27, 0.0021, 0)</f>
        <v>33.770800000000001</v>
      </c>
      <c r="C180" s="10">
        <f>33.3364 * CHOOSE(CONTROL!$C$9, $D$9, 100%, $F$9) + CHOOSE(CONTROL!$C$27, 0.0021, 0)</f>
        <v>33.338499999999996</v>
      </c>
      <c r="D180" s="10">
        <f>33.3364 * CHOOSE(CONTROL!$C$9, $D$9, 100%, $F$9) + CHOOSE(CONTROL!$C$27, 0.0021, 0)</f>
        <v>33.338499999999996</v>
      </c>
      <c r="E180" s="10">
        <f>33.1998 * CHOOSE(CONTROL!$C$9, $D$9, 100%, $F$9) + CHOOSE(CONTROL!$C$27, 0.0021, 0)</f>
        <v>33.201900000000002</v>
      </c>
      <c r="F180" s="10">
        <f>33.1998 * CHOOSE(CONTROL!$C$9, $D$9, 100%, $F$9) + CHOOSE(CONTROL!$C$27, 0.0021, 0)</f>
        <v>33.201900000000002</v>
      </c>
      <c r="G180" s="10">
        <f>33.4712 * CHOOSE(CONTROL!$C$9, $D$9, 100%, $F$9) + CHOOSE(CONTROL!$C$27, 0.0021, 0)</f>
        <v>33.473300000000002</v>
      </c>
      <c r="H180" s="10">
        <f>33.3364 * CHOOSE(CONTROL!$C$9, $D$9, 100%, $F$9) + CHOOSE(CONTROL!$C$27, 0.0021, 0)</f>
        <v>33.338499999999996</v>
      </c>
      <c r="I180" s="10">
        <f>33.3364 * CHOOSE(CONTROL!$C$9, $D$9, 100%, $F$9) + CHOOSE(CONTROL!$C$27, 0.0021, 0)</f>
        <v>33.338499999999996</v>
      </c>
      <c r="J180" s="10">
        <f>33.3364 * CHOOSE(CONTROL!$C$9, $D$9, 100%, $F$9) + CHOOSE(CONTROL!$C$27, 0.0021, 0)</f>
        <v>33.338499999999996</v>
      </c>
      <c r="K180" s="10">
        <f>33.3364 * CHOOSE(CONTROL!$C$9, $D$9, 100%, $F$9) + CHOOSE(CONTROL!$C$27, 0.0021, 0)</f>
        <v>33.338499999999996</v>
      </c>
      <c r="L180" s="10"/>
    </row>
    <row r="181" spans="1:12" ht="15" x14ac:dyDescent="0.2">
      <c r="A181" s="16">
        <v>46419</v>
      </c>
      <c r="B181" s="10">
        <f>32.8784 * CHOOSE(CONTROL!$C$9, $D$9, 100%, $F$9) + CHOOSE(CONTROL!$C$27, 0.0021, 0)</f>
        <v>32.880499999999998</v>
      </c>
      <c r="C181" s="10">
        <f>32.4461 * CHOOSE(CONTROL!$C$9, $D$9, 100%, $F$9) + CHOOSE(CONTROL!$C$27, 0.0021, 0)</f>
        <v>32.4482</v>
      </c>
      <c r="D181" s="10">
        <f>32.4461 * CHOOSE(CONTROL!$C$9, $D$9, 100%, $F$9) + CHOOSE(CONTROL!$C$27, 0.0021, 0)</f>
        <v>32.4482</v>
      </c>
      <c r="E181" s="10">
        <f>32.3095 * CHOOSE(CONTROL!$C$9, $D$9, 100%, $F$9) + CHOOSE(CONTROL!$C$27, 0.0021, 0)</f>
        <v>32.311599999999999</v>
      </c>
      <c r="F181" s="10">
        <f>32.3095 * CHOOSE(CONTROL!$C$9, $D$9, 100%, $F$9) + CHOOSE(CONTROL!$C$27, 0.0021, 0)</f>
        <v>32.311599999999999</v>
      </c>
      <c r="G181" s="10">
        <f>32.5808 * CHOOSE(CONTROL!$C$9, $D$9, 100%, $F$9) + CHOOSE(CONTROL!$C$27, 0.0021, 0)</f>
        <v>32.582900000000002</v>
      </c>
      <c r="H181" s="10">
        <f>32.4461 * CHOOSE(CONTROL!$C$9, $D$9, 100%, $F$9) + CHOOSE(CONTROL!$C$27, 0.0021, 0)</f>
        <v>32.4482</v>
      </c>
      <c r="I181" s="10">
        <f>32.4461 * CHOOSE(CONTROL!$C$9, $D$9, 100%, $F$9) + CHOOSE(CONTROL!$C$27, 0.0021, 0)</f>
        <v>32.4482</v>
      </c>
      <c r="J181" s="10">
        <f>32.4461 * CHOOSE(CONTROL!$C$9, $D$9, 100%, $F$9) + CHOOSE(CONTROL!$C$27, 0.0021, 0)</f>
        <v>32.4482</v>
      </c>
      <c r="K181" s="10">
        <f>32.4461 * CHOOSE(CONTROL!$C$9, $D$9, 100%, $F$9) + CHOOSE(CONTROL!$C$27, 0.0021, 0)</f>
        <v>32.4482</v>
      </c>
      <c r="L181" s="10"/>
    </row>
    <row r="182" spans="1:12" ht="15" x14ac:dyDescent="0.2">
      <c r="A182" s="16">
        <v>46447</v>
      </c>
      <c r="B182" s="10">
        <f>32.5108 * CHOOSE(CONTROL!$C$9, $D$9, 100%, $F$9) + CHOOSE(CONTROL!$C$27, 0.0021, 0)</f>
        <v>32.512900000000002</v>
      </c>
      <c r="C182" s="10">
        <f>32.0786 * CHOOSE(CONTROL!$C$9, $D$9, 100%, $F$9) + CHOOSE(CONTROL!$C$27, 0.0021, 0)</f>
        <v>32.0807</v>
      </c>
      <c r="D182" s="10">
        <f>32.0786 * CHOOSE(CONTROL!$C$9, $D$9, 100%, $F$9) + CHOOSE(CONTROL!$C$27, 0.0021, 0)</f>
        <v>32.0807</v>
      </c>
      <c r="E182" s="10">
        <f>31.9419 * CHOOSE(CONTROL!$C$9, $D$9, 100%, $F$9) + CHOOSE(CONTROL!$C$27, 0.0021, 0)</f>
        <v>31.943999999999999</v>
      </c>
      <c r="F182" s="10">
        <f>31.9419 * CHOOSE(CONTROL!$C$9, $D$9, 100%, $F$9) + CHOOSE(CONTROL!$C$27, 0.0021, 0)</f>
        <v>31.943999999999999</v>
      </c>
      <c r="G182" s="10">
        <f>32.2133 * CHOOSE(CONTROL!$C$9, $D$9, 100%, $F$9) + CHOOSE(CONTROL!$C$27, 0.0021, 0)</f>
        <v>32.215399999999995</v>
      </c>
      <c r="H182" s="10">
        <f>32.0786 * CHOOSE(CONTROL!$C$9, $D$9, 100%, $F$9) + CHOOSE(CONTROL!$C$27, 0.0021, 0)</f>
        <v>32.0807</v>
      </c>
      <c r="I182" s="10">
        <f>32.0786 * CHOOSE(CONTROL!$C$9, $D$9, 100%, $F$9) + CHOOSE(CONTROL!$C$27, 0.0021, 0)</f>
        <v>32.0807</v>
      </c>
      <c r="J182" s="10">
        <f>32.0786 * CHOOSE(CONTROL!$C$9, $D$9, 100%, $F$9) + CHOOSE(CONTROL!$C$27, 0.0021, 0)</f>
        <v>32.0807</v>
      </c>
      <c r="K182" s="10">
        <f>32.0786 * CHOOSE(CONTROL!$C$9, $D$9, 100%, $F$9) + CHOOSE(CONTROL!$C$27, 0.0021, 0)</f>
        <v>32.0807</v>
      </c>
      <c r="L182" s="10"/>
    </row>
    <row r="183" spans="1:12" ht="15" x14ac:dyDescent="0.2">
      <c r="A183" s="16">
        <v>46478</v>
      </c>
      <c r="B183" s="10">
        <f>32.072 * CHOOSE(CONTROL!$C$9, $D$9, 100%, $F$9) + CHOOSE(CONTROL!$C$27, 0.0021, 0)</f>
        <v>32.074100000000001</v>
      </c>
      <c r="C183" s="10">
        <f>31.6398 * CHOOSE(CONTROL!$C$9, $D$9, 100%, $F$9) + CHOOSE(CONTROL!$C$27, 0.0021, 0)</f>
        <v>31.6419</v>
      </c>
      <c r="D183" s="10">
        <f>31.6398 * CHOOSE(CONTROL!$C$9, $D$9, 100%, $F$9) + CHOOSE(CONTROL!$C$27, 0.0021, 0)</f>
        <v>31.6419</v>
      </c>
      <c r="E183" s="10">
        <f>31.5031 * CHOOSE(CONTROL!$C$9, $D$9, 100%, $F$9) + CHOOSE(CONTROL!$C$27, 0.0021, 0)</f>
        <v>31.505199999999999</v>
      </c>
      <c r="F183" s="10">
        <f>31.5031 * CHOOSE(CONTROL!$C$9, $D$9, 100%, $F$9) + CHOOSE(CONTROL!$C$27, 0.0021, 0)</f>
        <v>31.505199999999999</v>
      </c>
      <c r="G183" s="10">
        <f>31.7745 * CHOOSE(CONTROL!$C$9, $D$9, 100%, $F$9) + CHOOSE(CONTROL!$C$27, 0.0021, 0)</f>
        <v>31.776599999999998</v>
      </c>
      <c r="H183" s="10">
        <f>31.6398 * CHOOSE(CONTROL!$C$9, $D$9, 100%, $F$9) + CHOOSE(CONTROL!$C$27, 0.0021, 0)</f>
        <v>31.6419</v>
      </c>
      <c r="I183" s="10">
        <f>31.6398 * CHOOSE(CONTROL!$C$9, $D$9, 100%, $F$9) + CHOOSE(CONTROL!$C$27, 0.0021, 0)</f>
        <v>31.6419</v>
      </c>
      <c r="J183" s="10">
        <f>31.6398 * CHOOSE(CONTROL!$C$9, $D$9, 100%, $F$9) + CHOOSE(CONTROL!$C$27, 0.0021, 0)</f>
        <v>31.6419</v>
      </c>
      <c r="K183" s="10">
        <f>31.6398 * CHOOSE(CONTROL!$C$9, $D$9, 100%, $F$9) + CHOOSE(CONTROL!$C$27, 0.0021, 0)</f>
        <v>31.6419</v>
      </c>
      <c r="L183" s="10"/>
    </row>
    <row r="184" spans="1:12" ht="15" x14ac:dyDescent="0.2">
      <c r="A184" s="16">
        <v>46508</v>
      </c>
      <c r="B184" s="10">
        <f>32.6974 * CHOOSE(CONTROL!$C$9, $D$9, 100%, $F$9) + CHOOSE(CONTROL!$C$27, 0.0021, 0)</f>
        <v>32.6995</v>
      </c>
      <c r="C184" s="10">
        <f>32.2652 * CHOOSE(CONTROL!$C$9, $D$9, 100%, $F$9) + CHOOSE(CONTROL!$C$27, 0.0021, 0)</f>
        <v>32.267299999999999</v>
      </c>
      <c r="D184" s="10">
        <f>32.2652 * CHOOSE(CONTROL!$C$9, $D$9, 100%, $F$9) + CHOOSE(CONTROL!$C$27, 0.0021, 0)</f>
        <v>32.267299999999999</v>
      </c>
      <c r="E184" s="10">
        <f>32.1285 * CHOOSE(CONTROL!$C$9, $D$9, 100%, $F$9) + CHOOSE(CONTROL!$C$27, 0.0021, 0)</f>
        <v>32.130600000000001</v>
      </c>
      <c r="F184" s="10">
        <f>32.1285 * CHOOSE(CONTROL!$C$9, $D$9, 100%, $F$9) + CHOOSE(CONTROL!$C$27, 0.0021, 0)</f>
        <v>32.130600000000001</v>
      </c>
      <c r="G184" s="10">
        <f>32.3999 * CHOOSE(CONTROL!$C$9, $D$9, 100%, $F$9) + CHOOSE(CONTROL!$C$27, 0.0021, 0)</f>
        <v>32.402000000000001</v>
      </c>
      <c r="H184" s="10">
        <f>32.2652 * CHOOSE(CONTROL!$C$9, $D$9, 100%, $F$9) + CHOOSE(CONTROL!$C$27, 0.0021, 0)</f>
        <v>32.267299999999999</v>
      </c>
      <c r="I184" s="10">
        <f>32.2652 * CHOOSE(CONTROL!$C$9, $D$9, 100%, $F$9) + CHOOSE(CONTROL!$C$27, 0.0021, 0)</f>
        <v>32.267299999999999</v>
      </c>
      <c r="J184" s="10">
        <f>32.2652 * CHOOSE(CONTROL!$C$9, $D$9, 100%, $F$9) + CHOOSE(CONTROL!$C$27, 0.0021, 0)</f>
        <v>32.267299999999999</v>
      </c>
      <c r="K184" s="10">
        <f>32.2652 * CHOOSE(CONTROL!$C$9, $D$9, 100%, $F$9) + CHOOSE(CONTROL!$C$27, 0.0021, 0)</f>
        <v>32.267299999999999</v>
      </c>
      <c r="L184" s="10"/>
    </row>
    <row r="185" spans="1:12" ht="15" x14ac:dyDescent="0.2">
      <c r="A185" s="16">
        <v>46539</v>
      </c>
      <c r="B185" s="10">
        <f>33.072 * CHOOSE(CONTROL!$C$9, $D$9, 100%, $F$9) + CHOOSE(CONTROL!$C$27, 0.0021, 0)</f>
        <v>33.074100000000001</v>
      </c>
      <c r="C185" s="10">
        <f>32.6397 * CHOOSE(CONTROL!$C$9, $D$9, 100%, $F$9) + CHOOSE(CONTROL!$C$27, 0.0021, 0)</f>
        <v>32.641799999999996</v>
      </c>
      <c r="D185" s="10">
        <f>32.6397 * CHOOSE(CONTROL!$C$9, $D$9, 100%, $F$9) + CHOOSE(CONTROL!$C$27, 0.0021, 0)</f>
        <v>32.641799999999996</v>
      </c>
      <c r="E185" s="10">
        <f>32.5031 * CHOOSE(CONTROL!$C$9, $D$9, 100%, $F$9) + CHOOSE(CONTROL!$C$27, 0.0021, 0)</f>
        <v>32.505200000000002</v>
      </c>
      <c r="F185" s="10">
        <f>32.5031 * CHOOSE(CONTROL!$C$9, $D$9, 100%, $F$9) + CHOOSE(CONTROL!$C$27, 0.0021, 0)</f>
        <v>32.505200000000002</v>
      </c>
      <c r="G185" s="10">
        <f>32.7744 * CHOOSE(CONTROL!$C$9, $D$9, 100%, $F$9) + CHOOSE(CONTROL!$C$27, 0.0021, 0)</f>
        <v>32.776499999999999</v>
      </c>
      <c r="H185" s="10">
        <f>32.6397 * CHOOSE(CONTROL!$C$9, $D$9, 100%, $F$9) + CHOOSE(CONTROL!$C$27, 0.0021, 0)</f>
        <v>32.641799999999996</v>
      </c>
      <c r="I185" s="10">
        <f>32.6397 * CHOOSE(CONTROL!$C$9, $D$9, 100%, $F$9) + CHOOSE(CONTROL!$C$27, 0.0021, 0)</f>
        <v>32.641799999999996</v>
      </c>
      <c r="J185" s="10">
        <f>32.6397 * CHOOSE(CONTROL!$C$9, $D$9, 100%, $F$9) + CHOOSE(CONTROL!$C$27, 0.0021, 0)</f>
        <v>32.641799999999996</v>
      </c>
      <c r="K185" s="10">
        <f>32.6397 * CHOOSE(CONTROL!$C$9, $D$9, 100%, $F$9) + CHOOSE(CONTROL!$C$27, 0.0021, 0)</f>
        <v>32.641799999999996</v>
      </c>
      <c r="L185" s="10"/>
    </row>
    <row r="186" spans="1:12" ht="15" x14ac:dyDescent="0.2">
      <c r="A186" s="16">
        <v>46569</v>
      </c>
      <c r="B186" s="10">
        <f>33.6899 * CHOOSE(CONTROL!$C$9, $D$9, 100%, $F$9) + CHOOSE(CONTROL!$C$27, 0.0021, 0)</f>
        <v>33.692</v>
      </c>
      <c r="C186" s="10">
        <f>33.2577 * CHOOSE(CONTROL!$C$9, $D$9, 100%, $F$9) + CHOOSE(CONTROL!$C$27, 0.0021, 0)</f>
        <v>33.259799999999998</v>
      </c>
      <c r="D186" s="10">
        <f>33.2577 * CHOOSE(CONTROL!$C$9, $D$9, 100%, $F$9) + CHOOSE(CONTROL!$C$27, 0.0021, 0)</f>
        <v>33.259799999999998</v>
      </c>
      <c r="E186" s="10">
        <f>33.121 * CHOOSE(CONTROL!$C$9, $D$9, 100%, $F$9) + CHOOSE(CONTROL!$C$27, 0.0021, 0)</f>
        <v>33.123100000000001</v>
      </c>
      <c r="F186" s="10">
        <f>33.121 * CHOOSE(CONTROL!$C$9, $D$9, 100%, $F$9) + CHOOSE(CONTROL!$C$27, 0.0021, 0)</f>
        <v>33.123100000000001</v>
      </c>
      <c r="G186" s="10">
        <f>33.3924 * CHOOSE(CONTROL!$C$9, $D$9, 100%, $F$9) + CHOOSE(CONTROL!$C$27, 0.0021, 0)</f>
        <v>33.394500000000001</v>
      </c>
      <c r="H186" s="10">
        <f>33.2577 * CHOOSE(CONTROL!$C$9, $D$9, 100%, $F$9) + CHOOSE(CONTROL!$C$27, 0.0021, 0)</f>
        <v>33.259799999999998</v>
      </c>
      <c r="I186" s="10">
        <f>33.2577 * CHOOSE(CONTROL!$C$9, $D$9, 100%, $F$9) + CHOOSE(CONTROL!$C$27, 0.0021, 0)</f>
        <v>33.259799999999998</v>
      </c>
      <c r="J186" s="10">
        <f>33.2577 * CHOOSE(CONTROL!$C$9, $D$9, 100%, $F$9) + CHOOSE(CONTROL!$C$27, 0.0021, 0)</f>
        <v>33.259799999999998</v>
      </c>
      <c r="K186" s="10">
        <f>33.2577 * CHOOSE(CONTROL!$C$9, $D$9, 100%, $F$9) + CHOOSE(CONTROL!$C$27, 0.0021, 0)</f>
        <v>33.259799999999998</v>
      </c>
      <c r="L186" s="10"/>
    </row>
    <row r="187" spans="1:12" ht="15" x14ac:dyDescent="0.2">
      <c r="A187" s="16">
        <v>46600</v>
      </c>
      <c r="B187" s="10">
        <f>33.8785 * CHOOSE(CONTROL!$C$9, $D$9, 100%, $F$9) + CHOOSE(CONTROL!$C$27, 0.0021, 0)</f>
        <v>33.880600000000001</v>
      </c>
      <c r="C187" s="10">
        <f>33.4463 * CHOOSE(CONTROL!$C$9, $D$9, 100%, $F$9) + CHOOSE(CONTROL!$C$27, 0.0021, 0)</f>
        <v>33.448399999999999</v>
      </c>
      <c r="D187" s="10">
        <f>33.4463 * CHOOSE(CONTROL!$C$9, $D$9, 100%, $F$9) + CHOOSE(CONTROL!$C$27, 0.0021, 0)</f>
        <v>33.448399999999999</v>
      </c>
      <c r="E187" s="10">
        <f>33.3096 * CHOOSE(CONTROL!$C$9, $D$9, 100%, $F$9) + CHOOSE(CONTROL!$C$27, 0.0021, 0)</f>
        <v>33.311700000000002</v>
      </c>
      <c r="F187" s="10">
        <f>33.3096 * CHOOSE(CONTROL!$C$9, $D$9, 100%, $F$9) + CHOOSE(CONTROL!$C$27, 0.0021, 0)</f>
        <v>33.311700000000002</v>
      </c>
      <c r="G187" s="10">
        <f>33.581 * CHOOSE(CONTROL!$C$9, $D$9, 100%, $F$9) + CHOOSE(CONTROL!$C$27, 0.0021, 0)</f>
        <v>33.583100000000002</v>
      </c>
      <c r="H187" s="10">
        <f>33.4463 * CHOOSE(CONTROL!$C$9, $D$9, 100%, $F$9) + CHOOSE(CONTROL!$C$27, 0.0021, 0)</f>
        <v>33.448399999999999</v>
      </c>
      <c r="I187" s="10">
        <f>33.4463 * CHOOSE(CONTROL!$C$9, $D$9, 100%, $F$9) + CHOOSE(CONTROL!$C$27, 0.0021, 0)</f>
        <v>33.448399999999999</v>
      </c>
      <c r="J187" s="10">
        <f>33.4463 * CHOOSE(CONTROL!$C$9, $D$9, 100%, $F$9) + CHOOSE(CONTROL!$C$27, 0.0021, 0)</f>
        <v>33.448399999999999</v>
      </c>
      <c r="K187" s="10">
        <f>33.4463 * CHOOSE(CONTROL!$C$9, $D$9, 100%, $F$9) + CHOOSE(CONTROL!$C$27, 0.0021, 0)</f>
        <v>33.448399999999999</v>
      </c>
      <c r="L187" s="10"/>
    </row>
    <row r="188" spans="1:12" ht="15" x14ac:dyDescent="0.2">
      <c r="A188" s="16">
        <v>46631</v>
      </c>
      <c r="B188" s="10">
        <f>34.5208 * CHOOSE(CONTROL!$C$9, $D$9, 100%, $F$9) + CHOOSE(CONTROL!$C$27, 0.0021, 0)</f>
        <v>34.5229</v>
      </c>
      <c r="C188" s="10">
        <f>34.0886 * CHOOSE(CONTROL!$C$9, $D$9, 100%, $F$9) + CHOOSE(CONTROL!$C$27, 0.0021, 0)</f>
        <v>34.090699999999998</v>
      </c>
      <c r="D188" s="10">
        <f>34.0886 * CHOOSE(CONTROL!$C$9, $D$9, 100%, $F$9) + CHOOSE(CONTROL!$C$27, 0.0021, 0)</f>
        <v>34.090699999999998</v>
      </c>
      <c r="E188" s="10">
        <f>33.9519 * CHOOSE(CONTROL!$C$9, $D$9, 100%, $F$9) + CHOOSE(CONTROL!$C$27, 0.0021, 0)</f>
        <v>33.954000000000001</v>
      </c>
      <c r="F188" s="10">
        <f>33.9519 * CHOOSE(CONTROL!$C$9, $D$9, 100%, $F$9) + CHOOSE(CONTROL!$C$27, 0.0021, 0)</f>
        <v>33.954000000000001</v>
      </c>
      <c r="G188" s="10">
        <f>34.2233 * CHOOSE(CONTROL!$C$9, $D$9, 100%, $F$9) + CHOOSE(CONTROL!$C$27, 0.0021, 0)</f>
        <v>34.2254</v>
      </c>
      <c r="H188" s="10">
        <f>34.0886 * CHOOSE(CONTROL!$C$9, $D$9, 100%, $F$9) + CHOOSE(CONTROL!$C$27, 0.0021, 0)</f>
        <v>34.090699999999998</v>
      </c>
      <c r="I188" s="10">
        <f>34.0886 * CHOOSE(CONTROL!$C$9, $D$9, 100%, $F$9) + CHOOSE(CONTROL!$C$27, 0.0021, 0)</f>
        <v>34.090699999999998</v>
      </c>
      <c r="J188" s="10">
        <f>34.0886 * CHOOSE(CONTROL!$C$9, $D$9, 100%, $F$9) + CHOOSE(CONTROL!$C$27, 0.0021, 0)</f>
        <v>34.090699999999998</v>
      </c>
      <c r="K188" s="10">
        <f>34.0886 * CHOOSE(CONTROL!$C$9, $D$9, 100%, $F$9) + CHOOSE(CONTROL!$C$27, 0.0021, 0)</f>
        <v>34.090699999999998</v>
      </c>
      <c r="L188" s="10"/>
    </row>
    <row r="189" spans="1:12" ht="15" x14ac:dyDescent="0.2">
      <c r="A189" s="16">
        <v>46661</v>
      </c>
      <c r="B189" s="10">
        <f>35.3339 * CHOOSE(CONTROL!$C$9, $D$9, 100%, $F$9) + CHOOSE(CONTROL!$C$27, 0.0021, 0)</f>
        <v>35.335999999999999</v>
      </c>
      <c r="C189" s="10">
        <f>34.9016 * CHOOSE(CONTROL!$C$9, $D$9, 100%, $F$9) + CHOOSE(CONTROL!$C$27, 0.0021, 0)</f>
        <v>34.903700000000001</v>
      </c>
      <c r="D189" s="10">
        <f>34.9016 * CHOOSE(CONTROL!$C$9, $D$9, 100%, $F$9) + CHOOSE(CONTROL!$C$27, 0.0021, 0)</f>
        <v>34.903700000000001</v>
      </c>
      <c r="E189" s="10">
        <f>34.765 * CHOOSE(CONTROL!$C$9, $D$9, 100%, $F$9) + CHOOSE(CONTROL!$C$27, 0.0021, 0)</f>
        <v>34.767099999999999</v>
      </c>
      <c r="F189" s="10">
        <f>34.765 * CHOOSE(CONTROL!$C$9, $D$9, 100%, $F$9) + CHOOSE(CONTROL!$C$27, 0.0021, 0)</f>
        <v>34.767099999999999</v>
      </c>
      <c r="G189" s="10">
        <f>35.0363 * CHOOSE(CONTROL!$C$9, $D$9, 100%, $F$9) + CHOOSE(CONTROL!$C$27, 0.0021, 0)</f>
        <v>35.038399999999996</v>
      </c>
      <c r="H189" s="10">
        <f>34.9016 * CHOOSE(CONTROL!$C$9, $D$9, 100%, $F$9) + CHOOSE(CONTROL!$C$27, 0.0021, 0)</f>
        <v>34.903700000000001</v>
      </c>
      <c r="I189" s="10">
        <f>34.9016 * CHOOSE(CONTROL!$C$9, $D$9, 100%, $F$9) + CHOOSE(CONTROL!$C$27, 0.0021, 0)</f>
        <v>34.903700000000001</v>
      </c>
      <c r="J189" s="10">
        <f>34.9016 * CHOOSE(CONTROL!$C$9, $D$9, 100%, $F$9) + CHOOSE(CONTROL!$C$27, 0.0021, 0)</f>
        <v>34.903700000000001</v>
      </c>
      <c r="K189" s="10">
        <f>34.9016 * CHOOSE(CONTROL!$C$9, $D$9, 100%, $F$9) + CHOOSE(CONTROL!$C$27, 0.0021, 0)</f>
        <v>34.903700000000001</v>
      </c>
      <c r="L189" s="10"/>
    </row>
    <row r="190" spans="1:12" ht="15" x14ac:dyDescent="0.2">
      <c r="A190" s="16">
        <v>46692</v>
      </c>
      <c r="B190" s="10">
        <f>35.4102 * CHOOSE(CONTROL!$C$9, $D$9, 100%, $F$9) + CHOOSE(CONTROL!$C$27, 0.0021, 0)</f>
        <v>35.412300000000002</v>
      </c>
      <c r="C190" s="10">
        <f>34.9779 * CHOOSE(CONTROL!$C$9, $D$9, 100%, $F$9) + CHOOSE(CONTROL!$C$27, 0.0021, 0)</f>
        <v>34.979999999999997</v>
      </c>
      <c r="D190" s="10">
        <f>34.9779 * CHOOSE(CONTROL!$C$9, $D$9, 100%, $F$9) + CHOOSE(CONTROL!$C$27, 0.0021, 0)</f>
        <v>34.979999999999997</v>
      </c>
      <c r="E190" s="10">
        <f>34.8413 * CHOOSE(CONTROL!$C$9, $D$9, 100%, $F$9) + CHOOSE(CONTROL!$C$27, 0.0021, 0)</f>
        <v>34.843399999999995</v>
      </c>
      <c r="F190" s="10">
        <f>34.8413 * CHOOSE(CONTROL!$C$9, $D$9, 100%, $F$9) + CHOOSE(CONTROL!$C$27, 0.0021, 0)</f>
        <v>34.843399999999995</v>
      </c>
      <c r="G190" s="10">
        <f>35.1127 * CHOOSE(CONTROL!$C$9, $D$9, 100%, $F$9) + CHOOSE(CONTROL!$C$27, 0.0021, 0)</f>
        <v>35.114799999999995</v>
      </c>
      <c r="H190" s="10">
        <f>34.9779 * CHOOSE(CONTROL!$C$9, $D$9, 100%, $F$9) + CHOOSE(CONTROL!$C$27, 0.0021, 0)</f>
        <v>34.979999999999997</v>
      </c>
      <c r="I190" s="10">
        <f>34.9779 * CHOOSE(CONTROL!$C$9, $D$9, 100%, $F$9) + CHOOSE(CONTROL!$C$27, 0.0021, 0)</f>
        <v>34.979999999999997</v>
      </c>
      <c r="J190" s="10">
        <f>34.9779 * CHOOSE(CONTROL!$C$9, $D$9, 100%, $F$9) + CHOOSE(CONTROL!$C$27, 0.0021, 0)</f>
        <v>34.979999999999997</v>
      </c>
      <c r="K190" s="10">
        <f>34.9779 * CHOOSE(CONTROL!$C$9, $D$9, 100%, $F$9) + CHOOSE(CONTROL!$C$27, 0.0021, 0)</f>
        <v>34.979999999999997</v>
      </c>
      <c r="L190" s="10"/>
    </row>
    <row r="191" spans="1:12" ht="15" x14ac:dyDescent="0.2">
      <c r="A191" s="16">
        <v>46722</v>
      </c>
      <c r="B191" s="10">
        <f>34.7608 * CHOOSE(CONTROL!$C$9, $D$9, 100%, $F$9) + CHOOSE(CONTROL!$C$27, 0.0021, 0)</f>
        <v>34.762900000000002</v>
      </c>
      <c r="C191" s="10">
        <f>34.3286 * CHOOSE(CONTROL!$C$9, $D$9, 100%, $F$9) + CHOOSE(CONTROL!$C$27, 0.0021, 0)</f>
        <v>34.3307</v>
      </c>
      <c r="D191" s="10">
        <f>34.3286 * CHOOSE(CONTROL!$C$9, $D$9, 100%, $F$9) + CHOOSE(CONTROL!$C$27, 0.0021, 0)</f>
        <v>34.3307</v>
      </c>
      <c r="E191" s="10">
        <f>34.1919 * CHOOSE(CONTROL!$C$9, $D$9, 100%, $F$9) + CHOOSE(CONTROL!$C$27, 0.0021, 0)</f>
        <v>34.193999999999996</v>
      </c>
      <c r="F191" s="10">
        <f>34.1919 * CHOOSE(CONTROL!$C$9, $D$9, 100%, $F$9) + CHOOSE(CONTROL!$C$27, 0.0021, 0)</f>
        <v>34.193999999999996</v>
      </c>
      <c r="G191" s="10">
        <f>34.4633 * CHOOSE(CONTROL!$C$9, $D$9, 100%, $F$9) + CHOOSE(CONTROL!$C$27, 0.0021, 0)</f>
        <v>34.465399999999995</v>
      </c>
      <c r="H191" s="10">
        <f>34.3286 * CHOOSE(CONTROL!$C$9, $D$9, 100%, $F$9) + CHOOSE(CONTROL!$C$27, 0.0021, 0)</f>
        <v>34.3307</v>
      </c>
      <c r="I191" s="10">
        <f>34.3286 * CHOOSE(CONTROL!$C$9, $D$9, 100%, $F$9) + CHOOSE(CONTROL!$C$27, 0.0021, 0)</f>
        <v>34.3307</v>
      </c>
      <c r="J191" s="10">
        <f>34.3286 * CHOOSE(CONTROL!$C$9, $D$9, 100%, $F$9) + CHOOSE(CONTROL!$C$27, 0.0021, 0)</f>
        <v>34.3307</v>
      </c>
      <c r="K191" s="10">
        <f>34.3286 * CHOOSE(CONTROL!$C$9, $D$9, 100%, $F$9) + CHOOSE(CONTROL!$C$27, 0.0021, 0)</f>
        <v>34.3307</v>
      </c>
      <c r="L191" s="10"/>
    </row>
    <row r="192" spans="1:12" ht="15" x14ac:dyDescent="0.2">
      <c r="A192" s="16">
        <v>46753</v>
      </c>
      <c r="B192" s="10">
        <f>34.3425 * CHOOSE(CONTROL!$C$9, $D$9, 100%, $F$9) + CHOOSE(CONTROL!$C$27, 0.0021, 0)</f>
        <v>34.3446</v>
      </c>
      <c r="C192" s="10">
        <f>33.9103 * CHOOSE(CONTROL!$C$9, $D$9, 100%, $F$9) + CHOOSE(CONTROL!$C$27, 0.0021, 0)</f>
        <v>33.912399999999998</v>
      </c>
      <c r="D192" s="10">
        <f>33.9103 * CHOOSE(CONTROL!$C$9, $D$9, 100%, $F$9) + CHOOSE(CONTROL!$C$27, 0.0021, 0)</f>
        <v>33.912399999999998</v>
      </c>
      <c r="E192" s="10">
        <f>33.7736 * CHOOSE(CONTROL!$C$9, $D$9, 100%, $F$9) + CHOOSE(CONTROL!$C$27, 0.0021, 0)</f>
        <v>33.775700000000001</v>
      </c>
      <c r="F192" s="10">
        <f>33.7736 * CHOOSE(CONTROL!$C$9, $D$9, 100%, $F$9) + CHOOSE(CONTROL!$C$27, 0.0021, 0)</f>
        <v>33.775700000000001</v>
      </c>
      <c r="G192" s="10">
        <f>34.045 * CHOOSE(CONTROL!$C$9, $D$9, 100%, $F$9) + CHOOSE(CONTROL!$C$27, 0.0021, 0)</f>
        <v>34.0471</v>
      </c>
      <c r="H192" s="10">
        <f>33.9103 * CHOOSE(CONTROL!$C$9, $D$9, 100%, $F$9) + CHOOSE(CONTROL!$C$27, 0.0021, 0)</f>
        <v>33.912399999999998</v>
      </c>
      <c r="I192" s="10">
        <f>33.9103 * CHOOSE(CONTROL!$C$9, $D$9, 100%, $F$9) + CHOOSE(CONTROL!$C$27, 0.0021, 0)</f>
        <v>33.912399999999998</v>
      </c>
      <c r="J192" s="10">
        <f>33.9103 * CHOOSE(CONTROL!$C$9, $D$9, 100%, $F$9) + CHOOSE(CONTROL!$C$27, 0.0021, 0)</f>
        <v>33.912399999999998</v>
      </c>
      <c r="K192" s="10">
        <f>33.9103 * CHOOSE(CONTROL!$C$9, $D$9, 100%, $F$9) + CHOOSE(CONTROL!$C$27, 0.0021, 0)</f>
        <v>33.912399999999998</v>
      </c>
      <c r="L192" s="10"/>
    </row>
    <row r="193" spans="1:12" ht="15" x14ac:dyDescent="0.2">
      <c r="A193" s="16">
        <v>46784</v>
      </c>
      <c r="B193" s="10">
        <f>33.436 * CHOOSE(CONTROL!$C$9, $D$9, 100%, $F$9) + CHOOSE(CONTROL!$C$27, 0.0021, 0)</f>
        <v>33.438099999999999</v>
      </c>
      <c r="C193" s="10">
        <f>33.0037 * CHOOSE(CONTROL!$C$9, $D$9, 100%, $F$9) + CHOOSE(CONTROL!$C$27, 0.0021, 0)</f>
        <v>33.005800000000001</v>
      </c>
      <c r="D193" s="10">
        <f>33.0037 * CHOOSE(CONTROL!$C$9, $D$9, 100%, $F$9) + CHOOSE(CONTROL!$C$27, 0.0021, 0)</f>
        <v>33.005800000000001</v>
      </c>
      <c r="E193" s="10">
        <f>32.8671 * CHOOSE(CONTROL!$C$9, $D$9, 100%, $F$9) + CHOOSE(CONTROL!$C$27, 0.0021, 0)</f>
        <v>32.869199999999999</v>
      </c>
      <c r="F193" s="10">
        <f>32.8671 * CHOOSE(CONTROL!$C$9, $D$9, 100%, $F$9) + CHOOSE(CONTROL!$C$27, 0.0021, 0)</f>
        <v>32.869199999999999</v>
      </c>
      <c r="G193" s="10">
        <f>33.1385 * CHOOSE(CONTROL!$C$9, $D$9, 100%, $F$9) + CHOOSE(CONTROL!$C$27, 0.0021, 0)</f>
        <v>33.140599999999999</v>
      </c>
      <c r="H193" s="10">
        <f>33.0037 * CHOOSE(CONTROL!$C$9, $D$9, 100%, $F$9) + CHOOSE(CONTROL!$C$27, 0.0021, 0)</f>
        <v>33.005800000000001</v>
      </c>
      <c r="I193" s="10">
        <f>33.0037 * CHOOSE(CONTROL!$C$9, $D$9, 100%, $F$9) + CHOOSE(CONTROL!$C$27, 0.0021, 0)</f>
        <v>33.005800000000001</v>
      </c>
      <c r="J193" s="10">
        <f>33.0037 * CHOOSE(CONTROL!$C$9, $D$9, 100%, $F$9) + CHOOSE(CONTROL!$C$27, 0.0021, 0)</f>
        <v>33.005800000000001</v>
      </c>
      <c r="K193" s="10">
        <f>33.0037 * CHOOSE(CONTROL!$C$9, $D$9, 100%, $F$9) + CHOOSE(CONTROL!$C$27, 0.0021, 0)</f>
        <v>33.005800000000001</v>
      </c>
      <c r="L193" s="10"/>
    </row>
    <row r="194" spans="1:12" ht="15" x14ac:dyDescent="0.2">
      <c r="A194" s="16">
        <v>46813</v>
      </c>
      <c r="B194" s="10">
        <f>33.0618 * CHOOSE(CONTROL!$C$9, $D$9, 100%, $F$9) + CHOOSE(CONTROL!$C$27, 0.0021, 0)</f>
        <v>33.063899999999997</v>
      </c>
      <c r="C194" s="10">
        <f>32.6295 * CHOOSE(CONTROL!$C$9, $D$9, 100%, $F$9) + CHOOSE(CONTROL!$C$27, 0.0021, 0)</f>
        <v>32.631599999999999</v>
      </c>
      <c r="D194" s="10">
        <f>32.6295 * CHOOSE(CONTROL!$C$9, $D$9, 100%, $F$9) + CHOOSE(CONTROL!$C$27, 0.0021, 0)</f>
        <v>32.631599999999999</v>
      </c>
      <c r="E194" s="10">
        <f>32.4929 * CHOOSE(CONTROL!$C$9, $D$9, 100%, $F$9) + CHOOSE(CONTROL!$C$27, 0.0021, 0)</f>
        <v>32.494999999999997</v>
      </c>
      <c r="F194" s="10">
        <f>32.4929 * CHOOSE(CONTROL!$C$9, $D$9, 100%, $F$9) + CHOOSE(CONTROL!$C$27, 0.0021, 0)</f>
        <v>32.494999999999997</v>
      </c>
      <c r="G194" s="10">
        <f>32.7642 * CHOOSE(CONTROL!$C$9, $D$9, 100%, $F$9) + CHOOSE(CONTROL!$C$27, 0.0021, 0)</f>
        <v>32.766300000000001</v>
      </c>
      <c r="H194" s="10">
        <f>32.6295 * CHOOSE(CONTROL!$C$9, $D$9, 100%, $F$9) + CHOOSE(CONTROL!$C$27, 0.0021, 0)</f>
        <v>32.631599999999999</v>
      </c>
      <c r="I194" s="10">
        <f>32.6295 * CHOOSE(CONTROL!$C$9, $D$9, 100%, $F$9) + CHOOSE(CONTROL!$C$27, 0.0021, 0)</f>
        <v>32.631599999999999</v>
      </c>
      <c r="J194" s="10">
        <f>32.6295 * CHOOSE(CONTROL!$C$9, $D$9, 100%, $F$9) + CHOOSE(CONTROL!$C$27, 0.0021, 0)</f>
        <v>32.631599999999999</v>
      </c>
      <c r="K194" s="10">
        <f>32.6295 * CHOOSE(CONTROL!$C$9, $D$9, 100%, $F$9) + CHOOSE(CONTROL!$C$27, 0.0021, 0)</f>
        <v>32.631599999999999</v>
      </c>
      <c r="L194" s="10"/>
    </row>
    <row r="195" spans="1:12" ht="15" x14ac:dyDescent="0.2">
      <c r="A195" s="16">
        <v>46844</v>
      </c>
      <c r="B195" s="10">
        <f>32.6149 * CHOOSE(CONTROL!$C$9, $D$9, 100%, $F$9) + CHOOSE(CONTROL!$C$27, 0.0021, 0)</f>
        <v>32.616999999999997</v>
      </c>
      <c r="C195" s="10">
        <f>32.1827 * CHOOSE(CONTROL!$C$9, $D$9, 100%, $F$9) + CHOOSE(CONTROL!$C$27, 0.0021, 0)</f>
        <v>32.184799999999996</v>
      </c>
      <c r="D195" s="10">
        <f>32.1827 * CHOOSE(CONTROL!$C$9, $D$9, 100%, $F$9) + CHOOSE(CONTROL!$C$27, 0.0021, 0)</f>
        <v>32.184799999999996</v>
      </c>
      <c r="E195" s="10">
        <f>32.046 * CHOOSE(CONTROL!$C$9, $D$9, 100%, $F$9) + CHOOSE(CONTROL!$C$27, 0.0021, 0)</f>
        <v>32.048099999999998</v>
      </c>
      <c r="F195" s="10">
        <f>32.046 * CHOOSE(CONTROL!$C$9, $D$9, 100%, $F$9) + CHOOSE(CONTROL!$C$27, 0.0021, 0)</f>
        <v>32.048099999999998</v>
      </c>
      <c r="G195" s="10">
        <f>32.3174 * CHOOSE(CONTROL!$C$9, $D$9, 100%, $F$9) + CHOOSE(CONTROL!$C$27, 0.0021, 0)</f>
        <v>32.319499999999998</v>
      </c>
      <c r="H195" s="10">
        <f>32.1827 * CHOOSE(CONTROL!$C$9, $D$9, 100%, $F$9) + CHOOSE(CONTROL!$C$27, 0.0021, 0)</f>
        <v>32.184799999999996</v>
      </c>
      <c r="I195" s="10">
        <f>32.1827 * CHOOSE(CONTROL!$C$9, $D$9, 100%, $F$9) + CHOOSE(CONTROL!$C$27, 0.0021, 0)</f>
        <v>32.184799999999996</v>
      </c>
      <c r="J195" s="10">
        <f>32.1827 * CHOOSE(CONTROL!$C$9, $D$9, 100%, $F$9) + CHOOSE(CONTROL!$C$27, 0.0021, 0)</f>
        <v>32.184799999999996</v>
      </c>
      <c r="K195" s="10">
        <f>32.1827 * CHOOSE(CONTROL!$C$9, $D$9, 100%, $F$9) + CHOOSE(CONTROL!$C$27, 0.0021, 0)</f>
        <v>32.184799999999996</v>
      </c>
      <c r="L195" s="10"/>
    </row>
    <row r="196" spans="1:12" ht="15" x14ac:dyDescent="0.2">
      <c r="A196" s="16">
        <v>46874</v>
      </c>
      <c r="B196" s="10">
        <f>33.2517 * CHOOSE(CONTROL!$C$9, $D$9, 100%, $F$9) + CHOOSE(CONTROL!$C$27, 0.0021, 0)</f>
        <v>33.253799999999998</v>
      </c>
      <c r="C196" s="10">
        <f>32.8195 * CHOOSE(CONTROL!$C$9, $D$9, 100%, $F$9) + CHOOSE(CONTROL!$C$27, 0.0021, 0)</f>
        <v>32.821599999999997</v>
      </c>
      <c r="D196" s="10">
        <f>32.8195 * CHOOSE(CONTROL!$C$9, $D$9, 100%, $F$9) + CHOOSE(CONTROL!$C$27, 0.0021, 0)</f>
        <v>32.821599999999997</v>
      </c>
      <c r="E196" s="10">
        <f>32.6828 * CHOOSE(CONTROL!$C$9, $D$9, 100%, $F$9) + CHOOSE(CONTROL!$C$27, 0.0021, 0)</f>
        <v>32.684899999999999</v>
      </c>
      <c r="F196" s="10">
        <f>32.6828 * CHOOSE(CONTROL!$C$9, $D$9, 100%, $F$9) + CHOOSE(CONTROL!$C$27, 0.0021, 0)</f>
        <v>32.684899999999999</v>
      </c>
      <c r="G196" s="10">
        <f>32.9542 * CHOOSE(CONTROL!$C$9, $D$9, 100%, $F$9) + CHOOSE(CONTROL!$C$27, 0.0021, 0)</f>
        <v>32.956299999999999</v>
      </c>
      <c r="H196" s="10">
        <f>32.8195 * CHOOSE(CONTROL!$C$9, $D$9, 100%, $F$9) + CHOOSE(CONTROL!$C$27, 0.0021, 0)</f>
        <v>32.821599999999997</v>
      </c>
      <c r="I196" s="10">
        <f>32.8195 * CHOOSE(CONTROL!$C$9, $D$9, 100%, $F$9) + CHOOSE(CONTROL!$C$27, 0.0021, 0)</f>
        <v>32.821599999999997</v>
      </c>
      <c r="J196" s="10">
        <f>32.8195 * CHOOSE(CONTROL!$C$9, $D$9, 100%, $F$9) + CHOOSE(CONTROL!$C$27, 0.0021, 0)</f>
        <v>32.821599999999997</v>
      </c>
      <c r="K196" s="10">
        <f>32.8195 * CHOOSE(CONTROL!$C$9, $D$9, 100%, $F$9) + CHOOSE(CONTROL!$C$27, 0.0021, 0)</f>
        <v>32.821599999999997</v>
      </c>
      <c r="L196" s="10"/>
    </row>
    <row r="197" spans="1:12" ht="15" x14ac:dyDescent="0.2">
      <c r="A197" s="16">
        <v>46905</v>
      </c>
      <c r="B197" s="10">
        <f>33.6331 * CHOOSE(CONTROL!$C$9, $D$9, 100%, $F$9) + CHOOSE(CONTROL!$C$27, 0.0021, 0)</f>
        <v>33.635199999999998</v>
      </c>
      <c r="C197" s="10">
        <f>33.2009 * CHOOSE(CONTROL!$C$9, $D$9, 100%, $F$9) + CHOOSE(CONTROL!$C$27, 0.0021, 0)</f>
        <v>33.202999999999996</v>
      </c>
      <c r="D197" s="10">
        <f>33.2009 * CHOOSE(CONTROL!$C$9, $D$9, 100%, $F$9) + CHOOSE(CONTROL!$C$27, 0.0021, 0)</f>
        <v>33.202999999999996</v>
      </c>
      <c r="E197" s="10">
        <f>33.0642 * CHOOSE(CONTROL!$C$9, $D$9, 100%, $F$9) + CHOOSE(CONTROL!$C$27, 0.0021, 0)</f>
        <v>33.066299999999998</v>
      </c>
      <c r="F197" s="10">
        <f>33.0642 * CHOOSE(CONTROL!$C$9, $D$9, 100%, $F$9) + CHOOSE(CONTROL!$C$27, 0.0021, 0)</f>
        <v>33.066299999999998</v>
      </c>
      <c r="G197" s="10">
        <f>33.3356 * CHOOSE(CONTROL!$C$9, $D$9, 100%, $F$9) + CHOOSE(CONTROL!$C$27, 0.0021, 0)</f>
        <v>33.337699999999998</v>
      </c>
      <c r="H197" s="10">
        <f>33.2009 * CHOOSE(CONTROL!$C$9, $D$9, 100%, $F$9) + CHOOSE(CONTROL!$C$27, 0.0021, 0)</f>
        <v>33.202999999999996</v>
      </c>
      <c r="I197" s="10">
        <f>33.2009 * CHOOSE(CONTROL!$C$9, $D$9, 100%, $F$9) + CHOOSE(CONTROL!$C$27, 0.0021, 0)</f>
        <v>33.202999999999996</v>
      </c>
      <c r="J197" s="10">
        <f>33.2009 * CHOOSE(CONTROL!$C$9, $D$9, 100%, $F$9) + CHOOSE(CONTROL!$C$27, 0.0021, 0)</f>
        <v>33.202999999999996</v>
      </c>
      <c r="K197" s="10">
        <f>33.2009 * CHOOSE(CONTROL!$C$9, $D$9, 100%, $F$9) + CHOOSE(CONTROL!$C$27, 0.0021, 0)</f>
        <v>33.202999999999996</v>
      </c>
      <c r="L197" s="10"/>
    </row>
    <row r="198" spans="1:12" ht="15" x14ac:dyDescent="0.2">
      <c r="A198" s="16">
        <v>46935</v>
      </c>
      <c r="B198" s="10">
        <f>34.2623 * CHOOSE(CONTROL!$C$9, $D$9, 100%, $F$9) + CHOOSE(CONTROL!$C$27, 0.0021, 0)</f>
        <v>34.264400000000002</v>
      </c>
      <c r="C198" s="10">
        <f>33.8301 * CHOOSE(CONTROL!$C$9, $D$9, 100%, $F$9) + CHOOSE(CONTROL!$C$27, 0.0021, 0)</f>
        <v>33.8322</v>
      </c>
      <c r="D198" s="10">
        <f>33.8301 * CHOOSE(CONTROL!$C$9, $D$9, 100%, $F$9) + CHOOSE(CONTROL!$C$27, 0.0021, 0)</f>
        <v>33.8322</v>
      </c>
      <c r="E198" s="10">
        <f>33.6934 * CHOOSE(CONTROL!$C$9, $D$9, 100%, $F$9) + CHOOSE(CONTROL!$C$27, 0.0021, 0)</f>
        <v>33.695499999999996</v>
      </c>
      <c r="F198" s="10">
        <f>33.6934 * CHOOSE(CONTROL!$C$9, $D$9, 100%, $F$9) + CHOOSE(CONTROL!$C$27, 0.0021, 0)</f>
        <v>33.695499999999996</v>
      </c>
      <c r="G198" s="10">
        <f>33.9648 * CHOOSE(CONTROL!$C$9, $D$9, 100%, $F$9) + CHOOSE(CONTROL!$C$27, 0.0021, 0)</f>
        <v>33.966899999999995</v>
      </c>
      <c r="H198" s="10">
        <f>33.8301 * CHOOSE(CONTROL!$C$9, $D$9, 100%, $F$9) + CHOOSE(CONTROL!$C$27, 0.0021, 0)</f>
        <v>33.8322</v>
      </c>
      <c r="I198" s="10">
        <f>33.8301 * CHOOSE(CONTROL!$C$9, $D$9, 100%, $F$9) + CHOOSE(CONTROL!$C$27, 0.0021, 0)</f>
        <v>33.8322</v>
      </c>
      <c r="J198" s="10">
        <f>33.8301 * CHOOSE(CONTROL!$C$9, $D$9, 100%, $F$9) + CHOOSE(CONTROL!$C$27, 0.0021, 0)</f>
        <v>33.8322</v>
      </c>
      <c r="K198" s="10">
        <f>33.8301 * CHOOSE(CONTROL!$C$9, $D$9, 100%, $F$9) + CHOOSE(CONTROL!$C$27, 0.0021, 0)</f>
        <v>33.8322</v>
      </c>
      <c r="L198" s="10"/>
    </row>
    <row r="199" spans="1:12" ht="15" x14ac:dyDescent="0.2">
      <c r="A199" s="16">
        <v>46966</v>
      </c>
      <c r="B199" s="10">
        <f>34.4544 * CHOOSE(CONTROL!$C$9, $D$9, 100%, $F$9) + CHOOSE(CONTROL!$C$27, 0.0021, 0)</f>
        <v>34.456499999999998</v>
      </c>
      <c r="C199" s="10">
        <f>34.0221 * CHOOSE(CONTROL!$C$9, $D$9, 100%, $F$9) + CHOOSE(CONTROL!$C$27, 0.0021, 0)</f>
        <v>34.0242</v>
      </c>
      <c r="D199" s="10">
        <f>34.0221 * CHOOSE(CONTROL!$C$9, $D$9, 100%, $F$9) + CHOOSE(CONTROL!$C$27, 0.0021, 0)</f>
        <v>34.0242</v>
      </c>
      <c r="E199" s="10">
        <f>33.8855 * CHOOSE(CONTROL!$C$9, $D$9, 100%, $F$9) + CHOOSE(CONTROL!$C$27, 0.0021, 0)</f>
        <v>33.887599999999999</v>
      </c>
      <c r="F199" s="10">
        <f>33.8855 * CHOOSE(CONTROL!$C$9, $D$9, 100%, $F$9) + CHOOSE(CONTROL!$C$27, 0.0021, 0)</f>
        <v>33.887599999999999</v>
      </c>
      <c r="G199" s="10">
        <f>34.1568 * CHOOSE(CONTROL!$C$9, $D$9, 100%, $F$9) + CHOOSE(CONTROL!$C$27, 0.0021, 0)</f>
        <v>34.158899999999996</v>
      </c>
      <c r="H199" s="10">
        <f>34.0221 * CHOOSE(CONTROL!$C$9, $D$9, 100%, $F$9) + CHOOSE(CONTROL!$C$27, 0.0021, 0)</f>
        <v>34.0242</v>
      </c>
      <c r="I199" s="10">
        <f>34.0221 * CHOOSE(CONTROL!$C$9, $D$9, 100%, $F$9) + CHOOSE(CONTROL!$C$27, 0.0021, 0)</f>
        <v>34.0242</v>
      </c>
      <c r="J199" s="10">
        <f>34.0221 * CHOOSE(CONTROL!$C$9, $D$9, 100%, $F$9) + CHOOSE(CONTROL!$C$27, 0.0021, 0)</f>
        <v>34.0242</v>
      </c>
      <c r="K199" s="10">
        <f>34.0221 * CHOOSE(CONTROL!$C$9, $D$9, 100%, $F$9) + CHOOSE(CONTROL!$C$27, 0.0021, 0)</f>
        <v>34.0242</v>
      </c>
      <c r="L199" s="10"/>
    </row>
    <row r="200" spans="1:12" ht="15" x14ac:dyDescent="0.2">
      <c r="A200" s="16">
        <v>46997</v>
      </c>
      <c r="B200" s="10">
        <f>35.1084 * CHOOSE(CONTROL!$C$9, $D$9, 100%, $F$9) + CHOOSE(CONTROL!$C$27, 0.0021, 0)</f>
        <v>35.110500000000002</v>
      </c>
      <c r="C200" s="10">
        <f>34.6761 * CHOOSE(CONTROL!$C$9, $D$9, 100%, $F$9) + CHOOSE(CONTROL!$C$27, 0.0021, 0)</f>
        <v>34.678199999999997</v>
      </c>
      <c r="D200" s="10">
        <f>34.6761 * CHOOSE(CONTROL!$C$9, $D$9, 100%, $F$9) + CHOOSE(CONTROL!$C$27, 0.0021, 0)</f>
        <v>34.678199999999997</v>
      </c>
      <c r="E200" s="10">
        <f>34.5395 * CHOOSE(CONTROL!$C$9, $D$9, 100%, $F$9) + CHOOSE(CONTROL!$C$27, 0.0021, 0)</f>
        <v>34.541599999999995</v>
      </c>
      <c r="F200" s="10">
        <f>34.5395 * CHOOSE(CONTROL!$C$9, $D$9, 100%, $F$9) + CHOOSE(CONTROL!$C$27, 0.0021, 0)</f>
        <v>34.541599999999995</v>
      </c>
      <c r="G200" s="10">
        <f>34.8109 * CHOOSE(CONTROL!$C$9, $D$9, 100%, $F$9) + CHOOSE(CONTROL!$C$27, 0.0021, 0)</f>
        <v>34.812999999999995</v>
      </c>
      <c r="H200" s="10">
        <f>34.6761 * CHOOSE(CONTROL!$C$9, $D$9, 100%, $F$9) + CHOOSE(CONTROL!$C$27, 0.0021, 0)</f>
        <v>34.678199999999997</v>
      </c>
      <c r="I200" s="10">
        <f>34.6761 * CHOOSE(CONTROL!$C$9, $D$9, 100%, $F$9) + CHOOSE(CONTROL!$C$27, 0.0021, 0)</f>
        <v>34.678199999999997</v>
      </c>
      <c r="J200" s="10">
        <f>34.6761 * CHOOSE(CONTROL!$C$9, $D$9, 100%, $F$9) + CHOOSE(CONTROL!$C$27, 0.0021, 0)</f>
        <v>34.678199999999997</v>
      </c>
      <c r="K200" s="10">
        <f>34.6761 * CHOOSE(CONTROL!$C$9, $D$9, 100%, $F$9) + CHOOSE(CONTROL!$C$27, 0.0021, 0)</f>
        <v>34.678199999999997</v>
      </c>
      <c r="L200" s="10"/>
    </row>
    <row r="201" spans="1:12" ht="15" x14ac:dyDescent="0.2">
      <c r="A201" s="16">
        <v>47027</v>
      </c>
      <c r="B201" s="10">
        <f>35.9363 * CHOOSE(CONTROL!$C$9, $D$9, 100%, $F$9) + CHOOSE(CONTROL!$C$27, 0.0021, 0)</f>
        <v>35.938400000000001</v>
      </c>
      <c r="C201" s="10">
        <f>35.504 * CHOOSE(CONTROL!$C$9, $D$9, 100%, $F$9) + CHOOSE(CONTROL!$C$27, 0.0021, 0)</f>
        <v>35.506099999999996</v>
      </c>
      <c r="D201" s="10">
        <f>35.504 * CHOOSE(CONTROL!$C$9, $D$9, 100%, $F$9) + CHOOSE(CONTROL!$C$27, 0.0021, 0)</f>
        <v>35.506099999999996</v>
      </c>
      <c r="E201" s="10">
        <f>35.3673 * CHOOSE(CONTROL!$C$9, $D$9, 100%, $F$9) + CHOOSE(CONTROL!$C$27, 0.0021, 0)</f>
        <v>35.369399999999999</v>
      </c>
      <c r="F201" s="10">
        <f>35.3673 * CHOOSE(CONTROL!$C$9, $D$9, 100%, $F$9) + CHOOSE(CONTROL!$C$27, 0.0021, 0)</f>
        <v>35.369399999999999</v>
      </c>
      <c r="G201" s="10">
        <f>35.6387 * CHOOSE(CONTROL!$C$9, $D$9, 100%, $F$9) + CHOOSE(CONTROL!$C$27, 0.0021, 0)</f>
        <v>35.640799999999999</v>
      </c>
      <c r="H201" s="10">
        <f>35.504 * CHOOSE(CONTROL!$C$9, $D$9, 100%, $F$9) + CHOOSE(CONTROL!$C$27, 0.0021, 0)</f>
        <v>35.506099999999996</v>
      </c>
      <c r="I201" s="10">
        <f>35.504 * CHOOSE(CONTROL!$C$9, $D$9, 100%, $F$9) + CHOOSE(CONTROL!$C$27, 0.0021, 0)</f>
        <v>35.506099999999996</v>
      </c>
      <c r="J201" s="10">
        <f>35.504 * CHOOSE(CONTROL!$C$9, $D$9, 100%, $F$9) + CHOOSE(CONTROL!$C$27, 0.0021, 0)</f>
        <v>35.506099999999996</v>
      </c>
      <c r="K201" s="10">
        <f>35.504 * CHOOSE(CONTROL!$C$9, $D$9, 100%, $F$9) + CHOOSE(CONTROL!$C$27, 0.0021, 0)</f>
        <v>35.506099999999996</v>
      </c>
      <c r="L201" s="10"/>
    </row>
    <row r="202" spans="1:12" ht="15" x14ac:dyDescent="0.2">
      <c r="A202" s="16">
        <v>47058</v>
      </c>
      <c r="B202" s="10">
        <f>36.014 * CHOOSE(CONTROL!$C$9, $D$9, 100%, $F$9) + CHOOSE(CONTROL!$C$27, 0.0021, 0)</f>
        <v>36.016100000000002</v>
      </c>
      <c r="C202" s="10">
        <f>35.5817 * CHOOSE(CONTROL!$C$9, $D$9, 100%, $F$9) + CHOOSE(CONTROL!$C$27, 0.0021, 0)</f>
        <v>35.583799999999997</v>
      </c>
      <c r="D202" s="10">
        <f>35.5817 * CHOOSE(CONTROL!$C$9, $D$9, 100%, $F$9) + CHOOSE(CONTROL!$C$27, 0.0021, 0)</f>
        <v>35.583799999999997</v>
      </c>
      <c r="E202" s="10">
        <f>35.4451 * CHOOSE(CONTROL!$C$9, $D$9, 100%, $F$9) + CHOOSE(CONTROL!$C$27, 0.0021, 0)</f>
        <v>35.447199999999995</v>
      </c>
      <c r="F202" s="10">
        <f>35.4451 * CHOOSE(CONTROL!$C$9, $D$9, 100%, $F$9) + CHOOSE(CONTROL!$C$27, 0.0021, 0)</f>
        <v>35.447199999999995</v>
      </c>
      <c r="G202" s="10">
        <f>35.7164 * CHOOSE(CONTROL!$C$9, $D$9, 100%, $F$9) + CHOOSE(CONTROL!$C$27, 0.0021, 0)</f>
        <v>35.718499999999999</v>
      </c>
      <c r="H202" s="10">
        <f>35.5817 * CHOOSE(CONTROL!$C$9, $D$9, 100%, $F$9) + CHOOSE(CONTROL!$C$27, 0.0021, 0)</f>
        <v>35.583799999999997</v>
      </c>
      <c r="I202" s="10">
        <f>35.5817 * CHOOSE(CONTROL!$C$9, $D$9, 100%, $F$9) + CHOOSE(CONTROL!$C$27, 0.0021, 0)</f>
        <v>35.583799999999997</v>
      </c>
      <c r="J202" s="10">
        <f>35.5817 * CHOOSE(CONTROL!$C$9, $D$9, 100%, $F$9) + CHOOSE(CONTROL!$C$27, 0.0021, 0)</f>
        <v>35.583799999999997</v>
      </c>
      <c r="K202" s="10">
        <f>35.5817 * CHOOSE(CONTROL!$C$9, $D$9, 100%, $F$9) + CHOOSE(CONTROL!$C$27, 0.0021, 0)</f>
        <v>35.583799999999997</v>
      </c>
      <c r="L202" s="10"/>
    </row>
    <row r="203" spans="1:12" ht="15" x14ac:dyDescent="0.2">
      <c r="A203" s="16">
        <v>47088</v>
      </c>
      <c r="B203" s="10">
        <f>35.3528 * CHOOSE(CONTROL!$C$9, $D$9, 100%, $F$9) + CHOOSE(CONTROL!$C$27, 0.0021, 0)</f>
        <v>35.354900000000001</v>
      </c>
      <c r="C203" s="10">
        <f>34.9205 * CHOOSE(CONTROL!$C$9, $D$9, 100%, $F$9) + CHOOSE(CONTROL!$C$27, 0.0021, 0)</f>
        <v>34.922599999999996</v>
      </c>
      <c r="D203" s="10">
        <f>34.9205 * CHOOSE(CONTROL!$C$9, $D$9, 100%, $F$9) + CHOOSE(CONTROL!$C$27, 0.0021, 0)</f>
        <v>34.922599999999996</v>
      </c>
      <c r="E203" s="10">
        <f>34.7839 * CHOOSE(CONTROL!$C$9, $D$9, 100%, $F$9) + CHOOSE(CONTROL!$C$27, 0.0021, 0)</f>
        <v>34.786000000000001</v>
      </c>
      <c r="F203" s="10">
        <f>34.7839 * CHOOSE(CONTROL!$C$9, $D$9, 100%, $F$9) + CHOOSE(CONTROL!$C$27, 0.0021, 0)</f>
        <v>34.786000000000001</v>
      </c>
      <c r="G203" s="10">
        <f>35.0552 * CHOOSE(CONTROL!$C$9, $D$9, 100%, $F$9) + CHOOSE(CONTROL!$C$27, 0.0021, 0)</f>
        <v>35.057299999999998</v>
      </c>
      <c r="H203" s="10">
        <f>34.9205 * CHOOSE(CONTROL!$C$9, $D$9, 100%, $F$9) + CHOOSE(CONTROL!$C$27, 0.0021, 0)</f>
        <v>34.922599999999996</v>
      </c>
      <c r="I203" s="10">
        <f>34.9205 * CHOOSE(CONTROL!$C$9, $D$9, 100%, $F$9) + CHOOSE(CONTROL!$C$27, 0.0021, 0)</f>
        <v>34.922599999999996</v>
      </c>
      <c r="J203" s="10">
        <f>34.9205 * CHOOSE(CONTROL!$C$9, $D$9, 100%, $F$9) + CHOOSE(CONTROL!$C$27, 0.0021, 0)</f>
        <v>34.922599999999996</v>
      </c>
      <c r="K203" s="10">
        <f>34.9205 * CHOOSE(CONTROL!$C$9, $D$9, 100%, $F$9) + CHOOSE(CONTROL!$C$27, 0.0021, 0)</f>
        <v>34.922599999999996</v>
      </c>
      <c r="L203" s="10"/>
    </row>
    <row r="204" spans="1:12" ht="15" x14ac:dyDescent="0.2">
      <c r="A204" s="16">
        <v>47119</v>
      </c>
      <c r="B204" s="10">
        <f>34.9786 * CHOOSE(CONTROL!$C$9, $D$9, 100%, $F$9) + CHOOSE(CONTROL!$C$27, 0.0021, 0)</f>
        <v>34.980699999999999</v>
      </c>
      <c r="C204" s="10">
        <f>34.5463 * CHOOSE(CONTROL!$C$9, $D$9, 100%, $F$9) + CHOOSE(CONTROL!$C$27, 0.0021, 0)</f>
        <v>34.548400000000001</v>
      </c>
      <c r="D204" s="10">
        <f>34.5463 * CHOOSE(CONTROL!$C$9, $D$9, 100%, $F$9) + CHOOSE(CONTROL!$C$27, 0.0021, 0)</f>
        <v>34.548400000000001</v>
      </c>
      <c r="E204" s="10">
        <f>34.4097 * CHOOSE(CONTROL!$C$9, $D$9, 100%, $F$9) + CHOOSE(CONTROL!$C$27, 0.0021, 0)</f>
        <v>34.411799999999999</v>
      </c>
      <c r="F204" s="10">
        <f>34.4097 * CHOOSE(CONTROL!$C$9, $D$9, 100%, $F$9) + CHOOSE(CONTROL!$C$27, 0.0021, 0)</f>
        <v>34.411799999999999</v>
      </c>
      <c r="G204" s="10">
        <f>34.681 * CHOOSE(CONTROL!$C$9, $D$9, 100%, $F$9) + CHOOSE(CONTROL!$C$27, 0.0021, 0)</f>
        <v>34.683099999999996</v>
      </c>
      <c r="H204" s="10">
        <f>34.5463 * CHOOSE(CONTROL!$C$9, $D$9, 100%, $F$9) + CHOOSE(CONTROL!$C$27, 0.0021, 0)</f>
        <v>34.548400000000001</v>
      </c>
      <c r="I204" s="10">
        <f>34.5463 * CHOOSE(CONTROL!$C$9, $D$9, 100%, $F$9) + CHOOSE(CONTROL!$C$27, 0.0021, 0)</f>
        <v>34.548400000000001</v>
      </c>
      <c r="J204" s="10">
        <f>34.5463 * CHOOSE(CONTROL!$C$9, $D$9, 100%, $F$9) + CHOOSE(CONTROL!$C$27, 0.0021, 0)</f>
        <v>34.548400000000001</v>
      </c>
      <c r="K204" s="10">
        <f>34.5463 * CHOOSE(CONTROL!$C$9, $D$9, 100%, $F$9) + CHOOSE(CONTROL!$C$27, 0.0021, 0)</f>
        <v>34.548400000000001</v>
      </c>
      <c r="L204" s="10"/>
    </row>
    <row r="205" spans="1:12" ht="15" x14ac:dyDescent="0.2">
      <c r="A205" s="16">
        <v>47150</v>
      </c>
      <c r="B205" s="10">
        <f>34.054 * CHOOSE(CONTROL!$C$9, $D$9, 100%, $F$9) + CHOOSE(CONTROL!$C$27, 0.0021, 0)</f>
        <v>34.056100000000001</v>
      </c>
      <c r="C205" s="10">
        <f>33.6218 * CHOOSE(CONTROL!$C$9, $D$9, 100%, $F$9) + CHOOSE(CONTROL!$C$27, 0.0021, 0)</f>
        <v>33.623899999999999</v>
      </c>
      <c r="D205" s="10">
        <f>33.6218 * CHOOSE(CONTROL!$C$9, $D$9, 100%, $F$9) + CHOOSE(CONTROL!$C$27, 0.0021, 0)</f>
        <v>33.623899999999999</v>
      </c>
      <c r="E205" s="10">
        <f>33.4851 * CHOOSE(CONTROL!$C$9, $D$9, 100%, $F$9) + CHOOSE(CONTROL!$C$27, 0.0021, 0)</f>
        <v>33.487200000000001</v>
      </c>
      <c r="F205" s="10">
        <f>33.4851 * CHOOSE(CONTROL!$C$9, $D$9, 100%, $F$9) + CHOOSE(CONTROL!$C$27, 0.0021, 0)</f>
        <v>33.487200000000001</v>
      </c>
      <c r="G205" s="10">
        <f>33.7565 * CHOOSE(CONTROL!$C$9, $D$9, 100%, $F$9) + CHOOSE(CONTROL!$C$27, 0.0021, 0)</f>
        <v>33.758600000000001</v>
      </c>
      <c r="H205" s="10">
        <f>33.6218 * CHOOSE(CONTROL!$C$9, $D$9, 100%, $F$9) + CHOOSE(CONTROL!$C$27, 0.0021, 0)</f>
        <v>33.623899999999999</v>
      </c>
      <c r="I205" s="10">
        <f>33.6218 * CHOOSE(CONTROL!$C$9, $D$9, 100%, $F$9) + CHOOSE(CONTROL!$C$27, 0.0021, 0)</f>
        <v>33.623899999999999</v>
      </c>
      <c r="J205" s="10">
        <f>33.6218 * CHOOSE(CONTROL!$C$9, $D$9, 100%, $F$9) + CHOOSE(CONTROL!$C$27, 0.0021, 0)</f>
        <v>33.623899999999999</v>
      </c>
      <c r="K205" s="10">
        <f>33.6218 * CHOOSE(CONTROL!$C$9, $D$9, 100%, $F$9) + CHOOSE(CONTROL!$C$27, 0.0021, 0)</f>
        <v>33.623899999999999</v>
      </c>
      <c r="L205" s="10"/>
    </row>
    <row r="206" spans="1:12" ht="15" x14ac:dyDescent="0.2">
      <c r="A206" s="16">
        <v>47178</v>
      </c>
      <c r="B206" s="10">
        <f>33.6724 * CHOOSE(CONTROL!$C$9, $D$9, 100%, $F$9) + CHOOSE(CONTROL!$C$27, 0.0021, 0)</f>
        <v>33.674500000000002</v>
      </c>
      <c r="C206" s="10">
        <f>33.2401 * CHOOSE(CONTROL!$C$9, $D$9, 100%, $F$9) + CHOOSE(CONTROL!$C$27, 0.0021, 0)</f>
        <v>33.242199999999997</v>
      </c>
      <c r="D206" s="10">
        <f>33.2401 * CHOOSE(CONTROL!$C$9, $D$9, 100%, $F$9) + CHOOSE(CONTROL!$C$27, 0.0021, 0)</f>
        <v>33.242199999999997</v>
      </c>
      <c r="E206" s="10">
        <f>33.1035 * CHOOSE(CONTROL!$C$9, $D$9, 100%, $F$9) + CHOOSE(CONTROL!$C$27, 0.0021, 0)</f>
        <v>33.105599999999995</v>
      </c>
      <c r="F206" s="10">
        <f>33.1035 * CHOOSE(CONTROL!$C$9, $D$9, 100%, $F$9) + CHOOSE(CONTROL!$C$27, 0.0021, 0)</f>
        <v>33.105599999999995</v>
      </c>
      <c r="G206" s="10">
        <f>33.3748 * CHOOSE(CONTROL!$C$9, $D$9, 100%, $F$9) + CHOOSE(CONTROL!$C$27, 0.0021, 0)</f>
        <v>33.376899999999999</v>
      </c>
      <c r="H206" s="10">
        <f>33.2401 * CHOOSE(CONTROL!$C$9, $D$9, 100%, $F$9) + CHOOSE(CONTROL!$C$27, 0.0021, 0)</f>
        <v>33.242199999999997</v>
      </c>
      <c r="I206" s="10">
        <f>33.2401 * CHOOSE(CONTROL!$C$9, $D$9, 100%, $F$9) + CHOOSE(CONTROL!$C$27, 0.0021, 0)</f>
        <v>33.242199999999997</v>
      </c>
      <c r="J206" s="10">
        <f>33.2401 * CHOOSE(CONTROL!$C$9, $D$9, 100%, $F$9) + CHOOSE(CONTROL!$C$27, 0.0021, 0)</f>
        <v>33.242199999999997</v>
      </c>
      <c r="K206" s="10">
        <f>33.2401 * CHOOSE(CONTROL!$C$9, $D$9, 100%, $F$9) + CHOOSE(CONTROL!$C$27, 0.0021, 0)</f>
        <v>33.242199999999997</v>
      </c>
      <c r="L206" s="10"/>
    </row>
    <row r="207" spans="1:12" ht="15" x14ac:dyDescent="0.2">
      <c r="A207" s="16">
        <v>47209</v>
      </c>
      <c r="B207" s="10">
        <f>33.2167 * CHOOSE(CONTROL!$C$9, $D$9, 100%, $F$9) + CHOOSE(CONTROL!$C$27, 0.0021, 0)</f>
        <v>33.218800000000002</v>
      </c>
      <c r="C207" s="10">
        <f>32.7844 * CHOOSE(CONTROL!$C$9, $D$9, 100%, $F$9) + CHOOSE(CONTROL!$C$27, 0.0021, 0)</f>
        <v>32.786499999999997</v>
      </c>
      <c r="D207" s="10">
        <f>32.7844 * CHOOSE(CONTROL!$C$9, $D$9, 100%, $F$9) + CHOOSE(CONTROL!$C$27, 0.0021, 0)</f>
        <v>32.786499999999997</v>
      </c>
      <c r="E207" s="10">
        <f>32.6478 * CHOOSE(CONTROL!$C$9, $D$9, 100%, $F$9) + CHOOSE(CONTROL!$C$27, 0.0021, 0)</f>
        <v>32.649899999999995</v>
      </c>
      <c r="F207" s="10">
        <f>32.6478 * CHOOSE(CONTROL!$C$9, $D$9, 100%, $F$9) + CHOOSE(CONTROL!$C$27, 0.0021, 0)</f>
        <v>32.649899999999995</v>
      </c>
      <c r="G207" s="10">
        <f>32.9191 * CHOOSE(CONTROL!$C$9, $D$9, 100%, $F$9) + CHOOSE(CONTROL!$C$27, 0.0021, 0)</f>
        <v>32.921199999999999</v>
      </c>
      <c r="H207" s="10">
        <f>32.7844 * CHOOSE(CONTROL!$C$9, $D$9, 100%, $F$9) + CHOOSE(CONTROL!$C$27, 0.0021, 0)</f>
        <v>32.786499999999997</v>
      </c>
      <c r="I207" s="10">
        <f>32.7844 * CHOOSE(CONTROL!$C$9, $D$9, 100%, $F$9) + CHOOSE(CONTROL!$C$27, 0.0021, 0)</f>
        <v>32.786499999999997</v>
      </c>
      <c r="J207" s="10">
        <f>32.7844 * CHOOSE(CONTROL!$C$9, $D$9, 100%, $F$9) + CHOOSE(CONTROL!$C$27, 0.0021, 0)</f>
        <v>32.786499999999997</v>
      </c>
      <c r="K207" s="10">
        <f>32.7844 * CHOOSE(CONTROL!$C$9, $D$9, 100%, $F$9) + CHOOSE(CONTROL!$C$27, 0.0021, 0)</f>
        <v>32.786499999999997</v>
      </c>
      <c r="L207" s="10"/>
    </row>
    <row r="208" spans="1:12" ht="15" x14ac:dyDescent="0.2">
      <c r="A208" s="16">
        <v>47239</v>
      </c>
      <c r="B208" s="10">
        <f>33.8661 * CHOOSE(CONTROL!$C$9, $D$9, 100%, $F$9) + CHOOSE(CONTROL!$C$27, 0.0021, 0)</f>
        <v>33.868200000000002</v>
      </c>
      <c r="C208" s="10">
        <f>33.4339 * CHOOSE(CONTROL!$C$9, $D$9, 100%, $F$9) + CHOOSE(CONTROL!$C$27, 0.0021, 0)</f>
        <v>33.436</v>
      </c>
      <c r="D208" s="10">
        <f>33.4339 * CHOOSE(CONTROL!$C$9, $D$9, 100%, $F$9) + CHOOSE(CONTROL!$C$27, 0.0021, 0)</f>
        <v>33.436</v>
      </c>
      <c r="E208" s="10">
        <f>33.2972 * CHOOSE(CONTROL!$C$9, $D$9, 100%, $F$9) + CHOOSE(CONTROL!$C$27, 0.0021, 0)</f>
        <v>33.299299999999995</v>
      </c>
      <c r="F208" s="10">
        <f>33.2972 * CHOOSE(CONTROL!$C$9, $D$9, 100%, $F$9) + CHOOSE(CONTROL!$C$27, 0.0021, 0)</f>
        <v>33.299299999999995</v>
      </c>
      <c r="G208" s="10">
        <f>33.5686 * CHOOSE(CONTROL!$C$9, $D$9, 100%, $F$9) + CHOOSE(CONTROL!$C$27, 0.0021, 0)</f>
        <v>33.570700000000002</v>
      </c>
      <c r="H208" s="10">
        <f>33.4339 * CHOOSE(CONTROL!$C$9, $D$9, 100%, $F$9) + CHOOSE(CONTROL!$C$27, 0.0021, 0)</f>
        <v>33.436</v>
      </c>
      <c r="I208" s="10">
        <f>33.4339 * CHOOSE(CONTROL!$C$9, $D$9, 100%, $F$9) + CHOOSE(CONTROL!$C$27, 0.0021, 0)</f>
        <v>33.436</v>
      </c>
      <c r="J208" s="10">
        <f>33.4339 * CHOOSE(CONTROL!$C$9, $D$9, 100%, $F$9) + CHOOSE(CONTROL!$C$27, 0.0021, 0)</f>
        <v>33.436</v>
      </c>
      <c r="K208" s="10">
        <f>33.4339 * CHOOSE(CONTROL!$C$9, $D$9, 100%, $F$9) + CHOOSE(CONTROL!$C$27, 0.0021, 0)</f>
        <v>33.436</v>
      </c>
      <c r="L208" s="10"/>
    </row>
    <row r="209" spans="1:12" ht="15" x14ac:dyDescent="0.2">
      <c r="A209" s="16">
        <v>47270</v>
      </c>
      <c r="B209" s="10">
        <f>34.2551 * CHOOSE(CONTROL!$C$9, $D$9, 100%, $F$9) + CHOOSE(CONTROL!$C$27, 0.0021, 0)</f>
        <v>34.257199999999997</v>
      </c>
      <c r="C209" s="10">
        <f>33.8228 * CHOOSE(CONTROL!$C$9, $D$9, 100%, $F$9) + CHOOSE(CONTROL!$C$27, 0.0021, 0)</f>
        <v>33.8249</v>
      </c>
      <c r="D209" s="10">
        <f>33.8228 * CHOOSE(CONTROL!$C$9, $D$9, 100%, $F$9) + CHOOSE(CONTROL!$C$27, 0.0021, 0)</f>
        <v>33.8249</v>
      </c>
      <c r="E209" s="10">
        <f>33.6862 * CHOOSE(CONTROL!$C$9, $D$9, 100%, $F$9) + CHOOSE(CONTROL!$C$27, 0.0021, 0)</f>
        <v>33.688299999999998</v>
      </c>
      <c r="F209" s="10">
        <f>33.6862 * CHOOSE(CONTROL!$C$9, $D$9, 100%, $F$9) + CHOOSE(CONTROL!$C$27, 0.0021, 0)</f>
        <v>33.688299999999998</v>
      </c>
      <c r="G209" s="10">
        <f>33.9575 * CHOOSE(CONTROL!$C$9, $D$9, 100%, $F$9) + CHOOSE(CONTROL!$C$27, 0.0021, 0)</f>
        <v>33.959600000000002</v>
      </c>
      <c r="H209" s="10">
        <f>33.8228 * CHOOSE(CONTROL!$C$9, $D$9, 100%, $F$9) + CHOOSE(CONTROL!$C$27, 0.0021, 0)</f>
        <v>33.8249</v>
      </c>
      <c r="I209" s="10">
        <f>33.8228 * CHOOSE(CONTROL!$C$9, $D$9, 100%, $F$9) + CHOOSE(CONTROL!$C$27, 0.0021, 0)</f>
        <v>33.8249</v>
      </c>
      <c r="J209" s="10">
        <f>33.8228 * CHOOSE(CONTROL!$C$9, $D$9, 100%, $F$9) + CHOOSE(CONTROL!$C$27, 0.0021, 0)</f>
        <v>33.8249</v>
      </c>
      <c r="K209" s="10">
        <f>33.8228 * CHOOSE(CONTROL!$C$9, $D$9, 100%, $F$9) + CHOOSE(CONTROL!$C$27, 0.0021, 0)</f>
        <v>33.8249</v>
      </c>
      <c r="L209" s="10"/>
    </row>
    <row r="210" spans="1:12" ht="15" x14ac:dyDescent="0.2">
      <c r="A210" s="16">
        <v>47300</v>
      </c>
      <c r="B210" s="10">
        <f>34.8968 * CHOOSE(CONTROL!$C$9, $D$9, 100%, $F$9) + CHOOSE(CONTROL!$C$27, 0.0021, 0)</f>
        <v>34.898899999999998</v>
      </c>
      <c r="C210" s="10">
        <f>34.4645 * CHOOSE(CONTROL!$C$9, $D$9, 100%, $F$9) + CHOOSE(CONTROL!$C$27, 0.0021, 0)</f>
        <v>34.4666</v>
      </c>
      <c r="D210" s="10">
        <f>34.4645 * CHOOSE(CONTROL!$C$9, $D$9, 100%, $F$9) + CHOOSE(CONTROL!$C$27, 0.0021, 0)</f>
        <v>34.4666</v>
      </c>
      <c r="E210" s="10">
        <f>34.3278 * CHOOSE(CONTROL!$C$9, $D$9, 100%, $F$9) + CHOOSE(CONTROL!$C$27, 0.0021, 0)</f>
        <v>34.329900000000002</v>
      </c>
      <c r="F210" s="10">
        <f>34.3278 * CHOOSE(CONTROL!$C$9, $D$9, 100%, $F$9) + CHOOSE(CONTROL!$C$27, 0.0021, 0)</f>
        <v>34.329900000000002</v>
      </c>
      <c r="G210" s="10">
        <f>34.5992 * CHOOSE(CONTROL!$C$9, $D$9, 100%, $F$9) + CHOOSE(CONTROL!$C$27, 0.0021, 0)</f>
        <v>34.601300000000002</v>
      </c>
      <c r="H210" s="10">
        <f>34.4645 * CHOOSE(CONTROL!$C$9, $D$9, 100%, $F$9) + CHOOSE(CONTROL!$C$27, 0.0021, 0)</f>
        <v>34.4666</v>
      </c>
      <c r="I210" s="10">
        <f>34.4645 * CHOOSE(CONTROL!$C$9, $D$9, 100%, $F$9) + CHOOSE(CONTROL!$C$27, 0.0021, 0)</f>
        <v>34.4666</v>
      </c>
      <c r="J210" s="10">
        <f>34.4645 * CHOOSE(CONTROL!$C$9, $D$9, 100%, $F$9) + CHOOSE(CONTROL!$C$27, 0.0021, 0)</f>
        <v>34.4666</v>
      </c>
      <c r="K210" s="10">
        <f>34.4645 * CHOOSE(CONTROL!$C$9, $D$9, 100%, $F$9) + CHOOSE(CONTROL!$C$27, 0.0021, 0)</f>
        <v>34.4666</v>
      </c>
      <c r="L210" s="10"/>
    </row>
    <row r="211" spans="1:12" ht="15" x14ac:dyDescent="0.2">
      <c r="A211" s="16">
        <v>47331</v>
      </c>
      <c r="B211" s="10">
        <f>35.0926 * CHOOSE(CONTROL!$C$9, $D$9, 100%, $F$9) + CHOOSE(CONTROL!$C$27, 0.0021, 0)</f>
        <v>35.094699999999996</v>
      </c>
      <c r="C211" s="10">
        <f>34.6604 * CHOOSE(CONTROL!$C$9, $D$9, 100%, $F$9) + CHOOSE(CONTROL!$C$27, 0.0021, 0)</f>
        <v>34.662500000000001</v>
      </c>
      <c r="D211" s="10">
        <f>34.6604 * CHOOSE(CONTROL!$C$9, $D$9, 100%, $F$9) + CHOOSE(CONTROL!$C$27, 0.0021, 0)</f>
        <v>34.662500000000001</v>
      </c>
      <c r="E211" s="10">
        <f>34.5237 * CHOOSE(CONTROL!$C$9, $D$9, 100%, $F$9) + CHOOSE(CONTROL!$C$27, 0.0021, 0)</f>
        <v>34.525799999999997</v>
      </c>
      <c r="F211" s="10">
        <f>34.5237 * CHOOSE(CONTROL!$C$9, $D$9, 100%, $F$9) + CHOOSE(CONTROL!$C$27, 0.0021, 0)</f>
        <v>34.525799999999997</v>
      </c>
      <c r="G211" s="10">
        <f>34.7951 * CHOOSE(CONTROL!$C$9, $D$9, 100%, $F$9) + CHOOSE(CONTROL!$C$27, 0.0021, 0)</f>
        <v>34.797199999999997</v>
      </c>
      <c r="H211" s="10">
        <f>34.6604 * CHOOSE(CONTROL!$C$9, $D$9, 100%, $F$9) + CHOOSE(CONTROL!$C$27, 0.0021, 0)</f>
        <v>34.662500000000001</v>
      </c>
      <c r="I211" s="10">
        <f>34.6604 * CHOOSE(CONTROL!$C$9, $D$9, 100%, $F$9) + CHOOSE(CONTROL!$C$27, 0.0021, 0)</f>
        <v>34.662500000000001</v>
      </c>
      <c r="J211" s="10">
        <f>34.6604 * CHOOSE(CONTROL!$C$9, $D$9, 100%, $F$9) + CHOOSE(CONTROL!$C$27, 0.0021, 0)</f>
        <v>34.662500000000001</v>
      </c>
      <c r="K211" s="10">
        <f>34.6604 * CHOOSE(CONTROL!$C$9, $D$9, 100%, $F$9) + CHOOSE(CONTROL!$C$27, 0.0021, 0)</f>
        <v>34.662500000000001</v>
      </c>
      <c r="L211" s="10"/>
    </row>
    <row r="212" spans="1:12" ht="15" x14ac:dyDescent="0.2">
      <c r="A212" s="16">
        <v>47362</v>
      </c>
      <c r="B212" s="10">
        <f>35.7596 * CHOOSE(CONTROL!$C$9, $D$9, 100%, $F$9) + CHOOSE(CONTROL!$C$27, 0.0021, 0)</f>
        <v>35.761699999999998</v>
      </c>
      <c r="C212" s="10">
        <f>35.3274 * CHOOSE(CONTROL!$C$9, $D$9, 100%, $F$9) + CHOOSE(CONTROL!$C$27, 0.0021, 0)</f>
        <v>35.329499999999996</v>
      </c>
      <c r="D212" s="10">
        <f>35.3274 * CHOOSE(CONTROL!$C$9, $D$9, 100%, $F$9) + CHOOSE(CONTROL!$C$27, 0.0021, 0)</f>
        <v>35.329499999999996</v>
      </c>
      <c r="E212" s="10">
        <f>35.1907 * CHOOSE(CONTROL!$C$9, $D$9, 100%, $F$9) + CHOOSE(CONTROL!$C$27, 0.0021, 0)</f>
        <v>35.192799999999998</v>
      </c>
      <c r="F212" s="10">
        <f>35.1907 * CHOOSE(CONTROL!$C$9, $D$9, 100%, $F$9) + CHOOSE(CONTROL!$C$27, 0.0021, 0)</f>
        <v>35.192799999999998</v>
      </c>
      <c r="G212" s="10">
        <f>35.4621 * CHOOSE(CONTROL!$C$9, $D$9, 100%, $F$9) + CHOOSE(CONTROL!$C$27, 0.0021, 0)</f>
        <v>35.464199999999998</v>
      </c>
      <c r="H212" s="10">
        <f>35.3274 * CHOOSE(CONTROL!$C$9, $D$9, 100%, $F$9) + CHOOSE(CONTROL!$C$27, 0.0021, 0)</f>
        <v>35.329499999999996</v>
      </c>
      <c r="I212" s="10">
        <f>35.3274 * CHOOSE(CONTROL!$C$9, $D$9, 100%, $F$9) + CHOOSE(CONTROL!$C$27, 0.0021, 0)</f>
        <v>35.329499999999996</v>
      </c>
      <c r="J212" s="10">
        <f>35.3274 * CHOOSE(CONTROL!$C$9, $D$9, 100%, $F$9) + CHOOSE(CONTROL!$C$27, 0.0021, 0)</f>
        <v>35.329499999999996</v>
      </c>
      <c r="K212" s="10">
        <f>35.3274 * CHOOSE(CONTROL!$C$9, $D$9, 100%, $F$9) + CHOOSE(CONTROL!$C$27, 0.0021, 0)</f>
        <v>35.329499999999996</v>
      </c>
      <c r="L212" s="10"/>
    </row>
    <row r="213" spans="1:12" ht="15" x14ac:dyDescent="0.2">
      <c r="A213" s="16">
        <v>47392</v>
      </c>
      <c r="B213" s="10">
        <f>36.6039 * CHOOSE(CONTROL!$C$9, $D$9, 100%, $F$9) + CHOOSE(CONTROL!$C$27, 0.0021, 0)</f>
        <v>36.606000000000002</v>
      </c>
      <c r="C213" s="10">
        <f>36.1717 * CHOOSE(CONTROL!$C$9, $D$9, 100%, $F$9) + CHOOSE(CONTROL!$C$27, 0.0021, 0)</f>
        <v>36.1738</v>
      </c>
      <c r="D213" s="10">
        <f>36.1717 * CHOOSE(CONTROL!$C$9, $D$9, 100%, $F$9) + CHOOSE(CONTROL!$C$27, 0.0021, 0)</f>
        <v>36.1738</v>
      </c>
      <c r="E213" s="10">
        <f>36.035 * CHOOSE(CONTROL!$C$9, $D$9, 100%, $F$9) + CHOOSE(CONTROL!$C$27, 0.0021, 0)</f>
        <v>36.037099999999995</v>
      </c>
      <c r="F213" s="10">
        <f>36.035 * CHOOSE(CONTROL!$C$9, $D$9, 100%, $F$9) + CHOOSE(CONTROL!$C$27, 0.0021, 0)</f>
        <v>36.037099999999995</v>
      </c>
      <c r="G213" s="10">
        <f>36.3064 * CHOOSE(CONTROL!$C$9, $D$9, 100%, $F$9) + CHOOSE(CONTROL!$C$27, 0.0021, 0)</f>
        <v>36.308499999999995</v>
      </c>
      <c r="H213" s="10">
        <f>36.1717 * CHOOSE(CONTROL!$C$9, $D$9, 100%, $F$9) + CHOOSE(CONTROL!$C$27, 0.0021, 0)</f>
        <v>36.1738</v>
      </c>
      <c r="I213" s="10">
        <f>36.1717 * CHOOSE(CONTROL!$C$9, $D$9, 100%, $F$9) + CHOOSE(CONTROL!$C$27, 0.0021, 0)</f>
        <v>36.1738</v>
      </c>
      <c r="J213" s="10">
        <f>36.1717 * CHOOSE(CONTROL!$C$9, $D$9, 100%, $F$9) + CHOOSE(CONTROL!$C$27, 0.0021, 0)</f>
        <v>36.1738</v>
      </c>
      <c r="K213" s="10">
        <f>36.1717 * CHOOSE(CONTROL!$C$9, $D$9, 100%, $F$9) + CHOOSE(CONTROL!$C$27, 0.0021, 0)</f>
        <v>36.1738</v>
      </c>
      <c r="L213" s="10"/>
    </row>
    <row r="214" spans="1:12" ht="15" x14ac:dyDescent="0.2">
      <c r="A214" s="16">
        <v>47423</v>
      </c>
      <c r="B214" s="10">
        <f>36.6832 * CHOOSE(CONTROL!$C$9, $D$9, 100%, $F$9) + CHOOSE(CONTROL!$C$27, 0.0021, 0)</f>
        <v>36.685299999999998</v>
      </c>
      <c r="C214" s="10">
        <f>36.2509 * CHOOSE(CONTROL!$C$9, $D$9, 100%, $F$9) + CHOOSE(CONTROL!$C$27, 0.0021, 0)</f>
        <v>36.253</v>
      </c>
      <c r="D214" s="10">
        <f>36.2509 * CHOOSE(CONTROL!$C$9, $D$9, 100%, $F$9) + CHOOSE(CONTROL!$C$27, 0.0021, 0)</f>
        <v>36.253</v>
      </c>
      <c r="E214" s="10">
        <f>36.1143 * CHOOSE(CONTROL!$C$9, $D$9, 100%, $F$9) + CHOOSE(CONTROL!$C$27, 0.0021, 0)</f>
        <v>36.116399999999999</v>
      </c>
      <c r="F214" s="10">
        <f>36.1143 * CHOOSE(CONTROL!$C$9, $D$9, 100%, $F$9) + CHOOSE(CONTROL!$C$27, 0.0021, 0)</f>
        <v>36.116399999999999</v>
      </c>
      <c r="G214" s="10">
        <f>36.3856 * CHOOSE(CONTROL!$C$9, $D$9, 100%, $F$9) + CHOOSE(CONTROL!$C$27, 0.0021, 0)</f>
        <v>36.387699999999995</v>
      </c>
      <c r="H214" s="10">
        <f>36.2509 * CHOOSE(CONTROL!$C$9, $D$9, 100%, $F$9) + CHOOSE(CONTROL!$C$27, 0.0021, 0)</f>
        <v>36.253</v>
      </c>
      <c r="I214" s="10">
        <f>36.2509 * CHOOSE(CONTROL!$C$9, $D$9, 100%, $F$9) + CHOOSE(CONTROL!$C$27, 0.0021, 0)</f>
        <v>36.253</v>
      </c>
      <c r="J214" s="10">
        <f>36.2509 * CHOOSE(CONTROL!$C$9, $D$9, 100%, $F$9) + CHOOSE(CONTROL!$C$27, 0.0021, 0)</f>
        <v>36.253</v>
      </c>
      <c r="K214" s="10">
        <f>36.2509 * CHOOSE(CONTROL!$C$9, $D$9, 100%, $F$9) + CHOOSE(CONTROL!$C$27, 0.0021, 0)</f>
        <v>36.253</v>
      </c>
      <c r="L214" s="10"/>
    </row>
    <row r="215" spans="1:12" ht="15" x14ac:dyDescent="0.2">
      <c r="A215" s="16">
        <v>47453</v>
      </c>
      <c r="B215" s="10">
        <f>36.0088 * CHOOSE(CONTROL!$C$9, $D$9, 100%, $F$9) + CHOOSE(CONTROL!$C$27, 0.0021, 0)</f>
        <v>36.010899999999999</v>
      </c>
      <c r="C215" s="10">
        <f>35.5766 * CHOOSE(CONTROL!$C$9, $D$9, 100%, $F$9) + CHOOSE(CONTROL!$C$27, 0.0021, 0)</f>
        <v>35.578699999999998</v>
      </c>
      <c r="D215" s="10">
        <f>35.5766 * CHOOSE(CONTROL!$C$9, $D$9, 100%, $F$9) + CHOOSE(CONTROL!$C$27, 0.0021, 0)</f>
        <v>35.578699999999998</v>
      </c>
      <c r="E215" s="10">
        <f>35.4399 * CHOOSE(CONTROL!$C$9, $D$9, 100%, $F$9) + CHOOSE(CONTROL!$C$27, 0.0021, 0)</f>
        <v>35.442</v>
      </c>
      <c r="F215" s="10">
        <f>35.4399 * CHOOSE(CONTROL!$C$9, $D$9, 100%, $F$9) + CHOOSE(CONTROL!$C$27, 0.0021, 0)</f>
        <v>35.442</v>
      </c>
      <c r="G215" s="10">
        <f>35.7113 * CHOOSE(CONTROL!$C$9, $D$9, 100%, $F$9) + CHOOSE(CONTROL!$C$27, 0.0021, 0)</f>
        <v>35.7134</v>
      </c>
      <c r="H215" s="10">
        <f>35.5766 * CHOOSE(CONTROL!$C$9, $D$9, 100%, $F$9) + CHOOSE(CONTROL!$C$27, 0.0021, 0)</f>
        <v>35.578699999999998</v>
      </c>
      <c r="I215" s="10">
        <f>35.5766 * CHOOSE(CONTROL!$C$9, $D$9, 100%, $F$9) + CHOOSE(CONTROL!$C$27, 0.0021, 0)</f>
        <v>35.578699999999998</v>
      </c>
      <c r="J215" s="10">
        <f>35.5766 * CHOOSE(CONTROL!$C$9, $D$9, 100%, $F$9) + CHOOSE(CONTROL!$C$27, 0.0021, 0)</f>
        <v>35.578699999999998</v>
      </c>
      <c r="K215" s="10">
        <f>35.5766 * CHOOSE(CONTROL!$C$9, $D$9, 100%, $F$9) + CHOOSE(CONTROL!$C$27, 0.0021, 0)</f>
        <v>35.578699999999998</v>
      </c>
      <c r="L215" s="10"/>
    </row>
    <row r="216" spans="1:12" ht="15" x14ac:dyDescent="0.2">
      <c r="A216" s="16">
        <v>47484</v>
      </c>
      <c r="B216" s="10">
        <f>35.5653 * CHOOSE(CONTROL!$C$9, $D$9, 100%, $F$9) + CHOOSE(CONTROL!$C$27, 0.0021, 0)</f>
        <v>35.567399999999999</v>
      </c>
      <c r="C216" s="10">
        <f>35.133 * CHOOSE(CONTROL!$C$9, $D$9, 100%, $F$9) + CHOOSE(CONTROL!$C$27, 0.0021, 0)</f>
        <v>35.135100000000001</v>
      </c>
      <c r="D216" s="10">
        <f>35.133 * CHOOSE(CONTROL!$C$9, $D$9, 100%, $F$9) + CHOOSE(CONTROL!$C$27, 0.0021, 0)</f>
        <v>35.135100000000001</v>
      </c>
      <c r="E216" s="10">
        <f>34.9964 * CHOOSE(CONTROL!$C$9, $D$9, 100%, $F$9) + CHOOSE(CONTROL!$C$27, 0.0021, 0)</f>
        <v>34.9985</v>
      </c>
      <c r="F216" s="10">
        <f>34.9964 * CHOOSE(CONTROL!$C$9, $D$9, 100%, $F$9) + CHOOSE(CONTROL!$C$27, 0.0021, 0)</f>
        <v>34.9985</v>
      </c>
      <c r="G216" s="10">
        <f>35.2678 * CHOOSE(CONTROL!$C$9, $D$9, 100%, $F$9) + CHOOSE(CONTROL!$C$27, 0.0021, 0)</f>
        <v>35.2699</v>
      </c>
      <c r="H216" s="10">
        <f>35.133 * CHOOSE(CONTROL!$C$9, $D$9, 100%, $F$9) + CHOOSE(CONTROL!$C$27, 0.0021, 0)</f>
        <v>35.135100000000001</v>
      </c>
      <c r="I216" s="10">
        <f>35.133 * CHOOSE(CONTROL!$C$9, $D$9, 100%, $F$9) + CHOOSE(CONTROL!$C$27, 0.0021, 0)</f>
        <v>35.135100000000001</v>
      </c>
      <c r="J216" s="10">
        <f>35.133 * CHOOSE(CONTROL!$C$9, $D$9, 100%, $F$9) + CHOOSE(CONTROL!$C$27, 0.0021, 0)</f>
        <v>35.135100000000001</v>
      </c>
      <c r="K216" s="10">
        <f>35.133 * CHOOSE(CONTROL!$C$9, $D$9, 100%, $F$9) + CHOOSE(CONTROL!$C$27, 0.0021, 0)</f>
        <v>35.135100000000001</v>
      </c>
      <c r="L216" s="10"/>
    </row>
    <row r="217" spans="1:12" ht="15" x14ac:dyDescent="0.2">
      <c r="A217" s="16">
        <v>47515</v>
      </c>
      <c r="B217" s="10">
        <f>34.6241 * CHOOSE(CONTROL!$C$9, $D$9, 100%, $F$9) + CHOOSE(CONTROL!$C$27, 0.0021, 0)</f>
        <v>34.626199999999997</v>
      </c>
      <c r="C217" s="10">
        <f>34.1919 * CHOOSE(CONTROL!$C$9, $D$9, 100%, $F$9) + CHOOSE(CONTROL!$C$27, 0.0021, 0)</f>
        <v>34.193999999999996</v>
      </c>
      <c r="D217" s="10">
        <f>34.1919 * CHOOSE(CONTROL!$C$9, $D$9, 100%, $F$9) + CHOOSE(CONTROL!$C$27, 0.0021, 0)</f>
        <v>34.193999999999996</v>
      </c>
      <c r="E217" s="10">
        <f>34.0552 * CHOOSE(CONTROL!$C$9, $D$9, 100%, $F$9) + CHOOSE(CONTROL!$C$27, 0.0021, 0)</f>
        <v>34.057299999999998</v>
      </c>
      <c r="F217" s="10">
        <f>34.0552 * CHOOSE(CONTROL!$C$9, $D$9, 100%, $F$9) + CHOOSE(CONTROL!$C$27, 0.0021, 0)</f>
        <v>34.057299999999998</v>
      </c>
      <c r="G217" s="10">
        <f>34.3266 * CHOOSE(CONTROL!$C$9, $D$9, 100%, $F$9) + CHOOSE(CONTROL!$C$27, 0.0021, 0)</f>
        <v>34.328699999999998</v>
      </c>
      <c r="H217" s="10">
        <f>34.1919 * CHOOSE(CONTROL!$C$9, $D$9, 100%, $F$9) + CHOOSE(CONTROL!$C$27, 0.0021, 0)</f>
        <v>34.193999999999996</v>
      </c>
      <c r="I217" s="10">
        <f>34.1919 * CHOOSE(CONTROL!$C$9, $D$9, 100%, $F$9) + CHOOSE(CONTROL!$C$27, 0.0021, 0)</f>
        <v>34.193999999999996</v>
      </c>
      <c r="J217" s="10">
        <f>34.1919 * CHOOSE(CONTROL!$C$9, $D$9, 100%, $F$9) + CHOOSE(CONTROL!$C$27, 0.0021, 0)</f>
        <v>34.193999999999996</v>
      </c>
      <c r="K217" s="10">
        <f>34.1919 * CHOOSE(CONTROL!$C$9, $D$9, 100%, $F$9) + CHOOSE(CONTROL!$C$27, 0.0021, 0)</f>
        <v>34.193999999999996</v>
      </c>
      <c r="L217" s="10"/>
    </row>
    <row r="218" spans="1:12" ht="15" x14ac:dyDescent="0.2">
      <c r="A218" s="16">
        <v>47543</v>
      </c>
      <c r="B218" s="10">
        <f>34.2356 * CHOOSE(CONTROL!$C$9, $D$9, 100%, $F$9) + CHOOSE(CONTROL!$C$27, 0.0021, 0)</f>
        <v>34.237699999999997</v>
      </c>
      <c r="C218" s="10">
        <f>33.8034 * CHOOSE(CONTROL!$C$9, $D$9, 100%, $F$9) + CHOOSE(CONTROL!$C$27, 0.0021, 0)</f>
        <v>33.805500000000002</v>
      </c>
      <c r="D218" s="10">
        <f>33.8034 * CHOOSE(CONTROL!$C$9, $D$9, 100%, $F$9) + CHOOSE(CONTROL!$C$27, 0.0021, 0)</f>
        <v>33.805500000000002</v>
      </c>
      <c r="E218" s="10">
        <f>33.6667 * CHOOSE(CONTROL!$C$9, $D$9, 100%, $F$9) + CHOOSE(CONTROL!$C$27, 0.0021, 0)</f>
        <v>33.668799999999997</v>
      </c>
      <c r="F218" s="10">
        <f>33.6667 * CHOOSE(CONTROL!$C$9, $D$9, 100%, $F$9) + CHOOSE(CONTROL!$C$27, 0.0021, 0)</f>
        <v>33.668799999999997</v>
      </c>
      <c r="G218" s="10">
        <f>33.9381 * CHOOSE(CONTROL!$C$9, $D$9, 100%, $F$9) + CHOOSE(CONTROL!$C$27, 0.0021, 0)</f>
        <v>33.940199999999997</v>
      </c>
      <c r="H218" s="10">
        <f>33.8034 * CHOOSE(CONTROL!$C$9, $D$9, 100%, $F$9) + CHOOSE(CONTROL!$C$27, 0.0021, 0)</f>
        <v>33.805500000000002</v>
      </c>
      <c r="I218" s="10">
        <f>33.8034 * CHOOSE(CONTROL!$C$9, $D$9, 100%, $F$9) + CHOOSE(CONTROL!$C$27, 0.0021, 0)</f>
        <v>33.805500000000002</v>
      </c>
      <c r="J218" s="10">
        <f>33.8034 * CHOOSE(CONTROL!$C$9, $D$9, 100%, $F$9) + CHOOSE(CONTROL!$C$27, 0.0021, 0)</f>
        <v>33.805500000000002</v>
      </c>
      <c r="K218" s="10">
        <f>33.8034 * CHOOSE(CONTROL!$C$9, $D$9, 100%, $F$9) + CHOOSE(CONTROL!$C$27, 0.0021, 0)</f>
        <v>33.805500000000002</v>
      </c>
      <c r="L218" s="10"/>
    </row>
    <row r="219" spans="1:12" ht="15" x14ac:dyDescent="0.2">
      <c r="A219" s="16">
        <v>47574</v>
      </c>
      <c r="B219" s="10">
        <f>33.7718 * CHOOSE(CONTROL!$C$9, $D$9, 100%, $F$9) + CHOOSE(CONTROL!$C$27, 0.0021, 0)</f>
        <v>33.773899999999998</v>
      </c>
      <c r="C219" s="10">
        <f>33.3395 * CHOOSE(CONTROL!$C$9, $D$9, 100%, $F$9) + CHOOSE(CONTROL!$C$27, 0.0021, 0)</f>
        <v>33.3416</v>
      </c>
      <c r="D219" s="10">
        <f>33.3395 * CHOOSE(CONTROL!$C$9, $D$9, 100%, $F$9) + CHOOSE(CONTROL!$C$27, 0.0021, 0)</f>
        <v>33.3416</v>
      </c>
      <c r="E219" s="10">
        <f>33.2029 * CHOOSE(CONTROL!$C$9, $D$9, 100%, $F$9) + CHOOSE(CONTROL!$C$27, 0.0021, 0)</f>
        <v>33.204999999999998</v>
      </c>
      <c r="F219" s="10">
        <f>33.2029 * CHOOSE(CONTROL!$C$9, $D$9, 100%, $F$9) + CHOOSE(CONTROL!$C$27, 0.0021, 0)</f>
        <v>33.204999999999998</v>
      </c>
      <c r="G219" s="10">
        <f>33.4742 * CHOOSE(CONTROL!$C$9, $D$9, 100%, $F$9) + CHOOSE(CONTROL!$C$27, 0.0021, 0)</f>
        <v>33.476300000000002</v>
      </c>
      <c r="H219" s="10">
        <f>33.3395 * CHOOSE(CONTROL!$C$9, $D$9, 100%, $F$9) + CHOOSE(CONTROL!$C$27, 0.0021, 0)</f>
        <v>33.3416</v>
      </c>
      <c r="I219" s="10">
        <f>33.3395 * CHOOSE(CONTROL!$C$9, $D$9, 100%, $F$9) + CHOOSE(CONTROL!$C$27, 0.0021, 0)</f>
        <v>33.3416</v>
      </c>
      <c r="J219" s="10">
        <f>33.3395 * CHOOSE(CONTROL!$C$9, $D$9, 100%, $F$9) + CHOOSE(CONTROL!$C$27, 0.0021, 0)</f>
        <v>33.3416</v>
      </c>
      <c r="K219" s="10">
        <f>33.3395 * CHOOSE(CONTROL!$C$9, $D$9, 100%, $F$9) + CHOOSE(CONTROL!$C$27, 0.0021, 0)</f>
        <v>33.3416</v>
      </c>
      <c r="L219" s="10"/>
    </row>
    <row r="220" spans="1:12" ht="15" x14ac:dyDescent="0.2">
      <c r="A220" s="16">
        <v>47604</v>
      </c>
      <c r="B220" s="10">
        <f>34.4328 * CHOOSE(CONTROL!$C$9, $D$9, 100%, $F$9) + CHOOSE(CONTROL!$C$27, 0.0021, 0)</f>
        <v>34.434899999999999</v>
      </c>
      <c r="C220" s="10">
        <f>34.0006 * CHOOSE(CONTROL!$C$9, $D$9, 100%, $F$9) + CHOOSE(CONTROL!$C$27, 0.0021, 0)</f>
        <v>34.002699999999997</v>
      </c>
      <c r="D220" s="10">
        <f>34.0006 * CHOOSE(CONTROL!$C$9, $D$9, 100%, $F$9) + CHOOSE(CONTROL!$C$27, 0.0021, 0)</f>
        <v>34.002699999999997</v>
      </c>
      <c r="E220" s="10">
        <f>33.8639 * CHOOSE(CONTROL!$C$9, $D$9, 100%, $F$9) + CHOOSE(CONTROL!$C$27, 0.0021, 0)</f>
        <v>33.866</v>
      </c>
      <c r="F220" s="10">
        <f>33.8639 * CHOOSE(CONTROL!$C$9, $D$9, 100%, $F$9) + CHOOSE(CONTROL!$C$27, 0.0021, 0)</f>
        <v>33.866</v>
      </c>
      <c r="G220" s="10">
        <f>34.1353 * CHOOSE(CONTROL!$C$9, $D$9, 100%, $F$9) + CHOOSE(CONTROL!$C$27, 0.0021, 0)</f>
        <v>34.1374</v>
      </c>
      <c r="H220" s="10">
        <f>34.0006 * CHOOSE(CONTROL!$C$9, $D$9, 100%, $F$9) + CHOOSE(CONTROL!$C$27, 0.0021, 0)</f>
        <v>34.002699999999997</v>
      </c>
      <c r="I220" s="10">
        <f>34.0006 * CHOOSE(CONTROL!$C$9, $D$9, 100%, $F$9) + CHOOSE(CONTROL!$C$27, 0.0021, 0)</f>
        <v>34.002699999999997</v>
      </c>
      <c r="J220" s="10">
        <f>34.0006 * CHOOSE(CONTROL!$C$9, $D$9, 100%, $F$9) + CHOOSE(CONTROL!$C$27, 0.0021, 0)</f>
        <v>34.002699999999997</v>
      </c>
      <c r="K220" s="10">
        <f>34.0006 * CHOOSE(CONTROL!$C$9, $D$9, 100%, $F$9) + CHOOSE(CONTROL!$C$27, 0.0021, 0)</f>
        <v>34.002699999999997</v>
      </c>
      <c r="L220" s="10"/>
    </row>
    <row r="221" spans="1:12" ht="15" x14ac:dyDescent="0.2">
      <c r="A221" s="16">
        <v>47635</v>
      </c>
      <c r="B221" s="10">
        <f>34.8288 * CHOOSE(CONTROL!$C$9, $D$9, 100%, $F$9) + CHOOSE(CONTROL!$C$27, 0.0021, 0)</f>
        <v>34.8309</v>
      </c>
      <c r="C221" s="10">
        <f>34.3966 * CHOOSE(CONTROL!$C$9, $D$9, 100%, $F$9) + CHOOSE(CONTROL!$C$27, 0.0021, 0)</f>
        <v>34.398699999999998</v>
      </c>
      <c r="D221" s="10">
        <f>34.3966 * CHOOSE(CONTROL!$C$9, $D$9, 100%, $F$9) + CHOOSE(CONTROL!$C$27, 0.0021, 0)</f>
        <v>34.398699999999998</v>
      </c>
      <c r="E221" s="10">
        <f>34.2599 * CHOOSE(CONTROL!$C$9, $D$9, 100%, $F$9) + CHOOSE(CONTROL!$C$27, 0.0021, 0)</f>
        <v>34.262</v>
      </c>
      <c r="F221" s="10">
        <f>34.2599 * CHOOSE(CONTROL!$C$9, $D$9, 100%, $F$9) + CHOOSE(CONTROL!$C$27, 0.0021, 0)</f>
        <v>34.262</v>
      </c>
      <c r="G221" s="10">
        <f>34.5313 * CHOOSE(CONTROL!$C$9, $D$9, 100%, $F$9) + CHOOSE(CONTROL!$C$27, 0.0021, 0)</f>
        <v>34.5334</v>
      </c>
      <c r="H221" s="10">
        <f>34.3966 * CHOOSE(CONTROL!$C$9, $D$9, 100%, $F$9) + CHOOSE(CONTROL!$C$27, 0.0021, 0)</f>
        <v>34.398699999999998</v>
      </c>
      <c r="I221" s="10">
        <f>34.3966 * CHOOSE(CONTROL!$C$9, $D$9, 100%, $F$9) + CHOOSE(CONTROL!$C$27, 0.0021, 0)</f>
        <v>34.398699999999998</v>
      </c>
      <c r="J221" s="10">
        <f>34.3966 * CHOOSE(CONTROL!$C$9, $D$9, 100%, $F$9) + CHOOSE(CONTROL!$C$27, 0.0021, 0)</f>
        <v>34.398699999999998</v>
      </c>
      <c r="K221" s="10">
        <f>34.3966 * CHOOSE(CONTROL!$C$9, $D$9, 100%, $F$9) + CHOOSE(CONTROL!$C$27, 0.0021, 0)</f>
        <v>34.398699999999998</v>
      </c>
      <c r="L221" s="10"/>
    </row>
    <row r="222" spans="1:12" ht="15" x14ac:dyDescent="0.2">
      <c r="A222" s="16">
        <v>47665</v>
      </c>
      <c r="B222" s="10">
        <f>35.482 * CHOOSE(CONTROL!$C$9, $D$9, 100%, $F$9) + CHOOSE(CONTROL!$C$27, 0.0021, 0)</f>
        <v>35.484099999999998</v>
      </c>
      <c r="C222" s="10">
        <f>35.0498 * CHOOSE(CONTROL!$C$9, $D$9, 100%, $F$9) + CHOOSE(CONTROL!$C$27, 0.0021, 0)</f>
        <v>35.051899999999996</v>
      </c>
      <c r="D222" s="10">
        <f>35.0498 * CHOOSE(CONTROL!$C$9, $D$9, 100%, $F$9) + CHOOSE(CONTROL!$C$27, 0.0021, 0)</f>
        <v>35.051899999999996</v>
      </c>
      <c r="E222" s="10">
        <f>34.9131 * CHOOSE(CONTROL!$C$9, $D$9, 100%, $F$9) + CHOOSE(CONTROL!$C$27, 0.0021, 0)</f>
        <v>34.915199999999999</v>
      </c>
      <c r="F222" s="10">
        <f>34.9131 * CHOOSE(CONTROL!$C$9, $D$9, 100%, $F$9) + CHOOSE(CONTROL!$C$27, 0.0021, 0)</f>
        <v>34.915199999999999</v>
      </c>
      <c r="G222" s="10">
        <f>35.1845 * CHOOSE(CONTROL!$C$9, $D$9, 100%, $F$9) + CHOOSE(CONTROL!$C$27, 0.0021, 0)</f>
        <v>35.186599999999999</v>
      </c>
      <c r="H222" s="10">
        <f>35.0498 * CHOOSE(CONTROL!$C$9, $D$9, 100%, $F$9) + CHOOSE(CONTROL!$C$27, 0.0021, 0)</f>
        <v>35.051899999999996</v>
      </c>
      <c r="I222" s="10">
        <f>35.0498 * CHOOSE(CONTROL!$C$9, $D$9, 100%, $F$9) + CHOOSE(CONTROL!$C$27, 0.0021, 0)</f>
        <v>35.051899999999996</v>
      </c>
      <c r="J222" s="10">
        <f>35.0498 * CHOOSE(CONTROL!$C$9, $D$9, 100%, $F$9) + CHOOSE(CONTROL!$C$27, 0.0021, 0)</f>
        <v>35.051899999999996</v>
      </c>
      <c r="K222" s="10">
        <f>35.0498 * CHOOSE(CONTROL!$C$9, $D$9, 100%, $F$9) + CHOOSE(CONTROL!$C$27, 0.0021, 0)</f>
        <v>35.051899999999996</v>
      </c>
      <c r="L222" s="10"/>
    </row>
    <row r="223" spans="1:12" ht="15" x14ac:dyDescent="0.2">
      <c r="A223" s="16">
        <v>47696</v>
      </c>
      <c r="B223" s="10">
        <f>35.6814 * CHOOSE(CONTROL!$C$9, $D$9, 100%, $F$9) + CHOOSE(CONTROL!$C$27, 0.0021, 0)</f>
        <v>35.683499999999995</v>
      </c>
      <c r="C223" s="10">
        <f>35.2491 * CHOOSE(CONTROL!$C$9, $D$9, 100%, $F$9) + CHOOSE(CONTROL!$C$27, 0.0021, 0)</f>
        <v>35.251199999999997</v>
      </c>
      <c r="D223" s="10">
        <f>35.2491 * CHOOSE(CONTROL!$C$9, $D$9, 100%, $F$9) + CHOOSE(CONTROL!$C$27, 0.0021, 0)</f>
        <v>35.251199999999997</v>
      </c>
      <c r="E223" s="10">
        <f>35.1125 * CHOOSE(CONTROL!$C$9, $D$9, 100%, $F$9) + CHOOSE(CONTROL!$C$27, 0.0021, 0)</f>
        <v>35.114599999999996</v>
      </c>
      <c r="F223" s="10">
        <f>35.1125 * CHOOSE(CONTROL!$C$9, $D$9, 100%, $F$9) + CHOOSE(CONTROL!$C$27, 0.0021, 0)</f>
        <v>35.114599999999996</v>
      </c>
      <c r="G223" s="10">
        <f>35.3838 * CHOOSE(CONTROL!$C$9, $D$9, 100%, $F$9) + CHOOSE(CONTROL!$C$27, 0.0021, 0)</f>
        <v>35.385899999999999</v>
      </c>
      <c r="H223" s="10">
        <f>35.2491 * CHOOSE(CONTROL!$C$9, $D$9, 100%, $F$9) + CHOOSE(CONTROL!$C$27, 0.0021, 0)</f>
        <v>35.251199999999997</v>
      </c>
      <c r="I223" s="10">
        <f>35.2491 * CHOOSE(CONTROL!$C$9, $D$9, 100%, $F$9) + CHOOSE(CONTROL!$C$27, 0.0021, 0)</f>
        <v>35.251199999999997</v>
      </c>
      <c r="J223" s="10">
        <f>35.2491 * CHOOSE(CONTROL!$C$9, $D$9, 100%, $F$9) + CHOOSE(CONTROL!$C$27, 0.0021, 0)</f>
        <v>35.251199999999997</v>
      </c>
      <c r="K223" s="10">
        <f>35.2491 * CHOOSE(CONTROL!$C$9, $D$9, 100%, $F$9) + CHOOSE(CONTROL!$C$27, 0.0021, 0)</f>
        <v>35.251199999999997</v>
      </c>
      <c r="L223" s="10"/>
    </row>
    <row r="224" spans="1:12" ht="15" x14ac:dyDescent="0.2">
      <c r="A224" s="16">
        <v>47727</v>
      </c>
      <c r="B224" s="10">
        <f>36.3603 * CHOOSE(CONTROL!$C$9, $D$9, 100%, $F$9) + CHOOSE(CONTROL!$C$27, 0.0021, 0)</f>
        <v>36.362400000000001</v>
      </c>
      <c r="C224" s="10">
        <f>35.9281 * CHOOSE(CONTROL!$C$9, $D$9, 100%, $F$9) + CHOOSE(CONTROL!$C$27, 0.0021, 0)</f>
        <v>35.930199999999999</v>
      </c>
      <c r="D224" s="10">
        <f>35.9281 * CHOOSE(CONTROL!$C$9, $D$9, 100%, $F$9) + CHOOSE(CONTROL!$C$27, 0.0021, 0)</f>
        <v>35.930199999999999</v>
      </c>
      <c r="E224" s="10">
        <f>35.7914 * CHOOSE(CONTROL!$C$9, $D$9, 100%, $F$9) + CHOOSE(CONTROL!$C$27, 0.0021, 0)</f>
        <v>35.793500000000002</v>
      </c>
      <c r="F224" s="10">
        <f>35.7914 * CHOOSE(CONTROL!$C$9, $D$9, 100%, $F$9) + CHOOSE(CONTROL!$C$27, 0.0021, 0)</f>
        <v>35.793500000000002</v>
      </c>
      <c r="G224" s="10">
        <f>36.0628 * CHOOSE(CONTROL!$C$9, $D$9, 100%, $F$9) + CHOOSE(CONTROL!$C$27, 0.0021, 0)</f>
        <v>36.064900000000002</v>
      </c>
      <c r="H224" s="10">
        <f>35.9281 * CHOOSE(CONTROL!$C$9, $D$9, 100%, $F$9) + CHOOSE(CONTROL!$C$27, 0.0021, 0)</f>
        <v>35.930199999999999</v>
      </c>
      <c r="I224" s="10">
        <f>35.9281 * CHOOSE(CONTROL!$C$9, $D$9, 100%, $F$9) + CHOOSE(CONTROL!$C$27, 0.0021, 0)</f>
        <v>35.930199999999999</v>
      </c>
      <c r="J224" s="10">
        <f>35.9281 * CHOOSE(CONTROL!$C$9, $D$9, 100%, $F$9) + CHOOSE(CONTROL!$C$27, 0.0021, 0)</f>
        <v>35.930199999999999</v>
      </c>
      <c r="K224" s="10">
        <f>35.9281 * CHOOSE(CONTROL!$C$9, $D$9, 100%, $F$9) + CHOOSE(CONTROL!$C$27, 0.0021, 0)</f>
        <v>35.930199999999999</v>
      </c>
      <c r="L224" s="10"/>
    </row>
    <row r="225" spans="1:12" ht="15" x14ac:dyDescent="0.2">
      <c r="A225" s="16">
        <v>47757</v>
      </c>
      <c r="B225" s="10">
        <f>37.2198 * CHOOSE(CONTROL!$C$9, $D$9, 100%, $F$9) + CHOOSE(CONTROL!$C$27, 0.0021, 0)</f>
        <v>37.221899999999998</v>
      </c>
      <c r="C225" s="10">
        <f>36.7875 * CHOOSE(CONTROL!$C$9, $D$9, 100%, $F$9) + CHOOSE(CONTROL!$C$27, 0.0021, 0)</f>
        <v>36.7896</v>
      </c>
      <c r="D225" s="10">
        <f>36.7875 * CHOOSE(CONTROL!$C$9, $D$9, 100%, $F$9) + CHOOSE(CONTROL!$C$27, 0.0021, 0)</f>
        <v>36.7896</v>
      </c>
      <c r="E225" s="10">
        <f>36.6509 * CHOOSE(CONTROL!$C$9, $D$9, 100%, $F$9) + CHOOSE(CONTROL!$C$27, 0.0021, 0)</f>
        <v>36.652999999999999</v>
      </c>
      <c r="F225" s="10">
        <f>36.6509 * CHOOSE(CONTROL!$C$9, $D$9, 100%, $F$9) + CHOOSE(CONTROL!$C$27, 0.0021, 0)</f>
        <v>36.652999999999999</v>
      </c>
      <c r="G225" s="10">
        <f>36.9223 * CHOOSE(CONTROL!$C$9, $D$9, 100%, $F$9) + CHOOSE(CONTROL!$C$27, 0.0021, 0)</f>
        <v>36.924399999999999</v>
      </c>
      <c r="H225" s="10">
        <f>36.7875 * CHOOSE(CONTROL!$C$9, $D$9, 100%, $F$9) + CHOOSE(CONTROL!$C$27, 0.0021, 0)</f>
        <v>36.7896</v>
      </c>
      <c r="I225" s="10">
        <f>36.7875 * CHOOSE(CONTROL!$C$9, $D$9, 100%, $F$9) + CHOOSE(CONTROL!$C$27, 0.0021, 0)</f>
        <v>36.7896</v>
      </c>
      <c r="J225" s="10">
        <f>36.7875 * CHOOSE(CONTROL!$C$9, $D$9, 100%, $F$9) + CHOOSE(CONTROL!$C$27, 0.0021, 0)</f>
        <v>36.7896</v>
      </c>
      <c r="K225" s="10">
        <f>36.7875 * CHOOSE(CONTROL!$C$9, $D$9, 100%, $F$9) + CHOOSE(CONTROL!$C$27, 0.0021, 0)</f>
        <v>36.7896</v>
      </c>
      <c r="L225" s="10"/>
    </row>
    <row r="226" spans="1:12" ht="15" x14ac:dyDescent="0.2">
      <c r="A226" s="16">
        <v>47788</v>
      </c>
      <c r="B226" s="10">
        <f>37.3005 * CHOOSE(CONTROL!$C$9, $D$9, 100%, $F$9) + CHOOSE(CONTROL!$C$27, 0.0021, 0)</f>
        <v>37.302599999999998</v>
      </c>
      <c r="C226" s="10">
        <f>36.8682 * CHOOSE(CONTROL!$C$9, $D$9, 100%, $F$9) + CHOOSE(CONTROL!$C$27, 0.0021, 0)</f>
        <v>36.8703</v>
      </c>
      <c r="D226" s="10">
        <f>36.8682 * CHOOSE(CONTROL!$C$9, $D$9, 100%, $F$9) + CHOOSE(CONTROL!$C$27, 0.0021, 0)</f>
        <v>36.8703</v>
      </c>
      <c r="E226" s="10">
        <f>36.7316 * CHOOSE(CONTROL!$C$9, $D$9, 100%, $F$9) + CHOOSE(CONTROL!$C$27, 0.0021, 0)</f>
        <v>36.733699999999999</v>
      </c>
      <c r="F226" s="10">
        <f>36.7316 * CHOOSE(CONTROL!$C$9, $D$9, 100%, $F$9) + CHOOSE(CONTROL!$C$27, 0.0021, 0)</f>
        <v>36.733699999999999</v>
      </c>
      <c r="G226" s="10">
        <f>37.0029 * CHOOSE(CONTROL!$C$9, $D$9, 100%, $F$9) + CHOOSE(CONTROL!$C$27, 0.0021, 0)</f>
        <v>37.004999999999995</v>
      </c>
      <c r="H226" s="10">
        <f>36.8682 * CHOOSE(CONTROL!$C$9, $D$9, 100%, $F$9) + CHOOSE(CONTROL!$C$27, 0.0021, 0)</f>
        <v>36.8703</v>
      </c>
      <c r="I226" s="10">
        <f>36.8682 * CHOOSE(CONTROL!$C$9, $D$9, 100%, $F$9) + CHOOSE(CONTROL!$C$27, 0.0021, 0)</f>
        <v>36.8703</v>
      </c>
      <c r="J226" s="10">
        <f>36.8682 * CHOOSE(CONTROL!$C$9, $D$9, 100%, $F$9) + CHOOSE(CONTROL!$C$27, 0.0021, 0)</f>
        <v>36.8703</v>
      </c>
      <c r="K226" s="10">
        <f>36.8682 * CHOOSE(CONTROL!$C$9, $D$9, 100%, $F$9) + CHOOSE(CONTROL!$C$27, 0.0021, 0)</f>
        <v>36.8703</v>
      </c>
      <c r="L226" s="10"/>
    </row>
    <row r="227" spans="1:12" ht="15" x14ac:dyDescent="0.2">
      <c r="A227" s="16">
        <v>47818</v>
      </c>
      <c r="B227" s="10">
        <f>36.614 * CHOOSE(CONTROL!$C$9, $D$9, 100%, $F$9) + CHOOSE(CONTROL!$C$27, 0.0021, 0)</f>
        <v>36.616099999999996</v>
      </c>
      <c r="C227" s="10">
        <f>36.1818 * CHOOSE(CONTROL!$C$9, $D$9, 100%, $F$9) + CHOOSE(CONTROL!$C$27, 0.0021, 0)</f>
        <v>36.183900000000001</v>
      </c>
      <c r="D227" s="10">
        <f>36.1818 * CHOOSE(CONTROL!$C$9, $D$9, 100%, $F$9) + CHOOSE(CONTROL!$C$27, 0.0021, 0)</f>
        <v>36.183900000000001</v>
      </c>
      <c r="E227" s="10">
        <f>36.0451 * CHOOSE(CONTROL!$C$9, $D$9, 100%, $F$9) + CHOOSE(CONTROL!$C$27, 0.0021, 0)</f>
        <v>36.047199999999997</v>
      </c>
      <c r="F227" s="10">
        <f>36.0451 * CHOOSE(CONTROL!$C$9, $D$9, 100%, $F$9) + CHOOSE(CONTROL!$C$27, 0.0021, 0)</f>
        <v>36.047199999999997</v>
      </c>
      <c r="G227" s="10">
        <f>36.3165 * CHOOSE(CONTROL!$C$9, $D$9, 100%, $F$9) + CHOOSE(CONTROL!$C$27, 0.0021, 0)</f>
        <v>36.318599999999996</v>
      </c>
      <c r="H227" s="10">
        <f>36.1818 * CHOOSE(CONTROL!$C$9, $D$9, 100%, $F$9) + CHOOSE(CONTROL!$C$27, 0.0021, 0)</f>
        <v>36.183900000000001</v>
      </c>
      <c r="I227" s="10">
        <f>36.1818 * CHOOSE(CONTROL!$C$9, $D$9, 100%, $F$9) + CHOOSE(CONTROL!$C$27, 0.0021, 0)</f>
        <v>36.183900000000001</v>
      </c>
      <c r="J227" s="10">
        <f>36.1818 * CHOOSE(CONTROL!$C$9, $D$9, 100%, $F$9) + CHOOSE(CONTROL!$C$27, 0.0021, 0)</f>
        <v>36.183900000000001</v>
      </c>
      <c r="K227" s="10">
        <f>36.1818 * CHOOSE(CONTROL!$C$9, $D$9, 100%, $F$9) + CHOOSE(CONTROL!$C$27, 0.0021, 0)</f>
        <v>36.183900000000001</v>
      </c>
      <c r="L227" s="10"/>
    </row>
    <row r="228" spans="1:12" ht="15" x14ac:dyDescent="0.2">
      <c r="A228" s="16">
        <v>47849</v>
      </c>
      <c r="B228" s="10">
        <f>36.1644 * CHOOSE(CONTROL!$C$9, $D$9, 100%, $F$9) + CHOOSE(CONTROL!$C$27, 0.0021, 0)</f>
        <v>36.166499999999999</v>
      </c>
      <c r="C228" s="10">
        <f>35.7321 * CHOOSE(CONTROL!$C$9, $D$9, 100%, $F$9) + CHOOSE(CONTROL!$C$27, 0.0021, 0)</f>
        <v>35.734200000000001</v>
      </c>
      <c r="D228" s="10">
        <f>35.7321 * CHOOSE(CONTROL!$C$9, $D$9, 100%, $F$9) + CHOOSE(CONTROL!$C$27, 0.0021, 0)</f>
        <v>35.734200000000001</v>
      </c>
      <c r="E228" s="10">
        <f>35.5955 * CHOOSE(CONTROL!$C$9, $D$9, 100%, $F$9) + CHOOSE(CONTROL!$C$27, 0.0021, 0)</f>
        <v>35.5976</v>
      </c>
      <c r="F228" s="10">
        <f>35.5955 * CHOOSE(CONTROL!$C$9, $D$9, 100%, $F$9) + CHOOSE(CONTROL!$C$27, 0.0021, 0)</f>
        <v>35.5976</v>
      </c>
      <c r="G228" s="10">
        <f>35.8668 * CHOOSE(CONTROL!$C$9, $D$9, 100%, $F$9) + CHOOSE(CONTROL!$C$27, 0.0021, 0)</f>
        <v>35.868899999999996</v>
      </c>
      <c r="H228" s="10">
        <f>35.7321 * CHOOSE(CONTROL!$C$9, $D$9, 100%, $F$9) + CHOOSE(CONTROL!$C$27, 0.0021, 0)</f>
        <v>35.734200000000001</v>
      </c>
      <c r="I228" s="10">
        <f>35.7321 * CHOOSE(CONTROL!$C$9, $D$9, 100%, $F$9) + CHOOSE(CONTROL!$C$27, 0.0021, 0)</f>
        <v>35.734200000000001</v>
      </c>
      <c r="J228" s="10">
        <f>35.7321 * CHOOSE(CONTROL!$C$9, $D$9, 100%, $F$9) + CHOOSE(CONTROL!$C$27, 0.0021, 0)</f>
        <v>35.734200000000001</v>
      </c>
      <c r="K228" s="10">
        <f>35.7321 * CHOOSE(CONTROL!$C$9, $D$9, 100%, $F$9) + CHOOSE(CONTROL!$C$27, 0.0021, 0)</f>
        <v>35.734200000000001</v>
      </c>
      <c r="L228" s="10"/>
    </row>
    <row r="229" spans="1:12" ht="15" x14ac:dyDescent="0.2">
      <c r="A229" s="16">
        <v>47880</v>
      </c>
      <c r="B229" s="10">
        <f>35.2063 * CHOOSE(CONTROL!$C$9, $D$9, 100%, $F$9) + CHOOSE(CONTROL!$C$27, 0.0021, 0)</f>
        <v>35.208399999999997</v>
      </c>
      <c r="C229" s="10">
        <f>34.774 * CHOOSE(CONTROL!$C$9, $D$9, 100%, $F$9) + CHOOSE(CONTROL!$C$27, 0.0021, 0)</f>
        <v>34.7761</v>
      </c>
      <c r="D229" s="10">
        <f>34.774 * CHOOSE(CONTROL!$C$9, $D$9, 100%, $F$9) + CHOOSE(CONTROL!$C$27, 0.0021, 0)</f>
        <v>34.7761</v>
      </c>
      <c r="E229" s="10">
        <f>34.6374 * CHOOSE(CONTROL!$C$9, $D$9, 100%, $F$9) + CHOOSE(CONTROL!$C$27, 0.0021, 0)</f>
        <v>34.639499999999998</v>
      </c>
      <c r="F229" s="10">
        <f>34.6374 * CHOOSE(CONTROL!$C$9, $D$9, 100%, $F$9) + CHOOSE(CONTROL!$C$27, 0.0021, 0)</f>
        <v>34.639499999999998</v>
      </c>
      <c r="G229" s="10">
        <f>34.9087 * CHOOSE(CONTROL!$C$9, $D$9, 100%, $F$9) + CHOOSE(CONTROL!$C$27, 0.0021, 0)</f>
        <v>34.910800000000002</v>
      </c>
      <c r="H229" s="10">
        <f>34.774 * CHOOSE(CONTROL!$C$9, $D$9, 100%, $F$9) + CHOOSE(CONTROL!$C$27, 0.0021, 0)</f>
        <v>34.7761</v>
      </c>
      <c r="I229" s="10">
        <f>34.774 * CHOOSE(CONTROL!$C$9, $D$9, 100%, $F$9) + CHOOSE(CONTROL!$C$27, 0.0021, 0)</f>
        <v>34.7761</v>
      </c>
      <c r="J229" s="10">
        <f>34.774 * CHOOSE(CONTROL!$C$9, $D$9, 100%, $F$9) + CHOOSE(CONTROL!$C$27, 0.0021, 0)</f>
        <v>34.7761</v>
      </c>
      <c r="K229" s="10">
        <f>34.774 * CHOOSE(CONTROL!$C$9, $D$9, 100%, $F$9) + CHOOSE(CONTROL!$C$27, 0.0021, 0)</f>
        <v>34.7761</v>
      </c>
      <c r="L229" s="10"/>
    </row>
    <row r="230" spans="1:12" ht="15" x14ac:dyDescent="0.2">
      <c r="A230" s="16">
        <v>47908</v>
      </c>
      <c r="B230" s="10">
        <f>34.8108 * CHOOSE(CONTROL!$C$9, $D$9, 100%, $F$9) + CHOOSE(CONTROL!$C$27, 0.0021, 0)</f>
        <v>34.812899999999999</v>
      </c>
      <c r="C230" s="10">
        <f>34.3785 * CHOOSE(CONTROL!$C$9, $D$9, 100%, $F$9) + CHOOSE(CONTROL!$C$27, 0.0021, 0)</f>
        <v>34.380600000000001</v>
      </c>
      <c r="D230" s="10">
        <f>34.3785 * CHOOSE(CONTROL!$C$9, $D$9, 100%, $F$9) + CHOOSE(CONTROL!$C$27, 0.0021, 0)</f>
        <v>34.380600000000001</v>
      </c>
      <c r="E230" s="10">
        <f>34.2419 * CHOOSE(CONTROL!$C$9, $D$9, 100%, $F$9) + CHOOSE(CONTROL!$C$27, 0.0021, 0)</f>
        <v>34.244</v>
      </c>
      <c r="F230" s="10">
        <f>34.2419 * CHOOSE(CONTROL!$C$9, $D$9, 100%, $F$9) + CHOOSE(CONTROL!$C$27, 0.0021, 0)</f>
        <v>34.244</v>
      </c>
      <c r="G230" s="10">
        <f>34.5132 * CHOOSE(CONTROL!$C$9, $D$9, 100%, $F$9) + CHOOSE(CONTROL!$C$27, 0.0021, 0)</f>
        <v>34.515299999999996</v>
      </c>
      <c r="H230" s="10">
        <f>34.3785 * CHOOSE(CONTROL!$C$9, $D$9, 100%, $F$9) + CHOOSE(CONTROL!$C$27, 0.0021, 0)</f>
        <v>34.380600000000001</v>
      </c>
      <c r="I230" s="10">
        <f>34.3785 * CHOOSE(CONTROL!$C$9, $D$9, 100%, $F$9) + CHOOSE(CONTROL!$C$27, 0.0021, 0)</f>
        <v>34.380600000000001</v>
      </c>
      <c r="J230" s="10">
        <f>34.3785 * CHOOSE(CONTROL!$C$9, $D$9, 100%, $F$9) + CHOOSE(CONTROL!$C$27, 0.0021, 0)</f>
        <v>34.380600000000001</v>
      </c>
      <c r="K230" s="10">
        <f>34.3785 * CHOOSE(CONTROL!$C$9, $D$9, 100%, $F$9) + CHOOSE(CONTROL!$C$27, 0.0021, 0)</f>
        <v>34.380600000000001</v>
      </c>
      <c r="L230" s="10"/>
    </row>
    <row r="231" spans="1:12" ht="15" x14ac:dyDescent="0.2">
      <c r="A231" s="16">
        <v>47939</v>
      </c>
      <c r="B231" s="10">
        <f>34.3385 * CHOOSE(CONTROL!$C$9, $D$9, 100%, $F$9) + CHOOSE(CONTROL!$C$27, 0.0021, 0)</f>
        <v>34.340600000000002</v>
      </c>
      <c r="C231" s="10">
        <f>33.9063 * CHOOSE(CONTROL!$C$9, $D$9, 100%, $F$9) + CHOOSE(CONTROL!$C$27, 0.0021, 0)</f>
        <v>33.9084</v>
      </c>
      <c r="D231" s="10">
        <f>33.9063 * CHOOSE(CONTROL!$C$9, $D$9, 100%, $F$9) + CHOOSE(CONTROL!$C$27, 0.0021, 0)</f>
        <v>33.9084</v>
      </c>
      <c r="E231" s="10">
        <f>33.7696 * CHOOSE(CONTROL!$C$9, $D$9, 100%, $F$9) + CHOOSE(CONTROL!$C$27, 0.0021, 0)</f>
        <v>33.771699999999996</v>
      </c>
      <c r="F231" s="10">
        <f>33.7696 * CHOOSE(CONTROL!$C$9, $D$9, 100%, $F$9) + CHOOSE(CONTROL!$C$27, 0.0021, 0)</f>
        <v>33.771699999999996</v>
      </c>
      <c r="G231" s="10">
        <f>34.041 * CHOOSE(CONTROL!$C$9, $D$9, 100%, $F$9) + CHOOSE(CONTROL!$C$27, 0.0021, 0)</f>
        <v>34.043099999999995</v>
      </c>
      <c r="H231" s="10">
        <f>33.9063 * CHOOSE(CONTROL!$C$9, $D$9, 100%, $F$9) + CHOOSE(CONTROL!$C$27, 0.0021, 0)</f>
        <v>33.9084</v>
      </c>
      <c r="I231" s="10">
        <f>33.9063 * CHOOSE(CONTROL!$C$9, $D$9, 100%, $F$9) + CHOOSE(CONTROL!$C$27, 0.0021, 0)</f>
        <v>33.9084</v>
      </c>
      <c r="J231" s="10">
        <f>33.9063 * CHOOSE(CONTROL!$C$9, $D$9, 100%, $F$9) + CHOOSE(CONTROL!$C$27, 0.0021, 0)</f>
        <v>33.9084</v>
      </c>
      <c r="K231" s="10">
        <f>33.9063 * CHOOSE(CONTROL!$C$9, $D$9, 100%, $F$9) + CHOOSE(CONTROL!$C$27, 0.0021, 0)</f>
        <v>33.9084</v>
      </c>
      <c r="L231" s="10"/>
    </row>
    <row r="232" spans="1:12" ht="15" x14ac:dyDescent="0.2">
      <c r="A232" s="16">
        <v>47969</v>
      </c>
      <c r="B232" s="10">
        <f>35.0115 * CHOOSE(CONTROL!$C$9, $D$9, 100%, $F$9) + CHOOSE(CONTROL!$C$27, 0.0021, 0)</f>
        <v>35.013599999999997</v>
      </c>
      <c r="C232" s="10">
        <f>34.5793 * CHOOSE(CONTROL!$C$9, $D$9, 100%, $F$9) + CHOOSE(CONTROL!$C$27, 0.0021, 0)</f>
        <v>34.581400000000002</v>
      </c>
      <c r="D232" s="10">
        <f>34.5793 * CHOOSE(CONTROL!$C$9, $D$9, 100%, $F$9) + CHOOSE(CONTROL!$C$27, 0.0021, 0)</f>
        <v>34.581400000000002</v>
      </c>
      <c r="E232" s="10">
        <f>34.4426 * CHOOSE(CONTROL!$C$9, $D$9, 100%, $F$9) + CHOOSE(CONTROL!$C$27, 0.0021, 0)</f>
        <v>34.444699999999997</v>
      </c>
      <c r="F232" s="10">
        <f>34.4426 * CHOOSE(CONTROL!$C$9, $D$9, 100%, $F$9) + CHOOSE(CONTROL!$C$27, 0.0021, 0)</f>
        <v>34.444699999999997</v>
      </c>
      <c r="G232" s="10">
        <f>34.714 * CHOOSE(CONTROL!$C$9, $D$9, 100%, $F$9) + CHOOSE(CONTROL!$C$27, 0.0021, 0)</f>
        <v>34.716099999999997</v>
      </c>
      <c r="H232" s="10">
        <f>34.5793 * CHOOSE(CONTROL!$C$9, $D$9, 100%, $F$9) + CHOOSE(CONTROL!$C$27, 0.0021, 0)</f>
        <v>34.581400000000002</v>
      </c>
      <c r="I232" s="10">
        <f>34.5793 * CHOOSE(CONTROL!$C$9, $D$9, 100%, $F$9) + CHOOSE(CONTROL!$C$27, 0.0021, 0)</f>
        <v>34.581400000000002</v>
      </c>
      <c r="J232" s="10">
        <f>34.5793 * CHOOSE(CONTROL!$C$9, $D$9, 100%, $F$9) + CHOOSE(CONTROL!$C$27, 0.0021, 0)</f>
        <v>34.581400000000002</v>
      </c>
      <c r="K232" s="10">
        <f>34.5793 * CHOOSE(CONTROL!$C$9, $D$9, 100%, $F$9) + CHOOSE(CONTROL!$C$27, 0.0021, 0)</f>
        <v>34.581400000000002</v>
      </c>
      <c r="L232" s="10"/>
    </row>
    <row r="233" spans="1:12" ht="15" x14ac:dyDescent="0.2">
      <c r="A233" s="16">
        <v>48000</v>
      </c>
      <c r="B233" s="10">
        <f>35.4146 * CHOOSE(CONTROL!$C$9, $D$9, 100%, $F$9) + CHOOSE(CONTROL!$C$27, 0.0021, 0)</f>
        <v>35.416699999999999</v>
      </c>
      <c r="C233" s="10">
        <f>34.9824 * CHOOSE(CONTROL!$C$9, $D$9, 100%, $F$9) + CHOOSE(CONTROL!$C$27, 0.0021, 0)</f>
        <v>34.984499999999997</v>
      </c>
      <c r="D233" s="10">
        <f>34.9824 * CHOOSE(CONTROL!$C$9, $D$9, 100%, $F$9) + CHOOSE(CONTROL!$C$27, 0.0021, 0)</f>
        <v>34.984499999999997</v>
      </c>
      <c r="E233" s="10">
        <f>34.8457 * CHOOSE(CONTROL!$C$9, $D$9, 100%, $F$9) + CHOOSE(CONTROL!$C$27, 0.0021, 0)</f>
        <v>34.847799999999999</v>
      </c>
      <c r="F233" s="10">
        <f>34.8457 * CHOOSE(CONTROL!$C$9, $D$9, 100%, $F$9) + CHOOSE(CONTROL!$C$27, 0.0021, 0)</f>
        <v>34.847799999999999</v>
      </c>
      <c r="G233" s="10">
        <f>35.1171 * CHOOSE(CONTROL!$C$9, $D$9, 100%, $F$9) + CHOOSE(CONTROL!$C$27, 0.0021, 0)</f>
        <v>35.119199999999999</v>
      </c>
      <c r="H233" s="10">
        <f>34.9824 * CHOOSE(CONTROL!$C$9, $D$9, 100%, $F$9) + CHOOSE(CONTROL!$C$27, 0.0021, 0)</f>
        <v>34.984499999999997</v>
      </c>
      <c r="I233" s="10">
        <f>34.9824 * CHOOSE(CONTROL!$C$9, $D$9, 100%, $F$9) + CHOOSE(CONTROL!$C$27, 0.0021, 0)</f>
        <v>34.984499999999997</v>
      </c>
      <c r="J233" s="10">
        <f>34.9824 * CHOOSE(CONTROL!$C$9, $D$9, 100%, $F$9) + CHOOSE(CONTROL!$C$27, 0.0021, 0)</f>
        <v>34.984499999999997</v>
      </c>
      <c r="K233" s="10">
        <f>34.9824 * CHOOSE(CONTROL!$C$9, $D$9, 100%, $F$9) + CHOOSE(CONTROL!$C$27, 0.0021, 0)</f>
        <v>34.984499999999997</v>
      </c>
      <c r="L233" s="10"/>
    </row>
    <row r="234" spans="1:12" ht="15" x14ac:dyDescent="0.2">
      <c r="A234" s="16">
        <v>48030</v>
      </c>
      <c r="B234" s="10">
        <f>36.0796 * CHOOSE(CONTROL!$C$9, $D$9, 100%, $F$9) + CHOOSE(CONTROL!$C$27, 0.0021, 0)</f>
        <v>36.081699999999998</v>
      </c>
      <c r="C234" s="10">
        <f>35.6473 * CHOOSE(CONTROL!$C$9, $D$9, 100%, $F$9) + CHOOSE(CONTROL!$C$27, 0.0021, 0)</f>
        <v>35.6494</v>
      </c>
      <c r="D234" s="10">
        <f>35.6473 * CHOOSE(CONTROL!$C$9, $D$9, 100%, $F$9) + CHOOSE(CONTROL!$C$27, 0.0021, 0)</f>
        <v>35.6494</v>
      </c>
      <c r="E234" s="10">
        <f>35.5107 * CHOOSE(CONTROL!$C$9, $D$9, 100%, $F$9) + CHOOSE(CONTROL!$C$27, 0.0021, 0)</f>
        <v>35.512799999999999</v>
      </c>
      <c r="F234" s="10">
        <f>35.5107 * CHOOSE(CONTROL!$C$9, $D$9, 100%, $F$9) + CHOOSE(CONTROL!$C$27, 0.0021, 0)</f>
        <v>35.512799999999999</v>
      </c>
      <c r="G234" s="10">
        <f>35.782 * CHOOSE(CONTROL!$C$9, $D$9, 100%, $F$9) + CHOOSE(CONTROL!$C$27, 0.0021, 0)</f>
        <v>35.784099999999995</v>
      </c>
      <c r="H234" s="10">
        <f>35.6473 * CHOOSE(CONTROL!$C$9, $D$9, 100%, $F$9) + CHOOSE(CONTROL!$C$27, 0.0021, 0)</f>
        <v>35.6494</v>
      </c>
      <c r="I234" s="10">
        <f>35.6473 * CHOOSE(CONTROL!$C$9, $D$9, 100%, $F$9) + CHOOSE(CONTROL!$C$27, 0.0021, 0)</f>
        <v>35.6494</v>
      </c>
      <c r="J234" s="10">
        <f>35.6473 * CHOOSE(CONTROL!$C$9, $D$9, 100%, $F$9) + CHOOSE(CONTROL!$C$27, 0.0021, 0)</f>
        <v>35.6494</v>
      </c>
      <c r="K234" s="10">
        <f>35.6473 * CHOOSE(CONTROL!$C$9, $D$9, 100%, $F$9) + CHOOSE(CONTROL!$C$27, 0.0021, 0)</f>
        <v>35.6494</v>
      </c>
      <c r="L234" s="10"/>
    </row>
    <row r="235" spans="1:12" ht="15" x14ac:dyDescent="0.2">
      <c r="A235" s="16">
        <v>48061</v>
      </c>
      <c r="B235" s="10">
        <f>36.2825 * CHOOSE(CONTROL!$C$9, $D$9, 100%, $F$9) + CHOOSE(CONTROL!$C$27, 0.0021, 0)</f>
        <v>36.284599999999998</v>
      </c>
      <c r="C235" s="10">
        <f>35.8503 * CHOOSE(CONTROL!$C$9, $D$9, 100%, $F$9) + CHOOSE(CONTROL!$C$27, 0.0021, 0)</f>
        <v>35.852399999999996</v>
      </c>
      <c r="D235" s="10">
        <f>35.8503 * CHOOSE(CONTROL!$C$9, $D$9, 100%, $F$9) + CHOOSE(CONTROL!$C$27, 0.0021, 0)</f>
        <v>35.852399999999996</v>
      </c>
      <c r="E235" s="10">
        <f>35.7136 * CHOOSE(CONTROL!$C$9, $D$9, 100%, $F$9) + CHOOSE(CONTROL!$C$27, 0.0021, 0)</f>
        <v>35.715699999999998</v>
      </c>
      <c r="F235" s="10">
        <f>35.7136 * CHOOSE(CONTROL!$C$9, $D$9, 100%, $F$9) + CHOOSE(CONTROL!$C$27, 0.0021, 0)</f>
        <v>35.715699999999998</v>
      </c>
      <c r="G235" s="10">
        <f>35.985 * CHOOSE(CONTROL!$C$9, $D$9, 100%, $F$9) + CHOOSE(CONTROL!$C$27, 0.0021, 0)</f>
        <v>35.987099999999998</v>
      </c>
      <c r="H235" s="10">
        <f>35.8503 * CHOOSE(CONTROL!$C$9, $D$9, 100%, $F$9) + CHOOSE(CONTROL!$C$27, 0.0021, 0)</f>
        <v>35.852399999999996</v>
      </c>
      <c r="I235" s="10">
        <f>35.8503 * CHOOSE(CONTROL!$C$9, $D$9, 100%, $F$9) + CHOOSE(CONTROL!$C$27, 0.0021, 0)</f>
        <v>35.852399999999996</v>
      </c>
      <c r="J235" s="10">
        <f>35.8503 * CHOOSE(CONTROL!$C$9, $D$9, 100%, $F$9) + CHOOSE(CONTROL!$C$27, 0.0021, 0)</f>
        <v>35.852399999999996</v>
      </c>
      <c r="K235" s="10">
        <f>35.8503 * CHOOSE(CONTROL!$C$9, $D$9, 100%, $F$9) + CHOOSE(CONTROL!$C$27, 0.0021, 0)</f>
        <v>35.852399999999996</v>
      </c>
      <c r="L235" s="10"/>
    </row>
    <row r="236" spans="1:12" ht="15" x14ac:dyDescent="0.2">
      <c r="A236" s="16">
        <v>48092</v>
      </c>
      <c r="B236" s="10">
        <f>36.9737 * CHOOSE(CONTROL!$C$9, $D$9, 100%, $F$9) + CHOOSE(CONTROL!$C$27, 0.0021, 0)</f>
        <v>36.9758</v>
      </c>
      <c r="C236" s="10">
        <f>36.5415 * CHOOSE(CONTROL!$C$9, $D$9, 100%, $F$9) + CHOOSE(CONTROL!$C$27, 0.0021, 0)</f>
        <v>36.543599999999998</v>
      </c>
      <c r="D236" s="10">
        <f>36.5415 * CHOOSE(CONTROL!$C$9, $D$9, 100%, $F$9) + CHOOSE(CONTROL!$C$27, 0.0021, 0)</f>
        <v>36.543599999999998</v>
      </c>
      <c r="E236" s="10">
        <f>36.4048 * CHOOSE(CONTROL!$C$9, $D$9, 100%, $F$9) + CHOOSE(CONTROL!$C$27, 0.0021, 0)</f>
        <v>36.4069</v>
      </c>
      <c r="F236" s="10">
        <f>36.4048 * CHOOSE(CONTROL!$C$9, $D$9, 100%, $F$9) + CHOOSE(CONTROL!$C$27, 0.0021, 0)</f>
        <v>36.4069</v>
      </c>
      <c r="G236" s="10">
        <f>36.6762 * CHOOSE(CONTROL!$C$9, $D$9, 100%, $F$9) + CHOOSE(CONTROL!$C$27, 0.0021, 0)</f>
        <v>36.6783</v>
      </c>
      <c r="H236" s="10">
        <f>36.5415 * CHOOSE(CONTROL!$C$9, $D$9, 100%, $F$9) + CHOOSE(CONTROL!$C$27, 0.0021, 0)</f>
        <v>36.543599999999998</v>
      </c>
      <c r="I236" s="10">
        <f>36.5415 * CHOOSE(CONTROL!$C$9, $D$9, 100%, $F$9) + CHOOSE(CONTROL!$C$27, 0.0021, 0)</f>
        <v>36.543599999999998</v>
      </c>
      <c r="J236" s="10">
        <f>36.5415 * CHOOSE(CONTROL!$C$9, $D$9, 100%, $F$9) + CHOOSE(CONTROL!$C$27, 0.0021, 0)</f>
        <v>36.543599999999998</v>
      </c>
      <c r="K236" s="10">
        <f>36.5415 * CHOOSE(CONTROL!$C$9, $D$9, 100%, $F$9) + CHOOSE(CONTROL!$C$27, 0.0021, 0)</f>
        <v>36.543599999999998</v>
      </c>
      <c r="L236" s="10"/>
    </row>
    <row r="237" spans="1:12" ht="15" x14ac:dyDescent="0.2">
      <c r="A237" s="16">
        <v>48122</v>
      </c>
      <c r="B237" s="10">
        <f>37.8487 * CHOOSE(CONTROL!$C$9, $D$9, 100%, $F$9) + CHOOSE(CONTROL!$C$27, 0.0021, 0)</f>
        <v>37.8508</v>
      </c>
      <c r="C237" s="10">
        <f>37.4164 * CHOOSE(CONTROL!$C$9, $D$9, 100%, $F$9) + CHOOSE(CONTROL!$C$27, 0.0021, 0)</f>
        <v>37.418500000000002</v>
      </c>
      <c r="D237" s="10">
        <f>37.4164 * CHOOSE(CONTROL!$C$9, $D$9, 100%, $F$9) + CHOOSE(CONTROL!$C$27, 0.0021, 0)</f>
        <v>37.418500000000002</v>
      </c>
      <c r="E237" s="10">
        <f>37.2797 * CHOOSE(CONTROL!$C$9, $D$9, 100%, $F$9) + CHOOSE(CONTROL!$C$27, 0.0021, 0)</f>
        <v>37.281799999999997</v>
      </c>
      <c r="F237" s="10">
        <f>37.2797 * CHOOSE(CONTROL!$C$9, $D$9, 100%, $F$9) + CHOOSE(CONTROL!$C$27, 0.0021, 0)</f>
        <v>37.281799999999997</v>
      </c>
      <c r="G237" s="10">
        <f>37.5511 * CHOOSE(CONTROL!$C$9, $D$9, 100%, $F$9) + CHOOSE(CONTROL!$C$27, 0.0021, 0)</f>
        <v>37.553199999999997</v>
      </c>
      <c r="H237" s="10">
        <f>37.4164 * CHOOSE(CONTROL!$C$9, $D$9, 100%, $F$9) + CHOOSE(CONTROL!$C$27, 0.0021, 0)</f>
        <v>37.418500000000002</v>
      </c>
      <c r="I237" s="10">
        <f>37.4164 * CHOOSE(CONTROL!$C$9, $D$9, 100%, $F$9) + CHOOSE(CONTROL!$C$27, 0.0021, 0)</f>
        <v>37.418500000000002</v>
      </c>
      <c r="J237" s="10">
        <f>37.4164 * CHOOSE(CONTROL!$C$9, $D$9, 100%, $F$9) + CHOOSE(CONTROL!$C$27, 0.0021, 0)</f>
        <v>37.418500000000002</v>
      </c>
      <c r="K237" s="10">
        <f>37.4164 * CHOOSE(CONTROL!$C$9, $D$9, 100%, $F$9) + CHOOSE(CONTROL!$C$27, 0.0021, 0)</f>
        <v>37.418500000000002</v>
      </c>
      <c r="L237" s="10"/>
    </row>
    <row r="238" spans="1:12" ht="15" x14ac:dyDescent="0.2">
      <c r="A238" s="16">
        <v>48153</v>
      </c>
      <c r="B238" s="10">
        <f>37.9308 * CHOOSE(CONTROL!$C$9, $D$9, 100%, $F$9) + CHOOSE(CONTROL!$C$27, 0.0021, 0)</f>
        <v>37.932899999999997</v>
      </c>
      <c r="C238" s="10">
        <f>37.4985 * CHOOSE(CONTROL!$C$9, $D$9, 100%, $F$9) + CHOOSE(CONTROL!$C$27, 0.0021, 0)</f>
        <v>37.500599999999999</v>
      </c>
      <c r="D238" s="10">
        <f>37.4985 * CHOOSE(CONTROL!$C$9, $D$9, 100%, $F$9) + CHOOSE(CONTROL!$C$27, 0.0021, 0)</f>
        <v>37.500599999999999</v>
      </c>
      <c r="E238" s="10">
        <f>37.3619 * CHOOSE(CONTROL!$C$9, $D$9, 100%, $F$9) + CHOOSE(CONTROL!$C$27, 0.0021, 0)</f>
        <v>37.363999999999997</v>
      </c>
      <c r="F238" s="10">
        <f>37.3619 * CHOOSE(CONTROL!$C$9, $D$9, 100%, $F$9) + CHOOSE(CONTROL!$C$27, 0.0021, 0)</f>
        <v>37.363999999999997</v>
      </c>
      <c r="G238" s="10">
        <f>37.6333 * CHOOSE(CONTROL!$C$9, $D$9, 100%, $F$9) + CHOOSE(CONTROL!$C$27, 0.0021, 0)</f>
        <v>37.635399999999997</v>
      </c>
      <c r="H238" s="10">
        <f>37.4985 * CHOOSE(CONTROL!$C$9, $D$9, 100%, $F$9) + CHOOSE(CONTROL!$C$27, 0.0021, 0)</f>
        <v>37.500599999999999</v>
      </c>
      <c r="I238" s="10">
        <f>37.4985 * CHOOSE(CONTROL!$C$9, $D$9, 100%, $F$9) + CHOOSE(CONTROL!$C$27, 0.0021, 0)</f>
        <v>37.500599999999999</v>
      </c>
      <c r="J238" s="10">
        <f>37.4985 * CHOOSE(CONTROL!$C$9, $D$9, 100%, $F$9) + CHOOSE(CONTROL!$C$27, 0.0021, 0)</f>
        <v>37.500599999999999</v>
      </c>
      <c r="K238" s="10">
        <f>37.4985 * CHOOSE(CONTROL!$C$9, $D$9, 100%, $F$9) + CHOOSE(CONTROL!$C$27, 0.0021, 0)</f>
        <v>37.500599999999999</v>
      </c>
      <c r="L238" s="10"/>
    </row>
    <row r="239" spans="1:12" ht="15" x14ac:dyDescent="0.2">
      <c r="A239" s="16">
        <v>48183</v>
      </c>
      <c r="B239" s="10">
        <f>37.232 * CHOOSE(CONTROL!$C$9, $D$9, 100%, $F$9) + CHOOSE(CONTROL!$C$27, 0.0021, 0)</f>
        <v>37.234099999999998</v>
      </c>
      <c r="C239" s="10">
        <f>36.7998 * CHOOSE(CONTROL!$C$9, $D$9, 100%, $F$9) + CHOOSE(CONTROL!$C$27, 0.0021, 0)</f>
        <v>36.801899999999996</v>
      </c>
      <c r="D239" s="10">
        <f>36.7998 * CHOOSE(CONTROL!$C$9, $D$9, 100%, $F$9) + CHOOSE(CONTROL!$C$27, 0.0021, 0)</f>
        <v>36.801899999999996</v>
      </c>
      <c r="E239" s="10">
        <f>36.6631 * CHOOSE(CONTROL!$C$9, $D$9, 100%, $F$9) + CHOOSE(CONTROL!$C$27, 0.0021, 0)</f>
        <v>36.665199999999999</v>
      </c>
      <c r="F239" s="10">
        <f>36.6631 * CHOOSE(CONTROL!$C$9, $D$9, 100%, $F$9) + CHOOSE(CONTROL!$C$27, 0.0021, 0)</f>
        <v>36.665199999999999</v>
      </c>
      <c r="G239" s="10">
        <f>36.9345 * CHOOSE(CONTROL!$C$9, $D$9, 100%, $F$9) + CHOOSE(CONTROL!$C$27, 0.0021, 0)</f>
        <v>36.936599999999999</v>
      </c>
      <c r="H239" s="10">
        <f>36.7998 * CHOOSE(CONTROL!$C$9, $D$9, 100%, $F$9) + CHOOSE(CONTROL!$C$27, 0.0021, 0)</f>
        <v>36.801899999999996</v>
      </c>
      <c r="I239" s="10">
        <f>36.7998 * CHOOSE(CONTROL!$C$9, $D$9, 100%, $F$9) + CHOOSE(CONTROL!$C$27, 0.0021, 0)</f>
        <v>36.801899999999996</v>
      </c>
      <c r="J239" s="10">
        <f>36.7998 * CHOOSE(CONTROL!$C$9, $D$9, 100%, $F$9) + CHOOSE(CONTROL!$C$27, 0.0021, 0)</f>
        <v>36.801899999999996</v>
      </c>
      <c r="K239" s="10">
        <f>36.7998 * CHOOSE(CONTROL!$C$9, $D$9, 100%, $F$9) + CHOOSE(CONTROL!$C$27, 0.0021, 0)</f>
        <v>36.801899999999996</v>
      </c>
      <c r="L239" s="10"/>
    </row>
    <row r="240" spans="1:12" ht="15" x14ac:dyDescent="0.2">
      <c r="A240" s="16">
        <v>48214</v>
      </c>
      <c r="B240" s="10">
        <f>36.7742 * CHOOSE(CONTROL!$C$9, $D$9, 100%, $F$9) + CHOOSE(CONTROL!$C$27, 0.0021, 0)</f>
        <v>36.776299999999999</v>
      </c>
      <c r="C240" s="10">
        <f>36.342 * CHOOSE(CONTROL!$C$9, $D$9, 100%, $F$9) + CHOOSE(CONTROL!$C$27, 0.0021, 0)</f>
        <v>36.344099999999997</v>
      </c>
      <c r="D240" s="10">
        <f>36.342 * CHOOSE(CONTROL!$C$9, $D$9, 100%, $F$9) + CHOOSE(CONTROL!$C$27, 0.0021, 0)</f>
        <v>36.344099999999997</v>
      </c>
      <c r="E240" s="10">
        <f>36.2053 * CHOOSE(CONTROL!$C$9, $D$9, 100%, $F$9) + CHOOSE(CONTROL!$C$27, 0.0021, 0)</f>
        <v>36.2074</v>
      </c>
      <c r="F240" s="10">
        <f>36.2053 * CHOOSE(CONTROL!$C$9, $D$9, 100%, $F$9) + CHOOSE(CONTROL!$C$27, 0.0021, 0)</f>
        <v>36.2074</v>
      </c>
      <c r="G240" s="10">
        <f>36.4767 * CHOOSE(CONTROL!$C$9, $D$9, 100%, $F$9) + CHOOSE(CONTROL!$C$27, 0.0021, 0)</f>
        <v>36.4788</v>
      </c>
      <c r="H240" s="10">
        <f>36.342 * CHOOSE(CONTROL!$C$9, $D$9, 100%, $F$9) + CHOOSE(CONTROL!$C$27, 0.0021, 0)</f>
        <v>36.344099999999997</v>
      </c>
      <c r="I240" s="10">
        <f>36.342 * CHOOSE(CONTROL!$C$9, $D$9, 100%, $F$9) + CHOOSE(CONTROL!$C$27, 0.0021, 0)</f>
        <v>36.344099999999997</v>
      </c>
      <c r="J240" s="10">
        <f>36.342 * CHOOSE(CONTROL!$C$9, $D$9, 100%, $F$9) + CHOOSE(CONTROL!$C$27, 0.0021, 0)</f>
        <v>36.344099999999997</v>
      </c>
      <c r="K240" s="10">
        <f>36.342 * CHOOSE(CONTROL!$C$9, $D$9, 100%, $F$9) + CHOOSE(CONTROL!$C$27, 0.0021, 0)</f>
        <v>36.344099999999997</v>
      </c>
      <c r="L240" s="10"/>
    </row>
    <row r="241" spans="1:12" ht="15" x14ac:dyDescent="0.2">
      <c r="A241" s="16">
        <v>48245</v>
      </c>
      <c r="B241" s="10">
        <f>35.7989 * CHOOSE(CONTROL!$C$9, $D$9, 100%, $F$9) + CHOOSE(CONTROL!$C$27, 0.0021, 0)</f>
        <v>35.801000000000002</v>
      </c>
      <c r="C241" s="10">
        <f>35.3666 * CHOOSE(CONTROL!$C$9, $D$9, 100%, $F$9) + CHOOSE(CONTROL!$C$27, 0.0021, 0)</f>
        <v>35.368699999999997</v>
      </c>
      <c r="D241" s="10">
        <f>35.3666 * CHOOSE(CONTROL!$C$9, $D$9, 100%, $F$9) + CHOOSE(CONTROL!$C$27, 0.0021, 0)</f>
        <v>35.368699999999997</v>
      </c>
      <c r="E241" s="10">
        <f>35.23 * CHOOSE(CONTROL!$C$9, $D$9, 100%, $F$9) + CHOOSE(CONTROL!$C$27, 0.0021, 0)</f>
        <v>35.232099999999996</v>
      </c>
      <c r="F241" s="10">
        <f>35.23 * CHOOSE(CONTROL!$C$9, $D$9, 100%, $F$9) + CHOOSE(CONTROL!$C$27, 0.0021, 0)</f>
        <v>35.232099999999996</v>
      </c>
      <c r="G241" s="10">
        <f>35.5014 * CHOOSE(CONTROL!$C$9, $D$9, 100%, $F$9) + CHOOSE(CONTROL!$C$27, 0.0021, 0)</f>
        <v>35.503499999999995</v>
      </c>
      <c r="H241" s="10">
        <f>35.3666 * CHOOSE(CONTROL!$C$9, $D$9, 100%, $F$9) + CHOOSE(CONTROL!$C$27, 0.0021, 0)</f>
        <v>35.368699999999997</v>
      </c>
      <c r="I241" s="10">
        <f>35.3666 * CHOOSE(CONTROL!$C$9, $D$9, 100%, $F$9) + CHOOSE(CONTROL!$C$27, 0.0021, 0)</f>
        <v>35.368699999999997</v>
      </c>
      <c r="J241" s="10">
        <f>35.3666 * CHOOSE(CONTROL!$C$9, $D$9, 100%, $F$9) + CHOOSE(CONTROL!$C$27, 0.0021, 0)</f>
        <v>35.368699999999997</v>
      </c>
      <c r="K241" s="10">
        <f>35.3666 * CHOOSE(CONTROL!$C$9, $D$9, 100%, $F$9) + CHOOSE(CONTROL!$C$27, 0.0021, 0)</f>
        <v>35.368699999999997</v>
      </c>
      <c r="L241" s="10"/>
    </row>
    <row r="242" spans="1:12" ht="15" x14ac:dyDescent="0.2">
      <c r="A242" s="16">
        <v>48274</v>
      </c>
      <c r="B242" s="10">
        <f>35.3963 * CHOOSE(CONTROL!$C$9, $D$9, 100%, $F$9) + CHOOSE(CONTROL!$C$27, 0.0021, 0)</f>
        <v>35.398399999999995</v>
      </c>
      <c r="C242" s="10">
        <f>34.964 * CHOOSE(CONTROL!$C$9, $D$9, 100%, $F$9) + CHOOSE(CONTROL!$C$27, 0.0021, 0)</f>
        <v>34.966099999999997</v>
      </c>
      <c r="D242" s="10">
        <f>34.964 * CHOOSE(CONTROL!$C$9, $D$9, 100%, $F$9) + CHOOSE(CONTROL!$C$27, 0.0021, 0)</f>
        <v>34.966099999999997</v>
      </c>
      <c r="E242" s="10">
        <f>34.8274 * CHOOSE(CONTROL!$C$9, $D$9, 100%, $F$9) + CHOOSE(CONTROL!$C$27, 0.0021, 0)</f>
        <v>34.829499999999996</v>
      </c>
      <c r="F242" s="10">
        <f>34.8274 * CHOOSE(CONTROL!$C$9, $D$9, 100%, $F$9) + CHOOSE(CONTROL!$C$27, 0.0021, 0)</f>
        <v>34.829499999999996</v>
      </c>
      <c r="G242" s="10">
        <f>35.0987 * CHOOSE(CONTROL!$C$9, $D$9, 100%, $F$9) + CHOOSE(CONTROL!$C$27, 0.0021, 0)</f>
        <v>35.1008</v>
      </c>
      <c r="H242" s="10">
        <f>34.964 * CHOOSE(CONTROL!$C$9, $D$9, 100%, $F$9) + CHOOSE(CONTROL!$C$27, 0.0021, 0)</f>
        <v>34.966099999999997</v>
      </c>
      <c r="I242" s="10">
        <f>34.964 * CHOOSE(CONTROL!$C$9, $D$9, 100%, $F$9) + CHOOSE(CONTROL!$C$27, 0.0021, 0)</f>
        <v>34.966099999999997</v>
      </c>
      <c r="J242" s="10">
        <f>34.964 * CHOOSE(CONTROL!$C$9, $D$9, 100%, $F$9) + CHOOSE(CONTROL!$C$27, 0.0021, 0)</f>
        <v>34.966099999999997</v>
      </c>
      <c r="K242" s="10">
        <f>34.964 * CHOOSE(CONTROL!$C$9, $D$9, 100%, $F$9) + CHOOSE(CONTROL!$C$27, 0.0021, 0)</f>
        <v>34.966099999999997</v>
      </c>
      <c r="L242" s="10"/>
    </row>
    <row r="243" spans="1:12" ht="15" x14ac:dyDescent="0.2">
      <c r="A243" s="16">
        <v>48305</v>
      </c>
      <c r="B243" s="10">
        <f>34.9155 * CHOOSE(CONTROL!$C$9, $D$9, 100%, $F$9) + CHOOSE(CONTROL!$C$27, 0.0021, 0)</f>
        <v>34.9176</v>
      </c>
      <c r="C243" s="10">
        <f>34.4833 * CHOOSE(CONTROL!$C$9, $D$9, 100%, $F$9) + CHOOSE(CONTROL!$C$27, 0.0021, 0)</f>
        <v>34.485399999999998</v>
      </c>
      <c r="D243" s="10">
        <f>34.4833 * CHOOSE(CONTROL!$C$9, $D$9, 100%, $F$9) + CHOOSE(CONTROL!$C$27, 0.0021, 0)</f>
        <v>34.485399999999998</v>
      </c>
      <c r="E243" s="10">
        <f>34.3466 * CHOOSE(CONTROL!$C$9, $D$9, 100%, $F$9) + CHOOSE(CONTROL!$C$27, 0.0021, 0)</f>
        <v>34.348700000000001</v>
      </c>
      <c r="F243" s="10">
        <f>34.3466 * CHOOSE(CONTROL!$C$9, $D$9, 100%, $F$9) + CHOOSE(CONTROL!$C$27, 0.0021, 0)</f>
        <v>34.348700000000001</v>
      </c>
      <c r="G243" s="10">
        <f>34.618 * CHOOSE(CONTROL!$C$9, $D$9, 100%, $F$9) + CHOOSE(CONTROL!$C$27, 0.0021, 0)</f>
        <v>34.620100000000001</v>
      </c>
      <c r="H243" s="10">
        <f>34.4833 * CHOOSE(CONTROL!$C$9, $D$9, 100%, $F$9) + CHOOSE(CONTROL!$C$27, 0.0021, 0)</f>
        <v>34.485399999999998</v>
      </c>
      <c r="I243" s="10">
        <f>34.4833 * CHOOSE(CONTROL!$C$9, $D$9, 100%, $F$9) + CHOOSE(CONTROL!$C$27, 0.0021, 0)</f>
        <v>34.485399999999998</v>
      </c>
      <c r="J243" s="10">
        <f>34.4833 * CHOOSE(CONTROL!$C$9, $D$9, 100%, $F$9) + CHOOSE(CONTROL!$C$27, 0.0021, 0)</f>
        <v>34.485399999999998</v>
      </c>
      <c r="K243" s="10">
        <f>34.4833 * CHOOSE(CONTROL!$C$9, $D$9, 100%, $F$9) + CHOOSE(CONTROL!$C$27, 0.0021, 0)</f>
        <v>34.485399999999998</v>
      </c>
      <c r="L243" s="10"/>
    </row>
    <row r="244" spans="1:12" ht="15" x14ac:dyDescent="0.2">
      <c r="A244" s="16">
        <v>48335</v>
      </c>
      <c r="B244" s="10">
        <f>35.6006 * CHOOSE(CONTROL!$C$9, $D$9, 100%, $F$9) + CHOOSE(CONTROL!$C$27, 0.0021, 0)</f>
        <v>35.602699999999999</v>
      </c>
      <c r="C244" s="10">
        <f>35.1684 * CHOOSE(CONTROL!$C$9, $D$9, 100%, $F$9) + CHOOSE(CONTROL!$C$27, 0.0021, 0)</f>
        <v>35.170499999999997</v>
      </c>
      <c r="D244" s="10">
        <f>35.1684 * CHOOSE(CONTROL!$C$9, $D$9, 100%, $F$9) + CHOOSE(CONTROL!$C$27, 0.0021, 0)</f>
        <v>35.170499999999997</v>
      </c>
      <c r="E244" s="10">
        <f>35.0317 * CHOOSE(CONTROL!$C$9, $D$9, 100%, $F$9) + CHOOSE(CONTROL!$C$27, 0.0021, 0)</f>
        <v>35.033799999999999</v>
      </c>
      <c r="F244" s="10">
        <f>35.0317 * CHOOSE(CONTROL!$C$9, $D$9, 100%, $F$9) + CHOOSE(CONTROL!$C$27, 0.0021, 0)</f>
        <v>35.033799999999999</v>
      </c>
      <c r="G244" s="10">
        <f>35.3031 * CHOOSE(CONTROL!$C$9, $D$9, 100%, $F$9) + CHOOSE(CONTROL!$C$27, 0.0021, 0)</f>
        <v>35.305199999999999</v>
      </c>
      <c r="H244" s="10">
        <f>35.1684 * CHOOSE(CONTROL!$C$9, $D$9, 100%, $F$9) + CHOOSE(CONTROL!$C$27, 0.0021, 0)</f>
        <v>35.170499999999997</v>
      </c>
      <c r="I244" s="10">
        <f>35.1684 * CHOOSE(CONTROL!$C$9, $D$9, 100%, $F$9) + CHOOSE(CONTROL!$C$27, 0.0021, 0)</f>
        <v>35.170499999999997</v>
      </c>
      <c r="J244" s="10">
        <f>35.1684 * CHOOSE(CONTROL!$C$9, $D$9, 100%, $F$9) + CHOOSE(CONTROL!$C$27, 0.0021, 0)</f>
        <v>35.170499999999997</v>
      </c>
      <c r="K244" s="10">
        <f>35.1684 * CHOOSE(CONTROL!$C$9, $D$9, 100%, $F$9) + CHOOSE(CONTROL!$C$27, 0.0021, 0)</f>
        <v>35.170499999999997</v>
      </c>
      <c r="L244" s="10"/>
    </row>
    <row r="245" spans="1:12" ht="15" x14ac:dyDescent="0.2">
      <c r="A245" s="16">
        <v>48366</v>
      </c>
      <c r="B245" s="10">
        <f>36.011 * CHOOSE(CONTROL!$C$9, $D$9, 100%, $F$9) + CHOOSE(CONTROL!$C$27, 0.0021, 0)</f>
        <v>36.013100000000001</v>
      </c>
      <c r="C245" s="10">
        <f>35.5787 * CHOOSE(CONTROL!$C$9, $D$9, 100%, $F$9) + CHOOSE(CONTROL!$C$27, 0.0021, 0)</f>
        <v>35.580799999999996</v>
      </c>
      <c r="D245" s="10">
        <f>35.5787 * CHOOSE(CONTROL!$C$9, $D$9, 100%, $F$9) + CHOOSE(CONTROL!$C$27, 0.0021, 0)</f>
        <v>35.580799999999996</v>
      </c>
      <c r="E245" s="10">
        <f>35.4421 * CHOOSE(CONTROL!$C$9, $D$9, 100%, $F$9) + CHOOSE(CONTROL!$C$27, 0.0021, 0)</f>
        <v>35.444200000000002</v>
      </c>
      <c r="F245" s="10">
        <f>35.4421 * CHOOSE(CONTROL!$C$9, $D$9, 100%, $F$9) + CHOOSE(CONTROL!$C$27, 0.0021, 0)</f>
        <v>35.444200000000002</v>
      </c>
      <c r="G245" s="10">
        <f>35.7135 * CHOOSE(CONTROL!$C$9, $D$9, 100%, $F$9) + CHOOSE(CONTROL!$C$27, 0.0021, 0)</f>
        <v>35.715600000000002</v>
      </c>
      <c r="H245" s="10">
        <f>35.5787 * CHOOSE(CONTROL!$C$9, $D$9, 100%, $F$9) + CHOOSE(CONTROL!$C$27, 0.0021, 0)</f>
        <v>35.580799999999996</v>
      </c>
      <c r="I245" s="10">
        <f>35.5787 * CHOOSE(CONTROL!$C$9, $D$9, 100%, $F$9) + CHOOSE(CONTROL!$C$27, 0.0021, 0)</f>
        <v>35.580799999999996</v>
      </c>
      <c r="J245" s="10">
        <f>35.5787 * CHOOSE(CONTROL!$C$9, $D$9, 100%, $F$9) + CHOOSE(CONTROL!$C$27, 0.0021, 0)</f>
        <v>35.580799999999996</v>
      </c>
      <c r="K245" s="10">
        <f>35.5787 * CHOOSE(CONTROL!$C$9, $D$9, 100%, $F$9) + CHOOSE(CONTROL!$C$27, 0.0021, 0)</f>
        <v>35.580799999999996</v>
      </c>
      <c r="L245" s="10"/>
    </row>
    <row r="246" spans="1:12" ht="15" x14ac:dyDescent="0.2">
      <c r="A246" s="16">
        <v>48396</v>
      </c>
      <c r="B246" s="10">
        <f>36.6879 * CHOOSE(CONTROL!$C$9, $D$9, 100%, $F$9) + CHOOSE(CONTROL!$C$27, 0.0021, 0)</f>
        <v>36.69</v>
      </c>
      <c r="C246" s="10">
        <f>36.2557 * CHOOSE(CONTROL!$C$9, $D$9, 100%, $F$9) + CHOOSE(CONTROL!$C$27, 0.0021, 0)</f>
        <v>36.257799999999996</v>
      </c>
      <c r="D246" s="10">
        <f>36.2557 * CHOOSE(CONTROL!$C$9, $D$9, 100%, $F$9) + CHOOSE(CONTROL!$C$27, 0.0021, 0)</f>
        <v>36.257799999999996</v>
      </c>
      <c r="E246" s="10">
        <f>36.119 * CHOOSE(CONTROL!$C$9, $D$9, 100%, $F$9) + CHOOSE(CONTROL!$C$27, 0.0021, 0)</f>
        <v>36.121099999999998</v>
      </c>
      <c r="F246" s="10">
        <f>36.119 * CHOOSE(CONTROL!$C$9, $D$9, 100%, $F$9) + CHOOSE(CONTROL!$C$27, 0.0021, 0)</f>
        <v>36.121099999999998</v>
      </c>
      <c r="G246" s="10">
        <f>36.3904 * CHOOSE(CONTROL!$C$9, $D$9, 100%, $F$9) + CHOOSE(CONTROL!$C$27, 0.0021, 0)</f>
        <v>36.392499999999998</v>
      </c>
      <c r="H246" s="10">
        <f>36.2557 * CHOOSE(CONTROL!$C$9, $D$9, 100%, $F$9) + CHOOSE(CONTROL!$C$27, 0.0021, 0)</f>
        <v>36.257799999999996</v>
      </c>
      <c r="I246" s="10">
        <f>36.2557 * CHOOSE(CONTROL!$C$9, $D$9, 100%, $F$9) + CHOOSE(CONTROL!$C$27, 0.0021, 0)</f>
        <v>36.257799999999996</v>
      </c>
      <c r="J246" s="10">
        <f>36.2557 * CHOOSE(CONTROL!$C$9, $D$9, 100%, $F$9) + CHOOSE(CONTROL!$C$27, 0.0021, 0)</f>
        <v>36.257799999999996</v>
      </c>
      <c r="K246" s="10">
        <f>36.2557 * CHOOSE(CONTROL!$C$9, $D$9, 100%, $F$9) + CHOOSE(CONTROL!$C$27, 0.0021, 0)</f>
        <v>36.257799999999996</v>
      </c>
      <c r="L246" s="10"/>
    </row>
    <row r="247" spans="1:12" ht="15" x14ac:dyDescent="0.2">
      <c r="A247" s="16">
        <v>48427</v>
      </c>
      <c r="B247" s="10">
        <f>36.8945 * CHOOSE(CONTROL!$C$9, $D$9, 100%, $F$9) + CHOOSE(CONTROL!$C$27, 0.0021, 0)</f>
        <v>36.896599999999999</v>
      </c>
      <c r="C247" s="10">
        <f>36.4623 * CHOOSE(CONTROL!$C$9, $D$9, 100%, $F$9) + CHOOSE(CONTROL!$C$27, 0.0021, 0)</f>
        <v>36.464399999999998</v>
      </c>
      <c r="D247" s="10">
        <f>36.4623 * CHOOSE(CONTROL!$C$9, $D$9, 100%, $F$9) + CHOOSE(CONTROL!$C$27, 0.0021, 0)</f>
        <v>36.464399999999998</v>
      </c>
      <c r="E247" s="10">
        <f>36.3256 * CHOOSE(CONTROL!$C$9, $D$9, 100%, $F$9) + CHOOSE(CONTROL!$C$27, 0.0021, 0)</f>
        <v>36.3277</v>
      </c>
      <c r="F247" s="10">
        <f>36.3256 * CHOOSE(CONTROL!$C$9, $D$9, 100%, $F$9) + CHOOSE(CONTROL!$C$27, 0.0021, 0)</f>
        <v>36.3277</v>
      </c>
      <c r="G247" s="10">
        <f>36.597 * CHOOSE(CONTROL!$C$9, $D$9, 100%, $F$9) + CHOOSE(CONTROL!$C$27, 0.0021, 0)</f>
        <v>36.5991</v>
      </c>
      <c r="H247" s="10">
        <f>36.4623 * CHOOSE(CONTROL!$C$9, $D$9, 100%, $F$9) + CHOOSE(CONTROL!$C$27, 0.0021, 0)</f>
        <v>36.464399999999998</v>
      </c>
      <c r="I247" s="10">
        <f>36.4623 * CHOOSE(CONTROL!$C$9, $D$9, 100%, $F$9) + CHOOSE(CONTROL!$C$27, 0.0021, 0)</f>
        <v>36.464399999999998</v>
      </c>
      <c r="J247" s="10">
        <f>36.4623 * CHOOSE(CONTROL!$C$9, $D$9, 100%, $F$9) + CHOOSE(CONTROL!$C$27, 0.0021, 0)</f>
        <v>36.464399999999998</v>
      </c>
      <c r="K247" s="10">
        <f>36.4623 * CHOOSE(CONTROL!$C$9, $D$9, 100%, $F$9) + CHOOSE(CONTROL!$C$27, 0.0021, 0)</f>
        <v>36.464399999999998</v>
      </c>
      <c r="L247" s="10"/>
    </row>
    <row r="248" spans="1:12" ht="15" x14ac:dyDescent="0.2">
      <c r="A248" s="16">
        <v>48458</v>
      </c>
      <c r="B248" s="10">
        <f>37.5982 * CHOOSE(CONTROL!$C$9, $D$9, 100%, $F$9) + CHOOSE(CONTROL!$C$27, 0.0021, 0)</f>
        <v>37.600299999999997</v>
      </c>
      <c r="C248" s="10">
        <f>37.1659 * CHOOSE(CONTROL!$C$9, $D$9, 100%, $F$9) + CHOOSE(CONTROL!$C$27, 0.0021, 0)</f>
        <v>37.167999999999999</v>
      </c>
      <c r="D248" s="10">
        <f>37.1659 * CHOOSE(CONTROL!$C$9, $D$9, 100%, $F$9) + CHOOSE(CONTROL!$C$27, 0.0021, 0)</f>
        <v>37.167999999999999</v>
      </c>
      <c r="E248" s="10">
        <f>37.0293 * CHOOSE(CONTROL!$C$9, $D$9, 100%, $F$9) + CHOOSE(CONTROL!$C$27, 0.0021, 0)</f>
        <v>37.031399999999998</v>
      </c>
      <c r="F248" s="10">
        <f>37.0293 * CHOOSE(CONTROL!$C$9, $D$9, 100%, $F$9) + CHOOSE(CONTROL!$C$27, 0.0021, 0)</f>
        <v>37.031399999999998</v>
      </c>
      <c r="G248" s="10">
        <f>37.3006 * CHOOSE(CONTROL!$C$9, $D$9, 100%, $F$9) + CHOOSE(CONTROL!$C$27, 0.0021, 0)</f>
        <v>37.302700000000002</v>
      </c>
      <c r="H248" s="10">
        <f>37.1659 * CHOOSE(CONTROL!$C$9, $D$9, 100%, $F$9) + CHOOSE(CONTROL!$C$27, 0.0021, 0)</f>
        <v>37.167999999999999</v>
      </c>
      <c r="I248" s="10">
        <f>37.1659 * CHOOSE(CONTROL!$C$9, $D$9, 100%, $F$9) + CHOOSE(CONTROL!$C$27, 0.0021, 0)</f>
        <v>37.167999999999999</v>
      </c>
      <c r="J248" s="10">
        <f>37.1659 * CHOOSE(CONTROL!$C$9, $D$9, 100%, $F$9) + CHOOSE(CONTROL!$C$27, 0.0021, 0)</f>
        <v>37.167999999999999</v>
      </c>
      <c r="K248" s="10">
        <f>37.1659 * CHOOSE(CONTROL!$C$9, $D$9, 100%, $F$9) + CHOOSE(CONTROL!$C$27, 0.0021, 0)</f>
        <v>37.167999999999999</v>
      </c>
      <c r="L248" s="10"/>
    </row>
    <row r="249" spans="1:12" ht="15" x14ac:dyDescent="0.2">
      <c r="A249" s="16">
        <v>48488</v>
      </c>
      <c r="B249" s="10">
        <f>38.4888 * CHOOSE(CONTROL!$C$9, $D$9, 100%, $F$9) + CHOOSE(CONTROL!$C$27, 0.0021, 0)</f>
        <v>38.490899999999996</v>
      </c>
      <c r="C249" s="10">
        <f>38.0566 * CHOOSE(CONTROL!$C$9, $D$9, 100%, $F$9) + CHOOSE(CONTROL!$C$27, 0.0021, 0)</f>
        <v>38.058700000000002</v>
      </c>
      <c r="D249" s="10">
        <f>38.0566 * CHOOSE(CONTROL!$C$9, $D$9, 100%, $F$9) + CHOOSE(CONTROL!$C$27, 0.0021, 0)</f>
        <v>38.058700000000002</v>
      </c>
      <c r="E249" s="10">
        <f>37.9199 * CHOOSE(CONTROL!$C$9, $D$9, 100%, $F$9) + CHOOSE(CONTROL!$C$27, 0.0021, 0)</f>
        <v>37.921999999999997</v>
      </c>
      <c r="F249" s="10">
        <f>37.9199 * CHOOSE(CONTROL!$C$9, $D$9, 100%, $F$9) + CHOOSE(CONTROL!$C$27, 0.0021, 0)</f>
        <v>37.921999999999997</v>
      </c>
      <c r="G249" s="10">
        <f>38.1913 * CHOOSE(CONTROL!$C$9, $D$9, 100%, $F$9) + CHOOSE(CONTROL!$C$27, 0.0021, 0)</f>
        <v>38.193399999999997</v>
      </c>
      <c r="H249" s="10">
        <f>38.0566 * CHOOSE(CONTROL!$C$9, $D$9, 100%, $F$9) + CHOOSE(CONTROL!$C$27, 0.0021, 0)</f>
        <v>38.058700000000002</v>
      </c>
      <c r="I249" s="10">
        <f>38.0566 * CHOOSE(CONTROL!$C$9, $D$9, 100%, $F$9) + CHOOSE(CONTROL!$C$27, 0.0021, 0)</f>
        <v>38.058700000000002</v>
      </c>
      <c r="J249" s="10">
        <f>38.0566 * CHOOSE(CONTROL!$C$9, $D$9, 100%, $F$9) + CHOOSE(CONTROL!$C$27, 0.0021, 0)</f>
        <v>38.058700000000002</v>
      </c>
      <c r="K249" s="10">
        <f>38.0566 * CHOOSE(CONTROL!$C$9, $D$9, 100%, $F$9) + CHOOSE(CONTROL!$C$27, 0.0021, 0)</f>
        <v>38.058700000000002</v>
      </c>
      <c r="L249" s="10"/>
    </row>
    <row r="250" spans="1:12" ht="15" x14ac:dyDescent="0.2">
      <c r="A250" s="16">
        <v>48519</v>
      </c>
      <c r="B250" s="10">
        <f>38.5725 * CHOOSE(CONTROL!$C$9, $D$9, 100%, $F$9) + CHOOSE(CONTROL!$C$27, 0.0021, 0)</f>
        <v>38.574599999999997</v>
      </c>
      <c r="C250" s="10">
        <f>38.1402 * CHOOSE(CONTROL!$C$9, $D$9, 100%, $F$9) + CHOOSE(CONTROL!$C$27, 0.0021, 0)</f>
        <v>38.142299999999999</v>
      </c>
      <c r="D250" s="10">
        <f>38.1402 * CHOOSE(CONTROL!$C$9, $D$9, 100%, $F$9) + CHOOSE(CONTROL!$C$27, 0.0021, 0)</f>
        <v>38.142299999999999</v>
      </c>
      <c r="E250" s="10">
        <f>38.0035 * CHOOSE(CONTROL!$C$9, $D$9, 100%, $F$9) + CHOOSE(CONTROL!$C$27, 0.0021, 0)</f>
        <v>38.005600000000001</v>
      </c>
      <c r="F250" s="10">
        <f>38.0035 * CHOOSE(CONTROL!$C$9, $D$9, 100%, $F$9) + CHOOSE(CONTROL!$C$27, 0.0021, 0)</f>
        <v>38.005600000000001</v>
      </c>
      <c r="G250" s="10">
        <f>38.2749 * CHOOSE(CONTROL!$C$9, $D$9, 100%, $F$9) + CHOOSE(CONTROL!$C$27, 0.0021, 0)</f>
        <v>38.277000000000001</v>
      </c>
      <c r="H250" s="10">
        <f>38.1402 * CHOOSE(CONTROL!$C$9, $D$9, 100%, $F$9) + CHOOSE(CONTROL!$C$27, 0.0021, 0)</f>
        <v>38.142299999999999</v>
      </c>
      <c r="I250" s="10">
        <f>38.1402 * CHOOSE(CONTROL!$C$9, $D$9, 100%, $F$9) + CHOOSE(CONTROL!$C$27, 0.0021, 0)</f>
        <v>38.142299999999999</v>
      </c>
      <c r="J250" s="10">
        <f>38.1402 * CHOOSE(CONTROL!$C$9, $D$9, 100%, $F$9) + CHOOSE(CONTROL!$C$27, 0.0021, 0)</f>
        <v>38.142299999999999</v>
      </c>
      <c r="K250" s="10">
        <f>38.1402 * CHOOSE(CONTROL!$C$9, $D$9, 100%, $F$9) + CHOOSE(CONTROL!$C$27, 0.0021, 0)</f>
        <v>38.142299999999999</v>
      </c>
      <c r="L250" s="10"/>
    </row>
    <row r="251" spans="1:12" ht="15" x14ac:dyDescent="0.2">
      <c r="A251" s="16">
        <v>48549</v>
      </c>
      <c r="B251" s="10">
        <f>37.8611 * CHOOSE(CONTROL!$C$9, $D$9, 100%, $F$9) + CHOOSE(CONTROL!$C$27, 0.0021, 0)</f>
        <v>37.863199999999999</v>
      </c>
      <c r="C251" s="10">
        <f>37.4288 * CHOOSE(CONTROL!$C$9, $D$9, 100%, $F$9) + CHOOSE(CONTROL!$C$27, 0.0021, 0)</f>
        <v>37.430900000000001</v>
      </c>
      <c r="D251" s="10">
        <f>37.4288 * CHOOSE(CONTROL!$C$9, $D$9, 100%, $F$9) + CHOOSE(CONTROL!$C$27, 0.0021, 0)</f>
        <v>37.430900000000001</v>
      </c>
      <c r="E251" s="10">
        <f>37.2922 * CHOOSE(CONTROL!$C$9, $D$9, 100%, $F$9) + CHOOSE(CONTROL!$C$27, 0.0021, 0)</f>
        <v>37.2943</v>
      </c>
      <c r="F251" s="10">
        <f>37.2922 * CHOOSE(CONTROL!$C$9, $D$9, 100%, $F$9) + CHOOSE(CONTROL!$C$27, 0.0021, 0)</f>
        <v>37.2943</v>
      </c>
      <c r="G251" s="10">
        <f>37.5636 * CHOOSE(CONTROL!$C$9, $D$9, 100%, $F$9) + CHOOSE(CONTROL!$C$27, 0.0021, 0)</f>
        <v>37.5657</v>
      </c>
      <c r="H251" s="10">
        <f>37.4288 * CHOOSE(CONTROL!$C$9, $D$9, 100%, $F$9) + CHOOSE(CONTROL!$C$27, 0.0021, 0)</f>
        <v>37.430900000000001</v>
      </c>
      <c r="I251" s="10">
        <f>37.4288 * CHOOSE(CONTROL!$C$9, $D$9, 100%, $F$9) + CHOOSE(CONTROL!$C$27, 0.0021, 0)</f>
        <v>37.430900000000001</v>
      </c>
      <c r="J251" s="10">
        <f>37.4288 * CHOOSE(CONTROL!$C$9, $D$9, 100%, $F$9) + CHOOSE(CONTROL!$C$27, 0.0021, 0)</f>
        <v>37.430900000000001</v>
      </c>
      <c r="K251" s="10">
        <f>37.4288 * CHOOSE(CONTROL!$C$9, $D$9, 100%, $F$9) + CHOOSE(CONTROL!$C$27, 0.0021, 0)</f>
        <v>37.430900000000001</v>
      </c>
      <c r="L251" s="10"/>
    </row>
    <row r="252" spans="1:12" ht="15" x14ac:dyDescent="0.2">
      <c r="A252" s="16">
        <v>48580</v>
      </c>
      <c r="B252" s="10">
        <f>37.3951 * CHOOSE(CONTROL!$C$9, $D$9, 100%, $F$9) + CHOOSE(CONTROL!$C$27, 0.0021, 0)</f>
        <v>37.397199999999998</v>
      </c>
      <c r="C252" s="10">
        <f>36.9628 * CHOOSE(CONTROL!$C$9, $D$9, 100%, $F$9) + CHOOSE(CONTROL!$C$27, 0.0021, 0)</f>
        <v>36.9649</v>
      </c>
      <c r="D252" s="10">
        <f>36.9628 * CHOOSE(CONTROL!$C$9, $D$9, 100%, $F$9) + CHOOSE(CONTROL!$C$27, 0.0021, 0)</f>
        <v>36.9649</v>
      </c>
      <c r="E252" s="10">
        <f>36.8262 * CHOOSE(CONTROL!$C$9, $D$9, 100%, $F$9) + CHOOSE(CONTROL!$C$27, 0.0021, 0)</f>
        <v>36.828299999999999</v>
      </c>
      <c r="F252" s="10">
        <f>36.8262 * CHOOSE(CONTROL!$C$9, $D$9, 100%, $F$9) + CHOOSE(CONTROL!$C$27, 0.0021, 0)</f>
        <v>36.828299999999999</v>
      </c>
      <c r="G252" s="10">
        <f>37.0975 * CHOOSE(CONTROL!$C$9, $D$9, 100%, $F$9) + CHOOSE(CONTROL!$C$27, 0.0021, 0)</f>
        <v>37.099599999999995</v>
      </c>
      <c r="H252" s="10">
        <f>36.9628 * CHOOSE(CONTROL!$C$9, $D$9, 100%, $F$9) + CHOOSE(CONTROL!$C$27, 0.0021, 0)</f>
        <v>36.9649</v>
      </c>
      <c r="I252" s="10">
        <f>36.9628 * CHOOSE(CONTROL!$C$9, $D$9, 100%, $F$9) + CHOOSE(CONTROL!$C$27, 0.0021, 0)</f>
        <v>36.9649</v>
      </c>
      <c r="J252" s="10">
        <f>36.9628 * CHOOSE(CONTROL!$C$9, $D$9, 100%, $F$9) + CHOOSE(CONTROL!$C$27, 0.0021, 0)</f>
        <v>36.9649</v>
      </c>
      <c r="K252" s="10">
        <f>36.9628 * CHOOSE(CONTROL!$C$9, $D$9, 100%, $F$9) + CHOOSE(CONTROL!$C$27, 0.0021, 0)</f>
        <v>36.9649</v>
      </c>
      <c r="L252" s="10"/>
    </row>
    <row r="253" spans="1:12" ht="15" x14ac:dyDescent="0.2">
      <c r="A253" s="16">
        <v>48611</v>
      </c>
      <c r="B253" s="10">
        <f>36.4022 * CHOOSE(CONTROL!$C$9, $D$9, 100%, $F$9) + CHOOSE(CONTROL!$C$27, 0.0021, 0)</f>
        <v>36.404299999999999</v>
      </c>
      <c r="C253" s="10">
        <f>35.9699 * CHOOSE(CONTROL!$C$9, $D$9, 100%, $F$9) + CHOOSE(CONTROL!$C$27, 0.0021, 0)</f>
        <v>35.972000000000001</v>
      </c>
      <c r="D253" s="10">
        <f>35.9699 * CHOOSE(CONTROL!$C$9, $D$9, 100%, $F$9) + CHOOSE(CONTROL!$C$27, 0.0021, 0)</f>
        <v>35.972000000000001</v>
      </c>
      <c r="E253" s="10">
        <f>35.8333 * CHOOSE(CONTROL!$C$9, $D$9, 100%, $F$9) + CHOOSE(CONTROL!$C$27, 0.0021, 0)</f>
        <v>35.8354</v>
      </c>
      <c r="F253" s="10">
        <f>35.8333 * CHOOSE(CONTROL!$C$9, $D$9, 100%, $F$9) + CHOOSE(CONTROL!$C$27, 0.0021, 0)</f>
        <v>35.8354</v>
      </c>
      <c r="G253" s="10">
        <f>36.1046 * CHOOSE(CONTROL!$C$9, $D$9, 100%, $F$9) + CHOOSE(CONTROL!$C$27, 0.0021, 0)</f>
        <v>36.106699999999996</v>
      </c>
      <c r="H253" s="10">
        <f>35.9699 * CHOOSE(CONTROL!$C$9, $D$9, 100%, $F$9) + CHOOSE(CONTROL!$C$27, 0.0021, 0)</f>
        <v>35.972000000000001</v>
      </c>
      <c r="I253" s="10">
        <f>35.9699 * CHOOSE(CONTROL!$C$9, $D$9, 100%, $F$9) + CHOOSE(CONTROL!$C$27, 0.0021, 0)</f>
        <v>35.972000000000001</v>
      </c>
      <c r="J253" s="10">
        <f>35.9699 * CHOOSE(CONTROL!$C$9, $D$9, 100%, $F$9) + CHOOSE(CONTROL!$C$27, 0.0021, 0)</f>
        <v>35.972000000000001</v>
      </c>
      <c r="K253" s="10">
        <f>35.9699 * CHOOSE(CONTROL!$C$9, $D$9, 100%, $F$9) + CHOOSE(CONTROL!$C$27, 0.0021, 0)</f>
        <v>35.972000000000001</v>
      </c>
      <c r="L253" s="10"/>
    </row>
    <row r="254" spans="1:12" ht="15" x14ac:dyDescent="0.2">
      <c r="A254" s="16">
        <v>48639</v>
      </c>
      <c r="B254" s="10">
        <f>35.9923 * CHOOSE(CONTROL!$C$9, $D$9, 100%, $F$9) + CHOOSE(CONTROL!$C$27, 0.0021, 0)</f>
        <v>35.994399999999999</v>
      </c>
      <c r="C254" s="10">
        <f>35.5601 * CHOOSE(CONTROL!$C$9, $D$9, 100%, $F$9) + CHOOSE(CONTROL!$C$27, 0.0021, 0)</f>
        <v>35.562199999999997</v>
      </c>
      <c r="D254" s="10">
        <f>35.5601 * CHOOSE(CONTROL!$C$9, $D$9, 100%, $F$9) + CHOOSE(CONTROL!$C$27, 0.0021, 0)</f>
        <v>35.562199999999997</v>
      </c>
      <c r="E254" s="10">
        <f>35.4234 * CHOOSE(CONTROL!$C$9, $D$9, 100%, $F$9) + CHOOSE(CONTROL!$C$27, 0.0021, 0)</f>
        <v>35.4255</v>
      </c>
      <c r="F254" s="10">
        <f>35.4234 * CHOOSE(CONTROL!$C$9, $D$9, 100%, $F$9) + CHOOSE(CONTROL!$C$27, 0.0021, 0)</f>
        <v>35.4255</v>
      </c>
      <c r="G254" s="10">
        <f>35.6948 * CHOOSE(CONTROL!$C$9, $D$9, 100%, $F$9) + CHOOSE(CONTROL!$C$27, 0.0021, 0)</f>
        <v>35.696899999999999</v>
      </c>
      <c r="H254" s="10">
        <f>35.5601 * CHOOSE(CONTROL!$C$9, $D$9, 100%, $F$9) + CHOOSE(CONTROL!$C$27, 0.0021, 0)</f>
        <v>35.562199999999997</v>
      </c>
      <c r="I254" s="10">
        <f>35.5601 * CHOOSE(CONTROL!$C$9, $D$9, 100%, $F$9) + CHOOSE(CONTROL!$C$27, 0.0021, 0)</f>
        <v>35.562199999999997</v>
      </c>
      <c r="J254" s="10">
        <f>35.5601 * CHOOSE(CONTROL!$C$9, $D$9, 100%, $F$9) + CHOOSE(CONTROL!$C$27, 0.0021, 0)</f>
        <v>35.562199999999997</v>
      </c>
      <c r="K254" s="10">
        <f>35.5601 * CHOOSE(CONTROL!$C$9, $D$9, 100%, $F$9) + CHOOSE(CONTROL!$C$27, 0.0021, 0)</f>
        <v>35.562199999999997</v>
      </c>
      <c r="L254" s="10"/>
    </row>
    <row r="255" spans="1:12" ht="15" x14ac:dyDescent="0.2">
      <c r="A255" s="16">
        <v>48670</v>
      </c>
      <c r="B255" s="10">
        <f>35.5029 * CHOOSE(CONTROL!$C$9, $D$9, 100%, $F$9) + CHOOSE(CONTROL!$C$27, 0.0021, 0)</f>
        <v>35.504999999999995</v>
      </c>
      <c r="C255" s="10">
        <f>35.0707 * CHOOSE(CONTROL!$C$9, $D$9, 100%, $F$9) + CHOOSE(CONTROL!$C$27, 0.0021, 0)</f>
        <v>35.072800000000001</v>
      </c>
      <c r="D255" s="10">
        <f>35.0707 * CHOOSE(CONTROL!$C$9, $D$9, 100%, $F$9) + CHOOSE(CONTROL!$C$27, 0.0021, 0)</f>
        <v>35.072800000000001</v>
      </c>
      <c r="E255" s="10">
        <f>34.934 * CHOOSE(CONTROL!$C$9, $D$9, 100%, $F$9) + CHOOSE(CONTROL!$C$27, 0.0021, 0)</f>
        <v>34.936099999999996</v>
      </c>
      <c r="F255" s="10">
        <f>34.934 * CHOOSE(CONTROL!$C$9, $D$9, 100%, $F$9) + CHOOSE(CONTROL!$C$27, 0.0021, 0)</f>
        <v>34.936099999999996</v>
      </c>
      <c r="G255" s="10">
        <f>35.2054 * CHOOSE(CONTROL!$C$9, $D$9, 100%, $F$9) + CHOOSE(CONTROL!$C$27, 0.0021, 0)</f>
        <v>35.207499999999996</v>
      </c>
      <c r="H255" s="10">
        <f>35.0707 * CHOOSE(CONTROL!$C$9, $D$9, 100%, $F$9) + CHOOSE(CONTROL!$C$27, 0.0021, 0)</f>
        <v>35.072800000000001</v>
      </c>
      <c r="I255" s="10">
        <f>35.0707 * CHOOSE(CONTROL!$C$9, $D$9, 100%, $F$9) + CHOOSE(CONTROL!$C$27, 0.0021, 0)</f>
        <v>35.072800000000001</v>
      </c>
      <c r="J255" s="10">
        <f>35.0707 * CHOOSE(CONTROL!$C$9, $D$9, 100%, $F$9) + CHOOSE(CONTROL!$C$27, 0.0021, 0)</f>
        <v>35.072800000000001</v>
      </c>
      <c r="K255" s="10">
        <f>35.0707 * CHOOSE(CONTROL!$C$9, $D$9, 100%, $F$9) + CHOOSE(CONTROL!$C$27, 0.0021, 0)</f>
        <v>35.072800000000001</v>
      </c>
      <c r="L255" s="10"/>
    </row>
    <row r="256" spans="1:12" ht="15" x14ac:dyDescent="0.2">
      <c r="A256" s="16">
        <v>48700</v>
      </c>
      <c r="B256" s="10">
        <f>36.2003 * CHOOSE(CONTROL!$C$9, $D$9, 100%, $F$9) + CHOOSE(CONTROL!$C$27, 0.0021, 0)</f>
        <v>36.202399999999997</v>
      </c>
      <c r="C256" s="10">
        <f>35.7681 * CHOOSE(CONTROL!$C$9, $D$9, 100%, $F$9) + CHOOSE(CONTROL!$C$27, 0.0021, 0)</f>
        <v>35.770199999999996</v>
      </c>
      <c r="D256" s="10">
        <f>35.7681 * CHOOSE(CONTROL!$C$9, $D$9, 100%, $F$9) + CHOOSE(CONTROL!$C$27, 0.0021, 0)</f>
        <v>35.770199999999996</v>
      </c>
      <c r="E256" s="10">
        <f>35.6314 * CHOOSE(CONTROL!$C$9, $D$9, 100%, $F$9) + CHOOSE(CONTROL!$C$27, 0.0021, 0)</f>
        <v>35.633499999999998</v>
      </c>
      <c r="F256" s="10">
        <f>35.6314 * CHOOSE(CONTROL!$C$9, $D$9, 100%, $F$9) + CHOOSE(CONTROL!$C$27, 0.0021, 0)</f>
        <v>35.633499999999998</v>
      </c>
      <c r="G256" s="10">
        <f>35.9028 * CHOOSE(CONTROL!$C$9, $D$9, 100%, $F$9) + CHOOSE(CONTROL!$C$27, 0.0021, 0)</f>
        <v>35.904899999999998</v>
      </c>
      <c r="H256" s="10">
        <f>35.7681 * CHOOSE(CONTROL!$C$9, $D$9, 100%, $F$9) + CHOOSE(CONTROL!$C$27, 0.0021, 0)</f>
        <v>35.770199999999996</v>
      </c>
      <c r="I256" s="10">
        <f>35.7681 * CHOOSE(CONTROL!$C$9, $D$9, 100%, $F$9) + CHOOSE(CONTROL!$C$27, 0.0021, 0)</f>
        <v>35.770199999999996</v>
      </c>
      <c r="J256" s="10">
        <f>35.7681 * CHOOSE(CONTROL!$C$9, $D$9, 100%, $F$9) + CHOOSE(CONTROL!$C$27, 0.0021, 0)</f>
        <v>35.770199999999996</v>
      </c>
      <c r="K256" s="10">
        <f>35.7681 * CHOOSE(CONTROL!$C$9, $D$9, 100%, $F$9) + CHOOSE(CONTROL!$C$27, 0.0021, 0)</f>
        <v>35.770199999999996</v>
      </c>
      <c r="L256" s="10"/>
    </row>
    <row r="257" spans="1:12" ht="15" x14ac:dyDescent="0.2">
      <c r="A257" s="16">
        <v>48731</v>
      </c>
      <c r="B257" s="10">
        <f>36.6181 * CHOOSE(CONTROL!$C$9, $D$9, 100%, $F$9) + CHOOSE(CONTROL!$C$27, 0.0021, 0)</f>
        <v>36.620199999999997</v>
      </c>
      <c r="C257" s="10">
        <f>36.1858 * CHOOSE(CONTROL!$C$9, $D$9, 100%, $F$9) + CHOOSE(CONTROL!$C$27, 0.0021, 0)</f>
        <v>36.187899999999999</v>
      </c>
      <c r="D257" s="10">
        <f>36.1858 * CHOOSE(CONTROL!$C$9, $D$9, 100%, $F$9) + CHOOSE(CONTROL!$C$27, 0.0021, 0)</f>
        <v>36.187899999999999</v>
      </c>
      <c r="E257" s="10">
        <f>36.0492 * CHOOSE(CONTROL!$C$9, $D$9, 100%, $F$9) + CHOOSE(CONTROL!$C$27, 0.0021, 0)</f>
        <v>36.051299999999998</v>
      </c>
      <c r="F257" s="10">
        <f>36.0492 * CHOOSE(CONTROL!$C$9, $D$9, 100%, $F$9) + CHOOSE(CONTROL!$C$27, 0.0021, 0)</f>
        <v>36.051299999999998</v>
      </c>
      <c r="G257" s="10">
        <f>36.3206 * CHOOSE(CONTROL!$C$9, $D$9, 100%, $F$9) + CHOOSE(CONTROL!$C$27, 0.0021, 0)</f>
        <v>36.322699999999998</v>
      </c>
      <c r="H257" s="10">
        <f>36.1858 * CHOOSE(CONTROL!$C$9, $D$9, 100%, $F$9) + CHOOSE(CONTROL!$C$27, 0.0021, 0)</f>
        <v>36.187899999999999</v>
      </c>
      <c r="I257" s="10">
        <f>36.1858 * CHOOSE(CONTROL!$C$9, $D$9, 100%, $F$9) + CHOOSE(CONTROL!$C$27, 0.0021, 0)</f>
        <v>36.187899999999999</v>
      </c>
      <c r="J257" s="10">
        <f>36.1858 * CHOOSE(CONTROL!$C$9, $D$9, 100%, $F$9) + CHOOSE(CONTROL!$C$27, 0.0021, 0)</f>
        <v>36.187899999999999</v>
      </c>
      <c r="K257" s="10">
        <f>36.1858 * CHOOSE(CONTROL!$C$9, $D$9, 100%, $F$9) + CHOOSE(CONTROL!$C$27, 0.0021, 0)</f>
        <v>36.187899999999999</v>
      </c>
      <c r="L257" s="10"/>
    </row>
    <row r="258" spans="1:12" ht="15" x14ac:dyDescent="0.2">
      <c r="A258" s="16">
        <v>48761</v>
      </c>
      <c r="B258" s="10">
        <f>37.3072 * CHOOSE(CONTROL!$C$9, $D$9, 100%, $F$9) + CHOOSE(CONTROL!$C$27, 0.0021, 0)</f>
        <v>37.3093</v>
      </c>
      <c r="C258" s="10">
        <f>36.8749 * CHOOSE(CONTROL!$C$9, $D$9, 100%, $F$9) + CHOOSE(CONTROL!$C$27, 0.0021, 0)</f>
        <v>36.876999999999995</v>
      </c>
      <c r="D258" s="10">
        <f>36.8749 * CHOOSE(CONTROL!$C$9, $D$9, 100%, $F$9) + CHOOSE(CONTROL!$C$27, 0.0021, 0)</f>
        <v>36.876999999999995</v>
      </c>
      <c r="E258" s="10">
        <f>36.7383 * CHOOSE(CONTROL!$C$9, $D$9, 100%, $F$9) + CHOOSE(CONTROL!$C$27, 0.0021, 0)</f>
        <v>36.740400000000001</v>
      </c>
      <c r="F258" s="10">
        <f>36.7383 * CHOOSE(CONTROL!$C$9, $D$9, 100%, $F$9) + CHOOSE(CONTROL!$C$27, 0.0021, 0)</f>
        <v>36.740400000000001</v>
      </c>
      <c r="G258" s="10">
        <f>37.0097 * CHOOSE(CONTROL!$C$9, $D$9, 100%, $F$9) + CHOOSE(CONTROL!$C$27, 0.0021, 0)</f>
        <v>37.011800000000001</v>
      </c>
      <c r="H258" s="10">
        <f>36.8749 * CHOOSE(CONTROL!$C$9, $D$9, 100%, $F$9) + CHOOSE(CONTROL!$C$27, 0.0021, 0)</f>
        <v>36.876999999999995</v>
      </c>
      <c r="I258" s="10">
        <f>36.8749 * CHOOSE(CONTROL!$C$9, $D$9, 100%, $F$9) + CHOOSE(CONTROL!$C$27, 0.0021, 0)</f>
        <v>36.876999999999995</v>
      </c>
      <c r="J258" s="10">
        <f>36.8749 * CHOOSE(CONTROL!$C$9, $D$9, 100%, $F$9) + CHOOSE(CONTROL!$C$27, 0.0021, 0)</f>
        <v>36.876999999999995</v>
      </c>
      <c r="K258" s="10">
        <f>36.8749 * CHOOSE(CONTROL!$C$9, $D$9, 100%, $F$9) + CHOOSE(CONTROL!$C$27, 0.0021, 0)</f>
        <v>36.876999999999995</v>
      </c>
      <c r="L258" s="10"/>
    </row>
    <row r="259" spans="1:12" ht="15" x14ac:dyDescent="0.2">
      <c r="A259" s="16">
        <v>48792</v>
      </c>
      <c r="B259" s="10">
        <f>37.5175 * CHOOSE(CONTROL!$C$9, $D$9, 100%, $F$9) + CHOOSE(CONTROL!$C$27, 0.0021, 0)</f>
        <v>37.519599999999997</v>
      </c>
      <c r="C259" s="10">
        <f>37.0853 * CHOOSE(CONTROL!$C$9, $D$9, 100%, $F$9) + CHOOSE(CONTROL!$C$27, 0.0021, 0)</f>
        <v>37.087399999999995</v>
      </c>
      <c r="D259" s="10">
        <f>37.0853 * CHOOSE(CONTROL!$C$9, $D$9, 100%, $F$9) + CHOOSE(CONTROL!$C$27, 0.0021, 0)</f>
        <v>37.087399999999995</v>
      </c>
      <c r="E259" s="10">
        <f>36.9486 * CHOOSE(CONTROL!$C$9, $D$9, 100%, $F$9) + CHOOSE(CONTROL!$C$27, 0.0021, 0)</f>
        <v>36.950699999999998</v>
      </c>
      <c r="F259" s="10">
        <f>36.9486 * CHOOSE(CONTROL!$C$9, $D$9, 100%, $F$9) + CHOOSE(CONTROL!$C$27, 0.0021, 0)</f>
        <v>36.950699999999998</v>
      </c>
      <c r="G259" s="10">
        <f>37.22 * CHOOSE(CONTROL!$C$9, $D$9, 100%, $F$9) + CHOOSE(CONTROL!$C$27, 0.0021, 0)</f>
        <v>37.222099999999998</v>
      </c>
      <c r="H259" s="10">
        <f>37.0853 * CHOOSE(CONTROL!$C$9, $D$9, 100%, $F$9) + CHOOSE(CONTROL!$C$27, 0.0021, 0)</f>
        <v>37.087399999999995</v>
      </c>
      <c r="I259" s="10">
        <f>37.0853 * CHOOSE(CONTROL!$C$9, $D$9, 100%, $F$9) + CHOOSE(CONTROL!$C$27, 0.0021, 0)</f>
        <v>37.087399999999995</v>
      </c>
      <c r="J259" s="10">
        <f>37.0853 * CHOOSE(CONTROL!$C$9, $D$9, 100%, $F$9) + CHOOSE(CONTROL!$C$27, 0.0021, 0)</f>
        <v>37.087399999999995</v>
      </c>
      <c r="K259" s="10">
        <f>37.0853 * CHOOSE(CONTROL!$C$9, $D$9, 100%, $F$9) + CHOOSE(CONTROL!$C$27, 0.0021, 0)</f>
        <v>37.087399999999995</v>
      </c>
      <c r="L259" s="10"/>
    </row>
    <row r="260" spans="1:12" ht="15" x14ac:dyDescent="0.2">
      <c r="A260" s="16">
        <v>48823</v>
      </c>
      <c r="B260" s="10">
        <f>38.2338 * CHOOSE(CONTROL!$C$9, $D$9, 100%, $F$9) + CHOOSE(CONTROL!$C$27, 0.0021, 0)</f>
        <v>38.235900000000001</v>
      </c>
      <c r="C260" s="10">
        <f>37.8016 * CHOOSE(CONTROL!$C$9, $D$9, 100%, $F$9) + CHOOSE(CONTROL!$C$27, 0.0021, 0)</f>
        <v>37.803699999999999</v>
      </c>
      <c r="D260" s="10">
        <f>37.8016 * CHOOSE(CONTROL!$C$9, $D$9, 100%, $F$9) + CHOOSE(CONTROL!$C$27, 0.0021, 0)</f>
        <v>37.803699999999999</v>
      </c>
      <c r="E260" s="10">
        <f>37.6649 * CHOOSE(CONTROL!$C$9, $D$9, 100%, $F$9) + CHOOSE(CONTROL!$C$27, 0.0021, 0)</f>
        <v>37.667000000000002</v>
      </c>
      <c r="F260" s="10">
        <f>37.6649 * CHOOSE(CONTROL!$C$9, $D$9, 100%, $F$9) + CHOOSE(CONTROL!$C$27, 0.0021, 0)</f>
        <v>37.667000000000002</v>
      </c>
      <c r="G260" s="10">
        <f>37.9363 * CHOOSE(CONTROL!$C$9, $D$9, 100%, $F$9) + CHOOSE(CONTROL!$C$27, 0.0021, 0)</f>
        <v>37.938400000000001</v>
      </c>
      <c r="H260" s="10">
        <f>37.8016 * CHOOSE(CONTROL!$C$9, $D$9, 100%, $F$9) + CHOOSE(CONTROL!$C$27, 0.0021, 0)</f>
        <v>37.803699999999999</v>
      </c>
      <c r="I260" s="10">
        <f>37.8016 * CHOOSE(CONTROL!$C$9, $D$9, 100%, $F$9) + CHOOSE(CONTROL!$C$27, 0.0021, 0)</f>
        <v>37.803699999999999</v>
      </c>
      <c r="J260" s="10">
        <f>37.8016 * CHOOSE(CONTROL!$C$9, $D$9, 100%, $F$9) + CHOOSE(CONTROL!$C$27, 0.0021, 0)</f>
        <v>37.803699999999999</v>
      </c>
      <c r="K260" s="10">
        <f>37.8016 * CHOOSE(CONTROL!$C$9, $D$9, 100%, $F$9) + CHOOSE(CONTROL!$C$27, 0.0021, 0)</f>
        <v>37.803699999999999</v>
      </c>
      <c r="L260" s="10"/>
    </row>
    <row r="261" spans="1:12" ht="15" x14ac:dyDescent="0.2">
      <c r="A261" s="16">
        <v>48853</v>
      </c>
      <c r="B261" s="10">
        <f>39.1406 * CHOOSE(CONTROL!$C$9, $D$9, 100%, $F$9) + CHOOSE(CONTROL!$C$27, 0.0021, 0)</f>
        <v>39.142699999999998</v>
      </c>
      <c r="C261" s="10">
        <f>38.7083 * CHOOSE(CONTROL!$C$9, $D$9, 100%, $F$9) + CHOOSE(CONTROL!$C$27, 0.0021, 0)</f>
        <v>38.7104</v>
      </c>
      <c r="D261" s="10">
        <f>38.7083 * CHOOSE(CONTROL!$C$9, $D$9, 100%, $F$9) + CHOOSE(CONTROL!$C$27, 0.0021, 0)</f>
        <v>38.7104</v>
      </c>
      <c r="E261" s="10">
        <f>38.5716 * CHOOSE(CONTROL!$C$9, $D$9, 100%, $F$9) + CHOOSE(CONTROL!$C$27, 0.0021, 0)</f>
        <v>38.573699999999995</v>
      </c>
      <c r="F261" s="10">
        <f>38.5716 * CHOOSE(CONTROL!$C$9, $D$9, 100%, $F$9) + CHOOSE(CONTROL!$C$27, 0.0021, 0)</f>
        <v>38.573699999999995</v>
      </c>
      <c r="G261" s="10">
        <f>38.843 * CHOOSE(CONTROL!$C$9, $D$9, 100%, $F$9) + CHOOSE(CONTROL!$C$27, 0.0021, 0)</f>
        <v>38.845100000000002</v>
      </c>
      <c r="H261" s="10">
        <f>38.7083 * CHOOSE(CONTROL!$C$9, $D$9, 100%, $F$9) + CHOOSE(CONTROL!$C$27, 0.0021, 0)</f>
        <v>38.7104</v>
      </c>
      <c r="I261" s="10">
        <f>38.7083 * CHOOSE(CONTROL!$C$9, $D$9, 100%, $F$9) + CHOOSE(CONTROL!$C$27, 0.0021, 0)</f>
        <v>38.7104</v>
      </c>
      <c r="J261" s="10">
        <f>38.7083 * CHOOSE(CONTROL!$C$9, $D$9, 100%, $F$9) + CHOOSE(CONTROL!$C$27, 0.0021, 0)</f>
        <v>38.7104</v>
      </c>
      <c r="K261" s="10">
        <f>38.7083 * CHOOSE(CONTROL!$C$9, $D$9, 100%, $F$9) + CHOOSE(CONTROL!$C$27, 0.0021, 0)</f>
        <v>38.7104</v>
      </c>
      <c r="L261" s="10"/>
    </row>
    <row r="262" spans="1:12" ht="15" x14ac:dyDescent="0.2">
      <c r="A262" s="16">
        <v>48884</v>
      </c>
      <c r="B262" s="10">
        <f>39.2257 * CHOOSE(CONTROL!$C$9, $D$9, 100%, $F$9) + CHOOSE(CONTROL!$C$27, 0.0021, 0)</f>
        <v>39.227800000000002</v>
      </c>
      <c r="C262" s="10">
        <f>38.7934 * CHOOSE(CONTROL!$C$9, $D$9, 100%, $F$9) + CHOOSE(CONTROL!$C$27, 0.0021, 0)</f>
        <v>38.795499999999997</v>
      </c>
      <c r="D262" s="10">
        <f>38.7934 * CHOOSE(CONTROL!$C$9, $D$9, 100%, $F$9) + CHOOSE(CONTROL!$C$27, 0.0021, 0)</f>
        <v>38.795499999999997</v>
      </c>
      <c r="E262" s="10">
        <f>38.6568 * CHOOSE(CONTROL!$C$9, $D$9, 100%, $F$9) + CHOOSE(CONTROL!$C$27, 0.0021, 0)</f>
        <v>38.658899999999996</v>
      </c>
      <c r="F262" s="10">
        <f>38.6568 * CHOOSE(CONTROL!$C$9, $D$9, 100%, $F$9) + CHOOSE(CONTROL!$C$27, 0.0021, 0)</f>
        <v>38.658899999999996</v>
      </c>
      <c r="G262" s="10">
        <f>38.9281 * CHOOSE(CONTROL!$C$9, $D$9, 100%, $F$9) + CHOOSE(CONTROL!$C$27, 0.0021, 0)</f>
        <v>38.930199999999999</v>
      </c>
      <c r="H262" s="10">
        <f>38.7934 * CHOOSE(CONTROL!$C$9, $D$9, 100%, $F$9) + CHOOSE(CONTROL!$C$27, 0.0021, 0)</f>
        <v>38.795499999999997</v>
      </c>
      <c r="I262" s="10">
        <f>38.7934 * CHOOSE(CONTROL!$C$9, $D$9, 100%, $F$9) + CHOOSE(CONTROL!$C$27, 0.0021, 0)</f>
        <v>38.795499999999997</v>
      </c>
      <c r="J262" s="10">
        <f>38.7934 * CHOOSE(CONTROL!$C$9, $D$9, 100%, $F$9) + CHOOSE(CONTROL!$C$27, 0.0021, 0)</f>
        <v>38.795499999999997</v>
      </c>
      <c r="K262" s="10">
        <f>38.7934 * CHOOSE(CONTROL!$C$9, $D$9, 100%, $F$9) + CHOOSE(CONTROL!$C$27, 0.0021, 0)</f>
        <v>38.795499999999997</v>
      </c>
      <c r="L262" s="10"/>
    </row>
    <row r="263" spans="1:12" ht="15" x14ac:dyDescent="0.2">
      <c r="A263" s="16">
        <v>48914</v>
      </c>
      <c r="B263" s="10">
        <f>38.5015 * CHOOSE(CONTROL!$C$9, $D$9, 100%, $F$9) + CHOOSE(CONTROL!$C$27, 0.0021, 0)</f>
        <v>38.503599999999999</v>
      </c>
      <c r="C263" s="10">
        <f>38.0692 * CHOOSE(CONTROL!$C$9, $D$9, 100%, $F$9) + CHOOSE(CONTROL!$C$27, 0.0021, 0)</f>
        <v>38.071300000000001</v>
      </c>
      <c r="D263" s="10">
        <f>38.0692 * CHOOSE(CONTROL!$C$9, $D$9, 100%, $F$9) + CHOOSE(CONTROL!$C$27, 0.0021, 0)</f>
        <v>38.071300000000001</v>
      </c>
      <c r="E263" s="10">
        <f>37.9326 * CHOOSE(CONTROL!$C$9, $D$9, 100%, $F$9) + CHOOSE(CONTROL!$C$27, 0.0021, 0)</f>
        <v>37.934699999999999</v>
      </c>
      <c r="F263" s="10">
        <f>37.9326 * CHOOSE(CONTROL!$C$9, $D$9, 100%, $F$9) + CHOOSE(CONTROL!$C$27, 0.0021, 0)</f>
        <v>37.934699999999999</v>
      </c>
      <c r="G263" s="10">
        <f>38.204 * CHOOSE(CONTROL!$C$9, $D$9, 100%, $F$9) + CHOOSE(CONTROL!$C$27, 0.0021, 0)</f>
        <v>38.206099999999999</v>
      </c>
      <c r="H263" s="10">
        <f>38.0692 * CHOOSE(CONTROL!$C$9, $D$9, 100%, $F$9) + CHOOSE(CONTROL!$C$27, 0.0021, 0)</f>
        <v>38.071300000000001</v>
      </c>
      <c r="I263" s="10">
        <f>38.0692 * CHOOSE(CONTROL!$C$9, $D$9, 100%, $F$9) + CHOOSE(CONTROL!$C$27, 0.0021, 0)</f>
        <v>38.071300000000001</v>
      </c>
      <c r="J263" s="10">
        <f>38.0692 * CHOOSE(CONTROL!$C$9, $D$9, 100%, $F$9) + CHOOSE(CONTROL!$C$27, 0.0021, 0)</f>
        <v>38.071300000000001</v>
      </c>
      <c r="K263" s="10">
        <f>38.0692 * CHOOSE(CONTROL!$C$9, $D$9, 100%, $F$9) + CHOOSE(CONTROL!$C$27, 0.0021, 0)</f>
        <v>38.071300000000001</v>
      </c>
      <c r="L263" s="10"/>
    </row>
    <row r="264" spans="1:12" ht="15" x14ac:dyDescent="0.2">
      <c r="A264" s="16">
        <v>48945</v>
      </c>
      <c r="B264" s="10">
        <f>38.0271 * CHOOSE(CONTROL!$C$9, $D$9, 100%, $F$9) + CHOOSE(CONTROL!$C$27, 0.0021, 0)</f>
        <v>38.029199999999996</v>
      </c>
      <c r="C264" s="10">
        <f>37.5948 * CHOOSE(CONTROL!$C$9, $D$9, 100%, $F$9) + CHOOSE(CONTROL!$C$27, 0.0021, 0)</f>
        <v>37.596899999999998</v>
      </c>
      <c r="D264" s="10">
        <f>37.5948 * CHOOSE(CONTROL!$C$9, $D$9, 100%, $F$9) + CHOOSE(CONTROL!$C$27, 0.0021, 0)</f>
        <v>37.596899999999998</v>
      </c>
      <c r="E264" s="10">
        <f>37.4582 * CHOOSE(CONTROL!$C$9, $D$9, 100%, $F$9) + CHOOSE(CONTROL!$C$27, 0.0021, 0)</f>
        <v>37.460299999999997</v>
      </c>
      <c r="F264" s="10">
        <f>37.4582 * CHOOSE(CONTROL!$C$9, $D$9, 100%, $F$9) + CHOOSE(CONTROL!$C$27, 0.0021, 0)</f>
        <v>37.460299999999997</v>
      </c>
      <c r="G264" s="10">
        <f>37.7295 * CHOOSE(CONTROL!$C$9, $D$9, 100%, $F$9) + CHOOSE(CONTROL!$C$27, 0.0021, 0)</f>
        <v>37.7316</v>
      </c>
      <c r="H264" s="10">
        <f>37.5948 * CHOOSE(CONTROL!$C$9, $D$9, 100%, $F$9) + CHOOSE(CONTROL!$C$27, 0.0021, 0)</f>
        <v>37.596899999999998</v>
      </c>
      <c r="I264" s="10">
        <f>37.5948 * CHOOSE(CONTROL!$C$9, $D$9, 100%, $F$9) + CHOOSE(CONTROL!$C$27, 0.0021, 0)</f>
        <v>37.596899999999998</v>
      </c>
      <c r="J264" s="10">
        <f>37.5948 * CHOOSE(CONTROL!$C$9, $D$9, 100%, $F$9) + CHOOSE(CONTROL!$C$27, 0.0021, 0)</f>
        <v>37.596899999999998</v>
      </c>
      <c r="K264" s="10">
        <f>37.5948 * CHOOSE(CONTROL!$C$9, $D$9, 100%, $F$9) + CHOOSE(CONTROL!$C$27, 0.0021, 0)</f>
        <v>37.596899999999998</v>
      </c>
      <c r="L264" s="10"/>
    </row>
    <row r="265" spans="1:12" ht="15" x14ac:dyDescent="0.2">
      <c r="A265" s="16">
        <v>48976</v>
      </c>
      <c r="B265" s="10">
        <f>37.0163 * CHOOSE(CONTROL!$C$9, $D$9, 100%, $F$9) + CHOOSE(CONTROL!$C$27, 0.0021, 0)</f>
        <v>37.0184</v>
      </c>
      <c r="C265" s="10">
        <f>36.5841 * CHOOSE(CONTROL!$C$9, $D$9, 100%, $F$9) + CHOOSE(CONTROL!$C$27, 0.0021, 0)</f>
        <v>36.586199999999998</v>
      </c>
      <c r="D265" s="10">
        <f>36.5841 * CHOOSE(CONTROL!$C$9, $D$9, 100%, $F$9) + CHOOSE(CONTROL!$C$27, 0.0021, 0)</f>
        <v>36.586199999999998</v>
      </c>
      <c r="E265" s="10">
        <f>36.4474 * CHOOSE(CONTROL!$C$9, $D$9, 100%, $F$9) + CHOOSE(CONTROL!$C$27, 0.0021, 0)</f>
        <v>36.4495</v>
      </c>
      <c r="F265" s="10">
        <f>36.4474 * CHOOSE(CONTROL!$C$9, $D$9, 100%, $F$9) + CHOOSE(CONTROL!$C$27, 0.0021, 0)</f>
        <v>36.4495</v>
      </c>
      <c r="G265" s="10">
        <f>36.7188 * CHOOSE(CONTROL!$C$9, $D$9, 100%, $F$9) + CHOOSE(CONTROL!$C$27, 0.0021, 0)</f>
        <v>36.7209</v>
      </c>
      <c r="H265" s="10">
        <f>36.5841 * CHOOSE(CONTROL!$C$9, $D$9, 100%, $F$9) + CHOOSE(CONTROL!$C$27, 0.0021, 0)</f>
        <v>36.586199999999998</v>
      </c>
      <c r="I265" s="10">
        <f>36.5841 * CHOOSE(CONTROL!$C$9, $D$9, 100%, $F$9) + CHOOSE(CONTROL!$C$27, 0.0021, 0)</f>
        <v>36.586199999999998</v>
      </c>
      <c r="J265" s="10">
        <f>36.5841 * CHOOSE(CONTROL!$C$9, $D$9, 100%, $F$9) + CHOOSE(CONTROL!$C$27, 0.0021, 0)</f>
        <v>36.586199999999998</v>
      </c>
      <c r="K265" s="10">
        <f>36.5841 * CHOOSE(CONTROL!$C$9, $D$9, 100%, $F$9) + CHOOSE(CONTROL!$C$27, 0.0021, 0)</f>
        <v>36.586199999999998</v>
      </c>
      <c r="L265" s="10"/>
    </row>
    <row r="266" spans="1:12" ht="15" x14ac:dyDescent="0.2">
      <c r="A266" s="16">
        <v>49004</v>
      </c>
      <c r="B266" s="10">
        <f>36.5991 * CHOOSE(CONTROL!$C$9, $D$9, 100%, $F$9) + CHOOSE(CONTROL!$C$27, 0.0021, 0)</f>
        <v>36.601199999999999</v>
      </c>
      <c r="C266" s="10">
        <f>36.1668 * CHOOSE(CONTROL!$C$9, $D$9, 100%, $F$9) + CHOOSE(CONTROL!$C$27, 0.0021, 0)</f>
        <v>36.168900000000001</v>
      </c>
      <c r="D266" s="10">
        <f>36.1668 * CHOOSE(CONTROL!$C$9, $D$9, 100%, $F$9) + CHOOSE(CONTROL!$C$27, 0.0021, 0)</f>
        <v>36.168900000000001</v>
      </c>
      <c r="E266" s="10">
        <f>36.0302 * CHOOSE(CONTROL!$C$9, $D$9, 100%, $F$9) + CHOOSE(CONTROL!$C$27, 0.0021, 0)</f>
        <v>36.032299999999999</v>
      </c>
      <c r="F266" s="10">
        <f>36.0302 * CHOOSE(CONTROL!$C$9, $D$9, 100%, $F$9) + CHOOSE(CONTROL!$C$27, 0.0021, 0)</f>
        <v>36.032299999999999</v>
      </c>
      <c r="G266" s="10">
        <f>36.3015 * CHOOSE(CONTROL!$C$9, $D$9, 100%, $F$9) + CHOOSE(CONTROL!$C$27, 0.0021, 0)</f>
        <v>36.303599999999996</v>
      </c>
      <c r="H266" s="10">
        <f>36.1668 * CHOOSE(CONTROL!$C$9, $D$9, 100%, $F$9) + CHOOSE(CONTROL!$C$27, 0.0021, 0)</f>
        <v>36.168900000000001</v>
      </c>
      <c r="I266" s="10">
        <f>36.1668 * CHOOSE(CONTROL!$C$9, $D$9, 100%, $F$9) + CHOOSE(CONTROL!$C$27, 0.0021, 0)</f>
        <v>36.168900000000001</v>
      </c>
      <c r="J266" s="10">
        <f>36.1668 * CHOOSE(CONTROL!$C$9, $D$9, 100%, $F$9) + CHOOSE(CONTROL!$C$27, 0.0021, 0)</f>
        <v>36.168900000000001</v>
      </c>
      <c r="K266" s="10">
        <f>36.1668 * CHOOSE(CONTROL!$C$9, $D$9, 100%, $F$9) + CHOOSE(CONTROL!$C$27, 0.0021, 0)</f>
        <v>36.168900000000001</v>
      </c>
      <c r="L266" s="10"/>
    </row>
    <row r="267" spans="1:12" ht="15" x14ac:dyDescent="0.2">
      <c r="A267" s="16">
        <v>49035</v>
      </c>
      <c r="B267" s="10">
        <f>36.1009 * CHOOSE(CONTROL!$C$9, $D$9, 100%, $F$9) + CHOOSE(CONTROL!$C$27, 0.0021, 0)</f>
        <v>36.103000000000002</v>
      </c>
      <c r="C267" s="10">
        <f>35.6686 * CHOOSE(CONTROL!$C$9, $D$9, 100%, $F$9) + CHOOSE(CONTROL!$C$27, 0.0021, 0)</f>
        <v>35.670699999999997</v>
      </c>
      <c r="D267" s="10">
        <f>35.6686 * CHOOSE(CONTROL!$C$9, $D$9, 100%, $F$9) + CHOOSE(CONTROL!$C$27, 0.0021, 0)</f>
        <v>35.670699999999997</v>
      </c>
      <c r="E267" s="10">
        <f>35.532 * CHOOSE(CONTROL!$C$9, $D$9, 100%, $F$9) + CHOOSE(CONTROL!$C$27, 0.0021, 0)</f>
        <v>35.534099999999995</v>
      </c>
      <c r="F267" s="10">
        <f>35.532 * CHOOSE(CONTROL!$C$9, $D$9, 100%, $F$9) + CHOOSE(CONTROL!$C$27, 0.0021, 0)</f>
        <v>35.534099999999995</v>
      </c>
      <c r="G267" s="10">
        <f>35.8033 * CHOOSE(CONTROL!$C$9, $D$9, 100%, $F$9) + CHOOSE(CONTROL!$C$27, 0.0021, 0)</f>
        <v>35.805399999999999</v>
      </c>
      <c r="H267" s="10">
        <f>35.6686 * CHOOSE(CONTROL!$C$9, $D$9, 100%, $F$9) + CHOOSE(CONTROL!$C$27, 0.0021, 0)</f>
        <v>35.670699999999997</v>
      </c>
      <c r="I267" s="10">
        <f>35.6686 * CHOOSE(CONTROL!$C$9, $D$9, 100%, $F$9) + CHOOSE(CONTROL!$C$27, 0.0021, 0)</f>
        <v>35.670699999999997</v>
      </c>
      <c r="J267" s="10">
        <f>35.6686 * CHOOSE(CONTROL!$C$9, $D$9, 100%, $F$9) + CHOOSE(CONTROL!$C$27, 0.0021, 0)</f>
        <v>35.670699999999997</v>
      </c>
      <c r="K267" s="10">
        <f>35.6686 * CHOOSE(CONTROL!$C$9, $D$9, 100%, $F$9) + CHOOSE(CONTROL!$C$27, 0.0021, 0)</f>
        <v>35.670699999999997</v>
      </c>
      <c r="L267" s="10"/>
    </row>
    <row r="268" spans="1:12" ht="15" x14ac:dyDescent="0.2">
      <c r="A268" s="16">
        <v>49065</v>
      </c>
      <c r="B268" s="10">
        <f>36.8109 * CHOOSE(CONTROL!$C$9, $D$9, 100%, $F$9) + CHOOSE(CONTROL!$C$27, 0.0021, 0)</f>
        <v>36.812999999999995</v>
      </c>
      <c r="C268" s="10">
        <f>36.3786 * CHOOSE(CONTROL!$C$9, $D$9, 100%, $F$9) + CHOOSE(CONTROL!$C$27, 0.0021, 0)</f>
        <v>36.380699999999997</v>
      </c>
      <c r="D268" s="10">
        <f>36.3786 * CHOOSE(CONTROL!$C$9, $D$9, 100%, $F$9) + CHOOSE(CONTROL!$C$27, 0.0021, 0)</f>
        <v>36.380699999999997</v>
      </c>
      <c r="E268" s="10">
        <f>36.2419 * CHOOSE(CONTROL!$C$9, $D$9, 100%, $F$9) + CHOOSE(CONTROL!$C$27, 0.0021, 0)</f>
        <v>36.244</v>
      </c>
      <c r="F268" s="10">
        <f>36.2419 * CHOOSE(CONTROL!$C$9, $D$9, 100%, $F$9) + CHOOSE(CONTROL!$C$27, 0.0021, 0)</f>
        <v>36.244</v>
      </c>
      <c r="G268" s="10">
        <f>36.5133 * CHOOSE(CONTROL!$C$9, $D$9, 100%, $F$9) + CHOOSE(CONTROL!$C$27, 0.0021, 0)</f>
        <v>36.5154</v>
      </c>
      <c r="H268" s="10">
        <f>36.3786 * CHOOSE(CONTROL!$C$9, $D$9, 100%, $F$9) + CHOOSE(CONTROL!$C$27, 0.0021, 0)</f>
        <v>36.380699999999997</v>
      </c>
      <c r="I268" s="10">
        <f>36.3786 * CHOOSE(CONTROL!$C$9, $D$9, 100%, $F$9) + CHOOSE(CONTROL!$C$27, 0.0021, 0)</f>
        <v>36.380699999999997</v>
      </c>
      <c r="J268" s="10">
        <f>36.3786 * CHOOSE(CONTROL!$C$9, $D$9, 100%, $F$9) + CHOOSE(CONTROL!$C$27, 0.0021, 0)</f>
        <v>36.380699999999997</v>
      </c>
      <c r="K268" s="10">
        <f>36.3786 * CHOOSE(CONTROL!$C$9, $D$9, 100%, $F$9) + CHOOSE(CONTROL!$C$27, 0.0021, 0)</f>
        <v>36.380699999999997</v>
      </c>
      <c r="L268" s="10"/>
    </row>
    <row r="269" spans="1:12" ht="15" x14ac:dyDescent="0.2">
      <c r="A269" s="16">
        <v>49096</v>
      </c>
      <c r="B269" s="10">
        <f>37.2361 * CHOOSE(CONTROL!$C$9, $D$9, 100%, $F$9) + CHOOSE(CONTROL!$C$27, 0.0021, 0)</f>
        <v>37.238199999999999</v>
      </c>
      <c r="C269" s="10">
        <f>36.8039 * CHOOSE(CONTROL!$C$9, $D$9, 100%, $F$9) + CHOOSE(CONTROL!$C$27, 0.0021, 0)</f>
        <v>36.805999999999997</v>
      </c>
      <c r="D269" s="10">
        <f>36.8039 * CHOOSE(CONTROL!$C$9, $D$9, 100%, $F$9) + CHOOSE(CONTROL!$C$27, 0.0021, 0)</f>
        <v>36.805999999999997</v>
      </c>
      <c r="E269" s="10">
        <f>36.6672 * CHOOSE(CONTROL!$C$9, $D$9, 100%, $F$9) + CHOOSE(CONTROL!$C$27, 0.0021, 0)</f>
        <v>36.6693</v>
      </c>
      <c r="F269" s="10">
        <f>36.6672 * CHOOSE(CONTROL!$C$9, $D$9, 100%, $F$9) + CHOOSE(CONTROL!$C$27, 0.0021, 0)</f>
        <v>36.6693</v>
      </c>
      <c r="G269" s="10">
        <f>36.9386 * CHOOSE(CONTROL!$C$9, $D$9, 100%, $F$9) + CHOOSE(CONTROL!$C$27, 0.0021, 0)</f>
        <v>36.9407</v>
      </c>
      <c r="H269" s="10">
        <f>36.8039 * CHOOSE(CONTROL!$C$9, $D$9, 100%, $F$9) + CHOOSE(CONTROL!$C$27, 0.0021, 0)</f>
        <v>36.805999999999997</v>
      </c>
      <c r="I269" s="10">
        <f>36.8039 * CHOOSE(CONTROL!$C$9, $D$9, 100%, $F$9) + CHOOSE(CONTROL!$C$27, 0.0021, 0)</f>
        <v>36.805999999999997</v>
      </c>
      <c r="J269" s="10">
        <f>36.8039 * CHOOSE(CONTROL!$C$9, $D$9, 100%, $F$9) + CHOOSE(CONTROL!$C$27, 0.0021, 0)</f>
        <v>36.805999999999997</v>
      </c>
      <c r="K269" s="10">
        <f>36.8039 * CHOOSE(CONTROL!$C$9, $D$9, 100%, $F$9) + CHOOSE(CONTROL!$C$27, 0.0021, 0)</f>
        <v>36.805999999999997</v>
      </c>
      <c r="L269" s="10"/>
    </row>
    <row r="270" spans="1:12" ht="15" x14ac:dyDescent="0.2">
      <c r="A270" s="16">
        <v>49126</v>
      </c>
      <c r="B270" s="10">
        <f>37.9376 * CHOOSE(CONTROL!$C$9, $D$9, 100%, $F$9) + CHOOSE(CONTROL!$C$27, 0.0021, 0)</f>
        <v>37.939700000000002</v>
      </c>
      <c r="C270" s="10">
        <f>37.5054 * CHOOSE(CONTROL!$C$9, $D$9, 100%, $F$9) + CHOOSE(CONTROL!$C$27, 0.0021, 0)</f>
        <v>37.5075</v>
      </c>
      <c r="D270" s="10">
        <f>37.5054 * CHOOSE(CONTROL!$C$9, $D$9, 100%, $F$9) + CHOOSE(CONTROL!$C$27, 0.0021, 0)</f>
        <v>37.5075</v>
      </c>
      <c r="E270" s="10">
        <f>37.3687 * CHOOSE(CONTROL!$C$9, $D$9, 100%, $F$9) + CHOOSE(CONTROL!$C$27, 0.0021, 0)</f>
        <v>37.370799999999996</v>
      </c>
      <c r="F270" s="10">
        <f>37.3687 * CHOOSE(CONTROL!$C$9, $D$9, 100%, $F$9) + CHOOSE(CONTROL!$C$27, 0.0021, 0)</f>
        <v>37.370799999999996</v>
      </c>
      <c r="G270" s="10">
        <f>37.6401 * CHOOSE(CONTROL!$C$9, $D$9, 100%, $F$9) + CHOOSE(CONTROL!$C$27, 0.0021, 0)</f>
        <v>37.642199999999995</v>
      </c>
      <c r="H270" s="10">
        <f>37.5054 * CHOOSE(CONTROL!$C$9, $D$9, 100%, $F$9) + CHOOSE(CONTROL!$C$27, 0.0021, 0)</f>
        <v>37.5075</v>
      </c>
      <c r="I270" s="10">
        <f>37.5054 * CHOOSE(CONTROL!$C$9, $D$9, 100%, $F$9) + CHOOSE(CONTROL!$C$27, 0.0021, 0)</f>
        <v>37.5075</v>
      </c>
      <c r="J270" s="10">
        <f>37.5054 * CHOOSE(CONTROL!$C$9, $D$9, 100%, $F$9) + CHOOSE(CONTROL!$C$27, 0.0021, 0)</f>
        <v>37.5075</v>
      </c>
      <c r="K270" s="10">
        <f>37.5054 * CHOOSE(CONTROL!$C$9, $D$9, 100%, $F$9) + CHOOSE(CONTROL!$C$27, 0.0021, 0)</f>
        <v>37.5075</v>
      </c>
      <c r="L270" s="10"/>
    </row>
    <row r="271" spans="1:12" ht="15" x14ac:dyDescent="0.2">
      <c r="A271" s="16">
        <v>49157</v>
      </c>
      <c r="B271" s="10">
        <f>38.1518 * CHOOSE(CONTROL!$C$9, $D$9, 100%, $F$9) + CHOOSE(CONTROL!$C$27, 0.0021, 0)</f>
        <v>38.1539</v>
      </c>
      <c r="C271" s="10">
        <f>37.7195 * CHOOSE(CONTROL!$C$9, $D$9, 100%, $F$9) + CHOOSE(CONTROL!$C$27, 0.0021, 0)</f>
        <v>37.721599999999995</v>
      </c>
      <c r="D271" s="10">
        <f>37.7195 * CHOOSE(CONTROL!$C$9, $D$9, 100%, $F$9) + CHOOSE(CONTROL!$C$27, 0.0021, 0)</f>
        <v>37.721599999999995</v>
      </c>
      <c r="E271" s="10">
        <f>37.5829 * CHOOSE(CONTROL!$C$9, $D$9, 100%, $F$9) + CHOOSE(CONTROL!$C$27, 0.0021, 0)</f>
        <v>37.585000000000001</v>
      </c>
      <c r="F271" s="10">
        <f>37.5829 * CHOOSE(CONTROL!$C$9, $D$9, 100%, $F$9) + CHOOSE(CONTROL!$C$27, 0.0021, 0)</f>
        <v>37.585000000000001</v>
      </c>
      <c r="G271" s="10">
        <f>37.8542 * CHOOSE(CONTROL!$C$9, $D$9, 100%, $F$9) + CHOOSE(CONTROL!$C$27, 0.0021, 0)</f>
        <v>37.856299999999997</v>
      </c>
      <c r="H271" s="10">
        <f>37.7195 * CHOOSE(CONTROL!$C$9, $D$9, 100%, $F$9) + CHOOSE(CONTROL!$C$27, 0.0021, 0)</f>
        <v>37.721599999999995</v>
      </c>
      <c r="I271" s="10">
        <f>37.7195 * CHOOSE(CONTROL!$C$9, $D$9, 100%, $F$9) + CHOOSE(CONTROL!$C$27, 0.0021, 0)</f>
        <v>37.721599999999995</v>
      </c>
      <c r="J271" s="10">
        <f>37.7195 * CHOOSE(CONTROL!$C$9, $D$9, 100%, $F$9) + CHOOSE(CONTROL!$C$27, 0.0021, 0)</f>
        <v>37.721599999999995</v>
      </c>
      <c r="K271" s="10">
        <f>37.7195 * CHOOSE(CONTROL!$C$9, $D$9, 100%, $F$9) + CHOOSE(CONTROL!$C$27, 0.0021, 0)</f>
        <v>37.721599999999995</v>
      </c>
      <c r="L271" s="10"/>
    </row>
    <row r="272" spans="1:12" ht="15" x14ac:dyDescent="0.2">
      <c r="A272" s="16">
        <v>49188</v>
      </c>
      <c r="B272" s="10">
        <f>38.881 * CHOOSE(CONTROL!$C$9, $D$9, 100%, $F$9) + CHOOSE(CONTROL!$C$27, 0.0021, 0)</f>
        <v>38.883099999999999</v>
      </c>
      <c r="C272" s="10">
        <f>38.4487 * CHOOSE(CONTROL!$C$9, $D$9, 100%, $F$9) + CHOOSE(CONTROL!$C$27, 0.0021, 0)</f>
        <v>38.450800000000001</v>
      </c>
      <c r="D272" s="10">
        <f>38.4487 * CHOOSE(CONTROL!$C$9, $D$9, 100%, $F$9) + CHOOSE(CONTROL!$C$27, 0.0021, 0)</f>
        <v>38.450800000000001</v>
      </c>
      <c r="E272" s="10">
        <f>38.3121 * CHOOSE(CONTROL!$C$9, $D$9, 100%, $F$9) + CHOOSE(CONTROL!$C$27, 0.0021, 0)</f>
        <v>38.3142</v>
      </c>
      <c r="F272" s="10">
        <f>38.3121 * CHOOSE(CONTROL!$C$9, $D$9, 100%, $F$9) + CHOOSE(CONTROL!$C$27, 0.0021, 0)</f>
        <v>38.3142</v>
      </c>
      <c r="G272" s="10">
        <f>38.5834 * CHOOSE(CONTROL!$C$9, $D$9, 100%, $F$9) + CHOOSE(CONTROL!$C$27, 0.0021, 0)</f>
        <v>38.585499999999996</v>
      </c>
      <c r="H272" s="10">
        <f>38.4487 * CHOOSE(CONTROL!$C$9, $D$9, 100%, $F$9) + CHOOSE(CONTROL!$C$27, 0.0021, 0)</f>
        <v>38.450800000000001</v>
      </c>
      <c r="I272" s="10">
        <f>38.4487 * CHOOSE(CONTROL!$C$9, $D$9, 100%, $F$9) + CHOOSE(CONTROL!$C$27, 0.0021, 0)</f>
        <v>38.450800000000001</v>
      </c>
      <c r="J272" s="10">
        <f>38.4487 * CHOOSE(CONTROL!$C$9, $D$9, 100%, $F$9) + CHOOSE(CONTROL!$C$27, 0.0021, 0)</f>
        <v>38.450800000000001</v>
      </c>
      <c r="K272" s="10">
        <f>38.4487 * CHOOSE(CONTROL!$C$9, $D$9, 100%, $F$9) + CHOOSE(CONTROL!$C$27, 0.0021, 0)</f>
        <v>38.450800000000001</v>
      </c>
      <c r="L272" s="10"/>
    </row>
    <row r="273" spans="1:12" ht="15" x14ac:dyDescent="0.2">
      <c r="A273" s="16">
        <v>49218</v>
      </c>
      <c r="B273" s="10">
        <f>39.804 * CHOOSE(CONTROL!$C$9, $D$9, 100%, $F$9) + CHOOSE(CONTROL!$C$27, 0.0021, 0)</f>
        <v>39.806100000000001</v>
      </c>
      <c r="C273" s="10">
        <f>39.3718 * CHOOSE(CONTROL!$C$9, $D$9, 100%, $F$9) + CHOOSE(CONTROL!$C$27, 0.0021, 0)</f>
        <v>39.373899999999999</v>
      </c>
      <c r="D273" s="10">
        <f>39.3718 * CHOOSE(CONTROL!$C$9, $D$9, 100%, $F$9) + CHOOSE(CONTROL!$C$27, 0.0021, 0)</f>
        <v>39.373899999999999</v>
      </c>
      <c r="E273" s="10">
        <f>39.2351 * CHOOSE(CONTROL!$C$9, $D$9, 100%, $F$9) + CHOOSE(CONTROL!$C$27, 0.0021, 0)</f>
        <v>39.237200000000001</v>
      </c>
      <c r="F273" s="10">
        <f>39.2351 * CHOOSE(CONTROL!$C$9, $D$9, 100%, $F$9) + CHOOSE(CONTROL!$C$27, 0.0021, 0)</f>
        <v>39.237200000000001</v>
      </c>
      <c r="G273" s="10">
        <f>39.5065 * CHOOSE(CONTROL!$C$9, $D$9, 100%, $F$9) + CHOOSE(CONTROL!$C$27, 0.0021, 0)</f>
        <v>39.508600000000001</v>
      </c>
      <c r="H273" s="10">
        <f>39.3718 * CHOOSE(CONTROL!$C$9, $D$9, 100%, $F$9) + CHOOSE(CONTROL!$C$27, 0.0021, 0)</f>
        <v>39.373899999999999</v>
      </c>
      <c r="I273" s="10">
        <f>39.3718 * CHOOSE(CONTROL!$C$9, $D$9, 100%, $F$9) + CHOOSE(CONTROL!$C$27, 0.0021, 0)</f>
        <v>39.373899999999999</v>
      </c>
      <c r="J273" s="10">
        <f>39.3718 * CHOOSE(CONTROL!$C$9, $D$9, 100%, $F$9) + CHOOSE(CONTROL!$C$27, 0.0021, 0)</f>
        <v>39.373899999999999</v>
      </c>
      <c r="K273" s="10">
        <f>39.3718 * CHOOSE(CONTROL!$C$9, $D$9, 100%, $F$9) + CHOOSE(CONTROL!$C$27, 0.0021, 0)</f>
        <v>39.373899999999999</v>
      </c>
      <c r="L273" s="10"/>
    </row>
    <row r="274" spans="1:12" ht="15" x14ac:dyDescent="0.2">
      <c r="A274" s="16">
        <v>49249</v>
      </c>
      <c r="B274" s="10">
        <f>39.8907 * CHOOSE(CONTROL!$C$9, $D$9, 100%, $F$9) + CHOOSE(CONTROL!$C$27, 0.0021, 0)</f>
        <v>39.892800000000001</v>
      </c>
      <c r="C274" s="10">
        <f>39.4584 * CHOOSE(CONTROL!$C$9, $D$9, 100%, $F$9) + CHOOSE(CONTROL!$C$27, 0.0021, 0)</f>
        <v>39.460499999999996</v>
      </c>
      <c r="D274" s="10">
        <f>39.4584 * CHOOSE(CONTROL!$C$9, $D$9, 100%, $F$9) + CHOOSE(CONTROL!$C$27, 0.0021, 0)</f>
        <v>39.460499999999996</v>
      </c>
      <c r="E274" s="10">
        <f>39.3217 * CHOOSE(CONTROL!$C$9, $D$9, 100%, $F$9) + CHOOSE(CONTROL!$C$27, 0.0021, 0)</f>
        <v>39.323799999999999</v>
      </c>
      <c r="F274" s="10">
        <f>39.3217 * CHOOSE(CONTROL!$C$9, $D$9, 100%, $F$9) + CHOOSE(CONTROL!$C$27, 0.0021, 0)</f>
        <v>39.323799999999999</v>
      </c>
      <c r="G274" s="10">
        <f>39.5931 * CHOOSE(CONTROL!$C$9, $D$9, 100%, $F$9) + CHOOSE(CONTROL!$C$27, 0.0021, 0)</f>
        <v>39.595199999999998</v>
      </c>
      <c r="H274" s="10">
        <f>39.4584 * CHOOSE(CONTROL!$C$9, $D$9, 100%, $F$9) + CHOOSE(CONTROL!$C$27, 0.0021, 0)</f>
        <v>39.460499999999996</v>
      </c>
      <c r="I274" s="10">
        <f>39.4584 * CHOOSE(CONTROL!$C$9, $D$9, 100%, $F$9) + CHOOSE(CONTROL!$C$27, 0.0021, 0)</f>
        <v>39.460499999999996</v>
      </c>
      <c r="J274" s="10">
        <f>39.4584 * CHOOSE(CONTROL!$C$9, $D$9, 100%, $F$9) + CHOOSE(CONTROL!$C$27, 0.0021, 0)</f>
        <v>39.460499999999996</v>
      </c>
      <c r="K274" s="10">
        <f>39.4584 * CHOOSE(CONTROL!$C$9, $D$9, 100%, $F$9) + CHOOSE(CONTROL!$C$27, 0.0021, 0)</f>
        <v>39.460499999999996</v>
      </c>
      <c r="L274" s="10"/>
    </row>
    <row r="275" spans="1:12" ht="15" x14ac:dyDescent="0.2">
      <c r="A275" s="16">
        <v>49279</v>
      </c>
      <c r="B275" s="10">
        <f>39.1534 * CHOOSE(CONTROL!$C$9, $D$9, 100%, $F$9) + CHOOSE(CONTROL!$C$27, 0.0021, 0)</f>
        <v>39.155499999999996</v>
      </c>
      <c r="C275" s="10">
        <f>38.7212 * CHOOSE(CONTROL!$C$9, $D$9, 100%, $F$9) + CHOOSE(CONTROL!$C$27, 0.0021, 0)</f>
        <v>38.723300000000002</v>
      </c>
      <c r="D275" s="10">
        <f>38.7212 * CHOOSE(CONTROL!$C$9, $D$9, 100%, $F$9) + CHOOSE(CONTROL!$C$27, 0.0021, 0)</f>
        <v>38.723300000000002</v>
      </c>
      <c r="E275" s="10">
        <f>38.5845 * CHOOSE(CONTROL!$C$9, $D$9, 100%, $F$9) + CHOOSE(CONTROL!$C$27, 0.0021, 0)</f>
        <v>38.586599999999997</v>
      </c>
      <c r="F275" s="10">
        <f>38.5845 * CHOOSE(CONTROL!$C$9, $D$9, 100%, $F$9) + CHOOSE(CONTROL!$C$27, 0.0021, 0)</f>
        <v>38.586599999999997</v>
      </c>
      <c r="G275" s="10">
        <f>38.8559 * CHOOSE(CONTROL!$C$9, $D$9, 100%, $F$9) + CHOOSE(CONTROL!$C$27, 0.0021, 0)</f>
        <v>38.857999999999997</v>
      </c>
      <c r="H275" s="10">
        <f>38.7212 * CHOOSE(CONTROL!$C$9, $D$9, 100%, $F$9) + CHOOSE(CONTROL!$C$27, 0.0021, 0)</f>
        <v>38.723300000000002</v>
      </c>
      <c r="I275" s="10">
        <f>38.7212 * CHOOSE(CONTROL!$C$9, $D$9, 100%, $F$9) + CHOOSE(CONTROL!$C$27, 0.0021, 0)</f>
        <v>38.723300000000002</v>
      </c>
      <c r="J275" s="10">
        <f>38.7212 * CHOOSE(CONTROL!$C$9, $D$9, 100%, $F$9) + CHOOSE(CONTROL!$C$27, 0.0021, 0)</f>
        <v>38.723300000000002</v>
      </c>
      <c r="K275" s="10">
        <f>38.7212 * CHOOSE(CONTROL!$C$9, $D$9, 100%, $F$9) + CHOOSE(CONTROL!$C$27, 0.0021, 0)</f>
        <v>38.723300000000002</v>
      </c>
      <c r="L275" s="10"/>
    </row>
    <row r="276" spans="1:12" ht="15" x14ac:dyDescent="0.2">
      <c r="A276" s="16">
        <v>49310</v>
      </c>
      <c r="B276" s="10">
        <f>38.6705 * CHOOSE(CONTROL!$C$9, $D$9, 100%, $F$9) + CHOOSE(CONTROL!$C$27, 0.0021, 0)</f>
        <v>38.672599999999996</v>
      </c>
      <c r="C276" s="10">
        <f>38.2382 * CHOOSE(CONTROL!$C$9, $D$9, 100%, $F$9) + CHOOSE(CONTROL!$C$27, 0.0021, 0)</f>
        <v>38.240299999999998</v>
      </c>
      <c r="D276" s="10">
        <f>38.2382 * CHOOSE(CONTROL!$C$9, $D$9, 100%, $F$9) + CHOOSE(CONTROL!$C$27, 0.0021, 0)</f>
        <v>38.240299999999998</v>
      </c>
      <c r="E276" s="10">
        <f>38.1016 * CHOOSE(CONTROL!$C$9, $D$9, 100%, $F$9) + CHOOSE(CONTROL!$C$27, 0.0021, 0)</f>
        <v>38.103699999999996</v>
      </c>
      <c r="F276" s="10">
        <f>38.1016 * CHOOSE(CONTROL!$C$9, $D$9, 100%, $F$9) + CHOOSE(CONTROL!$C$27, 0.0021, 0)</f>
        <v>38.103699999999996</v>
      </c>
      <c r="G276" s="10">
        <f>38.3729 * CHOOSE(CONTROL!$C$9, $D$9, 100%, $F$9) + CHOOSE(CONTROL!$C$27, 0.0021, 0)</f>
        <v>38.375</v>
      </c>
      <c r="H276" s="10">
        <f>38.2382 * CHOOSE(CONTROL!$C$9, $D$9, 100%, $F$9) + CHOOSE(CONTROL!$C$27, 0.0021, 0)</f>
        <v>38.240299999999998</v>
      </c>
      <c r="I276" s="10">
        <f>38.2382 * CHOOSE(CONTROL!$C$9, $D$9, 100%, $F$9) + CHOOSE(CONTROL!$C$27, 0.0021, 0)</f>
        <v>38.240299999999998</v>
      </c>
      <c r="J276" s="10">
        <f>38.2382 * CHOOSE(CONTROL!$C$9, $D$9, 100%, $F$9) + CHOOSE(CONTROL!$C$27, 0.0021, 0)</f>
        <v>38.240299999999998</v>
      </c>
      <c r="K276" s="10">
        <f>38.2382 * CHOOSE(CONTROL!$C$9, $D$9, 100%, $F$9) + CHOOSE(CONTROL!$C$27, 0.0021, 0)</f>
        <v>38.240299999999998</v>
      </c>
      <c r="L276" s="10"/>
    </row>
    <row r="277" spans="1:12" ht="15" x14ac:dyDescent="0.2">
      <c r="A277" s="16">
        <v>49341</v>
      </c>
      <c r="B277" s="10">
        <f>37.6415 * CHOOSE(CONTROL!$C$9, $D$9, 100%, $F$9) + CHOOSE(CONTROL!$C$27, 0.0021, 0)</f>
        <v>37.643599999999999</v>
      </c>
      <c r="C277" s="10">
        <f>37.2093 * CHOOSE(CONTROL!$C$9, $D$9, 100%, $F$9) + CHOOSE(CONTROL!$C$27, 0.0021, 0)</f>
        <v>37.211399999999998</v>
      </c>
      <c r="D277" s="10">
        <f>37.2093 * CHOOSE(CONTROL!$C$9, $D$9, 100%, $F$9) + CHOOSE(CONTROL!$C$27, 0.0021, 0)</f>
        <v>37.211399999999998</v>
      </c>
      <c r="E277" s="10">
        <f>37.0726 * CHOOSE(CONTROL!$C$9, $D$9, 100%, $F$9) + CHOOSE(CONTROL!$C$27, 0.0021, 0)</f>
        <v>37.0747</v>
      </c>
      <c r="F277" s="10">
        <f>37.0726 * CHOOSE(CONTROL!$C$9, $D$9, 100%, $F$9) + CHOOSE(CONTROL!$C$27, 0.0021, 0)</f>
        <v>37.0747</v>
      </c>
      <c r="G277" s="10">
        <f>37.344 * CHOOSE(CONTROL!$C$9, $D$9, 100%, $F$9) + CHOOSE(CONTROL!$C$27, 0.0021, 0)</f>
        <v>37.3461</v>
      </c>
      <c r="H277" s="10">
        <f>37.2093 * CHOOSE(CONTROL!$C$9, $D$9, 100%, $F$9) + CHOOSE(CONTROL!$C$27, 0.0021, 0)</f>
        <v>37.211399999999998</v>
      </c>
      <c r="I277" s="10">
        <f>37.2093 * CHOOSE(CONTROL!$C$9, $D$9, 100%, $F$9) + CHOOSE(CONTROL!$C$27, 0.0021, 0)</f>
        <v>37.211399999999998</v>
      </c>
      <c r="J277" s="10">
        <f>37.2093 * CHOOSE(CONTROL!$C$9, $D$9, 100%, $F$9) + CHOOSE(CONTROL!$C$27, 0.0021, 0)</f>
        <v>37.211399999999998</v>
      </c>
      <c r="K277" s="10">
        <f>37.2093 * CHOOSE(CONTROL!$C$9, $D$9, 100%, $F$9) + CHOOSE(CONTROL!$C$27, 0.0021, 0)</f>
        <v>37.211399999999998</v>
      </c>
      <c r="L277" s="10"/>
    </row>
    <row r="278" spans="1:12" ht="15" x14ac:dyDescent="0.2">
      <c r="A278" s="16">
        <v>49369</v>
      </c>
      <c r="B278" s="10">
        <f>37.2167 * CHOOSE(CONTROL!$C$9, $D$9, 100%, $F$9) + CHOOSE(CONTROL!$C$27, 0.0021, 0)</f>
        <v>37.218800000000002</v>
      </c>
      <c r="C278" s="10">
        <f>36.7845 * CHOOSE(CONTROL!$C$9, $D$9, 100%, $F$9) + CHOOSE(CONTROL!$C$27, 0.0021, 0)</f>
        <v>36.7866</v>
      </c>
      <c r="D278" s="10">
        <f>36.7845 * CHOOSE(CONTROL!$C$9, $D$9, 100%, $F$9) + CHOOSE(CONTROL!$C$27, 0.0021, 0)</f>
        <v>36.7866</v>
      </c>
      <c r="E278" s="10">
        <f>36.6478 * CHOOSE(CONTROL!$C$9, $D$9, 100%, $F$9) + CHOOSE(CONTROL!$C$27, 0.0021, 0)</f>
        <v>36.649899999999995</v>
      </c>
      <c r="F278" s="10">
        <f>36.6478 * CHOOSE(CONTROL!$C$9, $D$9, 100%, $F$9) + CHOOSE(CONTROL!$C$27, 0.0021, 0)</f>
        <v>36.649899999999995</v>
      </c>
      <c r="G278" s="10">
        <f>36.9192 * CHOOSE(CONTROL!$C$9, $D$9, 100%, $F$9) + CHOOSE(CONTROL!$C$27, 0.0021, 0)</f>
        <v>36.921299999999995</v>
      </c>
      <c r="H278" s="10">
        <f>36.7845 * CHOOSE(CONTROL!$C$9, $D$9, 100%, $F$9) + CHOOSE(CONTROL!$C$27, 0.0021, 0)</f>
        <v>36.7866</v>
      </c>
      <c r="I278" s="10">
        <f>36.7845 * CHOOSE(CONTROL!$C$9, $D$9, 100%, $F$9) + CHOOSE(CONTROL!$C$27, 0.0021, 0)</f>
        <v>36.7866</v>
      </c>
      <c r="J278" s="10">
        <f>36.7845 * CHOOSE(CONTROL!$C$9, $D$9, 100%, $F$9) + CHOOSE(CONTROL!$C$27, 0.0021, 0)</f>
        <v>36.7866</v>
      </c>
      <c r="K278" s="10">
        <f>36.7845 * CHOOSE(CONTROL!$C$9, $D$9, 100%, $F$9) + CHOOSE(CONTROL!$C$27, 0.0021, 0)</f>
        <v>36.7866</v>
      </c>
      <c r="L278" s="10"/>
    </row>
    <row r="279" spans="1:12" ht="15" x14ac:dyDescent="0.2">
      <c r="A279" s="16">
        <v>49400</v>
      </c>
      <c r="B279" s="10">
        <f>36.7096 * CHOOSE(CONTROL!$C$9, $D$9, 100%, $F$9) + CHOOSE(CONTROL!$C$27, 0.0021, 0)</f>
        <v>36.7117</v>
      </c>
      <c r="C279" s="10">
        <f>36.2773 * CHOOSE(CONTROL!$C$9, $D$9, 100%, $F$9) + CHOOSE(CONTROL!$C$27, 0.0021, 0)</f>
        <v>36.279399999999995</v>
      </c>
      <c r="D279" s="10">
        <f>36.2773 * CHOOSE(CONTROL!$C$9, $D$9, 100%, $F$9) + CHOOSE(CONTROL!$C$27, 0.0021, 0)</f>
        <v>36.279399999999995</v>
      </c>
      <c r="E279" s="10">
        <f>36.1407 * CHOOSE(CONTROL!$C$9, $D$9, 100%, $F$9) + CHOOSE(CONTROL!$C$27, 0.0021, 0)</f>
        <v>36.142800000000001</v>
      </c>
      <c r="F279" s="10">
        <f>36.1407 * CHOOSE(CONTROL!$C$9, $D$9, 100%, $F$9) + CHOOSE(CONTROL!$C$27, 0.0021, 0)</f>
        <v>36.142800000000001</v>
      </c>
      <c r="G279" s="10">
        <f>36.412 * CHOOSE(CONTROL!$C$9, $D$9, 100%, $F$9) + CHOOSE(CONTROL!$C$27, 0.0021, 0)</f>
        <v>36.414099999999998</v>
      </c>
      <c r="H279" s="10">
        <f>36.2773 * CHOOSE(CONTROL!$C$9, $D$9, 100%, $F$9) + CHOOSE(CONTROL!$C$27, 0.0021, 0)</f>
        <v>36.279399999999995</v>
      </c>
      <c r="I279" s="10">
        <f>36.2773 * CHOOSE(CONTROL!$C$9, $D$9, 100%, $F$9) + CHOOSE(CONTROL!$C$27, 0.0021, 0)</f>
        <v>36.279399999999995</v>
      </c>
      <c r="J279" s="10">
        <f>36.2773 * CHOOSE(CONTROL!$C$9, $D$9, 100%, $F$9) + CHOOSE(CONTROL!$C$27, 0.0021, 0)</f>
        <v>36.279399999999995</v>
      </c>
      <c r="K279" s="10">
        <f>36.2773 * CHOOSE(CONTROL!$C$9, $D$9, 100%, $F$9) + CHOOSE(CONTROL!$C$27, 0.0021, 0)</f>
        <v>36.279399999999995</v>
      </c>
      <c r="L279" s="10"/>
    </row>
    <row r="280" spans="1:12" ht="15" x14ac:dyDescent="0.2">
      <c r="A280" s="16">
        <v>49430</v>
      </c>
      <c r="B280" s="10">
        <f>37.4324 * CHOOSE(CONTROL!$C$9, $D$9, 100%, $F$9) + CHOOSE(CONTROL!$C$27, 0.0021, 0)</f>
        <v>37.4345</v>
      </c>
      <c r="C280" s="10">
        <f>37.0001 * CHOOSE(CONTROL!$C$9, $D$9, 100%, $F$9) + CHOOSE(CONTROL!$C$27, 0.0021, 0)</f>
        <v>37.002200000000002</v>
      </c>
      <c r="D280" s="10">
        <f>37.0001 * CHOOSE(CONTROL!$C$9, $D$9, 100%, $F$9) + CHOOSE(CONTROL!$C$27, 0.0021, 0)</f>
        <v>37.002200000000002</v>
      </c>
      <c r="E280" s="10">
        <f>36.8634 * CHOOSE(CONTROL!$C$9, $D$9, 100%, $F$9) + CHOOSE(CONTROL!$C$27, 0.0021, 0)</f>
        <v>36.865499999999997</v>
      </c>
      <c r="F280" s="10">
        <f>36.8634 * CHOOSE(CONTROL!$C$9, $D$9, 100%, $F$9) + CHOOSE(CONTROL!$C$27, 0.0021, 0)</f>
        <v>36.865499999999997</v>
      </c>
      <c r="G280" s="10">
        <f>37.1348 * CHOOSE(CONTROL!$C$9, $D$9, 100%, $F$9) + CHOOSE(CONTROL!$C$27, 0.0021, 0)</f>
        <v>37.136899999999997</v>
      </c>
      <c r="H280" s="10">
        <f>37.0001 * CHOOSE(CONTROL!$C$9, $D$9, 100%, $F$9) + CHOOSE(CONTROL!$C$27, 0.0021, 0)</f>
        <v>37.002200000000002</v>
      </c>
      <c r="I280" s="10">
        <f>37.0001 * CHOOSE(CONTROL!$C$9, $D$9, 100%, $F$9) + CHOOSE(CONTROL!$C$27, 0.0021, 0)</f>
        <v>37.002200000000002</v>
      </c>
      <c r="J280" s="10">
        <f>37.0001 * CHOOSE(CONTROL!$C$9, $D$9, 100%, $F$9) + CHOOSE(CONTROL!$C$27, 0.0021, 0)</f>
        <v>37.002200000000002</v>
      </c>
      <c r="K280" s="10">
        <f>37.0001 * CHOOSE(CONTROL!$C$9, $D$9, 100%, $F$9) + CHOOSE(CONTROL!$C$27, 0.0021, 0)</f>
        <v>37.002200000000002</v>
      </c>
      <c r="L280" s="10"/>
    </row>
    <row r="281" spans="1:12" ht="15" x14ac:dyDescent="0.2">
      <c r="A281" s="15">
        <v>49461</v>
      </c>
      <c r="B281" s="10">
        <f>37.8653 * CHOOSE(CONTROL!$C$9, $D$9, 100%, $F$9) + CHOOSE(CONTROL!$C$27, 0.0021, 0)</f>
        <v>37.867399999999996</v>
      </c>
      <c r="C281" s="10">
        <f>37.433 * CHOOSE(CONTROL!$C$9, $D$9, 100%, $F$9) + CHOOSE(CONTROL!$C$27, 0.0021, 0)</f>
        <v>37.435099999999998</v>
      </c>
      <c r="D281" s="10">
        <f>37.433 * CHOOSE(CONTROL!$C$9, $D$9, 100%, $F$9) + CHOOSE(CONTROL!$C$27, 0.0021, 0)</f>
        <v>37.435099999999998</v>
      </c>
      <c r="E281" s="10">
        <f>37.2964 * CHOOSE(CONTROL!$C$9, $D$9, 100%, $F$9) + CHOOSE(CONTROL!$C$27, 0.0021, 0)</f>
        <v>37.298499999999997</v>
      </c>
      <c r="F281" s="10">
        <f>37.2964 * CHOOSE(CONTROL!$C$9, $D$9, 100%, $F$9) + CHOOSE(CONTROL!$C$27, 0.0021, 0)</f>
        <v>37.298499999999997</v>
      </c>
      <c r="G281" s="10">
        <f>37.5677 * CHOOSE(CONTROL!$C$9, $D$9, 100%, $F$9) + CHOOSE(CONTROL!$C$27, 0.0021, 0)</f>
        <v>37.569800000000001</v>
      </c>
      <c r="H281" s="10">
        <f>37.433 * CHOOSE(CONTROL!$C$9, $D$9, 100%, $F$9) + CHOOSE(CONTROL!$C$27, 0.0021, 0)</f>
        <v>37.435099999999998</v>
      </c>
      <c r="I281" s="10">
        <f>37.433 * CHOOSE(CONTROL!$C$9, $D$9, 100%, $F$9) + CHOOSE(CONTROL!$C$27, 0.0021, 0)</f>
        <v>37.435099999999998</v>
      </c>
      <c r="J281" s="10">
        <f>37.433 * CHOOSE(CONTROL!$C$9, $D$9, 100%, $F$9) + CHOOSE(CONTROL!$C$27, 0.0021, 0)</f>
        <v>37.435099999999998</v>
      </c>
      <c r="K281" s="10">
        <f>37.433 * CHOOSE(CONTROL!$C$9, $D$9, 100%, $F$9) + CHOOSE(CONTROL!$C$27, 0.0021, 0)</f>
        <v>37.435099999999998</v>
      </c>
      <c r="L281" s="10"/>
    </row>
    <row r="282" spans="1:12" ht="15" x14ac:dyDescent="0.2">
      <c r="A282" s="15">
        <v>49491</v>
      </c>
      <c r="B282" s="10">
        <f>38.5794 * CHOOSE(CONTROL!$C$9, $D$9, 100%, $F$9) + CHOOSE(CONTROL!$C$27, 0.0021, 0)</f>
        <v>38.581499999999998</v>
      </c>
      <c r="C282" s="10">
        <f>38.1472 * CHOOSE(CONTROL!$C$9, $D$9, 100%, $F$9) + CHOOSE(CONTROL!$C$27, 0.0021, 0)</f>
        <v>38.149299999999997</v>
      </c>
      <c r="D282" s="10">
        <f>38.1472 * CHOOSE(CONTROL!$C$9, $D$9, 100%, $F$9) + CHOOSE(CONTROL!$C$27, 0.0021, 0)</f>
        <v>38.149299999999997</v>
      </c>
      <c r="E282" s="10">
        <f>38.0105 * CHOOSE(CONTROL!$C$9, $D$9, 100%, $F$9) + CHOOSE(CONTROL!$C$27, 0.0021, 0)</f>
        <v>38.012599999999999</v>
      </c>
      <c r="F282" s="10">
        <f>38.0105 * CHOOSE(CONTROL!$C$9, $D$9, 100%, $F$9) + CHOOSE(CONTROL!$C$27, 0.0021, 0)</f>
        <v>38.012599999999999</v>
      </c>
      <c r="G282" s="10">
        <f>38.2819 * CHOOSE(CONTROL!$C$9, $D$9, 100%, $F$9) + CHOOSE(CONTROL!$C$27, 0.0021, 0)</f>
        <v>38.283999999999999</v>
      </c>
      <c r="H282" s="10">
        <f>38.1472 * CHOOSE(CONTROL!$C$9, $D$9, 100%, $F$9) + CHOOSE(CONTROL!$C$27, 0.0021, 0)</f>
        <v>38.149299999999997</v>
      </c>
      <c r="I282" s="10">
        <f>38.1472 * CHOOSE(CONTROL!$C$9, $D$9, 100%, $F$9) + CHOOSE(CONTROL!$C$27, 0.0021, 0)</f>
        <v>38.149299999999997</v>
      </c>
      <c r="J282" s="10">
        <f>38.1472 * CHOOSE(CONTROL!$C$9, $D$9, 100%, $F$9) + CHOOSE(CONTROL!$C$27, 0.0021, 0)</f>
        <v>38.149299999999997</v>
      </c>
      <c r="K282" s="10">
        <f>38.1472 * CHOOSE(CONTROL!$C$9, $D$9, 100%, $F$9) + CHOOSE(CONTROL!$C$27, 0.0021, 0)</f>
        <v>38.149299999999997</v>
      </c>
      <c r="L282" s="10"/>
    </row>
    <row r="283" spans="1:12" ht="15" x14ac:dyDescent="0.2">
      <c r="A283" s="15">
        <v>49522</v>
      </c>
      <c r="B283" s="10">
        <f>38.7974 * CHOOSE(CONTROL!$C$9, $D$9, 100%, $F$9) + CHOOSE(CONTROL!$C$27, 0.0021, 0)</f>
        <v>38.799500000000002</v>
      </c>
      <c r="C283" s="10">
        <f>38.3652 * CHOOSE(CONTROL!$C$9, $D$9, 100%, $F$9) + CHOOSE(CONTROL!$C$27, 0.0021, 0)</f>
        <v>38.3673</v>
      </c>
      <c r="D283" s="10">
        <f>38.3652 * CHOOSE(CONTROL!$C$9, $D$9, 100%, $F$9) + CHOOSE(CONTROL!$C$27, 0.0021, 0)</f>
        <v>38.3673</v>
      </c>
      <c r="E283" s="10">
        <f>38.2285 * CHOOSE(CONTROL!$C$9, $D$9, 100%, $F$9) + CHOOSE(CONTROL!$C$27, 0.0021, 0)</f>
        <v>38.230599999999995</v>
      </c>
      <c r="F283" s="10">
        <f>38.2285 * CHOOSE(CONTROL!$C$9, $D$9, 100%, $F$9) + CHOOSE(CONTROL!$C$27, 0.0021, 0)</f>
        <v>38.230599999999995</v>
      </c>
      <c r="G283" s="10">
        <f>38.4999 * CHOOSE(CONTROL!$C$9, $D$9, 100%, $F$9) + CHOOSE(CONTROL!$C$27, 0.0021, 0)</f>
        <v>38.501999999999995</v>
      </c>
      <c r="H283" s="10">
        <f>38.3652 * CHOOSE(CONTROL!$C$9, $D$9, 100%, $F$9) + CHOOSE(CONTROL!$C$27, 0.0021, 0)</f>
        <v>38.3673</v>
      </c>
      <c r="I283" s="10">
        <f>38.3652 * CHOOSE(CONTROL!$C$9, $D$9, 100%, $F$9) + CHOOSE(CONTROL!$C$27, 0.0021, 0)</f>
        <v>38.3673</v>
      </c>
      <c r="J283" s="10">
        <f>38.3652 * CHOOSE(CONTROL!$C$9, $D$9, 100%, $F$9) + CHOOSE(CONTROL!$C$27, 0.0021, 0)</f>
        <v>38.3673</v>
      </c>
      <c r="K283" s="10">
        <f>38.3652 * CHOOSE(CONTROL!$C$9, $D$9, 100%, $F$9) + CHOOSE(CONTROL!$C$27, 0.0021, 0)</f>
        <v>38.3673</v>
      </c>
      <c r="L283" s="10"/>
    </row>
    <row r="284" spans="1:12" ht="15" x14ac:dyDescent="0.2">
      <c r="A284" s="15">
        <v>49553</v>
      </c>
      <c r="B284" s="10">
        <f>39.5397 * CHOOSE(CONTROL!$C$9, $D$9, 100%, $F$9) + CHOOSE(CONTROL!$C$27, 0.0021, 0)</f>
        <v>39.541800000000002</v>
      </c>
      <c r="C284" s="10">
        <f>39.1075 * CHOOSE(CONTROL!$C$9, $D$9, 100%, $F$9) + CHOOSE(CONTROL!$C$27, 0.0021, 0)</f>
        <v>39.1096</v>
      </c>
      <c r="D284" s="10">
        <f>39.1075 * CHOOSE(CONTROL!$C$9, $D$9, 100%, $F$9) + CHOOSE(CONTROL!$C$27, 0.0021, 0)</f>
        <v>39.1096</v>
      </c>
      <c r="E284" s="10">
        <f>38.9708 * CHOOSE(CONTROL!$C$9, $D$9, 100%, $F$9) + CHOOSE(CONTROL!$C$27, 0.0021, 0)</f>
        <v>38.972899999999996</v>
      </c>
      <c r="F284" s="10">
        <f>38.9708 * CHOOSE(CONTROL!$C$9, $D$9, 100%, $F$9) + CHOOSE(CONTROL!$C$27, 0.0021, 0)</f>
        <v>38.972899999999996</v>
      </c>
      <c r="G284" s="10">
        <f>39.2422 * CHOOSE(CONTROL!$C$9, $D$9, 100%, $F$9) + CHOOSE(CONTROL!$C$27, 0.0021, 0)</f>
        <v>39.244299999999996</v>
      </c>
      <c r="H284" s="10">
        <f>39.1075 * CHOOSE(CONTROL!$C$9, $D$9, 100%, $F$9) + CHOOSE(CONTROL!$C$27, 0.0021, 0)</f>
        <v>39.1096</v>
      </c>
      <c r="I284" s="10">
        <f>39.1075 * CHOOSE(CONTROL!$C$9, $D$9, 100%, $F$9) + CHOOSE(CONTROL!$C$27, 0.0021, 0)</f>
        <v>39.1096</v>
      </c>
      <c r="J284" s="10">
        <f>39.1075 * CHOOSE(CONTROL!$C$9, $D$9, 100%, $F$9) + CHOOSE(CONTROL!$C$27, 0.0021, 0)</f>
        <v>39.1096</v>
      </c>
      <c r="K284" s="10">
        <f>39.1075 * CHOOSE(CONTROL!$C$9, $D$9, 100%, $F$9) + CHOOSE(CONTROL!$C$27, 0.0021, 0)</f>
        <v>39.1096</v>
      </c>
      <c r="L284" s="10"/>
    </row>
    <row r="285" spans="1:12" ht="15" x14ac:dyDescent="0.2">
      <c r="A285" s="15">
        <v>49583</v>
      </c>
      <c r="B285" s="10">
        <f>40.4794 * CHOOSE(CONTROL!$C$9, $D$9, 100%, $F$9) + CHOOSE(CONTROL!$C$27, 0.0021, 0)</f>
        <v>40.481499999999997</v>
      </c>
      <c r="C285" s="10">
        <f>40.0471 * CHOOSE(CONTROL!$C$9, $D$9, 100%, $F$9) + CHOOSE(CONTROL!$C$27, 0.0021, 0)</f>
        <v>40.049199999999999</v>
      </c>
      <c r="D285" s="10">
        <f>40.0471 * CHOOSE(CONTROL!$C$9, $D$9, 100%, $F$9) + CHOOSE(CONTROL!$C$27, 0.0021, 0)</f>
        <v>40.049199999999999</v>
      </c>
      <c r="E285" s="10">
        <f>39.9105 * CHOOSE(CONTROL!$C$9, $D$9, 100%, $F$9) + CHOOSE(CONTROL!$C$27, 0.0021, 0)</f>
        <v>39.912599999999998</v>
      </c>
      <c r="F285" s="10">
        <f>39.9105 * CHOOSE(CONTROL!$C$9, $D$9, 100%, $F$9) + CHOOSE(CONTROL!$C$27, 0.0021, 0)</f>
        <v>39.912599999999998</v>
      </c>
      <c r="G285" s="10">
        <f>40.1819 * CHOOSE(CONTROL!$C$9, $D$9, 100%, $F$9) + CHOOSE(CONTROL!$C$27, 0.0021, 0)</f>
        <v>40.183999999999997</v>
      </c>
      <c r="H285" s="10">
        <f>40.0471 * CHOOSE(CONTROL!$C$9, $D$9, 100%, $F$9) + CHOOSE(CONTROL!$C$27, 0.0021, 0)</f>
        <v>40.049199999999999</v>
      </c>
      <c r="I285" s="10">
        <f>40.0471 * CHOOSE(CONTROL!$C$9, $D$9, 100%, $F$9) + CHOOSE(CONTROL!$C$27, 0.0021, 0)</f>
        <v>40.049199999999999</v>
      </c>
      <c r="J285" s="10">
        <f>40.0471 * CHOOSE(CONTROL!$C$9, $D$9, 100%, $F$9) + CHOOSE(CONTROL!$C$27, 0.0021, 0)</f>
        <v>40.049199999999999</v>
      </c>
      <c r="K285" s="10">
        <f>40.0471 * CHOOSE(CONTROL!$C$9, $D$9, 100%, $F$9) + CHOOSE(CONTROL!$C$27, 0.0021, 0)</f>
        <v>40.049199999999999</v>
      </c>
      <c r="L285" s="10"/>
    </row>
    <row r="286" spans="1:12" ht="15" x14ac:dyDescent="0.2">
      <c r="A286" s="15">
        <v>49614</v>
      </c>
      <c r="B286" s="10">
        <f>40.5676 * CHOOSE(CONTROL!$C$9, $D$9, 100%, $F$9) + CHOOSE(CONTROL!$C$27, 0.0021, 0)</f>
        <v>40.569699999999997</v>
      </c>
      <c r="C286" s="10">
        <f>40.1354 * CHOOSE(CONTROL!$C$9, $D$9, 100%, $F$9) + CHOOSE(CONTROL!$C$27, 0.0021, 0)</f>
        <v>40.137499999999996</v>
      </c>
      <c r="D286" s="10">
        <f>40.1354 * CHOOSE(CONTROL!$C$9, $D$9, 100%, $F$9) + CHOOSE(CONTROL!$C$27, 0.0021, 0)</f>
        <v>40.137499999999996</v>
      </c>
      <c r="E286" s="10">
        <f>39.9987 * CHOOSE(CONTROL!$C$9, $D$9, 100%, $F$9) + CHOOSE(CONTROL!$C$27, 0.0021, 0)</f>
        <v>40.000799999999998</v>
      </c>
      <c r="F286" s="10">
        <f>39.9987 * CHOOSE(CONTROL!$C$9, $D$9, 100%, $F$9) + CHOOSE(CONTROL!$C$27, 0.0021, 0)</f>
        <v>40.000799999999998</v>
      </c>
      <c r="G286" s="10">
        <f>40.2701 * CHOOSE(CONTROL!$C$9, $D$9, 100%, $F$9) + CHOOSE(CONTROL!$C$27, 0.0021, 0)</f>
        <v>40.272199999999998</v>
      </c>
      <c r="H286" s="10">
        <f>40.1354 * CHOOSE(CONTROL!$C$9, $D$9, 100%, $F$9) + CHOOSE(CONTROL!$C$27, 0.0021, 0)</f>
        <v>40.137499999999996</v>
      </c>
      <c r="I286" s="10">
        <f>40.1354 * CHOOSE(CONTROL!$C$9, $D$9, 100%, $F$9) + CHOOSE(CONTROL!$C$27, 0.0021, 0)</f>
        <v>40.137499999999996</v>
      </c>
      <c r="J286" s="10">
        <f>40.1354 * CHOOSE(CONTROL!$C$9, $D$9, 100%, $F$9) + CHOOSE(CONTROL!$C$27, 0.0021, 0)</f>
        <v>40.137499999999996</v>
      </c>
      <c r="K286" s="10">
        <f>40.1354 * CHOOSE(CONTROL!$C$9, $D$9, 100%, $F$9) + CHOOSE(CONTROL!$C$27, 0.0021, 0)</f>
        <v>40.137499999999996</v>
      </c>
      <c r="L286" s="10"/>
    </row>
    <row r="287" spans="1:12" ht="15" x14ac:dyDescent="0.2">
      <c r="A287" s="15">
        <v>49644</v>
      </c>
      <c r="B287" s="10">
        <f>39.8171 * CHOOSE(CONTROL!$C$9, $D$9, 100%, $F$9) + CHOOSE(CONTROL!$C$27, 0.0021, 0)</f>
        <v>39.819200000000002</v>
      </c>
      <c r="C287" s="10">
        <f>39.3849 * CHOOSE(CONTROL!$C$9, $D$9, 100%, $F$9) + CHOOSE(CONTROL!$C$27, 0.0021, 0)</f>
        <v>39.387</v>
      </c>
      <c r="D287" s="10">
        <f>39.3849 * CHOOSE(CONTROL!$C$9, $D$9, 100%, $F$9) + CHOOSE(CONTROL!$C$27, 0.0021, 0)</f>
        <v>39.387</v>
      </c>
      <c r="E287" s="10">
        <f>39.2482 * CHOOSE(CONTROL!$C$9, $D$9, 100%, $F$9) + CHOOSE(CONTROL!$C$27, 0.0021, 0)</f>
        <v>39.250299999999996</v>
      </c>
      <c r="F287" s="10">
        <f>39.2482 * CHOOSE(CONTROL!$C$9, $D$9, 100%, $F$9) + CHOOSE(CONTROL!$C$27, 0.0021, 0)</f>
        <v>39.250299999999996</v>
      </c>
      <c r="G287" s="10">
        <f>39.5196 * CHOOSE(CONTROL!$C$9, $D$9, 100%, $F$9) + CHOOSE(CONTROL!$C$27, 0.0021, 0)</f>
        <v>39.521699999999996</v>
      </c>
      <c r="H287" s="10">
        <f>39.3849 * CHOOSE(CONTROL!$C$9, $D$9, 100%, $F$9) + CHOOSE(CONTROL!$C$27, 0.0021, 0)</f>
        <v>39.387</v>
      </c>
      <c r="I287" s="10">
        <f>39.3849 * CHOOSE(CONTROL!$C$9, $D$9, 100%, $F$9) + CHOOSE(CONTROL!$C$27, 0.0021, 0)</f>
        <v>39.387</v>
      </c>
      <c r="J287" s="10">
        <f>39.3849 * CHOOSE(CONTROL!$C$9, $D$9, 100%, $F$9) + CHOOSE(CONTROL!$C$27, 0.0021, 0)</f>
        <v>39.387</v>
      </c>
      <c r="K287" s="10">
        <f>39.3849 * CHOOSE(CONTROL!$C$9, $D$9, 100%, $F$9) + CHOOSE(CONTROL!$C$27, 0.0021, 0)</f>
        <v>39.387</v>
      </c>
      <c r="L287" s="10"/>
    </row>
    <row r="288" spans="1:12" ht="15" x14ac:dyDescent="0.2">
      <c r="A288" s="15">
        <v>49675</v>
      </c>
      <c r="B288" s="10">
        <f>39.3255 * CHOOSE(CONTROL!$C$9, $D$9, 100%, $F$9) + CHOOSE(CONTROL!$C$27, 0.0021, 0)</f>
        <v>39.327599999999997</v>
      </c>
      <c r="C288" s="10">
        <f>38.8932 * CHOOSE(CONTROL!$C$9, $D$9, 100%, $F$9) + CHOOSE(CONTROL!$C$27, 0.0021, 0)</f>
        <v>38.895299999999999</v>
      </c>
      <c r="D288" s="10">
        <f>38.8932 * CHOOSE(CONTROL!$C$9, $D$9, 100%, $F$9) + CHOOSE(CONTROL!$C$27, 0.0021, 0)</f>
        <v>38.895299999999999</v>
      </c>
      <c r="E288" s="10">
        <f>38.7565 * CHOOSE(CONTROL!$C$9, $D$9, 100%, $F$9) + CHOOSE(CONTROL!$C$27, 0.0021, 0)</f>
        <v>38.758600000000001</v>
      </c>
      <c r="F288" s="10">
        <f>38.7565 * CHOOSE(CONTROL!$C$9, $D$9, 100%, $F$9) + CHOOSE(CONTROL!$C$27, 0.0021, 0)</f>
        <v>38.758600000000001</v>
      </c>
      <c r="G288" s="10">
        <f>39.0279 * CHOOSE(CONTROL!$C$9, $D$9, 100%, $F$9) + CHOOSE(CONTROL!$C$27, 0.0021, 0)</f>
        <v>39.03</v>
      </c>
      <c r="H288" s="10">
        <f>38.8932 * CHOOSE(CONTROL!$C$9, $D$9, 100%, $F$9) + CHOOSE(CONTROL!$C$27, 0.0021, 0)</f>
        <v>38.895299999999999</v>
      </c>
      <c r="I288" s="10">
        <f>38.8932 * CHOOSE(CONTROL!$C$9, $D$9, 100%, $F$9) + CHOOSE(CONTROL!$C$27, 0.0021, 0)</f>
        <v>38.895299999999999</v>
      </c>
      <c r="J288" s="10">
        <f>38.8932 * CHOOSE(CONTROL!$C$9, $D$9, 100%, $F$9) + CHOOSE(CONTROL!$C$27, 0.0021, 0)</f>
        <v>38.895299999999999</v>
      </c>
      <c r="K288" s="10">
        <f>38.8932 * CHOOSE(CONTROL!$C$9, $D$9, 100%, $F$9) + CHOOSE(CONTROL!$C$27, 0.0021, 0)</f>
        <v>38.895299999999999</v>
      </c>
      <c r="L288" s="10"/>
    </row>
    <row r="289" spans="1:12" ht="15" x14ac:dyDescent="0.2">
      <c r="A289" s="15">
        <v>49706</v>
      </c>
      <c r="B289" s="10">
        <f>38.278 * CHOOSE(CONTROL!$C$9, $D$9, 100%, $F$9) + CHOOSE(CONTROL!$C$27, 0.0021, 0)</f>
        <v>38.280099999999997</v>
      </c>
      <c r="C289" s="10">
        <f>37.8457 * CHOOSE(CONTROL!$C$9, $D$9, 100%, $F$9) + CHOOSE(CONTROL!$C$27, 0.0021, 0)</f>
        <v>37.847799999999999</v>
      </c>
      <c r="D289" s="10">
        <f>37.8457 * CHOOSE(CONTROL!$C$9, $D$9, 100%, $F$9) + CHOOSE(CONTROL!$C$27, 0.0021, 0)</f>
        <v>37.847799999999999</v>
      </c>
      <c r="E289" s="10">
        <f>37.7091 * CHOOSE(CONTROL!$C$9, $D$9, 100%, $F$9) + CHOOSE(CONTROL!$C$27, 0.0021, 0)</f>
        <v>37.711199999999998</v>
      </c>
      <c r="F289" s="10">
        <f>37.7091 * CHOOSE(CONTROL!$C$9, $D$9, 100%, $F$9) + CHOOSE(CONTROL!$C$27, 0.0021, 0)</f>
        <v>37.711199999999998</v>
      </c>
      <c r="G289" s="10">
        <f>37.9804 * CHOOSE(CONTROL!$C$9, $D$9, 100%, $F$9) + CHOOSE(CONTROL!$C$27, 0.0021, 0)</f>
        <v>37.982500000000002</v>
      </c>
      <c r="H289" s="10">
        <f>37.8457 * CHOOSE(CONTROL!$C$9, $D$9, 100%, $F$9) + CHOOSE(CONTROL!$C$27, 0.0021, 0)</f>
        <v>37.847799999999999</v>
      </c>
      <c r="I289" s="10">
        <f>37.8457 * CHOOSE(CONTROL!$C$9, $D$9, 100%, $F$9) + CHOOSE(CONTROL!$C$27, 0.0021, 0)</f>
        <v>37.847799999999999</v>
      </c>
      <c r="J289" s="10">
        <f>37.8457 * CHOOSE(CONTROL!$C$9, $D$9, 100%, $F$9) + CHOOSE(CONTROL!$C$27, 0.0021, 0)</f>
        <v>37.847799999999999</v>
      </c>
      <c r="K289" s="10">
        <f>37.8457 * CHOOSE(CONTROL!$C$9, $D$9, 100%, $F$9) + CHOOSE(CONTROL!$C$27, 0.0021, 0)</f>
        <v>37.847799999999999</v>
      </c>
      <c r="L289" s="10"/>
    </row>
    <row r="290" spans="1:12" ht="15" x14ac:dyDescent="0.2">
      <c r="A290" s="15">
        <v>49735</v>
      </c>
      <c r="B290" s="10">
        <f>37.8456 * CHOOSE(CONTROL!$C$9, $D$9, 100%, $F$9) + CHOOSE(CONTROL!$C$27, 0.0021, 0)</f>
        <v>37.847699999999996</v>
      </c>
      <c r="C290" s="10">
        <f>37.4133 * CHOOSE(CONTROL!$C$9, $D$9, 100%, $F$9) + CHOOSE(CONTROL!$C$27, 0.0021, 0)</f>
        <v>37.415399999999998</v>
      </c>
      <c r="D290" s="10">
        <f>37.4133 * CHOOSE(CONTROL!$C$9, $D$9, 100%, $F$9) + CHOOSE(CONTROL!$C$27, 0.0021, 0)</f>
        <v>37.415399999999998</v>
      </c>
      <c r="E290" s="10">
        <f>37.2766 * CHOOSE(CONTROL!$C$9, $D$9, 100%, $F$9) + CHOOSE(CONTROL!$C$27, 0.0021, 0)</f>
        <v>37.278700000000001</v>
      </c>
      <c r="F290" s="10">
        <f>37.2766 * CHOOSE(CONTROL!$C$9, $D$9, 100%, $F$9) + CHOOSE(CONTROL!$C$27, 0.0021, 0)</f>
        <v>37.278700000000001</v>
      </c>
      <c r="G290" s="10">
        <f>37.548 * CHOOSE(CONTROL!$C$9, $D$9, 100%, $F$9) + CHOOSE(CONTROL!$C$27, 0.0021, 0)</f>
        <v>37.5501</v>
      </c>
      <c r="H290" s="10">
        <f>37.4133 * CHOOSE(CONTROL!$C$9, $D$9, 100%, $F$9) + CHOOSE(CONTROL!$C$27, 0.0021, 0)</f>
        <v>37.415399999999998</v>
      </c>
      <c r="I290" s="10">
        <f>37.4133 * CHOOSE(CONTROL!$C$9, $D$9, 100%, $F$9) + CHOOSE(CONTROL!$C$27, 0.0021, 0)</f>
        <v>37.415399999999998</v>
      </c>
      <c r="J290" s="10">
        <f>37.4133 * CHOOSE(CONTROL!$C$9, $D$9, 100%, $F$9) + CHOOSE(CONTROL!$C$27, 0.0021, 0)</f>
        <v>37.415399999999998</v>
      </c>
      <c r="K290" s="10">
        <f>37.4133 * CHOOSE(CONTROL!$C$9, $D$9, 100%, $F$9) + CHOOSE(CONTROL!$C$27, 0.0021, 0)</f>
        <v>37.415399999999998</v>
      </c>
      <c r="L290" s="10"/>
    </row>
    <row r="291" spans="1:12" ht="15" x14ac:dyDescent="0.2">
      <c r="A291" s="15">
        <v>49766</v>
      </c>
      <c r="B291" s="10">
        <f>37.3293 * CHOOSE(CONTROL!$C$9, $D$9, 100%, $F$9) + CHOOSE(CONTROL!$C$27, 0.0021, 0)</f>
        <v>37.331400000000002</v>
      </c>
      <c r="C291" s="10">
        <f>36.897 * CHOOSE(CONTROL!$C$9, $D$9, 100%, $F$9) + CHOOSE(CONTROL!$C$27, 0.0021, 0)</f>
        <v>36.899099999999997</v>
      </c>
      <c r="D291" s="10">
        <f>36.897 * CHOOSE(CONTROL!$C$9, $D$9, 100%, $F$9) + CHOOSE(CONTROL!$C$27, 0.0021, 0)</f>
        <v>36.899099999999997</v>
      </c>
      <c r="E291" s="10">
        <f>36.7603 * CHOOSE(CONTROL!$C$9, $D$9, 100%, $F$9) + CHOOSE(CONTROL!$C$27, 0.0021, 0)</f>
        <v>36.7624</v>
      </c>
      <c r="F291" s="10">
        <f>36.7603 * CHOOSE(CONTROL!$C$9, $D$9, 100%, $F$9) + CHOOSE(CONTROL!$C$27, 0.0021, 0)</f>
        <v>36.7624</v>
      </c>
      <c r="G291" s="10">
        <f>37.0317 * CHOOSE(CONTROL!$C$9, $D$9, 100%, $F$9) + CHOOSE(CONTROL!$C$27, 0.0021, 0)</f>
        <v>37.033799999999999</v>
      </c>
      <c r="H291" s="10">
        <f>36.897 * CHOOSE(CONTROL!$C$9, $D$9, 100%, $F$9) + CHOOSE(CONTROL!$C$27, 0.0021, 0)</f>
        <v>36.899099999999997</v>
      </c>
      <c r="I291" s="10">
        <f>36.897 * CHOOSE(CONTROL!$C$9, $D$9, 100%, $F$9) + CHOOSE(CONTROL!$C$27, 0.0021, 0)</f>
        <v>36.899099999999997</v>
      </c>
      <c r="J291" s="10">
        <f>36.897 * CHOOSE(CONTROL!$C$9, $D$9, 100%, $F$9) + CHOOSE(CONTROL!$C$27, 0.0021, 0)</f>
        <v>36.899099999999997</v>
      </c>
      <c r="K291" s="10">
        <f>36.897 * CHOOSE(CONTROL!$C$9, $D$9, 100%, $F$9) + CHOOSE(CONTROL!$C$27, 0.0021, 0)</f>
        <v>36.899099999999997</v>
      </c>
      <c r="L291" s="10"/>
    </row>
    <row r="292" spans="1:12" ht="15" x14ac:dyDescent="0.2">
      <c r="A292" s="15">
        <v>49796</v>
      </c>
      <c r="B292" s="10">
        <f>38.065 * CHOOSE(CONTROL!$C$9, $D$9, 100%, $F$9) + CHOOSE(CONTROL!$C$27, 0.0021, 0)</f>
        <v>38.067099999999996</v>
      </c>
      <c r="C292" s="10">
        <f>37.6328 * CHOOSE(CONTROL!$C$9, $D$9, 100%, $F$9) + CHOOSE(CONTROL!$C$27, 0.0021, 0)</f>
        <v>37.634900000000002</v>
      </c>
      <c r="D292" s="10">
        <f>37.6328 * CHOOSE(CONTROL!$C$9, $D$9, 100%, $F$9) + CHOOSE(CONTROL!$C$27, 0.0021, 0)</f>
        <v>37.634900000000002</v>
      </c>
      <c r="E292" s="10">
        <f>37.4961 * CHOOSE(CONTROL!$C$9, $D$9, 100%, $F$9) + CHOOSE(CONTROL!$C$27, 0.0021, 0)</f>
        <v>37.498199999999997</v>
      </c>
      <c r="F292" s="10">
        <f>37.4961 * CHOOSE(CONTROL!$C$9, $D$9, 100%, $F$9) + CHOOSE(CONTROL!$C$27, 0.0021, 0)</f>
        <v>37.498199999999997</v>
      </c>
      <c r="G292" s="10">
        <f>37.7675 * CHOOSE(CONTROL!$C$9, $D$9, 100%, $F$9) + CHOOSE(CONTROL!$C$27, 0.0021, 0)</f>
        <v>37.769599999999997</v>
      </c>
      <c r="H292" s="10">
        <f>37.6328 * CHOOSE(CONTROL!$C$9, $D$9, 100%, $F$9) + CHOOSE(CONTROL!$C$27, 0.0021, 0)</f>
        <v>37.634900000000002</v>
      </c>
      <c r="I292" s="10">
        <f>37.6328 * CHOOSE(CONTROL!$C$9, $D$9, 100%, $F$9) + CHOOSE(CONTROL!$C$27, 0.0021, 0)</f>
        <v>37.634900000000002</v>
      </c>
      <c r="J292" s="10">
        <f>37.6328 * CHOOSE(CONTROL!$C$9, $D$9, 100%, $F$9) + CHOOSE(CONTROL!$C$27, 0.0021, 0)</f>
        <v>37.634900000000002</v>
      </c>
      <c r="K292" s="10">
        <f>37.6328 * CHOOSE(CONTROL!$C$9, $D$9, 100%, $F$9) + CHOOSE(CONTROL!$C$27, 0.0021, 0)</f>
        <v>37.634900000000002</v>
      </c>
      <c r="L292" s="10"/>
    </row>
    <row r="293" spans="1:12" ht="15" x14ac:dyDescent="0.2">
      <c r="A293" s="15">
        <v>49827</v>
      </c>
      <c r="B293" s="10">
        <f>38.5058 * CHOOSE(CONTROL!$C$9, $D$9, 100%, $F$9) + CHOOSE(CONTROL!$C$27, 0.0021, 0)</f>
        <v>38.507899999999999</v>
      </c>
      <c r="C293" s="10">
        <f>38.0735 * CHOOSE(CONTROL!$C$9, $D$9, 100%, $F$9) + CHOOSE(CONTROL!$C$27, 0.0021, 0)</f>
        <v>38.075600000000001</v>
      </c>
      <c r="D293" s="10">
        <f>38.0735 * CHOOSE(CONTROL!$C$9, $D$9, 100%, $F$9) + CHOOSE(CONTROL!$C$27, 0.0021, 0)</f>
        <v>38.075600000000001</v>
      </c>
      <c r="E293" s="10">
        <f>37.9368 * CHOOSE(CONTROL!$C$9, $D$9, 100%, $F$9) + CHOOSE(CONTROL!$C$27, 0.0021, 0)</f>
        <v>37.938899999999997</v>
      </c>
      <c r="F293" s="10">
        <f>37.9368 * CHOOSE(CONTROL!$C$9, $D$9, 100%, $F$9) + CHOOSE(CONTROL!$C$27, 0.0021, 0)</f>
        <v>37.938899999999997</v>
      </c>
      <c r="G293" s="10">
        <f>38.2082 * CHOOSE(CONTROL!$C$9, $D$9, 100%, $F$9) + CHOOSE(CONTROL!$C$27, 0.0021, 0)</f>
        <v>38.210299999999997</v>
      </c>
      <c r="H293" s="10">
        <f>38.0735 * CHOOSE(CONTROL!$C$9, $D$9, 100%, $F$9) + CHOOSE(CONTROL!$C$27, 0.0021, 0)</f>
        <v>38.075600000000001</v>
      </c>
      <c r="I293" s="10">
        <f>38.0735 * CHOOSE(CONTROL!$C$9, $D$9, 100%, $F$9) + CHOOSE(CONTROL!$C$27, 0.0021, 0)</f>
        <v>38.075600000000001</v>
      </c>
      <c r="J293" s="10">
        <f>38.0735 * CHOOSE(CONTROL!$C$9, $D$9, 100%, $F$9) + CHOOSE(CONTROL!$C$27, 0.0021, 0)</f>
        <v>38.075600000000001</v>
      </c>
      <c r="K293" s="10">
        <f>38.0735 * CHOOSE(CONTROL!$C$9, $D$9, 100%, $F$9) + CHOOSE(CONTROL!$C$27, 0.0021, 0)</f>
        <v>38.075600000000001</v>
      </c>
      <c r="L293" s="10"/>
    </row>
    <row r="294" spans="1:12" ht="15" x14ac:dyDescent="0.2">
      <c r="A294" s="15">
        <v>49857</v>
      </c>
      <c r="B294" s="10">
        <f>39.2328 * CHOOSE(CONTROL!$C$9, $D$9, 100%, $F$9) + CHOOSE(CONTROL!$C$27, 0.0021, 0)</f>
        <v>39.234899999999996</v>
      </c>
      <c r="C294" s="10">
        <f>38.8005 * CHOOSE(CONTROL!$C$9, $D$9, 100%, $F$9) + CHOOSE(CONTROL!$C$27, 0.0021, 0)</f>
        <v>38.802599999999998</v>
      </c>
      <c r="D294" s="10">
        <f>38.8005 * CHOOSE(CONTROL!$C$9, $D$9, 100%, $F$9) + CHOOSE(CONTROL!$C$27, 0.0021, 0)</f>
        <v>38.802599999999998</v>
      </c>
      <c r="E294" s="10">
        <f>38.6639 * CHOOSE(CONTROL!$C$9, $D$9, 100%, $F$9) + CHOOSE(CONTROL!$C$27, 0.0021, 0)</f>
        <v>38.665999999999997</v>
      </c>
      <c r="F294" s="10">
        <f>38.6639 * CHOOSE(CONTROL!$C$9, $D$9, 100%, $F$9) + CHOOSE(CONTROL!$C$27, 0.0021, 0)</f>
        <v>38.665999999999997</v>
      </c>
      <c r="G294" s="10">
        <f>38.9352 * CHOOSE(CONTROL!$C$9, $D$9, 100%, $F$9) + CHOOSE(CONTROL!$C$27, 0.0021, 0)</f>
        <v>38.9373</v>
      </c>
      <c r="H294" s="10">
        <f>38.8005 * CHOOSE(CONTROL!$C$9, $D$9, 100%, $F$9) + CHOOSE(CONTROL!$C$27, 0.0021, 0)</f>
        <v>38.802599999999998</v>
      </c>
      <c r="I294" s="10">
        <f>38.8005 * CHOOSE(CONTROL!$C$9, $D$9, 100%, $F$9) + CHOOSE(CONTROL!$C$27, 0.0021, 0)</f>
        <v>38.802599999999998</v>
      </c>
      <c r="J294" s="10">
        <f>38.8005 * CHOOSE(CONTROL!$C$9, $D$9, 100%, $F$9) + CHOOSE(CONTROL!$C$27, 0.0021, 0)</f>
        <v>38.802599999999998</v>
      </c>
      <c r="K294" s="10">
        <f>38.8005 * CHOOSE(CONTROL!$C$9, $D$9, 100%, $F$9) + CHOOSE(CONTROL!$C$27, 0.0021, 0)</f>
        <v>38.802599999999998</v>
      </c>
      <c r="L294" s="10"/>
    </row>
    <row r="295" spans="1:12" ht="15" x14ac:dyDescent="0.2">
      <c r="A295" s="15">
        <v>49888</v>
      </c>
      <c r="B295" s="10">
        <f>39.4547 * CHOOSE(CONTROL!$C$9, $D$9, 100%, $F$9) + CHOOSE(CONTROL!$C$27, 0.0021, 0)</f>
        <v>39.456800000000001</v>
      </c>
      <c r="C295" s="10">
        <f>39.0224 * CHOOSE(CONTROL!$C$9, $D$9, 100%, $F$9) + CHOOSE(CONTROL!$C$27, 0.0021, 0)</f>
        <v>39.024499999999996</v>
      </c>
      <c r="D295" s="10">
        <f>39.0224 * CHOOSE(CONTROL!$C$9, $D$9, 100%, $F$9) + CHOOSE(CONTROL!$C$27, 0.0021, 0)</f>
        <v>39.024499999999996</v>
      </c>
      <c r="E295" s="10">
        <f>38.8858 * CHOOSE(CONTROL!$C$9, $D$9, 100%, $F$9) + CHOOSE(CONTROL!$C$27, 0.0021, 0)</f>
        <v>38.887900000000002</v>
      </c>
      <c r="F295" s="10">
        <f>38.8858 * CHOOSE(CONTROL!$C$9, $D$9, 100%, $F$9) + CHOOSE(CONTROL!$C$27, 0.0021, 0)</f>
        <v>38.887900000000002</v>
      </c>
      <c r="G295" s="10">
        <f>39.1571 * CHOOSE(CONTROL!$C$9, $D$9, 100%, $F$9) + CHOOSE(CONTROL!$C$27, 0.0021, 0)</f>
        <v>39.159199999999998</v>
      </c>
      <c r="H295" s="10">
        <f>39.0224 * CHOOSE(CONTROL!$C$9, $D$9, 100%, $F$9) + CHOOSE(CONTROL!$C$27, 0.0021, 0)</f>
        <v>39.024499999999996</v>
      </c>
      <c r="I295" s="10">
        <f>39.0224 * CHOOSE(CONTROL!$C$9, $D$9, 100%, $F$9) + CHOOSE(CONTROL!$C$27, 0.0021, 0)</f>
        <v>39.024499999999996</v>
      </c>
      <c r="J295" s="10">
        <f>39.0224 * CHOOSE(CONTROL!$C$9, $D$9, 100%, $F$9) + CHOOSE(CONTROL!$C$27, 0.0021, 0)</f>
        <v>39.024499999999996</v>
      </c>
      <c r="K295" s="10">
        <f>39.0224 * CHOOSE(CONTROL!$C$9, $D$9, 100%, $F$9) + CHOOSE(CONTROL!$C$27, 0.0021, 0)</f>
        <v>39.024499999999996</v>
      </c>
      <c r="L295" s="10"/>
    </row>
    <row r="296" spans="1:12" ht="15" x14ac:dyDescent="0.2">
      <c r="A296" s="15">
        <v>49919</v>
      </c>
      <c r="B296" s="10">
        <f>40.2104 * CHOOSE(CONTROL!$C$9, $D$9, 100%, $F$9) + CHOOSE(CONTROL!$C$27, 0.0021, 0)</f>
        <v>40.212499999999999</v>
      </c>
      <c r="C296" s="10">
        <f>39.7781 * CHOOSE(CONTROL!$C$9, $D$9, 100%, $F$9) + CHOOSE(CONTROL!$C$27, 0.0021, 0)</f>
        <v>39.780200000000001</v>
      </c>
      <c r="D296" s="10">
        <f>39.7781 * CHOOSE(CONTROL!$C$9, $D$9, 100%, $F$9) + CHOOSE(CONTROL!$C$27, 0.0021, 0)</f>
        <v>39.780200000000001</v>
      </c>
      <c r="E296" s="10">
        <f>39.6415 * CHOOSE(CONTROL!$C$9, $D$9, 100%, $F$9) + CHOOSE(CONTROL!$C$27, 0.0021, 0)</f>
        <v>39.643599999999999</v>
      </c>
      <c r="F296" s="10">
        <f>39.6415 * CHOOSE(CONTROL!$C$9, $D$9, 100%, $F$9) + CHOOSE(CONTROL!$C$27, 0.0021, 0)</f>
        <v>39.643599999999999</v>
      </c>
      <c r="G296" s="10">
        <f>39.9128 * CHOOSE(CONTROL!$C$9, $D$9, 100%, $F$9) + CHOOSE(CONTROL!$C$27, 0.0021, 0)</f>
        <v>39.914899999999996</v>
      </c>
      <c r="H296" s="10">
        <f>39.7781 * CHOOSE(CONTROL!$C$9, $D$9, 100%, $F$9) + CHOOSE(CONTROL!$C$27, 0.0021, 0)</f>
        <v>39.780200000000001</v>
      </c>
      <c r="I296" s="10">
        <f>39.7781 * CHOOSE(CONTROL!$C$9, $D$9, 100%, $F$9) + CHOOSE(CONTROL!$C$27, 0.0021, 0)</f>
        <v>39.780200000000001</v>
      </c>
      <c r="J296" s="10">
        <f>39.7781 * CHOOSE(CONTROL!$C$9, $D$9, 100%, $F$9) + CHOOSE(CONTROL!$C$27, 0.0021, 0)</f>
        <v>39.780200000000001</v>
      </c>
      <c r="K296" s="10">
        <f>39.7781 * CHOOSE(CONTROL!$C$9, $D$9, 100%, $F$9) + CHOOSE(CONTROL!$C$27, 0.0021, 0)</f>
        <v>39.780200000000001</v>
      </c>
      <c r="L296" s="10"/>
    </row>
    <row r="297" spans="1:12" ht="15" x14ac:dyDescent="0.2">
      <c r="A297" s="15">
        <v>49949</v>
      </c>
      <c r="B297" s="10">
        <f>41.1669 * CHOOSE(CONTROL!$C$9, $D$9, 100%, $F$9) + CHOOSE(CONTROL!$C$27, 0.0021, 0)</f>
        <v>41.168999999999997</v>
      </c>
      <c r="C297" s="10">
        <f>40.7347 * CHOOSE(CONTROL!$C$9, $D$9, 100%, $F$9) + CHOOSE(CONTROL!$C$27, 0.0021, 0)</f>
        <v>40.736799999999995</v>
      </c>
      <c r="D297" s="10">
        <f>40.7347 * CHOOSE(CONTROL!$C$9, $D$9, 100%, $F$9) + CHOOSE(CONTROL!$C$27, 0.0021, 0)</f>
        <v>40.736799999999995</v>
      </c>
      <c r="E297" s="10">
        <f>40.598 * CHOOSE(CONTROL!$C$9, $D$9, 100%, $F$9) + CHOOSE(CONTROL!$C$27, 0.0021, 0)</f>
        <v>40.600099999999998</v>
      </c>
      <c r="F297" s="10">
        <f>40.598 * CHOOSE(CONTROL!$C$9, $D$9, 100%, $F$9) + CHOOSE(CONTROL!$C$27, 0.0021, 0)</f>
        <v>40.600099999999998</v>
      </c>
      <c r="G297" s="10">
        <f>40.8694 * CHOOSE(CONTROL!$C$9, $D$9, 100%, $F$9) + CHOOSE(CONTROL!$C$27, 0.0021, 0)</f>
        <v>40.871499999999997</v>
      </c>
      <c r="H297" s="10">
        <f>40.7347 * CHOOSE(CONTROL!$C$9, $D$9, 100%, $F$9) + CHOOSE(CONTROL!$C$27, 0.0021, 0)</f>
        <v>40.736799999999995</v>
      </c>
      <c r="I297" s="10">
        <f>40.7347 * CHOOSE(CONTROL!$C$9, $D$9, 100%, $F$9) + CHOOSE(CONTROL!$C$27, 0.0021, 0)</f>
        <v>40.736799999999995</v>
      </c>
      <c r="J297" s="10">
        <f>40.7347 * CHOOSE(CONTROL!$C$9, $D$9, 100%, $F$9) + CHOOSE(CONTROL!$C$27, 0.0021, 0)</f>
        <v>40.736799999999995</v>
      </c>
      <c r="K297" s="10">
        <f>40.7347 * CHOOSE(CONTROL!$C$9, $D$9, 100%, $F$9) + CHOOSE(CONTROL!$C$27, 0.0021, 0)</f>
        <v>40.736799999999995</v>
      </c>
      <c r="L297" s="10"/>
    </row>
    <row r="298" spans="1:12" ht="15" x14ac:dyDescent="0.2">
      <c r="A298" s="15">
        <v>49980</v>
      </c>
      <c r="B298" s="10">
        <f>41.2567 * CHOOSE(CONTROL!$C$9, $D$9, 100%, $F$9) + CHOOSE(CONTROL!$C$27, 0.0021, 0)</f>
        <v>41.258800000000001</v>
      </c>
      <c r="C298" s="10">
        <f>40.8245 * CHOOSE(CONTROL!$C$9, $D$9, 100%, $F$9) + CHOOSE(CONTROL!$C$27, 0.0021, 0)</f>
        <v>40.826599999999999</v>
      </c>
      <c r="D298" s="10">
        <f>40.8245 * CHOOSE(CONTROL!$C$9, $D$9, 100%, $F$9) + CHOOSE(CONTROL!$C$27, 0.0021, 0)</f>
        <v>40.826599999999999</v>
      </c>
      <c r="E298" s="10">
        <f>40.6878 * CHOOSE(CONTROL!$C$9, $D$9, 100%, $F$9) + CHOOSE(CONTROL!$C$27, 0.0021, 0)</f>
        <v>40.689900000000002</v>
      </c>
      <c r="F298" s="10">
        <f>40.6878 * CHOOSE(CONTROL!$C$9, $D$9, 100%, $F$9) + CHOOSE(CONTROL!$C$27, 0.0021, 0)</f>
        <v>40.689900000000002</v>
      </c>
      <c r="G298" s="10">
        <f>40.9592 * CHOOSE(CONTROL!$C$9, $D$9, 100%, $F$9) + CHOOSE(CONTROL!$C$27, 0.0021, 0)</f>
        <v>40.961300000000001</v>
      </c>
      <c r="H298" s="10">
        <f>40.8245 * CHOOSE(CONTROL!$C$9, $D$9, 100%, $F$9) + CHOOSE(CONTROL!$C$27, 0.0021, 0)</f>
        <v>40.826599999999999</v>
      </c>
      <c r="I298" s="10">
        <f>40.8245 * CHOOSE(CONTROL!$C$9, $D$9, 100%, $F$9) + CHOOSE(CONTROL!$C$27, 0.0021, 0)</f>
        <v>40.826599999999999</v>
      </c>
      <c r="J298" s="10">
        <f>40.8245 * CHOOSE(CONTROL!$C$9, $D$9, 100%, $F$9) + CHOOSE(CONTROL!$C$27, 0.0021, 0)</f>
        <v>40.826599999999999</v>
      </c>
      <c r="K298" s="10">
        <f>40.8245 * CHOOSE(CONTROL!$C$9, $D$9, 100%, $F$9) + CHOOSE(CONTROL!$C$27, 0.0021, 0)</f>
        <v>40.826599999999999</v>
      </c>
      <c r="L298" s="10"/>
    </row>
    <row r="299" spans="1:12" ht="15" x14ac:dyDescent="0.2">
      <c r="A299" s="15">
        <v>50010</v>
      </c>
      <c r="B299" s="10">
        <f>40.4927 * CHOOSE(CONTROL!$C$9, $D$9, 100%, $F$9) + CHOOSE(CONTROL!$C$27, 0.0021, 0)</f>
        <v>40.494799999999998</v>
      </c>
      <c r="C299" s="10">
        <f>40.0605 * CHOOSE(CONTROL!$C$9, $D$9, 100%, $F$9) + CHOOSE(CONTROL!$C$27, 0.0021, 0)</f>
        <v>40.062599999999996</v>
      </c>
      <c r="D299" s="10">
        <f>40.0605 * CHOOSE(CONTROL!$C$9, $D$9, 100%, $F$9) + CHOOSE(CONTROL!$C$27, 0.0021, 0)</f>
        <v>40.062599999999996</v>
      </c>
      <c r="E299" s="10">
        <f>39.9238 * CHOOSE(CONTROL!$C$9, $D$9, 100%, $F$9) + CHOOSE(CONTROL!$C$27, 0.0021, 0)</f>
        <v>39.925899999999999</v>
      </c>
      <c r="F299" s="10">
        <f>39.9238 * CHOOSE(CONTROL!$C$9, $D$9, 100%, $F$9) + CHOOSE(CONTROL!$C$27, 0.0021, 0)</f>
        <v>39.925899999999999</v>
      </c>
      <c r="G299" s="10">
        <f>40.1952 * CHOOSE(CONTROL!$C$9, $D$9, 100%, $F$9) + CHOOSE(CONTROL!$C$27, 0.0021, 0)</f>
        <v>40.197299999999998</v>
      </c>
      <c r="H299" s="10">
        <f>40.0605 * CHOOSE(CONTROL!$C$9, $D$9, 100%, $F$9) + CHOOSE(CONTROL!$C$27, 0.0021, 0)</f>
        <v>40.062599999999996</v>
      </c>
      <c r="I299" s="10">
        <f>40.0605 * CHOOSE(CONTROL!$C$9, $D$9, 100%, $F$9) + CHOOSE(CONTROL!$C$27, 0.0021, 0)</f>
        <v>40.062599999999996</v>
      </c>
      <c r="J299" s="10">
        <f>40.0605 * CHOOSE(CONTROL!$C$9, $D$9, 100%, $F$9) + CHOOSE(CONTROL!$C$27, 0.0021, 0)</f>
        <v>40.062599999999996</v>
      </c>
      <c r="K299" s="10">
        <f>40.0605 * CHOOSE(CONTROL!$C$9, $D$9, 100%, $F$9) + CHOOSE(CONTROL!$C$27, 0.0021, 0)</f>
        <v>40.062599999999996</v>
      </c>
      <c r="L299" s="10"/>
    </row>
    <row r="300" spans="1:12" ht="15" x14ac:dyDescent="0.2">
      <c r="A300" s="15">
        <v>50041</v>
      </c>
      <c r="B300" s="10">
        <f>39.9922 * CHOOSE(CONTROL!$C$9, $D$9, 100%, $F$9) + CHOOSE(CONTROL!$C$27, 0.0021, 0)</f>
        <v>39.994299999999996</v>
      </c>
      <c r="C300" s="10">
        <f>39.56 * CHOOSE(CONTROL!$C$9, $D$9, 100%, $F$9) + CHOOSE(CONTROL!$C$27, 0.0021, 0)</f>
        <v>39.562100000000001</v>
      </c>
      <c r="D300" s="10">
        <f>39.56 * CHOOSE(CONTROL!$C$9, $D$9, 100%, $F$9) + CHOOSE(CONTROL!$C$27, 0.0021, 0)</f>
        <v>39.562100000000001</v>
      </c>
      <c r="E300" s="10">
        <f>39.4233 * CHOOSE(CONTROL!$C$9, $D$9, 100%, $F$9) + CHOOSE(CONTROL!$C$27, 0.0021, 0)</f>
        <v>39.425399999999996</v>
      </c>
      <c r="F300" s="10">
        <f>39.4233 * CHOOSE(CONTROL!$C$9, $D$9, 100%, $F$9) + CHOOSE(CONTROL!$C$27, 0.0021, 0)</f>
        <v>39.425399999999996</v>
      </c>
      <c r="G300" s="10">
        <f>39.6947 * CHOOSE(CONTROL!$C$9, $D$9, 100%, $F$9) + CHOOSE(CONTROL!$C$27, 0.0021, 0)</f>
        <v>39.696799999999996</v>
      </c>
      <c r="H300" s="10">
        <f>39.56 * CHOOSE(CONTROL!$C$9, $D$9, 100%, $F$9) + CHOOSE(CONTROL!$C$27, 0.0021, 0)</f>
        <v>39.562100000000001</v>
      </c>
      <c r="I300" s="10">
        <f>39.56 * CHOOSE(CONTROL!$C$9, $D$9, 100%, $F$9) + CHOOSE(CONTROL!$C$27, 0.0021, 0)</f>
        <v>39.562100000000001</v>
      </c>
      <c r="J300" s="10">
        <f>39.56 * CHOOSE(CONTROL!$C$9, $D$9, 100%, $F$9) + CHOOSE(CONTROL!$C$27, 0.0021, 0)</f>
        <v>39.562100000000001</v>
      </c>
      <c r="K300" s="10">
        <f>39.56 * CHOOSE(CONTROL!$C$9, $D$9, 100%, $F$9) + CHOOSE(CONTROL!$C$27, 0.0021, 0)</f>
        <v>39.562100000000001</v>
      </c>
      <c r="L300" s="10"/>
    </row>
    <row r="301" spans="1:12" ht="15" x14ac:dyDescent="0.2">
      <c r="A301" s="15">
        <v>50072</v>
      </c>
      <c r="B301" s="10">
        <f>38.9259 * CHOOSE(CONTROL!$C$9, $D$9, 100%, $F$9) + CHOOSE(CONTROL!$C$27, 0.0021, 0)</f>
        <v>38.927999999999997</v>
      </c>
      <c r="C301" s="10">
        <f>38.4936 * CHOOSE(CONTROL!$C$9, $D$9, 100%, $F$9) + CHOOSE(CONTROL!$C$27, 0.0021, 0)</f>
        <v>38.495699999999999</v>
      </c>
      <c r="D301" s="10">
        <f>38.4936 * CHOOSE(CONTROL!$C$9, $D$9, 100%, $F$9) + CHOOSE(CONTROL!$C$27, 0.0021, 0)</f>
        <v>38.495699999999999</v>
      </c>
      <c r="E301" s="10">
        <f>38.357 * CHOOSE(CONTROL!$C$9, $D$9, 100%, $F$9) + CHOOSE(CONTROL!$C$27, 0.0021, 0)</f>
        <v>38.359099999999998</v>
      </c>
      <c r="F301" s="10">
        <f>38.357 * CHOOSE(CONTROL!$C$9, $D$9, 100%, $F$9) + CHOOSE(CONTROL!$C$27, 0.0021, 0)</f>
        <v>38.359099999999998</v>
      </c>
      <c r="G301" s="10">
        <f>38.6283 * CHOOSE(CONTROL!$C$9, $D$9, 100%, $F$9) + CHOOSE(CONTROL!$C$27, 0.0021, 0)</f>
        <v>38.630400000000002</v>
      </c>
      <c r="H301" s="10">
        <f>38.4936 * CHOOSE(CONTROL!$C$9, $D$9, 100%, $F$9) + CHOOSE(CONTROL!$C$27, 0.0021, 0)</f>
        <v>38.495699999999999</v>
      </c>
      <c r="I301" s="10">
        <f>38.4936 * CHOOSE(CONTROL!$C$9, $D$9, 100%, $F$9) + CHOOSE(CONTROL!$C$27, 0.0021, 0)</f>
        <v>38.495699999999999</v>
      </c>
      <c r="J301" s="10">
        <f>38.4936 * CHOOSE(CONTROL!$C$9, $D$9, 100%, $F$9) + CHOOSE(CONTROL!$C$27, 0.0021, 0)</f>
        <v>38.495699999999999</v>
      </c>
      <c r="K301" s="10">
        <f>38.4936 * CHOOSE(CONTROL!$C$9, $D$9, 100%, $F$9) + CHOOSE(CONTROL!$C$27, 0.0021, 0)</f>
        <v>38.495699999999999</v>
      </c>
      <c r="L301" s="10"/>
    </row>
    <row r="302" spans="1:12" ht="15" x14ac:dyDescent="0.2">
      <c r="A302" s="15">
        <v>50100</v>
      </c>
      <c r="B302" s="10">
        <f>38.4857 * CHOOSE(CONTROL!$C$9, $D$9, 100%, $F$9) + CHOOSE(CONTROL!$C$27, 0.0021, 0)</f>
        <v>38.4878</v>
      </c>
      <c r="C302" s="10">
        <f>38.0534 * CHOOSE(CONTROL!$C$9, $D$9, 100%, $F$9) + CHOOSE(CONTROL!$C$27, 0.0021, 0)</f>
        <v>38.055500000000002</v>
      </c>
      <c r="D302" s="10">
        <f>38.0534 * CHOOSE(CONTROL!$C$9, $D$9, 100%, $F$9) + CHOOSE(CONTROL!$C$27, 0.0021, 0)</f>
        <v>38.055500000000002</v>
      </c>
      <c r="E302" s="10">
        <f>37.9168 * CHOOSE(CONTROL!$C$9, $D$9, 100%, $F$9) + CHOOSE(CONTROL!$C$27, 0.0021, 0)</f>
        <v>37.918900000000001</v>
      </c>
      <c r="F302" s="10">
        <f>37.9168 * CHOOSE(CONTROL!$C$9, $D$9, 100%, $F$9) + CHOOSE(CONTROL!$C$27, 0.0021, 0)</f>
        <v>37.918900000000001</v>
      </c>
      <c r="G302" s="10">
        <f>38.1882 * CHOOSE(CONTROL!$C$9, $D$9, 100%, $F$9) + CHOOSE(CONTROL!$C$27, 0.0021, 0)</f>
        <v>38.190300000000001</v>
      </c>
      <c r="H302" s="10">
        <f>38.0534 * CHOOSE(CONTROL!$C$9, $D$9, 100%, $F$9) + CHOOSE(CONTROL!$C$27, 0.0021, 0)</f>
        <v>38.055500000000002</v>
      </c>
      <c r="I302" s="10">
        <f>38.0534 * CHOOSE(CONTROL!$C$9, $D$9, 100%, $F$9) + CHOOSE(CONTROL!$C$27, 0.0021, 0)</f>
        <v>38.055500000000002</v>
      </c>
      <c r="J302" s="10">
        <f>38.0534 * CHOOSE(CONTROL!$C$9, $D$9, 100%, $F$9) + CHOOSE(CONTROL!$C$27, 0.0021, 0)</f>
        <v>38.055500000000002</v>
      </c>
      <c r="K302" s="10">
        <f>38.0534 * CHOOSE(CONTROL!$C$9, $D$9, 100%, $F$9) + CHOOSE(CONTROL!$C$27, 0.0021, 0)</f>
        <v>38.055500000000002</v>
      </c>
      <c r="L302" s="10"/>
    </row>
    <row r="303" spans="1:12" ht="15" x14ac:dyDescent="0.2">
      <c r="A303" s="15">
        <v>50131</v>
      </c>
      <c r="B303" s="10">
        <f>37.9601 * CHOOSE(CONTROL!$C$9, $D$9, 100%, $F$9) + CHOOSE(CONTROL!$C$27, 0.0021, 0)</f>
        <v>37.962199999999996</v>
      </c>
      <c r="C303" s="10">
        <f>37.5278 * CHOOSE(CONTROL!$C$9, $D$9, 100%, $F$9) + CHOOSE(CONTROL!$C$27, 0.0021, 0)</f>
        <v>37.529899999999998</v>
      </c>
      <c r="D303" s="10">
        <f>37.5278 * CHOOSE(CONTROL!$C$9, $D$9, 100%, $F$9) + CHOOSE(CONTROL!$C$27, 0.0021, 0)</f>
        <v>37.529899999999998</v>
      </c>
      <c r="E303" s="10">
        <f>37.3912 * CHOOSE(CONTROL!$C$9, $D$9, 100%, $F$9) + CHOOSE(CONTROL!$C$27, 0.0021, 0)</f>
        <v>37.393299999999996</v>
      </c>
      <c r="F303" s="10">
        <f>37.3912 * CHOOSE(CONTROL!$C$9, $D$9, 100%, $F$9) + CHOOSE(CONTROL!$C$27, 0.0021, 0)</f>
        <v>37.393299999999996</v>
      </c>
      <c r="G303" s="10">
        <f>37.6626 * CHOOSE(CONTROL!$C$9, $D$9, 100%, $F$9) + CHOOSE(CONTROL!$C$27, 0.0021, 0)</f>
        <v>37.664699999999996</v>
      </c>
      <c r="H303" s="10">
        <f>37.5278 * CHOOSE(CONTROL!$C$9, $D$9, 100%, $F$9) + CHOOSE(CONTROL!$C$27, 0.0021, 0)</f>
        <v>37.529899999999998</v>
      </c>
      <c r="I303" s="10">
        <f>37.5278 * CHOOSE(CONTROL!$C$9, $D$9, 100%, $F$9) + CHOOSE(CONTROL!$C$27, 0.0021, 0)</f>
        <v>37.529899999999998</v>
      </c>
      <c r="J303" s="10">
        <f>37.5278 * CHOOSE(CONTROL!$C$9, $D$9, 100%, $F$9) + CHOOSE(CONTROL!$C$27, 0.0021, 0)</f>
        <v>37.529899999999998</v>
      </c>
      <c r="K303" s="10">
        <f>37.5278 * CHOOSE(CONTROL!$C$9, $D$9, 100%, $F$9) + CHOOSE(CONTROL!$C$27, 0.0021, 0)</f>
        <v>37.529899999999998</v>
      </c>
      <c r="L303" s="10"/>
    </row>
    <row r="304" spans="1:12" ht="15" x14ac:dyDescent="0.2">
      <c r="A304" s="15">
        <v>50161</v>
      </c>
      <c r="B304" s="10">
        <f>38.7091 * CHOOSE(CONTROL!$C$9, $D$9, 100%, $F$9) + CHOOSE(CONTROL!$C$27, 0.0021, 0)</f>
        <v>38.711199999999998</v>
      </c>
      <c r="C304" s="10">
        <f>38.2769 * CHOOSE(CONTROL!$C$9, $D$9, 100%, $F$9) + CHOOSE(CONTROL!$C$27, 0.0021, 0)</f>
        <v>38.278999999999996</v>
      </c>
      <c r="D304" s="10">
        <f>38.2769 * CHOOSE(CONTROL!$C$9, $D$9, 100%, $F$9) + CHOOSE(CONTROL!$C$27, 0.0021, 0)</f>
        <v>38.278999999999996</v>
      </c>
      <c r="E304" s="10">
        <f>38.1402 * CHOOSE(CONTROL!$C$9, $D$9, 100%, $F$9) + CHOOSE(CONTROL!$C$27, 0.0021, 0)</f>
        <v>38.142299999999999</v>
      </c>
      <c r="F304" s="10">
        <f>38.1402 * CHOOSE(CONTROL!$C$9, $D$9, 100%, $F$9) + CHOOSE(CONTROL!$C$27, 0.0021, 0)</f>
        <v>38.142299999999999</v>
      </c>
      <c r="G304" s="10">
        <f>38.4116 * CHOOSE(CONTROL!$C$9, $D$9, 100%, $F$9) + CHOOSE(CONTROL!$C$27, 0.0021, 0)</f>
        <v>38.413699999999999</v>
      </c>
      <c r="H304" s="10">
        <f>38.2769 * CHOOSE(CONTROL!$C$9, $D$9, 100%, $F$9) + CHOOSE(CONTROL!$C$27, 0.0021, 0)</f>
        <v>38.278999999999996</v>
      </c>
      <c r="I304" s="10">
        <f>38.2769 * CHOOSE(CONTROL!$C$9, $D$9, 100%, $F$9) + CHOOSE(CONTROL!$C$27, 0.0021, 0)</f>
        <v>38.278999999999996</v>
      </c>
      <c r="J304" s="10">
        <f>38.2769 * CHOOSE(CONTROL!$C$9, $D$9, 100%, $F$9) + CHOOSE(CONTROL!$C$27, 0.0021, 0)</f>
        <v>38.278999999999996</v>
      </c>
      <c r="K304" s="10">
        <f>38.2769 * CHOOSE(CONTROL!$C$9, $D$9, 100%, $F$9) + CHOOSE(CONTROL!$C$27, 0.0021, 0)</f>
        <v>38.278999999999996</v>
      </c>
      <c r="L304" s="10"/>
    </row>
    <row r="305" spans="1:12" ht="15" x14ac:dyDescent="0.2">
      <c r="A305" s="15">
        <v>50192</v>
      </c>
      <c r="B305" s="10">
        <f>39.1578 * CHOOSE(CONTROL!$C$9, $D$9, 100%, $F$9) + CHOOSE(CONTROL!$C$27, 0.0021, 0)</f>
        <v>39.1599</v>
      </c>
      <c r="C305" s="10">
        <f>38.7255 * CHOOSE(CONTROL!$C$9, $D$9, 100%, $F$9) + CHOOSE(CONTROL!$C$27, 0.0021, 0)</f>
        <v>38.727599999999995</v>
      </c>
      <c r="D305" s="10">
        <f>38.7255 * CHOOSE(CONTROL!$C$9, $D$9, 100%, $F$9) + CHOOSE(CONTROL!$C$27, 0.0021, 0)</f>
        <v>38.727599999999995</v>
      </c>
      <c r="E305" s="10">
        <f>38.5889 * CHOOSE(CONTROL!$C$9, $D$9, 100%, $F$9) + CHOOSE(CONTROL!$C$27, 0.0021, 0)</f>
        <v>38.591000000000001</v>
      </c>
      <c r="F305" s="10">
        <f>38.5889 * CHOOSE(CONTROL!$C$9, $D$9, 100%, $F$9) + CHOOSE(CONTROL!$C$27, 0.0021, 0)</f>
        <v>38.591000000000001</v>
      </c>
      <c r="G305" s="10">
        <f>38.8602 * CHOOSE(CONTROL!$C$9, $D$9, 100%, $F$9) + CHOOSE(CONTROL!$C$27, 0.0021, 0)</f>
        <v>38.862299999999998</v>
      </c>
      <c r="H305" s="10">
        <f>38.7255 * CHOOSE(CONTROL!$C$9, $D$9, 100%, $F$9) + CHOOSE(CONTROL!$C$27, 0.0021, 0)</f>
        <v>38.727599999999995</v>
      </c>
      <c r="I305" s="10">
        <f>38.7255 * CHOOSE(CONTROL!$C$9, $D$9, 100%, $F$9) + CHOOSE(CONTROL!$C$27, 0.0021, 0)</f>
        <v>38.727599999999995</v>
      </c>
      <c r="J305" s="10">
        <f>38.7255 * CHOOSE(CONTROL!$C$9, $D$9, 100%, $F$9) + CHOOSE(CONTROL!$C$27, 0.0021, 0)</f>
        <v>38.727599999999995</v>
      </c>
      <c r="K305" s="10">
        <f>38.7255 * CHOOSE(CONTROL!$C$9, $D$9, 100%, $F$9) + CHOOSE(CONTROL!$C$27, 0.0021, 0)</f>
        <v>38.727599999999995</v>
      </c>
      <c r="L305" s="10"/>
    </row>
    <row r="306" spans="1:12" ht="15" x14ac:dyDescent="0.2">
      <c r="A306" s="15">
        <v>50222</v>
      </c>
      <c r="B306" s="10">
        <f>39.8979 * CHOOSE(CONTROL!$C$9, $D$9, 100%, $F$9) + CHOOSE(CONTROL!$C$27, 0.0021, 0)</f>
        <v>39.9</v>
      </c>
      <c r="C306" s="10">
        <f>39.4656 * CHOOSE(CONTROL!$C$9, $D$9, 100%, $F$9) + CHOOSE(CONTROL!$C$27, 0.0021, 0)</f>
        <v>39.467700000000001</v>
      </c>
      <c r="D306" s="10">
        <f>39.4656 * CHOOSE(CONTROL!$C$9, $D$9, 100%, $F$9) + CHOOSE(CONTROL!$C$27, 0.0021, 0)</f>
        <v>39.467700000000001</v>
      </c>
      <c r="E306" s="10">
        <f>39.329 * CHOOSE(CONTROL!$C$9, $D$9, 100%, $F$9) + CHOOSE(CONTROL!$C$27, 0.0021, 0)</f>
        <v>39.331099999999999</v>
      </c>
      <c r="F306" s="10">
        <f>39.329 * CHOOSE(CONTROL!$C$9, $D$9, 100%, $F$9) + CHOOSE(CONTROL!$C$27, 0.0021, 0)</f>
        <v>39.331099999999999</v>
      </c>
      <c r="G306" s="10">
        <f>39.6003 * CHOOSE(CONTROL!$C$9, $D$9, 100%, $F$9) + CHOOSE(CONTROL!$C$27, 0.0021, 0)</f>
        <v>39.602399999999996</v>
      </c>
      <c r="H306" s="10">
        <f>39.4656 * CHOOSE(CONTROL!$C$9, $D$9, 100%, $F$9) + CHOOSE(CONTROL!$C$27, 0.0021, 0)</f>
        <v>39.467700000000001</v>
      </c>
      <c r="I306" s="10">
        <f>39.4656 * CHOOSE(CONTROL!$C$9, $D$9, 100%, $F$9) + CHOOSE(CONTROL!$C$27, 0.0021, 0)</f>
        <v>39.467700000000001</v>
      </c>
      <c r="J306" s="10">
        <f>39.4656 * CHOOSE(CONTROL!$C$9, $D$9, 100%, $F$9) + CHOOSE(CONTROL!$C$27, 0.0021, 0)</f>
        <v>39.467700000000001</v>
      </c>
      <c r="K306" s="10">
        <f>39.4656 * CHOOSE(CONTROL!$C$9, $D$9, 100%, $F$9) + CHOOSE(CONTROL!$C$27, 0.0021, 0)</f>
        <v>39.467700000000001</v>
      </c>
      <c r="L306" s="10"/>
    </row>
    <row r="307" spans="1:12" ht="15" x14ac:dyDescent="0.2">
      <c r="A307" s="15">
        <v>50253</v>
      </c>
      <c r="B307" s="10">
        <f>40.1238 * CHOOSE(CONTROL!$C$9, $D$9, 100%, $F$9) + CHOOSE(CONTROL!$C$27, 0.0021, 0)</f>
        <v>40.125900000000001</v>
      </c>
      <c r="C307" s="10">
        <f>39.6915 * CHOOSE(CONTROL!$C$9, $D$9, 100%, $F$9) + CHOOSE(CONTROL!$C$27, 0.0021, 0)</f>
        <v>39.693599999999996</v>
      </c>
      <c r="D307" s="10">
        <f>39.6915 * CHOOSE(CONTROL!$C$9, $D$9, 100%, $F$9) + CHOOSE(CONTROL!$C$27, 0.0021, 0)</f>
        <v>39.693599999999996</v>
      </c>
      <c r="E307" s="10">
        <f>39.5549 * CHOOSE(CONTROL!$C$9, $D$9, 100%, $F$9) + CHOOSE(CONTROL!$C$27, 0.0021, 0)</f>
        <v>39.557000000000002</v>
      </c>
      <c r="F307" s="10">
        <f>39.5549 * CHOOSE(CONTROL!$C$9, $D$9, 100%, $F$9) + CHOOSE(CONTROL!$C$27, 0.0021, 0)</f>
        <v>39.557000000000002</v>
      </c>
      <c r="G307" s="10">
        <f>39.8262 * CHOOSE(CONTROL!$C$9, $D$9, 100%, $F$9) + CHOOSE(CONTROL!$C$27, 0.0021, 0)</f>
        <v>39.828299999999999</v>
      </c>
      <c r="H307" s="10">
        <f>39.6915 * CHOOSE(CONTROL!$C$9, $D$9, 100%, $F$9) + CHOOSE(CONTROL!$C$27, 0.0021, 0)</f>
        <v>39.693599999999996</v>
      </c>
      <c r="I307" s="10">
        <f>39.6915 * CHOOSE(CONTROL!$C$9, $D$9, 100%, $F$9) + CHOOSE(CONTROL!$C$27, 0.0021, 0)</f>
        <v>39.693599999999996</v>
      </c>
      <c r="J307" s="10">
        <f>39.6915 * CHOOSE(CONTROL!$C$9, $D$9, 100%, $F$9) + CHOOSE(CONTROL!$C$27, 0.0021, 0)</f>
        <v>39.693599999999996</v>
      </c>
      <c r="K307" s="10">
        <f>39.6915 * CHOOSE(CONTROL!$C$9, $D$9, 100%, $F$9) + CHOOSE(CONTROL!$C$27, 0.0021, 0)</f>
        <v>39.693599999999996</v>
      </c>
      <c r="L307" s="10"/>
    </row>
    <row r="308" spans="1:12" ht="15" x14ac:dyDescent="0.2">
      <c r="A308" s="15">
        <v>50284</v>
      </c>
      <c r="B308" s="10">
        <f>40.8931 * CHOOSE(CONTROL!$C$9, $D$9, 100%, $F$9) + CHOOSE(CONTROL!$C$27, 0.0021, 0)</f>
        <v>40.895199999999996</v>
      </c>
      <c r="C308" s="10">
        <f>40.4608 * CHOOSE(CONTROL!$C$9, $D$9, 100%, $F$9) + CHOOSE(CONTROL!$C$27, 0.0021, 0)</f>
        <v>40.462899999999998</v>
      </c>
      <c r="D308" s="10">
        <f>40.4608 * CHOOSE(CONTROL!$C$9, $D$9, 100%, $F$9) + CHOOSE(CONTROL!$C$27, 0.0021, 0)</f>
        <v>40.462899999999998</v>
      </c>
      <c r="E308" s="10">
        <f>40.3242 * CHOOSE(CONTROL!$C$9, $D$9, 100%, $F$9) + CHOOSE(CONTROL!$C$27, 0.0021, 0)</f>
        <v>40.326299999999996</v>
      </c>
      <c r="F308" s="10">
        <f>40.3242 * CHOOSE(CONTROL!$C$9, $D$9, 100%, $F$9) + CHOOSE(CONTROL!$C$27, 0.0021, 0)</f>
        <v>40.326299999999996</v>
      </c>
      <c r="G308" s="10">
        <f>40.5955 * CHOOSE(CONTROL!$C$9, $D$9, 100%, $F$9) + CHOOSE(CONTROL!$C$27, 0.0021, 0)</f>
        <v>40.5976</v>
      </c>
      <c r="H308" s="10">
        <f>40.4608 * CHOOSE(CONTROL!$C$9, $D$9, 100%, $F$9) + CHOOSE(CONTROL!$C$27, 0.0021, 0)</f>
        <v>40.462899999999998</v>
      </c>
      <c r="I308" s="10">
        <f>40.4608 * CHOOSE(CONTROL!$C$9, $D$9, 100%, $F$9) + CHOOSE(CONTROL!$C$27, 0.0021, 0)</f>
        <v>40.462899999999998</v>
      </c>
      <c r="J308" s="10">
        <f>40.4608 * CHOOSE(CONTROL!$C$9, $D$9, 100%, $F$9) + CHOOSE(CONTROL!$C$27, 0.0021, 0)</f>
        <v>40.462899999999998</v>
      </c>
      <c r="K308" s="10">
        <f>40.4608 * CHOOSE(CONTROL!$C$9, $D$9, 100%, $F$9) + CHOOSE(CONTROL!$C$27, 0.0021, 0)</f>
        <v>40.462899999999998</v>
      </c>
      <c r="L308" s="10"/>
    </row>
    <row r="309" spans="1:12" ht="15" x14ac:dyDescent="0.2">
      <c r="A309" s="15">
        <v>50314</v>
      </c>
      <c r="B309" s="10">
        <f>41.8669 * CHOOSE(CONTROL!$C$9, $D$9, 100%, $F$9) + CHOOSE(CONTROL!$C$27, 0.0021, 0)</f>
        <v>41.869</v>
      </c>
      <c r="C309" s="10">
        <f>41.4346 * CHOOSE(CONTROL!$C$9, $D$9, 100%, $F$9) + CHOOSE(CONTROL!$C$27, 0.0021, 0)</f>
        <v>41.436700000000002</v>
      </c>
      <c r="D309" s="10">
        <f>41.4346 * CHOOSE(CONTROL!$C$9, $D$9, 100%, $F$9) + CHOOSE(CONTROL!$C$27, 0.0021, 0)</f>
        <v>41.436700000000002</v>
      </c>
      <c r="E309" s="10">
        <f>41.298 * CHOOSE(CONTROL!$C$9, $D$9, 100%, $F$9) + CHOOSE(CONTROL!$C$27, 0.0021, 0)</f>
        <v>41.3001</v>
      </c>
      <c r="F309" s="10">
        <f>41.298 * CHOOSE(CONTROL!$C$9, $D$9, 100%, $F$9) + CHOOSE(CONTROL!$C$27, 0.0021, 0)</f>
        <v>41.3001</v>
      </c>
      <c r="G309" s="10">
        <f>41.5693 * CHOOSE(CONTROL!$C$9, $D$9, 100%, $F$9) + CHOOSE(CONTROL!$C$27, 0.0021, 0)</f>
        <v>41.571399999999997</v>
      </c>
      <c r="H309" s="10">
        <f>41.4346 * CHOOSE(CONTROL!$C$9, $D$9, 100%, $F$9) + CHOOSE(CONTROL!$C$27, 0.0021, 0)</f>
        <v>41.436700000000002</v>
      </c>
      <c r="I309" s="10">
        <f>41.4346 * CHOOSE(CONTROL!$C$9, $D$9, 100%, $F$9) + CHOOSE(CONTROL!$C$27, 0.0021, 0)</f>
        <v>41.436700000000002</v>
      </c>
      <c r="J309" s="10">
        <f>41.4346 * CHOOSE(CONTROL!$C$9, $D$9, 100%, $F$9) + CHOOSE(CONTROL!$C$27, 0.0021, 0)</f>
        <v>41.436700000000002</v>
      </c>
      <c r="K309" s="10">
        <f>41.4346 * CHOOSE(CONTROL!$C$9, $D$9, 100%, $F$9) + CHOOSE(CONTROL!$C$27, 0.0021, 0)</f>
        <v>41.436700000000002</v>
      </c>
      <c r="L309" s="10"/>
    </row>
    <row r="310" spans="1:12" ht="15" x14ac:dyDescent="0.2">
      <c r="A310" s="15">
        <v>50345</v>
      </c>
      <c r="B310" s="10">
        <f>41.9583 * CHOOSE(CONTROL!$C$9, $D$9, 100%, $F$9) + CHOOSE(CONTROL!$C$27, 0.0021, 0)</f>
        <v>41.9604</v>
      </c>
      <c r="C310" s="10">
        <f>41.526 * CHOOSE(CONTROL!$C$9, $D$9, 100%, $F$9) + CHOOSE(CONTROL!$C$27, 0.0021, 0)</f>
        <v>41.528100000000002</v>
      </c>
      <c r="D310" s="10">
        <f>41.526 * CHOOSE(CONTROL!$C$9, $D$9, 100%, $F$9) + CHOOSE(CONTROL!$C$27, 0.0021, 0)</f>
        <v>41.528100000000002</v>
      </c>
      <c r="E310" s="10">
        <f>41.3894 * CHOOSE(CONTROL!$C$9, $D$9, 100%, $F$9) + CHOOSE(CONTROL!$C$27, 0.0021, 0)</f>
        <v>41.391500000000001</v>
      </c>
      <c r="F310" s="10">
        <f>41.3894 * CHOOSE(CONTROL!$C$9, $D$9, 100%, $F$9) + CHOOSE(CONTROL!$C$27, 0.0021, 0)</f>
        <v>41.391500000000001</v>
      </c>
      <c r="G310" s="10">
        <f>41.6608 * CHOOSE(CONTROL!$C$9, $D$9, 100%, $F$9) + CHOOSE(CONTROL!$C$27, 0.0021, 0)</f>
        <v>41.6629</v>
      </c>
      <c r="H310" s="10">
        <f>41.526 * CHOOSE(CONTROL!$C$9, $D$9, 100%, $F$9) + CHOOSE(CONTROL!$C$27, 0.0021, 0)</f>
        <v>41.528100000000002</v>
      </c>
      <c r="I310" s="10">
        <f>41.526 * CHOOSE(CONTROL!$C$9, $D$9, 100%, $F$9) + CHOOSE(CONTROL!$C$27, 0.0021, 0)</f>
        <v>41.528100000000002</v>
      </c>
      <c r="J310" s="10">
        <f>41.526 * CHOOSE(CONTROL!$C$9, $D$9, 100%, $F$9) + CHOOSE(CONTROL!$C$27, 0.0021, 0)</f>
        <v>41.528100000000002</v>
      </c>
      <c r="K310" s="10">
        <f>41.526 * CHOOSE(CONTROL!$C$9, $D$9, 100%, $F$9) + CHOOSE(CONTROL!$C$27, 0.0021, 0)</f>
        <v>41.528100000000002</v>
      </c>
      <c r="L310" s="10"/>
    </row>
    <row r="311" spans="1:12" ht="15" x14ac:dyDescent="0.2">
      <c r="A311" s="15">
        <v>50375</v>
      </c>
      <c r="B311" s="10">
        <f>41.1805 * CHOOSE(CONTROL!$C$9, $D$9, 100%, $F$9) + CHOOSE(CONTROL!$C$27, 0.0021, 0)</f>
        <v>41.182600000000001</v>
      </c>
      <c r="C311" s="10">
        <f>40.7483 * CHOOSE(CONTROL!$C$9, $D$9, 100%, $F$9) + CHOOSE(CONTROL!$C$27, 0.0021, 0)</f>
        <v>40.750399999999999</v>
      </c>
      <c r="D311" s="10">
        <f>40.7483 * CHOOSE(CONTROL!$C$9, $D$9, 100%, $F$9) + CHOOSE(CONTROL!$C$27, 0.0021, 0)</f>
        <v>40.750399999999999</v>
      </c>
      <c r="E311" s="10">
        <f>40.6116 * CHOOSE(CONTROL!$C$9, $D$9, 100%, $F$9) + CHOOSE(CONTROL!$C$27, 0.0021, 0)</f>
        <v>40.613700000000001</v>
      </c>
      <c r="F311" s="10">
        <f>40.6116 * CHOOSE(CONTROL!$C$9, $D$9, 100%, $F$9) + CHOOSE(CONTROL!$C$27, 0.0021, 0)</f>
        <v>40.613700000000001</v>
      </c>
      <c r="G311" s="10">
        <f>40.883 * CHOOSE(CONTROL!$C$9, $D$9, 100%, $F$9) + CHOOSE(CONTROL!$C$27, 0.0021, 0)</f>
        <v>40.885100000000001</v>
      </c>
      <c r="H311" s="10">
        <f>40.7483 * CHOOSE(CONTROL!$C$9, $D$9, 100%, $F$9) + CHOOSE(CONTROL!$C$27, 0.0021, 0)</f>
        <v>40.750399999999999</v>
      </c>
      <c r="I311" s="10">
        <f>40.7483 * CHOOSE(CONTROL!$C$9, $D$9, 100%, $F$9) + CHOOSE(CONTROL!$C$27, 0.0021, 0)</f>
        <v>40.750399999999999</v>
      </c>
      <c r="J311" s="10">
        <f>40.7483 * CHOOSE(CONTROL!$C$9, $D$9, 100%, $F$9) + CHOOSE(CONTROL!$C$27, 0.0021, 0)</f>
        <v>40.750399999999999</v>
      </c>
      <c r="K311" s="10">
        <f>40.7483 * CHOOSE(CONTROL!$C$9, $D$9, 100%, $F$9) + CHOOSE(CONTROL!$C$27, 0.0021, 0)</f>
        <v>40.750399999999999</v>
      </c>
      <c r="L311" s="10"/>
    </row>
    <row r="312" spans="1:12" ht="15.75" x14ac:dyDescent="0.25">
      <c r="A312" s="14">
        <v>50436</v>
      </c>
      <c r="B312" s="10">
        <f>40.671 * CHOOSE(CONTROL!$C$9, $D$9, 100%, $F$9) + CHOOSE(CONTROL!$C$27, 0.0021, 0)</f>
        <v>40.673099999999998</v>
      </c>
      <c r="C312" s="10">
        <f>40.2388 * CHOOSE(CONTROL!$C$9, $D$9, 100%, $F$9) + CHOOSE(CONTROL!$C$27, 0.0021, 0)</f>
        <v>40.240899999999996</v>
      </c>
      <c r="D312" s="10">
        <f>40.2388 * CHOOSE(CONTROL!$C$9, $D$9, 100%, $F$9) + CHOOSE(CONTROL!$C$27, 0.0021, 0)</f>
        <v>40.240899999999996</v>
      </c>
      <c r="E312" s="10">
        <f>40.1021 * CHOOSE(CONTROL!$C$9, $D$9, 100%, $F$9) + CHOOSE(CONTROL!$C$27, 0.0021, 0)</f>
        <v>40.104199999999999</v>
      </c>
      <c r="F312" s="10">
        <f>40.1021 * CHOOSE(CONTROL!$C$9, $D$9, 100%, $F$9) + CHOOSE(CONTROL!$C$27, 0.0021, 0)</f>
        <v>40.104199999999999</v>
      </c>
      <c r="G312" s="10">
        <f>40.3735 * CHOOSE(CONTROL!$C$9, $D$9, 100%, $F$9) + CHOOSE(CONTROL!$C$27, 0.0021, 0)</f>
        <v>40.375599999999999</v>
      </c>
      <c r="H312" s="10">
        <f>40.2388 * CHOOSE(CONTROL!$C$9, $D$9, 100%, $F$9) + CHOOSE(CONTROL!$C$27, 0.0021, 0)</f>
        <v>40.240899999999996</v>
      </c>
      <c r="I312" s="10">
        <f>40.2388 * CHOOSE(CONTROL!$C$9, $D$9, 100%, $F$9) + CHOOSE(CONTROL!$C$27, 0.0021, 0)</f>
        <v>40.240899999999996</v>
      </c>
      <c r="J312" s="10">
        <f>40.2388 * CHOOSE(CONTROL!$C$9, $D$9, 100%, $F$9) + CHOOSE(CONTROL!$C$27, 0.0021, 0)</f>
        <v>40.240899999999996</v>
      </c>
      <c r="K312" s="10">
        <f>40.2388 * CHOOSE(CONTROL!$C$9, $D$9, 100%, $F$9) + CHOOSE(CONTROL!$C$27, 0.0021, 0)</f>
        <v>40.240899999999996</v>
      </c>
      <c r="L312" s="10"/>
    </row>
    <row r="313" spans="1:12" ht="15.75" x14ac:dyDescent="0.25">
      <c r="A313" s="14">
        <v>50464</v>
      </c>
      <c r="B313" s="10">
        <f>39.5855 * CHOOSE(CONTROL!$C$9, $D$9, 100%, $F$9) + CHOOSE(CONTROL!$C$27, 0.0021, 0)</f>
        <v>39.587600000000002</v>
      </c>
      <c r="C313" s="10">
        <f>39.1532 * CHOOSE(CONTROL!$C$9, $D$9, 100%, $F$9) + CHOOSE(CONTROL!$C$27, 0.0021, 0)</f>
        <v>39.155299999999997</v>
      </c>
      <c r="D313" s="10">
        <f>39.1532 * CHOOSE(CONTROL!$C$9, $D$9, 100%, $F$9) + CHOOSE(CONTROL!$C$27, 0.0021, 0)</f>
        <v>39.155299999999997</v>
      </c>
      <c r="E313" s="10">
        <f>39.0165 * CHOOSE(CONTROL!$C$9, $D$9, 100%, $F$9) + CHOOSE(CONTROL!$C$27, 0.0021, 0)</f>
        <v>39.018599999999999</v>
      </c>
      <c r="F313" s="10">
        <f>39.0165 * CHOOSE(CONTROL!$C$9, $D$9, 100%, $F$9) + CHOOSE(CONTROL!$C$27, 0.0021, 0)</f>
        <v>39.018599999999999</v>
      </c>
      <c r="G313" s="10">
        <f>39.2879 * CHOOSE(CONTROL!$C$9, $D$9, 100%, $F$9) + CHOOSE(CONTROL!$C$27, 0.0021, 0)</f>
        <v>39.29</v>
      </c>
      <c r="H313" s="10">
        <f>39.1532 * CHOOSE(CONTROL!$C$9, $D$9, 100%, $F$9) + CHOOSE(CONTROL!$C$27, 0.0021, 0)</f>
        <v>39.155299999999997</v>
      </c>
      <c r="I313" s="10">
        <f>39.1532 * CHOOSE(CONTROL!$C$9, $D$9, 100%, $F$9) + CHOOSE(CONTROL!$C$27, 0.0021, 0)</f>
        <v>39.155299999999997</v>
      </c>
      <c r="J313" s="10">
        <f>39.1532 * CHOOSE(CONTROL!$C$9, $D$9, 100%, $F$9) + CHOOSE(CONTROL!$C$27, 0.0021, 0)</f>
        <v>39.155299999999997</v>
      </c>
      <c r="K313" s="10">
        <f>39.1532 * CHOOSE(CONTROL!$C$9, $D$9, 100%, $F$9) + CHOOSE(CONTROL!$C$27, 0.0021, 0)</f>
        <v>39.155299999999997</v>
      </c>
      <c r="L313" s="10"/>
    </row>
    <row r="314" spans="1:12" ht="15.75" x14ac:dyDescent="0.25">
      <c r="A314" s="14">
        <v>50495</v>
      </c>
      <c r="B314" s="10">
        <f>39.1373 * CHOOSE(CONTROL!$C$9, $D$9, 100%, $F$9) + CHOOSE(CONTROL!$C$27, 0.0021, 0)</f>
        <v>39.139400000000002</v>
      </c>
      <c r="C314" s="10">
        <f>38.7051 * CHOOSE(CONTROL!$C$9, $D$9, 100%, $F$9) + CHOOSE(CONTROL!$C$27, 0.0021, 0)</f>
        <v>38.7072</v>
      </c>
      <c r="D314" s="10">
        <f>38.7051 * CHOOSE(CONTROL!$C$9, $D$9, 100%, $F$9) + CHOOSE(CONTROL!$C$27, 0.0021, 0)</f>
        <v>38.7072</v>
      </c>
      <c r="E314" s="10">
        <f>38.5684 * CHOOSE(CONTROL!$C$9, $D$9, 100%, $F$9) + CHOOSE(CONTROL!$C$27, 0.0021, 0)</f>
        <v>38.570499999999996</v>
      </c>
      <c r="F314" s="10">
        <f>38.5684 * CHOOSE(CONTROL!$C$9, $D$9, 100%, $F$9) + CHOOSE(CONTROL!$C$27, 0.0021, 0)</f>
        <v>38.570499999999996</v>
      </c>
      <c r="G314" s="10">
        <f>38.8398 * CHOOSE(CONTROL!$C$9, $D$9, 100%, $F$9) + CHOOSE(CONTROL!$C$27, 0.0021, 0)</f>
        <v>38.841899999999995</v>
      </c>
      <c r="H314" s="10">
        <f>38.7051 * CHOOSE(CONTROL!$C$9, $D$9, 100%, $F$9) + CHOOSE(CONTROL!$C$27, 0.0021, 0)</f>
        <v>38.7072</v>
      </c>
      <c r="I314" s="10">
        <f>38.7051 * CHOOSE(CONTROL!$C$9, $D$9, 100%, $F$9) + CHOOSE(CONTROL!$C$27, 0.0021, 0)</f>
        <v>38.7072</v>
      </c>
      <c r="J314" s="10">
        <f>38.7051 * CHOOSE(CONTROL!$C$9, $D$9, 100%, $F$9) + CHOOSE(CONTROL!$C$27, 0.0021, 0)</f>
        <v>38.7072</v>
      </c>
      <c r="K314" s="10">
        <f>38.7051 * CHOOSE(CONTROL!$C$9, $D$9, 100%, $F$9) + CHOOSE(CONTROL!$C$27, 0.0021, 0)</f>
        <v>38.7072</v>
      </c>
      <c r="L314" s="10"/>
    </row>
    <row r="315" spans="1:12" ht="15.75" x14ac:dyDescent="0.25">
      <c r="A315" s="14">
        <v>50525</v>
      </c>
      <c r="B315" s="10">
        <f>38.6023 * CHOOSE(CONTROL!$C$9, $D$9, 100%, $F$9) + CHOOSE(CONTROL!$C$27, 0.0021, 0)</f>
        <v>38.604399999999998</v>
      </c>
      <c r="C315" s="10">
        <f>38.17 * CHOOSE(CONTROL!$C$9, $D$9, 100%, $F$9) + CHOOSE(CONTROL!$C$27, 0.0021, 0)</f>
        <v>38.1721</v>
      </c>
      <c r="D315" s="10">
        <f>38.17 * CHOOSE(CONTROL!$C$9, $D$9, 100%, $F$9) + CHOOSE(CONTROL!$C$27, 0.0021, 0)</f>
        <v>38.1721</v>
      </c>
      <c r="E315" s="10">
        <f>38.0334 * CHOOSE(CONTROL!$C$9, $D$9, 100%, $F$9) + CHOOSE(CONTROL!$C$27, 0.0021, 0)</f>
        <v>38.035499999999999</v>
      </c>
      <c r="F315" s="10">
        <f>38.0334 * CHOOSE(CONTROL!$C$9, $D$9, 100%, $F$9) + CHOOSE(CONTROL!$C$27, 0.0021, 0)</f>
        <v>38.035499999999999</v>
      </c>
      <c r="G315" s="10">
        <f>38.3047 * CHOOSE(CONTROL!$C$9, $D$9, 100%, $F$9) + CHOOSE(CONTROL!$C$27, 0.0021, 0)</f>
        <v>38.306799999999996</v>
      </c>
      <c r="H315" s="10">
        <f>38.17 * CHOOSE(CONTROL!$C$9, $D$9, 100%, $F$9) + CHOOSE(CONTROL!$C$27, 0.0021, 0)</f>
        <v>38.1721</v>
      </c>
      <c r="I315" s="10">
        <f>38.17 * CHOOSE(CONTROL!$C$9, $D$9, 100%, $F$9) + CHOOSE(CONTROL!$C$27, 0.0021, 0)</f>
        <v>38.1721</v>
      </c>
      <c r="J315" s="10">
        <f>38.17 * CHOOSE(CONTROL!$C$9, $D$9, 100%, $F$9) + CHOOSE(CONTROL!$C$27, 0.0021, 0)</f>
        <v>38.1721</v>
      </c>
      <c r="K315" s="10">
        <f>38.17 * CHOOSE(CONTROL!$C$9, $D$9, 100%, $F$9) + CHOOSE(CONTROL!$C$27, 0.0021, 0)</f>
        <v>38.1721</v>
      </c>
      <c r="L315" s="10"/>
    </row>
    <row r="316" spans="1:12" ht="15.75" x14ac:dyDescent="0.25">
      <c r="A316" s="14">
        <v>50556</v>
      </c>
      <c r="B316" s="10">
        <f>39.3648 * CHOOSE(CONTROL!$C$9, $D$9, 100%, $F$9) + CHOOSE(CONTROL!$C$27, 0.0021, 0)</f>
        <v>39.366900000000001</v>
      </c>
      <c r="C316" s="10">
        <f>38.9326 * CHOOSE(CONTROL!$C$9, $D$9, 100%, $F$9) + CHOOSE(CONTROL!$C$27, 0.0021, 0)</f>
        <v>38.934699999999999</v>
      </c>
      <c r="D316" s="10">
        <f>38.9326 * CHOOSE(CONTROL!$C$9, $D$9, 100%, $F$9) + CHOOSE(CONTROL!$C$27, 0.0021, 0)</f>
        <v>38.934699999999999</v>
      </c>
      <c r="E316" s="10">
        <f>38.7959 * CHOOSE(CONTROL!$C$9, $D$9, 100%, $F$9) + CHOOSE(CONTROL!$C$27, 0.0021, 0)</f>
        <v>38.798000000000002</v>
      </c>
      <c r="F316" s="10">
        <f>38.7959 * CHOOSE(CONTROL!$C$9, $D$9, 100%, $F$9) + CHOOSE(CONTROL!$C$27, 0.0021, 0)</f>
        <v>38.798000000000002</v>
      </c>
      <c r="G316" s="10">
        <f>39.0673 * CHOOSE(CONTROL!$C$9, $D$9, 100%, $F$9) + CHOOSE(CONTROL!$C$27, 0.0021, 0)</f>
        <v>39.069400000000002</v>
      </c>
      <c r="H316" s="10">
        <f>38.9326 * CHOOSE(CONTROL!$C$9, $D$9, 100%, $F$9) + CHOOSE(CONTROL!$C$27, 0.0021, 0)</f>
        <v>38.934699999999999</v>
      </c>
      <c r="I316" s="10">
        <f>38.9326 * CHOOSE(CONTROL!$C$9, $D$9, 100%, $F$9) + CHOOSE(CONTROL!$C$27, 0.0021, 0)</f>
        <v>38.934699999999999</v>
      </c>
      <c r="J316" s="10">
        <f>38.9326 * CHOOSE(CONTROL!$C$9, $D$9, 100%, $F$9) + CHOOSE(CONTROL!$C$27, 0.0021, 0)</f>
        <v>38.934699999999999</v>
      </c>
      <c r="K316" s="10">
        <f>38.9326 * CHOOSE(CONTROL!$C$9, $D$9, 100%, $F$9) + CHOOSE(CONTROL!$C$27, 0.0021, 0)</f>
        <v>38.934699999999999</v>
      </c>
      <c r="L316" s="10"/>
    </row>
    <row r="317" spans="1:12" ht="15.75" x14ac:dyDescent="0.25">
      <c r="A317" s="14">
        <v>50586</v>
      </c>
      <c r="B317" s="10">
        <f>39.8215 * CHOOSE(CONTROL!$C$9, $D$9, 100%, $F$9) + CHOOSE(CONTROL!$C$27, 0.0021, 0)</f>
        <v>39.823599999999999</v>
      </c>
      <c r="C317" s="10">
        <f>39.3893 * CHOOSE(CONTROL!$C$9, $D$9, 100%, $F$9) + CHOOSE(CONTROL!$C$27, 0.0021, 0)</f>
        <v>39.391399999999997</v>
      </c>
      <c r="D317" s="10">
        <f>39.3893 * CHOOSE(CONTROL!$C$9, $D$9, 100%, $F$9) + CHOOSE(CONTROL!$C$27, 0.0021, 0)</f>
        <v>39.391399999999997</v>
      </c>
      <c r="E317" s="10">
        <f>39.2526 * CHOOSE(CONTROL!$C$9, $D$9, 100%, $F$9) + CHOOSE(CONTROL!$C$27, 0.0021, 0)</f>
        <v>39.2547</v>
      </c>
      <c r="F317" s="10">
        <f>39.2526 * CHOOSE(CONTROL!$C$9, $D$9, 100%, $F$9) + CHOOSE(CONTROL!$C$27, 0.0021, 0)</f>
        <v>39.2547</v>
      </c>
      <c r="G317" s="10">
        <f>39.524 * CHOOSE(CONTROL!$C$9, $D$9, 100%, $F$9) + CHOOSE(CONTROL!$C$27, 0.0021, 0)</f>
        <v>39.5261</v>
      </c>
      <c r="H317" s="10">
        <f>39.3893 * CHOOSE(CONTROL!$C$9, $D$9, 100%, $F$9) + CHOOSE(CONTROL!$C$27, 0.0021, 0)</f>
        <v>39.391399999999997</v>
      </c>
      <c r="I317" s="10">
        <f>39.3893 * CHOOSE(CONTROL!$C$9, $D$9, 100%, $F$9) + CHOOSE(CONTROL!$C$27, 0.0021, 0)</f>
        <v>39.391399999999997</v>
      </c>
      <c r="J317" s="10">
        <f>39.3893 * CHOOSE(CONTROL!$C$9, $D$9, 100%, $F$9) + CHOOSE(CONTROL!$C$27, 0.0021, 0)</f>
        <v>39.391399999999997</v>
      </c>
      <c r="K317" s="10">
        <f>39.3893 * CHOOSE(CONTROL!$C$9, $D$9, 100%, $F$9) + CHOOSE(CONTROL!$C$27, 0.0021, 0)</f>
        <v>39.391399999999997</v>
      </c>
      <c r="L317" s="10"/>
    </row>
    <row r="318" spans="1:12" ht="15.75" x14ac:dyDescent="0.25">
      <c r="A318" s="14">
        <v>50617</v>
      </c>
      <c r="B318" s="10">
        <f>40.5749 * CHOOSE(CONTROL!$C$9, $D$9, 100%, $F$9) + CHOOSE(CONTROL!$C$27, 0.0021, 0)</f>
        <v>40.576999999999998</v>
      </c>
      <c r="C318" s="10">
        <f>40.1427 * CHOOSE(CONTROL!$C$9, $D$9, 100%, $F$9) + CHOOSE(CONTROL!$C$27, 0.0021, 0)</f>
        <v>40.144799999999996</v>
      </c>
      <c r="D318" s="10">
        <f>40.1427 * CHOOSE(CONTROL!$C$9, $D$9, 100%, $F$9) + CHOOSE(CONTROL!$C$27, 0.0021, 0)</f>
        <v>40.144799999999996</v>
      </c>
      <c r="E318" s="10">
        <f>40.006 * CHOOSE(CONTROL!$C$9, $D$9, 100%, $F$9) + CHOOSE(CONTROL!$C$27, 0.0021, 0)</f>
        <v>40.008099999999999</v>
      </c>
      <c r="F318" s="10">
        <f>40.006 * CHOOSE(CONTROL!$C$9, $D$9, 100%, $F$9) + CHOOSE(CONTROL!$C$27, 0.0021, 0)</f>
        <v>40.008099999999999</v>
      </c>
      <c r="G318" s="10">
        <f>40.2774 * CHOOSE(CONTROL!$C$9, $D$9, 100%, $F$9) + CHOOSE(CONTROL!$C$27, 0.0021, 0)</f>
        <v>40.279499999999999</v>
      </c>
      <c r="H318" s="10">
        <f>40.1427 * CHOOSE(CONTROL!$C$9, $D$9, 100%, $F$9) + CHOOSE(CONTROL!$C$27, 0.0021, 0)</f>
        <v>40.144799999999996</v>
      </c>
      <c r="I318" s="10">
        <f>40.1427 * CHOOSE(CONTROL!$C$9, $D$9, 100%, $F$9) + CHOOSE(CONTROL!$C$27, 0.0021, 0)</f>
        <v>40.144799999999996</v>
      </c>
      <c r="J318" s="10">
        <f>40.1427 * CHOOSE(CONTROL!$C$9, $D$9, 100%, $F$9) + CHOOSE(CONTROL!$C$27, 0.0021, 0)</f>
        <v>40.144799999999996</v>
      </c>
      <c r="K318" s="10">
        <f>40.1427 * CHOOSE(CONTROL!$C$9, $D$9, 100%, $F$9) + CHOOSE(CONTROL!$C$27, 0.0021, 0)</f>
        <v>40.144799999999996</v>
      </c>
      <c r="L318" s="10"/>
    </row>
    <row r="319" spans="1:12" ht="15.75" x14ac:dyDescent="0.25">
      <c r="A319" s="14">
        <v>50648</v>
      </c>
      <c r="B319" s="10">
        <f>40.8049 * CHOOSE(CONTROL!$C$9, $D$9, 100%, $F$9) + CHOOSE(CONTROL!$C$27, 0.0021, 0)</f>
        <v>40.807000000000002</v>
      </c>
      <c r="C319" s="10">
        <f>40.3727 * CHOOSE(CONTROL!$C$9, $D$9, 100%, $F$9) + CHOOSE(CONTROL!$C$27, 0.0021, 0)</f>
        <v>40.3748</v>
      </c>
      <c r="D319" s="10">
        <f>40.3727 * CHOOSE(CONTROL!$C$9, $D$9, 100%, $F$9) + CHOOSE(CONTROL!$C$27, 0.0021, 0)</f>
        <v>40.3748</v>
      </c>
      <c r="E319" s="10">
        <f>40.236 * CHOOSE(CONTROL!$C$9, $D$9, 100%, $F$9) + CHOOSE(CONTROL!$C$27, 0.0021, 0)</f>
        <v>40.238099999999996</v>
      </c>
      <c r="F319" s="10">
        <f>40.236 * CHOOSE(CONTROL!$C$9, $D$9, 100%, $F$9) + CHOOSE(CONTROL!$C$27, 0.0021, 0)</f>
        <v>40.238099999999996</v>
      </c>
      <c r="G319" s="10">
        <f>40.5074 * CHOOSE(CONTROL!$C$9, $D$9, 100%, $F$9) + CHOOSE(CONTROL!$C$27, 0.0021, 0)</f>
        <v>40.509499999999996</v>
      </c>
      <c r="H319" s="10">
        <f>40.3727 * CHOOSE(CONTROL!$C$9, $D$9, 100%, $F$9) + CHOOSE(CONTROL!$C$27, 0.0021, 0)</f>
        <v>40.3748</v>
      </c>
      <c r="I319" s="10">
        <f>40.3727 * CHOOSE(CONTROL!$C$9, $D$9, 100%, $F$9) + CHOOSE(CONTROL!$C$27, 0.0021, 0)</f>
        <v>40.3748</v>
      </c>
      <c r="J319" s="10">
        <f>40.3727 * CHOOSE(CONTROL!$C$9, $D$9, 100%, $F$9) + CHOOSE(CONTROL!$C$27, 0.0021, 0)</f>
        <v>40.3748</v>
      </c>
      <c r="K319" s="10">
        <f>40.3727 * CHOOSE(CONTROL!$C$9, $D$9, 100%, $F$9) + CHOOSE(CONTROL!$C$27, 0.0021, 0)</f>
        <v>40.3748</v>
      </c>
      <c r="L319" s="10"/>
    </row>
    <row r="320" spans="1:12" ht="15.75" x14ac:dyDescent="0.25">
      <c r="A320" s="14">
        <v>50678</v>
      </c>
      <c r="B320" s="10">
        <f>41.5881 * CHOOSE(CONTROL!$C$9, $D$9, 100%, $F$9) + CHOOSE(CONTROL!$C$27, 0.0021, 0)</f>
        <v>41.590199999999996</v>
      </c>
      <c r="C320" s="10">
        <f>41.1558 * CHOOSE(CONTROL!$C$9, $D$9, 100%, $F$9) + CHOOSE(CONTROL!$C$27, 0.0021, 0)</f>
        <v>41.157899999999998</v>
      </c>
      <c r="D320" s="10">
        <f>41.1558 * CHOOSE(CONTROL!$C$9, $D$9, 100%, $F$9) + CHOOSE(CONTROL!$C$27, 0.0021, 0)</f>
        <v>41.157899999999998</v>
      </c>
      <c r="E320" s="10">
        <f>41.0192 * CHOOSE(CONTROL!$C$9, $D$9, 100%, $F$9) + CHOOSE(CONTROL!$C$27, 0.0021, 0)</f>
        <v>41.021299999999997</v>
      </c>
      <c r="F320" s="10">
        <f>41.0192 * CHOOSE(CONTROL!$C$9, $D$9, 100%, $F$9) + CHOOSE(CONTROL!$C$27, 0.0021, 0)</f>
        <v>41.021299999999997</v>
      </c>
      <c r="G320" s="10">
        <f>41.2905 * CHOOSE(CONTROL!$C$9, $D$9, 100%, $F$9) + CHOOSE(CONTROL!$C$27, 0.0021, 0)</f>
        <v>41.2926</v>
      </c>
      <c r="H320" s="10">
        <f>41.1558 * CHOOSE(CONTROL!$C$9, $D$9, 100%, $F$9) + CHOOSE(CONTROL!$C$27, 0.0021, 0)</f>
        <v>41.157899999999998</v>
      </c>
      <c r="I320" s="10">
        <f>41.1558 * CHOOSE(CONTROL!$C$9, $D$9, 100%, $F$9) + CHOOSE(CONTROL!$C$27, 0.0021, 0)</f>
        <v>41.157899999999998</v>
      </c>
      <c r="J320" s="10">
        <f>41.1558 * CHOOSE(CONTROL!$C$9, $D$9, 100%, $F$9) + CHOOSE(CONTROL!$C$27, 0.0021, 0)</f>
        <v>41.157899999999998</v>
      </c>
      <c r="K320" s="10">
        <f>41.1558 * CHOOSE(CONTROL!$C$9, $D$9, 100%, $F$9) + CHOOSE(CONTROL!$C$27, 0.0021, 0)</f>
        <v>41.157899999999998</v>
      </c>
      <c r="L320" s="10"/>
    </row>
    <row r="321" spans="1:12" ht="15.75" x14ac:dyDescent="0.25">
      <c r="A321" s="14">
        <v>50709</v>
      </c>
      <c r="B321" s="10">
        <f>42.5794 * CHOOSE(CONTROL!$C$9, $D$9, 100%, $F$9) + CHOOSE(CONTROL!$C$27, 0.0021, 0)</f>
        <v>42.581499999999998</v>
      </c>
      <c r="C321" s="10">
        <f>42.1472 * CHOOSE(CONTROL!$C$9, $D$9, 100%, $F$9) + CHOOSE(CONTROL!$C$27, 0.0021, 0)</f>
        <v>42.149299999999997</v>
      </c>
      <c r="D321" s="10">
        <f>42.1472 * CHOOSE(CONTROL!$C$9, $D$9, 100%, $F$9) + CHOOSE(CONTROL!$C$27, 0.0021, 0)</f>
        <v>42.149299999999997</v>
      </c>
      <c r="E321" s="10">
        <f>42.0105 * CHOOSE(CONTROL!$C$9, $D$9, 100%, $F$9) + CHOOSE(CONTROL!$C$27, 0.0021, 0)</f>
        <v>42.012599999999999</v>
      </c>
      <c r="F321" s="10">
        <f>42.0105 * CHOOSE(CONTROL!$C$9, $D$9, 100%, $F$9) + CHOOSE(CONTROL!$C$27, 0.0021, 0)</f>
        <v>42.012599999999999</v>
      </c>
      <c r="G321" s="10">
        <f>42.2819 * CHOOSE(CONTROL!$C$9, $D$9, 100%, $F$9) + CHOOSE(CONTROL!$C$27, 0.0021, 0)</f>
        <v>42.283999999999999</v>
      </c>
      <c r="H321" s="10">
        <f>42.1472 * CHOOSE(CONTROL!$C$9, $D$9, 100%, $F$9) + CHOOSE(CONTROL!$C$27, 0.0021, 0)</f>
        <v>42.149299999999997</v>
      </c>
      <c r="I321" s="10">
        <f>42.1472 * CHOOSE(CONTROL!$C$9, $D$9, 100%, $F$9) + CHOOSE(CONTROL!$C$27, 0.0021, 0)</f>
        <v>42.149299999999997</v>
      </c>
      <c r="J321" s="10">
        <f>42.1472 * CHOOSE(CONTROL!$C$9, $D$9, 100%, $F$9) + CHOOSE(CONTROL!$C$27, 0.0021, 0)</f>
        <v>42.149299999999997</v>
      </c>
      <c r="K321" s="10">
        <f>42.1472 * CHOOSE(CONTROL!$C$9, $D$9, 100%, $F$9) + CHOOSE(CONTROL!$C$27, 0.0021, 0)</f>
        <v>42.149299999999997</v>
      </c>
      <c r="L321" s="10"/>
    </row>
    <row r="322" spans="1:12" ht="15.75" x14ac:dyDescent="0.25">
      <c r="A322" s="14">
        <v>50739</v>
      </c>
      <c r="B322" s="10">
        <f>42.6725 * CHOOSE(CONTROL!$C$9, $D$9, 100%, $F$9) + CHOOSE(CONTROL!$C$27, 0.0021, 0)</f>
        <v>42.674599999999998</v>
      </c>
      <c r="C322" s="10">
        <f>42.2402 * CHOOSE(CONTROL!$C$9, $D$9, 100%, $F$9) + CHOOSE(CONTROL!$C$27, 0.0021, 0)</f>
        <v>42.2423</v>
      </c>
      <c r="D322" s="10">
        <f>42.2402 * CHOOSE(CONTROL!$C$9, $D$9, 100%, $F$9) + CHOOSE(CONTROL!$C$27, 0.0021, 0)</f>
        <v>42.2423</v>
      </c>
      <c r="E322" s="10">
        <f>42.1036 * CHOOSE(CONTROL!$C$9, $D$9, 100%, $F$9) + CHOOSE(CONTROL!$C$27, 0.0021, 0)</f>
        <v>42.105699999999999</v>
      </c>
      <c r="F322" s="10">
        <f>42.1036 * CHOOSE(CONTROL!$C$9, $D$9, 100%, $F$9) + CHOOSE(CONTROL!$C$27, 0.0021, 0)</f>
        <v>42.105699999999999</v>
      </c>
      <c r="G322" s="10">
        <f>42.3749 * CHOOSE(CONTROL!$C$9, $D$9, 100%, $F$9) + CHOOSE(CONTROL!$C$27, 0.0021, 0)</f>
        <v>42.376999999999995</v>
      </c>
      <c r="H322" s="10">
        <f>42.2402 * CHOOSE(CONTROL!$C$9, $D$9, 100%, $F$9) + CHOOSE(CONTROL!$C$27, 0.0021, 0)</f>
        <v>42.2423</v>
      </c>
      <c r="I322" s="10">
        <f>42.2402 * CHOOSE(CONTROL!$C$9, $D$9, 100%, $F$9) + CHOOSE(CONTROL!$C$27, 0.0021, 0)</f>
        <v>42.2423</v>
      </c>
      <c r="J322" s="10">
        <f>42.2402 * CHOOSE(CONTROL!$C$9, $D$9, 100%, $F$9) + CHOOSE(CONTROL!$C$27, 0.0021, 0)</f>
        <v>42.2423</v>
      </c>
      <c r="K322" s="10">
        <f>42.2402 * CHOOSE(CONTROL!$C$9, $D$9, 100%, $F$9) + CHOOSE(CONTROL!$C$27, 0.0021, 0)</f>
        <v>42.2423</v>
      </c>
      <c r="L322" s="10"/>
    </row>
    <row r="323" spans="1:12" ht="15.75" x14ac:dyDescent="0.25">
      <c r="A323" s="14">
        <v>50770</v>
      </c>
      <c r="B323" s="10">
        <f>41.8807 * CHOOSE(CONTROL!$C$9, $D$9, 100%, $F$9) + CHOOSE(CONTROL!$C$27, 0.0021, 0)</f>
        <v>41.882799999999996</v>
      </c>
      <c r="C323" s="10">
        <f>41.4485 * CHOOSE(CONTROL!$C$9, $D$9, 100%, $F$9) + CHOOSE(CONTROL!$C$27, 0.0021, 0)</f>
        <v>41.450600000000001</v>
      </c>
      <c r="D323" s="10">
        <f>41.4485 * CHOOSE(CONTROL!$C$9, $D$9, 100%, $F$9) + CHOOSE(CONTROL!$C$27, 0.0021, 0)</f>
        <v>41.450600000000001</v>
      </c>
      <c r="E323" s="10">
        <f>41.3118 * CHOOSE(CONTROL!$C$9, $D$9, 100%, $F$9) + CHOOSE(CONTROL!$C$27, 0.0021, 0)</f>
        <v>41.313899999999997</v>
      </c>
      <c r="F323" s="10">
        <f>41.3118 * CHOOSE(CONTROL!$C$9, $D$9, 100%, $F$9) + CHOOSE(CONTROL!$C$27, 0.0021, 0)</f>
        <v>41.313899999999997</v>
      </c>
      <c r="G323" s="10">
        <f>41.5832 * CHOOSE(CONTROL!$C$9, $D$9, 100%, $F$9) + CHOOSE(CONTROL!$C$27, 0.0021, 0)</f>
        <v>41.585299999999997</v>
      </c>
      <c r="H323" s="10">
        <f>41.4485 * CHOOSE(CONTROL!$C$9, $D$9, 100%, $F$9) + CHOOSE(CONTROL!$C$27, 0.0021, 0)</f>
        <v>41.450600000000001</v>
      </c>
      <c r="I323" s="10">
        <f>41.4485 * CHOOSE(CONTROL!$C$9, $D$9, 100%, $F$9) + CHOOSE(CONTROL!$C$27, 0.0021, 0)</f>
        <v>41.450600000000001</v>
      </c>
      <c r="J323" s="10">
        <f>41.4485 * CHOOSE(CONTROL!$C$9, $D$9, 100%, $F$9) + CHOOSE(CONTROL!$C$27, 0.0021, 0)</f>
        <v>41.450600000000001</v>
      </c>
      <c r="K323" s="10">
        <f>41.4485 * CHOOSE(CONTROL!$C$9, $D$9, 100%, $F$9) + CHOOSE(CONTROL!$C$27, 0.0021, 0)</f>
        <v>41.450600000000001</v>
      </c>
      <c r="L323" s="10"/>
    </row>
    <row r="324" spans="1:12" ht="15.75" x14ac:dyDescent="0.25">
      <c r="A324" s="14">
        <v>50801</v>
      </c>
      <c r="B324" s="10">
        <f>41.362 * CHOOSE(CONTROL!$C$9, $D$9, 100%, $F$9) + CHOOSE(CONTROL!$C$27, 0.0021, 0)</f>
        <v>41.364100000000001</v>
      </c>
      <c r="C324" s="10">
        <f>40.9298 * CHOOSE(CONTROL!$C$9, $D$9, 100%, $F$9) + CHOOSE(CONTROL!$C$27, 0.0021, 0)</f>
        <v>40.931899999999999</v>
      </c>
      <c r="D324" s="10">
        <f>40.9298 * CHOOSE(CONTROL!$C$9, $D$9, 100%, $F$9) + CHOOSE(CONTROL!$C$27, 0.0021, 0)</f>
        <v>40.931899999999999</v>
      </c>
      <c r="E324" s="10">
        <f>40.7931 * CHOOSE(CONTROL!$C$9, $D$9, 100%, $F$9) + CHOOSE(CONTROL!$C$27, 0.0021, 0)</f>
        <v>40.795200000000001</v>
      </c>
      <c r="F324" s="10">
        <f>40.7931 * CHOOSE(CONTROL!$C$9, $D$9, 100%, $F$9) + CHOOSE(CONTROL!$C$27, 0.0021, 0)</f>
        <v>40.795200000000001</v>
      </c>
      <c r="G324" s="10">
        <f>41.0645 * CHOOSE(CONTROL!$C$9, $D$9, 100%, $F$9) + CHOOSE(CONTROL!$C$27, 0.0021, 0)</f>
        <v>41.066600000000001</v>
      </c>
      <c r="H324" s="10">
        <f>40.9298 * CHOOSE(CONTROL!$C$9, $D$9, 100%, $F$9) + CHOOSE(CONTROL!$C$27, 0.0021, 0)</f>
        <v>40.931899999999999</v>
      </c>
      <c r="I324" s="10">
        <f>40.9298 * CHOOSE(CONTROL!$C$9, $D$9, 100%, $F$9) + CHOOSE(CONTROL!$C$27, 0.0021, 0)</f>
        <v>40.931899999999999</v>
      </c>
      <c r="J324" s="10">
        <f>40.9298 * CHOOSE(CONTROL!$C$9, $D$9, 100%, $F$9) + CHOOSE(CONTROL!$C$27, 0.0021, 0)</f>
        <v>40.931899999999999</v>
      </c>
      <c r="K324" s="10">
        <f>40.9298 * CHOOSE(CONTROL!$C$9, $D$9, 100%, $F$9) + CHOOSE(CONTROL!$C$27, 0.0021, 0)</f>
        <v>40.931899999999999</v>
      </c>
      <c r="L324" s="10"/>
    </row>
    <row r="325" spans="1:12" ht="15.75" x14ac:dyDescent="0.25">
      <c r="A325" s="14">
        <v>50829</v>
      </c>
      <c r="B325" s="10">
        <f>40.2569 * CHOOSE(CONTROL!$C$9, $D$9, 100%, $F$9) + CHOOSE(CONTROL!$C$27, 0.0021, 0)</f>
        <v>40.259</v>
      </c>
      <c r="C325" s="10">
        <f>39.8247 * CHOOSE(CONTROL!$C$9, $D$9, 100%, $F$9) + CHOOSE(CONTROL!$C$27, 0.0021, 0)</f>
        <v>39.826799999999999</v>
      </c>
      <c r="D325" s="10">
        <f>39.8247 * CHOOSE(CONTROL!$C$9, $D$9, 100%, $F$9) + CHOOSE(CONTROL!$C$27, 0.0021, 0)</f>
        <v>39.826799999999999</v>
      </c>
      <c r="E325" s="10">
        <f>39.688 * CHOOSE(CONTROL!$C$9, $D$9, 100%, $F$9) + CHOOSE(CONTROL!$C$27, 0.0021, 0)</f>
        <v>39.690100000000001</v>
      </c>
      <c r="F325" s="10">
        <f>39.688 * CHOOSE(CONTROL!$C$9, $D$9, 100%, $F$9) + CHOOSE(CONTROL!$C$27, 0.0021, 0)</f>
        <v>39.690100000000001</v>
      </c>
      <c r="G325" s="10">
        <f>39.9594 * CHOOSE(CONTROL!$C$9, $D$9, 100%, $F$9) + CHOOSE(CONTROL!$C$27, 0.0021, 0)</f>
        <v>39.961500000000001</v>
      </c>
      <c r="H325" s="10">
        <f>39.8247 * CHOOSE(CONTROL!$C$9, $D$9, 100%, $F$9) + CHOOSE(CONTROL!$C$27, 0.0021, 0)</f>
        <v>39.826799999999999</v>
      </c>
      <c r="I325" s="10">
        <f>39.8247 * CHOOSE(CONTROL!$C$9, $D$9, 100%, $F$9) + CHOOSE(CONTROL!$C$27, 0.0021, 0)</f>
        <v>39.826799999999999</v>
      </c>
      <c r="J325" s="10">
        <f>39.8247 * CHOOSE(CONTROL!$C$9, $D$9, 100%, $F$9) + CHOOSE(CONTROL!$C$27, 0.0021, 0)</f>
        <v>39.826799999999999</v>
      </c>
      <c r="K325" s="10">
        <f>39.8247 * CHOOSE(CONTROL!$C$9, $D$9, 100%, $F$9) + CHOOSE(CONTROL!$C$27, 0.0021, 0)</f>
        <v>39.826799999999999</v>
      </c>
      <c r="L325" s="10"/>
    </row>
    <row r="326" spans="1:12" ht="15.75" x14ac:dyDescent="0.25">
      <c r="A326" s="14">
        <v>50860</v>
      </c>
      <c r="B326" s="10">
        <f>39.8007 * CHOOSE(CONTROL!$C$9, $D$9, 100%, $F$9) + CHOOSE(CONTROL!$C$27, 0.0021, 0)</f>
        <v>39.802799999999998</v>
      </c>
      <c r="C326" s="10">
        <f>39.3685 * CHOOSE(CONTROL!$C$9, $D$9, 100%, $F$9) + CHOOSE(CONTROL!$C$27, 0.0021, 0)</f>
        <v>39.370599999999996</v>
      </c>
      <c r="D326" s="10">
        <f>39.3685 * CHOOSE(CONTROL!$C$9, $D$9, 100%, $F$9) + CHOOSE(CONTROL!$C$27, 0.0021, 0)</f>
        <v>39.370599999999996</v>
      </c>
      <c r="E326" s="10">
        <f>39.2318 * CHOOSE(CONTROL!$C$9, $D$9, 100%, $F$9) + CHOOSE(CONTROL!$C$27, 0.0021, 0)</f>
        <v>39.233899999999998</v>
      </c>
      <c r="F326" s="10">
        <f>39.2318 * CHOOSE(CONTROL!$C$9, $D$9, 100%, $F$9) + CHOOSE(CONTROL!$C$27, 0.0021, 0)</f>
        <v>39.233899999999998</v>
      </c>
      <c r="G326" s="10">
        <f>39.5032 * CHOOSE(CONTROL!$C$9, $D$9, 100%, $F$9) + CHOOSE(CONTROL!$C$27, 0.0021, 0)</f>
        <v>39.505299999999998</v>
      </c>
      <c r="H326" s="10">
        <f>39.3685 * CHOOSE(CONTROL!$C$9, $D$9, 100%, $F$9) + CHOOSE(CONTROL!$C$27, 0.0021, 0)</f>
        <v>39.370599999999996</v>
      </c>
      <c r="I326" s="10">
        <f>39.3685 * CHOOSE(CONTROL!$C$9, $D$9, 100%, $F$9) + CHOOSE(CONTROL!$C$27, 0.0021, 0)</f>
        <v>39.370599999999996</v>
      </c>
      <c r="J326" s="10">
        <f>39.3685 * CHOOSE(CONTROL!$C$9, $D$9, 100%, $F$9) + CHOOSE(CONTROL!$C$27, 0.0021, 0)</f>
        <v>39.370599999999996</v>
      </c>
      <c r="K326" s="10">
        <f>39.3685 * CHOOSE(CONTROL!$C$9, $D$9, 100%, $F$9) + CHOOSE(CONTROL!$C$27, 0.0021, 0)</f>
        <v>39.370599999999996</v>
      </c>
      <c r="L326" s="10"/>
    </row>
    <row r="327" spans="1:12" ht="15.75" x14ac:dyDescent="0.25">
      <c r="A327" s="14">
        <v>50890</v>
      </c>
      <c r="B327" s="10">
        <f>39.256 * CHOOSE(CONTROL!$C$9, $D$9, 100%, $F$9) + CHOOSE(CONTROL!$C$27, 0.0021, 0)</f>
        <v>39.258099999999999</v>
      </c>
      <c r="C327" s="10">
        <f>38.8238 * CHOOSE(CONTROL!$C$9, $D$9, 100%, $F$9) + CHOOSE(CONTROL!$C$27, 0.0021, 0)</f>
        <v>38.825899999999997</v>
      </c>
      <c r="D327" s="10">
        <f>38.8238 * CHOOSE(CONTROL!$C$9, $D$9, 100%, $F$9) + CHOOSE(CONTROL!$C$27, 0.0021, 0)</f>
        <v>38.825899999999997</v>
      </c>
      <c r="E327" s="10">
        <f>38.6871 * CHOOSE(CONTROL!$C$9, $D$9, 100%, $F$9) + CHOOSE(CONTROL!$C$27, 0.0021, 0)</f>
        <v>38.6892</v>
      </c>
      <c r="F327" s="10">
        <f>38.6871 * CHOOSE(CONTROL!$C$9, $D$9, 100%, $F$9) + CHOOSE(CONTROL!$C$27, 0.0021, 0)</f>
        <v>38.6892</v>
      </c>
      <c r="G327" s="10">
        <f>38.9585 * CHOOSE(CONTROL!$C$9, $D$9, 100%, $F$9) + CHOOSE(CONTROL!$C$27, 0.0021, 0)</f>
        <v>38.960599999999999</v>
      </c>
      <c r="H327" s="10">
        <f>38.8238 * CHOOSE(CONTROL!$C$9, $D$9, 100%, $F$9) + CHOOSE(CONTROL!$C$27, 0.0021, 0)</f>
        <v>38.825899999999997</v>
      </c>
      <c r="I327" s="10">
        <f>38.8238 * CHOOSE(CONTROL!$C$9, $D$9, 100%, $F$9) + CHOOSE(CONTROL!$C$27, 0.0021, 0)</f>
        <v>38.825899999999997</v>
      </c>
      <c r="J327" s="10">
        <f>38.8238 * CHOOSE(CONTROL!$C$9, $D$9, 100%, $F$9) + CHOOSE(CONTROL!$C$27, 0.0021, 0)</f>
        <v>38.825899999999997</v>
      </c>
      <c r="K327" s="10">
        <f>38.8238 * CHOOSE(CONTROL!$C$9, $D$9, 100%, $F$9) + CHOOSE(CONTROL!$C$27, 0.0021, 0)</f>
        <v>38.825899999999997</v>
      </c>
      <c r="L327" s="10"/>
    </row>
    <row r="328" spans="1:12" ht="15.75" x14ac:dyDescent="0.25">
      <c r="A328" s="14">
        <v>50921</v>
      </c>
      <c r="B328" s="10">
        <f>40.0323 * CHOOSE(CONTROL!$C$9, $D$9, 100%, $F$9) + CHOOSE(CONTROL!$C$27, 0.0021, 0)</f>
        <v>40.034399999999998</v>
      </c>
      <c r="C328" s="10">
        <f>39.6 * CHOOSE(CONTROL!$C$9, $D$9, 100%, $F$9) + CHOOSE(CONTROL!$C$27, 0.0021, 0)</f>
        <v>39.6021</v>
      </c>
      <c r="D328" s="10">
        <f>39.6 * CHOOSE(CONTROL!$C$9, $D$9, 100%, $F$9) + CHOOSE(CONTROL!$C$27, 0.0021, 0)</f>
        <v>39.6021</v>
      </c>
      <c r="E328" s="10">
        <f>39.4634 * CHOOSE(CONTROL!$C$9, $D$9, 100%, $F$9) + CHOOSE(CONTROL!$C$27, 0.0021, 0)</f>
        <v>39.465499999999999</v>
      </c>
      <c r="F328" s="10">
        <f>39.4634 * CHOOSE(CONTROL!$C$9, $D$9, 100%, $F$9) + CHOOSE(CONTROL!$C$27, 0.0021, 0)</f>
        <v>39.465499999999999</v>
      </c>
      <c r="G328" s="10">
        <f>39.7348 * CHOOSE(CONTROL!$C$9, $D$9, 100%, $F$9) + CHOOSE(CONTROL!$C$27, 0.0021, 0)</f>
        <v>39.736899999999999</v>
      </c>
      <c r="H328" s="10">
        <f>39.6 * CHOOSE(CONTROL!$C$9, $D$9, 100%, $F$9) + CHOOSE(CONTROL!$C$27, 0.0021, 0)</f>
        <v>39.6021</v>
      </c>
      <c r="I328" s="10">
        <f>39.6 * CHOOSE(CONTROL!$C$9, $D$9, 100%, $F$9) + CHOOSE(CONTROL!$C$27, 0.0021, 0)</f>
        <v>39.6021</v>
      </c>
      <c r="J328" s="10">
        <f>39.6 * CHOOSE(CONTROL!$C$9, $D$9, 100%, $F$9) + CHOOSE(CONTROL!$C$27, 0.0021, 0)</f>
        <v>39.6021</v>
      </c>
      <c r="K328" s="10">
        <f>39.6 * CHOOSE(CONTROL!$C$9, $D$9, 100%, $F$9) + CHOOSE(CONTROL!$C$27, 0.0021, 0)</f>
        <v>39.6021</v>
      </c>
      <c r="L328" s="10"/>
    </row>
    <row r="329" spans="1:12" ht="15.75" x14ac:dyDescent="0.25">
      <c r="A329" s="14">
        <v>50951</v>
      </c>
      <c r="B329" s="10">
        <f>40.4972 * CHOOSE(CONTROL!$C$9, $D$9, 100%, $F$9) + CHOOSE(CONTROL!$C$27, 0.0021, 0)</f>
        <v>40.499299999999998</v>
      </c>
      <c r="C329" s="10">
        <f>40.065 * CHOOSE(CONTROL!$C$9, $D$9, 100%, $F$9) + CHOOSE(CONTROL!$C$27, 0.0021, 0)</f>
        <v>40.067099999999996</v>
      </c>
      <c r="D329" s="10">
        <f>40.065 * CHOOSE(CONTROL!$C$9, $D$9, 100%, $F$9) + CHOOSE(CONTROL!$C$27, 0.0021, 0)</f>
        <v>40.067099999999996</v>
      </c>
      <c r="E329" s="10">
        <f>39.9283 * CHOOSE(CONTROL!$C$9, $D$9, 100%, $F$9) + CHOOSE(CONTROL!$C$27, 0.0021, 0)</f>
        <v>39.930399999999999</v>
      </c>
      <c r="F329" s="10">
        <f>39.9283 * CHOOSE(CONTROL!$C$9, $D$9, 100%, $F$9) + CHOOSE(CONTROL!$C$27, 0.0021, 0)</f>
        <v>39.930399999999999</v>
      </c>
      <c r="G329" s="10">
        <f>40.1997 * CHOOSE(CONTROL!$C$9, $D$9, 100%, $F$9) + CHOOSE(CONTROL!$C$27, 0.0021, 0)</f>
        <v>40.201799999999999</v>
      </c>
      <c r="H329" s="10">
        <f>40.065 * CHOOSE(CONTROL!$C$9, $D$9, 100%, $F$9) + CHOOSE(CONTROL!$C$27, 0.0021, 0)</f>
        <v>40.067099999999996</v>
      </c>
      <c r="I329" s="10">
        <f>40.065 * CHOOSE(CONTROL!$C$9, $D$9, 100%, $F$9) + CHOOSE(CONTROL!$C$27, 0.0021, 0)</f>
        <v>40.067099999999996</v>
      </c>
      <c r="J329" s="10">
        <f>40.065 * CHOOSE(CONTROL!$C$9, $D$9, 100%, $F$9) + CHOOSE(CONTROL!$C$27, 0.0021, 0)</f>
        <v>40.067099999999996</v>
      </c>
      <c r="K329" s="10">
        <f>40.065 * CHOOSE(CONTROL!$C$9, $D$9, 100%, $F$9) + CHOOSE(CONTROL!$C$27, 0.0021, 0)</f>
        <v>40.067099999999996</v>
      </c>
      <c r="L329" s="10"/>
    </row>
    <row r="330" spans="1:12" ht="15.75" x14ac:dyDescent="0.25">
      <c r="A330" s="14">
        <v>50982</v>
      </c>
      <c r="B330" s="10">
        <f>41.2642 * CHOOSE(CONTROL!$C$9, $D$9, 100%, $F$9) + CHOOSE(CONTROL!$C$27, 0.0021, 0)</f>
        <v>41.266300000000001</v>
      </c>
      <c r="C330" s="10">
        <f>40.832 * CHOOSE(CONTROL!$C$9, $D$9, 100%, $F$9) + CHOOSE(CONTROL!$C$27, 0.0021, 0)</f>
        <v>40.834099999999999</v>
      </c>
      <c r="D330" s="10">
        <f>40.832 * CHOOSE(CONTROL!$C$9, $D$9, 100%, $F$9) + CHOOSE(CONTROL!$C$27, 0.0021, 0)</f>
        <v>40.834099999999999</v>
      </c>
      <c r="E330" s="10">
        <f>40.6953 * CHOOSE(CONTROL!$C$9, $D$9, 100%, $F$9) + CHOOSE(CONTROL!$C$27, 0.0021, 0)</f>
        <v>40.697400000000002</v>
      </c>
      <c r="F330" s="10">
        <f>40.6953 * CHOOSE(CONTROL!$C$9, $D$9, 100%, $F$9) + CHOOSE(CONTROL!$C$27, 0.0021, 0)</f>
        <v>40.697400000000002</v>
      </c>
      <c r="G330" s="10">
        <f>40.9667 * CHOOSE(CONTROL!$C$9, $D$9, 100%, $F$9) + CHOOSE(CONTROL!$C$27, 0.0021, 0)</f>
        <v>40.968800000000002</v>
      </c>
      <c r="H330" s="10">
        <f>40.832 * CHOOSE(CONTROL!$C$9, $D$9, 100%, $F$9) + CHOOSE(CONTROL!$C$27, 0.0021, 0)</f>
        <v>40.834099999999999</v>
      </c>
      <c r="I330" s="10">
        <f>40.832 * CHOOSE(CONTROL!$C$9, $D$9, 100%, $F$9) + CHOOSE(CONTROL!$C$27, 0.0021, 0)</f>
        <v>40.834099999999999</v>
      </c>
      <c r="J330" s="10">
        <f>40.832 * CHOOSE(CONTROL!$C$9, $D$9, 100%, $F$9) + CHOOSE(CONTROL!$C$27, 0.0021, 0)</f>
        <v>40.834099999999999</v>
      </c>
      <c r="K330" s="10">
        <f>40.832 * CHOOSE(CONTROL!$C$9, $D$9, 100%, $F$9) + CHOOSE(CONTROL!$C$27, 0.0021, 0)</f>
        <v>40.834099999999999</v>
      </c>
      <c r="L330" s="10"/>
    </row>
    <row r="331" spans="1:12" ht="15.75" x14ac:dyDescent="0.25">
      <c r="A331" s="14">
        <v>51013</v>
      </c>
      <c r="B331" s="10">
        <f>41.4983 * CHOOSE(CONTROL!$C$9, $D$9, 100%, $F$9) + CHOOSE(CONTROL!$C$27, 0.0021, 0)</f>
        <v>41.500399999999999</v>
      </c>
      <c r="C331" s="10">
        <f>41.0661 * CHOOSE(CONTROL!$C$9, $D$9, 100%, $F$9) + CHOOSE(CONTROL!$C$27, 0.0021, 0)</f>
        <v>41.068199999999997</v>
      </c>
      <c r="D331" s="10">
        <f>41.0661 * CHOOSE(CONTROL!$C$9, $D$9, 100%, $F$9) + CHOOSE(CONTROL!$C$27, 0.0021, 0)</f>
        <v>41.068199999999997</v>
      </c>
      <c r="E331" s="10">
        <f>40.9294 * CHOOSE(CONTROL!$C$9, $D$9, 100%, $F$9) + CHOOSE(CONTROL!$C$27, 0.0021, 0)</f>
        <v>40.9315</v>
      </c>
      <c r="F331" s="10">
        <f>40.9294 * CHOOSE(CONTROL!$C$9, $D$9, 100%, $F$9) + CHOOSE(CONTROL!$C$27, 0.0021, 0)</f>
        <v>40.9315</v>
      </c>
      <c r="G331" s="10">
        <f>41.2008 * CHOOSE(CONTROL!$C$9, $D$9, 100%, $F$9) + CHOOSE(CONTROL!$C$27, 0.0021, 0)</f>
        <v>41.2029</v>
      </c>
      <c r="H331" s="10">
        <f>41.0661 * CHOOSE(CONTROL!$C$9, $D$9, 100%, $F$9) + CHOOSE(CONTROL!$C$27, 0.0021, 0)</f>
        <v>41.068199999999997</v>
      </c>
      <c r="I331" s="10">
        <f>41.0661 * CHOOSE(CONTROL!$C$9, $D$9, 100%, $F$9) + CHOOSE(CONTROL!$C$27, 0.0021, 0)</f>
        <v>41.068199999999997</v>
      </c>
      <c r="J331" s="10">
        <f>41.0661 * CHOOSE(CONTROL!$C$9, $D$9, 100%, $F$9) + CHOOSE(CONTROL!$C$27, 0.0021, 0)</f>
        <v>41.068199999999997</v>
      </c>
      <c r="K331" s="10">
        <f>41.0661 * CHOOSE(CONTROL!$C$9, $D$9, 100%, $F$9) + CHOOSE(CONTROL!$C$27, 0.0021, 0)</f>
        <v>41.068199999999997</v>
      </c>
      <c r="L331" s="10"/>
    </row>
    <row r="332" spans="1:12" ht="15.75" x14ac:dyDescent="0.25">
      <c r="A332" s="14">
        <v>51043</v>
      </c>
      <c r="B332" s="10">
        <f>42.2956 * CHOOSE(CONTROL!$C$9, $D$9, 100%, $F$9) + CHOOSE(CONTROL!$C$27, 0.0021, 0)</f>
        <v>42.297699999999999</v>
      </c>
      <c r="C332" s="10">
        <f>41.8633 * CHOOSE(CONTROL!$C$9, $D$9, 100%, $F$9) + CHOOSE(CONTROL!$C$27, 0.0021, 0)</f>
        <v>41.865400000000001</v>
      </c>
      <c r="D332" s="10">
        <f>41.8633 * CHOOSE(CONTROL!$C$9, $D$9, 100%, $F$9) + CHOOSE(CONTROL!$C$27, 0.0021, 0)</f>
        <v>41.865400000000001</v>
      </c>
      <c r="E332" s="10">
        <f>41.7267 * CHOOSE(CONTROL!$C$9, $D$9, 100%, $F$9) + CHOOSE(CONTROL!$C$27, 0.0021, 0)</f>
        <v>41.7288</v>
      </c>
      <c r="F332" s="10">
        <f>41.7267 * CHOOSE(CONTROL!$C$9, $D$9, 100%, $F$9) + CHOOSE(CONTROL!$C$27, 0.0021, 0)</f>
        <v>41.7288</v>
      </c>
      <c r="G332" s="10">
        <f>41.9981 * CHOOSE(CONTROL!$C$9, $D$9, 100%, $F$9) + CHOOSE(CONTROL!$C$27, 0.0021, 0)</f>
        <v>42.0002</v>
      </c>
      <c r="H332" s="10">
        <f>41.8633 * CHOOSE(CONTROL!$C$9, $D$9, 100%, $F$9) + CHOOSE(CONTROL!$C$27, 0.0021, 0)</f>
        <v>41.865400000000001</v>
      </c>
      <c r="I332" s="10">
        <f>41.8633 * CHOOSE(CONTROL!$C$9, $D$9, 100%, $F$9) + CHOOSE(CONTROL!$C$27, 0.0021, 0)</f>
        <v>41.865400000000001</v>
      </c>
      <c r="J332" s="10">
        <f>41.8633 * CHOOSE(CONTROL!$C$9, $D$9, 100%, $F$9) + CHOOSE(CONTROL!$C$27, 0.0021, 0)</f>
        <v>41.865400000000001</v>
      </c>
      <c r="K332" s="10">
        <f>41.8633 * CHOOSE(CONTROL!$C$9, $D$9, 100%, $F$9) + CHOOSE(CONTROL!$C$27, 0.0021, 0)</f>
        <v>41.865400000000001</v>
      </c>
      <c r="L332" s="10"/>
    </row>
    <row r="333" spans="1:12" ht="15.75" x14ac:dyDescent="0.25">
      <c r="A333" s="14">
        <v>51074</v>
      </c>
      <c r="B333" s="10">
        <f>43.3048 * CHOOSE(CONTROL!$C$9, $D$9, 100%, $F$9) + CHOOSE(CONTROL!$C$27, 0.0021, 0)</f>
        <v>43.306899999999999</v>
      </c>
      <c r="C333" s="10">
        <f>42.8725 * CHOOSE(CONTROL!$C$9, $D$9, 100%, $F$9) + CHOOSE(CONTROL!$C$27, 0.0021, 0)</f>
        <v>42.874600000000001</v>
      </c>
      <c r="D333" s="10">
        <f>42.8725 * CHOOSE(CONTROL!$C$9, $D$9, 100%, $F$9) + CHOOSE(CONTROL!$C$27, 0.0021, 0)</f>
        <v>42.874600000000001</v>
      </c>
      <c r="E333" s="10">
        <f>42.7359 * CHOOSE(CONTROL!$C$9, $D$9, 100%, $F$9) + CHOOSE(CONTROL!$C$27, 0.0021, 0)</f>
        <v>42.738</v>
      </c>
      <c r="F333" s="10">
        <f>42.7359 * CHOOSE(CONTROL!$C$9, $D$9, 100%, $F$9) + CHOOSE(CONTROL!$C$27, 0.0021, 0)</f>
        <v>42.738</v>
      </c>
      <c r="G333" s="10">
        <f>43.0072 * CHOOSE(CONTROL!$C$9, $D$9, 100%, $F$9) + CHOOSE(CONTROL!$C$27, 0.0021, 0)</f>
        <v>43.009299999999996</v>
      </c>
      <c r="H333" s="10">
        <f>42.8725 * CHOOSE(CONTROL!$C$9, $D$9, 100%, $F$9) + CHOOSE(CONTROL!$C$27, 0.0021, 0)</f>
        <v>42.874600000000001</v>
      </c>
      <c r="I333" s="10">
        <f>42.8725 * CHOOSE(CONTROL!$C$9, $D$9, 100%, $F$9) + CHOOSE(CONTROL!$C$27, 0.0021, 0)</f>
        <v>42.874600000000001</v>
      </c>
      <c r="J333" s="10">
        <f>42.8725 * CHOOSE(CONTROL!$C$9, $D$9, 100%, $F$9) + CHOOSE(CONTROL!$C$27, 0.0021, 0)</f>
        <v>42.874600000000001</v>
      </c>
      <c r="K333" s="10">
        <f>42.8725 * CHOOSE(CONTROL!$C$9, $D$9, 100%, $F$9) + CHOOSE(CONTROL!$C$27, 0.0021, 0)</f>
        <v>42.874600000000001</v>
      </c>
      <c r="L333" s="10"/>
    </row>
    <row r="334" spans="1:12" ht="15.75" x14ac:dyDescent="0.25">
      <c r="A334" s="14">
        <v>51104</v>
      </c>
      <c r="B334" s="10">
        <f>43.3995 * CHOOSE(CONTROL!$C$9, $D$9, 100%, $F$9) + CHOOSE(CONTROL!$C$27, 0.0021, 0)</f>
        <v>43.401600000000002</v>
      </c>
      <c r="C334" s="10">
        <f>42.9673 * CHOOSE(CONTROL!$C$9, $D$9, 100%, $F$9) + CHOOSE(CONTROL!$C$27, 0.0021, 0)</f>
        <v>42.9694</v>
      </c>
      <c r="D334" s="10">
        <f>42.9673 * CHOOSE(CONTROL!$C$9, $D$9, 100%, $F$9) + CHOOSE(CONTROL!$C$27, 0.0021, 0)</f>
        <v>42.9694</v>
      </c>
      <c r="E334" s="10">
        <f>42.8306 * CHOOSE(CONTROL!$C$9, $D$9, 100%, $F$9) + CHOOSE(CONTROL!$C$27, 0.0021, 0)</f>
        <v>42.832699999999996</v>
      </c>
      <c r="F334" s="10">
        <f>42.8306 * CHOOSE(CONTROL!$C$9, $D$9, 100%, $F$9) + CHOOSE(CONTROL!$C$27, 0.0021, 0)</f>
        <v>42.832699999999996</v>
      </c>
      <c r="G334" s="10">
        <f>43.102 * CHOOSE(CONTROL!$C$9, $D$9, 100%, $F$9) + CHOOSE(CONTROL!$C$27, 0.0021, 0)</f>
        <v>43.104099999999995</v>
      </c>
      <c r="H334" s="10">
        <f>42.9673 * CHOOSE(CONTROL!$C$9, $D$9, 100%, $F$9) + CHOOSE(CONTROL!$C$27, 0.0021, 0)</f>
        <v>42.9694</v>
      </c>
      <c r="I334" s="10">
        <f>42.9673 * CHOOSE(CONTROL!$C$9, $D$9, 100%, $F$9) + CHOOSE(CONTROL!$C$27, 0.0021, 0)</f>
        <v>42.9694</v>
      </c>
      <c r="J334" s="10">
        <f>42.9673 * CHOOSE(CONTROL!$C$9, $D$9, 100%, $F$9) + CHOOSE(CONTROL!$C$27, 0.0021, 0)</f>
        <v>42.9694</v>
      </c>
      <c r="K334" s="10">
        <f>42.9673 * CHOOSE(CONTROL!$C$9, $D$9, 100%, $F$9) + CHOOSE(CONTROL!$C$27, 0.0021, 0)</f>
        <v>42.9694</v>
      </c>
      <c r="L334" s="10"/>
    </row>
    <row r="335" spans="1:12" ht="15.75" x14ac:dyDescent="0.25">
      <c r="A335" s="14">
        <v>51135</v>
      </c>
      <c r="B335" s="10">
        <f>42.5935 * CHOOSE(CONTROL!$C$9, $D$9, 100%, $F$9) + CHOOSE(CONTROL!$C$27, 0.0021, 0)</f>
        <v>42.595599999999997</v>
      </c>
      <c r="C335" s="10">
        <f>42.1612 * CHOOSE(CONTROL!$C$9, $D$9, 100%, $F$9) + CHOOSE(CONTROL!$C$27, 0.0021, 0)</f>
        <v>42.1633</v>
      </c>
      <c r="D335" s="10">
        <f>42.1612 * CHOOSE(CONTROL!$C$9, $D$9, 100%, $F$9) + CHOOSE(CONTROL!$C$27, 0.0021, 0)</f>
        <v>42.1633</v>
      </c>
      <c r="E335" s="10">
        <f>42.0246 * CHOOSE(CONTROL!$C$9, $D$9, 100%, $F$9) + CHOOSE(CONTROL!$C$27, 0.0021, 0)</f>
        <v>42.026699999999998</v>
      </c>
      <c r="F335" s="10">
        <f>42.0246 * CHOOSE(CONTROL!$C$9, $D$9, 100%, $F$9) + CHOOSE(CONTROL!$C$27, 0.0021, 0)</f>
        <v>42.026699999999998</v>
      </c>
      <c r="G335" s="10">
        <f>42.296 * CHOOSE(CONTROL!$C$9, $D$9, 100%, $F$9) + CHOOSE(CONTROL!$C$27, 0.0021, 0)</f>
        <v>42.298099999999998</v>
      </c>
      <c r="H335" s="10">
        <f>42.1612 * CHOOSE(CONTROL!$C$9, $D$9, 100%, $F$9) + CHOOSE(CONTROL!$C$27, 0.0021, 0)</f>
        <v>42.1633</v>
      </c>
      <c r="I335" s="10">
        <f>42.1612 * CHOOSE(CONTROL!$C$9, $D$9, 100%, $F$9) + CHOOSE(CONTROL!$C$27, 0.0021, 0)</f>
        <v>42.1633</v>
      </c>
      <c r="J335" s="10">
        <f>42.1612 * CHOOSE(CONTROL!$C$9, $D$9, 100%, $F$9) + CHOOSE(CONTROL!$C$27, 0.0021, 0)</f>
        <v>42.1633</v>
      </c>
      <c r="K335" s="10">
        <f>42.1612 * CHOOSE(CONTROL!$C$9, $D$9, 100%, $F$9) + CHOOSE(CONTROL!$C$27, 0.0021, 0)</f>
        <v>42.1633</v>
      </c>
      <c r="L335" s="10"/>
    </row>
    <row r="336" spans="1:12" ht="15.75" x14ac:dyDescent="0.25">
      <c r="A336" s="14">
        <v>51166</v>
      </c>
      <c r="B336" s="10">
        <f>42.0655 * CHOOSE(CONTROL!$C$9, $D$9, 100%, $F$9) + CHOOSE(CONTROL!$C$27, 0.0021, 0)</f>
        <v>42.067599999999999</v>
      </c>
      <c r="C336" s="10">
        <f>41.6332 * CHOOSE(CONTROL!$C$9, $D$9, 100%, $F$9) + CHOOSE(CONTROL!$C$27, 0.0021, 0)</f>
        <v>41.635300000000001</v>
      </c>
      <c r="D336" s="10">
        <f>41.6332 * CHOOSE(CONTROL!$C$9, $D$9, 100%, $F$9) + CHOOSE(CONTROL!$C$27, 0.0021, 0)</f>
        <v>41.635300000000001</v>
      </c>
      <c r="E336" s="10">
        <f>41.4965 * CHOOSE(CONTROL!$C$9, $D$9, 100%, $F$9) + CHOOSE(CONTROL!$C$27, 0.0021, 0)</f>
        <v>41.498599999999996</v>
      </c>
      <c r="F336" s="10">
        <f>41.4965 * CHOOSE(CONTROL!$C$9, $D$9, 100%, $F$9) + CHOOSE(CONTROL!$C$27, 0.0021, 0)</f>
        <v>41.498599999999996</v>
      </c>
      <c r="G336" s="10">
        <f>41.7679 * CHOOSE(CONTROL!$C$9, $D$9, 100%, $F$9) + CHOOSE(CONTROL!$C$27, 0.0021, 0)</f>
        <v>41.769999999999996</v>
      </c>
      <c r="H336" s="10">
        <f>41.6332 * CHOOSE(CONTROL!$C$9, $D$9, 100%, $F$9) + CHOOSE(CONTROL!$C$27, 0.0021, 0)</f>
        <v>41.635300000000001</v>
      </c>
      <c r="I336" s="10">
        <f>41.6332 * CHOOSE(CONTROL!$C$9, $D$9, 100%, $F$9) + CHOOSE(CONTROL!$C$27, 0.0021, 0)</f>
        <v>41.635300000000001</v>
      </c>
      <c r="J336" s="10">
        <f>41.6332 * CHOOSE(CONTROL!$C$9, $D$9, 100%, $F$9) + CHOOSE(CONTROL!$C$27, 0.0021, 0)</f>
        <v>41.635300000000001</v>
      </c>
      <c r="K336" s="10">
        <f>41.6332 * CHOOSE(CONTROL!$C$9, $D$9, 100%, $F$9) + CHOOSE(CONTROL!$C$27, 0.0021, 0)</f>
        <v>41.635300000000001</v>
      </c>
      <c r="L336" s="10"/>
    </row>
    <row r="337" spans="1:12" ht="15.75" x14ac:dyDescent="0.25">
      <c r="A337" s="14">
        <v>51194</v>
      </c>
      <c r="B337" s="10">
        <f>40.9405 * CHOOSE(CONTROL!$C$9, $D$9, 100%, $F$9) + CHOOSE(CONTROL!$C$27, 0.0021, 0)</f>
        <v>40.942599999999999</v>
      </c>
      <c r="C337" s="10">
        <f>40.5082 * CHOOSE(CONTROL!$C$9, $D$9, 100%, $F$9) + CHOOSE(CONTROL!$C$27, 0.0021, 0)</f>
        <v>40.510300000000001</v>
      </c>
      <c r="D337" s="10">
        <f>40.5082 * CHOOSE(CONTROL!$C$9, $D$9, 100%, $F$9) + CHOOSE(CONTROL!$C$27, 0.0021, 0)</f>
        <v>40.510300000000001</v>
      </c>
      <c r="E337" s="10">
        <f>40.3716 * CHOOSE(CONTROL!$C$9, $D$9, 100%, $F$9) + CHOOSE(CONTROL!$C$27, 0.0021, 0)</f>
        <v>40.373699999999999</v>
      </c>
      <c r="F337" s="10">
        <f>40.3716 * CHOOSE(CONTROL!$C$9, $D$9, 100%, $F$9) + CHOOSE(CONTROL!$C$27, 0.0021, 0)</f>
        <v>40.373699999999999</v>
      </c>
      <c r="G337" s="10">
        <f>40.6429 * CHOOSE(CONTROL!$C$9, $D$9, 100%, $F$9) + CHOOSE(CONTROL!$C$27, 0.0021, 0)</f>
        <v>40.644999999999996</v>
      </c>
      <c r="H337" s="10">
        <f>40.5082 * CHOOSE(CONTROL!$C$9, $D$9, 100%, $F$9) + CHOOSE(CONTROL!$C$27, 0.0021, 0)</f>
        <v>40.510300000000001</v>
      </c>
      <c r="I337" s="10">
        <f>40.5082 * CHOOSE(CONTROL!$C$9, $D$9, 100%, $F$9) + CHOOSE(CONTROL!$C$27, 0.0021, 0)</f>
        <v>40.510300000000001</v>
      </c>
      <c r="J337" s="10">
        <f>40.5082 * CHOOSE(CONTROL!$C$9, $D$9, 100%, $F$9) + CHOOSE(CONTROL!$C$27, 0.0021, 0)</f>
        <v>40.510300000000001</v>
      </c>
      <c r="K337" s="10">
        <f>40.5082 * CHOOSE(CONTROL!$C$9, $D$9, 100%, $F$9) + CHOOSE(CONTROL!$C$27, 0.0021, 0)</f>
        <v>40.510300000000001</v>
      </c>
      <c r="L337" s="10"/>
    </row>
    <row r="338" spans="1:12" ht="15.75" x14ac:dyDescent="0.25">
      <c r="A338" s="14">
        <v>51226</v>
      </c>
      <c r="B338" s="10">
        <f>40.4761 * CHOOSE(CONTROL!$C$9, $D$9, 100%, $F$9) + CHOOSE(CONTROL!$C$27, 0.0021, 0)</f>
        <v>40.478200000000001</v>
      </c>
      <c r="C338" s="10">
        <f>40.0438 * CHOOSE(CONTROL!$C$9, $D$9, 100%, $F$9) + CHOOSE(CONTROL!$C$27, 0.0021, 0)</f>
        <v>40.045899999999996</v>
      </c>
      <c r="D338" s="10">
        <f>40.0438 * CHOOSE(CONTROL!$C$9, $D$9, 100%, $F$9) + CHOOSE(CONTROL!$C$27, 0.0021, 0)</f>
        <v>40.045899999999996</v>
      </c>
      <c r="E338" s="10">
        <f>39.9072 * CHOOSE(CONTROL!$C$9, $D$9, 100%, $F$9) + CHOOSE(CONTROL!$C$27, 0.0021, 0)</f>
        <v>39.909300000000002</v>
      </c>
      <c r="F338" s="10">
        <f>39.9072 * CHOOSE(CONTROL!$C$9, $D$9, 100%, $F$9) + CHOOSE(CONTROL!$C$27, 0.0021, 0)</f>
        <v>39.909300000000002</v>
      </c>
      <c r="G338" s="10">
        <f>40.1785 * CHOOSE(CONTROL!$C$9, $D$9, 100%, $F$9) + CHOOSE(CONTROL!$C$27, 0.0021, 0)</f>
        <v>40.180599999999998</v>
      </c>
      <c r="H338" s="10">
        <f>40.0438 * CHOOSE(CONTROL!$C$9, $D$9, 100%, $F$9) + CHOOSE(CONTROL!$C$27, 0.0021, 0)</f>
        <v>40.045899999999996</v>
      </c>
      <c r="I338" s="10">
        <f>40.0438 * CHOOSE(CONTROL!$C$9, $D$9, 100%, $F$9) + CHOOSE(CONTROL!$C$27, 0.0021, 0)</f>
        <v>40.045899999999996</v>
      </c>
      <c r="J338" s="10">
        <f>40.0438 * CHOOSE(CONTROL!$C$9, $D$9, 100%, $F$9) + CHOOSE(CONTROL!$C$27, 0.0021, 0)</f>
        <v>40.045899999999996</v>
      </c>
      <c r="K338" s="10">
        <f>40.0438 * CHOOSE(CONTROL!$C$9, $D$9, 100%, $F$9) + CHOOSE(CONTROL!$C$27, 0.0021, 0)</f>
        <v>40.045899999999996</v>
      </c>
      <c r="L338" s="10"/>
    </row>
    <row r="339" spans="1:12" ht="15.75" x14ac:dyDescent="0.25">
      <c r="A339" s="14">
        <v>51256</v>
      </c>
      <c r="B339" s="10">
        <f>39.9216 * CHOOSE(CONTROL!$C$9, $D$9, 100%, $F$9) + CHOOSE(CONTROL!$C$27, 0.0021, 0)</f>
        <v>39.923699999999997</v>
      </c>
      <c r="C339" s="10">
        <f>39.4893 * CHOOSE(CONTROL!$C$9, $D$9, 100%, $F$9) + CHOOSE(CONTROL!$C$27, 0.0021, 0)</f>
        <v>39.491399999999999</v>
      </c>
      <c r="D339" s="10">
        <f>39.4893 * CHOOSE(CONTROL!$C$9, $D$9, 100%, $F$9) + CHOOSE(CONTROL!$C$27, 0.0021, 0)</f>
        <v>39.491399999999999</v>
      </c>
      <c r="E339" s="10">
        <f>39.3527 * CHOOSE(CONTROL!$C$9, $D$9, 100%, $F$9) + CHOOSE(CONTROL!$C$27, 0.0021, 0)</f>
        <v>39.354799999999997</v>
      </c>
      <c r="F339" s="10">
        <f>39.3527 * CHOOSE(CONTROL!$C$9, $D$9, 100%, $F$9) + CHOOSE(CONTROL!$C$27, 0.0021, 0)</f>
        <v>39.354799999999997</v>
      </c>
      <c r="G339" s="10">
        <f>39.624 * CHOOSE(CONTROL!$C$9, $D$9, 100%, $F$9) + CHOOSE(CONTROL!$C$27, 0.0021, 0)</f>
        <v>39.626100000000001</v>
      </c>
      <c r="H339" s="10">
        <f>39.4893 * CHOOSE(CONTROL!$C$9, $D$9, 100%, $F$9) + CHOOSE(CONTROL!$C$27, 0.0021, 0)</f>
        <v>39.491399999999999</v>
      </c>
      <c r="I339" s="10">
        <f>39.4893 * CHOOSE(CONTROL!$C$9, $D$9, 100%, $F$9) + CHOOSE(CONTROL!$C$27, 0.0021, 0)</f>
        <v>39.491399999999999</v>
      </c>
      <c r="J339" s="10">
        <f>39.4893 * CHOOSE(CONTROL!$C$9, $D$9, 100%, $F$9) + CHOOSE(CONTROL!$C$27, 0.0021, 0)</f>
        <v>39.491399999999999</v>
      </c>
      <c r="K339" s="10">
        <f>39.4893 * CHOOSE(CONTROL!$C$9, $D$9, 100%, $F$9) + CHOOSE(CONTROL!$C$27, 0.0021, 0)</f>
        <v>39.491399999999999</v>
      </c>
      <c r="L339" s="10"/>
    </row>
    <row r="340" spans="1:12" ht="15.75" x14ac:dyDescent="0.25">
      <c r="A340" s="14">
        <v>51287</v>
      </c>
      <c r="B340" s="10">
        <f>40.7118 * CHOOSE(CONTROL!$C$9, $D$9, 100%, $F$9) + CHOOSE(CONTROL!$C$27, 0.0021, 0)</f>
        <v>40.713899999999995</v>
      </c>
      <c r="C340" s="10">
        <f>40.2795 * CHOOSE(CONTROL!$C$9, $D$9, 100%, $F$9) + CHOOSE(CONTROL!$C$27, 0.0021, 0)</f>
        <v>40.281599999999997</v>
      </c>
      <c r="D340" s="10">
        <f>40.2795 * CHOOSE(CONTROL!$C$9, $D$9, 100%, $F$9) + CHOOSE(CONTROL!$C$27, 0.0021, 0)</f>
        <v>40.281599999999997</v>
      </c>
      <c r="E340" s="10">
        <f>40.1429 * CHOOSE(CONTROL!$C$9, $D$9, 100%, $F$9) + CHOOSE(CONTROL!$C$27, 0.0021, 0)</f>
        <v>40.144999999999996</v>
      </c>
      <c r="F340" s="10">
        <f>40.1429 * CHOOSE(CONTROL!$C$9, $D$9, 100%, $F$9) + CHOOSE(CONTROL!$C$27, 0.0021, 0)</f>
        <v>40.144999999999996</v>
      </c>
      <c r="G340" s="10">
        <f>40.4143 * CHOOSE(CONTROL!$C$9, $D$9, 100%, $F$9) + CHOOSE(CONTROL!$C$27, 0.0021, 0)</f>
        <v>40.416399999999996</v>
      </c>
      <c r="H340" s="10">
        <f>40.2795 * CHOOSE(CONTROL!$C$9, $D$9, 100%, $F$9) + CHOOSE(CONTROL!$C$27, 0.0021, 0)</f>
        <v>40.281599999999997</v>
      </c>
      <c r="I340" s="10">
        <f>40.2795 * CHOOSE(CONTROL!$C$9, $D$9, 100%, $F$9) + CHOOSE(CONTROL!$C$27, 0.0021, 0)</f>
        <v>40.281599999999997</v>
      </c>
      <c r="J340" s="10">
        <f>40.2795 * CHOOSE(CONTROL!$C$9, $D$9, 100%, $F$9) + CHOOSE(CONTROL!$C$27, 0.0021, 0)</f>
        <v>40.281599999999997</v>
      </c>
      <c r="K340" s="10">
        <f>40.2795 * CHOOSE(CONTROL!$C$9, $D$9, 100%, $F$9) + CHOOSE(CONTROL!$C$27, 0.0021, 0)</f>
        <v>40.281599999999997</v>
      </c>
      <c r="L340" s="10"/>
    </row>
    <row r="341" spans="1:12" ht="15.75" x14ac:dyDescent="0.25">
      <c r="A341" s="14">
        <v>51317</v>
      </c>
      <c r="B341" s="10">
        <f>41.1851 * CHOOSE(CONTROL!$C$9, $D$9, 100%, $F$9) + CHOOSE(CONTROL!$C$27, 0.0021, 0)</f>
        <v>41.187199999999997</v>
      </c>
      <c r="C341" s="10">
        <f>40.7529 * CHOOSE(CONTROL!$C$9, $D$9, 100%, $F$9) + CHOOSE(CONTROL!$C$27, 0.0021, 0)</f>
        <v>40.754999999999995</v>
      </c>
      <c r="D341" s="10">
        <f>40.7529 * CHOOSE(CONTROL!$C$9, $D$9, 100%, $F$9) + CHOOSE(CONTROL!$C$27, 0.0021, 0)</f>
        <v>40.754999999999995</v>
      </c>
      <c r="E341" s="10">
        <f>40.6162 * CHOOSE(CONTROL!$C$9, $D$9, 100%, $F$9) + CHOOSE(CONTROL!$C$27, 0.0021, 0)</f>
        <v>40.618299999999998</v>
      </c>
      <c r="F341" s="10">
        <f>40.6162 * CHOOSE(CONTROL!$C$9, $D$9, 100%, $F$9) + CHOOSE(CONTROL!$C$27, 0.0021, 0)</f>
        <v>40.618299999999998</v>
      </c>
      <c r="G341" s="10">
        <f>40.8876 * CHOOSE(CONTROL!$C$9, $D$9, 100%, $F$9) + CHOOSE(CONTROL!$C$27, 0.0021, 0)</f>
        <v>40.889699999999998</v>
      </c>
      <c r="H341" s="10">
        <f>40.7529 * CHOOSE(CONTROL!$C$9, $D$9, 100%, $F$9) + CHOOSE(CONTROL!$C$27, 0.0021, 0)</f>
        <v>40.754999999999995</v>
      </c>
      <c r="I341" s="10">
        <f>40.7529 * CHOOSE(CONTROL!$C$9, $D$9, 100%, $F$9) + CHOOSE(CONTROL!$C$27, 0.0021, 0)</f>
        <v>40.754999999999995</v>
      </c>
      <c r="J341" s="10">
        <f>40.7529 * CHOOSE(CONTROL!$C$9, $D$9, 100%, $F$9) + CHOOSE(CONTROL!$C$27, 0.0021, 0)</f>
        <v>40.754999999999995</v>
      </c>
      <c r="K341" s="10">
        <f>40.7529 * CHOOSE(CONTROL!$C$9, $D$9, 100%, $F$9) + CHOOSE(CONTROL!$C$27, 0.0021, 0)</f>
        <v>40.754999999999995</v>
      </c>
      <c r="L341" s="10"/>
    </row>
    <row r="342" spans="1:12" ht="15.75" x14ac:dyDescent="0.25">
      <c r="A342" s="14">
        <v>51348</v>
      </c>
      <c r="B342" s="10">
        <f>41.9659 * CHOOSE(CONTROL!$C$9, $D$9, 100%, $F$9) + CHOOSE(CONTROL!$C$27, 0.0021, 0)</f>
        <v>41.967999999999996</v>
      </c>
      <c r="C342" s="10">
        <f>41.5337 * CHOOSE(CONTROL!$C$9, $D$9, 100%, $F$9) + CHOOSE(CONTROL!$C$27, 0.0021, 0)</f>
        <v>41.535800000000002</v>
      </c>
      <c r="D342" s="10">
        <f>41.5337 * CHOOSE(CONTROL!$C$9, $D$9, 100%, $F$9) + CHOOSE(CONTROL!$C$27, 0.0021, 0)</f>
        <v>41.535800000000002</v>
      </c>
      <c r="E342" s="10">
        <f>41.397 * CHOOSE(CONTROL!$C$9, $D$9, 100%, $F$9) + CHOOSE(CONTROL!$C$27, 0.0021, 0)</f>
        <v>41.399099999999997</v>
      </c>
      <c r="F342" s="10">
        <f>41.397 * CHOOSE(CONTROL!$C$9, $D$9, 100%, $F$9) + CHOOSE(CONTROL!$C$27, 0.0021, 0)</f>
        <v>41.399099999999997</v>
      </c>
      <c r="G342" s="10">
        <f>41.6684 * CHOOSE(CONTROL!$C$9, $D$9, 100%, $F$9) + CHOOSE(CONTROL!$C$27, 0.0021, 0)</f>
        <v>41.670499999999997</v>
      </c>
      <c r="H342" s="10">
        <f>41.5337 * CHOOSE(CONTROL!$C$9, $D$9, 100%, $F$9) + CHOOSE(CONTROL!$C$27, 0.0021, 0)</f>
        <v>41.535800000000002</v>
      </c>
      <c r="I342" s="10">
        <f>41.5337 * CHOOSE(CONTROL!$C$9, $D$9, 100%, $F$9) + CHOOSE(CONTROL!$C$27, 0.0021, 0)</f>
        <v>41.535800000000002</v>
      </c>
      <c r="J342" s="10">
        <f>41.5337 * CHOOSE(CONTROL!$C$9, $D$9, 100%, $F$9) + CHOOSE(CONTROL!$C$27, 0.0021, 0)</f>
        <v>41.535800000000002</v>
      </c>
      <c r="K342" s="10">
        <f>41.5337 * CHOOSE(CONTROL!$C$9, $D$9, 100%, $F$9) + CHOOSE(CONTROL!$C$27, 0.0021, 0)</f>
        <v>41.535800000000002</v>
      </c>
      <c r="L342" s="10"/>
    </row>
    <row r="343" spans="1:12" ht="15.75" x14ac:dyDescent="0.25">
      <c r="A343" s="14">
        <v>51379</v>
      </c>
      <c r="B343" s="10">
        <f>42.2042 * CHOOSE(CONTROL!$C$9, $D$9, 100%, $F$9) + CHOOSE(CONTROL!$C$27, 0.0021, 0)</f>
        <v>42.206299999999999</v>
      </c>
      <c r="C343" s="10">
        <f>41.772 * CHOOSE(CONTROL!$C$9, $D$9, 100%, $F$9) + CHOOSE(CONTROL!$C$27, 0.0021, 0)</f>
        <v>41.774099999999997</v>
      </c>
      <c r="D343" s="10">
        <f>41.772 * CHOOSE(CONTROL!$C$9, $D$9, 100%, $F$9) + CHOOSE(CONTROL!$C$27, 0.0021, 0)</f>
        <v>41.774099999999997</v>
      </c>
      <c r="E343" s="10">
        <f>41.6353 * CHOOSE(CONTROL!$C$9, $D$9, 100%, $F$9) + CHOOSE(CONTROL!$C$27, 0.0021, 0)</f>
        <v>41.6374</v>
      </c>
      <c r="F343" s="10">
        <f>41.6353 * CHOOSE(CONTROL!$C$9, $D$9, 100%, $F$9) + CHOOSE(CONTROL!$C$27, 0.0021, 0)</f>
        <v>41.6374</v>
      </c>
      <c r="G343" s="10">
        <f>41.9067 * CHOOSE(CONTROL!$C$9, $D$9, 100%, $F$9) + CHOOSE(CONTROL!$C$27, 0.0021, 0)</f>
        <v>41.908799999999999</v>
      </c>
      <c r="H343" s="10">
        <f>41.772 * CHOOSE(CONTROL!$C$9, $D$9, 100%, $F$9) + CHOOSE(CONTROL!$C$27, 0.0021, 0)</f>
        <v>41.774099999999997</v>
      </c>
      <c r="I343" s="10">
        <f>41.772 * CHOOSE(CONTROL!$C$9, $D$9, 100%, $F$9) + CHOOSE(CONTROL!$C$27, 0.0021, 0)</f>
        <v>41.774099999999997</v>
      </c>
      <c r="J343" s="10">
        <f>41.772 * CHOOSE(CONTROL!$C$9, $D$9, 100%, $F$9) + CHOOSE(CONTROL!$C$27, 0.0021, 0)</f>
        <v>41.774099999999997</v>
      </c>
      <c r="K343" s="10">
        <f>41.772 * CHOOSE(CONTROL!$C$9, $D$9, 100%, $F$9) + CHOOSE(CONTROL!$C$27, 0.0021, 0)</f>
        <v>41.774099999999997</v>
      </c>
      <c r="L343" s="10"/>
    </row>
    <row r="344" spans="1:12" ht="15.75" x14ac:dyDescent="0.25">
      <c r="A344" s="14">
        <v>51409</v>
      </c>
      <c r="B344" s="10">
        <f>43.0158 * CHOOSE(CONTROL!$C$9, $D$9, 100%, $F$9) + CHOOSE(CONTROL!$C$27, 0.0021, 0)</f>
        <v>43.017899999999997</v>
      </c>
      <c r="C344" s="10">
        <f>42.5836 * CHOOSE(CONTROL!$C$9, $D$9, 100%, $F$9) + CHOOSE(CONTROL!$C$27, 0.0021, 0)</f>
        <v>42.585699999999996</v>
      </c>
      <c r="D344" s="10">
        <f>42.5836 * CHOOSE(CONTROL!$C$9, $D$9, 100%, $F$9) + CHOOSE(CONTROL!$C$27, 0.0021, 0)</f>
        <v>42.585699999999996</v>
      </c>
      <c r="E344" s="10">
        <f>42.4469 * CHOOSE(CONTROL!$C$9, $D$9, 100%, $F$9) + CHOOSE(CONTROL!$C$27, 0.0021, 0)</f>
        <v>42.448999999999998</v>
      </c>
      <c r="F344" s="10">
        <f>42.4469 * CHOOSE(CONTROL!$C$9, $D$9, 100%, $F$9) + CHOOSE(CONTROL!$C$27, 0.0021, 0)</f>
        <v>42.448999999999998</v>
      </c>
      <c r="G344" s="10">
        <f>42.7183 * CHOOSE(CONTROL!$C$9, $D$9, 100%, $F$9) + CHOOSE(CONTROL!$C$27, 0.0021, 0)</f>
        <v>42.720399999999998</v>
      </c>
      <c r="H344" s="10">
        <f>42.5836 * CHOOSE(CONTROL!$C$9, $D$9, 100%, $F$9) + CHOOSE(CONTROL!$C$27, 0.0021, 0)</f>
        <v>42.585699999999996</v>
      </c>
      <c r="I344" s="10">
        <f>42.5836 * CHOOSE(CONTROL!$C$9, $D$9, 100%, $F$9) + CHOOSE(CONTROL!$C$27, 0.0021, 0)</f>
        <v>42.585699999999996</v>
      </c>
      <c r="J344" s="10">
        <f>42.5836 * CHOOSE(CONTROL!$C$9, $D$9, 100%, $F$9) + CHOOSE(CONTROL!$C$27, 0.0021, 0)</f>
        <v>42.585699999999996</v>
      </c>
      <c r="K344" s="10">
        <f>42.5836 * CHOOSE(CONTROL!$C$9, $D$9, 100%, $F$9) + CHOOSE(CONTROL!$C$27, 0.0021, 0)</f>
        <v>42.585699999999996</v>
      </c>
      <c r="L344" s="10"/>
    </row>
    <row r="345" spans="1:12" ht="15.75" x14ac:dyDescent="0.25">
      <c r="A345" s="14">
        <v>51440</v>
      </c>
      <c r="B345" s="10">
        <f>44.0432 * CHOOSE(CONTROL!$C$9, $D$9, 100%, $F$9) + CHOOSE(CONTROL!$C$27, 0.0021, 0)</f>
        <v>44.045299999999997</v>
      </c>
      <c r="C345" s="10">
        <f>43.6109 * CHOOSE(CONTROL!$C$9, $D$9, 100%, $F$9) + CHOOSE(CONTROL!$C$27, 0.0021, 0)</f>
        <v>43.613</v>
      </c>
      <c r="D345" s="10">
        <f>43.6109 * CHOOSE(CONTROL!$C$9, $D$9, 100%, $F$9) + CHOOSE(CONTROL!$C$27, 0.0021, 0)</f>
        <v>43.613</v>
      </c>
      <c r="E345" s="10">
        <f>43.4743 * CHOOSE(CONTROL!$C$9, $D$9, 100%, $F$9) + CHOOSE(CONTROL!$C$27, 0.0021, 0)</f>
        <v>43.476399999999998</v>
      </c>
      <c r="F345" s="10">
        <f>43.4743 * CHOOSE(CONTROL!$C$9, $D$9, 100%, $F$9) + CHOOSE(CONTROL!$C$27, 0.0021, 0)</f>
        <v>43.476399999999998</v>
      </c>
      <c r="G345" s="10">
        <f>43.7457 * CHOOSE(CONTROL!$C$9, $D$9, 100%, $F$9) + CHOOSE(CONTROL!$C$27, 0.0021, 0)</f>
        <v>43.747799999999998</v>
      </c>
      <c r="H345" s="10">
        <f>43.6109 * CHOOSE(CONTROL!$C$9, $D$9, 100%, $F$9) + CHOOSE(CONTROL!$C$27, 0.0021, 0)</f>
        <v>43.613</v>
      </c>
      <c r="I345" s="10">
        <f>43.6109 * CHOOSE(CONTROL!$C$9, $D$9, 100%, $F$9) + CHOOSE(CONTROL!$C$27, 0.0021, 0)</f>
        <v>43.613</v>
      </c>
      <c r="J345" s="10">
        <f>43.6109 * CHOOSE(CONTROL!$C$9, $D$9, 100%, $F$9) + CHOOSE(CONTROL!$C$27, 0.0021, 0)</f>
        <v>43.613</v>
      </c>
      <c r="K345" s="10">
        <f>43.6109 * CHOOSE(CONTROL!$C$9, $D$9, 100%, $F$9) + CHOOSE(CONTROL!$C$27, 0.0021, 0)</f>
        <v>43.613</v>
      </c>
      <c r="L345" s="10"/>
    </row>
    <row r="346" spans="1:12" ht="15.75" x14ac:dyDescent="0.25">
      <c r="A346" s="14">
        <v>51470</v>
      </c>
      <c r="B346" s="10">
        <f>44.1396 * CHOOSE(CONTROL!$C$9, $D$9, 100%, $F$9) + CHOOSE(CONTROL!$C$27, 0.0021, 0)</f>
        <v>44.1417</v>
      </c>
      <c r="C346" s="10">
        <f>43.7074 * CHOOSE(CONTROL!$C$9, $D$9, 100%, $F$9) + CHOOSE(CONTROL!$C$27, 0.0021, 0)</f>
        <v>43.709499999999998</v>
      </c>
      <c r="D346" s="10">
        <f>43.7074 * CHOOSE(CONTROL!$C$9, $D$9, 100%, $F$9) + CHOOSE(CONTROL!$C$27, 0.0021, 0)</f>
        <v>43.709499999999998</v>
      </c>
      <c r="E346" s="10">
        <f>43.5707 * CHOOSE(CONTROL!$C$9, $D$9, 100%, $F$9) + CHOOSE(CONTROL!$C$27, 0.0021, 0)</f>
        <v>43.572800000000001</v>
      </c>
      <c r="F346" s="10">
        <f>43.5707 * CHOOSE(CONTROL!$C$9, $D$9, 100%, $F$9) + CHOOSE(CONTROL!$C$27, 0.0021, 0)</f>
        <v>43.572800000000001</v>
      </c>
      <c r="G346" s="10">
        <f>43.8421 * CHOOSE(CONTROL!$C$9, $D$9, 100%, $F$9) + CHOOSE(CONTROL!$C$27, 0.0021, 0)</f>
        <v>43.844200000000001</v>
      </c>
      <c r="H346" s="10">
        <f>43.7074 * CHOOSE(CONTROL!$C$9, $D$9, 100%, $F$9) + CHOOSE(CONTROL!$C$27, 0.0021, 0)</f>
        <v>43.709499999999998</v>
      </c>
      <c r="I346" s="10">
        <f>43.7074 * CHOOSE(CONTROL!$C$9, $D$9, 100%, $F$9) + CHOOSE(CONTROL!$C$27, 0.0021, 0)</f>
        <v>43.709499999999998</v>
      </c>
      <c r="J346" s="10">
        <f>43.7074 * CHOOSE(CONTROL!$C$9, $D$9, 100%, $F$9) + CHOOSE(CONTROL!$C$27, 0.0021, 0)</f>
        <v>43.709499999999998</v>
      </c>
      <c r="K346" s="10">
        <f>43.7074 * CHOOSE(CONTROL!$C$9, $D$9, 100%, $F$9) + CHOOSE(CONTROL!$C$27, 0.0021, 0)</f>
        <v>43.709499999999998</v>
      </c>
      <c r="L346" s="10"/>
    </row>
    <row r="347" spans="1:12" ht="15.75" x14ac:dyDescent="0.25">
      <c r="A347" s="14">
        <v>51501</v>
      </c>
      <c r="B347" s="10">
        <f>43.3191 * CHOOSE(CONTROL!$C$9, $D$9, 100%, $F$9) + CHOOSE(CONTROL!$C$27, 0.0021, 0)</f>
        <v>43.321199999999997</v>
      </c>
      <c r="C347" s="10">
        <f>42.8869 * CHOOSE(CONTROL!$C$9, $D$9, 100%, $F$9) + CHOOSE(CONTROL!$C$27, 0.0021, 0)</f>
        <v>42.888999999999996</v>
      </c>
      <c r="D347" s="10">
        <f>42.8869 * CHOOSE(CONTROL!$C$9, $D$9, 100%, $F$9) + CHOOSE(CONTROL!$C$27, 0.0021, 0)</f>
        <v>42.888999999999996</v>
      </c>
      <c r="E347" s="10">
        <f>42.7502 * CHOOSE(CONTROL!$C$9, $D$9, 100%, $F$9) + CHOOSE(CONTROL!$C$27, 0.0021, 0)</f>
        <v>42.752299999999998</v>
      </c>
      <c r="F347" s="10">
        <f>42.7502 * CHOOSE(CONTROL!$C$9, $D$9, 100%, $F$9) + CHOOSE(CONTROL!$C$27, 0.0021, 0)</f>
        <v>42.752299999999998</v>
      </c>
      <c r="G347" s="10">
        <f>43.0216 * CHOOSE(CONTROL!$C$9, $D$9, 100%, $F$9) + CHOOSE(CONTROL!$C$27, 0.0021, 0)</f>
        <v>43.023699999999998</v>
      </c>
      <c r="H347" s="10">
        <f>42.8869 * CHOOSE(CONTROL!$C$9, $D$9, 100%, $F$9) + CHOOSE(CONTROL!$C$27, 0.0021, 0)</f>
        <v>42.888999999999996</v>
      </c>
      <c r="I347" s="10">
        <f>42.8869 * CHOOSE(CONTROL!$C$9, $D$9, 100%, $F$9) + CHOOSE(CONTROL!$C$27, 0.0021, 0)</f>
        <v>42.888999999999996</v>
      </c>
      <c r="J347" s="10">
        <f>42.8869 * CHOOSE(CONTROL!$C$9, $D$9, 100%, $F$9) + CHOOSE(CONTROL!$C$27, 0.0021, 0)</f>
        <v>42.888999999999996</v>
      </c>
      <c r="K347" s="10">
        <f>42.8869 * CHOOSE(CONTROL!$C$9, $D$9, 100%, $F$9) + CHOOSE(CONTROL!$C$27, 0.0021, 0)</f>
        <v>42.888999999999996</v>
      </c>
      <c r="L347" s="10"/>
    </row>
    <row r="348" spans="1:12" ht="15.75" x14ac:dyDescent="0.25">
      <c r="A348" s="14">
        <v>51532</v>
      </c>
      <c r="B348" s="10">
        <f>42.7816 * CHOOSE(CONTROL!$C$9, $D$9, 100%, $F$9) + CHOOSE(CONTROL!$C$27, 0.0021, 0)</f>
        <v>42.783699999999996</v>
      </c>
      <c r="C348" s="10">
        <f>42.3493 * CHOOSE(CONTROL!$C$9, $D$9, 100%, $F$9) + CHOOSE(CONTROL!$C$27, 0.0021, 0)</f>
        <v>42.351399999999998</v>
      </c>
      <c r="D348" s="10">
        <f>42.3493 * CHOOSE(CONTROL!$C$9, $D$9, 100%, $F$9) + CHOOSE(CONTROL!$C$27, 0.0021, 0)</f>
        <v>42.351399999999998</v>
      </c>
      <c r="E348" s="10">
        <f>42.2127 * CHOOSE(CONTROL!$C$9, $D$9, 100%, $F$9) + CHOOSE(CONTROL!$C$27, 0.0021, 0)</f>
        <v>42.214799999999997</v>
      </c>
      <c r="F348" s="10">
        <f>42.2127 * CHOOSE(CONTROL!$C$9, $D$9, 100%, $F$9) + CHOOSE(CONTROL!$C$27, 0.0021, 0)</f>
        <v>42.214799999999997</v>
      </c>
      <c r="G348" s="10">
        <f>42.484 * CHOOSE(CONTROL!$C$9, $D$9, 100%, $F$9) + CHOOSE(CONTROL!$C$27, 0.0021, 0)</f>
        <v>42.4861</v>
      </c>
      <c r="H348" s="10">
        <f>42.3493 * CHOOSE(CONTROL!$C$9, $D$9, 100%, $F$9) + CHOOSE(CONTROL!$C$27, 0.0021, 0)</f>
        <v>42.351399999999998</v>
      </c>
      <c r="I348" s="10">
        <f>42.3493 * CHOOSE(CONTROL!$C$9, $D$9, 100%, $F$9) + CHOOSE(CONTROL!$C$27, 0.0021, 0)</f>
        <v>42.351399999999998</v>
      </c>
      <c r="J348" s="10">
        <f>42.3493 * CHOOSE(CONTROL!$C$9, $D$9, 100%, $F$9) + CHOOSE(CONTROL!$C$27, 0.0021, 0)</f>
        <v>42.351399999999998</v>
      </c>
      <c r="K348" s="10">
        <f>42.3493 * CHOOSE(CONTROL!$C$9, $D$9, 100%, $F$9) + CHOOSE(CONTROL!$C$27, 0.0021, 0)</f>
        <v>42.351399999999998</v>
      </c>
      <c r="L348" s="10"/>
    </row>
    <row r="349" spans="1:12" ht="15.75" x14ac:dyDescent="0.25">
      <c r="A349" s="14">
        <v>51560</v>
      </c>
      <c r="B349" s="10">
        <f>41.6363 * CHOOSE(CONTROL!$C$9, $D$9, 100%, $F$9) + CHOOSE(CONTROL!$C$27, 0.0021, 0)</f>
        <v>41.638399999999997</v>
      </c>
      <c r="C349" s="10">
        <f>41.2041 * CHOOSE(CONTROL!$C$9, $D$9, 100%, $F$9) + CHOOSE(CONTROL!$C$27, 0.0021, 0)</f>
        <v>41.206199999999995</v>
      </c>
      <c r="D349" s="10">
        <f>41.2041 * CHOOSE(CONTROL!$C$9, $D$9, 100%, $F$9) + CHOOSE(CONTROL!$C$27, 0.0021, 0)</f>
        <v>41.206199999999995</v>
      </c>
      <c r="E349" s="10">
        <f>41.0674 * CHOOSE(CONTROL!$C$9, $D$9, 100%, $F$9) + CHOOSE(CONTROL!$C$27, 0.0021, 0)</f>
        <v>41.069499999999998</v>
      </c>
      <c r="F349" s="10">
        <f>41.0674 * CHOOSE(CONTROL!$C$9, $D$9, 100%, $F$9) + CHOOSE(CONTROL!$C$27, 0.0021, 0)</f>
        <v>41.069499999999998</v>
      </c>
      <c r="G349" s="10">
        <f>41.3388 * CHOOSE(CONTROL!$C$9, $D$9, 100%, $F$9) + CHOOSE(CONTROL!$C$27, 0.0021, 0)</f>
        <v>41.340899999999998</v>
      </c>
      <c r="H349" s="10">
        <f>41.2041 * CHOOSE(CONTROL!$C$9, $D$9, 100%, $F$9) + CHOOSE(CONTROL!$C$27, 0.0021, 0)</f>
        <v>41.206199999999995</v>
      </c>
      <c r="I349" s="10">
        <f>41.2041 * CHOOSE(CONTROL!$C$9, $D$9, 100%, $F$9) + CHOOSE(CONTROL!$C$27, 0.0021, 0)</f>
        <v>41.206199999999995</v>
      </c>
      <c r="J349" s="10">
        <f>41.2041 * CHOOSE(CONTROL!$C$9, $D$9, 100%, $F$9) + CHOOSE(CONTROL!$C$27, 0.0021, 0)</f>
        <v>41.206199999999995</v>
      </c>
      <c r="K349" s="10">
        <f>41.2041 * CHOOSE(CONTROL!$C$9, $D$9, 100%, $F$9) + CHOOSE(CONTROL!$C$27, 0.0021, 0)</f>
        <v>41.206199999999995</v>
      </c>
      <c r="L349" s="10"/>
    </row>
    <row r="350" spans="1:12" ht="15.75" x14ac:dyDescent="0.25">
      <c r="A350" s="14">
        <v>51591</v>
      </c>
      <c r="B350" s="10">
        <f>41.1636 * CHOOSE(CONTROL!$C$9, $D$9, 100%, $F$9) + CHOOSE(CONTROL!$C$27, 0.0021, 0)</f>
        <v>41.165700000000001</v>
      </c>
      <c r="C350" s="10">
        <f>40.7313 * CHOOSE(CONTROL!$C$9, $D$9, 100%, $F$9) + CHOOSE(CONTROL!$C$27, 0.0021, 0)</f>
        <v>40.733399999999996</v>
      </c>
      <c r="D350" s="10">
        <f>40.7313 * CHOOSE(CONTROL!$C$9, $D$9, 100%, $F$9) + CHOOSE(CONTROL!$C$27, 0.0021, 0)</f>
        <v>40.733399999999996</v>
      </c>
      <c r="E350" s="10">
        <f>40.5946 * CHOOSE(CONTROL!$C$9, $D$9, 100%, $F$9) + CHOOSE(CONTROL!$C$27, 0.0021, 0)</f>
        <v>40.596699999999998</v>
      </c>
      <c r="F350" s="10">
        <f>40.5946 * CHOOSE(CONTROL!$C$9, $D$9, 100%, $F$9) + CHOOSE(CONTROL!$C$27, 0.0021, 0)</f>
        <v>40.596699999999998</v>
      </c>
      <c r="G350" s="10">
        <f>40.866 * CHOOSE(CONTROL!$C$9, $D$9, 100%, $F$9) + CHOOSE(CONTROL!$C$27, 0.0021, 0)</f>
        <v>40.868099999999998</v>
      </c>
      <c r="H350" s="10">
        <f>40.7313 * CHOOSE(CONTROL!$C$9, $D$9, 100%, $F$9) + CHOOSE(CONTROL!$C$27, 0.0021, 0)</f>
        <v>40.733399999999996</v>
      </c>
      <c r="I350" s="10">
        <f>40.7313 * CHOOSE(CONTROL!$C$9, $D$9, 100%, $F$9) + CHOOSE(CONTROL!$C$27, 0.0021, 0)</f>
        <v>40.733399999999996</v>
      </c>
      <c r="J350" s="10">
        <f>40.7313 * CHOOSE(CONTROL!$C$9, $D$9, 100%, $F$9) + CHOOSE(CONTROL!$C$27, 0.0021, 0)</f>
        <v>40.733399999999996</v>
      </c>
      <c r="K350" s="10">
        <f>40.7313 * CHOOSE(CONTROL!$C$9, $D$9, 100%, $F$9) + CHOOSE(CONTROL!$C$27, 0.0021, 0)</f>
        <v>40.733399999999996</v>
      </c>
      <c r="L350" s="10"/>
    </row>
    <row r="351" spans="1:12" ht="15.75" x14ac:dyDescent="0.25">
      <c r="A351" s="14">
        <v>51621</v>
      </c>
      <c r="B351" s="10">
        <f>40.5991 * CHOOSE(CONTROL!$C$9, $D$9, 100%, $F$9) + CHOOSE(CONTROL!$C$27, 0.0021, 0)</f>
        <v>40.601199999999999</v>
      </c>
      <c r="C351" s="10">
        <f>40.1668 * CHOOSE(CONTROL!$C$9, $D$9, 100%, $F$9) + CHOOSE(CONTROL!$C$27, 0.0021, 0)</f>
        <v>40.168900000000001</v>
      </c>
      <c r="D351" s="10">
        <f>40.1668 * CHOOSE(CONTROL!$C$9, $D$9, 100%, $F$9) + CHOOSE(CONTROL!$C$27, 0.0021, 0)</f>
        <v>40.168900000000001</v>
      </c>
      <c r="E351" s="10">
        <f>40.0302 * CHOOSE(CONTROL!$C$9, $D$9, 100%, $F$9) + CHOOSE(CONTROL!$C$27, 0.0021, 0)</f>
        <v>40.032299999999999</v>
      </c>
      <c r="F351" s="10">
        <f>40.0302 * CHOOSE(CONTROL!$C$9, $D$9, 100%, $F$9) + CHOOSE(CONTROL!$C$27, 0.0021, 0)</f>
        <v>40.032299999999999</v>
      </c>
      <c r="G351" s="10">
        <f>40.3015 * CHOOSE(CONTROL!$C$9, $D$9, 100%, $F$9) + CHOOSE(CONTROL!$C$27, 0.0021, 0)</f>
        <v>40.303599999999996</v>
      </c>
      <c r="H351" s="10">
        <f>40.1668 * CHOOSE(CONTROL!$C$9, $D$9, 100%, $F$9) + CHOOSE(CONTROL!$C$27, 0.0021, 0)</f>
        <v>40.168900000000001</v>
      </c>
      <c r="I351" s="10">
        <f>40.1668 * CHOOSE(CONTROL!$C$9, $D$9, 100%, $F$9) + CHOOSE(CONTROL!$C$27, 0.0021, 0)</f>
        <v>40.168900000000001</v>
      </c>
      <c r="J351" s="10">
        <f>40.1668 * CHOOSE(CONTROL!$C$9, $D$9, 100%, $F$9) + CHOOSE(CONTROL!$C$27, 0.0021, 0)</f>
        <v>40.168900000000001</v>
      </c>
      <c r="K351" s="10">
        <f>40.1668 * CHOOSE(CONTROL!$C$9, $D$9, 100%, $F$9) + CHOOSE(CONTROL!$C$27, 0.0021, 0)</f>
        <v>40.168900000000001</v>
      </c>
      <c r="L351" s="10"/>
    </row>
    <row r="352" spans="1:12" ht="15.75" x14ac:dyDescent="0.25">
      <c r="A352" s="14">
        <v>51652</v>
      </c>
      <c r="B352" s="10">
        <f>41.4035 * CHOOSE(CONTROL!$C$9, $D$9, 100%, $F$9) + CHOOSE(CONTROL!$C$27, 0.0021, 0)</f>
        <v>41.4056</v>
      </c>
      <c r="C352" s="10">
        <f>40.9713 * CHOOSE(CONTROL!$C$9, $D$9, 100%, $F$9) + CHOOSE(CONTROL!$C$27, 0.0021, 0)</f>
        <v>40.973399999999998</v>
      </c>
      <c r="D352" s="10">
        <f>40.9713 * CHOOSE(CONTROL!$C$9, $D$9, 100%, $F$9) + CHOOSE(CONTROL!$C$27, 0.0021, 0)</f>
        <v>40.973399999999998</v>
      </c>
      <c r="E352" s="10">
        <f>40.8346 * CHOOSE(CONTROL!$C$9, $D$9, 100%, $F$9) + CHOOSE(CONTROL!$C$27, 0.0021, 0)</f>
        <v>40.8367</v>
      </c>
      <c r="F352" s="10">
        <f>40.8346 * CHOOSE(CONTROL!$C$9, $D$9, 100%, $F$9) + CHOOSE(CONTROL!$C$27, 0.0021, 0)</f>
        <v>40.8367</v>
      </c>
      <c r="G352" s="10">
        <f>41.106 * CHOOSE(CONTROL!$C$9, $D$9, 100%, $F$9) + CHOOSE(CONTROL!$C$27, 0.0021, 0)</f>
        <v>41.1081</v>
      </c>
      <c r="H352" s="10">
        <f>40.9713 * CHOOSE(CONTROL!$C$9, $D$9, 100%, $F$9) + CHOOSE(CONTROL!$C$27, 0.0021, 0)</f>
        <v>40.973399999999998</v>
      </c>
      <c r="I352" s="10">
        <f>40.9713 * CHOOSE(CONTROL!$C$9, $D$9, 100%, $F$9) + CHOOSE(CONTROL!$C$27, 0.0021, 0)</f>
        <v>40.973399999999998</v>
      </c>
      <c r="J352" s="10">
        <f>40.9713 * CHOOSE(CONTROL!$C$9, $D$9, 100%, $F$9) + CHOOSE(CONTROL!$C$27, 0.0021, 0)</f>
        <v>40.973399999999998</v>
      </c>
      <c r="K352" s="10">
        <f>40.9713 * CHOOSE(CONTROL!$C$9, $D$9, 100%, $F$9) + CHOOSE(CONTROL!$C$27, 0.0021, 0)</f>
        <v>40.973399999999998</v>
      </c>
      <c r="L352" s="10"/>
    </row>
    <row r="353" spans="1:12" ht="15.75" x14ac:dyDescent="0.25">
      <c r="A353" s="14">
        <v>51682</v>
      </c>
      <c r="B353" s="10">
        <f>41.8854 * CHOOSE(CONTROL!$C$9, $D$9, 100%, $F$9) + CHOOSE(CONTROL!$C$27, 0.0021, 0)</f>
        <v>41.887499999999996</v>
      </c>
      <c r="C353" s="10">
        <f>41.4531 * CHOOSE(CONTROL!$C$9, $D$9, 100%, $F$9) + CHOOSE(CONTROL!$C$27, 0.0021, 0)</f>
        <v>41.455199999999998</v>
      </c>
      <c r="D353" s="10">
        <f>41.4531 * CHOOSE(CONTROL!$C$9, $D$9, 100%, $F$9) + CHOOSE(CONTROL!$C$27, 0.0021, 0)</f>
        <v>41.455199999999998</v>
      </c>
      <c r="E353" s="10">
        <f>41.3165 * CHOOSE(CONTROL!$C$9, $D$9, 100%, $F$9) + CHOOSE(CONTROL!$C$27, 0.0021, 0)</f>
        <v>41.318599999999996</v>
      </c>
      <c r="F353" s="10">
        <f>41.3165 * CHOOSE(CONTROL!$C$9, $D$9, 100%, $F$9) + CHOOSE(CONTROL!$C$27, 0.0021, 0)</f>
        <v>41.318599999999996</v>
      </c>
      <c r="G353" s="10">
        <f>41.5878 * CHOOSE(CONTROL!$C$9, $D$9, 100%, $F$9) + CHOOSE(CONTROL!$C$27, 0.0021, 0)</f>
        <v>41.5899</v>
      </c>
      <c r="H353" s="10">
        <f>41.4531 * CHOOSE(CONTROL!$C$9, $D$9, 100%, $F$9) + CHOOSE(CONTROL!$C$27, 0.0021, 0)</f>
        <v>41.455199999999998</v>
      </c>
      <c r="I353" s="10">
        <f>41.4531 * CHOOSE(CONTROL!$C$9, $D$9, 100%, $F$9) + CHOOSE(CONTROL!$C$27, 0.0021, 0)</f>
        <v>41.455199999999998</v>
      </c>
      <c r="J353" s="10">
        <f>41.4531 * CHOOSE(CONTROL!$C$9, $D$9, 100%, $F$9) + CHOOSE(CONTROL!$C$27, 0.0021, 0)</f>
        <v>41.455199999999998</v>
      </c>
      <c r="K353" s="10">
        <f>41.4531 * CHOOSE(CONTROL!$C$9, $D$9, 100%, $F$9) + CHOOSE(CONTROL!$C$27, 0.0021, 0)</f>
        <v>41.455199999999998</v>
      </c>
      <c r="L353" s="10"/>
    </row>
    <row r="354" spans="1:12" ht="15.75" x14ac:dyDescent="0.25">
      <c r="A354" s="14">
        <v>51713</v>
      </c>
      <c r="B354" s="10">
        <f>42.6802 * CHOOSE(CONTROL!$C$9, $D$9, 100%, $F$9) + CHOOSE(CONTROL!$C$27, 0.0021, 0)</f>
        <v>42.682299999999998</v>
      </c>
      <c r="C354" s="10">
        <f>42.248 * CHOOSE(CONTROL!$C$9, $D$9, 100%, $F$9) + CHOOSE(CONTROL!$C$27, 0.0021, 0)</f>
        <v>42.250099999999996</v>
      </c>
      <c r="D354" s="10">
        <f>42.248 * CHOOSE(CONTROL!$C$9, $D$9, 100%, $F$9) + CHOOSE(CONTROL!$C$27, 0.0021, 0)</f>
        <v>42.250099999999996</v>
      </c>
      <c r="E354" s="10">
        <f>42.1113 * CHOOSE(CONTROL!$C$9, $D$9, 100%, $F$9) + CHOOSE(CONTROL!$C$27, 0.0021, 0)</f>
        <v>42.113399999999999</v>
      </c>
      <c r="F354" s="10">
        <f>42.1113 * CHOOSE(CONTROL!$C$9, $D$9, 100%, $F$9) + CHOOSE(CONTROL!$C$27, 0.0021, 0)</f>
        <v>42.113399999999999</v>
      </c>
      <c r="G354" s="10">
        <f>42.3827 * CHOOSE(CONTROL!$C$9, $D$9, 100%, $F$9) + CHOOSE(CONTROL!$C$27, 0.0021, 0)</f>
        <v>42.384799999999998</v>
      </c>
      <c r="H354" s="10">
        <f>42.248 * CHOOSE(CONTROL!$C$9, $D$9, 100%, $F$9) + CHOOSE(CONTROL!$C$27, 0.0021, 0)</f>
        <v>42.250099999999996</v>
      </c>
      <c r="I354" s="10">
        <f>42.248 * CHOOSE(CONTROL!$C$9, $D$9, 100%, $F$9) + CHOOSE(CONTROL!$C$27, 0.0021, 0)</f>
        <v>42.250099999999996</v>
      </c>
      <c r="J354" s="10">
        <f>42.248 * CHOOSE(CONTROL!$C$9, $D$9, 100%, $F$9) + CHOOSE(CONTROL!$C$27, 0.0021, 0)</f>
        <v>42.250099999999996</v>
      </c>
      <c r="K354" s="10">
        <f>42.248 * CHOOSE(CONTROL!$C$9, $D$9, 100%, $F$9) + CHOOSE(CONTROL!$C$27, 0.0021, 0)</f>
        <v>42.250099999999996</v>
      </c>
      <c r="L354" s="10"/>
    </row>
    <row r="355" spans="1:12" ht="15.75" x14ac:dyDescent="0.25">
      <c r="A355" s="14">
        <v>51744</v>
      </c>
      <c r="B355" s="10">
        <f>42.9228 * CHOOSE(CONTROL!$C$9, $D$9, 100%, $F$9) + CHOOSE(CONTROL!$C$27, 0.0021, 0)</f>
        <v>42.924900000000001</v>
      </c>
      <c r="C355" s="10">
        <f>42.4906 * CHOOSE(CONTROL!$C$9, $D$9, 100%, $F$9) + CHOOSE(CONTROL!$C$27, 0.0021, 0)</f>
        <v>42.492699999999999</v>
      </c>
      <c r="D355" s="10">
        <f>42.4906 * CHOOSE(CONTROL!$C$9, $D$9, 100%, $F$9) + CHOOSE(CONTROL!$C$27, 0.0021, 0)</f>
        <v>42.492699999999999</v>
      </c>
      <c r="E355" s="10">
        <f>42.3539 * CHOOSE(CONTROL!$C$9, $D$9, 100%, $F$9) + CHOOSE(CONTROL!$C$27, 0.0021, 0)</f>
        <v>42.356000000000002</v>
      </c>
      <c r="F355" s="10">
        <f>42.3539 * CHOOSE(CONTROL!$C$9, $D$9, 100%, $F$9) + CHOOSE(CONTROL!$C$27, 0.0021, 0)</f>
        <v>42.356000000000002</v>
      </c>
      <c r="G355" s="10">
        <f>42.6253 * CHOOSE(CONTROL!$C$9, $D$9, 100%, $F$9) + CHOOSE(CONTROL!$C$27, 0.0021, 0)</f>
        <v>42.627400000000002</v>
      </c>
      <c r="H355" s="10">
        <f>42.4906 * CHOOSE(CONTROL!$C$9, $D$9, 100%, $F$9) + CHOOSE(CONTROL!$C$27, 0.0021, 0)</f>
        <v>42.492699999999999</v>
      </c>
      <c r="I355" s="10">
        <f>42.4906 * CHOOSE(CONTROL!$C$9, $D$9, 100%, $F$9) + CHOOSE(CONTROL!$C$27, 0.0021, 0)</f>
        <v>42.492699999999999</v>
      </c>
      <c r="J355" s="10">
        <f>42.4906 * CHOOSE(CONTROL!$C$9, $D$9, 100%, $F$9) + CHOOSE(CONTROL!$C$27, 0.0021, 0)</f>
        <v>42.492699999999999</v>
      </c>
      <c r="K355" s="10">
        <f>42.4906 * CHOOSE(CONTROL!$C$9, $D$9, 100%, $F$9) + CHOOSE(CONTROL!$C$27, 0.0021, 0)</f>
        <v>42.492699999999999</v>
      </c>
      <c r="L355" s="10"/>
    </row>
    <row r="356" spans="1:12" ht="15.75" x14ac:dyDescent="0.25">
      <c r="A356" s="14">
        <v>51774</v>
      </c>
      <c r="B356" s="10">
        <f>43.7491 * CHOOSE(CONTROL!$C$9, $D$9, 100%, $F$9) + CHOOSE(CONTROL!$C$27, 0.0021, 0)</f>
        <v>43.751199999999997</v>
      </c>
      <c r="C356" s="10">
        <f>43.3168 * CHOOSE(CONTROL!$C$9, $D$9, 100%, $F$9) + CHOOSE(CONTROL!$C$27, 0.0021, 0)</f>
        <v>43.318899999999999</v>
      </c>
      <c r="D356" s="10">
        <f>43.3168 * CHOOSE(CONTROL!$C$9, $D$9, 100%, $F$9) + CHOOSE(CONTROL!$C$27, 0.0021, 0)</f>
        <v>43.318899999999999</v>
      </c>
      <c r="E356" s="10">
        <f>43.1801 * CHOOSE(CONTROL!$C$9, $D$9, 100%, $F$9) + CHOOSE(CONTROL!$C$27, 0.0021, 0)</f>
        <v>43.182200000000002</v>
      </c>
      <c r="F356" s="10">
        <f>43.1801 * CHOOSE(CONTROL!$C$9, $D$9, 100%, $F$9) + CHOOSE(CONTROL!$C$27, 0.0021, 0)</f>
        <v>43.182200000000002</v>
      </c>
      <c r="G356" s="10">
        <f>43.4515 * CHOOSE(CONTROL!$C$9, $D$9, 100%, $F$9) + CHOOSE(CONTROL!$C$27, 0.0021, 0)</f>
        <v>43.453600000000002</v>
      </c>
      <c r="H356" s="10">
        <f>43.3168 * CHOOSE(CONTROL!$C$9, $D$9, 100%, $F$9) + CHOOSE(CONTROL!$C$27, 0.0021, 0)</f>
        <v>43.318899999999999</v>
      </c>
      <c r="I356" s="10">
        <f>43.3168 * CHOOSE(CONTROL!$C$9, $D$9, 100%, $F$9) + CHOOSE(CONTROL!$C$27, 0.0021, 0)</f>
        <v>43.318899999999999</v>
      </c>
      <c r="J356" s="10">
        <f>43.3168 * CHOOSE(CONTROL!$C$9, $D$9, 100%, $F$9) + CHOOSE(CONTROL!$C$27, 0.0021, 0)</f>
        <v>43.318899999999999</v>
      </c>
      <c r="K356" s="10">
        <f>43.3168 * CHOOSE(CONTROL!$C$9, $D$9, 100%, $F$9) + CHOOSE(CONTROL!$C$27, 0.0021, 0)</f>
        <v>43.318899999999999</v>
      </c>
      <c r="L356" s="10"/>
    </row>
    <row r="357" spans="1:12" ht="15.75" x14ac:dyDescent="0.25">
      <c r="A357" s="14">
        <v>51805</v>
      </c>
      <c r="B357" s="10">
        <f>44.7949 * CHOOSE(CONTROL!$C$9, $D$9, 100%, $F$9) + CHOOSE(CONTROL!$C$27, 0.0021, 0)</f>
        <v>44.796999999999997</v>
      </c>
      <c r="C357" s="10">
        <f>44.3627 * CHOOSE(CONTROL!$C$9, $D$9, 100%, $F$9) + CHOOSE(CONTROL!$C$27, 0.0021, 0)</f>
        <v>44.364799999999995</v>
      </c>
      <c r="D357" s="10">
        <f>44.3627 * CHOOSE(CONTROL!$C$9, $D$9, 100%, $F$9) + CHOOSE(CONTROL!$C$27, 0.0021, 0)</f>
        <v>44.364799999999995</v>
      </c>
      <c r="E357" s="10">
        <f>44.226 * CHOOSE(CONTROL!$C$9, $D$9, 100%, $F$9) + CHOOSE(CONTROL!$C$27, 0.0021, 0)</f>
        <v>44.228099999999998</v>
      </c>
      <c r="F357" s="10">
        <f>44.226 * CHOOSE(CONTROL!$C$9, $D$9, 100%, $F$9) + CHOOSE(CONTROL!$C$27, 0.0021, 0)</f>
        <v>44.228099999999998</v>
      </c>
      <c r="G357" s="10">
        <f>44.4974 * CHOOSE(CONTROL!$C$9, $D$9, 100%, $F$9) + CHOOSE(CONTROL!$C$27, 0.0021, 0)</f>
        <v>44.499499999999998</v>
      </c>
      <c r="H357" s="10">
        <f>44.3627 * CHOOSE(CONTROL!$C$9, $D$9, 100%, $F$9) + CHOOSE(CONTROL!$C$27, 0.0021, 0)</f>
        <v>44.364799999999995</v>
      </c>
      <c r="I357" s="10">
        <f>44.3627 * CHOOSE(CONTROL!$C$9, $D$9, 100%, $F$9) + CHOOSE(CONTROL!$C$27, 0.0021, 0)</f>
        <v>44.364799999999995</v>
      </c>
      <c r="J357" s="10">
        <f>44.3627 * CHOOSE(CONTROL!$C$9, $D$9, 100%, $F$9) + CHOOSE(CONTROL!$C$27, 0.0021, 0)</f>
        <v>44.364799999999995</v>
      </c>
      <c r="K357" s="10">
        <f>44.3627 * CHOOSE(CONTROL!$C$9, $D$9, 100%, $F$9) + CHOOSE(CONTROL!$C$27, 0.0021, 0)</f>
        <v>44.364799999999995</v>
      </c>
      <c r="L357" s="10"/>
    </row>
    <row r="358" spans="1:12" ht="15.75" x14ac:dyDescent="0.25">
      <c r="A358" s="14">
        <v>51835</v>
      </c>
      <c r="B358" s="10">
        <f>44.8931 * CHOOSE(CONTROL!$C$9, $D$9, 100%, $F$9) + CHOOSE(CONTROL!$C$27, 0.0021, 0)</f>
        <v>44.895199999999996</v>
      </c>
      <c r="C358" s="10">
        <f>44.4608 * CHOOSE(CONTROL!$C$9, $D$9, 100%, $F$9) + CHOOSE(CONTROL!$C$27, 0.0021, 0)</f>
        <v>44.462899999999998</v>
      </c>
      <c r="D358" s="10">
        <f>44.4608 * CHOOSE(CONTROL!$C$9, $D$9, 100%, $F$9) + CHOOSE(CONTROL!$C$27, 0.0021, 0)</f>
        <v>44.462899999999998</v>
      </c>
      <c r="E358" s="10">
        <f>44.3242 * CHOOSE(CONTROL!$C$9, $D$9, 100%, $F$9) + CHOOSE(CONTROL!$C$27, 0.0021, 0)</f>
        <v>44.326299999999996</v>
      </c>
      <c r="F358" s="10">
        <f>44.3242 * CHOOSE(CONTROL!$C$9, $D$9, 100%, $F$9) + CHOOSE(CONTROL!$C$27, 0.0021, 0)</f>
        <v>44.326299999999996</v>
      </c>
      <c r="G358" s="10">
        <f>44.5956 * CHOOSE(CONTROL!$C$9, $D$9, 100%, $F$9) + CHOOSE(CONTROL!$C$27, 0.0021, 0)</f>
        <v>44.597699999999996</v>
      </c>
      <c r="H358" s="10">
        <f>44.4608 * CHOOSE(CONTROL!$C$9, $D$9, 100%, $F$9) + CHOOSE(CONTROL!$C$27, 0.0021, 0)</f>
        <v>44.462899999999998</v>
      </c>
      <c r="I358" s="10">
        <f>44.4608 * CHOOSE(CONTROL!$C$9, $D$9, 100%, $F$9) + CHOOSE(CONTROL!$C$27, 0.0021, 0)</f>
        <v>44.462899999999998</v>
      </c>
      <c r="J358" s="10">
        <f>44.4608 * CHOOSE(CONTROL!$C$9, $D$9, 100%, $F$9) + CHOOSE(CONTROL!$C$27, 0.0021, 0)</f>
        <v>44.462899999999998</v>
      </c>
      <c r="K358" s="10">
        <f>44.4608 * CHOOSE(CONTROL!$C$9, $D$9, 100%, $F$9) + CHOOSE(CONTROL!$C$27, 0.0021, 0)</f>
        <v>44.462899999999998</v>
      </c>
      <c r="L358" s="10"/>
    </row>
    <row r="359" spans="1:12" ht="15.75" x14ac:dyDescent="0.25">
      <c r="A359" s="14">
        <v>51866</v>
      </c>
      <c r="B359" s="10">
        <f>44.0578 * CHOOSE(CONTROL!$C$9, $D$9, 100%, $F$9) + CHOOSE(CONTROL!$C$27, 0.0021, 0)</f>
        <v>44.059899999999999</v>
      </c>
      <c r="C359" s="10">
        <f>43.6255 * CHOOSE(CONTROL!$C$9, $D$9, 100%, $F$9) + CHOOSE(CONTROL!$C$27, 0.0021, 0)</f>
        <v>43.627600000000001</v>
      </c>
      <c r="D359" s="10">
        <f>43.6255 * CHOOSE(CONTROL!$C$9, $D$9, 100%, $F$9) + CHOOSE(CONTROL!$C$27, 0.0021, 0)</f>
        <v>43.627600000000001</v>
      </c>
      <c r="E359" s="10">
        <f>43.4889 * CHOOSE(CONTROL!$C$9, $D$9, 100%, $F$9) + CHOOSE(CONTROL!$C$27, 0.0021, 0)</f>
        <v>43.491</v>
      </c>
      <c r="F359" s="10">
        <f>43.4889 * CHOOSE(CONTROL!$C$9, $D$9, 100%, $F$9) + CHOOSE(CONTROL!$C$27, 0.0021, 0)</f>
        <v>43.491</v>
      </c>
      <c r="G359" s="10">
        <f>43.7603 * CHOOSE(CONTROL!$C$9, $D$9, 100%, $F$9) + CHOOSE(CONTROL!$C$27, 0.0021, 0)</f>
        <v>43.7624</v>
      </c>
      <c r="H359" s="10">
        <f>43.6255 * CHOOSE(CONTROL!$C$9, $D$9, 100%, $F$9) + CHOOSE(CONTROL!$C$27, 0.0021, 0)</f>
        <v>43.627600000000001</v>
      </c>
      <c r="I359" s="10">
        <f>43.6255 * CHOOSE(CONTROL!$C$9, $D$9, 100%, $F$9) + CHOOSE(CONTROL!$C$27, 0.0021, 0)</f>
        <v>43.627600000000001</v>
      </c>
      <c r="J359" s="10">
        <f>43.6255 * CHOOSE(CONTROL!$C$9, $D$9, 100%, $F$9) + CHOOSE(CONTROL!$C$27, 0.0021, 0)</f>
        <v>43.627600000000001</v>
      </c>
      <c r="K359" s="10">
        <f>43.6255 * CHOOSE(CONTROL!$C$9, $D$9, 100%, $F$9) + CHOOSE(CONTROL!$C$27, 0.0021, 0)</f>
        <v>43.627600000000001</v>
      </c>
      <c r="L359" s="10"/>
    </row>
    <row r="360" spans="1:12" ht="15.75" x14ac:dyDescent="0.25">
      <c r="A360" s="14">
        <v>51897</v>
      </c>
      <c r="B360" s="10">
        <f>43.5106 * CHOOSE(CONTROL!$C$9, $D$9, 100%, $F$9) + CHOOSE(CONTROL!$C$27, 0.0021, 0)</f>
        <v>43.512699999999995</v>
      </c>
      <c r="C360" s="10">
        <f>43.0783 * CHOOSE(CONTROL!$C$9, $D$9, 100%, $F$9) + CHOOSE(CONTROL!$C$27, 0.0021, 0)</f>
        <v>43.080399999999997</v>
      </c>
      <c r="D360" s="10">
        <f>43.0783 * CHOOSE(CONTROL!$C$9, $D$9, 100%, $F$9) + CHOOSE(CONTROL!$C$27, 0.0021, 0)</f>
        <v>43.080399999999997</v>
      </c>
      <c r="E360" s="10">
        <f>42.9417 * CHOOSE(CONTROL!$C$9, $D$9, 100%, $F$9) + CHOOSE(CONTROL!$C$27, 0.0021, 0)</f>
        <v>42.943799999999996</v>
      </c>
      <c r="F360" s="10">
        <f>42.9417 * CHOOSE(CONTROL!$C$9, $D$9, 100%, $F$9) + CHOOSE(CONTROL!$C$27, 0.0021, 0)</f>
        <v>42.943799999999996</v>
      </c>
      <c r="G360" s="10">
        <f>43.213 * CHOOSE(CONTROL!$C$9, $D$9, 100%, $F$9) + CHOOSE(CONTROL!$C$27, 0.0021, 0)</f>
        <v>43.2151</v>
      </c>
      <c r="H360" s="10">
        <f>43.0783 * CHOOSE(CONTROL!$C$9, $D$9, 100%, $F$9) + CHOOSE(CONTROL!$C$27, 0.0021, 0)</f>
        <v>43.080399999999997</v>
      </c>
      <c r="I360" s="10">
        <f>43.0783 * CHOOSE(CONTROL!$C$9, $D$9, 100%, $F$9) + CHOOSE(CONTROL!$C$27, 0.0021, 0)</f>
        <v>43.080399999999997</v>
      </c>
      <c r="J360" s="10">
        <f>43.0783 * CHOOSE(CONTROL!$C$9, $D$9, 100%, $F$9) + CHOOSE(CONTROL!$C$27, 0.0021, 0)</f>
        <v>43.080399999999997</v>
      </c>
      <c r="K360" s="10">
        <f>43.0783 * CHOOSE(CONTROL!$C$9, $D$9, 100%, $F$9) + CHOOSE(CONTROL!$C$27, 0.0021, 0)</f>
        <v>43.080399999999997</v>
      </c>
      <c r="L360" s="10"/>
    </row>
    <row r="361" spans="1:12" ht="15.75" x14ac:dyDescent="0.25">
      <c r="A361" s="14">
        <v>51925</v>
      </c>
      <c r="B361" s="10">
        <f>42.3447 * CHOOSE(CONTROL!$C$9, $D$9, 100%, $F$9) + CHOOSE(CONTROL!$C$27, 0.0021, 0)</f>
        <v>42.346800000000002</v>
      </c>
      <c r="C361" s="10">
        <f>41.9124 * CHOOSE(CONTROL!$C$9, $D$9, 100%, $F$9) + CHOOSE(CONTROL!$C$27, 0.0021, 0)</f>
        <v>41.914499999999997</v>
      </c>
      <c r="D361" s="10">
        <f>41.9124 * CHOOSE(CONTROL!$C$9, $D$9, 100%, $F$9) + CHOOSE(CONTROL!$C$27, 0.0021, 0)</f>
        <v>41.914499999999997</v>
      </c>
      <c r="E361" s="10">
        <f>41.7758 * CHOOSE(CONTROL!$C$9, $D$9, 100%, $F$9) + CHOOSE(CONTROL!$C$27, 0.0021, 0)</f>
        <v>41.777899999999995</v>
      </c>
      <c r="F361" s="10">
        <f>41.7758 * CHOOSE(CONTROL!$C$9, $D$9, 100%, $F$9) + CHOOSE(CONTROL!$C$27, 0.0021, 0)</f>
        <v>41.777899999999995</v>
      </c>
      <c r="G361" s="10">
        <f>42.0472 * CHOOSE(CONTROL!$C$9, $D$9, 100%, $F$9) + CHOOSE(CONTROL!$C$27, 0.0021, 0)</f>
        <v>42.049299999999995</v>
      </c>
      <c r="H361" s="10">
        <f>41.9124 * CHOOSE(CONTROL!$C$9, $D$9, 100%, $F$9) + CHOOSE(CONTROL!$C$27, 0.0021, 0)</f>
        <v>41.914499999999997</v>
      </c>
      <c r="I361" s="10">
        <f>41.9124 * CHOOSE(CONTROL!$C$9, $D$9, 100%, $F$9) + CHOOSE(CONTROL!$C$27, 0.0021, 0)</f>
        <v>41.914499999999997</v>
      </c>
      <c r="J361" s="10">
        <f>41.9124 * CHOOSE(CONTROL!$C$9, $D$9, 100%, $F$9) + CHOOSE(CONTROL!$C$27, 0.0021, 0)</f>
        <v>41.914499999999997</v>
      </c>
      <c r="K361" s="10">
        <f>41.9124 * CHOOSE(CONTROL!$C$9, $D$9, 100%, $F$9) + CHOOSE(CONTROL!$C$27, 0.0021, 0)</f>
        <v>41.914499999999997</v>
      </c>
      <c r="L361" s="10"/>
    </row>
    <row r="362" spans="1:12" ht="15.75" x14ac:dyDescent="0.25">
      <c r="A362" s="14">
        <v>51956</v>
      </c>
      <c r="B362" s="10">
        <f>41.8634 * CHOOSE(CONTROL!$C$9, $D$9, 100%, $F$9) + CHOOSE(CONTROL!$C$27, 0.0021, 0)</f>
        <v>41.865499999999997</v>
      </c>
      <c r="C362" s="10">
        <f>41.4312 * CHOOSE(CONTROL!$C$9, $D$9, 100%, $F$9) + CHOOSE(CONTROL!$C$27, 0.0021, 0)</f>
        <v>41.433299999999996</v>
      </c>
      <c r="D362" s="10">
        <f>41.4312 * CHOOSE(CONTROL!$C$9, $D$9, 100%, $F$9) + CHOOSE(CONTROL!$C$27, 0.0021, 0)</f>
        <v>41.433299999999996</v>
      </c>
      <c r="E362" s="10">
        <f>41.2945 * CHOOSE(CONTROL!$C$9, $D$9, 100%, $F$9) + CHOOSE(CONTROL!$C$27, 0.0021, 0)</f>
        <v>41.296599999999998</v>
      </c>
      <c r="F362" s="10">
        <f>41.2945 * CHOOSE(CONTROL!$C$9, $D$9, 100%, $F$9) + CHOOSE(CONTROL!$C$27, 0.0021, 0)</f>
        <v>41.296599999999998</v>
      </c>
      <c r="G362" s="10">
        <f>41.5659 * CHOOSE(CONTROL!$C$9, $D$9, 100%, $F$9) + CHOOSE(CONTROL!$C$27, 0.0021, 0)</f>
        <v>41.567999999999998</v>
      </c>
      <c r="H362" s="10">
        <f>41.4312 * CHOOSE(CONTROL!$C$9, $D$9, 100%, $F$9) + CHOOSE(CONTROL!$C$27, 0.0021, 0)</f>
        <v>41.433299999999996</v>
      </c>
      <c r="I362" s="10">
        <f>41.4312 * CHOOSE(CONTROL!$C$9, $D$9, 100%, $F$9) + CHOOSE(CONTROL!$C$27, 0.0021, 0)</f>
        <v>41.433299999999996</v>
      </c>
      <c r="J362" s="10">
        <f>41.4312 * CHOOSE(CONTROL!$C$9, $D$9, 100%, $F$9) + CHOOSE(CONTROL!$C$27, 0.0021, 0)</f>
        <v>41.433299999999996</v>
      </c>
      <c r="K362" s="10">
        <f>41.4312 * CHOOSE(CONTROL!$C$9, $D$9, 100%, $F$9) + CHOOSE(CONTROL!$C$27, 0.0021, 0)</f>
        <v>41.433299999999996</v>
      </c>
      <c r="L362" s="10"/>
    </row>
    <row r="363" spans="1:12" ht="15.75" x14ac:dyDescent="0.25">
      <c r="A363" s="14">
        <v>51986</v>
      </c>
      <c r="B363" s="10">
        <f>41.2888 * CHOOSE(CONTROL!$C$9, $D$9, 100%, $F$9) + CHOOSE(CONTROL!$C$27, 0.0021, 0)</f>
        <v>41.290900000000001</v>
      </c>
      <c r="C363" s="10">
        <f>40.8565 * CHOOSE(CONTROL!$C$9, $D$9, 100%, $F$9) + CHOOSE(CONTROL!$C$27, 0.0021, 0)</f>
        <v>40.858599999999996</v>
      </c>
      <c r="D363" s="10">
        <f>40.8565 * CHOOSE(CONTROL!$C$9, $D$9, 100%, $F$9) + CHOOSE(CONTROL!$C$27, 0.0021, 0)</f>
        <v>40.858599999999996</v>
      </c>
      <c r="E363" s="10">
        <f>40.7199 * CHOOSE(CONTROL!$C$9, $D$9, 100%, $F$9) + CHOOSE(CONTROL!$C$27, 0.0021, 0)</f>
        <v>40.722000000000001</v>
      </c>
      <c r="F363" s="10">
        <f>40.7199 * CHOOSE(CONTROL!$C$9, $D$9, 100%, $F$9) + CHOOSE(CONTROL!$C$27, 0.0021, 0)</f>
        <v>40.722000000000001</v>
      </c>
      <c r="G363" s="10">
        <f>40.9912 * CHOOSE(CONTROL!$C$9, $D$9, 100%, $F$9) + CHOOSE(CONTROL!$C$27, 0.0021, 0)</f>
        <v>40.993299999999998</v>
      </c>
      <c r="H363" s="10">
        <f>40.8565 * CHOOSE(CONTROL!$C$9, $D$9, 100%, $F$9) + CHOOSE(CONTROL!$C$27, 0.0021, 0)</f>
        <v>40.858599999999996</v>
      </c>
      <c r="I363" s="10">
        <f>40.8565 * CHOOSE(CONTROL!$C$9, $D$9, 100%, $F$9) + CHOOSE(CONTROL!$C$27, 0.0021, 0)</f>
        <v>40.858599999999996</v>
      </c>
      <c r="J363" s="10">
        <f>40.8565 * CHOOSE(CONTROL!$C$9, $D$9, 100%, $F$9) + CHOOSE(CONTROL!$C$27, 0.0021, 0)</f>
        <v>40.858599999999996</v>
      </c>
      <c r="K363" s="10">
        <f>40.8565 * CHOOSE(CONTROL!$C$9, $D$9, 100%, $F$9) + CHOOSE(CONTROL!$C$27, 0.0021, 0)</f>
        <v>40.858599999999996</v>
      </c>
      <c r="L363" s="10"/>
    </row>
    <row r="364" spans="1:12" ht="15.75" x14ac:dyDescent="0.25">
      <c r="A364" s="14">
        <v>52017</v>
      </c>
      <c r="B364" s="10">
        <f>42.1077 * CHOOSE(CONTROL!$C$9, $D$9, 100%, $F$9) + CHOOSE(CONTROL!$C$27, 0.0021, 0)</f>
        <v>42.1098</v>
      </c>
      <c r="C364" s="10">
        <f>41.6755 * CHOOSE(CONTROL!$C$9, $D$9, 100%, $F$9) + CHOOSE(CONTROL!$C$27, 0.0021, 0)</f>
        <v>41.677599999999998</v>
      </c>
      <c r="D364" s="10">
        <f>41.6755 * CHOOSE(CONTROL!$C$9, $D$9, 100%, $F$9) + CHOOSE(CONTROL!$C$27, 0.0021, 0)</f>
        <v>41.677599999999998</v>
      </c>
      <c r="E364" s="10">
        <f>41.5388 * CHOOSE(CONTROL!$C$9, $D$9, 100%, $F$9) + CHOOSE(CONTROL!$C$27, 0.0021, 0)</f>
        <v>41.540900000000001</v>
      </c>
      <c r="F364" s="10">
        <f>41.5388 * CHOOSE(CONTROL!$C$9, $D$9, 100%, $F$9) + CHOOSE(CONTROL!$C$27, 0.0021, 0)</f>
        <v>41.540900000000001</v>
      </c>
      <c r="G364" s="10">
        <f>41.8102 * CHOOSE(CONTROL!$C$9, $D$9, 100%, $F$9) + CHOOSE(CONTROL!$C$27, 0.0021, 0)</f>
        <v>41.8123</v>
      </c>
      <c r="H364" s="10">
        <f>41.6755 * CHOOSE(CONTROL!$C$9, $D$9, 100%, $F$9) + CHOOSE(CONTROL!$C$27, 0.0021, 0)</f>
        <v>41.677599999999998</v>
      </c>
      <c r="I364" s="10">
        <f>41.6755 * CHOOSE(CONTROL!$C$9, $D$9, 100%, $F$9) + CHOOSE(CONTROL!$C$27, 0.0021, 0)</f>
        <v>41.677599999999998</v>
      </c>
      <c r="J364" s="10">
        <f>41.6755 * CHOOSE(CONTROL!$C$9, $D$9, 100%, $F$9) + CHOOSE(CONTROL!$C$27, 0.0021, 0)</f>
        <v>41.677599999999998</v>
      </c>
      <c r="K364" s="10">
        <f>41.6755 * CHOOSE(CONTROL!$C$9, $D$9, 100%, $F$9) + CHOOSE(CONTROL!$C$27, 0.0021, 0)</f>
        <v>41.677599999999998</v>
      </c>
      <c r="L364" s="10"/>
    </row>
    <row r="365" spans="1:12" ht="15.75" x14ac:dyDescent="0.25">
      <c r="A365" s="14">
        <v>52047</v>
      </c>
      <c r="B365" s="10">
        <f>42.5982 * CHOOSE(CONTROL!$C$9, $D$9, 100%, $F$9) + CHOOSE(CONTROL!$C$27, 0.0021, 0)</f>
        <v>42.600299999999997</v>
      </c>
      <c r="C365" s="10">
        <f>42.166 * CHOOSE(CONTROL!$C$9, $D$9, 100%, $F$9) + CHOOSE(CONTROL!$C$27, 0.0021, 0)</f>
        <v>42.168099999999995</v>
      </c>
      <c r="D365" s="10">
        <f>42.166 * CHOOSE(CONTROL!$C$9, $D$9, 100%, $F$9) + CHOOSE(CONTROL!$C$27, 0.0021, 0)</f>
        <v>42.168099999999995</v>
      </c>
      <c r="E365" s="10">
        <f>42.0293 * CHOOSE(CONTROL!$C$9, $D$9, 100%, $F$9) + CHOOSE(CONTROL!$C$27, 0.0021, 0)</f>
        <v>42.031399999999998</v>
      </c>
      <c r="F365" s="10">
        <f>42.0293 * CHOOSE(CONTROL!$C$9, $D$9, 100%, $F$9) + CHOOSE(CONTROL!$C$27, 0.0021, 0)</f>
        <v>42.031399999999998</v>
      </c>
      <c r="G365" s="10">
        <f>42.3007 * CHOOSE(CONTROL!$C$9, $D$9, 100%, $F$9) + CHOOSE(CONTROL!$C$27, 0.0021, 0)</f>
        <v>42.302799999999998</v>
      </c>
      <c r="H365" s="10">
        <f>42.166 * CHOOSE(CONTROL!$C$9, $D$9, 100%, $F$9) + CHOOSE(CONTROL!$C$27, 0.0021, 0)</f>
        <v>42.168099999999995</v>
      </c>
      <c r="I365" s="10">
        <f>42.166 * CHOOSE(CONTROL!$C$9, $D$9, 100%, $F$9) + CHOOSE(CONTROL!$C$27, 0.0021, 0)</f>
        <v>42.168099999999995</v>
      </c>
      <c r="J365" s="10">
        <f>42.166 * CHOOSE(CONTROL!$C$9, $D$9, 100%, $F$9) + CHOOSE(CONTROL!$C$27, 0.0021, 0)</f>
        <v>42.168099999999995</v>
      </c>
      <c r="K365" s="10">
        <f>42.166 * CHOOSE(CONTROL!$C$9, $D$9, 100%, $F$9) + CHOOSE(CONTROL!$C$27, 0.0021, 0)</f>
        <v>42.168099999999995</v>
      </c>
      <c r="L365" s="10"/>
    </row>
    <row r="366" spans="1:12" ht="15.75" x14ac:dyDescent="0.25">
      <c r="A366" s="14">
        <v>52078</v>
      </c>
      <c r="B366" s="10">
        <f>43.4074 * CHOOSE(CONTROL!$C$9, $D$9, 100%, $F$9) + CHOOSE(CONTROL!$C$27, 0.0021, 0)</f>
        <v>43.409500000000001</v>
      </c>
      <c r="C366" s="10">
        <f>42.9751 * CHOOSE(CONTROL!$C$9, $D$9, 100%, $F$9) + CHOOSE(CONTROL!$C$27, 0.0021, 0)</f>
        <v>42.977199999999996</v>
      </c>
      <c r="D366" s="10">
        <f>42.9751 * CHOOSE(CONTROL!$C$9, $D$9, 100%, $F$9) + CHOOSE(CONTROL!$C$27, 0.0021, 0)</f>
        <v>42.977199999999996</v>
      </c>
      <c r="E366" s="10">
        <f>42.8385 * CHOOSE(CONTROL!$C$9, $D$9, 100%, $F$9) + CHOOSE(CONTROL!$C$27, 0.0021, 0)</f>
        <v>42.840600000000002</v>
      </c>
      <c r="F366" s="10">
        <f>42.8385 * CHOOSE(CONTROL!$C$9, $D$9, 100%, $F$9) + CHOOSE(CONTROL!$C$27, 0.0021, 0)</f>
        <v>42.840600000000002</v>
      </c>
      <c r="G366" s="10">
        <f>43.1099 * CHOOSE(CONTROL!$C$9, $D$9, 100%, $F$9) + CHOOSE(CONTROL!$C$27, 0.0021, 0)</f>
        <v>43.112000000000002</v>
      </c>
      <c r="H366" s="10">
        <f>42.9751 * CHOOSE(CONTROL!$C$9, $D$9, 100%, $F$9) + CHOOSE(CONTROL!$C$27, 0.0021, 0)</f>
        <v>42.977199999999996</v>
      </c>
      <c r="I366" s="10">
        <f>42.9751 * CHOOSE(CONTROL!$C$9, $D$9, 100%, $F$9) + CHOOSE(CONTROL!$C$27, 0.0021, 0)</f>
        <v>42.977199999999996</v>
      </c>
      <c r="J366" s="10">
        <f>42.9751 * CHOOSE(CONTROL!$C$9, $D$9, 100%, $F$9) + CHOOSE(CONTROL!$C$27, 0.0021, 0)</f>
        <v>42.977199999999996</v>
      </c>
      <c r="K366" s="10">
        <f>42.9751 * CHOOSE(CONTROL!$C$9, $D$9, 100%, $F$9) + CHOOSE(CONTROL!$C$27, 0.0021, 0)</f>
        <v>42.977199999999996</v>
      </c>
      <c r="L366" s="10"/>
    </row>
    <row r="367" spans="1:12" ht="15.75" x14ac:dyDescent="0.25">
      <c r="A367" s="14">
        <v>52109</v>
      </c>
      <c r="B367" s="10">
        <f>43.6544 * CHOOSE(CONTROL!$C$9, $D$9, 100%, $F$9) + CHOOSE(CONTROL!$C$27, 0.0021, 0)</f>
        <v>43.656500000000001</v>
      </c>
      <c r="C367" s="10">
        <f>43.2221 * CHOOSE(CONTROL!$C$9, $D$9, 100%, $F$9) + CHOOSE(CONTROL!$C$27, 0.0021, 0)</f>
        <v>43.224199999999996</v>
      </c>
      <c r="D367" s="10">
        <f>43.2221 * CHOOSE(CONTROL!$C$9, $D$9, 100%, $F$9) + CHOOSE(CONTROL!$C$27, 0.0021, 0)</f>
        <v>43.224199999999996</v>
      </c>
      <c r="E367" s="10">
        <f>43.0855 * CHOOSE(CONTROL!$C$9, $D$9, 100%, $F$9) + CHOOSE(CONTROL!$C$27, 0.0021, 0)</f>
        <v>43.087600000000002</v>
      </c>
      <c r="F367" s="10">
        <f>43.0855 * CHOOSE(CONTROL!$C$9, $D$9, 100%, $F$9) + CHOOSE(CONTROL!$C$27, 0.0021, 0)</f>
        <v>43.087600000000002</v>
      </c>
      <c r="G367" s="10">
        <f>43.3568 * CHOOSE(CONTROL!$C$9, $D$9, 100%, $F$9) + CHOOSE(CONTROL!$C$27, 0.0021, 0)</f>
        <v>43.358899999999998</v>
      </c>
      <c r="H367" s="10">
        <f>43.2221 * CHOOSE(CONTROL!$C$9, $D$9, 100%, $F$9) + CHOOSE(CONTROL!$C$27, 0.0021, 0)</f>
        <v>43.224199999999996</v>
      </c>
      <c r="I367" s="10">
        <f>43.2221 * CHOOSE(CONTROL!$C$9, $D$9, 100%, $F$9) + CHOOSE(CONTROL!$C$27, 0.0021, 0)</f>
        <v>43.224199999999996</v>
      </c>
      <c r="J367" s="10">
        <f>43.2221 * CHOOSE(CONTROL!$C$9, $D$9, 100%, $F$9) + CHOOSE(CONTROL!$C$27, 0.0021, 0)</f>
        <v>43.224199999999996</v>
      </c>
      <c r="K367" s="10">
        <f>43.2221 * CHOOSE(CONTROL!$C$9, $D$9, 100%, $F$9) + CHOOSE(CONTROL!$C$27, 0.0021, 0)</f>
        <v>43.224199999999996</v>
      </c>
      <c r="L367" s="10"/>
    </row>
    <row r="368" spans="1:12" ht="15.75" x14ac:dyDescent="0.25">
      <c r="A368" s="14">
        <v>52139</v>
      </c>
      <c r="B368" s="10">
        <f>44.4955 * CHOOSE(CONTROL!$C$9, $D$9, 100%, $F$9) + CHOOSE(CONTROL!$C$27, 0.0021, 0)</f>
        <v>44.497599999999998</v>
      </c>
      <c r="C368" s="10">
        <f>44.0632 * CHOOSE(CONTROL!$C$9, $D$9, 100%, $F$9) + CHOOSE(CONTROL!$C$27, 0.0021, 0)</f>
        <v>44.065300000000001</v>
      </c>
      <c r="D368" s="10">
        <f>44.0632 * CHOOSE(CONTROL!$C$9, $D$9, 100%, $F$9) + CHOOSE(CONTROL!$C$27, 0.0021, 0)</f>
        <v>44.065300000000001</v>
      </c>
      <c r="E368" s="10">
        <f>43.9266 * CHOOSE(CONTROL!$C$9, $D$9, 100%, $F$9) + CHOOSE(CONTROL!$C$27, 0.0021, 0)</f>
        <v>43.928699999999999</v>
      </c>
      <c r="F368" s="10">
        <f>43.9266 * CHOOSE(CONTROL!$C$9, $D$9, 100%, $F$9) + CHOOSE(CONTROL!$C$27, 0.0021, 0)</f>
        <v>43.928699999999999</v>
      </c>
      <c r="G368" s="10">
        <f>44.1979 * CHOOSE(CONTROL!$C$9, $D$9, 100%, $F$9) + CHOOSE(CONTROL!$C$27, 0.0021, 0)</f>
        <v>44.199999999999996</v>
      </c>
      <c r="H368" s="10">
        <f>44.0632 * CHOOSE(CONTROL!$C$9, $D$9, 100%, $F$9) + CHOOSE(CONTROL!$C$27, 0.0021, 0)</f>
        <v>44.065300000000001</v>
      </c>
      <c r="I368" s="10">
        <f>44.0632 * CHOOSE(CONTROL!$C$9, $D$9, 100%, $F$9) + CHOOSE(CONTROL!$C$27, 0.0021, 0)</f>
        <v>44.065300000000001</v>
      </c>
      <c r="J368" s="10">
        <f>44.0632 * CHOOSE(CONTROL!$C$9, $D$9, 100%, $F$9) + CHOOSE(CONTROL!$C$27, 0.0021, 0)</f>
        <v>44.065300000000001</v>
      </c>
      <c r="K368" s="10">
        <f>44.0632 * CHOOSE(CONTROL!$C$9, $D$9, 100%, $F$9) + CHOOSE(CONTROL!$C$27, 0.0021, 0)</f>
        <v>44.065300000000001</v>
      </c>
      <c r="L368" s="10"/>
    </row>
    <row r="369" spans="1:12" ht="15.75" x14ac:dyDescent="0.25">
      <c r="A369" s="14">
        <v>52170</v>
      </c>
      <c r="B369" s="10">
        <f>45.5602 * CHOOSE(CONTROL!$C$9, $D$9, 100%, $F$9) + CHOOSE(CONTROL!$C$27, 0.0021, 0)</f>
        <v>45.5623</v>
      </c>
      <c r="C369" s="10">
        <f>45.1279 * CHOOSE(CONTROL!$C$9, $D$9, 100%, $F$9) + CHOOSE(CONTROL!$C$27, 0.0021, 0)</f>
        <v>45.129999999999995</v>
      </c>
      <c r="D369" s="10">
        <f>45.1279 * CHOOSE(CONTROL!$C$9, $D$9, 100%, $F$9) + CHOOSE(CONTROL!$C$27, 0.0021, 0)</f>
        <v>45.129999999999995</v>
      </c>
      <c r="E369" s="10">
        <f>44.9913 * CHOOSE(CONTROL!$C$9, $D$9, 100%, $F$9) + CHOOSE(CONTROL!$C$27, 0.0021, 0)</f>
        <v>44.993400000000001</v>
      </c>
      <c r="F369" s="10">
        <f>44.9913 * CHOOSE(CONTROL!$C$9, $D$9, 100%, $F$9) + CHOOSE(CONTROL!$C$27, 0.0021, 0)</f>
        <v>44.993400000000001</v>
      </c>
      <c r="G369" s="10">
        <f>45.2626 * CHOOSE(CONTROL!$C$9, $D$9, 100%, $F$9) + CHOOSE(CONTROL!$C$27, 0.0021, 0)</f>
        <v>45.264699999999998</v>
      </c>
      <c r="H369" s="10">
        <f>45.1279 * CHOOSE(CONTROL!$C$9, $D$9, 100%, $F$9) + CHOOSE(CONTROL!$C$27, 0.0021, 0)</f>
        <v>45.129999999999995</v>
      </c>
      <c r="I369" s="10">
        <f>45.1279 * CHOOSE(CONTROL!$C$9, $D$9, 100%, $F$9) + CHOOSE(CONTROL!$C$27, 0.0021, 0)</f>
        <v>45.129999999999995</v>
      </c>
      <c r="J369" s="10">
        <f>45.1279 * CHOOSE(CONTROL!$C$9, $D$9, 100%, $F$9) + CHOOSE(CONTROL!$C$27, 0.0021, 0)</f>
        <v>45.129999999999995</v>
      </c>
      <c r="K369" s="10">
        <f>45.1279 * CHOOSE(CONTROL!$C$9, $D$9, 100%, $F$9) + CHOOSE(CONTROL!$C$27, 0.0021, 0)</f>
        <v>45.129999999999995</v>
      </c>
      <c r="L369" s="10"/>
    </row>
    <row r="370" spans="1:12" ht="15.75" x14ac:dyDescent="0.25">
      <c r="A370" s="14">
        <v>52200</v>
      </c>
      <c r="B370" s="10">
        <f>45.6601 * CHOOSE(CONTROL!$C$9, $D$9, 100%, $F$9) + CHOOSE(CONTROL!$C$27, 0.0021, 0)</f>
        <v>45.662199999999999</v>
      </c>
      <c r="C370" s="10">
        <f>45.2279 * CHOOSE(CONTROL!$C$9, $D$9, 100%, $F$9) + CHOOSE(CONTROL!$C$27, 0.0021, 0)</f>
        <v>45.23</v>
      </c>
      <c r="D370" s="10">
        <f>45.2279 * CHOOSE(CONTROL!$C$9, $D$9, 100%, $F$9) + CHOOSE(CONTROL!$C$27, 0.0021, 0)</f>
        <v>45.23</v>
      </c>
      <c r="E370" s="10">
        <f>45.0912 * CHOOSE(CONTROL!$C$9, $D$9, 100%, $F$9) + CHOOSE(CONTROL!$C$27, 0.0021, 0)</f>
        <v>45.093299999999999</v>
      </c>
      <c r="F370" s="10">
        <f>45.0912 * CHOOSE(CONTROL!$C$9, $D$9, 100%, $F$9) + CHOOSE(CONTROL!$C$27, 0.0021, 0)</f>
        <v>45.093299999999999</v>
      </c>
      <c r="G370" s="10">
        <f>45.3626 * CHOOSE(CONTROL!$C$9, $D$9, 100%, $F$9) + CHOOSE(CONTROL!$C$27, 0.0021, 0)</f>
        <v>45.364699999999999</v>
      </c>
      <c r="H370" s="10">
        <f>45.2279 * CHOOSE(CONTROL!$C$9, $D$9, 100%, $F$9) + CHOOSE(CONTROL!$C$27, 0.0021, 0)</f>
        <v>45.23</v>
      </c>
      <c r="I370" s="10">
        <f>45.2279 * CHOOSE(CONTROL!$C$9, $D$9, 100%, $F$9) + CHOOSE(CONTROL!$C$27, 0.0021, 0)</f>
        <v>45.23</v>
      </c>
      <c r="J370" s="10">
        <f>45.2279 * CHOOSE(CONTROL!$C$9, $D$9, 100%, $F$9) + CHOOSE(CONTROL!$C$27, 0.0021, 0)</f>
        <v>45.23</v>
      </c>
      <c r="K370" s="10">
        <f>45.2279 * CHOOSE(CONTROL!$C$9, $D$9, 100%, $F$9) + CHOOSE(CONTROL!$C$27, 0.0021, 0)</f>
        <v>45.23</v>
      </c>
      <c r="L370" s="10"/>
    </row>
    <row r="371" spans="1:12" ht="15.75" x14ac:dyDescent="0.25">
      <c r="A371" s="14">
        <v>52231</v>
      </c>
      <c r="B371" s="10">
        <f>44.8098 * CHOOSE(CONTROL!$C$9, $D$9, 100%, $F$9) + CHOOSE(CONTROL!$C$27, 0.0021, 0)</f>
        <v>44.811900000000001</v>
      </c>
      <c r="C371" s="10">
        <f>44.3775 * CHOOSE(CONTROL!$C$9, $D$9, 100%, $F$9) + CHOOSE(CONTROL!$C$27, 0.0021, 0)</f>
        <v>44.379599999999996</v>
      </c>
      <c r="D371" s="10">
        <f>44.3775 * CHOOSE(CONTROL!$C$9, $D$9, 100%, $F$9) + CHOOSE(CONTROL!$C$27, 0.0021, 0)</f>
        <v>44.379599999999996</v>
      </c>
      <c r="E371" s="10">
        <f>44.2409 * CHOOSE(CONTROL!$C$9, $D$9, 100%, $F$9) + CHOOSE(CONTROL!$C$27, 0.0021, 0)</f>
        <v>44.243000000000002</v>
      </c>
      <c r="F371" s="10">
        <f>44.2409 * CHOOSE(CONTROL!$C$9, $D$9, 100%, $F$9) + CHOOSE(CONTROL!$C$27, 0.0021, 0)</f>
        <v>44.243000000000002</v>
      </c>
      <c r="G371" s="10">
        <f>44.5122 * CHOOSE(CONTROL!$C$9, $D$9, 100%, $F$9) + CHOOSE(CONTROL!$C$27, 0.0021, 0)</f>
        <v>44.514299999999999</v>
      </c>
      <c r="H371" s="10">
        <f>44.3775 * CHOOSE(CONTROL!$C$9, $D$9, 100%, $F$9) + CHOOSE(CONTROL!$C$27, 0.0021, 0)</f>
        <v>44.379599999999996</v>
      </c>
      <c r="I371" s="10">
        <f>44.3775 * CHOOSE(CONTROL!$C$9, $D$9, 100%, $F$9) + CHOOSE(CONTROL!$C$27, 0.0021, 0)</f>
        <v>44.379599999999996</v>
      </c>
      <c r="J371" s="10">
        <f>44.3775 * CHOOSE(CONTROL!$C$9, $D$9, 100%, $F$9) + CHOOSE(CONTROL!$C$27, 0.0021, 0)</f>
        <v>44.379599999999996</v>
      </c>
      <c r="K371" s="10">
        <f>44.3775 * CHOOSE(CONTROL!$C$9, $D$9, 100%, $F$9) + CHOOSE(CONTROL!$C$27, 0.0021, 0)</f>
        <v>44.379599999999996</v>
      </c>
      <c r="L371" s="10"/>
    </row>
    <row r="372" spans="1:12" ht="15.75" x14ac:dyDescent="0.25">
      <c r="A372" s="14">
        <v>52262</v>
      </c>
      <c r="B372" s="10">
        <f>44.2527 * CHOOSE(CONTROL!$C$9, $D$9, 100%, $F$9) + CHOOSE(CONTROL!$C$27, 0.0021, 0)</f>
        <v>44.254799999999996</v>
      </c>
      <c r="C372" s="10">
        <f>43.8204 * CHOOSE(CONTROL!$C$9, $D$9, 100%, $F$9) + CHOOSE(CONTROL!$C$27, 0.0021, 0)</f>
        <v>43.822499999999998</v>
      </c>
      <c r="D372" s="10">
        <f>43.8204 * CHOOSE(CONTROL!$C$9, $D$9, 100%, $F$9) + CHOOSE(CONTROL!$C$27, 0.0021, 0)</f>
        <v>43.822499999999998</v>
      </c>
      <c r="E372" s="10">
        <f>43.6838 * CHOOSE(CONTROL!$C$9, $D$9, 100%, $F$9) + CHOOSE(CONTROL!$C$27, 0.0021, 0)</f>
        <v>43.685899999999997</v>
      </c>
      <c r="F372" s="10">
        <f>43.6838 * CHOOSE(CONTROL!$C$9, $D$9, 100%, $F$9) + CHOOSE(CONTROL!$C$27, 0.0021, 0)</f>
        <v>43.685899999999997</v>
      </c>
      <c r="G372" s="10">
        <f>43.9552 * CHOOSE(CONTROL!$C$9, $D$9, 100%, $F$9) + CHOOSE(CONTROL!$C$27, 0.0021, 0)</f>
        <v>43.957299999999996</v>
      </c>
      <c r="H372" s="10">
        <f>43.8204 * CHOOSE(CONTROL!$C$9, $D$9, 100%, $F$9) + CHOOSE(CONTROL!$C$27, 0.0021, 0)</f>
        <v>43.822499999999998</v>
      </c>
      <c r="I372" s="10">
        <f>43.8204 * CHOOSE(CONTROL!$C$9, $D$9, 100%, $F$9) + CHOOSE(CONTROL!$C$27, 0.0021, 0)</f>
        <v>43.822499999999998</v>
      </c>
      <c r="J372" s="10">
        <f>43.8204 * CHOOSE(CONTROL!$C$9, $D$9, 100%, $F$9) + CHOOSE(CONTROL!$C$27, 0.0021, 0)</f>
        <v>43.822499999999998</v>
      </c>
      <c r="K372" s="10">
        <f>43.8204 * CHOOSE(CONTROL!$C$9, $D$9, 100%, $F$9) + CHOOSE(CONTROL!$C$27, 0.0021, 0)</f>
        <v>43.822499999999998</v>
      </c>
      <c r="L372" s="10"/>
    </row>
    <row r="373" spans="1:12" ht="15.75" x14ac:dyDescent="0.25">
      <c r="A373" s="14">
        <v>52290</v>
      </c>
      <c r="B373" s="10">
        <f>43.0658 * CHOOSE(CONTROL!$C$9, $D$9, 100%, $F$9) + CHOOSE(CONTROL!$C$27, 0.0021, 0)</f>
        <v>43.067900000000002</v>
      </c>
      <c r="C373" s="10">
        <f>42.6336 * CHOOSE(CONTROL!$C$9, $D$9, 100%, $F$9) + CHOOSE(CONTROL!$C$27, 0.0021, 0)</f>
        <v>42.6357</v>
      </c>
      <c r="D373" s="10">
        <f>42.6336 * CHOOSE(CONTROL!$C$9, $D$9, 100%, $F$9) + CHOOSE(CONTROL!$C$27, 0.0021, 0)</f>
        <v>42.6357</v>
      </c>
      <c r="E373" s="10">
        <f>42.4969 * CHOOSE(CONTROL!$C$9, $D$9, 100%, $F$9) + CHOOSE(CONTROL!$C$27, 0.0021, 0)</f>
        <v>42.498999999999995</v>
      </c>
      <c r="F373" s="10">
        <f>42.4969 * CHOOSE(CONTROL!$C$9, $D$9, 100%, $F$9) + CHOOSE(CONTROL!$C$27, 0.0021, 0)</f>
        <v>42.498999999999995</v>
      </c>
      <c r="G373" s="10">
        <f>42.7683 * CHOOSE(CONTROL!$C$9, $D$9, 100%, $F$9) + CHOOSE(CONTROL!$C$27, 0.0021, 0)</f>
        <v>42.770400000000002</v>
      </c>
      <c r="H373" s="10">
        <f>42.6336 * CHOOSE(CONTROL!$C$9, $D$9, 100%, $F$9) + CHOOSE(CONTROL!$C$27, 0.0021, 0)</f>
        <v>42.6357</v>
      </c>
      <c r="I373" s="10">
        <f>42.6336 * CHOOSE(CONTROL!$C$9, $D$9, 100%, $F$9) + CHOOSE(CONTROL!$C$27, 0.0021, 0)</f>
        <v>42.6357</v>
      </c>
      <c r="J373" s="10">
        <f>42.6336 * CHOOSE(CONTROL!$C$9, $D$9, 100%, $F$9) + CHOOSE(CONTROL!$C$27, 0.0021, 0)</f>
        <v>42.6357</v>
      </c>
      <c r="K373" s="10">
        <f>42.6336 * CHOOSE(CONTROL!$C$9, $D$9, 100%, $F$9) + CHOOSE(CONTROL!$C$27, 0.0021, 0)</f>
        <v>42.6357</v>
      </c>
      <c r="L373" s="10"/>
    </row>
    <row r="374" spans="1:12" ht="15.75" x14ac:dyDescent="0.25">
      <c r="A374" s="14">
        <v>52321</v>
      </c>
      <c r="B374" s="10">
        <f>42.5759 * CHOOSE(CONTROL!$C$9, $D$9, 100%, $F$9) + CHOOSE(CONTROL!$C$27, 0.0021, 0)</f>
        <v>42.577999999999996</v>
      </c>
      <c r="C374" s="10">
        <f>42.1436 * CHOOSE(CONTROL!$C$9, $D$9, 100%, $F$9) + CHOOSE(CONTROL!$C$27, 0.0021, 0)</f>
        <v>42.145699999999998</v>
      </c>
      <c r="D374" s="10">
        <f>42.1436 * CHOOSE(CONTROL!$C$9, $D$9, 100%, $F$9) + CHOOSE(CONTROL!$C$27, 0.0021, 0)</f>
        <v>42.145699999999998</v>
      </c>
      <c r="E374" s="10">
        <f>42.007 * CHOOSE(CONTROL!$C$9, $D$9, 100%, $F$9) + CHOOSE(CONTROL!$C$27, 0.0021, 0)</f>
        <v>42.009099999999997</v>
      </c>
      <c r="F374" s="10">
        <f>42.007 * CHOOSE(CONTROL!$C$9, $D$9, 100%, $F$9) + CHOOSE(CONTROL!$C$27, 0.0021, 0)</f>
        <v>42.009099999999997</v>
      </c>
      <c r="G374" s="10">
        <f>42.2784 * CHOOSE(CONTROL!$C$9, $D$9, 100%, $F$9) + CHOOSE(CONTROL!$C$27, 0.0021, 0)</f>
        <v>42.280499999999996</v>
      </c>
      <c r="H374" s="10">
        <f>42.1436 * CHOOSE(CONTROL!$C$9, $D$9, 100%, $F$9) + CHOOSE(CONTROL!$C$27, 0.0021, 0)</f>
        <v>42.145699999999998</v>
      </c>
      <c r="I374" s="10">
        <f>42.1436 * CHOOSE(CONTROL!$C$9, $D$9, 100%, $F$9) + CHOOSE(CONTROL!$C$27, 0.0021, 0)</f>
        <v>42.145699999999998</v>
      </c>
      <c r="J374" s="10">
        <f>42.1436 * CHOOSE(CONTROL!$C$9, $D$9, 100%, $F$9) + CHOOSE(CONTROL!$C$27, 0.0021, 0)</f>
        <v>42.145699999999998</v>
      </c>
      <c r="K374" s="10">
        <f>42.1436 * CHOOSE(CONTROL!$C$9, $D$9, 100%, $F$9) + CHOOSE(CONTROL!$C$27, 0.0021, 0)</f>
        <v>42.145699999999998</v>
      </c>
      <c r="L374" s="10"/>
    </row>
    <row r="375" spans="1:12" ht="15.75" x14ac:dyDescent="0.25">
      <c r="A375" s="14">
        <v>52351</v>
      </c>
      <c r="B375" s="10">
        <f>41.9909 * CHOOSE(CONTROL!$C$9, $D$9, 100%, $F$9) + CHOOSE(CONTROL!$C$27, 0.0021, 0)</f>
        <v>41.993000000000002</v>
      </c>
      <c r="C375" s="10">
        <f>41.5586 * CHOOSE(CONTROL!$C$9, $D$9, 100%, $F$9) + CHOOSE(CONTROL!$C$27, 0.0021, 0)</f>
        <v>41.560699999999997</v>
      </c>
      <c r="D375" s="10">
        <f>41.5586 * CHOOSE(CONTROL!$C$9, $D$9, 100%, $F$9) + CHOOSE(CONTROL!$C$27, 0.0021, 0)</f>
        <v>41.560699999999997</v>
      </c>
      <c r="E375" s="10">
        <f>41.422 * CHOOSE(CONTROL!$C$9, $D$9, 100%, $F$9) + CHOOSE(CONTROL!$C$27, 0.0021, 0)</f>
        <v>41.424099999999996</v>
      </c>
      <c r="F375" s="10">
        <f>41.422 * CHOOSE(CONTROL!$C$9, $D$9, 100%, $F$9) + CHOOSE(CONTROL!$C$27, 0.0021, 0)</f>
        <v>41.424099999999996</v>
      </c>
      <c r="G375" s="10">
        <f>41.6934 * CHOOSE(CONTROL!$C$9, $D$9, 100%, $F$9) + CHOOSE(CONTROL!$C$27, 0.0021, 0)</f>
        <v>41.695499999999996</v>
      </c>
      <c r="H375" s="10">
        <f>41.5586 * CHOOSE(CONTROL!$C$9, $D$9, 100%, $F$9) + CHOOSE(CONTROL!$C$27, 0.0021, 0)</f>
        <v>41.560699999999997</v>
      </c>
      <c r="I375" s="10">
        <f>41.5586 * CHOOSE(CONTROL!$C$9, $D$9, 100%, $F$9) + CHOOSE(CONTROL!$C$27, 0.0021, 0)</f>
        <v>41.560699999999997</v>
      </c>
      <c r="J375" s="10">
        <f>41.5586 * CHOOSE(CONTROL!$C$9, $D$9, 100%, $F$9) + CHOOSE(CONTROL!$C$27, 0.0021, 0)</f>
        <v>41.560699999999997</v>
      </c>
      <c r="K375" s="10">
        <f>41.5586 * CHOOSE(CONTROL!$C$9, $D$9, 100%, $F$9) + CHOOSE(CONTROL!$C$27, 0.0021, 0)</f>
        <v>41.560699999999997</v>
      </c>
      <c r="L375" s="10"/>
    </row>
    <row r="376" spans="1:12" ht="15.75" x14ac:dyDescent="0.25">
      <c r="A376" s="14">
        <v>52382</v>
      </c>
      <c r="B376" s="10">
        <f>42.8246 * CHOOSE(CONTROL!$C$9, $D$9, 100%, $F$9) + CHOOSE(CONTROL!$C$27, 0.0021, 0)</f>
        <v>42.826699999999995</v>
      </c>
      <c r="C376" s="10">
        <f>42.3923 * CHOOSE(CONTROL!$C$9, $D$9, 100%, $F$9) + CHOOSE(CONTROL!$C$27, 0.0021, 0)</f>
        <v>42.394399999999997</v>
      </c>
      <c r="D376" s="10">
        <f>42.3923 * CHOOSE(CONTROL!$C$9, $D$9, 100%, $F$9) + CHOOSE(CONTROL!$C$27, 0.0021, 0)</f>
        <v>42.394399999999997</v>
      </c>
      <c r="E376" s="10">
        <f>42.2557 * CHOOSE(CONTROL!$C$9, $D$9, 100%, $F$9) + CHOOSE(CONTROL!$C$27, 0.0021, 0)</f>
        <v>42.257799999999996</v>
      </c>
      <c r="F376" s="10">
        <f>42.2557 * CHOOSE(CONTROL!$C$9, $D$9, 100%, $F$9) + CHOOSE(CONTROL!$C$27, 0.0021, 0)</f>
        <v>42.257799999999996</v>
      </c>
      <c r="G376" s="10">
        <f>42.5271 * CHOOSE(CONTROL!$C$9, $D$9, 100%, $F$9) + CHOOSE(CONTROL!$C$27, 0.0021, 0)</f>
        <v>42.529199999999996</v>
      </c>
      <c r="H376" s="10">
        <f>42.3923 * CHOOSE(CONTROL!$C$9, $D$9, 100%, $F$9) + CHOOSE(CONTROL!$C$27, 0.0021, 0)</f>
        <v>42.394399999999997</v>
      </c>
      <c r="I376" s="10">
        <f>42.3923 * CHOOSE(CONTROL!$C$9, $D$9, 100%, $F$9) + CHOOSE(CONTROL!$C$27, 0.0021, 0)</f>
        <v>42.394399999999997</v>
      </c>
      <c r="J376" s="10">
        <f>42.3923 * CHOOSE(CONTROL!$C$9, $D$9, 100%, $F$9) + CHOOSE(CONTROL!$C$27, 0.0021, 0)</f>
        <v>42.394399999999997</v>
      </c>
      <c r="K376" s="10">
        <f>42.3923 * CHOOSE(CONTROL!$C$9, $D$9, 100%, $F$9) + CHOOSE(CONTROL!$C$27, 0.0021, 0)</f>
        <v>42.394399999999997</v>
      </c>
      <c r="L376" s="10"/>
    </row>
    <row r="377" spans="1:12" ht="15.75" x14ac:dyDescent="0.25">
      <c r="A377" s="14">
        <v>52412</v>
      </c>
      <c r="B377" s="10">
        <f>43.3239 * CHOOSE(CONTROL!$C$9, $D$9, 100%, $F$9) + CHOOSE(CONTROL!$C$27, 0.0021, 0)</f>
        <v>43.326000000000001</v>
      </c>
      <c r="C377" s="10">
        <f>42.8917 * CHOOSE(CONTROL!$C$9, $D$9, 100%, $F$9) + CHOOSE(CONTROL!$C$27, 0.0021, 0)</f>
        <v>42.893799999999999</v>
      </c>
      <c r="D377" s="10">
        <f>42.8917 * CHOOSE(CONTROL!$C$9, $D$9, 100%, $F$9) + CHOOSE(CONTROL!$C$27, 0.0021, 0)</f>
        <v>42.893799999999999</v>
      </c>
      <c r="E377" s="10">
        <f>42.755 * CHOOSE(CONTROL!$C$9, $D$9, 100%, $F$9) + CHOOSE(CONTROL!$C$27, 0.0021, 0)</f>
        <v>42.757100000000001</v>
      </c>
      <c r="F377" s="10">
        <f>42.755 * CHOOSE(CONTROL!$C$9, $D$9, 100%, $F$9) + CHOOSE(CONTROL!$C$27, 0.0021, 0)</f>
        <v>42.757100000000001</v>
      </c>
      <c r="G377" s="10">
        <f>43.0264 * CHOOSE(CONTROL!$C$9, $D$9, 100%, $F$9) + CHOOSE(CONTROL!$C$27, 0.0021, 0)</f>
        <v>43.028500000000001</v>
      </c>
      <c r="H377" s="10">
        <f>42.8917 * CHOOSE(CONTROL!$C$9, $D$9, 100%, $F$9) + CHOOSE(CONTROL!$C$27, 0.0021, 0)</f>
        <v>42.893799999999999</v>
      </c>
      <c r="I377" s="10">
        <f>42.8917 * CHOOSE(CONTROL!$C$9, $D$9, 100%, $F$9) + CHOOSE(CONTROL!$C$27, 0.0021, 0)</f>
        <v>42.893799999999999</v>
      </c>
      <c r="J377" s="10">
        <f>42.8917 * CHOOSE(CONTROL!$C$9, $D$9, 100%, $F$9) + CHOOSE(CONTROL!$C$27, 0.0021, 0)</f>
        <v>42.893799999999999</v>
      </c>
      <c r="K377" s="10">
        <f>42.8917 * CHOOSE(CONTROL!$C$9, $D$9, 100%, $F$9) + CHOOSE(CONTROL!$C$27, 0.0021, 0)</f>
        <v>42.893799999999999</v>
      </c>
      <c r="L377" s="10"/>
    </row>
    <row r="378" spans="1:12" ht="15.75" x14ac:dyDescent="0.25">
      <c r="A378" s="14">
        <v>52443</v>
      </c>
      <c r="B378" s="10">
        <f>44.1477 * CHOOSE(CONTROL!$C$9, $D$9, 100%, $F$9) + CHOOSE(CONTROL!$C$27, 0.0021, 0)</f>
        <v>44.149799999999999</v>
      </c>
      <c r="C378" s="10">
        <f>43.7154 * CHOOSE(CONTROL!$C$9, $D$9, 100%, $F$9) + CHOOSE(CONTROL!$C$27, 0.0021, 0)</f>
        <v>43.717500000000001</v>
      </c>
      <c r="D378" s="10">
        <f>43.7154 * CHOOSE(CONTROL!$C$9, $D$9, 100%, $F$9) + CHOOSE(CONTROL!$C$27, 0.0021, 0)</f>
        <v>43.717500000000001</v>
      </c>
      <c r="E378" s="10">
        <f>43.5788 * CHOOSE(CONTROL!$C$9, $D$9, 100%, $F$9) + CHOOSE(CONTROL!$C$27, 0.0021, 0)</f>
        <v>43.5809</v>
      </c>
      <c r="F378" s="10">
        <f>43.5788 * CHOOSE(CONTROL!$C$9, $D$9, 100%, $F$9) + CHOOSE(CONTROL!$C$27, 0.0021, 0)</f>
        <v>43.5809</v>
      </c>
      <c r="G378" s="10">
        <f>43.8501 * CHOOSE(CONTROL!$C$9, $D$9, 100%, $F$9) + CHOOSE(CONTROL!$C$27, 0.0021, 0)</f>
        <v>43.852199999999996</v>
      </c>
      <c r="H378" s="10">
        <f>43.7154 * CHOOSE(CONTROL!$C$9, $D$9, 100%, $F$9) + CHOOSE(CONTROL!$C$27, 0.0021, 0)</f>
        <v>43.717500000000001</v>
      </c>
      <c r="I378" s="10">
        <f>43.7154 * CHOOSE(CONTROL!$C$9, $D$9, 100%, $F$9) + CHOOSE(CONTROL!$C$27, 0.0021, 0)</f>
        <v>43.717500000000001</v>
      </c>
      <c r="J378" s="10">
        <f>43.7154 * CHOOSE(CONTROL!$C$9, $D$9, 100%, $F$9) + CHOOSE(CONTROL!$C$27, 0.0021, 0)</f>
        <v>43.717500000000001</v>
      </c>
      <c r="K378" s="10">
        <f>43.7154 * CHOOSE(CONTROL!$C$9, $D$9, 100%, $F$9) + CHOOSE(CONTROL!$C$27, 0.0021, 0)</f>
        <v>43.717500000000001</v>
      </c>
      <c r="L378" s="10"/>
    </row>
    <row r="379" spans="1:12" ht="15.75" x14ac:dyDescent="0.25">
      <c r="A379" s="14">
        <v>52474</v>
      </c>
      <c r="B379" s="10">
        <f>44.3991 * CHOOSE(CONTROL!$C$9, $D$9, 100%, $F$9) + CHOOSE(CONTROL!$C$27, 0.0021, 0)</f>
        <v>44.401199999999996</v>
      </c>
      <c r="C379" s="10">
        <f>43.9668 * CHOOSE(CONTROL!$C$9, $D$9, 100%, $F$9) + CHOOSE(CONTROL!$C$27, 0.0021, 0)</f>
        <v>43.968899999999998</v>
      </c>
      <c r="D379" s="10">
        <f>43.9668 * CHOOSE(CONTROL!$C$9, $D$9, 100%, $F$9) + CHOOSE(CONTROL!$C$27, 0.0021, 0)</f>
        <v>43.968899999999998</v>
      </c>
      <c r="E379" s="10">
        <f>43.8302 * CHOOSE(CONTROL!$C$9, $D$9, 100%, $F$9) + CHOOSE(CONTROL!$C$27, 0.0021, 0)</f>
        <v>43.832299999999996</v>
      </c>
      <c r="F379" s="10">
        <f>43.8302 * CHOOSE(CONTROL!$C$9, $D$9, 100%, $F$9) + CHOOSE(CONTROL!$C$27, 0.0021, 0)</f>
        <v>43.832299999999996</v>
      </c>
      <c r="G379" s="10">
        <f>44.1016 * CHOOSE(CONTROL!$C$9, $D$9, 100%, $F$9) + CHOOSE(CONTROL!$C$27, 0.0021, 0)</f>
        <v>44.103699999999996</v>
      </c>
      <c r="H379" s="10">
        <f>43.9668 * CHOOSE(CONTROL!$C$9, $D$9, 100%, $F$9) + CHOOSE(CONTROL!$C$27, 0.0021, 0)</f>
        <v>43.968899999999998</v>
      </c>
      <c r="I379" s="10">
        <f>43.9668 * CHOOSE(CONTROL!$C$9, $D$9, 100%, $F$9) + CHOOSE(CONTROL!$C$27, 0.0021, 0)</f>
        <v>43.968899999999998</v>
      </c>
      <c r="J379" s="10">
        <f>43.9668 * CHOOSE(CONTROL!$C$9, $D$9, 100%, $F$9) + CHOOSE(CONTROL!$C$27, 0.0021, 0)</f>
        <v>43.968899999999998</v>
      </c>
      <c r="K379" s="10">
        <f>43.9668 * CHOOSE(CONTROL!$C$9, $D$9, 100%, $F$9) + CHOOSE(CONTROL!$C$27, 0.0021, 0)</f>
        <v>43.968899999999998</v>
      </c>
      <c r="L379" s="10"/>
    </row>
    <row r="380" spans="1:12" ht="15.75" x14ac:dyDescent="0.25">
      <c r="A380" s="14">
        <v>52504</v>
      </c>
      <c r="B380" s="10">
        <f>45.2553 * CHOOSE(CONTROL!$C$9, $D$9, 100%, $F$9) + CHOOSE(CONTROL!$C$27, 0.0021, 0)</f>
        <v>45.257399999999997</v>
      </c>
      <c r="C380" s="10">
        <f>44.8231 * CHOOSE(CONTROL!$C$9, $D$9, 100%, $F$9) + CHOOSE(CONTROL!$C$27, 0.0021, 0)</f>
        <v>44.825199999999995</v>
      </c>
      <c r="D380" s="10">
        <f>44.8231 * CHOOSE(CONTROL!$C$9, $D$9, 100%, $F$9) + CHOOSE(CONTROL!$C$27, 0.0021, 0)</f>
        <v>44.825199999999995</v>
      </c>
      <c r="E380" s="10">
        <f>44.6864 * CHOOSE(CONTROL!$C$9, $D$9, 100%, $F$9) + CHOOSE(CONTROL!$C$27, 0.0021, 0)</f>
        <v>44.688499999999998</v>
      </c>
      <c r="F380" s="10">
        <f>44.6864 * CHOOSE(CONTROL!$C$9, $D$9, 100%, $F$9) + CHOOSE(CONTROL!$C$27, 0.0021, 0)</f>
        <v>44.688499999999998</v>
      </c>
      <c r="G380" s="10">
        <f>44.9578 * CHOOSE(CONTROL!$C$9, $D$9, 100%, $F$9) + CHOOSE(CONTROL!$C$27, 0.0021, 0)</f>
        <v>44.959899999999998</v>
      </c>
      <c r="H380" s="10">
        <f>44.8231 * CHOOSE(CONTROL!$C$9, $D$9, 100%, $F$9) + CHOOSE(CONTROL!$C$27, 0.0021, 0)</f>
        <v>44.825199999999995</v>
      </c>
      <c r="I380" s="10">
        <f>44.8231 * CHOOSE(CONTROL!$C$9, $D$9, 100%, $F$9) + CHOOSE(CONTROL!$C$27, 0.0021, 0)</f>
        <v>44.825199999999995</v>
      </c>
      <c r="J380" s="10">
        <f>44.8231 * CHOOSE(CONTROL!$C$9, $D$9, 100%, $F$9) + CHOOSE(CONTROL!$C$27, 0.0021, 0)</f>
        <v>44.825199999999995</v>
      </c>
      <c r="K380" s="10">
        <f>44.8231 * CHOOSE(CONTROL!$C$9, $D$9, 100%, $F$9) + CHOOSE(CONTROL!$C$27, 0.0021, 0)</f>
        <v>44.825199999999995</v>
      </c>
      <c r="L380" s="10"/>
    </row>
    <row r="381" spans="1:12" ht="15.75" x14ac:dyDescent="0.25">
      <c r="A381" s="14">
        <v>52535</v>
      </c>
      <c r="B381" s="10">
        <f>46.3392 * CHOOSE(CONTROL!$C$9, $D$9, 100%, $F$9) + CHOOSE(CONTROL!$C$27, 0.0021, 0)</f>
        <v>46.341299999999997</v>
      </c>
      <c r="C381" s="10">
        <f>45.9069 * CHOOSE(CONTROL!$C$9, $D$9, 100%, $F$9) + CHOOSE(CONTROL!$C$27, 0.0021, 0)</f>
        <v>45.908999999999999</v>
      </c>
      <c r="D381" s="10">
        <f>45.9069 * CHOOSE(CONTROL!$C$9, $D$9, 100%, $F$9) + CHOOSE(CONTROL!$C$27, 0.0021, 0)</f>
        <v>45.908999999999999</v>
      </c>
      <c r="E381" s="10">
        <f>45.7703 * CHOOSE(CONTROL!$C$9, $D$9, 100%, $F$9) + CHOOSE(CONTROL!$C$27, 0.0021, 0)</f>
        <v>45.772399999999998</v>
      </c>
      <c r="F381" s="10">
        <f>45.7703 * CHOOSE(CONTROL!$C$9, $D$9, 100%, $F$9) + CHOOSE(CONTROL!$C$27, 0.0021, 0)</f>
        <v>45.772399999999998</v>
      </c>
      <c r="G381" s="10">
        <f>46.0417 * CHOOSE(CONTROL!$C$9, $D$9, 100%, $F$9) + CHOOSE(CONTROL!$C$27, 0.0021, 0)</f>
        <v>46.043799999999997</v>
      </c>
      <c r="H381" s="10">
        <f>45.9069 * CHOOSE(CONTROL!$C$9, $D$9, 100%, $F$9) + CHOOSE(CONTROL!$C$27, 0.0021, 0)</f>
        <v>45.908999999999999</v>
      </c>
      <c r="I381" s="10">
        <f>45.9069 * CHOOSE(CONTROL!$C$9, $D$9, 100%, $F$9) + CHOOSE(CONTROL!$C$27, 0.0021, 0)</f>
        <v>45.908999999999999</v>
      </c>
      <c r="J381" s="10">
        <f>45.9069 * CHOOSE(CONTROL!$C$9, $D$9, 100%, $F$9) + CHOOSE(CONTROL!$C$27, 0.0021, 0)</f>
        <v>45.908999999999999</v>
      </c>
      <c r="K381" s="10">
        <f>45.9069 * CHOOSE(CONTROL!$C$9, $D$9, 100%, $F$9) + CHOOSE(CONTROL!$C$27, 0.0021, 0)</f>
        <v>45.908999999999999</v>
      </c>
      <c r="L381" s="10"/>
    </row>
    <row r="382" spans="1:12" ht="15.75" x14ac:dyDescent="0.25">
      <c r="A382" s="14">
        <v>52565</v>
      </c>
      <c r="B382" s="10">
        <f>46.4409 * CHOOSE(CONTROL!$C$9, $D$9, 100%, $F$9) + CHOOSE(CONTROL!$C$27, 0.0021, 0)</f>
        <v>46.442999999999998</v>
      </c>
      <c r="C382" s="10">
        <f>46.0087 * CHOOSE(CONTROL!$C$9, $D$9, 100%, $F$9) + CHOOSE(CONTROL!$C$27, 0.0021, 0)</f>
        <v>46.010799999999996</v>
      </c>
      <c r="D382" s="10">
        <f>46.0087 * CHOOSE(CONTROL!$C$9, $D$9, 100%, $F$9) + CHOOSE(CONTROL!$C$27, 0.0021, 0)</f>
        <v>46.010799999999996</v>
      </c>
      <c r="E382" s="10">
        <f>45.872 * CHOOSE(CONTROL!$C$9, $D$9, 100%, $F$9) + CHOOSE(CONTROL!$C$27, 0.0021, 0)</f>
        <v>45.874099999999999</v>
      </c>
      <c r="F382" s="10">
        <f>45.872 * CHOOSE(CONTROL!$C$9, $D$9, 100%, $F$9) + CHOOSE(CONTROL!$C$27, 0.0021, 0)</f>
        <v>45.874099999999999</v>
      </c>
      <c r="G382" s="10">
        <f>46.1434 * CHOOSE(CONTROL!$C$9, $D$9, 100%, $F$9) + CHOOSE(CONTROL!$C$27, 0.0021, 0)</f>
        <v>46.145499999999998</v>
      </c>
      <c r="H382" s="10">
        <f>46.0087 * CHOOSE(CONTROL!$C$9, $D$9, 100%, $F$9) + CHOOSE(CONTROL!$C$27, 0.0021, 0)</f>
        <v>46.010799999999996</v>
      </c>
      <c r="I382" s="10">
        <f>46.0087 * CHOOSE(CONTROL!$C$9, $D$9, 100%, $F$9) + CHOOSE(CONTROL!$C$27, 0.0021, 0)</f>
        <v>46.010799999999996</v>
      </c>
      <c r="J382" s="10">
        <f>46.0087 * CHOOSE(CONTROL!$C$9, $D$9, 100%, $F$9) + CHOOSE(CONTROL!$C$27, 0.0021, 0)</f>
        <v>46.010799999999996</v>
      </c>
      <c r="K382" s="10">
        <f>46.0087 * CHOOSE(CONTROL!$C$9, $D$9, 100%, $F$9) + CHOOSE(CONTROL!$C$27, 0.0021, 0)</f>
        <v>46.010799999999996</v>
      </c>
      <c r="L382" s="10"/>
    </row>
    <row r="383" spans="1:12" ht="15.75" x14ac:dyDescent="0.25">
      <c r="A383" s="14">
        <v>52596</v>
      </c>
      <c r="B383" s="10">
        <f>45.5753 * CHOOSE(CONTROL!$C$9, $D$9, 100%, $F$9) + CHOOSE(CONTROL!$C$27, 0.0021, 0)</f>
        <v>45.577399999999997</v>
      </c>
      <c r="C383" s="10">
        <f>45.143 * CHOOSE(CONTROL!$C$9, $D$9, 100%, $F$9) + CHOOSE(CONTROL!$C$27, 0.0021, 0)</f>
        <v>45.145099999999999</v>
      </c>
      <c r="D383" s="10">
        <f>45.143 * CHOOSE(CONTROL!$C$9, $D$9, 100%, $F$9) + CHOOSE(CONTROL!$C$27, 0.0021, 0)</f>
        <v>45.145099999999999</v>
      </c>
      <c r="E383" s="10">
        <f>45.0064 * CHOOSE(CONTROL!$C$9, $D$9, 100%, $F$9) + CHOOSE(CONTROL!$C$27, 0.0021, 0)</f>
        <v>45.008499999999998</v>
      </c>
      <c r="F383" s="10">
        <f>45.0064 * CHOOSE(CONTROL!$C$9, $D$9, 100%, $F$9) + CHOOSE(CONTROL!$C$27, 0.0021, 0)</f>
        <v>45.008499999999998</v>
      </c>
      <c r="G383" s="10">
        <f>45.2778 * CHOOSE(CONTROL!$C$9, $D$9, 100%, $F$9) + CHOOSE(CONTROL!$C$27, 0.0021, 0)</f>
        <v>45.279899999999998</v>
      </c>
      <c r="H383" s="10">
        <f>45.143 * CHOOSE(CONTROL!$C$9, $D$9, 100%, $F$9) + CHOOSE(CONTROL!$C$27, 0.0021, 0)</f>
        <v>45.145099999999999</v>
      </c>
      <c r="I383" s="10">
        <f>45.143 * CHOOSE(CONTROL!$C$9, $D$9, 100%, $F$9) + CHOOSE(CONTROL!$C$27, 0.0021, 0)</f>
        <v>45.145099999999999</v>
      </c>
      <c r="J383" s="10">
        <f>45.143 * CHOOSE(CONTROL!$C$9, $D$9, 100%, $F$9) + CHOOSE(CONTROL!$C$27, 0.0021, 0)</f>
        <v>45.145099999999999</v>
      </c>
      <c r="K383" s="10">
        <f>45.143 * CHOOSE(CONTROL!$C$9, $D$9, 100%, $F$9) + CHOOSE(CONTROL!$C$27, 0.0021, 0)</f>
        <v>45.145099999999999</v>
      </c>
      <c r="L383" s="10"/>
    </row>
    <row r="384" spans="1:12" ht="15.75" x14ac:dyDescent="0.25">
      <c r="A384" s="14">
        <v>52627</v>
      </c>
      <c r="B384" s="10">
        <f>45.0082 * CHOOSE(CONTROL!$C$9, $D$9, 100%, $F$9) + CHOOSE(CONTROL!$C$27, 0.0021, 0)</f>
        <v>45.010300000000001</v>
      </c>
      <c r="C384" s="10">
        <f>44.5759 * CHOOSE(CONTROL!$C$9, $D$9, 100%, $F$9) + CHOOSE(CONTROL!$C$27, 0.0021, 0)</f>
        <v>44.577999999999996</v>
      </c>
      <c r="D384" s="10">
        <f>44.5759 * CHOOSE(CONTROL!$C$9, $D$9, 100%, $F$9) + CHOOSE(CONTROL!$C$27, 0.0021, 0)</f>
        <v>44.577999999999996</v>
      </c>
      <c r="E384" s="10">
        <f>44.4393 * CHOOSE(CONTROL!$C$9, $D$9, 100%, $F$9) + CHOOSE(CONTROL!$C$27, 0.0021, 0)</f>
        <v>44.441400000000002</v>
      </c>
      <c r="F384" s="10">
        <f>44.4393 * CHOOSE(CONTROL!$C$9, $D$9, 100%, $F$9) + CHOOSE(CONTROL!$C$27, 0.0021, 0)</f>
        <v>44.441400000000002</v>
      </c>
      <c r="G384" s="10">
        <f>44.7107 * CHOOSE(CONTROL!$C$9, $D$9, 100%, $F$9) + CHOOSE(CONTROL!$C$27, 0.0021, 0)</f>
        <v>44.712800000000001</v>
      </c>
      <c r="H384" s="10">
        <f>44.5759 * CHOOSE(CONTROL!$C$9, $D$9, 100%, $F$9) + CHOOSE(CONTROL!$C$27, 0.0021, 0)</f>
        <v>44.577999999999996</v>
      </c>
      <c r="I384" s="10">
        <f>44.5759 * CHOOSE(CONTROL!$C$9, $D$9, 100%, $F$9) + CHOOSE(CONTROL!$C$27, 0.0021, 0)</f>
        <v>44.577999999999996</v>
      </c>
      <c r="J384" s="10">
        <f>44.5759 * CHOOSE(CONTROL!$C$9, $D$9, 100%, $F$9) + CHOOSE(CONTROL!$C$27, 0.0021, 0)</f>
        <v>44.577999999999996</v>
      </c>
      <c r="K384" s="10">
        <f>44.5759 * CHOOSE(CONTROL!$C$9, $D$9, 100%, $F$9) + CHOOSE(CONTROL!$C$27, 0.0021, 0)</f>
        <v>44.577999999999996</v>
      </c>
      <c r="L384" s="10"/>
    </row>
    <row r="385" spans="1:12" ht="15.75" x14ac:dyDescent="0.25">
      <c r="A385" s="14">
        <v>52655</v>
      </c>
      <c r="B385" s="10">
        <f>43.7999 * CHOOSE(CONTROL!$C$9, $D$9, 100%, $F$9) + CHOOSE(CONTROL!$C$27, 0.0021, 0)</f>
        <v>43.802</v>
      </c>
      <c r="C385" s="10">
        <f>43.3677 * CHOOSE(CONTROL!$C$9, $D$9, 100%, $F$9) + CHOOSE(CONTROL!$C$27, 0.0021, 0)</f>
        <v>43.369799999999998</v>
      </c>
      <c r="D385" s="10">
        <f>43.3677 * CHOOSE(CONTROL!$C$9, $D$9, 100%, $F$9) + CHOOSE(CONTROL!$C$27, 0.0021, 0)</f>
        <v>43.369799999999998</v>
      </c>
      <c r="E385" s="10">
        <f>43.231 * CHOOSE(CONTROL!$C$9, $D$9, 100%, $F$9) + CHOOSE(CONTROL!$C$27, 0.0021, 0)</f>
        <v>43.2331</v>
      </c>
      <c r="F385" s="10">
        <f>43.231 * CHOOSE(CONTROL!$C$9, $D$9, 100%, $F$9) + CHOOSE(CONTROL!$C$27, 0.0021, 0)</f>
        <v>43.2331</v>
      </c>
      <c r="G385" s="10">
        <f>43.5024 * CHOOSE(CONTROL!$C$9, $D$9, 100%, $F$9) + CHOOSE(CONTROL!$C$27, 0.0021, 0)</f>
        <v>43.5045</v>
      </c>
      <c r="H385" s="10">
        <f>43.3677 * CHOOSE(CONTROL!$C$9, $D$9, 100%, $F$9) + CHOOSE(CONTROL!$C$27, 0.0021, 0)</f>
        <v>43.369799999999998</v>
      </c>
      <c r="I385" s="10">
        <f>43.3677 * CHOOSE(CONTROL!$C$9, $D$9, 100%, $F$9) + CHOOSE(CONTROL!$C$27, 0.0021, 0)</f>
        <v>43.369799999999998</v>
      </c>
      <c r="J385" s="10">
        <f>43.3677 * CHOOSE(CONTROL!$C$9, $D$9, 100%, $F$9) + CHOOSE(CONTROL!$C$27, 0.0021, 0)</f>
        <v>43.369799999999998</v>
      </c>
      <c r="K385" s="10">
        <f>43.3677 * CHOOSE(CONTROL!$C$9, $D$9, 100%, $F$9) + CHOOSE(CONTROL!$C$27, 0.0021, 0)</f>
        <v>43.369799999999998</v>
      </c>
      <c r="L385" s="10"/>
    </row>
    <row r="386" spans="1:12" ht="15.75" x14ac:dyDescent="0.25">
      <c r="A386" s="14">
        <v>52687</v>
      </c>
      <c r="B386" s="10">
        <f>43.3012 * CHOOSE(CONTROL!$C$9, $D$9, 100%, $F$9) + CHOOSE(CONTROL!$C$27, 0.0021, 0)</f>
        <v>43.3033</v>
      </c>
      <c r="C386" s="10">
        <f>42.8689 * CHOOSE(CONTROL!$C$9, $D$9, 100%, $F$9) + CHOOSE(CONTROL!$C$27, 0.0021, 0)</f>
        <v>42.870999999999995</v>
      </c>
      <c r="D386" s="10">
        <f>42.8689 * CHOOSE(CONTROL!$C$9, $D$9, 100%, $F$9) + CHOOSE(CONTROL!$C$27, 0.0021, 0)</f>
        <v>42.870999999999995</v>
      </c>
      <c r="E386" s="10">
        <f>42.7323 * CHOOSE(CONTROL!$C$9, $D$9, 100%, $F$9) + CHOOSE(CONTROL!$C$27, 0.0021, 0)</f>
        <v>42.734400000000001</v>
      </c>
      <c r="F386" s="10">
        <f>42.7323 * CHOOSE(CONTROL!$C$9, $D$9, 100%, $F$9) + CHOOSE(CONTROL!$C$27, 0.0021, 0)</f>
        <v>42.734400000000001</v>
      </c>
      <c r="G386" s="10">
        <f>43.0037 * CHOOSE(CONTROL!$C$9, $D$9, 100%, $F$9) + CHOOSE(CONTROL!$C$27, 0.0021, 0)</f>
        <v>43.005800000000001</v>
      </c>
      <c r="H386" s="10">
        <f>42.8689 * CHOOSE(CONTROL!$C$9, $D$9, 100%, $F$9) + CHOOSE(CONTROL!$C$27, 0.0021, 0)</f>
        <v>42.870999999999995</v>
      </c>
      <c r="I386" s="10">
        <f>42.8689 * CHOOSE(CONTROL!$C$9, $D$9, 100%, $F$9) + CHOOSE(CONTROL!$C$27, 0.0021, 0)</f>
        <v>42.870999999999995</v>
      </c>
      <c r="J386" s="10">
        <f>42.8689 * CHOOSE(CONTROL!$C$9, $D$9, 100%, $F$9) + CHOOSE(CONTROL!$C$27, 0.0021, 0)</f>
        <v>42.870999999999995</v>
      </c>
      <c r="K386" s="10">
        <f>42.8689 * CHOOSE(CONTROL!$C$9, $D$9, 100%, $F$9) + CHOOSE(CONTROL!$C$27, 0.0021, 0)</f>
        <v>42.870999999999995</v>
      </c>
      <c r="L386" s="10"/>
    </row>
    <row r="387" spans="1:12" ht="15.75" x14ac:dyDescent="0.25">
      <c r="A387" s="14">
        <v>52717</v>
      </c>
      <c r="B387" s="10">
        <f>42.7057 * CHOOSE(CONTROL!$C$9, $D$9, 100%, $F$9) + CHOOSE(CONTROL!$C$27, 0.0021, 0)</f>
        <v>42.707799999999999</v>
      </c>
      <c r="C387" s="10">
        <f>42.2734 * CHOOSE(CONTROL!$C$9, $D$9, 100%, $F$9) + CHOOSE(CONTROL!$C$27, 0.0021, 0)</f>
        <v>42.275500000000001</v>
      </c>
      <c r="D387" s="10">
        <f>42.2734 * CHOOSE(CONTROL!$C$9, $D$9, 100%, $F$9) + CHOOSE(CONTROL!$C$27, 0.0021, 0)</f>
        <v>42.275500000000001</v>
      </c>
      <c r="E387" s="10">
        <f>42.1368 * CHOOSE(CONTROL!$C$9, $D$9, 100%, $F$9) + CHOOSE(CONTROL!$C$27, 0.0021, 0)</f>
        <v>42.1389</v>
      </c>
      <c r="F387" s="10">
        <f>42.1368 * CHOOSE(CONTROL!$C$9, $D$9, 100%, $F$9) + CHOOSE(CONTROL!$C$27, 0.0021, 0)</f>
        <v>42.1389</v>
      </c>
      <c r="G387" s="10">
        <f>42.4081 * CHOOSE(CONTROL!$C$9, $D$9, 100%, $F$9) + CHOOSE(CONTROL!$C$27, 0.0021, 0)</f>
        <v>42.410199999999996</v>
      </c>
      <c r="H387" s="10">
        <f>42.2734 * CHOOSE(CONTROL!$C$9, $D$9, 100%, $F$9) + CHOOSE(CONTROL!$C$27, 0.0021, 0)</f>
        <v>42.275500000000001</v>
      </c>
      <c r="I387" s="10">
        <f>42.2734 * CHOOSE(CONTROL!$C$9, $D$9, 100%, $F$9) + CHOOSE(CONTROL!$C$27, 0.0021, 0)</f>
        <v>42.275500000000001</v>
      </c>
      <c r="J387" s="10">
        <f>42.2734 * CHOOSE(CONTROL!$C$9, $D$9, 100%, $F$9) + CHOOSE(CONTROL!$C$27, 0.0021, 0)</f>
        <v>42.275500000000001</v>
      </c>
      <c r="K387" s="10">
        <f>42.2734 * CHOOSE(CONTROL!$C$9, $D$9, 100%, $F$9) + CHOOSE(CONTROL!$C$27, 0.0021, 0)</f>
        <v>42.275500000000001</v>
      </c>
      <c r="L387" s="10"/>
    </row>
    <row r="388" spans="1:12" ht="15.75" x14ac:dyDescent="0.25">
      <c r="A388" s="14">
        <v>52748</v>
      </c>
      <c r="B388" s="10">
        <f>43.5544 * CHOOSE(CONTROL!$C$9, $D$9, 100%, $F$9) + CHOOSE(CONTROL!$C$27, 0.0021, 0)</f>
        <v>43.5565</v>
      </c>
      <c r="C388" s="10">
        <f>43.1221 * CHOOSE(CONTROL!$C$9, $D$9, 100%, $F$9) + CHOOSE(CONTROL!$C$27, 0.0021, 0)</f>
        <v>43.124200000000002</v>
      </c>
      <c r="D388" s="10">
        <f>43.1221 * CHOOSE(CONTROL!$C$9, $D$9, 100%, $F$9) + CHOOSE(CONTROL!$C$27, 0.0021, 0)</f>
        <v>43.124200000000002</v>
      </c>
      <c r="E388" s="10">
        <f>42.9855 * CHOOSE(CONTROL!$C$9, $D$9, 100%, $F$9) + CHOOSE(CONTROL!$C$27, 0.0021, 0)</f>
        <v>42.9876</v>
      </c>
      <c r="F388" s="10">
        <f>42.9855 * CHOOSE(CONTROL!$C$9, $D$9, 100%, $F$9) + CHOOSE(CONTROL!$C$27, 0.0021, 0)</f>
        <v>42.9876</v>
      </c>
      <c r="G388" s="10">
        <f>43.2568 * CHOOSE(CONTROL!$C$9, $D$9, 100%, $F$9) + CHOOSE(CONTROL!$C$27, 0.0021, 0)</f>
        <v>43.258899999999997</v>
      </c>
      <c r="H388" s="10">
        <f>43.1221 * CHOOSE(CONTROL!$C$9, $D$9, 100%, $F$9) + CHOOSE(CONTROL!$C$27, 0.0021, 0)</f>
        <v>43.124200000000002</v>
      </c>
      <c r="I388" s="10">
        <f>43.1221 * CHOOSE(CONTROL!$C$9, $D$9, 100%, $F$9) + CHOOSE(CONTROL!$C$27, 0.0021, 0)</f>
        <v>43.124200000000002</v>
      </c>
      <c r="J388" s="10">
        <f>43.1221 * CHOOSE(CONTROL!$C$9, $D$9, 100%, $F$9) + CHOOSE(CONTROL!$C$27, 0.0021, 0)</f>
        <v>43.124200000000002</v>
      </c>
      <c r="K388" s="10">
        <f>43.1221 * CHOOSE(CONTROL!$C$9, $D$9, 100%, $F$9) + CHOOSE(CONTROL!$C$27, 0.0021, 0)</f>
        <v>43.124200000000002</v>
      </c>
      <c r="L388" s="10"/>
    </row>
    <row r="389" spans="1:12" ht="15.75" x14ac:dyDescent="0.25">
      <c r="A389" s="14">
        <v>52778</v>
      </c>
      <c r="B389" s="10">
        <f>44.0627 * CHOOSE(CONTROL!$C$9, $D$9, 100%, $F$9) + CHOOSE(CONTROL!$C$27, 0.0021, 0)</f>
        <v>44.064799999999998</v>
      </c>
      <c r="C389" s="10">
        <f>43.6304 * CHOOSE(CONTROL!$C$9, $D$9, 100%, $F$9) + CHOOSE(CONTROL!$C$27, 0.0021, 0)</f>
        <v>43.6325</v>
      </c>
      <c r="D389" s="10">
        <f>43.6304 * CHOOSE(CONTROL!$C$9, $D$9, 100%, $F$9) + CHOOSE(CONTROL!$C$27, 0.0021, 0)</f>
        <v>43.6325</v>
      </c>
      <c r="E389" s="10">
        <f>43.4938 * CHOOSE(CONTROL!$C$9, $D$9, 100%, $F$9) + CHOOSE(CONTROL!$C$27, 0.0021, 0)</f>
        <v>43.495899999999999</v>
      </c>
      <c r="F389" s="10">
        <f>43.4938 * CHOOSE(CONTROL!$C$9, $D$9, 100%, $F$9) + CHOOSE(CONTROL!$C$27, 0.0021, 0)</f>
        <v>43.495899999999999</v>
      </c>
      <c r="G389" s="10">
        <f>43.7652 * CHOOSE(CONTROL!$C$9, $D$9, 100%, $F$9) + CHOOSE(CONTROL!$C$27, 0.0021, 0)</f>
        <v>43.767299999999999</v>
      </c>
      <c r="H389" s="10">
        <f>43.6304 * CHOOSE(CONTROL!$C$9, $D$9, 100%, $F$9) + CHOOSE(CONTROL!$C$27, 0.0021, 0)</f>
        <v>43.6325</v>
      </c>
      <c r="I389" s="10">
        <f>43.6304 * CHOOSE(CONTROL!$C$9, $D$9, 100%, $F$9) + CHOOSE(CONTROL!$C$27, 0.0021, 0)</f>
        <v>43.6325</v>
      </c>
      <c r="J389" s="10">
        <f>43.6304 * CHOOSE(CONTROL!$C$9, $D$9, 100%, $F$9) + CHOOSE(CONTROL!$C$27, 0.0021, 0)</f>
        <v>43.6325</v>
      </c>
      <c r="K389" s="10">
        <f>43.6304 * CHOOSE(CONTROL!$C$9, $D$9, 100%, $F$9) + CHOOSE(CONTROL!$C$27, 0.0021, 0)</f>
        <v>43.6325</v>
      </c>
      <c r="L389" s="10"/>
    </row>
    <row r="390" spans="1:12" ht="15.75" x14ac:dyDescent="0.25">
      <c r="A390" s="14">
        <v>52809</v>
      </c>
      <c r="B390" s="10">
        <f>44.9013 * CHOOSE(CONTROL!$C$9, $D$9, 100%, $F$9) + CHOOSE(CONTROL!$C$27, 0.0021, 0)</f>
        <v>44.903399999999998</v>
      </c>
      <c r="C390" s="10">
        <f>44.469 * CHOOSE(CONTROL!$C$9, $D$9, 100%, $F$9) + CHOOSE(CONTROL!$C$27, 0.0021, 0)</f>
        <v>44.4711</v>
      </c>
      <c r="D390" s="10">
        <f>44.469 * CHOOSE(CONTROL!$C$9, $D$9, 100%, $F$9) + CHOOSE(CONTROL!$C$27, 0.0021, 0)</f>
        <v>44.4711</v>
      </c>
      <c r="E390" s="10">
        <f>44.3324 * CHOOSE(CONTROL!$C$9, $D$9, 100%, $F$9) + CHOOSE(CONTROL!$C$27, 0.0021, 0)</f>
        <v>44.334499999999998</v>
      </c>
      <c r="F390" s="10">
        <f>44.3324 * CHOOSE(CONTROL!$C$9, $D$9, 100%, $F$9) + CHOOSE(CONTROL!$C$27, 0.0021, 0)</f>
        <v>44.334499999999998</v>
      </c>
      <c r="G390" s="10">
        <f>44.6037 * CHOOSE(CONTROL!$C$9, $D$9, 100%, $F$9) + CHOOSE(CONTROL!$C$27, 0.0021, 0)</f>
        <v>44.605800000000002</v>
      </c>
      <c r="H390" s="10">
        <f>44.469 * CHOOSE(CONTROL!$C$9, $D$9, 100%, $F$9) + CHOOSE(CONTROL!$C$27, 0.0021, 0)</f>
        <v>44.4711</v>
      </c>
      <c r="I390" s="10">
        <f>44.469 * CHOOSE(CONTROL!$C$9, $D$9, 100%, $F$9) + CHOOSE(CONTROL!$C$27, 0.0021, 0)</f>
        <v>44.4711</v>
      </c>
      <c r="J390" s="10">
        <f>44.469 * CHOOSE(CONTROL!$C$9, $D$9, 100%, $F$9) + CHOOSE(CONTROL!$C$27, 0.0021, 0)</f>
        <v>44.4711</v>
      </c>
      <c r="K390" s="10">
        <f>44.469 * CHOOSE(CONTROL!$C$9, $D$9, 100%, $F$9) + CHOOSE(CONTROL!$C$27, 0.0021, 0)</f>
        <v>44.4711</v>
      </c>
      <c r="L390" s="10"/>
    </row>
    <row r="391" spans="1:12" ht="15.75" x14ac:dyDescent="0.25">
      <c r="A391" s="14">
        <v>52840</v>
      </c>
      <c r="B391" s="10">
        <f>45.1572 * CHOOSE(CONTROL!$C$9, $D$9, 100%, $F$9) + CHOOSE(CONTROL!$C$27, 0.0021, 0)</f>
        <v>45.159300000000002</v>
      </c>
      <c r="C391" s="10">
        <f>44.725 * CHOOSE(CONTROL!$C$9, $D$9, 100%, $F$9) + CHOOSE(CONTROL!$C$27, 0.0021, 0)</f>
        <v>44.7271</v>
      </c>
      <c r="D391" s="10">
        <f>44.725 * CHOOSE(CONTROL!$C$9, $D$9, 100%, $F$9) + CHOOSE(CONTROL!$C$27, 0.0021, 0)</f>
        <v>44.7271</v>
      </c>
      <c r="E391" s="10">
        <f>44.5883 * CHOOSE(CONTROL!$C$9, $D$9, 100%, $F$9) + CHOOSE(CONTROL!$C$27, 0.0021, 0)</f>
        <v>44.590399999999995</v>
      </c>
      <c r="F391" s="10">
        <f>44.5883 * CHOOSE(CONTROL!$C$9, $D$9, 100%, $F$9) + CHOOSE(CONTROL!$C$27, 0.0021, 0)</f>
        <v>44.590399999999995</v>
      </c>
      <c r="G391" s="10">
        <f>44.8597 * CHOOSE(CONTROL!$C$9, $D$9, 100%, $F$9) + CHOOSE(CONTROL!$C$27, 0.0021, 0)</f>
        <v>44.861799999999995</v>
      </c>
      <c r="H391" s="10">
        <f>44.725 * CHOOSE(CONTROL!$C$9, $D$9, 100%, $F$9) + CHOOSE(CONTROL!$C$27, 0.0021, 0)</f>
        <v>44.7271</v>
      </c>
      <c r="I391" s="10">
        <f>44.725 * CHOOSE(CONTROL!$C$9, $D$9, 100%, $F$9) + CHOOSE(CONTROL!$C$27, 0.0021, 0)</f>
        <v>44.7271</v>
      </c>
      <c r="J391" s="10">
        <f>44.725 * CHOOSE(CONTROL!$C$9, $D$9, 100%, $F$9) + CHOOSE(CONTROL!$C$27, 0.0021, 0)</f>
        <v>44.7271</v>
      </c>
      <c r="K391" s="10">
        <f>44.725 * CHOOSE(CONTROL!$C$9, $D$9, 100%, $F$9) + CHOOSE(CONTROL!$C$27, 0.0021, 0)</f>
        <v>44.7271</v>
      </c>
      <c r="L391" s="10"/>
    </row>
    <row r="392" spans="1:12" ht="15.75" x14ac:dyDescent="0.25">
      <c r="A392" s="14">
        <v>52870</v>
      </c>
      <c r="B392" s="10">
        <f>46.0289 * CHOOSE(CONTROL!$C$9, $D$9, 100%, $F$9) + CHOOSE(CONTROL!$C$27, 0.0021, 0)</f>
        <v>46.030999999999999</v>
      </c>
      <c r="C392" s="10">
        <f>45.5966 * CHOOSE(CONTROL!$C$9, $D$9, 100%, $F$9) + CHOOSE(CONTROL!$C$27, 0.0021, 0)</f>
        <v>45.598700000000001</v>
      </c>
      <c r="D392" s="10">
        <f>45.5966 * CHOOSE(CONTROL!$C$9, $D$9, 100%, $F$9) + CHOOSE(CONTROL!$C$27, 0.0021, 0)</f>
        <v>45.598700000000001</v>
      </c>
      <c r="E392" s="10">
        <f>45.46 * CHOOSE(CONTROL!$C$9, $D$9, 100%, $F$9) + CHOOSE(CONTROL!$C$27, 0.0021, 0)</f>
        <v>45.4621</v>
      </c>
      <c r="F392" s="10">
        <f>45.46 * CHOOSE(CONTROL!$C$9, $D$9, 100%, $F$9) + CHOOSE(CONTROL!$C$27, 0.0021, 0)</f>
        <v>45.4621</v>
      </c>
      <c r="G392" s="10">
        <f>45.7313 * CHOOSE(CONTROL!$C$9, $D$9, 100%, $F$9) + CHOOSE(CONTROL!$C$27, 0.0021, 0)</f>
        <v>45.733399999999996</v>
      </c>
      <c r="H392" s="10">
        <f>45.5966 * CHOOSE(CONTROL!$C$9, $D$9, 100%, $F$9) + CHOOSE(CONTROL!$C$27, 0.0021, 0)</f>
        <v>45.598700000000001</v>
      </c>
      <c r="I392" s="10">
        <f>45.5966 * CHOOSE(CONTROL!$C$9, $D$9, 100%, $F$9) + CHOOSE(CONTROL!$C$27, 0.0021, 0)</f>
        <v>45.598700000000001</v>
      </c>
      <c r="J392" s="10">
        <f>45.5966 * CHOOSE(CONTROL!$C$9, $D$9, 100%, $F$9) + CHOOSE(CONTROL!$C$27, 0.0021, 0)</f>
        <v>45.598700000000001</v>
      </c>
      <c r="K392" s="10">
        <f>45.5966 * CHOOSE(CONTROL!$C$9, $D$9, 100%, $F$9) + CHOOSE(CONTROL!$C$27, 0.0021, 0)</f>
        <v>45.598700000000001</v>
      </c>
      <c r="L392" s="10"/>
    </row>
    <row r="393" spans="1:12" ht="15.75" x14ac:dyDescent="0.25">
      <c r="A393" s="14">
        <v>52901</v>
      </c>
      <c r="B393" s="10">
        <f>47.1322 * CHOOSE(CONTROL!$C$9, $D$9, 100%, $F$9) + CHOOSE(CONTROL!$C$27, 0.0021, 0)</f>
        <v>47.134299999999996</v>
      </c>
      <c r="C393" s="10">
        <f>46.7 * CHOOSE(CONTROL!$C$9, $D$9, 100%, $F$9) + CHOOSE(CONTROL!$C$27, 0.0021, 0)</f>
        <v>46.702100000000002</v>
      </c>
      <c r="D393" s="10">
        <f>46.7 * CHOOSE(CONTROL!$C$9, $D$9, 100%, $F$9) + CHOOSE(CONTROL!$C$27, 0.0021, 0)</f>
        <v>46.702100000000002</v>
      </c>
      <c r="E393" s="10">
        <f>46.5633 * CHOOSE(CONTROL!$C$9, $D$9, 100%, $F$9) + CHOOSE(CONTROL!$C$27, 0.0021, 0)</f>
        <v>46.565399999999997</v>
      </c>
      <c r="F393" s="10">
        <f>46.5633 * CHOOSE(CONTROL!$C$9, $D$9, 100%, $F$9) + CHOOSE(CONTROL!$C$27, 0.0021, 0)</f>
        <v>46.565399999999997</v>
      </c>
      <c r="G393" s="10">
        <f>46.8347 * CHOOSE(CONTROL!$C$9, $D$9, 100%, $F$9) + CHOOSE(CONTROL!$C$27, 0.0021, 0)</f>
        <v>46.836799999999997</v>
      </c>
      <c r="H393" s="10">
        <f>46.7 * CHOOSE(CONTROL!$C$9, $D$9, 100%, $F$9) + CHOOSE(CONTROL!$C$27, 0.0021, 0)</f>
        <v>46.702100000000002</v>
      </c>
      <c r="I393" s="10">
        <f>46.7 * CHOOSE(CONTROL!$C$9, $D$9, 100%, $F$9) + CHOOSE(CONTROL!$C$27, 0.0021, 0)</f>
        <v>46.702100000000002</v>
      </c>
      <c r="J393" s="10">
        <f>46.7 * CHOOSE(CONTROL!$C$9, $D$9, 100%, $F$9) + CHOOSE(CONTROL!$C$27, 0.0021, 0)</f>
        <v>46.702100000000002</v>
      </c>
      <c r="K393" s="10">
        <f>46.7 * CHOOSE(CONTROL!$C$9, $D$9, 100%, $F$9) + CHOOSE(CONTROL!$C$27, 0.0021, 0)</f>
        <v>46.702100000000002</v>
      </c>
      <c r="L393" s="10"/>
    </row>
    <row r="394" spans="1:12" ht="15.75" x14ac:dyDescent="0.25">
      <c r="A394" s="14">
        <v>52931</v>
      </c>
      <c r="B394" s="10">
        <f>47.2358 * CHOOSE(CONTROL!$C$9, $D$9, 100%, $F$9) + CHOOSE(CONTROL!$C$27, 0.0021, 0)</f>
        <v>47.237899999999996</v>
      </c>
      <c r="C394" s="10">
        <f>46.8036 * CHOOSE(CONTROL!$C$9, $D$9, 100%, $F$9) + CHOOSE(CONTROL!$C$27, 0.0021, 0)</f>
        <v>46.805700000000002</v>
      </c>
      <c r="D394" s="10">
        <f>46.8036 * CHOOSE(CONTROL!$C$9, $D$9, 100%, $F$9) + CHOOSE(CONTROL!$C$27, 0.0021, 0)</f>
        <v>46.805700000000002</v>
      </c>
      <c r="E394" s="10">
        <f>46.6669 * CHOOSE(CONTROL!$C$9, $D$9, 100%, $F$9) + CHOOSE(CONTROL!$C$27, 0.0021, 0)</f>
        <v>46.668999999999997</v>
      </c>
      <c r="F394" s="10">
        <f>46.6669 * CHOOSE(CONTROL!$C$9, $D$9, 100%, $F$9) + CHOOSE(CONTROL!$C$27, 0.0021, 0)</f>
        <v>46.668999999999997</v>
      </c>
      <c r="G394" s="10">
        <f>46.9383 * CHOOSE(CONTROL!$C$9, $D$9, 100%, $F$9) + CHOOSE(CONTROL!$C$27, 0.0021, 0)</f>
        <v>46.940399999999997</v>
      </c>
      <c r="H394" s="10">
        <f>46.8036 * CHOOSE(CONTROL!$C$9, $D$9, 100%, $F$9) + CHOOSE(CONTROL!$C$27, 0.0021, 0)</f>
        <v>46.805700000000002</v>
      </c>
      <c r="I394" s="10">
        <f>46.8036 * CHOOSE(CONTROL!$C$9, $D$9, 100%, $F$9) + CHOOSE(CONTROL!$C$27, 0.0021, 0)</f>
        <v>46.805700000000002</v>
      </c>
      <c r="J394" s="10">
        <f>46.8036 * CHOOSE(CONTROL!$C$9, $D$9, 100%, $F$9) + CHOOSE(CONTROL!$C$27, 0.0021, 0)</f>
        <v>46.805700000000002</v>
      </c>
      <c r="K394" s="10">
        <f>46.8036 * CHOOSE(CONTROL!$C$9, $D$9, 100%, $F$9) + CHOOSE(CONTROL!$C$27, 0.0021, 0)</f>
        <v>46.805700000000002</v>
      </c>
      <c r="L394" s="10"/>
    </row>
    <row r="395" spans="1:12" ht="15.75" x14ac:dyDescent="0.25">
      <c r="A395" s="14">
        <v>52962</v>
      </c>
      <c r="B395" s="10">
        <f>46.3546 * CHOOSE(CONTROL!$C$9, $D$9, 100%, $F$9) + CHOOSE(CONTROL!$C$27, 0.0021, 0)</f>
        <v>46.356699999999996</v>
      </c>
      <c r="C395" s="10">
        <f>45.9223 * CHOOSE(CONTROL!$C$9, $D$9, 100%, $F$9) + CHOOSE(CONTROL!$C$27, 0.0021, 0)</f>
        <v>45.924399999999999</v>
      </c>
      <c r="D395" s="10">
        <f>45.9223 * CHOOSE(CONTROL!$C$9, $D$9, 100%, $F$9) + CHOOSE(CONTROL!$C$27, 0.0021, 0)</f>
        <v>45.924399999999999</v>
      </c>
      <c r="E395" s="10">
        <f>45.7857 * CHOOSE(CONTROL!$C$9, $D$9, 100%, $F$9) + CHOOSE(CONTROL!$C$27, 0.0021, 0)</f>
        <v>45.787799999999997</v>
      </c>
      <c r="F395" s="10">
        <f>45.7857 * CHOOSE(CONTROL!$C$9, $D$9, 100%, $F$9) + CHOOSE(CONTROL!$C$27, 0.0021, 0)</f>
        <v>45.787799999999997</v>
      </c>
      <c r="G395" s="10">
        <f>46.0571 * CHOOSE(CONTROL!$C$9, $D$9, 100%, $F$9) + CHOOSE(CONTROL!$C$27, 0.0021, 0)</f>
        <v>46.059199999999997</v>
      </c>
      <c r="H395" s="10">
        <f>45.9223 * CHOOSE(CONTROL!$C$9, $D$9, 100%, $F$9) + CHOOSE(CONTROL!$C$27, 0.0021, 0)</f>
        <v>45.924399999999999</v>
      </c>
      <c r="I395" s="10">
        <f>45.9223 * CHOOSE(CONTROL!$C$9, $D$9, 100%, $F$9) + CHOOSE(CONTROL!$C$27, 0.0021, 0)</f>
        <v>45.924399999999999</v>
      </c>
      <c r="J395" s="10">
        <f>45.9223 * CHOOSE(CONTROL!$C$9, $D$9, 100%, $F$9) + CHOOSE(CONTROL!$C$27, 0.0021, 0)</f>
        <v>45.924399999999999</v>
      </c>
      <c r="K395" s="10">
        <f>45.9223 * CHOOSE(CONTROL!$C$9, $D$9, 100%, $F$9) + CHOOSE(CONTROL!$C$27, 0.0021, 0)</f>
        <v>45.924399999999999</v>
      </c>
      <c r="L395" s="10"/>
    </row>
    <row r="396" spans="1:12" ht="15.75" x14ac:dyDescent="0.25">
      <c r="A396" s="14">
        <v>52993</v>
      </c>
      <c r="B396" s="10">
        <f>45.7773 * CHOOSE(CONTROL!$C$9, $D$9, 100%, $F$9) + CHOOSE(CONTROL!$C$27, 0.0021, 0)</f>
        <v>45.779399999999995</v>
      </c>
      <c r="C396" s="10">
        <f>45.345 * CHOOSE(CONTROL!$C$9, $D$9, 100%, $F$9) + CHOOSE(CONTROL!$C$27, 0.0021, 0)</f>
        <v>45.347099999999998</v>
      </c>
      <c r="D396" s="10">
        <f>45.345 * CHOOSE(CONTROL!$C$9, $D$9, 100%, $F$9) + CHOOSE(CONTROL!$C$27, 0.0021, 0)</f>
        <v>45.347099999999998</v>
      </c>
      <c r="E396" s="10">
        <f>45.2084 * CHOOSE(CONTROL!$C$9, $D$9, 100%, $F$9) + CHOOSE(CONTROL!$C$27, 0.0021, 0)</f>
        <v>45.210499999999996</v>
      </c>
      <c r="F396" s="10">
        <f>45.2084 * CHOOSE(CONTROL!$C$9, $D$9, 100%, $F$9) + CHOOSE(CONTROL!$C$27, 0.0021, 0)</f>
        <v>45.210499999999996</v>
      </c>
      <c r="G396" s="10">
        <f>45.4797 * CHOOSE(CONTROL!$C$9, $D$9, 100%, $F$9) + CHOOSE(CONTROL!$C$27, 0.0021, 0)</f>
        <v>45.4818</v>
      </c>
      <c r="H396" s="10">
        <f>45.345 * CHOOSE(CONTROL!$C$9, $D$9, 100%, $F$9) + CHOOSE(CONTROL!$C$27, 0.0021, 0)</f>
        <v>45.347099999999998</v>
      </c>
      <c r="I396" s="10">
        <f>45.345 * CHOOSE(CONTROL!$C$9, $D$9, 100%, $F$9) + CHOOSE(CONTROL!$C$27, 0.0021, 0)</f>
        <v>45.347099999999998</v>
      </c>
      <c r="J396" s="10">
        <f>45.345 * CHOOSE(CONTROL!$C$9, $D$9, 100%, $F$9) + CHOOSE(CONTROL!$C$27, 0.0021, 0)</f>
        <v>45.347099999999998</v>
      </c>
      <c r="K396" s="10">
        <f>45.345 * CHOOSE(CONTROL!$C$9, $D$9, 100%, $F$9) + CHOOSE(CONTROL!$C$27, 0.0021, 0)</f>
        <v>45.347099999999998</v>
      </c>
      <c r="L396" s="10"/>
    </row>
    <row r="397" spans="1:12" ht="15.75" x14ac:dyDescent="0.25">
      <c r="A397" s="14">
        <v>53021</v>
      </c>
      <c r="B397" s="10">
        <f>44.5473 * CHOOSE(CONTROL!$C$9, $D$9, 100%, $F$9) + CHOOSE(CONTROL!$C$27, 0.0021, 0)</f>
        <v>44.549399999999999</v>
      </c>
      <c r="C397" s="10">
        <f>44.115 * CHOOSE(CONTROL!$C$9, $D$9, 100%, $F$9) + CHOOSE(CONTROL!$C$27, 0.0021, 0)</f>
        <v>44.117100000000001</v>
      </c>
      <c r="D397" s="10">
        <f>44.115 * CHOOSE(CONTROL!$C$9, $D$9, 100%, $F$9) + CHOOSE(CONTROL!$C$27, 0.0021, 0)</f>
        <v>44.117100000000001</v>
      </c>
      <c r="E397" s="10">
        <f>43.9784 * CHOOSE(CONTROL!$C$9, $D$9, 100%, $F$9) + CHOOSE(CONTROL!$C$27, 0.0021, 0)</f>
        <v>43.980499999999999</v>
      </c>
      <c r="F397" s="10">
        <f>43.9784 * CHOOSE(CONTROL!$C$9, $D$9, 100%, $F$9) + CHOOSE(CONTROL!$C$27, 0.0021, 0)</f>
        <v>43.980499999999999</v>
      </c>
      <c r="G397" s="10">
        <f>44.2498 * CHOOSE(CONTROL!$C$9, $D$9, 100%, $F$9) + CHOOSE(CONTROL!$C$27, 0.0021, 0)</f>
        <v>44.251899999999999</v>
      </c>
      <c r="H397" s="10">
        <f>44.115 * CHOOSE(CONTROL!$C$9, $D$9, 100%, $F$9) + CHOOSE(CONTROL!$C$27, 0.0021, 0)</f>
        <v>44.117100000000001</v>
      </c>
      <c r="I397" s="10">
        <f>44.115 * CHOOSE(CONTROL!$C$9, $D$9, 100%, $F$9) + CHOOSE(CONTROL!$C$27, 0.0021, 0)</f>
        <v>44.117100000000001</v>
      </c>
      <c r="J397" s="10">
        <f>44.115 * CHOOSE(CONTROL!$C$9, $D$9, 100%, $F$9) + CHOOSE(CONTROL!$C$27, 0.0021, 0)</f>
        <v>44.117100000000001</v>
      </c>
      <c r="K397" s="10">
        <f>44.115 * CHOOSE(CONTROL!$C$9, $D$9, 100%, $F$9) + CHOOSE(CONTROL!$C$27, 0.0021, 0)</f>
        <v>44.117100000000001</v>
      </c>
      <c r="L397" s="10"/>
    </row>
    <row r="398" spans="1:12" ht="15.75" x14ac:dyDescent="0.25">
      <c r="A398" s="14">
        <v>53052</v>
      </c>
      <c r="B398" s="10">
        <f>44.0395 * CHOOSE(CONTROL!$C$9, $D$9, 100%, $F$9) + CHOOSE(CONTROL!$C$27, 0.0021, 0)</f>
        <v>44.041599999999995</v>
      </c>
      <c r="C398" s="10">
        <f>43.6073 * CHOOSE(CONTROL!$C$9, $D$9, 100%, $F$9) + CHOOSE(CONTROL!$C$27, 0.0021, 0)</f>
        <v>43.609400000000001</v>
      </c>
      <c r="D398" s="10">
        <f>43.6073 * CHOOSE(CONTROL!$C$9, $D$9, 100%, $F$9) + CHOOSE(CONTROL!$C$27, 0.0021, 0)</f>
        <v>43.609400000000001</v>
      </c>
      <c r="E398" s="10">
        <f>43.4706 * CHOOSE(CONTROL!$C$9, $D$9, 100%, $F$9) + CHOOSE(CONTROL!$C$27, 0.0021, 0)</f>
        <v>43.472699999999996</v>
      </c>
      <c r="F398" s="10">
        <f>43.4706 * CHOOSE(CONTROL!$C$9, $D$9, 100%, $F$9) + CHOOSE(CONTROL!$C$27, 0.0021, 0)</f>
        <v>43.472699999999996</v>
      </c>
      <c r="G398" s="10">
        <f>43.742 * CHOOSE(CONTROL!$C$9, $D$9, 100%, $F$9) + CHOOSE(CONTROL!$C$27, 0.0021, 0)</f>
        <v>43.744099999999996</v>
      </c>
      <c r="H398" s="10">
        <f>43.6073 * CHOOSE(CONTROL!$C$9, $D$9, 100%, $F$9) + CHOOSE(CONTROL!$C$27, 0.0021, 0)</f>
        <v>43.609400000000001</v>
      </c>
      <c r="I398" s="10">
        <f>43.6073 * CHOOSE(CONTROL!$C$9, $D$9, 100%, $F$9) + CHOOSE(CONTROL!$C$27, 0.0021, 0)</f>
        <v>43.609400000000001</v>
      </c>
      <c r="J398" s="10">
        <f>43.6073 * CHOOSE(CONTROL!$C$9, $D$9, 100%, $F$9) + CHOOSE(CONTROL!$C$27, 0.0021, 0)</f>
        <v>43.609400000000001</v>
      </c>
      <c r="K398" s="10">
        <f>43.6073 * CHOOSE(CONTROL!$C$9, $D$9, 100%, $F$9) + CHOOSE(CONTROL!$C$27, 0.0021, 0)</f>
        <v>43.609400000000001</v>
      </c>
      <c r="L398" s="10"/>
    </row>
    <row r="399" spans="1:12" ht="15.75" x14ac:dyDescent="0.25">
      <c r="A399" s="14">
        <v>53082</v>
      </c>
      <c r="B399" s="10">
        <f>43.4333 * CHOOSE(CONTROL!$C$9, $D$9, 100%, $F$9) + CHOOSE(CONTROL!$C$27, 0.0021, 0)</f>
        <v>43.435400000000001</v>
      </c>
      <c r="C399" s="10">
        <f>43.001 * CHOOSE(CONTROL!$C$9, $D$9, 100%, $F$9) + CHOOSE(CONTROL!$C$27, 0.0021, 0)</f>
        <v>43.003099999999996</v>
      </c>
      <c r="D399" s="10">
        <f>43.001 * CHOOSE(CONTROL!$C$9, $D$9, 100%, $F$9) + CHOOSE(CONTROL!$C$27, 0.0021, 0)</f>
        <v>43.003099999999996</v>
      </c>
      <c r="E399" s="10">
        <f>42.8644 * CHOOSE(CONTROL!$C$9, $D$9, 100%, $F$9) + CHOOSE(CONTROL!$C$27, 0.0021, 0)</f>
        <v>42.866500000000002</v>
      </c>
      <c r="F399" s="10">
        <f>42.8644 * CHOOSE(CONTROL!$C$9, $D$9, 100%, $F$9) + CHOOSE(CONTROL!$C$27, 0.0021, 0)</f>
        <v>42.866500000000002</v>
      </c>
      <c r="G399" s="10">
        <f>43.1358 * CHOOSE(CONTROL!$C$9, $D$9, 100%, $F$9) + CHOOSE(CONTROL!$C$27, 0.0021, 0)</f>
        <v>43.137900000000002</v>
      </c>
      <c r="H399" s="10">
        <f>43.001 * CHOOSE(CONTROL!$C$9, $D$9, 100%, $F$9) + CHOOSE(CONTROL!$C$27, 0.0021, 0)</f>
        <v>43.003099999999996</v>
      </c>
      <c r="I399" s="10">
        <f>43.001 * CHOOSE(CONTROL!$C$9, $D$9, 100%, $F$9) + CHOOSE(CONTROL!$C$27, 0.0021, 0)</f>
        <v>43.003099999999996</v>
      </c>
      <c r="J399" s="10">
        <f>43.001 * CHOOSE(CONTROL!$C$9, $D$9, 100%, $F$9) + CHOOSE(CONTROL!$C$27, 0.0021, 0)</f>
        <v>43.003099999999996</v>
      </c>
      <c r="K399" s="10">
        <f>43.001 * CHOOSE(CONTROL!$C$9, $D$9, 100%, $F$9) + CHOOSE(CONTROL!$C$27, 0.0021, 0)</f>
        <v>43.003099999999996</v>
      </c>
      <c r="L399" s="10"/>
    </row>
    <row r="400" spans="1:12" ht="15.75" x14ac:dyDescent="0.25">
      <c r="A400" s="14">
        <v>53113</v>
      </c>
      <c r="B400" s="10">
        <f>44.2973 * CHOOSE(CONTROL!$C$9, $D$9, 100%, $F$9) + CHOOSE(CONTROL!$C$27, 0.0021, 0)</f>
        <v>44.299399999999999</v>
      </c>
      <c r="C400" s="10">
        <f>43.865 * CHOOSE(CONTROL!$C$9, $D$9, 100%, $F$9) + CHOOSE(CONTROL!$C$27, 0.0021, 0)</f>
        <v>43.867100000000001</v>
      </c>
      <c r="D400" s="10">
        <f>43.865 * CHOOSE(CONTROL!$C$9, $D$9, 100%, $F$9) + CHOOSE(CONTROL!$C$27, 0.0021, 0)</f>
        <v>43.867100000000001</v>
      </c>
      <c r="E400" s="10">
        <f>43.7284 * CHOOSE(CONTROL!$C$9, $D$9, 100%, $F$9) + CHOOSE(CONTROL!$C$27, 0.0021, 0)</f>
        <v>43.730499999999999</v>
      </c>
      <c r="F400" s="10">
        <f>43.7284 * CHOOSE(CONTROL!$C$9, $D$9, 100%, $F$9) + CHOOSE(CONTROL!$C$27, 0.0021, 0)</f>
        <v>43.730499999999999</v>
      </c>
      <c r="G400" s="10">
        <f>43.9997 * CHOOSE(CONTROL!$C$9, $D$9, 100%, $F$9) + CHOOSE(CONTROL!$C$27, 0.0021, 0)</f>
        <v>44.001799999999996</v>
      </c>
      <c r="H400" s="10">
        <f>43.865 * CHOOSE(CONTROL!$C$9, $D$9, 100%, $F$9) + CHOOSE(CONTROL!$C$27, 0.0021, 0)</f>
        <v>43.867100000000001</v>
      </c>
      <c r="I400" s="10">
        <f>43.865 * CHOOSE(CONTROL!$C$9, $D$9, 100%, $F$9) + CHOOSE(CONTROL!$C$27, 0.0021, 0)</f>
        <v>43.867100000000001</v>
      </c>
      <c r="J400" s="10">
        <f>43.865 * CHOOSE(CONTROL!$C$9, $D$9, 100%, $F$9) + CHOOSE(CONTROL!$C$27, 0.0021, 0)</f>
        <v>43.867100000000001</v>
      </c>
      <c r="K400" s="10">
        <f>43.865 * CHOOSE(CONTROL!$C$9, $D$9, 100%, $F$9) + CHOOSE(CONTROL!$C$27, 0.0021, 0)</f>
        <v>43.867100000000001</v>
      </c>
      <c r="L400" s="10"/>
    </row>
    <row r="401" spans="1:12" ht="15.75" x14ac:dyDescent="0.25">
      <c r="A401" s="14">
        <v>53143</v>
      </c>
      <c r="B401" s="10">
        <f>44.8148 * CHOOSE(CONTROL!$C$9, $D$9, 100%, $F$9) + CHOOSE(CONTROL!$C$27, 0.0021, 0)</f>
        <v>44.816899999999997</v>
      </c>
      <c r="C401" s="10">
        <f>44.3825 * CHOOSE(CONTROL!$C$9, $D$9, 100%, $F$9) + CHOOSE(CONTROL!$C$27, 0.0021, 0)</f>
        <v>44.384599999999999</v>
      </c>
      <c r="D401" s="10">
        <f>44.3825 * CHOOSE(CONTROL!$C$9, $D$9, 100%, $F$9) + CHOOSE(CONTROL!$C$27, 0.0021, 0)</f>
        <v>44.384599999999999</v>
      </c>
      <c r="E401" s="10">
        <f>44.2459 * CHOOSE(CONTROL!$C$9, $D$9, 100%, $F$9) + CHOOSE(CONTROL!$C$27, 0.0021, 0)</f>
        <v>44.247999999999998</v>
      </c>
      <c r="F401" s="10">
        <f>44.2459 * CHOOSE(CONTROL!$C$9, $D$9, 100%, $F$9) + CHOOSE(CONTROL!$C$27, 0.0021, 0)</f>
        <v>44.247999999999998</v>
      </c>
      <c r="G401" s="10">
        <f>44.5172 * CHOOSE(CONTROL!$C$9, $D$9, 100%, $F$9) + CHOOSE(CONTROL!$C$27, 0.0021, 0)</f>
        <v>44.519300000000001</v>
      </c>
      <c r="H401" s="10">
        <f>44.3825 * CHOOSE(CONTROL!$C$9, $D$9, 100%, $F$9) + CHOOSE(CONTROL!$C$27, 0.0021, 0)</f>
        <v>44.384599999999999</v>
      </c>
      <c r="I401" s="10">
        <f>44.3825 * CHOOSE(CONTROL!$C$9, $D$9, 100%, $F$9) + CHOOSE(CONTROL!$C$27, 0.0021, 0)</f>
        <v>44.384599999999999</v>
      </c>
      <c r="J401" s="10">
        <f>44.3825 * CHOOSE(CONTROL!$C$9, $D$9, 100%, $F$9) + CHOOSE(CONTROL!$C$27, 0.0021, 0)</f>
        <v>44.384599999999999</v>
      </c>
      <c r="K401" s="10">
        <f>44.3825 * CHOOSE(CONTROL!$C$9, $D$9, 100%, $F$9) + CHOOSE(CONTROL!$C$27, 0.0021, 0)</f>
        <v>44.384599999999999</v>
      </c>
      <c r="L401" s="10"/>
    </row>
    <row r="402" spans="1:12" ht="15.75" x14ac:dyDescent="0.25">
      <c r="A402" s="14">
        <v>53174</v>
      </c>
      <c r="B402" s="10">
        <f>45.6684 * CHOOSE(CONTROL!$C$9, $D$9, 100%, $F$9) + CHOOSE(CONTROL!$C$27, 0.0021, 0)</f>
        <v>45.670499999999997</v>
      </c>
      <c r="C402" s="10">
        <f>45.2362 * CHOOSE(CONTROL!$C$9, $D$9, 100%, $F$9) + CHOOSE(CONTROL!$C$27, 0.0021, 0)</f>
        <v>45.238299999999995</v>
      </c>
      <c r="D402" s="10">
        <f>45.2362 * CHOOSE(CONTROL!$C$9, $D$9, 100%, $F$9) + CHOOSE(CONTROL!$C$27, 0.0021, 0)</f>
        <v>45.238299999999995</v>
      </c>
      <c r="E402" s="10">
        <f>45.0995 * CHOOSE(CONTROL!$C$9, $D$9, 100%, $F$9) + CHOOSE(CONTROL!$C$27, 0.0021, 0)</f>
        <v>45.101599999999998</v>
      </c>
      <c r="F402" s="10">
        <f>45.0995 * CHOOSE(CONTROL!$C$9, $D$9, 100%, $F$9) + CHOOSE(CONTROL!$C$27, 0.0021, 0)</f>
        <v>45.101599999999998</v>
      </c>
      <c r="G402" s="10">
        <f>45.3709 * CHOOSE(CONTROL!$C$9, $D$9, 100%, $F$9) + CHOOSE(CONTROL!$C$27, 0.0021, 0)</f>
        <v>45.372999999999998</v>
      </c>
      <c r="H402" s="10">
        <f>45.2362 * CHOOSE(CONTROL!$C$9, $D$9, 100%, $F$9) + CHOOSE(CONTROL!$C$27, 0.0021, 0)</f>
        <v>45.238299999999995</v>
      </c>
      <c r="I402" s="10">
        <f>45.2362 * CHOOSE(CONTROL!$C$9, $D$9, 100%, $F$9) + CHOOSE(CONTROL!$C$27, 0.0021, 0)</f>
        <v>45.238299999999995</v>
      </c>
      <c r="J402" s="10">
        <f>45.2362 * CHOOSE(CONTROL!$C$9, $D$9, 100%, $F$9) + CHOOSE(CONTROL!$C$27, 0.0021, 0)</f>
        <v>45.238299999999995</v>
      </c>
      <c r="K402" s="10">
        <f>45.2362 * CHOOSE(CONTROL!$C$9, $D$9, 100%, $F$9) + CHOOSE(CONTROL!$C$27, 0.0021, 0)</f>
        <v>45.238299999999995</v>
      </c>
      <c r="L402" s="10"/>
    </row>
    <row r="403" spans="1:12" ht="15.75" x14ac:dyDescent="0.25">
      <c r="A403" s="14">
        <v>53205</v>
      </c>
      <c r="B403" s="10">
        <f>45.929 * CHOOSE(CONTROL!$C$9, $D$9, 100%, $F$9) + CHOOSE(CONTROL!$C$27, 0.0021, 0)</f>
        <v>45.931100000000001</v>
      </c>
      <c r="C403" s="10">
        <f>45.4967 * CHOOSE(CONTROL!$C$9, $D$9, 100%, $F$9) + CHOOSE(CONTROL!$C$27, 0.0021, 0)</f>
        <v>45.498799999999996</v>
      </c>
      <c r="D403" s="10">
        <f>45.4967 * CHOOSE(CONTROL!$C$9, $D$9, 100%, $F$9) + CHOOSE(CONTROL!$C$27, 0.0021, 0)</f>
        <v>45.498799999999996</v>
      </c>
      <c r="E403" s="10">
        <f>45.3601 * CHOOSE(CONTROL!$C$9, $D$9, 100%, $F$9) + CHOOSE(CONTROL!$C$27, 0.0021, 0)</f>
        <v>45.362200000000001</v>
      </c>
      <c r="F403" s="10">
        <f>45.3601 * CHOOSE(CONTROL!$C$9, $D$9, 100%, $F$9) + CHOOSE(CONTROL!$C$27, 0.0021, 0)</f>
        <v>45.362200000000001</v>
      </c>
      <c r="G403" s="10">
        <f>45.6315 * CHOOSE(CONTROL!$C$9, $D$9, 100%, $F$9) + CHOOSE(CONTROL!$C$27, 0.0021, 0)</f>
        <v>45.633600000000001</v>
      </c>
      <c r="H403" s="10">
        <f>45.4967 * CHOOSE(CONTROL!$C$9, $D$9, 100%, $F$9) + CHOOSE(CONTROL!$C$27, 0.0021, 0)</f>
        <v>45.498799999999996</v>
      </c>
      <c r="I403" s="10">
        <f>45.4967 * CHOOSE(CONTROL!$C$9, $D$9, 100%, $F$9) + CHOOSE(CONTROL!$C$27, 0.0021, 0)</f>
        <v>45.498799999999996</v>
      </c>
      <c r="J403" s="10">
        <f>45.4967 * CHOOSE(CONTROL!$C$9, $D$9, 100%, $F$9) + CHOOSE(CONTROL!$C$27, 0.0021, 0)</f>
        <v>45.498799999999996</v>
      </c>
      <c r="K403" s="10">
        <f>45.4967 * CHOOSE(CONTROL!$C$9, $D$9, 100%, $F$9) + CHOOSE(CONTROL!$C$27, 0.0021, 0)</f>
        <v>45.498799999999996</v>
      </c>
      <c r="L403" s="10"/>
    </row>
    <row r="404" spans="1:12" ht="15.75" x14ac:dyDescent="0.25">
      <c r="A404" s="14">
        <v>53235</v>
      </c>
      <c r="B404" s="10">
        <f>46.8163 * CHOOSE(CONTROL!$C$9, $D$9, 100%, $F$9) + CHOOSE(CONTROL!$C$27, 0.0021, 0)</f>
        <v>46.818399999999997</v>
      </c>
      <c r="C404" s="10">
        <f>46.3841 * CHOOSE(CONTROL!$C$9, $D$9, 100%, $F$9) + CHOOSE(CONTROL!$C$27, 0.0021, 0)</f>
        <v>46.386199999999995</v>
      </c>
      <c r="D404" s="10">
        <f>46.3841 * CHOOSE(CONTROL!$C$9, $D$9, 100%, $F$9) + CHOOSE(CONTROL!$C$27, 0.0021, 0)</f>
        <v>46.386199999999995</v>
      </c>
      <c r="E404" s="10">
        <f>46.2474 * CHOOSE(CONTROL!$C$9, $D$9, 100%, $F$9) + CHOOSE(CONTROL!$C$27, 0.0021, 0)</f>
        <v>46.249499999999998</v>
      </c>
      <c r="F404" s="10">
        <f>46.2474 * CHOOSE(CONTROL!$C$9, $D$9, 100%, $F$9) + CHOOSE(CONTROL!$C$27, 0.0021, 0)</f>
        <v>46.249499999999998</v>
      </c>
      <c r="G404" s="10">
        <f>46.5188 * CHOOSE(CONTROL!$C$9, $D$9, 100%, $F$9) + CHOOSE(CONTROL!$C$27, 0.0021, 0)</f>
        <v>46.520899999999997</v>
      </c>
      <c r="H404" s="10">
        <f>46.3841 * CHOOSE(CONTROL!$C$9, $D$9, 100%, $F$9) + CHOOSE(CONTROL!$C$27, 0.0021, 0)</f>
        <v>46.386199999999995</v>
      </c>
      <c r="I404" s="10">
        <f>46.3841 * CHOOSE(CONTROL!$C$9, $D$9, 100%, $F$9) + CHOOSE(CONTROL!$C$27, 0.0021, 0)</f>
        <v>46.386199999999995</v>
      </c>
      <c r="J404" s="10">
        <f>46.3841 * CHOOSE(CONTROL!$C$9, $D$9, 100%, $F$9) + CHOOSE(CONTROL!$C$27, 0.0021, 0)</f>
        <v>46.386199999999995</v>
      </c>
      <c r="K404" s="10">
        <f>46.3841 * CHOOSE(CONTROL!$C$9, $D$9, 100%, $F$9) + CHOOSE(CONTROL!$C$27, 0.0021, 0)</f>
        <v>46.386199999999995</v>
      </c>
      <c r="L404" s="10"/>
    </row>
    <row r="405" spans="1:12" ht="15.75" x14ac:dyDescent="0.25">
      <c r="A405" s="14">
        <v>53266</v>
      </c>
      <c r="B405" s="10">
        <f>47.9396 * CHOOSE(CONTROL!$C$9, $D$9, 100%, $F$9) + CHOOSE(CONTROL!$C$27, 0.0021, 0)</f>
        <v>47.941699999999997</v>
      </c>
      <c r="C405" s="10">
        <f>47.5073 * CHOOSE(CONTROL!$C$9, $D$9, 100%, $F$9) + CHOOSE(CONTROL!$C$27, 0.0021, 0)</f>
        <v>47.509399999999999</v>
      </c>
      <c r="D405" s="10">
        <f>47.5073 * CHOOSE(CONTROL!$C$9, $D$9, 100%, $F$9) + CHOOSE(CONTROL!$C$27, 0.0021, 0)</f>
        <v>47.509399999999999</v>
      </c>
      <c r="E405" s="10">
        <f>47.3707 * CHOOSE(CONTROL!$C$9, $D$9, 100%, $F$9) + CHOOSE(CONTROL!$C$27, 0.0021, 0)</f>
        <v>47.372799999999998</v>
      </c>
      <c r="F405" s="10">
        <f>47.3707 * CHOOSE(CONTROL!$C$9, $D$9, 100%, $F$9) + CHOOSE(CONTROL!$C$27, 0.0021, 0)</f>
        <v>47.372799999999998</v>
      </c>
      <c r="G405" s="10">
        <f>47.642 * CHOOSE(CONTROL!$C$9, $D$9, 100%, $F$9) + CHOOSE(CONTROL!$C$27, 0.0021, 0)</f>
        <v>47.644100000000002</v>
      </c>
      <c r="H405" s="10">
        <f>47.5073 * CHOOSE(CONTROL!$C$9, $D$9, 100%, $F$9) + CHOOSE(CONTROL!$C$27, 0.0021, 0)</f>
        <v>47.509399999999999</v>
      </c>
      <c r="I405" s="10">
        <f>47.5073 * CHOOSE(CONTROL!$C$9, $D$9, 100%, $F$9) + CHOOSE(CONTROL!$C$27, 0.0021, 0)</f>
        <v>47.509399999999999</v>
      </c>
      <c r="J405" s="10">
        <f>47.5073 * CHOOSE(CONTROL!$C$9, $D$9, 100%, $F$9) + CHOOSE(CONTROL!$C$27, 0.0021, 0)</f>
        <v>47.509399999999999</v>
      </c>
      <c r="K405" s="10">
        <f>47.5073 * CHOOSE(CONTROL!$C$9, $D$9, 100%, $F$9) + CHOOSE(CONTROL!$C$27, 0.0021, 0)</f>
        <v>47.509399999999999</v>
      </c>
      <c r="L405" s="10"/>
    </row>
    <row r="406" spans="1:12" ht="15.75" x14ac:dyDescent="0.25">
      <c r="A406" s="14">
        <v>53296</v>
      </c>
      <c r="B406" s="10">
        <f>48.045 * CHOOSE(CONTROL!$C$9, $D$9, 100%, $F$9) + CHOOSE(CONTROL!$C$27, 0.0021, 0)</f>
        <v>48.0471</v>
      </c>
      <c r="C406" s="10">
        <f>47.6128 * CHOOSE(CONTROL!$C$9, $D$9, 100%, $F$9) + CHOOSE(CONTROL!$C$27, 0.0021, 0)</f>
        <v>47.614899999999999</v>
      </c>
      <c r="D406" s="10">
        <f>47.6128 * CHOOSE(CONTROL!$C$9, $D$9, 100%, $F$9) + CHOOSE(CONTROL!$C$27, 0.0021, 0)</f>
        <v>47.614899999999999</v>
      </c>
      <c r="E406" s="10">
        <f>47.4761 * CHOOSE(CONTROL!$C$9, $D$9, 100%, $F$9) + CHOOSE(CONTROL!$C$27, 0.0021, 0)</f>
        <v>47.478200000000001</v>
      </c>
      <c r="F406" s="10">
        <f>47.4761 * CHOOSE(CONTROL!$C$9, $D$9, 100%, $F$9) + CHOOSE(CONTROL!$C$27, 0.0021, 0)</f>
        <v>47.478200000000001</v>
      </c>
      <c r="G406" s="10">
        <f>47.7475 * CHOOSE(CONTROL!$C$9, $D$9, 100%, $F$9) + CHOOSE(CONTROL!$C$27, 0.0021, 0)</f>
        <v>47.749600000000001</v>
      </c>
      <c r="H406" s="10">
        <f>47.6128 * CHOOSE(CONTROL!$C$9, $D$9, 100%, $F$9) + CHOOSE(CONTROL!$C$27, 0.0021, 0)</f>
        <v>47.614899999999999</v>
      </c>
      <c r="I406" s="10">
        <f>47.6128 * CHOOSE(CONTROL!$C$9, $D$9, 100%, $F$9) + CHOOSE(CONTROL!$C$27, 0.0021, 0)</f>
        <v>47.614899999999999</v>
      </c>
      <c r="J406" s="10">
        <f>47.6128 * CHOOSE(CONTROL!$C$9, $D$9, 100%, $F$9) + CHOOSE(CONTROL!$C$27, 0.0021, 0)</f>
        <v>47.614899999999999</v>
      </c>
      <c r="K406" s="10">
        <f>47.6128 * CHOOSE(CONTROL!$C$9, $D$9, 100%, $F$9) + CHOOSE(CONTROL!$C$27, 0.0021, 0)</f>
        <v>47.614899999999999</v>
      </c>
      <c r="L406" s="10"/>
    </row>
    <row r="407" spans="1:12" ht="15.75" x14ac:dyDescent="0.25">
      <c r="A407" s="14">
        <v>53327</v>
      </c>
      <c r="B407" s="10">
        <f>47.1479 * CHOOSE(CONTROL!$C$9, $D$9, 100%, $F$9) + CHOOSE(CONTROL!$C$27, 0.0021, 0)</f>
        <v>47.15</v>
      </c>
      <c r="C407" s="10">
        <f>46.7157 * CHOOSE(CONTROL!$C$9, $D$9, 100%, $F$9) + CHOOSE(CONTROL!$C$27, 0.0021, 0)</f>
        <v>46.717799999999997</v>
      </c>
      <c r="D407" s="10">
        <f>46.7157 * CHOOSE(CONTROL!$C$9, $D$9, 100%, $F$9) + CHOOSE(CONTROL!$C$27, 0.0021, 0)</f>
        <v>46.717799999999997</v>
      </c>
      <c r="E407" s="10">
        <f>46.579 * CHOOSE(CONTROL!$C$9, $D$9, 100%, $F$9) + CHOOSE(CONTROL!$C$27, 0.0021, 0)</f>
        <v>46.581099999999999</v>
      </c>
      <c r="F407" s="10">
        <f>46.579 * CHOOSE(CONTROL!$C$9, $D$9, 100%, $F$9) + CHOOSE(CONTROL!$C$27, 0.0021, 0)</f>
        <v>46.581099999999999</v>
      </c>
      <c r="G407" s="10">
        <f>46.8504 * CHOOSE(CONTROL!$C$9, $D$9, 100%, $F$9) + CHOOSE(CONTROL!$C$27, 0.0021, 0)</f>
        <v>46.852499999999999</v>
      </c>
      <c r="H407" s="10">
        <f>46.7157 * CHOOSE(CONTROL!$C$9, $D$9, 100%, $F$9) + CHOOSE(CONTROL!$C$27, 0.0021, 0)</f>
        <v>46.717799999999997</v>
      </c>
      <c r="I407" s="10">
        <f>46.7157 * CHOOSE(CONTROL!$C$9, $D$9, 100%, $F$9) + CHOOSE(CONTROL!$C$27, 0.0021, 0)</f>
        <v>46.717799999999997</v>
      </c>
      <c r="J407" s="10">
        <f>46.7157 * CHOOSE(CONTROL!$C$9, $D$9, 100%, $F$9) + CHOOSE(CONTROL!$C$27, 0.0021, 0)</f>
        <v>46.717799999999997</v>
      </c>
      <c r="K407" s="10">
        <f>46.7157 * CHOOSE(CONTROL!$C$9, $D$9, 100%, $F$9) + CHOOSE(CONTROL!$C$27, 0.0021, 0)</f>
        <v>46.717799999999997</v>
      </c>
      <c r="L407" s="10"/>
    </row>
    <row r="408" spans="1:12" ht="15.75" x14ac:dyDescent="0.25">
      <c r="A408" s="14">
        <v>53358</v>
      </c>
      <c r="B408" s="10">
        <f>46.5602 * CHOOSE(CONTROL!$C$9, $D$9, 100%, $F$9) + CHOOSE(CONTROL!$C$27, 0.0021, 0)</f>
        <v>46.5623</v>
      </c>
      <c r="C408" s="10">
        <f>46.128 * CHOOSE(CONTROL!$C$9, $D$9, 100%, $F$9) + CHOOSE(CONTROL!$C$27, 0.0021, 0)</f>
        <v>46.130099999999999</v>
      </c>
      <c r="D408" s="10">
        <f>46.128 * CHOOSE(CONTROL!$C$9, $D$9, 100%, $F$9) + CHOOSE(CONTROL!$C$27, 0.0021, 0)</f>
        <v>46.130099999999999</v>
      </c>
      <c r="E408" s="10">
        <f>45.9913 * CHOOSE(CONTROL!$C$9, $D$9, 100%, $F$9) + CHOOSE(CONTROL!$C$27, 0.0021, 0)</f>
        <v>45.993400000000001</v>
      </c>
      <c r="F408" s="10">
        <f>45.9913 * CHOOSE(CONTROL!$C$9, $D$9, 100%, $F$9) + CHOOSE(CONTROL!$C$27, 0.0021, 0)</f>
        <v>45.993400000000001</v>
      </c>
      <c r="G408" s="10">
        <f>46.2627 * CHOOSE(CONTROL!$C$9, $D$9, 100%, $F$9) + CHOOSE(CONTROL!$C$27, 0.0021, 0)</f>
        <v>46.264800000000001</v>
      </c>
      <c r="H408" s="10">
        <f>46.128 * CHOOSE(CONTROL!$C$9, $D$9, 100%, $F$9) + CHOOSE(CONTROL!$C$27, 0.0021, 0)</f>
        <v>46.130099999999999</v>
      </c>
      <c r="I408" s="10">
        <f>46.128 * CHOOSE(CONTROL!$C$9, $D$9, 100%, $F$9) + CHOOSE(CONTROL!$C$27, 0.0021, 0)</f>
        <v>46.130099999999999</v>
      </c>
      <c r="J408" s="10">
        <f>46.128 * CHOOSE(CONTROL!$C$9, $D$9, 100%, $F$9) + CHOOSE(CONTROL!$C$27, 0.0021, 0)</f>
        <v>46.130099999999999</v>
      </c>
      <c r="K408" s="10">
        <f>46.128 * CHOOSE(CONTROL!$C$9, $D$9, 100%, $F$9) + CHOOSE(CONTROL!$C$27, 0.0021, 0)</f>
        <v>46.130099999999999</v>
      </c>
      <c r="L408" s="10"/>
    </row>
    <row r="409" spans="1:12" ht="15.75" x14ac:dyDescent="0.25">
      <c r="A409" s="14">
        <v>53386</v>
      </c>
      <c r="B409" s="10">
        <f>45.3081 * CHOOSE(CONTROL!$C$9, $D$9, 100%, $F$9) + CHOOSE(CONTROL!$C$27, 0.0021, 0)</f>
        <v>45.310200000000002</v>
      </c>
      <c r="C409" s="10">
        <f>44.8758 * CHOOSE(CONTROL!$C$9, $D$9, 100%, $F$9) + CHOOSE(CONTROL!$C$27, 0.0021, 0)</f>
        <v>44.877899999999997</v>
      </c>
      <c r="D409" s="10">
        <f>44.8758 * CHOOSE(CONTROL!$C$9, $D$9, 100%, $F$9) + CHOOSE(CONTROL!$C$27, 0.0021, 0)</f>
        <v>44.877899999999997</v>
      </c>
      <c r="E409" s="10">
        <f>44.7392 * CHOOSE(CONTROL!$C$9, $D$9, 100%, $F$9) + CHOOSE(CONTROL!$C$27, 0.0021, 0)</f>
        <v>44.741299999999995</v>
      </c>
      <c r="F409" s="10">
        <f>44.7392 * CHOOSE(CONTROL!$C$9, $D$9, 100%, $F$9) + CHOOSE(CONTROL!$C$27, 0.0021, 0)</f>
        <v>44.741299999999995</v>
      </c>
      <c r="G409" s="10">
        <f>45.0105 * CHOOSE(CONTROL!$C$9, $D$9, 100%, $F$9) + CHOOSE(CONTROL!$C$27, 0.0021, 0)</f>
        <v>45.012599999999999</v>
      </c>
      <c r="H409" s="10">
        <f>44.8758 * CHOOSE(CONTROL!$C$9, $D$9, 100%, $F$9) + CHOOSE(CONTROL!$C$27, 0.0021, 0)</f>
        <v>44.877899999999997</v>
      </c>
      <c r="I409" s="10">
        <f>44.8758 * CHOOSE(CONTROL!$C$9, $D$9, 100%, $F$9) + CHOOSE(CONTROL!$C$27, 0.0021, 0)</f>
        <v>44.877899999999997</v>
      </c>
      <c r="J409" s="10">
        <f>44.8758 * CHOOSE(CONTROL!$C$9, $D$9, 100%, $F$9) + CHOOSE(CONTROL!$C$27, 0.0021, 0)</f>
        <v>44.877899999999997</v>
      </c>
      <c r="K409" s="10">
        <f>44.8758 * CHOOSE(CONTROL!$C$9, $D$9, 100%, $F$9) + CHOOSE(CONTROL!$C$27, 0.0021, 0)</f>
        <v>44.877899999999997</v>
      </c>
      <c r="L409" s="10"/>
    </row>
    <row r="410" spans="1:12" ht="15.75" x14ac:dyDescent="0.25">
      <c r="A410" s="14">
        <v>53417</v>
      </c>
      <c r="B410" s="10">
        <f>44.7912 * CHOOSE(CONTROL!$C$9, $D$9, 100%, $F$9) + CHOOSE(CONTROL!$C$27, 0.0021, 0)</f>
        <v>44.793300000000002</v>
      </c>
      <c r="C410" s="10">
        <f>44.359 * CHOOSE(CONTROL!$C$9, $D$9, 100%, $F$9) + CHOOSE(CONTROL!$C$27, 0.0021, 0)</f>
        <v>44.3611</v>
      </c>
      <c r="D410" s="10">
        <f>44.359 * CHOOSE(CONTROL!$C$9, $D$9, 100%, $F$9) + CHOOSE(CONTROL!$C$27, 0.0021, 0)</f>
        <v>44.3611</v>
      </c>
      <c r="E410" s="10">
        <f>44.2223 * CHOOSE(CONTROL!$C$9, $D$9, 100%, $F$9) + CHOOSE(CONTROL!$C$27, 0.0021, 0)</f>
        <v>44.224399999999996</v>
      </c>
      <c r="F410" s="10">
        <f>44.2223 * CHOOSE(CONTROL!$C$9, $D$9, 100%, $F$9) + CHOOSE(CONTROL!$C$27, 0.0021, 0)</f>
        <v>44.224399999999996</v>
      </c>
      <c r="G410" s="10">
        <f>44.4937 * CHOOSE(CONTROL!$C$9, $D$9, 100%, $F$9) + CHOOSE(CONTROL!$C$27, 0.0021, 0)</f>
        <v>44.495799999999996</v>
      </c>
      <c r="H410" s="10">
        <f>44.359 * CHOOSE(CONTROL!$C$9, $D$9, 100%, $F$9) + CHOOSE(CONTROL!$C$27, 0.0021, 0)</f>
        <v>44.3611</v>
      </c>
      <c r="I410" s="10">
        <f>44.359 * CHOOSE(CONTROL!$C$9, $D$9, 100%, $F$9) + CHOOSE(CONTROL!$C$27, 0.0021, 0)</f>
        <v>44.3611</v>
      </c>
      <c r="J410" s="10">
        <f>44.359 * CHOOSE(CONTROL!$C$9, $D$9, 100%, $F$9) + CHOOSE(CONTROL!$C$27, 0.0021, 0)</f>
        <v>44.3611</v>
      </c>
      <c r="K410" s="10">
        <f>44.359 * CHOOSE(CONTROL!$C$9, $D$9, 100%, $F$9) + CHOOSE(CONTROL!$C$27, 0.0021, 0)</f>
        <v>44.3611</v>
      </c>
      <c r="L410" s="10"/>
    </row>
    <row r="411" spans="1:12" ht="15.75" x14ac:dyDescent="0.25">
      <c r="A411" s="14">
        <v>53447</v>
      </c>
      <c r="B411" s="10">
        <f>44.174 * CHOOSE(CONTROL!$C$9, $D$9, 100%, $F$9) + CHOOSE(CONTROL!$C$27, 0.0021, 0)</f>
        <v>44.176099999999998</v>
      </c>
      <c r="C411" s="10">
        <f>43.7418 * CHOOSE(CONTROL!$C$9, $D$9, 100%, $F$9) + CHOOSE(CONTROL!$C$27, 0.0021, 0)</f>
        <v>43.743899999999996</v>
      </c>
      <c r="D411" s="10">
        <f>43.7418 * CHOOSE(CONTROL!$C$9, $D$9, 100%, $F$9) + CHOOSE(CONTROL!$C$27, 0.0021, 0)</f>
        <v>43.743899999999996</v>
      </c>
      <c r="E411" s="10">
        <f>43.6051 * CHOOSE(CONTROL!$C$9, $D$9, 100%, $F$9) + CHOOSE(CONTROL!$C$27, 0.0021, 0)</f>
        <v>43.607199999999999</v>
      </c>
      <c r="F411" s="10">
        <f>43.6051 * CHOOSE(CONTROL!$C$9, $D$9, 100%, $F$9) + CHOOSE(CONTROL!$C$27, 0.0021, 0)</f>
        <v>43.607199999999999</v>
      </c>
      <c r="G411" s="10">
        <f>43.8765 * CHOOSE(CONTROL!$C$9, $D$9, 100%, $F$9) + CHOOSE(CONTROL!$C$27, 0.0021, 0)</f>
        <v>43.878599999999999</v>
      </c>
      <c r="H411" s="10">
        <f>43.7418 * CHOOSE(CONTROL!$C$9, $D$9, 100%, $F$9) + CHOOSE(CONTROL!$C$27, 0.0021, 0)</f>
        <v>43.743899999999996</v>
      </c>
      <c r="I411" s="10">
        <f>43.7418 * CHOOSE(CONTROL!$C$9, $D$9, 100%, $F$9) + CHOOSE(CONTROL!$C$27, 0.0021, 0)</f>
        <v>43.743899999999996</v>
      </c>
      <c r="J411" s="10">
        <f>43.7418 * CHOOSE(CONTROL!$C$9, $D$9, 100%, $F$9) + CHOOSE(CONTROL!$C$27, 0.0021, 0)</f>
        <v>43.743899999999996</v>
      </c>
      <c r="K411" s="10">
        <f>43.7418 * CHOOSE(CONTROL!$C$9, $D$9, 100%, $F$9) + CHOOSE(CONTROL!$C$27, 0.0021, 0)</f>
        <v>43.743899999999996</v>
      </c>
      <c r="L411" s="10"/>
    </row>
    <row r="412" spans="1:12" ht="15.75" x14ac:dyDescent="0.25">
      <c r="A412" s="14">
        <v>53478</v>
      </c>
      <c r="B412" s="10">
        <f>45.0536 * CHOOSE(CONTROL!$C$9, $D$9, 100%, $F$9) + CHOOSE(CONTROL!$C$27, 0.0021, 0)</f>
        <v>45.055700000000002</v>
      </c>
      <c r="C412" s="10">
        <f>44.6213 * CHOOSE(CONTROL!$C$9, $D$9, 100%, $F$9) + CHOOSE(CONTROL!$C$27, 0.0021, 0)</f>
        <v>44.623399999999997</v>
      </c>
      <c r="D412" s="10">
        <f>44.6213 * CHOOSE(CONTROL!$C$9, $D$9, 100%, $F$9) + CHOOSE(CONTROL!$C$27, 0.0021, 0)</f>
        <v>44.623399999999997</v>
      </c>
      <c r="E412" s="10">
        <f>44.4847 * CHOOSE(CONTROL!$C$9, $D$9, 100%, $F$9) + CHOOSE(CONTROL!$C$27, 0.0021, 0)</f>
        <v>44.486799999999995</v>
      </c>
      <c r="F412" s="10">
        <f>44.4847 * CHOOSE(CONTROL!$C$9, $D$9, 100%, $F$9) + CHOOSE(CONTROL!$C$27, 0.0021, 0)</f>
        <v>44.486799999999995</v>
      </c>
      <c r="G412" s="10">
        <f>44.756 * CHOOSE(CONTROL!$C$9, $D$9, 100%, $F$9) + CHOOSE(CONTROL!$C$27, 0.0021, 0)</f>
        <v>44.758099999999999</v>
      </c>
      <c r="H412" s="10">
        <f>44.6213 * CHOOSE(CONTROL!$C$9, $D$9, 100%, $F$9) + CHOOSE(CONTROL!$C$27, 0.0021, 0)</f>
        <v>44.623399999999997</v>
      </c>
      <c r="I412" s="10">
        <f>44.6213 * CHOOSE(CONTROL!$C$9, $D$9, 100%, $F$9) + CHOOSE(CONTROL!$C$27, 0.0021, 0)</f>
        <v>44.623399999999997</v>
      </c>
      <c r="J412" s="10">
        <f>44.6213 * CHOOSE(CONTROL!$C$9, $D$9, 100%, $F$9) + CHOOSE(CONTROL!$C$27, 0.0021, 0)</f>
        <v>44.623399999999997</v>
      </c>
      <c r="K412" s="10">
        <f>44.6213 * CHOOSE(CONTROL!$C$9, $D$9, 100%, $F$9) + CHOOSE(CONTROL!$C$27, 0.0021, 0)</f>
        <v>44.623399999999997</v>
      </c>
      <c r="L412" s="10"/>
    </row>
    <row r="413" spans="1:12" ht="15.75" x14ac:dyDescent="0.25">
      <c r="A413" s="14">
        <v>53508</v>
      </c>
      <c r="B413" s="10">
        <f>45.5804 * CHOOSE(CONTROL!$C$9, $D$9, 100%, $F$9) + CHOOSE(CONTROL!$C$27, 0.0021, 0)</f>
        <v>45.582499999999996</v>
      </c>
      <c r="C413" s="10">
        <f>45.1481 * CHOOSE(CONTROL!$C$9, $D$9, 100%, $F$9) + CHOOSE(CONTROL!$C$27, 0.0021, 0)</f>
        <v>45.150199999999998</v>
      </c>
      <c r="D413" s="10">
        <f>45.1481 * CHOOSE(CONTROL!$C$9, $D$9, 100%, $F$9) + CHOOSE(CONTROL!$C$27, 0.0021, 0)</f>
        <v>45.150199999999998</v>
      </c>
      <c r="E413" s="10">
        <f>45.0115 * CHOOSE(CONTROL!$C$9, $D$9, 100%, $F$9) + CHOOSE(CONTROL!$C$27, 0.0021, 0)</f>
        <v>45.013599999999997</v>
      </c>
      <c r="F413" s="10">
        <f>45.0115 * CHOOSE(CONTROL!$C$9, $D$9, 100%, $F$9) + CHOOSE(CONTROL!$C$27, 0.0021, 0)</f>
        <v>45.013599999999997</v>
      </c>
      <c r="G413" s="10">
        <f>45.2828 * CHOOSE(CONTROL!$C$9, $D$9, 100%, $F$9) + CHOOSE(CONTROL!$C$27, 0.0021, 0)</f>
        <v>45.2849</v>
      </c>
      <c r="H413" s="10">
        <f>45.1481 * CHOOSE(CONTROL!$C$9, $D$9, 100%, $F$9) + CHOOSE(CONTROL!$C$27, 0.0021, 0)</f>
        <v>45.150199999999998</v>
      </c>
      <c r="I413" s="10">
        <f>45.1481 * CHOOSE(CONTROL!$C$9, $D$9, 100%, $F$9) + CHOOSE(CONTROL!$C$27, 0.0021, 0)</f>
        <v>45.150199999999998</v>
      </c>
      <c r="J413" s="10">
        <f>45.1481 * CHOOSE(CONTROL!$C$9, $D$9, 100%, $F$9) + CHOOSE(CONTROL!$C$27, 0.0021, 0)</f>
        <v>45.150199999999998</v>
      </c>
      <c r="K413" s="10">
        <f>45.1481 * CHOOSE(CONTROL!$C$9, $D$9, 100%, $F$9) + CHOOSE(CONTROL!$C$27, 0.0021, 0)</f>
        <v>45.150199999999998</v>
      </c>
      <c r="L413" s="10"/>
    </row>
    <row r="414" spans="1:12" ht="15.75" x14ac:dyDescent="0.25">
      <c r="A414" s="14">
        <v>53539</v>
      </c>
      <c r="B414" s="10">
        <f>46.4494 * CHOOSE(CONTROL!$C$9, $D$9, 100%, $F$9) + CHOOSE(CONTROL!$C$27, 0.0021, 0)</f>
        <v>46.451499999999996</v>
      </c>
      <c r="C414" s="10">
        <f>46.0172 * CHOOSE(CONTROL!$C$9, $D$9, 100%, $F$9) + CHOOSE(CONTROL!$C$27, 0.0021, 0)</f>
        <v>46.019300000000001</v>
      </c>
      <c r="D414" s="10">
        <f>46.0172 * CHOOSE(CONTROL!$C$9, $D$9, 100%, $F$9) + CHOOSE(CONTROL!$C$27, 0.0021, 0)</f>
        <v>46.019300000000001</v>
      </c>
      <c r="E414" s="10">
        <f>45.8805 * CHOOSE(CONTROL!$C$9, $D$9, 100%, $F$9) + CHOOSE(CONTROL!$C$27, 0.0021, 0)</f>
        <v>45.882599999999996</v>
      </c>
      <c r="F414" s="10">
        <f>45.8805 * CHOOSE(CONTROL!$C$9, $D$9, 100%, $F$9) + CHOOSE(CONTROL!$C$27, 0.0021, 0)</f>
        <v>45.882599999999996</v>
      </c>
      <c r="G414" s="10">
        <f>46.1519 * CHOOSE(CONTROL!$C$9, $D$9, 100%, $F$9) + CHOOSE(CONTROL!$C$27, 0.0021, 0)</f>
        <v>46.153999999999996</v>
      </c>
      <c r="H414" s="10">
        <f>46.0172 * CHOOSE(CONTROL!$C$9, $D$9, 100%, $F$9) + CHOOSE(CONTROL!$C$27, 0.0021, 0)</f>
        <v>46.019300000000001</v>
      </c>
      <c r="I414" s="10">
        <f>46.0172 * CHOOSE(CONTROL!$C$9, $D$9, 100%, $F$9) + CHOOSE(CONTROL!$C$27, 0.0021, 0)</f>
        <v>46.019300000000001</v>
      </c>
      <c r="J414" s="10">
        <f>46.0172 * CHOOSE(CONTROL!$C$9, $D$9, 100%, $F$9) + CHOOSE(CONTROL!$C$27, 0.0021, 0)</f>
        <v>46.019300000000001</v>
      </c>
      <c r="K414" s="10">
        <f>46.0172 * CHOOSE(CONTROL!$C$9, $D$9, 100%, $F$9) + CHOOSE(CONTROL!$C$27, 0.0021, 0)</f>
        <v>46.019300000000001</v>
      </c>
      <c r="L414" s="10"/>
    </row>
    <row r="415" spans="1:12" ht="15.75" x14ac:dyDescent="0.25">
      <c r="A415" s="14">
        <v>53570</v>
      </c>
      <c r="B415" s="10">
        <f>46.7147 * CHOOSE(CONTROL!$C$9, $D$9, 100%, $F$9) + CHOOSE(CONTROL!$C$27, 0.0021, 0)</f>
        <v>46.716799999999999</v>
      </c>
      <c r="C415" s="10">
        <f>46.2824 * CHOOSE(CONTROL!$C$9, $D$9, 100%, $F$9) + CHOOSE(CONTROL!$C$27, 0.0021, 0)</f>
        <v>46.284500000000001</v>
      </c>
      <c r="D415" s="10">
        <f>46.2824 * CHOOSE(CONTROL!$C$9, $D$9, 100%, $F$9) + CHOOSE(CONTROL!$C$27, 0.0021, 0)</f>
        <v>46.284500000000001</v>
      </c>
      <c r="E415" s="10">
        <f>46.1458 * CHOOSE(CONTROL!$C$9, $D$9, 100%, $F$9) + CHOOSE(CONTROL!$C$27, 0.0021, 0)</f>
        <v>46.1479</v>
      </c>
      <c r="F415" s="10">
        <f>46.1458 * CHOOSE(CONTROL!$C$9, $D$9, 100%, $F$9) + CHOOSE(CONTROL!$C$27, 0.0021, 0)</f>
        <v>46.1479</v>
      </c>
      <c r="G415" s="10">
        <f>46.4171 * CHOOSE(CONTROL!$C$9, $D$9, 100%, $F$9) + CHOOSE(CONTROL!$C$27, 0.0021, 0)</f>
        <v>46.419199999999996</v>
      </c>
      <c r="H415" s="10">
        <f>46.2824 * CHOOSE(CONTROL!$C$9, $D$9, 100%, $F$9) + CHOOSE(CONTROL!$C$27, 0.0021, 0)</f>
        <v>46.284500000000001</v>
      </c>
      <c r="I415" s="10">
        <f>46.2824 * CHOOSE(CONTROL!$C$9, $D$9, 100%, $F$9) + CHOOSE(CONTROL!$C$27, 0.0021, 0)</f>
        <v>46.284500000000001</v>
      </c>
      <c r="J415" s="10">
        <f>46.2824 * CHOOSE(CONTROL!$C$9, $D$9, 100%, $F$9) + CHOOSE(CONTROL!$C$27, 0.0021, 0)</f>
        <v>46.284500000000001</v>
      </c>
      <c r="K415" s="10">
        <f>46.2824 * CHOOSE(CONTROL!$C$9, $D$9, 100%, $F$9) + CHOOSE(CONTROL!$C$27, 0.0021, 0)</f>
        <v>46.284500000000001</v>
      </c>
      <c r="L415" s="10"/>
    </row>
    <row r="416" spans="1:12" ht="15.75" x14ac:dyDescent="0.25">
      <c r="A416" s="14">
        <v>53600</v>
      </c>
      <c r="B416" s="10">
        <f>47.618 * CHOOSE(CONTROL!$C$9, $D$9, 100%, $F$9) + CHOOSE(CONTROL!$C$27, 0.0021, 0)</f>
        <v>47.620100000000001</v>
      </c>
      <c r="C416" s="10">
        <f>47.1857 * CHOOSE(CONTROL!$C$9, $D$9, 100%, $F$9) + CHOOSE(CONTROL!$C$27, 0.0021, 0)</f>
        <v>47.187799999999996</v>
      </c>
      <c r="D416" s="10">
        <f>47.1857 * CHOOSE(CONTROL!$C$9, $D$9, 100%, $F$9) + CHOOSE(CONTROL!$C$27, 0.0021, 0)</f>
        <v>47.187799999999996</v>
      </c>
      <c r="E416" s="10">
        <f>47.0491 * CHOOSE(CONTROL!$C$9, $D$9, 100%, $F$9) + CHOOSE(CONTROL!$C$27, 0.0021, 0)</f>
        <v>47.051200000000001</v>
      </c>
      <c r="F416" s="10">
        <f>47.0491 * CHOOSE(CONTROL!$C$9, $D$9, 100%, $F$9) + CHOOSE(CONTROL!$C$27, 0.0021, 0)</f>
        <v>47.051200000000001</v>
      </c>
      <c r="G416" s="10">
        <f>47.3205 * CHOOSE(CONTROL!$C$9, $D$9, 100%, $F$9) + CHOOSE(CONTROL!$C$27, 0.0021, 0)</f>
        <v>47.322600000000001</v>
      </c>
      <c r="H416" s="10">
        <f>47.1857 * CHOOSE(CONTROL!$C$9, $D$9, 100%, $F$9) + CHOOSE(CONTROL!$C$27, 0.0021, 0)</f>
        <v>47.187799999999996</v>
      </c>
      <c r="I416" s="10">
        <f>47.1857 * CHOOSE(CONTROL!$C$9, $D$9, 100%, $F$9) + CHOOSE(CONTROL!$C$27, 0.0021, 0)</f>
        <v>47.187799999999996</v>
      </c>
      <c r="J416" s="10">
        <f>47.1857 * CHOOSE(CONTROL!$C$9, $D$9, 100%, $F$9) + CHOOSE(CONTROL!$C$27, 0.0021, 0)</f>
        <v>47.187799999999996</v>
      </c>
      <c r="K416" s="10">
        <f>47.1857 * CHOOSE(CONTROL!$C$9, $D$9, 100%, $F$9) + CHOOSE(CONTROL!$C$27, 0.0021, 0)</f>
        <v>47.187799999999996</v>
      </c>
      <c r="L416" s="10"/>
    </row>
    <row r="417" spans="1:12" ht="15.75" x14ac:dyDescent="0.25">
      <c r="A417" s="14">
        <v>53631</v>
      </c>
      <c r="B417" s="10">
        <f>48.7614 * CHOOSE(CONTROL!$C$9, $D$9, 100%, $F$9) + CHOOSE(CONTROL!$C$27, 0.0021, 0)</f>
        <v>48.763500000000001</v>
      </c>
      <c r="C417" s="10">
        <f>48.3292 * CHOOSE(CONTROL!$C$9, $D$9, 100%, $F$9) + CHOOSE(CONTROL!$C$27, 0.0021, 0)</f>
        <v>48.331299999999999</v>
      </c>
      <c r="D417" s="10">
        <f>48.3292 * CHOOSE(CONTROL!$C$9, $D$9, 100%, $F$9) + CHOOSE(CONTROL!$C$27, 0.0021, 0)</f>
        <v>48.331299999999999</v>
      </c>
      <c r="E417" s="10">
        <f>48.1925 * CHOOSE(CONTROL!$C$9, $D$9, 100%, $F$9) + CHOOSE(CONTROL!$C$27, 0.0021, 0)</f>
        <v>48.194600000000001</v>
      </c>
      <c r="F417" s="10">
        <f>48.1925 * CHOOSE(CONTROL!$C$9, $D$9, 100%, $F$9) + CHOOSE(CONTROL!$C$27, 0.0021, 0)</f>
        <v>48.194600000000001</v>
      </c>
      <c r="G417" s="10">
        <f>48.4639 * CHOOSE(CONTROL!$C$9, $D$9, 100%, $F$9) + CHOOSE(CONTROL!$C$27, 0.0021, 0)</f>
        <v>48.466000000000001</v>
      </c>
      <c r="H417" s="10">
        <f>48.3292 * CHOOSE(CONTROL!$C$9, $D$9, 100%, $F$9) + CHOOSE(CONTROL!$C$27, 0.0021, 0)</f>
        <v>48.331299999999999</v>
      </c>
      <c r="I417" s="10">
        <f>48.3292 * CHOOSE(CONTROL!$C$9, $D$9, 100%, $F$9) + CHOOSE(CONTROL!$C$27, 0.0021, 0)</f>
        <v>48.331299999999999</v>
      </c>
      <c r="J417" s="10">
        <f>48.3292 * CHOOSE(CONTROL!$C$9, $D$9, 100%, $F$9) + CHOOSE(CONTROL!$C$27, 0.0021, 0)</f>
        <v>48.331299999999999</v>
      </c>
      <c r="K417" s="10">
        <f>48.3292 * CHOOSE(CONTROL!$C$9, $D$9, 100%, $F$9) + CHOOSE(CONTROL!$C$27, 0.0021, 0)</f>
        <v>48.331299999999999</v>
      </c>
      <c r="L417" s="10"/>
    </row>
    <row r="418" spans="1:12" ht="15.75" x14ac:dyDescent="0.25">
      <c r="A418" s="14">
        <v>53661</v>
      </c>
      <c r="B418" s="10">
        <f>48.8688 * CHOOSE(CONTROL!$C$9, $D$9, 100%, $F$9) + CHOOSE(CONTROL!$C$27, 0.0021, 0)</f>
        <v>48.870899999999999</v>
      </c>
      <c r="C418" s="10">
        <f>48.4365 * CHOOSE(CONTROL!$C$9, $D$9, 100%, $F$9) + CHOOSE(CONTROL!$C$27, 0.0021, 0)</f>
        <v>48.438600000000001</v>
      </c>
      <c r="D418" s="10">
        <f>48.4365 * CHOOSE(CONTROL!$C$9, $D$9, 100%, $F$9) + CHOOSE(CONTROL!$C$27, 0.0021, 0)</f>
        <v>48.438600000000001</v>
      </c>
      <c r="E418" s="10">
        <f>48.2999 * CHOOSE(CONTROL!$C$9, $D$9, 100%, $F$9) + CHOOSE(CONTROL!$C$27, 0.0021, 0)</f>
        <v>48.302</v>
      </c>
      <c r="F418" s="10">
        <f>48.2999 * CHOOSE(CONTROL!$C$9, $D$9, 100%, $F$9) + CHOOSE(CONTROL!$C$27, 0.0021, 0)</f>
        <v>48.302</v>
      </c>
      <c r="G418" s="10">
        <f>48.5713 * CHOOSE(CONTROL!$C$9, $D$9, 100%, $F$9) + CHOOSE(CONTROL!$C$27, 0.0021, 0)</f>
        <v>48.573399999999999</v>
      </c>
      <c r="H418" s="10">
        <f>48.4365 * CHOOSE(CONTROL!$C$9, $D$9, 100%, $F$9) + CHOOSE(CONTROL!$C$27, 0.0021, 0)</f>
        <v>48.438600000000001</v>
      </c>
      <c r="I418" s="10">
        <f>48.4365 * CHOOSE(CONTROL!$C$9, $D$9, 100%, $F$9) + CHOOSE(CONTROL!$C$27, 0.0021, 0)</f>
        <v>48.438600000000001</v>
      </c>
      <c r="J418" s="10">
        <f>48.4365 * CHOOSE(CONTROL!$C$9, $D$9, 100%, $F$9) + CHOOSE(CONTROL!$C$27, 0.0021, 0)</f>
        <v>48.438600000000001</v>
      </c>
      <c r="K418" s="10">
        <f>48.4365 * CHOOSE(CONTROL!$C$9, $D$9, 100%, $F$9) + CHOOSE(CONTROL!$C$27, 0.0021, 0)</f>
        <v>48.438600000000001</v>
      </c>
      <c r="L418" s="10"/>
    </row>
    <row r="419" spans="1:12" ht="15.75" x14ac:dyDescent="0.25">
      <c r="A419" s="14">
        <v>53692</v>
      </c>
      <c r="B419" s="10">
        <f>47.9555 * CHOOSE(CONTROL!$C$9, $D$9, 100%, $F$9) + CHOOSE(CONTROL!$C$27, 0.0021, 0)</f>
        <v>47.957599999999999</v>
      </c>
      <c r="C419" s="10">
        <f>47.5233 * CHOOSE(CONTROL!$C$9, $D$9, 100%, $F$9) + CHOOSE(CONTROL!$C$27, 0.0021, 0)</f>
        <v>47.525399999999998</v>
      </c>
      <c r="D419" s="10">
        <f>47.5233 * CHOOSE(CONTROL!$C$9, $D$9, 100%, $F$9) + CHOOSE(CONTROL!$C$27, 0.0021, 0)</f>
        <v>47.525399999999998</v>
      </c>
      <c r="E419" s="10">
        <f>47.3866 * CHOOSE(CONTROL!$C$9, $D$9, 100%, $F$9) + CHOOSE(CONTROL!$C$27, 0.0021, 0)</f>
        <v>47.3887</v>
      </c>
      <c r="F419" s="10">
        <f>47.3866 * CHOOSE(CONTROL!$C$9, $D$9, 100%, $F$9) + CHOOSE(CONTROL!$C$27, 0.0021, 0)</f>
        <v>47.3887</v>
      </c>
      <c r="G419" s="10">
        <f>47.658 * CHOOSE(CONTROL!$C$9, $D$9, 100%, $F$9) + CHOOSE(CONTROL!$C$27, 0.0021, 0)</f>
        <v>47.6601</v>
      </c>
      <c r="H419" s="10">
        <f>47.5233 * CHOOSE(CONTROL!$C$9, $D$9, 100%, $F$9) + CHOOSE(CONTROL!$C$27, 0.0021, 0)</f>
        <v>47.525399999999998</v>
      </c>
      <c r="I419" s="10">
        <f>47.5233 * CHOOSE(CONTROL!$C$9, $D$9, 100%, $F$9) + CHOOSE(CONTROL!$C$27, 0.0021, 0)</f>
        <v>47.525399999999998</v>
      </c>
      <c r="J419" s="10">
        <f>47.5233 * CHOOSE(CONTROL!$C$9, $D$9, 100%, $F$9) + CHOOSE(CONTROL!$C$27, 0.0021, 0)</f>
        <v>47.525399999999998</v>
      </c>
      <c r="K419" s="10">
        <f>47.5233 * CHOOSE(CONTROL!$C$9, $D$9, 100%, $F$9) + CHOOSE(CONTROL!$C$27, 0.0021, 0)</f>
        <v>47.525399999999998</v>
      </c>
      <c r="L419" s="10"/>
    </row>
    <row r="420" spans="1:12" ht="15.75" x14ac:dyDescent="0.25">
      <c r="A420" s="14">
        <v>53723</v>
      </c>
      <c r="B420" s="10">
        <f>47.3572 * CHOOSE(CONTROL!$C$9, $D$9, 100%, $F$9) + CHOOSE(CONTROL!$C$27, 0.0021, 0)</f>
        <v>47.359299999999998</v>
      </c>
      <c r="C420" s="10">
        <f>46.925 * CHOOSE(CONTROL!$C$9, $D$9, 100%, $F$9) + CHOOSE(CONTROL!$C$27, 0.0021, 0)</f>
        <v>46.927099999999996</v>
      </c>
      <c r="D420" s="10">
        <f>46.925 * CHOOSE(CONTROL!$C$9, $D$9, 100%, $F$9) + CHOOSE(CONTROL!$C$27, 0.0021, 0)</f>
        <v>46.927099999999996</v>
      </c>
      <c r="E420" s="10">
        <f>46.7883 * CHOOSE(CONTROL!$C$9, $D$9, 100%, $F$9) + CHOOSE(CONTROL!$C$27, 0.0021, 0)</f>
        <v>46.790399999999998</v>
      </c>
      <c r="F420" s="10">
        <f>46.7883 * CHOOSE(CONTROL!$C$9, $D$9, 100%, $F$9) + CHOOSE(CONTROL!$C$27, 0.0021, 0)</f>
        <v>46.790399999999998</v>
      </c>
      <c r="G420" s="10">
        <f>47.0597 * CHOOSE(CONTROL!$C$9, $D$9, 100%, $F$9) + CHOOSE(CONTROL!$C$27, 0.0021, 0)</f>
        <v>47.061799999999998</v>
      </c>
      <c r="H420" s="10">
        <f>46.925 * CHOOSE(CONTROL!$C$9, $D$9, 100%, $F$9) + CHOOSE(CONTROL!$C$27, 0.0021, 0)</f>
        <v>46.927099999999996</v>
      </c>
      <c r="I420" s="10">
        <f>46.925 * CHOOSE(CONTROL!$C$9, $D$9, 100%, $F$9) + CHOOSE(CONTROL!$C$27, 0.0021, 0)</f>
        <v>46.927099999999996</v>
      </c>
      <c r="J420" s="10">
        <f>46.925 * CHOOSE(CONTROL!$C$9, $D$9, 100%, $F$9) + CHOOSE(CONTROL!$C$27, 0.0021, 0)</f>
        <v>46.927099999999996</v>
      </c>
      <c r="K420" s="10">
        <f>46.925 * CHOOSE(CONTROL!$C$9, $D$9, 100%, $F$9) + CHOOSE(CONTROL!$C$27, 0.0021, 0)</f>
        <v>46.927099999999996</v>
      </c>
      <c r="L420" s="10"/>
    </row>
    <row r="421" spans="1:12" ht="15.75" x14ac:dyDescent="0.25">
      <c r="A421" s="14">
        <v>53751</v>
      </c>
      <c r="B421" s="10">
        <f>46.0826 * CHOOSE(CONTROL!$C$9, $D$9, 100%, $F$9) + CHOOSE(CONTROL!$C$27, 0.0021, 0)</f>
        <v>46.084699999999998</v>
      </c>
      <c r="C421" s="10">
        <f>45.6503 * CHOOSE(CONTROL!$C$9, $D$9, 100%, $F$9) + CHOOSE(CONTROL!$C$27, 0.0021, 0)</f>
        <v>45.6524</v>
      </c>
      <c r="D421" s="10">
        <f>45.6503 * CHOOSE(CONTROL!$C$9, $D$9, 100%, $F$9) + CHOOSE(CONTROL!$C$27, 0.0021, 0)</f>
        <v>45.6524</v>
      </c>
      <c r="E421" s="10">
        <f>45.5137 * CHOOSE(CONTROL!$C$9, $D$9, 100%, $F$9) + CHOOSE(CONTROL!$C$27, 0.0021, 0)</f>
        <v>45.515799999999999</v>
      </c>
      <c r="F421" s="10">
        <f>45.5137 * CHOOSE(CONTROL!$C$9, $D$9, 100%, $F$9) + CHOOSE(CONTROL!$C$27, 0.0021, 0)</f>
        <v>45.515799999999999</v>
      </c>
      <c r="G421" s="10">
        <f>45.785 * CHOOSE(CONTROL!$C$9, $D$9, 100%, $F$9) + CHOOSE(CONTROL!$C$27, 0.0021, 0)</f>
        <v>45.787099999999995</v>
      </c>
      <c r="H421" s="10">
        <f>45.6503 * CHOOSE(CONTROL!$C$9, $D$9, 100%, $F$9) + CHOOSE(CONTROL!$C$27, 0.0021, 0)</f>
        <v>45.6524</v>
      </c>
      <c r="I421" s="10">
        <f>45.6503 * CHOOSE(CONTROL!$C$9, $D$9, 100%, $F$9) + CHOOSE(CONTROL!$C$27, 0.0021, 0)</f>
        <v>45.6524</v>
      </c>
      <c r="J421" s="10">
        <f>45.6503 * CHOOSE(CONTROL!$C$9, $D$9, 100%, $F$9) + CHOOSE(CONTROL!$C$27, 0.0021, 0)</f>
        <v>45.6524</v>
      </c>
      <c r="K421" s="10">
        <f>45.6503 * CHOOSE(CONTROL!$C$9, $D$9, 100%, $F$9) + CHOOSE(CONTROL!$C$27, 0.0021, 0)</f>
        <v>45.6524</v>
      </c>
      <c r="L421" s="10"/>
    </row>
    <row r="422" spans="1:12" ht="15.75" x14ac:dyDescent="0.25">
      <c r="A422" s="14">
        <v>53782</v>
      </c>
      <c r="B422" s="10">
        <f>45.5564 * CHOOSE(CONTROL!$C$9, $D$9, 100%, $F$9) + CHOOSE(CONTROL!$C$27, 0.0021, 0)</f>
        <v>45.558499999999995</v>
      </c>
      <c r="C422" s="10">
        <f>45.1241 * CHOOSE(CONTROL!$C$9, $D$9, 100%, $F$9) + CHOOSE(CONTROL!$C$27, 0.0021, 0)</f>
        <v>45.126199999999997</v>
      </c>
      <c r="D422" s="10">
        <f>45.1241 * CHOOSE(CONTROL!$C$9, $D$9, 100%, $F$9) + CHOOSE(CONTROL!$C$27, 0.0021, 0)</f>
        <v>45.126199999999997</v>
      </c>
      <c r="E422" s="10">
        <f>44.9875 * CHOOSE(CONTROL!$C$9, $D$9, 100%, $F$9) + CHOOSE(CONTROL!$C$27, 0.0021, 0)</f>
        <v>44.989599999999996</v>
      </c>
      <c r="F422" s="10">
        <f>44.9875 * CHOOSE(CONTROL!$C$9, $D$9, 100%, $F$9) + CHOOSE(CONTROL!$C$27, 0.0021, 0)</f>
        <v>44.989599999999996</v>
      </c>
      <c r="G422" s="10">
        <f>45.2589 * CHOOSE(CONTROL!$C$9, $D$9, 100%, $F$9) + CHOOSE(CONTROL!$C$27, 0.0021, 0)</f>
        <v>45.260999999999996</v>
      </c>
      <c r="H422" s="10">
        <f>45.1241 * CHOOSE(CONTROL!$C$9, $D$9, 100%, $F$9) + CHOOSE(CONTROL!$C$27, 0.0021, 0)</f>
        <v>45.126199999999997</v>
      </c>
      <c r="I422" s="10">
        <f>45.1241 * CHOOSE(CONTROL!$C$9, $D$9, 100%, $F$9) + CHOOSE(CONTROL!$C$27, 0.0021, 0)</f>
        <v>45.126199999999997</v>
      </c>
      <c r="J422" s="10">
        <f>45.1241 * CHOOSE(CONTROL!$C$9, $D$9, 100%, $F$9) + CHOOSE(CONTROL!$C$27, 0.0021, 0)</f>
        <v>45.126199999999997</v>
      </c>
      <c r="K422" s="10">
        <f>45.1241 * CHOOSE(CONTROL!$C$9, $D$9, 100%, $F$9) + CHOOSE(CONTROL!$C$27, 0.0021, 0)</f>
        <v>45.126199999999997</v>
      </c>
      <c r="L422" s="10"/>
    </row>
    <row r="423" spans="1:12" ht="15.75" x14ac:dyDescent="0.25">
      <c r="A423" s="14">
        <v>53812</v>
      </c>
      <c r="B423" s="10">
        <f>44.9281 * CHOOSE(CONTROL!$C$9, $D$9, 100%, $F$9) + CHOOSE(CONTROL!$C$27, 0.0021, 0)</f>
        <v>44.930199999999999</v>
      </c>
      <c r="C423" s="10">
        <f>44.4959 * CHOOSE(CONTROL!$C$9, $D$9, 100%, $F$9) + CHOOSE(CONTROL!$C$27, 0.0021, 0)</f>
        <v>44.497999999999998</v>
      </c>
      <c r="D423" s="10">
        <f>44.4959 * CHOOSE(CONTROL!$C$9, $D$9, 100%, $F$9) + CHOOSE(CONTROL!$C$27, 0.0021, 0)</f>
        <v>44.497999999999998</v>
      </c>
      <c r="E423" s="10">
        <f>44.3592 * CHOOSE(CONTROL!$C$9, $D$9, 100%, $F$9) + CHOOSE(CONTROL!$C$27, 0.0021, 0)</f>
        <v>44.3613</v>
      </c>
      <c r="F423" s="10">
        <f>44.3592 * CHOOSE(CONTROL!$C$9, $D$9, 100%, $F$9) + CHOOSE(CONTROL!$C$27, 0.0021, 0)</f>
        <v>44.3613</v>
      </c>
      <c r="G423" s="10">
        <f>44.6306 * CHOOSE(CONTROL!$C$9, $D$9, 100%, $F$9) + CHOOSE(CONTROL!$C$27, 0.0021, 0)</f>
        <v>44.6327</v>
      </c>
      <c r="H423" s="10">
        <f>44.4959 * CHOOSE(CONTROL!$C$9, $D$9, 100%, $F$9) + CHOOSE(CONTROL!$C$27, 0.0021, 0)</f>
        <v>44.497999999999998</v>
      </c>
      <c r="I423" s="10">
        <f>44.4959 * CHOOSE(CONTROL!$C$9, $D$9, 100%, $F$9) + CHOOSE(CONTROL!$C$27, 0.0021, 0)</f>
        <v>44.497999999999998</v>
      </c>
      <c r="J423" s="10">
        <f>44.4959 * CHOOSE(CONTROL!$C$9, $D$9, 100%, $F$9) + CHOOSE(CONTROL!$C$27, 0.0021, 0)</f>
        <v>44.497999999999998</v>
      </c>
      <c r="K423" s="10">
        <f>44.4959 * CHOOSE(CONTROL!$C$9, $D$9, 100%, $F$9) + CHOOSE(CONTROL!$C$27, 0.0021, 0)</f>
        <v>44.497999999999998</v>
      </c>
      <c r="L423" s="10"/>
    </row>
    <row r="424" spans="1:12" ht="15.75" x14ac:dyDescent="0.25">
      <c r="A424" s="14">
        <v>53843</v>
      </c>
      <c r="B424" s="10">
        <f>45.8235 * CHOOSE(CONTROL!$C$9, $D$9, 100%, $F$9) + CHOOSE(CONTROL!$C$27, 0.0021, 0)</f>
        <v>45.825600000000001</v>
      </c>
      <c r="C424" s="10">
        <f>45.3912 * CHOOSE(CONTROL!$C$9, $D$9, 100%, $F$9) + CHOOSE(CONTROL!$C$27, 0.0021, 0)</f>
        <v>45.393299999999996</v>
      </c>
      <c r="D424" s="10">
        <f>45.3912 * CHOOSE(CONTROL!$C$9, $D$9, 100%, $F$9) + CHOOSE(CONTROL!$C$27, 0.0021, 0)</f>
        <v>45.393299999999996</v>
      </c>
      <c r="E424" s="10">
        <f>45.2546 * CHOOSE(CONTROL!$C$9, $D$9, 100%, $F$9) + CHOOSE(CONTROL!$C$27, 0.0021, 0)</f>
        <v>45.256700000000002</v>
      </c>
      <c r="F424" s="10">
        <f>45.2546 * CHOOSE(CONTROL!$C$9, $D$9, 100%, $F$9) + CHOOSE(CONTROL!$C$27, 0.0021, 0)</f>
        <v>45.256700000000002</v>
      </c>
      <c r="G424" s="10">
        <f>45.5259 * CHOOSE(CONTROL!$C$9, $D$9, 100%, $F$9) + CHOOSE(CONTROL!$C$27, 0.0021, 0)</f>
        <v>45.527999999999999</v>
      </c>
      <c r="H424" s="10">
        <f>45.3912 * CHOOSE(CONTROL!$C$9, $D$9, 100%, $F$9) + CHOOSE(CONTROL!$C$27, 0.0021, 0)</f>
        <v>45.393299999999996</v>
      </c>
      <c r="I424" s="10">
        <f>45.3912 * CHOOSE(CONTROL!$C$9, $D$9, 100%, $F$9) + CHOOSE(CONTROL!$C$27, 0.0021, 0)</f>
        <v>45.393299999999996</v>
      </c>
      <c r="J424" s="10">
        <f>45.3912 * CHOOSE(CONTROL!$C$9, $D$9, 100%, $F$9) + CHOOSE(CONTROL!$C$27, 0.0021, 0)</f>
        <v>45.393299999999996</v>
      </c>
      <c r="K424" s="10">
        <f>45.3912 * CHOOSE(CONTROL!$C$9, $D$9, 100%, $F$9) + CHOOSE(CONTROL!$C$27, 0.0021, 0)</f>
        <v>45.393299999999996</v>
      </c>
      <c r="L424" s="10"/>
    </row>
    <row r="425" spans="1:12" ht="15.75" x14ac:dyDescent="0.25">
      <c r="A425" s="14">
        <v>53873</v>
      </c>
      <c r="B425" s="10">
        <f>46.3598 * CHOOSE(CONTROL!$C$9, $D$9, 100%, $F$9) + CHOOSE(CONTROL!$C$27, 0.0021, 0)</f>
        <v>46.361899999999999</v>
      </c>
      <c r="C425" s="10">
        <f>45.9275 * CHOOSE(CONTROL!$C$9, $D$9, 100%, $F$9) + CHOOSE(CONTROL!$C$27, 0.0021, 0)</f>
        <v>45.929600000000001</v>
      </c>
      <c r="D425" s="10">
        <f>45.9275 * CHOOSE(CONTROL!$C$9, $D$9, 100%, $F$9) + CHOOSE(CONTROL!$C$27, 0.0021, 0)</f>
        <v>45.929600000000001</v>
      </c>
      <c r="E425" s="10">
        <f>45.7909 * CHOOSE(CONTROL!$C$9, $D$9, 100%, $F$9) + CHOOSE(CONTROL!$C$27, 0.0021, 0)</f>
        <v>45.792999999999999</v>
      </c>
      <c r="F425" s="10">
        <f>45.7909 * CHOOSE(CONTROL!$C$9, $D$9, 100%, $F$9) + CHOOSE(CONTROL!$C$27, 0.0021, 0)</f>
        <v>45.792999999999999</v>
      </c>
      <c r="G425" s="10">
        <f>46.0622 * CHOOSE(CONTROL!$C$9, $D$9, 100%, $F$9) + CHOOSE(CONTROL!$C$27, 0.0021, 0)</f>
        <v>46.064299999999996</v>
      </c>
      <c r="H425" s="10">
        <f>45.9275 * CHOOSE(CONTROL!$C$9, $D$9, 100%, $F$9) + CHOOSE(CONTROL!$C$27, 0.0021, 0)</f>
        <v>45.929600000000001</v>
      </c>
      <c r="I425" s="10">
        <f>45.9275 * CHOOSE(CONTROL!$C$9, $D$9, 100%, $F$9) + CHOOSE(CONTROL!$C$27, 0.0021, 0)</f>
        <v>45.929600000000001</v>
      </c>
      <c r="J425" s="10">
        <f>45.9275 * CHOOSE(CONTROL!$C$9, $D$9, 100%, $F$9) + CHOOSE(CONTROL!$C$27, 0.0021, 0)</f>
        <v>45.929600000000001</v>
      </c>
      <c r="K425" s="10">
        <f>45.9275 * CHOOSE(CONTROL!$C$9, $D$9, 100%, $F$9) + CHOOSE(CONTROL!$C$27, 0.0021, 0)</f>
        <v>45.929600000000001</v>
      </c>
      <c r="L425" s="10"/>
    </row>
    <row r="426" spans="1:12" ht="15.75" x14ac:dyDescent="0.25">
      <c r="A426" s="14">
        <v>53904</v>
      </c>
      <c r="B426" s="10">
        <f>47.2444 * CHOOSE(CONTROL!$C$9, $D$9, 100%, $F$9) + CHOOSE(CONTROL!$C$27, 0.0021, 0)</f>
        <v>47.246499999999997</v>
      </c>
      <c r="C426" s="10">
        <f>46.8122 * CHOOSE(CONTROL!$C$9, $D$9, 100%, $F$9) + CHOOSE(CONTROL!$C$27, 0.0021, 0)</f>
        <v>46.814299999999996</v>
      </c>
      <c r="D426" s="10">
        <f>46.8122 * CHOOSE(CONTROL!$C$9, $D$9, 100%, $F$9) + CHOOSE(CONTROL!$C$27, 0.0021, 0)</f>
        <v>46.814299999999996</v>
      </c>
      <c r="E426" s="10">
        <f>46.6755 * CHOOSE(CONTROL!$C$9, $D$9, 100%, $F$9) + CHOOSE(CONTROL!$C$27, 0.0021, 0)</f>
        <v>46.677599999999998</v>
      </c>
      <c r="F426" s="10">
        <f>46.6755 * CHOOSE(CONTROL!$C$9, $D$9, 100%, $F$9) + CHOOSE(CONTROL!$C$27, 0.0021, 0)</f>
        <v>46.677599999999998</v>
      </c>
      <c r="G426" s="10">
        <f>46.9469 * CHOOSE(CONTROL!$C$9, $D$9, 100%, $F$9) + CHOOSE(CONTROL!$C$27, 0.0021, 0)</f>
        <v>46.948999999999998</v>
      </c>
      <c r="H426" s="10">
        <f>46.8122 * CHOOSE(CONTROL!$C$9, $D$9, 100%, $F$9) + CHOOSE(CONTROL!$C$27, 0.0021, 0)</f>
        <v>46.814299999999996</v>
      </c>
      <c r="I426" s="10">
        <f>46.8122 * CHOOSE(CONTROL!$C$9, $D$9, 100%, $F$9) + CHOOSE(CONTROL!$C$27, 0.0021, 0)</f>
        <v>46.814299999999996</v>
      </c>
      <c r="J426" s="10">
        <f>46.8122 * CHOOSE(CONTROL!$C$9, $D$9, 100%, $F$9) + CHOOSE(CONTROL!$C$27, 0.0021, 0)</f>
        <v>46.814299999999996</v>
      </c>
      <c r="K426" s="10">
        <f>46.8122 * CHOOSE(CONTROL!$C$9, $D$9, 100%, $F$9) + CHOOSE(CONTROL!$C$27, 0.0021, 0)</f>
        <v>46.814299999999996</v>
      </c>
      <c r="L426" s="10"/>
    </row>
    <row r="427" spans="1:12" ht="15.75" x14ac:dyDescent="0.25">
      <c r="A427" s="14">
        <v>53935</v>
      </c>
      <c r="B427" s="10">
        <f>47.5145 * CHOOSE(CONTROL!$C$9, $D$9, 100%, $F$9) + CHOOSE(CONTROL!$C$27, 0.0021, 0)</f>
        <v>47.516599999999997</v>
      </c>
      <c r="C427" s="10">
        <f>47.0822 * CHOOSE(CONTROL!$C$9, $D$9, 100%, $F$9) + CHOOSE(CONTROL!$C$27, 0.0021, 0)</f>
        <v>47.084299999999999</v>
      </c>
      <c r="D427" s="10">
        <f>47.0822 * CHOOSE(CONTROL!$C$9, $D$9, 100%, $F$9) + CHOOSE(CONTROL!$C$27, 0.0021, 0)</f>
        <v>47.084299999999999</v>
      </c>
      <c r="E427" s="10">
        <f>46.9456 * CHOOSE(CONTROL!$C$9, $D$9, 100%, $F$9) + CHOOSE(CONTROL!$C$27, 0.0021, 0)</f>
        <v>46.947699999999998</v>
      </c>
      <c r="F427" s="10">
        <f>46.9456 * CHOOSE(CONTROL!$C$9, $D$9, 100%, $F$9) + CHOOSE(CONTROL!$C$27, 0.0021, 0)</f>
        <v>46.947699999999998</v>
      </c>
      <c r="G427" s="10">
        <f>47.217 * CHOOSE(CONTROL!$C$9, $D$9, 100%, $F$9) + CHOOSE(CONTROL!$C$27, 0.0021, 0)</f>
        <v>47.219099999999997</v>
      </c>
      <c r="H427" s="10">
        <f>47.0822 * CHOOSE(CONTROL!$C$9, $D$9, 100%, $F$9) + CHOOSE(CONTROL!$C$27, 0.0021, 0)</f>
        <v>47.084299999999999</v>
      </c>
      <c r="I427" s="10">
        <f>47.0822 * CHOOSE(CONTROL!$C$9, $D$9, 100%, $F$9) + CHOOSE(CONTROL!$C$27, 0.0021, 0)</f>
        <v>47.084299999999999</v>
      </c>
      <c r="J427" s="10">
        <f>47.0822 * CHOOSE(CONTROL!$C$9, $D$9, 100%, $F$9) + CHOOSE(CONTROL!$C$27, 0.0021, 0)</f>
        <v>47.084299999999999</v>
      </c>
      <c r="K427" s="10">
        <f>47.0822 * CHOOSE(CONTROL!$C$9, $D$9, 100%, $F$9) + CHOOSE(CONTROL!$C$27, 0.0021, 0)</f>
        <v>47.084299999999999</v>
      </c>
      <c r="L427" s="10"/>
    </row>
    <row r="428" spans="1:12" ht="15.75" x14ac:dyDescent="0.25">
      <c r="A428" s="14">
        <v>53965</v>
      </c>
      <c r="B428" s="10">
        <f>48.4341 * CHOOSE(CONTROL!$C$9, $D$9, 100%, $F$9) + CHOOSE(CONTROL!$C$27, 0.0021, 0)</f>
        <v>48.436199999999999</v>
      </c>
      <c r="C428" s="10">
        <f>48.0018 * CHOOSE(CONTROL!$C$9, $D$9, 100%, $F$9) + CHOOSE(CONTROL!$C$27, 0.0021, 0)</f>
        <v>48.003900000000002</v>
      </c>
      <c r="D428" s="10">
        <f>48.0018 * CHOOSE(CONTROL!$C$9, $D$9, 100%, $F$9) + CHOOSE(CONTROL!$C$27, 0.0021, 0)</f>
        <v>48.003900000000002</v>
      </c>
      <c r="E428" s="10">
        <f>47.8652 * CHOOSE(CONTROL!$C$9, $D$9, 100%, $F$9) + CHOOSE(CONTROL!$C$27, 0.0021, 0)</f>
        <v>47.8673</v>
      </c>
      <c r="F428" s="10">
        <f>47.8652 * CHOOSE(CONTROL!$C$9, $D$9, 100%, $F$9) + CHOOSE(CONTROL!$C$27, 0.0021, 0)</f>
        <v>47.8673</v>
      </c>
      <c r="G428" s="10">
        <f>48.1365 * CHOOSE(CONTROL!$C$9, $D$9, 100%, $F$9) + CHOOSE(CONTROL!$C$27, 0.0021, 0)</f>
        <v>48.138599999999997</v>
      </c>
      <c r="H428" s="10">
        <f>48.0018 * CHOOSE(CONTROL!$C$9, $D$9, 100%, $F$9) + CHOOSE(CONTROL!$C$27, 0.0021, 0)</f>
        <v>48.003900000000002</v>
      </c>
      <c r="I428" s="10">
        <f>48.0018 * CHOOSE(CONTROL!$C$9, $D$9, 100%, $F$9) + CHOOSE(CONTROL!$C$27, 0.0021, 0)</f>
        <v>48.003900000000002</v>
      </c>
      <c r="J428" s="10">
        <f>48.0018 * CHOOSE(CONTROL!$C$9, $D$9, 100%, $F$9) + CHOOSE(CONTROL!$C$27, 0.0021, 0)</f>
        <v>48.003900000000002</v>
      </c>
      <c r="K428" s="10">
        <f>48.0018 * CHOOSE(CONTROL!$C$9, $D$9, 100%, $F$9) + CHOOSE(CONTROL!$C$27, 0.0021, 0)</f>
        <v>48.003900000000002</v>
      </c>
      <c r="L428" s="10"/>
    </row>
    <row r="429" spans="1:12" ht="15.75" x14ac:dyDescent="0.25">
      <c r="A429" s="14">
        <v>53996</v>
      </c>
      <c r="B429" s="10">
        <f>49.5981 * CHOOSE(CONTROL!$C$9, $D$9, 100%, $F$9) + CHOOSE(CONTROL!$C$27, 0.0021, 0)</f>
        <v>49.600200000000001</v>
      </c>
      <c r="C429" s="10">
        <f>49.1659 * CHOOSE(CONTROL!$C$9, $D$9, 100%, $F$9) + CHOOSE(CONTROL!$C$27, 0.0021, 0)</f>
        <v>49.167999999999999</v>
      </c>
      <c r="D429" s="10">
        <f>49.1659 * CHOOSE(CONTROL!$C$9, $D$9, 100%, $F$9) + CHOOSE(CONTROL!$C$27, 0.0021, 0)</f>
        <v>49.167999999999999</v>
      </c>
      <c r="E429" s="10">
        <f>49.0292 * CHOOSE(CONTROL!$C$9, $D$9, 100%, $F$9) + CHOOSE(CONTROL!$C$27, 0.0021, 0)</f>
        <v>49.031300000000002</v>
      </c>
      <c r="F429" s="10">
        <f>49.0292 * CHOOSE(CONTROL!$C$9, $D$9, 100%, $F$9) + CHOOSE(CONTROL!$C$27, 0.0021, 0)</f>
        <v>49.031300000000002</v>
      </c>
      <c r="G429" s="10">
        <f>49.3006 * CHOOSE(CONTROL!$C$9, $D$9, 100%, $F$9) + CHOOSE(CONTROL!$C$27, 0.0021, 0)</f>
        <v>49.302700000000002</v>
      </c>
      <c r="H429" s="10">
        <f>49.1659 * CHOOSE(CONTROL!$C$9, $D$9, 100%, $F$9) + CHOOSE(CONTROL!$C$27, 0.0021, 0)</f>
        <v>49.167999999999999</v>
      </c>
      <c r="I429" s="10">
        <f>49.1659 * CHOOSE(CONTROL!$C$9, $D$9, 100%, $F$9) + CHOOSE(CONTROL!$C$27, 0.0021, 0)</f>
        <v>49.167999999999999</v>
      </c>
      <c r="J429" s="10">
        <f>49.1659 * CHOOSE(CONTROL!$C$9, $D$9, 100%, $F$9) + CHOOSE(CONTROL!$C$27, 0.0021, 0)</f>
        <v>49.167999999999999</v>
      </c>
      <c r="K429" s="10">
        <f>49.1659 * CHOOSE(CONTROL!$C$9, $D$9, 100%, $F$9) + CHOOSE(CONTROL!$C$27, 0.0021, 0)</f>
        <v>49.167999999999999</v>
      </c>
      <c r="L429" s="10"/>
    </row>
    <row r="430" spans="1:12" ht="15.75" x14ac:dyDescent="0.25">
      <c r="A430" s="14">
        <v>54026</v>
      </c>
      <c r="B430" s="10">
        <f>49.7074 * CHOOSE(CONTROL!$C$9, $D$9, 100%, $F$9) + CHOOSE(CONTROL!$C$27, 0.0021, 0)</f>
        <v>49.709499999999998</v>
      </c>
      <c r="C430" s="10">
        <f>49.2751 * CHOOSE(CONTROL!$C$9, $D$9, 100%, $F$9) + CHOOSE(CONTROL!$C$27, 0.0021, 0)</f>
        <v>49.277200000000001</v>
      </c>
      <c r="D430" s="10">
        <f>49.2751 * CHOOSE(CONTROL!$C$9, $D$9, 100%, $F$9) + CHOOSE(CONTROL!$C$27, 0.0021, 0)</f>
        <v>49.277200000000001</v>
      </c>
      <c r="E430" s="10">
        <f>49.1385 * CHOOSE(CONTROL!$C$9, $D$9, 100%, $F$9) + CHOOSE(CONTROL!$C$27, 0.0021, 0)</f>
        <v>49.140599999999999</v>
      </c>
      <c r="F430" s="10">
        <f>49.1385 * CHOOSE(CONTROL!$C$9, $D$9, 100%, $F$9) + CHOOSE(CONTROL!$C$27, 0.0021, 0)</f>
        <v>49.140599999999999</v>
      </c>
      <c r="G430" s="10">
        <f>49.4099 * CHOOSE(CONTROL!$C$9, $D$9, 100%, $F$9) + CHOOSE(CONTROL!$C$27, 0.0021, 0)</f>
        <v>49.411999999999999</v>
      </c>
      <c r="H430" s="10">
        <f>49.2751 * CHOOSE(CONTROL!$C$9, $D$9, 100%, $F$9) + CHOOSE(CONTROL!$C$27, 0.0021, 0)</f>
        <v>49.277200000000001</v>
      </c>
      <c r="I430" s="10">
        <f>49.2751 * CHOOSE(CONTROL!$C$9, $D$9, 100%, $F$9) + CHOOSE(CONTROL!$C$27, 0.0021, 0)</f>
        <v>49.277200000000001</v>
      </c>
      <c r="J430" s="10">
        <f>49.2751 * CHOOSE(CONTROL!$C$9, $D$9, 100%, $F$9) + CHOOSE(CONTROL!$C$27, 0.0021, 0)</f>
        <v>49.277200000000001</v>
      </c>
      <c r="K430" s="10">
        <f>49.2751 * CHOOSE(CONTROL!$C$9, $D$9, 100%, $F$9) + CHOOSE(CONTROL!$C$27, 0.0021, 0)</f>
        <v>49.277200000000001</v>
      </c>
      <c r="L430" s="10"/>
    </row>
    <row r="431" spans="1:12" ht="15.75" x14ac:dyDescent="0.25">
      <c r="A431" s="14">
        <v>54057</v>
      </c>
      <c r="B431" s="10">
        <f>48.7777 * CHOOSE(CONTROL!$C$9, $D$9, 100%, $F$9) + CHOOSE(CONTROL!$C$27, 0.0021, 0)</f>
        <v>48.779800000000002</v>
      </c>
      <c r="C431" s="10">
        <f>48.3454 * CHOOSE(CONTROL!$C$9, $D$9, 100%, $F$9) + CHOOSE(CONTROL!$C$27, 0.0021, 0)</f>
        <v>48.347499999999997</v>
      </c>
      <c r="D431" s="10">
        <f>48.3454 * CHOOSE(CONTROL!$C$9, $D$9, 100%, $F$9) + CHOOSE(CONTROL!$C$27, 0.0021, 0)</f>
        <v>48.347499999999997</v>
      </c>
      <c r="E431" s="10">
        <f>48.2088 * CHOOSE(CONTROL!$C$9, $D$9, 100%, $F$9) + CHOOSE(CONTROL!$C$27, 0.0021, 0)</f>
        <v>48.210899999999995</v>
      </c>
      <c r="F431" s="10">
        <f>48.2088 * CHOOSE(CONTROL!$C$9, $D$9, 100%, $F$9) + CHOOSE(CONTROL!$C$27, 0.0021, 0)</f>
        <v>48.210899999999995</v>
      </c>
      <c r="G431" s="10">
        <f>48.4802 * CHOOSE(CONTROL!$C$9, $D$9, 100%, $F$9) + CHOOSE(CONTROL!$C$27, 0.0021, 0)</f>
        <v>48.482300000000002</v>
      </c>
      <c r="H431" s="10">
        <f>48.3454 * CHOOSE(CONTROL!$C$9, $D$9, 100%, $F$9) + CHOOSE(CONTROL!$C$27, 0.0021, 0)</f>
        <v>48.347499999999997</v>
      </c>
      <c r="I431" s="10">
        <f>48.3454 * CHOOSE(CONTROL!$C$9, $D$9, 100%, $F$9) + CHOOSE(CONTROL!$C$27, 0.0021, 0)</f>
        <v>48.347499999999997</v>
      </c>
      <c r="J431" s="10">
        <f>48.3454 * CHOOSE(CONTROL!$C$9, $D$9, 100%, $F$9) + CHOOSE(CONTROL!$C$27, 0.0021, 0)</f>
        <v>48.347499999999997</v>
      </c>
      <c r="K431" s="10">
        <f>48.3454 * CHOOSE(CONTROL!$C$9, $D$9, 100%, $F$9) + CHOOSE(CONTROL!$C$27, 0.0021, 0)</f>
        <v>48.347499999999997</v>
      </c>
      <c r="L431" s="10"/>
    </row>
    <row r="432" spans="1:12" ht="15.75" x14ac:dyDescent="0.25">
      <c r="A432" s="14">
        <v>54088</v>
      </c>
      <c r="B432" s="10">
        <f>48.1686 * CHOOSE(CONTROL!$C$9, $D$9, 100%, $F$9) + CHOOSE(CONTROL!$C$27, 0.0021, 0)</f>
        <v>48.170699999999997</v>
      </c>
      <c r="C432" s="10">
        <f>47.7364 * CHOOSE(CONTROL!$C$9, $D$9, 100%, $F$9) + CHOOSE(CONTROL!$C$27, 0.0021, 0)</f>
        <v>47.738500000000002</v>
      </c>
      <c r="D432" s="10">
        <f>47.7364 * CHOOSE(CONTROL!$C$9, $D$9, 100%, $F$9) + CHOOSE(CONTROL!$C$27, 0.0021, 0)</f>
        <v>47.738500000000002</v>
      </c>
      <c r="E432" s="10">
        <f>47.5997 * CHOOSE(CONTROL!$C$9, $D$9, 100%, $F$9) + CHOOSE(CONTROL!$C$27, 0.0021, 0)</f>
        <v>47.601799999999997</v>
      </c>
      <c r="F432" s="10">
        <f>47.5997 * CHOOSE(CONTROL!$C$9, $D$9, 100%, $F$9) + CHOOSE(CONTROL!$C$27, 0.0021, 0)</f>
        <v>47.601799999999997</v>
      </c>
      <c r="G432" s="10">
        <f>47.8711 * CHOOSE(CONTROL!$C$9, $D$9, 100%, $F$9) + CHOOSE(CONTROL!$C$27, 0.0021, 0)</f>
        <v>47.873199999999997</v>
      </c>
      <c r="H432" s="10">
        <f>47.7364 * CHOOSE(CONTROL!$C$9, $D$9, 100%, $F$9) + CHOOSE(CONTROL!$C$27, 0.0021, 0)</f>
        <v>47.738500000000002</v>
      </c>
      <c r="I432" s="10">
        <f>47.7364 * CHOOSE(CONTROL!$C$9, $D$9, 100%, $F$9) + CHOOSE(CONTROL!$C$27, 0.0021, 0)</f>
        <v>47.738500000000002</v>
      </c>
      <c r="J432" s="10">
        <f>47.7364 * CHOOSE(CONTROL!$C$9, $D$9, 100%, $F$9) + CHOOSE(CONTROL!$C$27, 0.0021, 0)</f>
        <v>47.738500000000002</v>
      </c>
      <c r="K432" s="10">
        <f>47.7364 * CHOOSE(CONTROL!$C$9, $D$9, 100%, $F$9) + CHOOSE(CONTROL!$C$27, 0.0021, 0)</f>
        <v>47.738500000000002</v>
      </c>
      <c r="L432" s="10"/>
    </row>
    <row r="433" spans="1:12" ht="15.75" x14ac:dyDescent="0.25">
      <c r="A433" s="14">
        <v>54116</v>
      </c>
      <c r="B433" s="10">
        <f>46.871 * CHOOSE(CONTROL!$C$9, $D$9, 100%, $F$9) + CHOOSE(CONTROL!$C$27, 0.0021, 0)</f>
        <v>46.873100000000001</v>
      </c>
      <c r="C433" s="10">
        <f>46.4388 * CHOOSE(CONTROL!$C$9, $D$9, 100%, $F$9) + CHOOSE(CONTROL!$C$27, 0.0021, 0)</f>
        <v>46.440899999999999</v>
      </c>
      <c r="D433" s="10">
        <f>46.4388 * CHOOSE(CONTROL!$C$9, $D$9, 100%, $F$9) + CHOOSE(CONTROL!$C$27, 0.0021, 0)</f>
        <v>46.440899999999999</v>
      </c>
      <c r="E433" s="10">
        <f>46.3021 * CHOOSE(CONTROL!$C$9, $D$9, 100%, $F$9) + CHOOSE(CONTROL!$C$27, 0.0021, 0)</f>
        <v>46.304200000000002</v>
      </c>
      <c r="F433" s="10">
        <f>46.3021 * CHOOSE(CONTROL!$C$9, $D$9, 100%, $F$9) + CHOOSE(CONTROL!$C$27, 0.0021, 0)</f>
        <v>46.304200000000002</v>
      </c>
      <c r="G433" s="10">
        <f>46.5735 * CHOOSE(CONTROL!$C$9, $D$9, 100%, $F$9) + CHOOSE(CONTROL!$C$27, 0.0021, 0)</f>
        <v>46.575600000000001</v>
      </c>
      <c r="H433" s="10">
        <f>46.4388 * CHOOSE(CONTROL!$C$9, $D$9, 100%, $F$9) + CHOOSE(CONTROL!$C$27, 0.0021, 0)</f>
        <v>46.440899999999999</v>
      </c>
      <c r="I433" s="10">
        <f>46.4388 * CHOOSE(CONTROL!$C$9, $D$9, 100%, $F$9) + CHOOSE(CONTROL!$C$27, 0.0021, 0)</f>
        <v>46.440899999999999</v>
      </c>
      <c r="J433" s="10">
        <f>46.4388 * CHOOSE(CONTROL!$C$9, $D$9, 100%, $F$9) + CHOOSE(CONTROL!$C$27, 0.0021, 0)</f>
        <v>46.440899999999999</v>
      </c>
      <c r="K433" s="10">
        <f>46.4388 * CHOOSE(CONTROL!$C$9, $D$9, 100%, $F$9) + CHOOSE(CONTROL!$C$27, 0.0021, 0)</f>
        <v>46.440899999999999</v>
      </c>
      <c r="L433" s="10"/>
    </row>
    <row r="434" spans="1:12" ht="15.75" x14ac:dyDescent="0.25">
      <c r="A434" s="14">
        <v>54148</v>
      </c>
      <c r="B434" s="10">
        <f>46.3353 * CHOOSE(CONTROL!$C$9, $D$9, 100%, $F$9) + CHOOSE(CONTROL!$C$27, 0.0021, 0)</f>
        <v>46.337399999999995</v>
      </c>
      <c r="C434" s="10">
        <f>45.9031 * CHOOSE(CONTROL!$C$9, $D$9, 100%, $F$9) + CHOOSE(CONTROL!$C$27, 0.0021, 0)</f>
        <v>45.905200000000001</v>
      </c>
      <c r="D434" s="10">
        <f>45.9031 * CHOOSE(CONTROL!$C$9, $D$9, 100%, $F$9) + CHOOSE(CONTROL!$C$27, 0.0021, 0)</f>
        <v>45.905200000000001</v>
      </c>
      <c r="E434" s="10">
        <f>45.7664 * CHOOSE(CONTROL!$C$9, $D$9, 100%, $F$9) + CHOOSE(CONTROL!$C$27, 0.0021, 0)</f>
        <v>45.768499999999996</v>
      </c>
      <c r="F434" s="10">
        <f>45.7664 * CHOOSE(CONTROL!$C$9, $D$9, 100%, $F$9) + CHOOSE(CONTROL!$C$27, 0.0021, 0)</f>
        <v>45.768499999999996</v>
      </c>
      <c r="G434" s="10">
        <f>46.0378 * CHOOSE(CONTROL!$C$9, $D$9, 100%, $F$9) + CHOOSE(CONTROL!$C$27, 0.0021, 0)</f>
        <v>46.039899999999996</v>
      </c>
      <c r="H434" s="10">
        <f>45.9031 * CHOOSE(CONTROL!$C$9, $D$9, 100%, $F$9) + CHOOSE(CONTROL!$C$27, 0.0021, 0)</f>
        <v>45.905200000000001</v>
      </c>
      <c r="I434" s="10">
        <f>45.9031 * CHOOSE(CONTROL!$C$9, $D$9, 100%, $F$9) + CHOOSE(CONTROL!$C$27, 0.0021, 0)</f>
        <v>45.905200000000001</v>
      </c>
      <c r="J434" s="10">
        <f>45.9031 * CHOOSE(CONTROL!$C$9, $D$9, 100%, $F$9) + CHOOSE(CONTROL!$C$27, 0.0021, 0)</f>
        <v>45.905200000000001</v>
      </c>
      <c r="K434" s="10">
        <f>45.9031 * CHOOSE(CONTROL!$C$9, $D$9, 100%, $F$9) + CHOOSE(CONTROL!$C$27, 0.0021, 0)</f>
        <v>45.905200000000001</v>
      </c>
      <c r="L434" s="10"/>
    </row>
    <row r="435" spans="1:12" ht="15.75" x14ac:dyDescent="0.25">
      <c r="A435" s="14">
        <v>54178</v>
      </c>
      <c r="B435" s="10">
        <f>45.6958 * CHOOSE(CONTROL!$C$9, $D$9, 100%, $F$9) + CHOOSE(CONTROL!$C$27, 0.0021, 0)</f>
        <v>45.697899999999997</v>
      </c>
      <c r="C435" s="10">
        <f>45.2635 * CHOOSE(CONTROL!$C$9, $D$9, 100%, $F$9) + CHOOSE(CONTROL!$C$27, 0.0021, 0)</f>
        <v>45.265599999999999</v>
      </c>
      <c r="D435" s="10">
        <f>45.2635 * CHOOSE(CONTROL!$C$9, $D$9, 100%, $F$9) + CHOOSE(CONTROL!$C$27, 0.0021, 0)</f>
        <v>45.265599999999999</v>
      </c>
      <c r="E435" s="10">
        <f>45.1269 * CHOOSE(CONTROL!$C$9, $D$9, 100%, $F$9) + CHOOSE(CONTROL!$C$27, 0.0021, 0)</f>
        <v>45.128999999999998</v>
      </c>
      <c r="F435" s="10">
        <f>45.1269 * CHOOSE(CONTROL!$C$9, $D$9, 100%, $F$9) + CHOOSE(CONTROL!$C$27, 0.0021, 0)</f>
        <v>45.128999999999998</v>
      </c>
      <c r="G435" s="10">
        <f>45.3982 * CHOOSE(CONTROL!$C$9, $D$9, 100%, $F$9) + CHOOSE(CONTROL!$C$27, 0.0021, 0)</f>
        <v>45.400300000000001</v>
      </c>
      <c r="H435" s="10">
        <f>45.2635 * CHOOSE(CONTROL!$C$9, $D$9, 100%, $F$9) + CHOOSE(CONTROL!$C$27, 0.0021, 0)</f>
        <v>45.265599999999999</v>
      </c>
      <c r="I435" s="10">
        <f>45.2635 * CHOOSE(CONTROL!$C$9, $D$9, 100%, $F$9) + CHOOSE(CONTROL!$C$27, 0.0021, 0)</f>
        <v>45.265599999999999</v>
      </c>
      <c r="J435" s="10">
        <f>45.2635 * CHOOSE(CONTROL!$C$9, $D$9, 100%, $F$9) + CHOOSE(CONTROL!$C$27, 0.0021, 0)</f>
        <v>45.265599999999999</v>
      </c>
      <c r="K435" s="10">
        <f>45.2635 * CHOOSE(CONTROL!$C$9, $D$9, 100%, $F$9) + CHOOSE(CONTROL!$C$27, 0.0021, 0)</f>
        <v>45.265599999999999</v>
      </c>
      <c r="L435" s="10"/>
    </row>
    <row r="436" spans="1:12" ht="15.75" x14ac:dyDescent="0.25">
      <c r="A436" s="14">
        <v>54209</v>
      </c>
      <c r="B436" s="10">
        <f>46.6072 * CHOOSE(CONTROL!$C$9, $D$9, 100%, $F$9) + CHOOSE(CONTROL!$C$27, 0.0021, 0)</f>
        <v>46.609299999999998</v>
      </c>
      <c r="C436" s="10">
        <f>46.175 * CHOOSE(CONTROL!$C$9, $D$9, 100%, $F$9) + CHOOSE(CONTROL!$C$27, 0.0021, 0)</f>
        <v>46.177099999999996</v>
      </c>
      <c r="D436" s="10">
        <f>46.175 * CHOOSE(CONTROL!$C$9, $D$9, 100%, $F$9) + CHOOSE(CONTROL!$C$27, 0.0021, 0)</f>
        <v>46.177099999999996</v>
      </c>
      <c r="E436" s="10">
        <f>46.0383 * CHOOSE(CONTROL!$C$9, $D$9, 100%, $F$9) + CHOOSE(CONTROL!$C$27, 0.0021, 0)</f>
        <v>46.040399999999998</v>
      </c>
      <c r="F436" s="10">
        <f>46.0383 * CHOOSE(CONTROL!$C$9, $D$9, 100%, $F$9) + CHOOSE(CONTROL!$C$27, 0.0021, 0)</f>
        <v>46.040399999999998</v>
      </c>
      <c r="G436" s="10">
        <f>46.3097 * CHOOSE(CONTROL!$C$9, $D$9, 100%, $F$9) + CHOOSE(CONTROL!$C$27, 0.0021, 0)</f>
        <v>46.311799999999998</v>
      </c>
      <c r="H436" s="10">
        <f>46.175 * CHOOSE(CONTROL!$C$9, $D$9, 100%, $F$9) + CHOOSE(CONTROL!$C$27, 0.0021, 0)</f>
        <v>46.177099999999996</v>
      </c>
      <c r="I436" s="10">
        <f>46.175 * CHOOSE(CONTROL!$C$9, $D$9, 100%, $F$9) + CHOOSE(CONTROL!$C$27, 0.0021, 0)</f>
        <v>46.177099999999996</v>
      </c>
      <c r="J436" s="10">
        <f>46.175 * CHOOSE(CONTROL!$C$9, $D$9, 100%, $F$9) + CHOOSE(CONTROL!$C$27, 0.0021, 0)</f>
        <v>46.177099999999996</v>
      </c>
      <c r="K436" s="10">
        <f>46.175 * CHOOSE(CONTROL!$C$9, $D$9, 100%, $F$9) + CHOOSE(CONTROL!$C$27, 0.0021, 0)</f>
        <v>46.177099999999996</v>
      </c>
      <c r="L436" s="10"/>
    </row>
    <row r="437" spans="1:12" ht="15.75" x14ac:dyDescent="0.25">
      <c r="A437" s="14">
        <v>54239</v>
      </c>
      <c r="B437" s="10">
        <f>47.1532 * CHOOSE(CONTROL!$C$9, $D$9, 100%, $F$9) + CHOOSE(CONTROL!$C$27, 0.0021, 0)</f>
        <v>47.155299999999997</v>
      </c>
      <c r="C437" s="10">
        <f>46.7209 * CHOOSE(CONTROL!$C$9, $D$9, 100%, $F$9) + CHOOSE(CONTROL!$C$27, 0.0021, 0)</f>
        <v>46.722999999999999</v>
      </c>
      <c r="D437" s="10">
        <f>46.7209 * CHOOSE(CONTROL!$C$9, $D$9, 100%, $F$9) + CHOOSE(CONTROL!$C$27, 0.0021, 0)</f>
        <v>46.722999999999999</v>
      </c>
      <c r="E437" s="10">
        <f>46.5843 * CHOOSE(CONTROL!$C$9, $D$9, 100%, $F$9) + CHOOSE(CONTROL!$C$27, 0.0021, 0)</f>
        <v>46.586399999999998</v>
      </c>
      <c r="F437" s="10">
        <f>46.5843 * CHOOSE(CONTROL!$C$9, $D$9, 100%, $F$9) + CHOOSE(CONTROL!$C$27, 0.0021, 0)</f>
        <v>46.586399999999998</v>
      </c>
      <c r="G437" s="10">
        <f>46.8557 * CHOOSE(CONTROL!$C$9, $D$9, 100%, $F$9) + CHOOSE(CONTROL!$C$27, 0.0021, 0)</f>
        <v>46.857799999999997</v>
      </c>
      <c r="H437" s="10">
        <f>46.7209 * CHOOSE(CONTROL!$C$9, $D$9, 100%, $F$9) + CHOOSE(CONTROL!$C$27, 0.0021, 0)</f>
        <v>46.722999999999999</v>
      </c>
      <c r="I437" s="10">
        <f>46.7209 * CHOOSE(CONTROL!$C$9, $D$9, 100%, $F$9) + CHOOSE(CONTROL!$C$27, 0.0021, 0)</f>
        <v>46.722999999999999</v>
      </c>
      <c r="J437" s="10">
        <f>46.7209 * CHOOSE(CONTROL!$C$9, $D$9, 100%, $F$9) + CHOOSE(CONTROL!$C$27, 0.0021, 0)</f>
        <v>46.722999999999999</v>
      </c>
      <c r="K437" s="10">
        <f>46.7209 * CHOOSE(CONTROL!$C$9, $D$9, 100%, $F$9) + CHOOSE(CONTROL!$C$27, 0.0021, 0)</f>
        <v>46.722999999999999</v>
      </c>
      <c r="L437" s="10"/>
    </row>
    <row r="438" spans="1:12" ht="15.75" x14ac:dyDescent="0.25">
      <c r="A438" s="14">
        <v>54270</v>
      </c>
      <c r="B438" s="10">
        <f>48.0538 * CHOOSE(CONTROL!$C$9, $D$9, 100%, $F$9) + CHOOSE(CONTROL!$C$27, 0.0021, 0)</f>
        <v>48.055900000000001</v>
      </c>
      <c r="C438" s="10">
        <f>47.6216 * CHOOSE(CONTROL!$C$9, $D$9, 100%, $F$9) + CHOOSE(CONTROL!$C$27, 0.0021, 0)</f>
        <v>47.623699999999999</v>
      </c>
      <c r="D438" s="10">
        <f>47.6216 * CHOOSE(CONTROL!$C$9, $D$9, 100%, $F$9) + CHOOSE(CONTROL!$C$27, 0.0021, 0)</f>
        <v>47.623699999999999</v>
      </c>
      <c r="E438" s="10">
        <f>47.4849 * CHOOSE(CONTROL!$C$9, $D$9, 100%, $F$9) + CHOOSE(CONTROL!$C$27, 0.0021, 0)</f>
        <v>47.487000000000002</v>
      </c>
      <c r="F438" s="10">
        <f>47.4849 * CHOOSE(CONTROL!$C$9, $D$9, 100%, $F$9) + CHOOSE(CONTROL!$C$27, 0.0021, 0)</f>
        <v>47.487000000000002</v>
      </c>
      <c r="G438" s="10">
        <f>47.7563 * CHOOSE(CONTROL!$C$9, $D$9, 100%, $F$9) + CHOOSE(CONTROL!$C$27, 0.0021, 0)</f>
        <v>47.758400000000002</v>
      </c>
      <c r="H438" s="10">
        <f>47.6216 * CHOOSE(CONTROL!$C$9, $D$9, 100%, $F$9) + CHOOSE(CONTROL!$C$27, 0.0021, 0)</f>
        <v>47.623699999999999</v>
      </c>
      <c r="I438" s="10">
        <f>47.6216 * CHOOSE(CONTROL!$C$9, $D$9, 100%, $F$9) + CHOOSE(CONTROL!$C$27, 0.0021, 0)</f>
        <v>47.623699999999999</v>
      </c>
      <c r="J438" s="10">
        <f>47.6216 * CHOOSE(CONTROL!$C$9, $D$9, 100%, $F$9) + CHOOSE(CONTROL!$C$27, 0.0021, 0)</f>
        <v>47.623699999999999</v>
      </c>
      <c r="K438" s="10">
        <f>47.6216 * CHOOSE(CONTROL!$C$9, $D$9, 100%, $F$9) + CHOOSE(CONTROL!$C$27, 0.0021, 0)</f>
        <v>47.623699999999999</v>
      </c>
      <c r="L438" s="10"/>
    </row>
    <row r="439" spans="1:12" ht="15.75" x14ac:dyDescent="0.25">
      <c r="A439" s="14">
        <v>54301</v>
      </c>
      <c r="B439" s="10">
        <f>48.3287 * CHOOSE(CONTROL!$C$9, $D$9, 100%, $F$9) + CHOOSE(CONTROL!$C$27, 0.0021, 0)</f>
        <v>48.330799999999996</v>
      </c>
      <c r="C439" s="10">
        <f>47.8965 * CHOOSE(CONTROL!$C$9, $D$9, 100%, $F$9) + CHOOSE(CONTROL!$C$27, 0.0021, 0)</f>
        <v>47.898600000000002</v>
      </c>
      <c r="D439" s="10">
        <f>47.8965 * CHOOSE(CONTROL!$C$9, $D$9, 100%, $F$9) + CHOOSE(CONTROL!$C$27, 0.0021, 0)</f>
        <v>47.898600000000002</v>
      </c>
      <c r="E439" s="10">
        <f>47.7598 * CHOOSE(CONTROL!$C$9, $D$9, 100%, $F$9) + CHOOSE(CONTROL!$C$27, 0.0021, 0)</f>
        <v>47.761899999999997</v>
      </c>
      <c r="F439" s="10">
        <f>47.7598 * CHOOSE(CONTROL!$C$9, $D$9, 100%, $F$9) + CHOOSE(CONTROL!$C$27, 0.0021, 0)</f>
        <v>47.761899999999997</v>
      </c>
      <c r="G439" s="10">
        <f>48.0312 * CHOOSE(CONTROL!$C$9, $D$9, 100%, $F$9) + CHOOSE(CONTROL!$C$27, 0.0021, 0)</f>
        <v>48.033299999999997</v>
      </c>
      <c r="H439" s="10">
        <f>47.8965 * CHOOSE(CONTROL!$C$9, $D$9, 100%, $F$9) + CHOOSE(CONTROL!$C$27, 0.0021, 0)</f>
        <v>47.898600000000002</v>
      </c>
      <c r="I439" s="10">
        <f>47.8965 * CHOOSE(CONTROL!$C$9, $D$9, 100%, $F$9) + CHOOSE(CONTROL!$C$27, 0.0021, 0)</f>
        <v>47.898600000000002</v>
      </c>
      <c r="J439" s="10">
        <f>47.8965 * CHOOSE(CONTROL!$C$9, $D$9, 100%, $F$9) + CHOOSE(CONTROL!$C$27, 0.0021, 0)</f>
        <v>47.898600000000002</v>
      </c>
      <c r="K439" s="10">
        <f>47.8965 * CHOOSE(CONTROL!$C$9, $D$9, 100%, $F$9) + CHOOSE(CONTROL!$C$27, 0.0021, 0)</f>
        <v>47.898600000000002</v>
      </c>
      <c r="L439" s="10"/>
    </row>
    <row r="440" spans="1:12" ht="15.75" x14ac:dyDescent="0.25">
      <c r="A440" s="14">
        <v>54331</v>
      </c>
      <c r="B440" s="10">
        <f>49.2648 * CHOOSE(CONTROL!$C$9, $D$9, 100%, $F$9) + CHOOSE(CONTROL!$C$27, 0.0021, 0)</f>
        <v>49.2669</v>
      </c>
      <c r="C440" s="10">
        <f>48.8326 * CHOOSE(CONTROL!$C$9, $D$9, 100%, $F$9) + CHOOSE(CONTROL!$C$27, 0.0021, 0)</f>
        <v>48.834699999999998</v>
      </c>
      <c r="D440" s="10">
        <f>48.8326 * CHOOSE(CONTROL!$C$9, $D$9, 100%, $F$9) + CHOOSE(CONTROL!$C$27, 0.0021, 0)</f>
        <v>48.834699999999998</v>
      </c>
      <c r="E440" s="10">
        <f>48.6959 * CHOOSE(CONTROL!$C$9, $D$9, 100%, $F$9) + CHOOSE(CONTROL!$C$27, 0.0021, 0)</f>
        <v>48.698</v>
      </c>
      <c r="F440" s="10">
        <f>48.6959 * CHOOSE(CONTROL!$C$9, $D$9, 100%, $F$9) + CHOOSE(CONTROL!$C$27, 0.0021, 0)</f>
        <v>48.698</v>
      </c>
      <c r="G440" s="10">
        <f>48.9673 * CHOOSE(CONTROL!$C$9, $D$9, 100%, $F$9) + CHOOSE(CONTROL!$C$27, 0.0021, 0)</f>
        <v>48.9694</v>
      </c>
      <c r="H440" s="10">
        <f>48.8326 * CHOOSE(CONTROL!$C$9, $D$9, 100%, $F$9) + CHOOSE(CONTROL!$C$27, 0.0021, 0)</f>
        <v>48.834699999999998</v>
      </c>
      <c r="I440" s="10">
        <f>48.8326 * CHOOSE(CONTROL!$C$9, $D$9, 100%, $F$9) + CHOOSE(CONTROL!$C$27, 0.0021, 0)</f>
        <v>48.834699999999998</v>
      </c>
      <c r="J440" s="10">
        <f>48.8326 * CHOOSE(CONTROL!$C$9, $D$9, 100%, $F$9) + CHOOSE(CONTROL!$C$27, 0.0021, 0)</f>
        <v>48.834699999999998</v>
      </c>
      <c r="K440" s="10">
        <f>48.8326 * CHOOSE(CONTROL!$C$9, $D$9, 100%, $F$9) + CHOOSE(CONTROL!$C$27, 0.0021, 0)</f>
        <v>48.834699999999998</v>
      </c>
      <c r="L440" s="10"/>
    </row>
    <row r="441" spans="1:12" ht="15.75" x14ac:dyDescent="0.25">
      <c r="A441" s="14">
        <v>54362</v>
      </c>
      <c r="B441" s="10">
        <f>50.4498 * CHOOSE(CONTROL!$C$9, $D$9, 100%, $F$9) + CHOOSE(CONTROL!$C$27, 0.0021, 0)</f>
        <v>50.451900000000002</v>
      </c>
      <c r="C441" s="10">
        <f>50.0176 * CHOOSE(CONTROL!$C$9, $D$9, 100%, $F$9) + CHOOSE(CONTROL!$C$27, 0.0021, 0)</f>
        <v>50.0197</v>
      </c>
      <c r="D441" s="10">
        <f>50.0176 * CHOOSE(CONTROL!$C$9, $D$9, 100%, $F$9) + CHOOSE(CONTROL!$C$27, 0.0021, 0)</f>
        <v>50.0197</v>
      </c>
      <c r="E441" s="10">
        <f>49.8809 * CHOOSE(CONTROL!$C$9, $D$9, 100%, $F$9) + CHOOSE(CONTROL!$C$27, 0.0021, 0)</f>
        <v>49.882999999999996</v>
      </c>
      <c r="F441" s="10">
        <f>49.8809 * CHOOSE(CONTROL!$C$9, $D$9, 100%, $F$9) + CHOOSE(CONTROL!$C$27, 0.0021, 0)</f>
        <v>49.882999999999996</v>
      </c>
      <c r="G441" s="10">
        <f>50.1523 * CHOOSE(CONTROL!$C$9, $D$9, 100%, $F$9) + CHOOSE(CONTROL!$C$27, 0.0021, 0)</f>
        <v>50.154399999999995</v>
      </c>
      <c r="H441" s="10">
        <f>50.0176 * CHOOSE(CONTROL!$C$9, $D$9, 100%, $F$9) + CHOOSE(CONTROL!$C$27, 0.0021, 0)</f>
        <v>50.0197</v>
      </c>
      <c r="I441" s="10">
        <f>50.0176 * CHOOSE(CONTROL!$C$9, $D$9, 100%, $F$9) + CHOOSE(CONTROL!$C$27, 0.0021, 0)</f>
        <v>50.0197</v>
      </c>
      <c r="J441" s="10">
        <f>50.0176 * CHOOSE(CONTROL!$C$9, $D$9, 100%, $F$9) + CHOOSE(CONTROL!$C$27, 0.0021, 0)</f>
        <v>50.0197</v>
      </c>
      <c r="K441" s="10">
        <f>50.0176 * CHOOSE(CONTROL!$C$9, $D$9, 100%, $F$9) + CHOOSE(CONTROL!$C$27, 0.0021, 0)</f>
        <v>50.0197</v>
      </c>
      <c r="L441" s="10"/>
    </row>
    <row r="442" spans="1:12" ht="15.75" x14ac:dyDescent="0.25">
      <c r="A442" s="14">
        <v>54392</v>
      </c>
      <c r="B442" s="10">
        <f>50.5611 * CHOOSE(CONTROL!$C$9, $D$9, 100%, $F$9) + CHOOSE(CONTROL!$C$27, 0.0021, 0)</f>
        <v>50.563200000000002</v>
      </c>
      <c r="C442" s="10">
        <f>50.1288 * CHOOSE(CONTROL!$C$9, $D$9, 100%, $F$9) + CHOOSE(CONTROL!$C$27, 0.0021, 0)</f>
        <v>50.130899999999997</v>
      </c>
      <c r="D442" s="10">
        <f>50.1288 * CHOOSE(CONTROL!$C$9, $D$9, 100%, $F$9) + CHOOSE(CONTROL!$C$27, 0.0021, 0)</f>
        <v>50.130899999999997</v>
      </c>
      <c r="E442" s="10">
        <f>49.9922 * CHOOSE(CONTROL!$C$9, $D$9, 100%, $F$9) + CHOOSE(CONTROL!$C$27, 0.0021, 0)</f>
        <v>49.994299999999996</v>
      </c>
      <c r="F442" s="10">
        <f>49.9922 * CHOOSE(CONTROL!$C$9, $D$9, 100%, $F$9) + CHOOSE(CONTROL!$C$27, 0.0021, 0)</f>
        <v>49.994299999999996</v>
      </c>
      <c r="G442" s="10">
        <f>50.2636 * CHOOSE(CONTROL!$C$9, $D$9, 100%, $F$9) + CHOOSE(CONTROL!$C$27, 0.0021, 0)</f>
        <v>50.265699999999995</v>
      </c>
      <c r="H442" s="10">
        <f>50.1288 * CHOOSE(CONTROL!$C$9, $D$9, 100%, $F$9) + CHOOSE(CONTROL!$C$27, 0.0021, 0)</f>
        <v>50.130899999999997</v>
      </c>
      <c r="I442" s="10">
        <f>50.1288 * CHOOSE(CONTROL!$C$9, $D$9, 100%, $F$9) + CHOOSE(CONTROL!$C$27, 0.0021, 0)</f>
        <v>50.130899999999997</v>
      </c>
      <c r="J442" s="10">
        <f>50.1288 * CHOOSE(CONTROL!$C$9, $D$9, 100%, $F$9) + CHOOSE(CONTROL!$C$27, 0.0021, 0)</f>
        <v>50.130899999999997</v>
      </c>
      <c r="K442" s="10">
        <f>50.1288 * CHOOSE(CONTROL!$C$9, $D$9, 100%, $F$9) + CHOOSE(CONTROL!$C$27, 0.0021, 0)</f>
        <v>50.130899999999997</v>
      </c>
      <c r="L442" s="10"/>
    </row>
    <row r="443" spans="1:12" ht="15.75" x14ac:dyDescent="0.25">
      <c r="A443" s="14">
        <v>54423</v>
      </c>
      <c r="B443" s="10">
        <f>49.6147 * CHOOSE(CONTROL!$C$9, $D$9, 100%, $F$9) + CHOOSE(CONTROL!$C$27, 0.0021, 0)</f>
        <v>49.616799999999998</v>
      </c>
      <c r="C443" s="10">
        <f>49.1824 * CHOOSE(CONTROL!$C$9, $D$9, 100%, $F$9) + CHOOSE(CONTROL!$C$27, 0.0021, 0)</f>
        <v>49.1845</v>
      </c>
      <c r="D443" s="10">
        <f>49.1824 * CHOOSE(CONTROL!$C$9, $D$9, 100%, $F$9) + CHOOSE(CONTROL!$C$27, 0.0021, 0)</f>
        <v>49.1845</v>
      </c>
      <c r="E443" s="10">
        <f>49.0458 * CHOOSE(CONTROL!$C$9, $D$9, 100%, $F$9) + CHOOSE(CONTROL!$C$27, 0.0021, 0)</f>
        <v>49.047899999999998</v>
      </c>
      <c r="F443" s="10">
        <f>49.0458 * CHOOSE(CONTROL!$C$9, $D$9, 100%, $F$9) + CHOOSE(CONTROL!$C$27, 0.0021, 0)</f>
        <v>49.047899999999998</v>
      </c>
      <c r="G443" s="10">
        <f>49.3171 * CHOOSE(CONTROL!$C$9, $D$9, 100%, $F$9) + CHOOSE(CONTROL!$C$27, 0.0021, 0)</f>
        <v>49.319200000000002</v>
      </c>
      <c r="H443" s="10">
        <f>49.1824 * CHOOSE(CONTROL!$C$9, $D$9, 100%, $F$9) + CHOOSE(CONTROL!$C$27, 0.0021, 0)</f>
        <v>49.1845</v>
      </c>
      <c r="I443" s="10">
        <f>49.1824 * CHOOSE(CONTROL!$C$9, $D$9, 100%, $F$9) + CHOOSE(CONTROL!$C$27, 0.0021, 0)</f>
        <v>49.1845</v>
      </c>
      <c r="J443" s="10">
        <f>49.1824 * CHOOSE(CONTROL!$C$9, $D$9, 100%, $F$9) + CHOOSE(CONTROL!$C$27, 0.0021, 0)</f>
        <v>49.1845</v>
      </c>
      <c r="K443" s="10">
        <f>49.1824 * CHOOSE(CONTROL!$C$9, $D$9, 100%, $F$9) + CHOOSE(CONTROL!$C$27, 0.0021, 0)</f>
        <v>49.1845</v>
      </c>
      <c r="L443" s="10"/>
    </row>
    <row r="444" spans="1:12" ht="15.75" x14ac:dyDescent="0.25">
      <c r="A444" s="14">
        <v>54454</v>
      </c>
      <c r="B444" s="10">
        <f>48.9946 * CHOOSE(CONTROL!$C$9, $D$9, 100%, $F$9) + CHOOSE(CONTROL!$C$27, 0.0021, 0)</f>
        <v>48.996699999999997</v>
      </c>
      <c r="C444" s="10">
        <f>48.5624 * CHOOSE(CONTROL!$C$9, $D$9, 100%, $F$9) + CHOOSE(CONTROL!$C$27, 0.0021, 0)</f>
        <v>48.564499999999995</v>
      </c>
      <c r="D444" s="10">
        <f>48.5624 * CHOOSE(CONTROL!$C$9, $D$9, 100%, $F$9) + CHOOSE(CONTROL!$C$27, 0.0021, 0)</f>
        <v>48.564499999999995</v>
      </c>
      <c r="E444" s="10">
        <f>48.4257 * CHOOSE(CONTROL!$C$9, $D$9, 100%, $F$9) + CHOOSE(CONTROL!$C$27, 0.0021, 0)</f>
        <v>48.427799999999998</v>
      </c>
      <c r="F444" s="10">
        <f>48.4257 * CHOOSE(CONTROL!$C$9, $D$9, 100%, $F$9) + CHOOSE(CONTROL!$C$27, 0.0021, 0)</f>
        <v>48.427799999999998</v>
      </c>
      <c r="G444" s="10">
        <f>48.6971 * CHOOSE(CONTROL!$C$9, $D$9, 100%, $F$9) + CHOOSE(CONTROL!$C$27, 0.0021, 0)</f>
        <v>48.699199999999998</v>
      </c>
      <c r="H444" s="10">
        <f>48.5624 * CHOOSE(CONTROL!$C$9, $D$9, 100%, $F$9) + CHOOSE(CONTROL!$C$27, 0.0021, 0)</f>
        <v>48.564499999999995</v>
      </c>
      <c r="I444" s="10">
        <f>48.5624 * CHOOSE(CONTROL!$C$9, $D$9, 100%, $F$9) + CHOOSE(CONTROL!$C$27, 0.0021, 0)</f>
        <v>48.564499999999995</v>
      </c>
      <c r="J444" s="10">
        <f>48.5624 * CHOOSE(CONTROL!$C$9, $D$9, 100%, $F$9) + CHOOSE(CONTROL!$C$27, 0.0021, 0)</f>
        <v>48.564499999999995</v>
      </c>
      <c r="K444" s="10">
        <f>48.5624 * CHOOSE(CONTROL!$C$9, $D$9, 100%, $F$9) + CHOOSE(CONTROL!$C$27, 0.0021, 0)</f>
        <v>48.564499999999995</v>
      </c>
      <c r="L444" s="10"/>
    </row>
    <row r="445" spans="1:12" ht="15.75" x14ac:dyDescent="0.25">
      <c r="A445" s="14">
        <v>54482</v>
      </c>
      <c r="B445" s="10">
        <f>47.6736 * CHOOSE(CONTROL!$C$9, $D$9, 100%, $F$9) + CHOOSE(CONTROL!$C$27, 0.0021, 0)</f>
        <v>47.675699999999999</v>
      </c>
      <c r="C445" s="10">
        <f>47.2414 * CHOOSE(CONTROL!$C$9, $D$9, 100%, $F$9) + CHOOSE(CONTROL!$C$27, 0.0021, 0)</f>
        <v>47.243499999999997</v>
      </c>
      <c r="D445" s="10">
        <f>47.2414 * CHOOSE(CONTROL!$C$9, $D$9, 100%, $F$9) + CHOOSE(CONTROL!$C$27, 0.0021, 0)</f>
        <v>47.243499999999997</v>
      </c>
      <c r="E445" s="10">
        <f>47.1047 * CHOOSE(CONTROL!$C$9, $D$9, 100%, $F$9) + CHOOSE(CONTROL!$C$27, 0.0021, 0)</f>
        <v>47.1068</v>
      </c>
      <c r="F445" s="10">
        <f>47.1047 * CHOOSE(CONTROL!$C$9, $D$9, 100%, $F$9) + CHOOSE(CONTROL!$C$27, 0.0021, 0)</f>
        <v>47.1068</v>
      </c>
      <c r="G445" s="10">
        <f>47.3761 * CHOOSE(CONTROL!$C$9, $D$9, 100%, $F$9) + CHOOSE(CONTROL!$C$27, 0.0021, 0)</f>
        <v>47.3782</v>
      </c>
      <c r="H445" s="10">
        <f>47.2414 * CHOOSE(CONTROL!$C$9, $D$9, 100%, $F$9) + CHOOSE(CONTROL!$C$27, 0.0021, 0)</f>
        <v>47.243499999999997</v>
      </c>
      <c r="I445" s="10">
        <f>47.2414 * CHOOSE(CONTROL!$C$9, $D$9, 100%, $F$9) + CHOOSE(CONTROL!$C$27, 0.0021, 0)</f>
        <v>47.243499999999997</v>
      </c>
      <c r="J445" s="10">
        <f>47.2414 * CHOOSE(CONTROL!$C$9, $D$9, 100%, $F$9) + CHOOSE(CONTROL!$C$27, 0.0021, 0)</f>
        <v>47.243499999999997</v>
      </c>
      <c r="K445" s="10">
        <f>47.2414 * CHOOSE(CONTROL!$C$9, $D$9, 100%, $F$9) + CHOOSE(CONTROL!$C$27, 0.0021, 0)</f>
        <v>47.243499999999997</v>
      </c>
      <c r="L445" s="10"/>
    </row>
    <row r="446" spans="1:12" ht="15.75" x14ac:dyDescent="0.25">
      <c r="A446" s="14">
        <v>54513</v>
      </c>
      <c r="B446" s="10">
        <f>47.1283 * CHOOSE(CONTROL!$C$9, $D$9, 100%, $F$9) + CHOOSE(CONTROL!$C$27, 0.0021, 0)</f>
        <v>47.130400000000002</v>
      </c>
      <c r="C446" s="10">
        <f>46.6961 * CHOOSE(CONTROL!$C$9, $D$9, 100%, $F$9) + CHOOSE(CONTROL!$C$27, 0.0021, 0)</f>
        <v>46.6982</v>
      </c>
      <c r="D446" s="10">
        <f>46.6961 * CHOOSE(CONTROL!$C$9, $D$9, 100%, $F$9) + CHOOSE(CONTROL!$C$27, 0.0021, 0)</f>
        <v>46.6982</v>
      </c>
      <c r="E446" s="10">
        <f>46.5594 * CHOOSE(CONTROL!$C$9, $D$9, 100%, $F$9) + CHOOSE(CONTROL!$C$27, 0.0021, 0)</f>
        <v>46.561499999999995</v>
      </c>
      <c r="F446" s="10">
        <f>46.5594 * CHOOSE(CONTROL!$C$9, $D$9, 100%, $F$9) + CHOOSE(CONTROL!$C$27, 0.0021, 0)</f>
        <v>46.561499999999995</v>
      </c>
      <c r="G446" s="10">
        <f>46.8308 * CHOOSE(CONTROL!$C$9, $D$9, 100%, $F$9) + CHOOSE(CONTROL!$C$27, 0.0021, 0)</f>
        <v>46.832900000000002</v>
      </c>
      <c r="H446" s="10">
        <f>46.6961 * CHOOSE(CONTROL!$C$9, $D$9, 100%, $F$9) + CHOOSE(CONTROL!$C$27, 0.0021, 0)</f>
        <v>46.6982</v>
      </c>
      <c r="I446" s="10">
        <f>46.6961 * CHOOSE(CONTROL!$C$9, $D$9, 100%, $F$9) + CHOOSE(CONTROL!$C$27, 0.0021, 0)</f>
        <v>46.6982</v>
      </c>
      <c r="J446" s="10">
        <f>46.6961 * CHOOSE(CONTROL!$C$9, $D$9, 100%, $F$9) + CHOOSE(CONTROL!$C$27, 0.0021, 0)</f>
        <v>46.6982</v>
      </c>
      <c r="K446" s="10">
        <f>46.6961 * CHOOSE(CONTROL!$C$9, $D$9, 100%, $F$9) + CHOOSE(CONTROL!$C$27, 0.0021, 0)</f>
        <v>46.6982</v>
      </c>
      <c r="L446" s="10"/>
    </row>
    <row r="447" spans="1:12" ht="15.75" x14ac:dyDescent="0.25">
      <c r="A447" s="14">
        <v>54543</v>
      </c>
      <c r="B447" s="10">
        <f>46.4772 * CHOOSE(CONTROL!$C$9, $D$9, 100%, $F$9) + CHOOSE(CONTROL!$C$27, 0.0021, 0)</f>
        <v>46.479300000000002</v>
      </c>
      <c r="C447" s="10">
        <f>46.045 * CHOOSE(CONTROL!$C$9, $D$9, 100%, $F$9) + CHOOSE(CONTROL!$C$27, 0.0021, 0)</f>
        <v>46.0471</v>
      </c>
      <c r="D447" s="10">
        <f>46.045 * CHOOSE(CONTROL!$C$9, $D$9, 100%, $F$9) + CHOOSE(CONTROL!$C$27, 0.0021, 0)</f>
        <v>46.0471</v>
      </c>
      <c r="E447" s="10">
        <f>45.9083 * CHOOSE(CONTROL!$C$9, $D$9, 100%, $F$9) + CHOOSE(CONTROL!$C$27, 0.0021, 0)</f>
        <v>45.910399999999996</v>
      </c>
      <c r="F447" s="10">
        <f>45.9083 * CHOOSE(CONTROL!$C$9, $D$9, 100%, $F$9) + CHOOSE(CONTROL!$C$27, 0.0021, 0)</f>
        <v>45.910399999999996</v>
      </c>
      <c r="G447" s="10">
        <f>46.1797 * CHOOSE(CONTROL!$C$9, $D$9, 100%, $F$9) + CHOOSE(CONTROL!$C$27, 0.0021, 0)</f>
        <v>46.181799999999996</v>
      </c>
      <c r="H447" s="10">
        <f>46.045 * CHOOSE(CONTROL!$C$9, $D$9, 100%, $F$9) + CHOOSE(CONTROL!$C$27, 0.0021, 0)</f>
        <v>46.0471</v>
      </c>
      <c r="I447" s="10">
        <f>46.045 * CHOOSE(CONTROL!$C$9, $D$9, 100%, $F$9) + CHOOSE(CONTROL!$C$27, 0.0021, 0)</f>
        <v>46.0471</v>
      </c>
      <c r="J447" s="10">
        <f>46.045 * CHOOSE(CONTROL!$C$9, $D$9, 100%, $F$9) + CHOOSE(CONTROL!$C$27, 0.0021, 0)</f>
        <v>46.0471</v>
      </c>
      <c r="K447" s="10">
        <f>46.045 * CHOOSE(CONTROL!$C$9, $D$9, 100%, $F$9) + CHOOSE(CONTROL!$C$27, 0.0021, 0)</f>
        <v>46.0471</v>
      </c>
      <c r="L447" s="10"/>
    </row>
    <row r="448" spans="1:12" ht="15.75" x14ac:dyDescent="0.25">
      <c r="A448" s="14">
        <v>54574</v>
      </c>
      <c r="B448" s="10">
        <f>47.4051 * CHOOSE(CONTROL!$C$9, $D$9, 100%, $F$9) + CHOOSE(CONTROL!$C$27, 0.0021, 0)</f>
        <v>47.407199999999996</v>
      </c>
      <c r="C448" s="10">
        <f>46.9729 * CHOOSE(CONTROL!$C$9, $D$9, 100%, $F$9) + CHOOSE(CONTROL!$C$27, 0.0021, 0)</f>
        <v>46.975000000000001</v>
      </c>
      <c r="D448" s="10">
        <f>46.9729 * CHOOSE(CONTROL!$C$9, $D$9, 100%, $F$9) + CHOOSE(CONTROL!$C$27, 0.0021, 0)</f>
        <v>46.975000000000001</v>
      </c>
      <c r="E448" s="10">
        <f>46.8362 * CHOOSE(CONTROL!$C$9, $D$9, 100%, $F$9) + CHOOSE(CONTROL!$C$27, 0.0021, 0)</f>
        <v>46.838299999999997</v>
      </c>
      <c r="F448" s="10">
        <f>46.8362 * CHOOSE(CONTROL!$C$9, $D$9, 100%, $F$9) + CHOOSE(CONTROL!$C$27, 0.0021, 0)</f>
        <v>46.838299999999997</v>
      </c>
      <c r="G448" s="10">
        <f>47.1076 * CHOOSE(CONTROL!$C$9, $D$9, 100%, $F$9) + CHOOSE(CONTROL!$C$27, 0.0021, 0)</f>
        <v>47.109699999999997</v>
      </c>
      <c r="H448" s="10">
        <f>46.9729 * CHOOSE(CONTROL!$C$9, $D$9, 100%, $F$9) + CHOOSE(CONTROL!$C$27, 0.0021, 0)</f>
        <v>46.975000000000001</v>
      </c>
      <c r="I448" s="10">
        <f>46.9729 * CHOOSE(CONTROL!$C$9, $D$9, 100%, $F$9) + CHOOSE(CONTROL!$C$27, 0.0021, 0)</f>
        <v>46.975000000000001</v>
      </c>
      <c r="J448" s="10">
        <f>46.9729 * CHOOSE(CONTROL!$C$9, $D$9, 100%, $F$9) + CHOOSE(CONTROL!$C$27, 0.0021, 0)</f>
        <v>46.975000000000001</v>
      </c>
      <c r="K448" s="10">
        <f>46.9729 * CHOOSE(CONTROL!$C$9, $D$9, 100%, $F$9) + CHOOSE(CONTROL!$C$27, 0.0021, 0)</f>
        <v>46.975000000000001</v>
      </c>
      <c r="L448" s="10"/>
    </row>
    <row r="449" spans="1:12" ht="15.75" x14ac:dyDescent="0.25">
      <c r="A449" s="14">
        <v>54604</v>
      </c>
      <c r="B449" s="10">
        <f>47.9609 * CHOOSE(CONTROL!$C$9, $D$9, 100%, $F$9) + CHOOSE(CONTROL!$C$27, 0.0021, 0)</f>
        <v>47.963000000000001</v>
      </c>
      <c r="C449" s="10">
        <f>47.5287 * CHOOSE(CONTROL!$C$9, $D$9, 100%, $F$9) + CHOOSE(CONTROL!$C$27, 0.0021, 0)</f>
        <v>47.530799999999999</v>
      </c>
      <c r="D449" s="10">
        <f>47.5287 * CHOOSE(CONTROL!$C$9, $D$9, 100%, $F$9) + CHOOSE(CONTROL!$C$27, 0.0021, 0)</f>
        <v>47.530799999999999</v>
      </c>
      <c r="E449" s="10">
        <f>47.392 * CHOOSE(CONTROL!$C$9, $D$9, 100%, $F$9) + CHOOSE(CONTROL!$C$27, 0.0021, 0)</f>
        <v>47.394100000000002</v>
      </c>
      <c r="F449" s="10">
        <f>47.392 * CHOOSE(CONTROL!$C$9, $D$9, 100%, $F$9) + CHOOSE(CONTROL!$C$27, 0.0021, 0)</f>
        <v>47.394100000000002</v>
      </c>
      <c r="G449" s="10">
        <f>47.6634 * CHOOSE(CONTROL!$C$9, $D$9, 100%, $F$9) + CHOOSE(CONTROL!$C$27, 0.0021, 0)</f>
        <v>47.665500000000002</v>
      </c>
      <c r="H449" s="10">
        <f>47.5287 * CHOOSE(CONTROL!$C$9, $D$9, 100%, $F$9) + CHOOSE(CONTROL!$C$27, 0.0021, 0)</f>
        <v>47.530799999999999</v>
      </c>
      <c r="I449" s="10">
        <f>47.5287 * CHOOSE(CONTROL!$C$9, $D$9, 100%, $F$9) + CHOOSE(CONTROL!$C$27, 0.0021, 0)</f>
        <v>47.530799999999999</v>
      </c>
      <c r="J449" s="10">
        <f>47.5287 * CHOOSE(CONTROL!$C$9, $D$9, 100%, $F$9) + CHOOSE(CONTROL!$C$27, 0.0021, 0)</f>
        <v>47.530799999999999</v>
      </c>
      <c r="K449" s="10">
        <f>47.5287 * CHOOSE(CONTROL!$C$9, $D$9, 100%, $F$9) + CHOOSE(CONTROL!$C$27, 0.0021, 0)</f>
        <v>47.530799999999999</v>
      </c>
      <c r="L449" s="10"/>
    </row>
    <row r="450" spans="1:12" ht="15.75" x14ac:dyDescent="0.25">
      <c r="A450" s="14">
        <v>54635</v>
      </c>
      <c r="B450" s="10">
        <f>48.8777 * CHOOSE(CONTROL!$C$9, $D$9, 100%, $F$9) + CHOOSE(CONTROL!$C$27, 0.0021, 0)</f>
        <v>48.879799999999996</v>
      </c>
      <c r="C450" s="10">
        <f>48.4455 * CHOOSE(CONTROL!$C$9, $D$9, 100%, $F$9) + CHOOSE(CONTROL!$C$27, 0.0021, 0)</f>
        <v>48.447600000000001</v>
      </c>
      <c r="D450" s="10">
        <f>48.4455 * CHOOSE(CONTROL!$C$9, $D$9, 100%, $F$9) + CHOOSE(CONTROL!$C$27, 0.0021, 0)</f>
        <v>48.447600000000001</v>
      </c>
      <c r="E450" s="10">
        <f>48.3088 * CHOOSE(CONTROL!$C$9, $D$9, 100%, $F$9) + CHOOSE(CONTROL!$C$27, 0.0021, 0)</f>
        <v>48.310899999999997</v>
      </c>
      <c r="F450" s="10">
        <f>48.3088 * CHOOSE(CONTROL!$C$9, $D$9, 100%, $F$9) + CHOOSE(CONTROL!$C$27, 0.0021, 0)</f>
        <v>48.310899999999997</v>
      </c>
      <c r="G450" s="10">
        <f>48.5802 * CHOOSE(CONTROL!$C$9, $D$9, 100%, $F$9) + CHOOSE(CONTROL!$C$27, 0.0021, 0)</f>
        <v>48.582299999999996</v>
      </c>
      <c r="H450" s="10">
        <f>48.4455 * CHOOSE(CONTROL!$C$9, $D$9, 100%, $F$9) + CHOOSE(CONTROL!$C$27, 0.0021, 0)</f>
        <v>48.447600000000001</v>
      </c>
      <c r="I450" s="10">
        <f>48.4455 * CHOOSE(CONTROL!$C$9, $D$9, 100%, $F$9) + CHOOSE(CONTROL!$C$27, 0.0021, 0)</f>
        <v>48.447600000000001</v>
      </c>
      <c r="J450" s="10">
        <f>48.4455 * CHOOSE(CONTROL!$C$9, $D$9, 100%, $F$9) + CHOOSE(CONTROL!$C$27, 0.0021, 0)</f>
        <v>48.447600000000001</v>
      </c>
      <c r="K450" s="10">
        <f>48.4455 * CHOOSE(CONTROL!$C$9, $D$9, 100%, $F$9) + CHOOSE(CONTROL!$C$27, 0.0021, 0)</f>
        <v>48.447600000000001</v>
      </c>
      <c r="L450" s="10"/>
    </row>
    <row r="451" spans="1:12" ht="15.75" x14ac:dyDescent="0.25">
      <c r="A451" s="14">
        <v>54666</v>
      </c>
      <c r="B451" s="10">
        <f>49.1576 * CHOOSE(CONTROL!$C$9, $D$9, 100%, $F$9) + CHOOSE(CONTROL!$C$27, 0.0021, 0)</f>
        <v>49.159700000000001</v>
      </c>
      <c r="C451" s="10">
        <f>48.7253 * CHOOSE(CONTROL!$C$9, $D$9, 100%, $F$9) + CHOOSE(CONTROL!$C$27, 0.0021, 0)</f>
        <v>48.727399999999996</v>
      </c>
      <c r="D451" s="10">
        <f>48.7253 * CHOOSE(CONTROL!$C$9, $D$9, 100%, $F$9) + CHOOSE(CONTROL!$C$27, 0.0021, 0)</f>
        <v>48.727399999999996</v>
      </c>
      <c r="E451" s="10">
        <f>48.5887 * CHOOSE(CONTROL!$C$9, $D$9, 100%, $F$9) + CHOOSE(CONTROL!$C$27, 0.0021, 0)</f>
        <v>48.590800000000002</v>
      </c>
      <c r="F451" s="10">
        <f>48.5887 * CHOOSE(CONTROL!$C$9, $D$9, 100%, $F$9) + CHOOSE(CONTROL!$C$27, 0.0021, 0)</f>
        <v>48.590800000000002</v>
      </c>
      <c r="G451" s="10">
        <f>48.86 * CHOOSE(CONTROL!$C$9, $D$9, 100%, $F$9) + CHOOSE(CONTROL!$C$27, 0.0021, 0)</f>
        <v>48.862099999999998</v>
      </c>
      <c r="H451" s="10">
        <f>48.7253 * CHOOSE(CONTROL!$C$9, $D$9, 100%, $F$9) + CHOOSE(CONTROL!$C$27, 0.0021, 0)</f>
        <v>48.727399999999996</v>
      </c>
      <c r="I451" s="10">
        <f>48.7253 * CHOOSE(CONTROL!$C$9, $D$9, 100%, $F$9) + CHOOSE(CONTROL!$C$27, 0.0021, 0)</f>
        <v>48.727399999999996</v>
      </c>
      <c r="J451" s="10">
        <f>48.7253 * CHOOSE(CONTROL!$C$9, $D$9, 100%, $F$9) + CHOOSE(CONTROL!$C$27, 0.0021, 0)</f>
        <v>48.727399999999996</v>
      </c>
      <c r="K451" s="10">
        <f>48.7253 * CHOOSE(CONTROL!$C$9, $D$9, 100%, $F$9) + CHOOSE(CONTROL!$C$27, 0.0021, 0)</f>
        <v>48.727399999999996</v>
      </c>
      <c r="L451" s="10"/>
    </row>
    <row r="452" spans="1:12" ht="15.75" x14ac:dyDescent="0.25">
      <c r="A452" s="14">
        <v>54696</v>
      </c>
      <c r="B452" s="10">
        <f>50.1106 * CHOOSE(CONTROL!$C$9, $D$9, 100%, $F$9) + CHOOSE(CONTROL!$C$27, 0.0021, 0)</f>
        <v>50.112699999999997</v>
      </c>
      <c r="C452" s="10">
        <f>49.6783 * CHOOSE(CONTROL!$C$9, $D$9, 100%, $F$9) + CHOOSE(CONTROL!$C$27, 0.0021, 0)</f>
        <v>49.680399999999999</v>
      </c>
      <c r="D452" s="10">
        <f>49.6783 * CHOOSE(CONTROL!$C$9, $D$9, 100%, $F$9) + CHOOSE(CONTROL!$C$27, 0.0021, 0)</f>
        <v>49.680399999999999</v>
      </c>
      <c r="E452" s="10">
        <f>49.5417 * CHOOSE(CONTROL!$C$9, $D$9, 100%, $F$9) + CHOOSE(CONTROL!$C$27, 0.0021, 0)</f>
        <v>49.543799999999997</v>
      </c>
      <c r="F452" s="10">
        <f>49.5417 * CHOOSE(CONTROL!$C$9, $D$9, 100%, $F$9) + CHOOSE(CONTROL!$C$27, 0.0021, 0)</f>
        <v>49.543799999999997</v>
      </c>
      <c r="G452" s="10">
        <f>49.813 * CHOOSE(CONTROL!$C$9, $D$9, 100%, $F$9) + CHOOSE(CONTROL!$C$27, 0.0021, 0)</f>
        <v>49.815100000000001</v>
      </c>
      <c r="H452" s="10">
        <f>49.6783 * CHOOSE(CONTROL!$C$9, $D$9, 100%, $F$9) + CHOOSE(CONTROL!$C$27, 0.0021, 0)</f>
        <v>49.680399999999999</v>
      </c>
      <c r="I452" s="10">
        <f>49.6783 * CHOOSE(CONTROL!$C$9, $D$9, 100%, $F$9) + CHOOSE(CONTROL!$C$27, 0.0021, 0)</f>
        <v>49.680399999999999</v>
      </c>
      <c r="J452" s="10">
        <f>49.6783 * CHOOSE(CONTROL!$C$9, $D$9, 100%, $F$9) + CHOOSE(CONTROL!$C$27, 0.0021, 0)</f>
        <v>49.680399999999999</v>
      </c>
      <c r="K452" s="10">
        <f>49.6783 * CHOOSE(CONTROL!$C$9, $D$9, 100%, $F$9) + CHOOSE(CONTROL!$C$27, 0.0021, 0)</f>
        <v>49.680399999999999</v>
      </c>
      <c r="L452" s="10"/>
    </row>
    <row r="453" spans="1:12" ht="15.75" x14ac:dyDescent="0.25">
      <c r="A453" s="14">
        <v>54727</v>
      </c>
      <c r="B453" s="10">
        <f>51.3169 * CHOOSE(CONTROL!$C$9, $D$9, 100%, $F$9) + CHOOSE(CONTROL!$C$27, 0.0021, 0)</f>
        <v>51.318999999999996</v>
      </c>
      <c r="C453" s="10">
        <f>50.8847 * CHOOSE(CONTROL!$C$9, $D$9, 100%, $F$9) + CHOOSE(CONTROL!$C$27, 0.0021, 0)</f>
        <v>50.886800000000001</v>
      </c>
      <c r="D453" s="10">
        <f>50.8847 * CHOOSE(CONTROL!$C$9, $D$9, 100%, $F$9) + CHOOSE(CONTROL!$C$27, 0.0021, 0)</f>
        <v>50.886800000000001</v>
      </c>
      <c r="E453" s="10">
        <f>50.748 * CHOOSE(CONTROL!$C$9, $D$9, 100%, $F$9) + CHOOSE(CONTROL!$C$27, 0.0021, 0)</f>
        <v>50.750099999999996</v>
      </c>
      <c r="F453" s="10">
        <f>50.748 * CHOOSE(CONTROL!$C$9, $D$9, 100%, $F$9) + CHOOSE(CONTROL!$C$27, 0.0021, 0)</f>
        <v>50.750099999999996</v>
      </c>
      <c r="G453" s="10">
        <f>51.0194 * CHOOSE(CONTROL!$C$9, $D$9, 100%, $F$9) + CHOOSE(CONTROL!$C$27, 0.0021, 0)</f>
        <v>51.021499999999996</v>
      </c>
      <c r="H453" s="10">
        <f>50.8847 * CHOOSE(CONTROL!$C$9, $D$9, 100%, $F$9) + CHOOSE(CONTROL!$C$27, 0.0021, 0)</f>
        <v>50.886800000000001</v>
      </c>
      <c r="I453" s="10">
        <f>50.8847 * CHOOSE(CONTROL!$C$9, $D$9, 100%, $F$9) + CHOOSE(CONTROL!$C$27, 0.0021, 0)</f>
        <v>50.886800000000001</v>
      </c>
      <c r="J453" s="10">
        <f>50.8847 * CHOOSE(CONTROL!$C$9, $D$9, 100%, $F$9) + CHOOSE(CONTROL!$C$27, 0.0021, 0)</f>
        <v>50.886800000000001</v>
      </c>
      <c r="K453" s="10">
        <f>50.8847 * CHOOSE(CONTROL!$C$9, $D$9, 100%, $F$9) + CHOOSE(CONTROL!$C$27, 0.0021, 0)</f>
        <v>50.886800000000001</v>
      </c>
      <c r="L453" s="10"/>
    </row>
    <row r="454" spans="1:12" ht="15.75" x14ac:dyDescent="0.25">
      <c r="A454" s="14">
        <v>54757</v>
      </c>
      <c r="B454" s="10">
        <f>51.4302 * CHOOSE(CONTROL!$C$9, $D$9, 100%, $F$9) + CHOOSE(CONTROL!$C$27, 0.0021, 0)</f>
        <v>51.432299999999998</v>
      </c>
      <c r="C454" s="10">
        <f>50.9979 * CHOOSE(CONTROL!$C$9, $D$9, 100%, $F$9) + CHOOSE(CONTROL!$C$27, 0.0021, 0)</f>
        <v>51</v>
      </c>
      <c r="D454" s="10">
        <f>50.9979 * CHOOSE(CONTROL!$C$9, $D$9, 100%, $F$9) + CHOOSE(CONTROL!$C$27, 0.0021, 0)</f>
        <v>51</v>
      </c>
      <c r="E454" s="10">
        <f>50.8613 * CHOOSE(CONTROL!$C$9, $D$9, 100%, $F$9) + CHOOSE(CONTROL!$C$27, 0.0021, 0)</f>
        <v>50.863399999999999</v>
      </c>
      <c r="F454" s="10">
        <f>50.8613 * CHOOSE(CONTROL!$C$9, $D$9, 100%, $F$9) + CHOOSE(CONTROL!$C$27, 0.0021, 0)</f>
        <v>50.863399999999999</v>
      </c>
      <c r="G454" s="10">
        <f>51.1326 * CHOOSE(CONTROL!$C$9, $D$9, 100%, $F$9) + CHOOSE(CONTROL!$C$27, 0.0021, 0)</f>
        <v>51.134699999999995</v>
      </c>
      <c r="H454" s="10">
        <f>50.9979 * CHOOSE(CONTROL!$C$9, $D$9, 100%, $F$9) + CHOOSE(CONTROL!$C$27, 0.0021, 0)</f>
        <v>51</v>
      </c>
      <c r="I454" s="10">
        <f>50.9979 * CHOOSE(CONTROL!$C$9, $D$9, 100%, $F$9) + CHOOSE(CONTROL!$C$27, 0.0021, 0)</f>
        <v>51</v>
      </c>
      <c r="J454" s="10">
        <f>50.9979 * CHOOSE(CONTROL!$C$9, $D$9, 100%, $F$9) + CHOOSE(CONTROL!$C$27, 0.0021, 0)</f>
        <v>51</v>
      </c>
      <c r="K454" s="10">
        <f>50.9979 * CHOOSE(CONTROL!$C$9, $D$9, 100%, $F$9) + CHOOSE(CONTROL!$C$27, 0.0021, 0)</f>
        <v>51</v>
      </c>
      <c r="L454" s="10"/>
    </row>
    <row r="455" spans="1:12" ht="15.75" x14ac:dyDescent="0.25">
      <c r="A455" s="14">
        <v>54788</v>
      </c>
      <c r="B455" s="10">
        <f>50.4667 * CHOOSE(CONTROL!$C$9, $D$9, 100%, $F$9) + CHOOSE(CONTROL!$C$27, 0.0021, 0)</f>
        <v>50.468800000000002</v>
      </c>
      <c r="C455" s="10">
        <f>50.0344 * CHOOSE(CONTROL!$C$9, $D$9, 100%, $F$9) + CHOOSE(CONTROL!$C$27, 0.0021, 0)</f>
        <v>50.036499999999997</v>
      </c>
      <c r="D455" s="10">
        <f>50.0344 * CHOOSE(CONTROL!$C$9, $D$9, 100%, $F$9) + CHOOSE(CONTROL!$C$27, 0.0021, 0)</f>
        <v>50.036499999999997</v>
      </c>
      <c r="E455" s="10">
        <f>49.8978 * CHOOSE(CONTROL!$C$9, $D$9, 100%, $F$9) + CHOOSE(CONTROL!$C$27, 0.0021, 0)</f>
        <v>49.899899999999995</v>
      </c>
      <c r="F455" s="10">
        <f>49.8978 * CHOOSE(CONTROL!$C$9, $D$9, 100%, $F$9) + CHOOSE(CONTROL!$C$27, 0.0021, 0)</f>
        <v>49.899899999999995</v>
      </c>
      <c r="G455" s="10">
        <f>50.1692 * CHOOSE(CONTROL!$C$9, $D$9, 100%, $F$9) + CHOOSE(CONTROL!$C$27, 0.0021, 0)</f>
        <v>50.171299999999995</v>
      </c>
      <c r="H455" s="10">
        <f>50.0344 * CHOOSE(CONTROL!$C$9, $D$9, 100%, $F$9) + CHOOSE(CONTROL!$C$27, 0.0021, 0)</f>
        <v>50.036499999999997</v>
      </c>
      <c r="I455" s="10">
        <f>50.0344 * CHOOSE(CONTROL!$C$9, $D$9, 100%, $F$9) + CHOOSE(CONTROL!$C$27, 0.0021, 0)</f>
        <v>50.036499999999997</v>
      </c>
      <c r="J455" s="10">
        <f>50.0344 * CHOOSE(CONTROL!$C$9, $D$9, 100%, $F$9) + CHOOSE(CONTROL!$C$27, 0.0021, 0)</f>
        <v>50.036499999999997</v>
      </c>
      <c r="K455" s="10">
        <f>50.0344 * CHOOSE(CONTROL!$C$9, $D$9, 100%, $F$9) + CHOOSE(CONTROL!$C$27, 0.0021, 0)</f>
        <v>50.036499999999997</v>
      </c>
      <c r="L455" s="10"/>
    </row>
    <row r="456" spans="1:12" ht="15.75" x14ac:dyDescent="0.25">
      <c r="A456" s="14">
        <v>54819</v>
      </c>
      <c r="B456" s="10">
        <f>49.8355 * CHOOSE(CONTROL!$C$9, $D$9, 100%, $F$9) + CHOOSE(CONTROL!$C$27, 0.0021, 0)</f>
        <v>49.837600000000002</v>
      </c>
      <c r="C456" s="10">
        <f>49.4032 * CHOOSE(CONTROL!$C$9, $D$9, 100%, $F$9) + CHOOSE(CONTROL!$C$27, 0.0021, 0)</f>
        <v>49.405299999999997</v>
      </c>
      <c r="D456" s="10">
        <f>49.4032 * CHOOSE(CONTROL!$C$9, $D$9, 100%, $F$9) + CHOOSE(CONTROL!$C$27, 0.0021, 0)</f>
        <v>49.405299999999997</v>
      </c>
      <c r="E456" s="10">
        <f>49.2666 * CHOOSE(CONTROL!$C$9, $D$9, 100%, $F$9) + CHOOSE(CONTROL!$C$27, 0.0021, 0)</f>
        <v>49.268699999999995</v>
      </c>
      <c r="F456" s="10">
        <f>49.2666 * CHOOSE(CONTROL!$C$9, $D$9, 100%, $F$9) + CHOOSE(CONTROL!$C$27, 0.0021, 0)</f>
        <v>49.268699999999995</v>
      </c>
      <c r="G456" s="10">
        <f>49.538 * CHOOSE(CONTROL!$C$9, $D$9, 100%, $F$9) + CHOOSE(CONTROL!$C$27, 0.0021, 0)</f>
        <v>49.540099999999995</v>
      </c>
      <c r="H456" s="10">
        <f>49.4032 * CHOOSE(CONTROL!$C$9, $D$9, 100%, $F$9) + CHOOSE(CONTROL!$C$27, 0.0021, 0)</f>
        <v>49.405299999999997</v>
      </c>
      <c r="I456" s="10">
        <f>49.4032 * CHOOSE(CONTROL!$C$9, $D$9, 100%, $F$9) + CHOOSE(CONTROL!$C$27, 0.0021, 0)</f>
        <v>49.405299999999997</v>
      </c>
      <c r="J456" s="10">
        <f>49.4032 * CHOOSE(CONTROL!$C$9, $D$9, 100%, $F$9) + CHOOSE(CONTROL!$C$27, 0.0021, 0)</f>
        <v>49.405299999999997</v>
      </c>
      <c r="K456" s="10">
        <f>49.4032 * CHOOSE(CONTROL!$C$9, $D$9, 100%, $F$9) + CHOOSE(CONTROL!$C$27, 0.0021, 0)</f>
        <v>49.405299999999997</v>
      </c>
      <c r="L456" s="10"/>
    </row>
    <row r="457" spans="1:12" ht="15.75" x14ac:dyDescent="0.25">
      <c r="A457" s="14">
        <v>54847</v>
      </c>
      <c r="B457" s="10">
        <f>48.4907 * CHOOSE(CONTROL!$C$9, $D$9, 100%, $F$9) + CHOOSE(CONTROL!$C$27, 0.0021, 0)</f>
        <v>48.492799999999995</v>
      </c>
      <c r="C457" s="10">
        <f>48.0585 * CHOOSE(CONTROL!$C$9, $D$9, 100%, $F$9) + CHOOSE(CONTROL!$C$27, 0.0021, 0)</f>
        <v>48.060600000000001</v>
      </c>
      <c r="D457" s="10">
        <f>48.0585 * CHOOSE(CONTROL!$C$9, $D$9, 100%, $F$9) + CHOOSE(CONTROL!$C$27, 0.0021, 0)</f>
        <v>48.060600000000001</v>
      </c>
      <c r="E457" s="10">
        <f>47.9218 * CHOOSE(CONTROL!$C$9, $D$9, 100%, $F$9) + CHOOSE(CONTROL!$C$27, 0.0021, 0)</f>
        <v>47.923899999999996</v>
      </c>
      <c r="F457" s="10">
        <f>47.9218 * CHOOSE(CONTROL!$C$9, $D$9, 100%, $F$9) + CHOOSE(CONTROL!$C$27, 0.0021, 0)</f>
        <v>47.923899999999996</v>
      </c>
      <c r="G457" s="10">
        <f>48.1932 * CHOOSE(CONTROL!$C$9, $D$9, 100%, $F$9) + CHOOSE(CONTROL!$C$27, 0.0021, 0)</f>
        <v>48.195299999999996</v>
      </c>
      <c r="H457" s="10">
        <f>48.0585 * CHOOSE(CONTROL!$C$9, $D$9, 100%, $F$9) + CHOOSE(CONTROL!$C$27, 0.0021, 0)</f>
        <v>48.060600000000001</v>
      </c>
      <c r="I457" s="10">
        <f>48.0585 * CHOOSE(CONTROL!$C$9, $D$9, 100%, $F$9) + CHOOSE(CONTROL!$C$27, 0.0021, 0)</f>
        <v>48.060600000000001</v>
      </c>
      <c r="J457" s="10">
        <f>48.0585 * CHOOSE(CONTROL!$C$9, $D$9, 100%, $F$9) + CHOOSE(CONTROL!$C$27, 0.0021, 0)</f>
        <v>48.060600000000001</v>
      </c>
      <c r="K457" s="10">
        <f>48.0585 * CHOOSE(CONTROL!$C$9, $D$9, 100%, $F$9) + CHOOSE(CONTROL!$C$27, 0.0021, 0)</f>
        <v>48.060600000000001</v>
      </c>
      <c r="L457" s="10"/>
    </row>
    <row r="458" spans="1:12" ht="15.75" x14ac:dyDescent="0.25">
      <c r="A458" s="14">
        <v>54878</v>
      </c>
      <c r="B458" s="10">
        <f>47.9356 * CHOOSE(CONTROL!$C$9, $D$9, 100%, $F$9) + CHOOSE(CONTROL!$C$27, 0.0021, 0)</f>
        <v>47.9377</v>
      </c>
      <c r="C458" s="10">
        <f>47.5033 * CHOOSE(CONTROL!$C$9, $D$9, 100%, $F$9) + CHOOSE(CONTROL!$C$27, 0.0021, 0)</f>
        <v>47.505400000000002</v>
      </c>
      <c r="D458" s="10">
        <f>47.5033 * CHOOSE(CONTROL!$C$9, $D$9, 100%, $F$9) + CHOOSE(CONTROL!$C$27, 0.0021, 0)</f>
        <v>47.505400000000002</v>
      </c>
      <c r="E458" s="10">
        <f>47.3667 * CHOOSE(CONTROL!$C$9, $D$9, 100%, $F$9) + CHOOSE(CONTROL!$C$27, 0.0021, 0)</f>
        <v>47.3688</v>
      </c>
      <c r="F458" s="10">
        <f>47.3667 * CHOOSE(CONTROL!$C$9, $D$9, 100%, $F$9) + CHOOSE(CONTROL!$C$27, 0.0021, 0)</f>
        <v>47.3688</v>
      </c>
      <c r="G458" s="10">
        <f>47.6381 * CHOOSE(CONTROL!$C$9, $D$9, 100%, $F$9) + CHOOSE(CONTROL!$C$27, 0.0021, 0)</f>
        <v>47.6402</v>
      </c>
      <c r="H458" s="10">
        <f>47.5033 * CHOOSE(CONTROL!$C$9, $D$9, 100%, $F$9) + CHOOSE(CONTROL!$C$27, 0.0021, 0)</f>
        <v>47.505400000000002</v>
      </c>
      <c r="I458" s="10">
        <f>47.5033 * CHOOSE(CONTROL!$C$9, $D$9, 100%, $F$9) + CHOOSE(CONTROL!$C$27, 0.0021, 0)</f>
        <v>47.505400000000002</v>
      </c>
      <c r="J458" s="10">
        <f>47.5033 * CHOOSE(CONTROL!$C$9, $D$9, 100%, $F$9) + CHOOSE(CONTROL!$C$27, 0.0021, 0)</f>
        <v>47.505400000000002</v>
      </c>
      <c r="K458" s="10">
        <f>47.5033 * CHOOSE(CONTROL!$C$9, $D$9, 100%, $F$9) + CHOOSE(CONTROL!$C$27, 0.0021, 0)</f>
        <v>47.505400000000002</v>
      </c>
      <c r="L458" s="10"/>
    </row>
    <row r="459" spans="1:12" ht="15.75" x14ac:dyDescent="0.25">
      <c r="A459" s="14">
        <v>54908</v>
      </c>
      <c r="B459" s="10">
        <f>47.2728 * CHOOSE(CONTROL!$C$9, $D$9, 100%, $F$9) + CHOOSE(CONTROL!$C$27, 0.0021, 0)</f>
        <v>47.274899999999995</v>
      </c>
      <c r="C459" s="10">
        <f>46.8405 * CHOOSE(CONTROL!$C$9, $D$9, 100%, $F$9) + CHOOSE(CONTROL!$C$27, 0.0021, 0)</f>
        <v>46.842599999999997</v>
      </c>
      <c r="D459" s="10">
        <f>46.8405 * CHOOSE(CONTROL!$C$9, $D$9, 100%, $F$9) + CHOOSE(CONTROL!$C$27, 0.0021, 0)</f>
        <v>46.842599999999997</v>
      </c>
      <c r="E459" s="10">
        <f>46.7039 * CHOOSE(CONTROL!$C$9, $D$9, 100%, $F$9) + CHOOSE(CONTROL!$C$27, 0.0021, 0)</f>
        <v>46.705999999999996</v>
      </c>
      <c r="F459" s="10">
        <f>46.7039 * CHOOSE(CONTROL!$C$9, $D$9, 100%, $F$9) + CHOOSE(CONTROL!$C$27, 0.0021, 0)</f>
        <v>46.705999999999996</v>
      </c>
      <c r="G459" s="10">
        <f>46.9752 * CHOOSE(CONTROL!$C$9, $D$9, 100%, $F$9) + CHOOSE(CONTROL!$C$27, 0.0021, 0)</f>
        <v>46.9773</v>
      </c>
      <c r="H459" s="10">
        <f>46.8405 * CHOOSE(CONTROL!$C$9, $D$9, 100%, $F$9) + CHOOSE(CONTROL!$C$27, 0.0021, 0)</f>
        <v>46.842599999999997</v>
      </c>
      <c r="I459" s="10">
        <f>46.8405 * CHOOSE(CONTROL!$C$9, $D$9, 100%, $F$9) + CHOOSE(CONTROL!$C$27, 0.0021, 0)</f>
        <v>46.842599999999997</v>
      </c>
      <c r="J459" s="10">
        <f>46.8405 * CHOOSE(CONTROL!$C$9, $D$9, 100%, $F$9) + CHOOSE(CONTROL!$C$27, 0.0021, 0)</f>
        <v>46.842599999999997</v>
      </c>
      <c r="K459" s="10">
        <f>46.8405 * CHOOSE(CONTROL!$C$9, $D$9, 100%, $F$9) + CHOOSE(CONTROL!$C$27, 0.0021, 0)</f>
        <v>46.842599999999997</v>
      </c>
      <c r="L459" s="10"/>
    </row>
    <row r="460" spans="1:12" ht="15.75" x14ac:dyDescent="0.25">
      <c r="A460" s="14">
        <v>54939</v>
      </c>
      <c r="B460" s="10">
        <f>48.2174 * CHOOSE(CONTROL!$C$9, $D$9, 100%, $F$9) + CHOOSE(CONTROL!$C$27, 0.0021, 0)</f>
        <v>48.219499999999996</v>
      </c>
      <c r="C460" s="10">
        <f>47.7851 * CHOOSE(CONTROL!$C$9, $D$9, 100%, $F$9) + CHOOSE(CONTROL!$C$27, 0.0021, 0)</f>
        <v>47.787199999999999</v>
      </c>
      <c r="D460" s="10">
        <f>47.7851 * CHOOSE(CONTROL!$C$9, $D$9, 100%, $F$9) + CHOOSE(CONTROL!$C$27, 0.0021, 0)</f>
        <v>47.787199999999999</v>
      </c>
      <c r="E460" s="10">
        <f>47.6485 * CHOOSE(CONTROL!$C$9, $D$9, 100%, $F$9) + CHOOSE(CONTROL!$C$27, 0.0021, 0)</f>
        <v>47.650599999999997</v>
      </c>
      <c r="F460" s="10">
        <f>47.6485 * CHOOSE(CONTROL!$C$9, $D$9, 100%, $F$9) + CHOOSE(CONTROL!$C$27, 0.0021, 0)</f>
        <v>47.650599999999997</v>
      </c>
      <c r="G460" s="10">
        <f>47.9198 * CHOOSE(CONTROL!$C$9, $D$9, 100%, $F$9) + CHOOSE(CONTROL!$C$27, 0.0021, 0)</f>
        <v>47.921900000000001</v>
      </c>
      <c r="H460" s="10">
        <f>47.7851 * CHOOSE(CONTROL!$C$9, $D$9, 100%, $F$9) + CHOOSE(CONTROL!$C$27, 0.0021, 0)</f>
        <v>47.787199999999999</v>
      </c>
      <c r="I460" s="10">
        <f>47.7851 * CHOOSE(CONTROL!$C$9, $D$9, 100%, $F$9) + CHOOSE(CONTROL!$C$27, 0.0021, 0)</f>
        <v>47.787199999999999</v>
      </c>
      <c r="J460" s="10">
        <f>47.7851 * CHOOSE(CONTROL!$C$9, $D$9, 100%, $F$9) + CHOOSE(CONTROL!$C$27, 0.0021, 0)</f>
        <v>47.787199999999999</v>
      </c>
      <c r="K460" s="10">
        <f>47.7851 * CHOOSE(CONTROL!$C$9, $D$9, 100%, $F$9) + CHOOSE(CONTROL!$C$27, 0.0021, 0)</f>
        <v>47.787199999999999</v>
      </c>
      <c r="L460" s="10"/>
    </row>
    <row r="461" spans="1:12" ht="15.75" x14ac:dyDescent="0.25">
      <c r="A461" s="14">
        <v>54969</v>
      </c>
      <c r="B461" s="10">
        <f>48.7832 * CHOOSE(CONTROL!$C$9, $D$9, 100%, $F$9) + CHOOSE(CONTROL!$C$27, 0.0021, 0)</f>
        <v>48.785299999999999</v>
      </c>
      <c r="C461" s="10">
        <f>48.3509 * CHOOSE(CONTROL!$C$9, $D$9, 100%, $F$9) + CHOOSE(CONTROL!$C$27, 0.0021, 0)</f>
        <v>48.353000000000002</v>
      </c>
      <c r="D461" s="10">
        <f>48.3509 * CHOOSE(CONTROL!$C$9, $D$9, 100%, $F$9) + CHOOSE(CONTROL!$C$27, 0.0021, 0)</f>
        <v>48.353000000000002</v>
      </c>
      <c r="E461" s="10">
        <f>48.2143 * CHOOSE(CONTROL!$C$9, $D$9, 100%, $F$9) + CHOOSE(CONTROL!$C$27, 0.0021, 0)</f>
        <v>48.2164</v>
      </c>
      <c r="F461" s="10">
        <f>48.2143 * CHOOSE(CONTROL!$C$9, $D$9, 100%, $F$9) + CHOOSE(CONTROL!$C$27, 0.0021, 0)</f>
        <v>48.2164</v>
      </c>
      <c r="G461" s="10">
        <f>48.4856 * CHOOSE(CONTROL!$C$9, $D$9, 100%, $F$9) + CHOOSE(CONTROL!$C$27, 0.0021, 0)</f>
        <v>48.487699999999997</v>
      </c>
      <c r="H461" s="10">
        <f>48.3509 * CHOOSE(CONTROL!$C$9, $D$9, 100%, $F$9) + CHOOSE(CONTROL!$C$27, 0.0021, 0)</f>
        <v>48.353000000000002</v>
      </c>
      <c r="I461" s="10">
        <f>48.3509 * CHOOSE(CONTROL!$C$9, $D$9, 100%, $F$9) + CHOOSE(CONTROL!$C$27, 0.0021, 0)</f>
        <v>48.353000000000002</v>
      </c>
      <c r="J461" s="10">
        <f>48.3509 * CHOOSE(CONTROL!$C$9, $D$9, 100%, $F$9) + CHOOSE(CONTROL!$C$27, 0.0021, 0)</f>
        <v>48.353000000000002</v>
      </c>
      <c r="K461" s="10">
        <f>48.3509 * CHOOSE(CONTROL!$C$9, $D$9, 100%, $F$9) + CHOOSE(CONTROL!$C$27, 0.0021, 0)</f>
        <v>48.353000000000002</v>
      </c>
      <c r="L461" s="10"/>
    </row>
    <row r="462" spans="1:12" ht="15.75" x14ac:dyDescent="0.25">
      <c r="A462" s="14">
        <v>55000</v>
      </c>
      <c r="B462" s="10">
        <f>49.7165 * CHOOSE(CONTROL!$C$9, $D$9, 100%, $F$9) + CHOOSE(CONTROL!$C$27, 0.0021, 0)</f>
        <v>49.718600000000002</v>
      </c>
      <c r="C462" s="10">
        <f>49.2842 * CHOOSE(CONTROL!$C$9, $D$9, 100%, $F$9) + CHOOSE(CONTROL!$C$27, 0.0021, 0)</f>
        <v>49.286299999999997</v>
      </c>
      <c r="D462" s="10">
        <f>49.2842 * CHOOSE(CONTROL!$C$9, $D$9, 100%, $F$9) + CHOOSE(CONTROL!$C$27, 0.0021, 0)</f>
        <v>49.286299999999997</v>
      </c>
      <c r="E462" s="10">
        <f>49.1476 * CHOOSE(CONTROL!$C$9, $D$9, 100%, $F$9) + CHOOSE(CONTROL!$C$27, 0.0021, 0)</f>
        <v>49.149699999999996</v>
      </c>
      <c r="F462" s="10">
        <f>49.1476 * CHOOSE(CONTROL!$C$9, $D$9, 100%, $F$9) + CHOOSE(CONTROL!$C$27, 0.0021, 0)</f>
        <v>49.149699999999996</v>
      </c>
      <c r="G462" s="10">
        <f>49.419 * CHOOSE(CONTROL!$C$9, $D$9, 100%, $F$9) + CHOOSE(CONTROL!$C$27, 0.0021, 0)</f>
        <v>49.421099999999996</v>
      </c>
      <c r="H462" s="10">
        <f>49.2842 * CHOOSE(CONTROL!$C$9, $D$9, 100%, $F$9) + CHOOSE(CONTROL!$C$27, 0.0021, 0)</f>
        <v>49.286299999999997</v>
      </c>
      <c r="I462" s="10">
        <f>49.2842 * CHOOSE(CONTROL!$C$9, $D$9, 100%, $F$9) + CHOOSE(CONTROL!$C$27, 0.0021, 0)</f>
        <v>49.286299999999997</v>
      </c>
      <c r="J462" s="10">
        <f>49.2842 * CHOOSE(CONTROL!$C$9, $D$9, 100%, $F$9) + CHOOSE(CONTROL!$C$27, 0.0021, 0)</f>
        <v>49.286299999999997</v>
      </c>
      <c r="K462" s="10">
        <f>49.2842 * CHOOSE(CONTROL!$C$9, $D$9, 100%, $F$9) + CHOOSE(CONTROL!$C$27, 0.0021, 0)</f>
        <v>49.286299999999997</v>
      </c>
      <c r="L462" s="10"/>
    </row>
    <row r="463" spans="1:12" ht="15.75" x14ac:dyDescent="0.25">
      <c r="A463" s="14">
        <v>55031</v>
      </c>
      <c r="B463" s="10">
        <f>50.0014 * CHOOSE(CONTROL!$C$9, $D$9, 100%, $F$9) + CHOOSE(CONTROL!$C$27, 0.0021, 0)</f>
        <v>50.003499999999995</v>
      </c>
      <c r="C463" s="10">
        <f>49.5691 * CHOOSE(CONTROL!$C$9, $D$9, 100%, $F$9) + CHOOSE(CONTROL!$C$27, 0.0021, 0)</f>
        <v>49.571199999999997</v>
      </c>
      <c r="D463" s="10">
        <f>49.5691 * CHOOSE(CONTROL!$C$9, $D$9, 100%, $F$9) + CHOOSE(CONTROL!$C$27, 0.0021, 0)</f>
        <v>49.571199999999997</v>
      </c>
      <c r="E463" s="10">
        <f>49.4325 * CHOOSE(CONTROL!$C$9, $D$9, 100%, $F$9) + CHOOSE(CONTROL!$C$27, 0.0021, 0)</f>
        <v>49.434599999999996</v>
      </c>
      <c r="F463" s="10">
        <f>49.4325 * CHOOSE(CONTROL!$C$9, $D$9, 100%, $F$9) + CHOOSE(CONTROL!$C$27, 0.0021, 0)</f>
        <v>49.434599999999996</v>
      </c>
      <c r="G463" s="10">
        <f>49.7038 * CHOOSE(CONTROL!$C$9, $D$9, 100%, $F$9) + CHOOSE(CONTROL!$C$27, 0.0021, 0)</f>
        <v>49.7059</v>
      </c>
      <c r="H463" s="10">
        <f>49.5691 * CHOOSE(CONTROL!$C$9, $D$9, 100%, $F$9) + CHOOSE(CONTROL!$C$27, 0.0021, 0)</f>
        <v>49.571199999999997</v>
      </c>
      <c r="I463" s="10">
        <f>49.5691 * CHOOSE(CONTROL!$C$9, $D$9, 100%, $F$9) + CHOOSE(CONTROL!$C$27, 0.0021, 0)</f>
        <v>49.571199999999997</v>
      </c>
      <c r="J463" s="10">
        <f>49.5691 * CHOOSE(CONTROL!$C$9, $D$9, 100%, $F$9) + CHOOSE(CONTROL!$C$27, 0.0021, 0)</f>
        <v>49.571199999999997</v>
      </c>
      <c r="K463" s="10">
        <f>49.5691 * CHOOSE(CONTROL!$C$9, $D$9, 100%, $F$9) + CHOOSE(CONTROL!$C$27, 0.0021, 0)</f>
        <v>49.571199999999997</v>
      </c>
      <c r="L463" s="10"/>
    </row>
    <row r="464" spans="1:12" ht="15.75" x14ac:dyDescent="0.25">
      <c r="A464" s="14">
        <v>55061</v>
      </c>
      <c r="B464" s="10">
        <f>50.9715 * CHOOSE(CONTROL!$C$9, $D$9, 100%, $F$9) + CHOOSE(CONTROL!$C$27, 0.0021, 0)</f>
        <v>50.973599999999998</v>
      </c>
      <c r="C464" s="10">
        <f>50.5393 * CHOOSE(CONTROL!$C$9, $D$9, 100%, $F$9) + CHOOSE(CONTROL!$C$27, 0.0021, 0)</f>
        <v>50.541399999999996</v>
      </c>
      <c r="D464" s="10">
        <f>50.5393 * CHOOSE(CONTROL!$C$9, $D$9, 100%, $F$9) + CHOOSE(CONTROL!$C$27, 0.0021, 0)</f>
        <v>50.541399999999996</v>
      </c>
      <c r="E464" s="10">
        <f>50.4026 * CHOOSE(CONTROL!$C$9, $D$9, 100%, $F$9) + CHOOSE(CONTROL!$C$27, 0.0021, 0)</f>
        <v>50.404699999999998</v>
      </c>
      <c r="F464" s="10">
        <f>50.4026 * CHOOSE(CONTROL!$C$9, $D$9, 100%, $F$9) + CHOOSE(CONTROL!$C$27, 0.0021, 0)</f>
        <v>50.404699999999998</v>
      </c>
      <c r="G464" s="10">
        <f>50.674 * CHOOSE(CONTROL!$C$9, $D$9, 100%, $F$9) + CHOOSE(CONTROL!$C$27, 0.0021, 0)</f>
        <v>50.676099999999998</v>
      </c>
      <c r="H464" s="10">
        <f>50.5393 * CHOOSE(CONTROL!$C$9, $D$9, 100%, $F$9) + CHOOSE(CONTROL!$C$27, 0.0021, 0)</f>
        <v>50.541399999999996</v>
      </c>
      <c r="I464" s="10">
        <f>50.5393 * CHOOSE(CONTROL!$C$9, $D$9, 100%, $F$9) + CHOOSE(CONTROL!$C$27, 0.0021, 0)</f>
        <v>50.541399999999996</v>
      </c>
      <c r="J464" s="10">
        <f>50.5393 * CHOOSE(CONTROL!$C$9, $D$9, 100%, $F$9) + CHOOSE(CONTROL!$C$27, 0.0021, 0)</f>
        <v>50.541399999999996</v>
      </c>
      <c r="K464" s="10">
        <f>50.5393 * CHOOSE(CONTROL!$C$9, $D$9, 100%, $F$9) + CHOOSE(CONTROL!$C$27, 0.0021, 0)</f>
        <v>50.541399999999996</v>
      </c>
      <c r="L464" s="10"/>
    </row>
    <row r="465" spans="1:12" ht="15.75" x14ac:dyDescent="0.25">
      <c r="A465" s="14">
        <v>55092</v>
      </c>
      <c r="B465" s="10">
        <f>52.1996 * CHOOSE(CONTROL!$C$9, $D$9, 100%, $F$9) + CHOOSE(CONTROL!$C$27, 0.0021, 0)</f>
        <v>52.201699999999995</v>
      </c>
      <c r="C465" s="10">
        <f>51.7673 * CHOOSE(CONTROL!$C$9, $D$9, 100%, $F$9) + CHOOSE(CONTROL!$C$27, 0.0021, 0)</f>
        <v>51.769399999999997</v>
      </c>
      <c r="D465" s="10">
        <f>51.7673 * CHOOSE(CONTROL!$C$9, $D$9, 100%, $F$9) + CHOOSE(CONTROL!$C$27, 0.0021, 0)</f>
        <v>51.769399999999997</v>
      </c>
      <c r="E465" s="10">
        <f>51.6307 * CHOOSE(CONTROL!$C$9, $D$9, 100%, $F$9) + CHOOSE(CONTROL!$C$27, 0.0021, 0)</f>
        <v>51.632799999999996</v>
      </c>
      <c r="F465" s="10">
        <f>51.6307 * CHOOSE(CONTROL!$C$9, $D$9, 100%, $F$9) + CHOOSE(CONTROL!$C$27, 0.0021, 0)</f>
        <v>51.632799999999996</v>
      </c>
      <c r="G465" s="10">
        <f>51.9021 * CHOOSE(CONTROL!$C$9, $D$9, 100%, $F$9) + CHOOSE(CONTROL!$C$27, 0.0021, 0)</f>
        <v>51.904199999999996</v>
      </c>
      <c r="H465" s="10">
        <f>51.7673 * CHOOSE(CONTROL!$C$9, $D$9, 100%, $F$9) + CHOOSE(CONTROL!$C$27, 0.0021, 0)</f>
        <v>51.769399999999997</v>
      </c>
      <c r="I465" s="10">
        <f>51.7673 * CHOOSE(CONTROL!$C$9, $D$9, 100%, $F$9) + CHOOSE(CONTROL!$C$27, 0.0021, 0)</f>
        <v>51.769399999999997</v>
      </c>
      <c r="J465" s="10">
        <f>51.7673 * CHOOSE(CONTROL!$C$9, $D$9, 100%, $F$9) + CHOOSE(CONTROL!$C$27, 0.0021, 0)</f>
        <v>51.769399999999997</v>
      </c>
      <c r="K465" s="10">
        <f>51.7673 * CHOOSE(CONTROL!$C$9, $D$9, 100%, $F$9) + CHOOSE(CONTROL!$C$27, 0.0021, 0)</f>
        <v>51.769399999999997</v>
      </c>
      <c r="L465" s="10"/>
    </row>
    <row r="466" spans="1:12" ht="15.75" x14ac:dyDescent="0.25">
      <c r="A466" s="14">
        <v>55122</v>
      </c>
      <c r="B466" s="10">
        <f>52.3149 * CHOOSE(CONTROL!$C$9, $D$9, 100%, $F$9) + CHOOSE(CONTROL!$C$27, 0.0021, 0)</f>
        <v>52.317</v>
      </c>
      <c r="C466" s="10">
        <f>51.8826 * CHOOSE(CONTROL!$C$9, $D$9, 100%, $F$9) + CHOOSE(CONTROL!$C$27, 0.0021, 0)</f>
        <v>51.884699999999995</v>
      </c>
      <c r="D466" s="10">
        <f>51.8826 * CHOOSE(CONTROL!$C$9, $D$9, 100%, $F$9) + CHOOSE(CONTROL!$C$27, 0.0021, 0)</f>
        <v>51.884699999999995</v>
      </c>
      <c r="E466" s="10">
        <f>51.746 * CHOOSE(CONTROL!$C$9, $D$9, 100%, $F$9) + CHOOSE(CONTROL!$C$27, 0.0021, 0)</f>
        <v>51.748100000000001</v>
      </c>
      <c r="F466" s="10">
        <f>51.746 * CHOOSE(CONTROL!$C$9, $D$9, 100%, $F$9) + CHOOSE(CONTROL!$C$27, 0.0021, 0)</f>
        <v>51.748100000000001</v>
      </c>
      <c r="G466" s="10">
        <f>52.0174 * CHOOSE(CONTROL!$C$9, $D$9, 100%, $F$9) + CHOOSE(CONTROL!$C$27, 0.0021, 0)</f>
        <v>52.019500000000001</v>
      </c>
      <c r="H466" s="10">
        <f>51.8826 * CHOOSE(CONTROL!$C$9, $D$9, 100%, $F$9) + CHOOSE(CONTROL!$C$27, 0.0021, 0)</f>
        <v>51.884699999999995</v>
      </c>
      <c r="I466" s="10">
        <f>51.8826 * CHOOSE(CONTROL!$C$9, $D$9, 100%, $F$9) + CHOOSE(CONTROL!$C$27, 0.0021, 0)</f>
        <v>51.884699999999995</v>
      </c>
      <c r="J466" s="10">
        <f>51.8826 * CHOOSE(CONTROL!$C$9, $D$9, 100%, $F$9) + CHOOSE(CONTROL!$C$27, 0.0021, 0)</f>
        <v>51.884699999999995</v>
      </c>
      <c r="K466" s="10">
        <f>51.8826 * CHOOSE(CONTROL!$C$9, $D$9, 100%, $F$9) + CHOOSE(CONTROL!$C$27, 0.0021, 0)</f>
        <v>51.884699999999995</v>
      </c>
      <c r="L466" s="10"/>
    </row>
    <row r="467" spans="1:12" ht="15.75" x14ac:dyDescent="0.25">
      <c r="A467" s="14">
        <v>55153</v>
      </c>
      <c r="B467" s="10">
        <f>51.3341 * CHOOSE(CONTROL!$C$9, $D$9, 100%, $F$9) + CHOOSE(CONTROL!$C$27, 0.0021, 0)</f>
        <v>51.336199999999998</v>
      </c>
      <c r="C467" s="10">
        <f>50.9018 * CHOOSE(CONTROL!$C$9, $D$9, 100%, $F$9) + CHOOSE(CONTROL!$C$27, 0.0021, 0)</f>
        <v>50.9039</v>
      </c>
      <c r="D467" s="10">
        <f>50.9018 * CHOOSE(CONTROL!$C$9, $D$9, 100%, $F$9) + CHOOSE(CONTROL!$C$27, 0.0021, 0)</f>
        <v>50.9039</v>
      </c>
      <c r="E467" s="10">
        <f>50.7652 * CHOOSE(CONTROL!$C$9, $D$9, 100%, $F$9) + CHOOSE(CONTROL!$C$27, 0.0021, 0)</f>
        <v>50.767299999999999</v>
      </c>
      <c r="F467" s="10">
        <f>50.7652 * CHOOSE(CONTROL!$C$9, $D$9, 100%, $F$9) + CHOOSE(CONTROL!$C$27, 0.0021, 0)</f>
        <v>50.767299999999999</v>
      </c>
      <c r="G467" s="10">
        <f>51.0365 * CHOOSE(CONTROL!$C$9, $D$9, 100%, $F$9) + CHOOSE(CONTROL!$C$27, 0.0021, 0)</f>
        <v>51.038599999999995</v>
      </c>
      <c r="H467" s="10">
        <f>50.9018 * CHOOSE(CONTROL!$C$9, $D$9, 100%, $F$9) + CHOOSE(CONTROL!$C$27, 0.0021, 0)</f>
        <v>50.9039</v>
      </c>
      <c r="I467" s="10">
        <f>50.9018 * CHOOSE(CONTROL!$C$9, $D$9, 100%, $F$9) + CHOOSE(CONTROL!$C$27, 0.0021, 0)</f>
        <v>50.9039</v>
      </c>
      <c r="J467" s="10">
        <f>50.9018 * CHOOSE(CONTROL!$C$9, $D$9, 100%, $F$9) + CHOOSE(CONTROL!$C$27, 0.0021, 0)</f>
        <v>50.9039</v>
      </c>
      <c r="K467" s="10">
        <f>50.9018 * CHOOSE(CONTROL!$C$9, $D$9, 100%, $F$9) + CHOOSE(CONTROL!$C$27, 0.0021, 0)</f>
        <v>50.9039</v>
      </c>
      <c r="L467" s="10"/>
    </row>
    <row r="468" spans="1:12" ht="15.75" x14ac:dyDescent="0.25">
      <c r="A468" s="14">
        <v>55184</v>
      </c>
      <c r="B468" s="10">
        <f>50.6915 * CHOOSE(CONTROL!$C$9, $D$9, 100%, $F$9) + CHOOSE(CONTROL!$C$27, 0.0021, 0)</f>
        <v>50.693599999999996</v>
      </c>
      <c r="C468" s="10">
        <f>50.2593 * CHOOSE(CONTROL!$C$9, $D$9, 100%, $F$9) + CHOOSE(CONTROL!$C$27, 0.0021, 0)</f>
        <v>50.261400000000002</v>
      </c>
      <c r="D468" s="10">
        <f>50.2593 * CHOOSE(CONTROL!$C$9, $D$9, 100%, $F$9) + CHOOSE(CONTROL!$C$27, 0.0021, 0)</f>
        <v>50.261400000000002</v>
      </c>
      <c r="E468" s="10">
        <f>50.1226 * CHOOSE(CONTROL!$C$9, $D$9, 100%, $F$9) + CHOOSE(CONTROL!$C$27, 0.0021, 0)</f>
        <v>50.124699999999997</v>
      </c>
      <c r="F468" s="10">
        <f>50.1226 * CHOOSE(CONTROL!$C$9, $D$9, 100%, $F$9) + CHOOSE(CONTROL!$C$27, 0.0021, 0)</f>
        <v>50.124699999999997</v>
      </c>
      <c r="G468" s="10">
        <f>50.394 * CHOOSE(CONTROL!$C$9, $D$9, 100%, $F$9) + CHOOSE(CONTROL!$C$27, 0.0021, 0)</f>
        <v>50.396099999999997</v>
      </c>
      <c r="H468" s="10">
        <f>50.2593 * CHOOSE(CONTROL!$C$9, $D$9, 100%, $F$9) + CHOOSE(CONTROL!$C$27, 0.0021, 0)</f>
        <v>50.261400000000002</v>
      </c>
      <c r="I468" s="10">
        <f>50.2593 * CHOOSE(CONTROL!$C$9, $D$9, 100%, $F$9) + CHOOSE(CONTROL!$C$27, 0.0021, 0)</f>
        <v>50.261400000000002</v>
      </c>
      <c r="J468" s="10">
        <f>50.2593 * CHOOSE(CONTROL!$C$9, $D$9, 100%, $F$9) + CHOOSE(CONTROL!$C$27, 0.0021, 0)</f>
        <v>50.261400000000002</v>
      </c>
      <c r="K468" s="10">
        <f>50.2593 * CHOOSE(CONTROL!$C$9, $D$9, 100%, $F$9) + CHOOSE(CONTROL!$C$27, 0.0021, 0)</f>
        <v>50.261400000000002</v>
      </c>
      <c r="L468" s="10"/>
    </row>
    <row r="469" spans="1:12" ht="15.75" x14ac:dyDescent="0.25">
      <c r="A469" s="14">
        <v>55212</v>
      </c>
      <c r="B469" s="10">
        <f>49.3225 * CHOOSE(CONTROL!$C$9, $D$9, 100%, $F$9) + CHOOSE(CONTROL!$C$27, 0.0021, 0)</f>
        <v>49.324599999999997</v>
      </c>
      <c r="C469" s="10">
        <f>48.8903 * CHOOSE(CONTROL!$C$9, $D$9, 100%, $F$9) + CHOOSE(CONTROL!$C$27, 0.0021, 0)</f>
        <v>48.892400000000002</v>
      </c>
      <c r="D469" s="10">
        <f>48.8903 * CHOOSE(CONTROL!$C$9, $D$9, 100%, $F$9) + CHOOSE(CONTROL!$C$27, 0.0021, 0)</f>
        <v>48.892400000000002</v>
      </c>
      <c r="E469" s="10">
        <f>48.7536 * CHOOSE(CONTROL!$C$9, $D$9, 100%, $F$9) + CHOOSE(CONTROL!$C$27, 0.0021, 0)</f>
        <v>48.755699999999997</v>
      </c>
      <c r="F469" s="10">
        <f>48.7536 * CHOOSE(CONTROL!$C$9, $D$9, 100%, $F$9) + CHOOSE(CONTROL!$C$27, 0.0021, 0)</f>
        <v>48.755699999999997</v>
      </c>
      <c r="G469" s="10">
        <f>49.025 * CHOOSE(CONTROL!$C$9, $D$9, 100%, $F$9) + CHOOSE(CONTROL!$C$27, 0.0021, 0)</f>
        <v>49.027099999999997</v>
      </c>
      <c r="H469" s="10">
        <f>48.8903 * CHOOSE(CONTROL!$C$9, $D$9, 100%, $F$9) + CHOOSE(CONTROL!$C$27, 0.0021, 0)</f>
        <v>48.892400000000002</v>
      </c>
      <c r="I469" s="10">
        <f>48.8903 * CHOOSE(CONTROL!$C$9, $D$9, 100%, $F$9) + CHOOSE(CONTROL!$C$27, 0.0021, 0)</f>
        <v>48.892400000000002</v>
      </c>
      <c r="J469" s="10">
        <f>48.8903 * CHOOSE(CONTROL!$C$9, $D$9, 100%, $F$9) + CHOOSE(CONTROL!$C$27, 0.0021, 0)</f>
        <v>48.892400000000002</v>
      </c>
      <c r="K469" s="10">
        <f>48.8903 * CHOOSE(CONTROL!$C$9, $D$9, 100%, $F$9) + CHOOSE(CONTROL!$C$27, 0.0021, 0)</f>
        <v>48.892400000000002</v>
      </c>
      <c r="L469" s="10"/>
    </row>
    <row r="470" spans="1:12" ht="15.75" x14ac:dyDescent="0.25">
      <c r="A470" s="14">
        <v>55243</v>
      </c>
      <c r="B470" s="10">
        <f>48.7574 * CHOOSE(CONTROL!$C$9, $D$9, 100%, $F$9) + CHOOSE(CONTROL!$C$27, 0.0021, 0)</f>
        <v>48.759499999999996</v>
      </c>
      <c r="C470" s="10">
        <f>48.3251 * CHOOSE(CONTROL!$C$9, $D$9, 100%, $F$9) + CHOOSE(CONTROL!$C$27, 0.0021, 0)</f>
        <v>48.327199999999998</v>
      </c>
      <c r="D470" s="10">
        <f>48.3251 * CHOOSE(CONTROL!$C$9, $D$9, 100%, $F$9) + CHOOSE(CONTROL!$C$27, 0.0021, 0)</f>
        <v>48.327199999999998</v>
      </c>
      <c r="E470" s="10">
        <f>48.1885 * CHOOSE(CONTROL!$C$9, $D$9, 100%, $F$9) + CHOOSE(CONTROL!$C$27, 0.0021, 0)</f>
        <v>48.190599999999996</v>
      </c>
      <c r="F470" s="10">
        <f>48.1885 * CHOOSE(CONTROL!$C$9, $D$9, 100%, $F$9) + CHOOSE(CONTROL!$C$27, 0.0021, 0)</f>
        <v>48.190599999999996</v>
      </c>
      <c r="G470" s="10">
        <f>48.4599 * CHOOSE(CONTROL!$C$9, $D$9, 100%, $F$9) + CHOOSE(CONTROL!$C$27, 0.0021, 0)</f>
        <v>48.461999999999996</v>
      </c>
      <c r="H470" s="10">
        <f>48.3251 * CHOOSE(CONTROL!$C$9, $D$9, 100%, $F$9) + CHOOSE(CONTROL!$C$27, 0.0021, 0)</f>
        <v>48.327199999999998</v>
      </c>
      <c r="I470" s="10">
        <f>48.3251 * CHOOSE(CONTROL!$C$9, $D$9, 100%, $F$9) + CHOOSE(CONTROL!$C$27, 0.0021, 0)</f>
        <v>48.327199999999998</v>
      </c>
      <c r="J470" s="10">
        <f>48.3251 * CHOOSE(CONTROL!$C$9, $D$9, 100%, $F$9) + CHOOSE(CONTROL!$C$27, 0.0021, 0)</f>
        <v>48.327199999999998</v>
      </c>
      <c r="K470" s="10">
        <f>48.3251 * CHOOSE(CONTROL!$C$9, $D$9, 100%, $F$9) + CHOOSE(CONTROL!$C$27, 0.0021, 0)</f>
        <v>48.327199999999998</v>
      </c>
      <c r="L470" s="10"/>
    </row>
    <row r="471" spans="1:12" ht="15.75" x14ac:dyDescent="0.25">
      <c r="A471" s="14">
        <v>55273</v>
      </c>
      <c r="B471" s="10">
        <f>48.0826 * CHOOSE(CONTROL!$C$9, $D$9, 100%, $F$9) + CHOOSE(CONTROL!$C$27, 0.0021, 0)</f>
        <v>48.084699999999998</v>
      </c>
      <c r="C471" s="10">
        <f>47.6504 * CHOOSE(CONTROL!$C$9, $D$9, 100%, $F$9) + CHOOSE(CONTROL!$C$27, 0.0021, 0)</f>
        <v>47.652499999999996</v>
      </c>
      <c r="D471" s="10">
        <f>47.6504 * CHOOSE(CONTROL!$C$9, $D$9, 100%, $F$9) + CHOOSE(CONTROL!$C$27, 0.0021, 0)</f>
        <v>47.652499999999996</v>
      </c>
      <c r="E471" s="10">
        <f>47.5137 * CHOOSE(CONTROL!$C$9, $D$9, 100%, $F$9) + CHOOSE(CONTROL!$C$27, 0.0021, 0)</f>
        <v>47.515799999999999</v>
      </c>
      <c r="F471" s="10">
        <f>47.5137 * CHOOSE(CONTROL!$C$9, $D$9, 100%, $F$9) + CHOOSE(CONTROL!$C$27, 0.0021, 0)</f>
        <v>47.515799999999999</v>
      </c>
      <c r="G471" s="10">
        <f>47.7851 * CHOOSE(CONTROL!$C$9, $D$9, 100%, $F$9) + CHOOSE(CONTROL!$C$27, 0.0021, 0)</f>
        <v>47.787199999999999</v>
      </c>
      <c r="H471" s="10">
        <f>47.6504 * CHOOSE(CONTROL!$C$9, $D$9, 100%, $F$9) + CHOOSE(CONTROL!$C$27, 0.0021, 0)</f>
        <v>47.652499999999996</v>
      </c>
      <c r="I471" s="10">
        <f>47.6504 * CHOOSE(CONTROL!$C$9, $D$9, 100%, $F$9) + CHOOSE(CONTROL!$C$27, 0.0021, 0)</f>
        <v>47.652499999999996</v>
      </c>
      <c r="J471" s="10">
        <f>47.6504 * CHOOSE(CONTROL!$C$9, $D$9, 100%, $F$9) + CHOOSE(CONTROL!$C$27, 0.0021, 0)</f>
        <v>47.652499999999996</v>
      </c>
      <c r="K471" s="10">
        <f>47.6504 * CHOOSE(CONTROL!$C$9, $D$9, 100%, $F$9) + CHOOSE(CONTROL!$C$27, 0.0021, 0)</f>
        <v>47.652499999999996</v>
      </c>
      <c r="L471" s="10"/>
    </row>
    <row r="472" spans="1:12" ht="15.75" x14ac:dyDescent="0.25">
      <c r="A472" s="14">
        <v>55304</v>
      </c>
      <c r="B472" s="10">
        <f>49.0443 * CHOOSE(CONTROL!$C$9, $D$9, 100%, $F$9) + CHOOSE(CONTROL!$C$27, 0.0021, 0)</f>
        <v>49.046399999999998</v>
      </c>
      <c r="C472" s="10">
        <f>48.612 * CHOOSE(CONTROL!$C$9, $D$9, 100%, $F$9) + CHOOSE(CONTROL!$C$27, 0.0021, 0)</f>
        <v>48.614100000000001</v>
      </c>
      <c r="D472" s="10">
        <f>48.612 * CHOOSE(CONTROL!$C$9, $D$9, 100%, $F$9) + CHOOSE(CONTROL!$C$27, 0.0021, 0)</f>
        <v>48.614100000000001</v>
      </c>
      <c r="E472" s="10">
        <f>48.4753 * CHOOSE(CONTROL!$C$9, $D$9, 100%, $F$9) + CHOOSE(CONTROL!$C$27, 0.0021, 0)</f>
        <v>48.477399999999996</v>
      </c>
      <c r="F472" s="10">
        <f>48.4753 * CHOOSE(CONTROL!$C$9, $D$9, 100%, $F$9) + CHOOSE(CONTROL!$C$27, 0.0021, 0)</f>
        <v>48.477399999999996</v>
      </c>
      <c r="G472" s="10">
        <f>48.7467 * CHOOSE(CONTROL!$C$9, $D$9, 100%, $F$9) + CHOOSE(CONTROL!$C$27, 0.0021, 0)</f>
        <v>48.748799999999996</v>
      </c>
      <c r="H472" s="10">
        <f>48.612 * CHOOSE(CONTROL!$C$9, $D$9, 100%, $F$9) + CHOOSE(CONTROL!$C$27, 0.0021, 0)</f>
        <v>48.614100000000001</v>
      </c>
      <c r="I472" s="10">
        <f>48.612 * CHOOSE(CONTROL!$C$9, $D$9, 100%, $F$9) + CHOOSE(CONTROL!$C$27, 0.0021, 0)</f>
        <v>48.614100000000001</v>
      </c>
      <c r="J472" s="10">
        <f>48.612 * CHOOSE(CONTROL!$C$9, $D$9, 100%, $F$9) + CHOOSE(CONTROL!$C$27, 0.0021, 0)</f>
        <v>48.614100000000001</v>
      </c>
      <c r="K472" s="10">
        <f>48.612 * CHOOSE(CONTROL!$C$9, $D$9, 100%, $F$9) + CHOOSE(CONTROL!$C$27, 0.0021, 0)</f>
        <v>48.614100000000001</v>
      </c>
      <c r="L472" s="10"/>
    </row>
    <row r="473" spans="1:12" ht="15.75" x14ac:dyDescent="0.25">
      <c r="A473" s="14">
        <v>55334</v>
      </c>
      <c r="B473" s="10">
        <f>49.6202 * CHOOSE(CONTROL!$C$9, $D$9, 100%, $F$9) + CHOOSE(CONTROL!$C$27, 0.0021, 0)</f>
        <v>49.622299999999996</v>
      </c>
      <c r="C473" s="10">
        <f>49.188 * CHOOSE(CONTROL!$C$9, $D$9, 100%, $F$9) + CHOOSE(CONTROL!$C$27, 0.0021, 0)</f>
        <v>49.190100000000001</v>
      </c>
      <c r="D473" s="10">
        <f>49.188 * CHOOSE(CONTROL!$C$9, $D$9, 100%, $F$9) + CHOOSE(CONTROL!$C$27, 0.0021, 0)</f>
        <v>49.190100000000001</v>
      </c>
      <c r="E473" s="10">
        <f>49.0513 * CHOOSE(CONTROL!$C$9, $D$9, 100%, $F$9) + CHOOSE(CONTROL!$C$27, 0.0021, 0)</f>
        <v>49.053399999999996</v>
      </c>
      <c r="F473" s="10">
        <f>49.0513 * CHOOSE(CONTROL!$C$9, $D$9, 100%, $F$9) + CHOOSE(CONTROL!$C$27, 0.0021, 0)</f>
        <v>49.053399999999996</v>
      </c>
      <c r="G473" s="10">
        <f>49.3227 * CHOOSE(CONTROL!$C$9, $D$9, 100%, $F$9) + CHOOSE(CONTROL!$C$27, 0.0021, 0)</f>
        <v>49.324799999999996</v>
      </c>
      <c r="H473" s="10">
        <f>49.188 * CHOOSE(CONTROL!$C$9, $D$9, 100%, $F$9) + CHOOSE(CONTROL!$C$27, 0.0021, 0)</f>
        <v>49.190100000000001</v>
      </c>
      <c r="I473" s="10">
        <f>49.188 * CHOOSE(CONTROL!$C$9, $D$9, 100%, $F$9) + CHOOSE(CONTROL!$C$27, 0.0021, 0)</f>
        <v>49.190100000000001</v>
      </c>
      <c r="J473" s="10">
        <f>49.188 * CHOOSE(CONTROL!$C$9, $D$9, 100%, $F$9) + CHOOSE(CONTROL!$C$27, 0.0021, 0)</f>
        <v>49.190100000000001</v>
      </c>
      <c r="K473" s="10">
        <f>49.188 * CHOOSE(CONTROL!$C$9, $D$9, 100%, $F$9) + CHOOSE(CONTROL!$C$27, 0.0021, 0)</f>
        <v>49.190100000000001</v>
      </c>
      <c r="L473" s="10"/>
    </row>
    <row r="474" spans="1:12" ht="15.75" x14ac:dyDescent="0.25">
      <c r="A474" s="14">
        <v>55365</v>
      </c>
      <c r="B474" s="10">
        <f>50.5704 * CHOOSE(CONTROL!$C$9, $D$9, 100%, $F$9) + CHOOSE(CONTROL!$C$27, 0.0021, 0)</f>
        <v>50.572499999999998</v>
      </c>
      <c r="C474" s="10">
        <f>50.1381 * CHOOSE(CONTROL!$C$9, $D$9, 100%, $F$9) + CHOOSE(CONTROL!$C$27, 0.0021, 0)</f>
        <v>50.1402</v>
      </c>
      <c r="D474" s="10">
        <f>50.1381 * CHOOSE(CONTROL!$C$9, $D$9, 100%, $F$9) + CHOOSE(CONTROL!$C$27, 0.0021, 0)</f>
        <v>50.1402</v>
      </c>
      <c r="E474" s="10">
        <f>50.0015 * CHOOSE(CONTROL!$C$9, $D$9, 100%, $F$9) + CHOOSE(CONTROL!$C$27, 0.0021, 0)</f>
        <v>50.003599999999999</v>
      </c>
      <c r="F474" s="10">
        <f>50.0015 * CHOOSE(CONTROL!$C$9, $D$9, 100%, $F$9) + CHOOSE(CONTROL!$C$27, 0.0021, 0)</f>
        <v>50.003599999999999</v>
      </c>
      <c r="G474" s="10">
        <f>50.2728 * CHOOSE(CONTROL!$C$9, $D$9, 100%, $F$9) + CHOOSE(CONTROL!$C$27, 0.0021, 0)</f>
        <v>50.274899999999995</v>
      </c>
      <c r="H474" s="10">
        <f>50.1381 * CHOOSE(CONTROL!$C$9, $D$9, 100%, $F$9) + CHOOSE(CONTROL!$C$27, 0.0021, 0)</f>
        <v>50.1402</v>
      </c>
      <c r="I474" s="10">
        <f>50.1381 * CHOOSE(CONTROL!$C$9, $D$9, 100%, $F$9) + CHOOSE(CONTROL!$C$27, 0.0021, 0)</f>
        <v>50.1402</v>
      </c>
      <c r="J474" s="10">
        <f>50.1381 * CHOOSE(CONTROL!$C$9, $D$9, 100%, $F$9) + CHOOSE(CONTROL!$C$27, 0.0021, 0)</f>
        <v>50.1402</v>
      </c>
      <c r="K474" s="10">
        <f>50.1381 * CHOOSE(CONTROL!$C$9, $D$9, 100%, $F$9) + CHOOSE(CONTROL!$C$27, 0.0021, 0)</f>
        <v>50.1402</v>
      </c>
      <c r="L474" s="10"/>
    </row>
    <row r="475" spans="1:12" ht="15.75" x14ac:dyDescent="0.25">
      <c r="A475" s="14">
        <v>55396</v>
      </c>
      <c r="B475" s="10">
        <f>50.8604 * CHOOSE(CONTROL!$C$9, $D$9, 100%, $F$9) + CHOOSE(CONTROL!$C$27, 0.0021, 0)</f>
        <v>50.862499999999997</v>
      </c>
      <c r="C475" s="10">
        <f>50.4281 * CHOOSE(CONTROL!$C$9, $D$9, 100%, $F$9) + CHOOSE(CONTROL!$C$27, 0.0021, 0)</f>
        <v>50.430199999999999</v>
      </c>
      <c r="D475" s="10">
        <f>50.4281 * CHOOSE(CONTROL!$C$9, $D$9, 100%, $F$9) + CHOOSE(CONTROL!$C$27, 0.0021, 0)</f>
        <v>50.430199999999999</v>
      </c>
      <c r="E475" s="10">
        <f>50.2915 * CHOOSE(CONTROL!$C$9, $D$9, 100%, $F$9) + CHOOSE(CONTROL!$C$27, 0.0021, 0)</f>
        <v>50.293599999999998</v>
      </c>
      <c r="F475" s="10">
        <f>50.2915 * CHOOSE(CONTROL!$C$9, $D$9, 100%, $F$9) + CHOOSE(CONTROL!$C$27, 0.0021, 0)</f>
        <v>50.293599999999998</v>
      </c>
      <c r="G475" s="10">
        <f>50.5628 * CHOOSE(CONTROL!$C$9, $D$9, 100%, $F$9) + CHOOSE(CONTROL!$C$27, 0.0021, 0)</f>
        <v>50.564900000000002</v>
      </c>
      <c r="H475" s="10">
        <f>50.4281 * CHOOSE(CONTROL!$C$9, $D$9, 100%, $F$9) + CHOOSE(CONTROL!$C$27, 0.0021, 0)</f>
        <v>50.430199999999999</v>
      </c>
      <c r="I475" s="10">
        <f>50.4281 * CHOOSE(CONTROL!$C$9, $D$9, 100%, $F$9) + CHOOSE(CONTROL!$C$27, 0.0021, 0)</f>
        <v>50.430199999999999</v>
      </c>
      <c r="J475" s="10">
        <f>50.4281 * CHOOSE(CONTROL!$C$9, $D$9, 100%, $F$9) + CHOOSE(CONTROL!$C$27, 0.0021, 0)</f>
        <v>50.430199999999999</v>
      </c>
      <c r="K475" s="10">
        <f>50.4281 * CHOOSE(CONTROL!$C$9, $D$9, 100%, $F$9) + CHOOSE(CONTROL!$C$27, 0.0021, 0)</f>
        <v>50.430199999999999</v>
      </c>
      <c r="L475" s="10"/>
    </row>
    <row r="476" spans="1:12" ht="15.75" x14ac:dyDescent="0.25">
      <c r="A476" s="14">
        <v>55426</v>
      </c>
      <c r="B476" s="10">
        <f>51.848 * CHOOSE(CONTROL!$C$9, $D$9, 100%, $F$9) + CHOOSE(CONTROL!$C$27, 0.0021, 0)</f>
        <v>51.850099999999998</v>
      </c>
      <c r="C476" s="10">
        <f>51.4158 * CHOOSE(CONTROL!$C$9, $D$9, 100%, $F$9) + CHOOSE(CONTROL!$C$27, 0.0021, 0)</f>
        <v>51.417899999999996</v>
      </c>
      <c r="D476" s="10">
        <f>51.4158 * CHOOSE(CONTROL!$C$9, $D$9, 100%, $F$9) + CHOOSE(CONTROL!$C$27, 0.0021, 0)</f>
        <v>51.417899999999996</v>
      </c>
      <c r="E476" s="10">
        <f>51.2791 * CHOOSE(CONTROL!$C$9, $D$9, 100%, $F$9) + CHOOSE(CONTROL!$C$27, 0.0021, 0)</f>
        <v>51.281199999999998</v>
      </c>
      <c r="F476" s="10">
        <f>51.2791 * CHOOSE(CONTROL!$C$9, $D$9, 100%, $F$9) + CHOOSE(CONTROL!$C$27, 0.0021, 0)</f>
        <v>51.281199999999998</v>
      </c>
      <c r="G476" s="10">
        <f>51.5505 * CHOOSE(CONTROL!$C$9, $D$9, 100%, $F$9) + CHOOSE(CONTROL!$C$27, 0.0021, 0)</f>
        <v>51.552599999999998</v>
      </c>
      <c r="H476" s="10">
        <f>51.4158 * CHOOSE(CONTROL!$C$9, $D$9, 100%, $F$9) + CHOOSE(CONTROL!$C$27, 0.0021, 0)</f>
        <v>51.417899999999996</v>
      </c>
      <c r="I476" s="10">
        <f>51.4158 * CHOOSE(CONTROL!$C$9, $D$9, 100%, $F$9) + CHOOSE(CONTROL!$C$27, 0.0021, 0)</f>
        <v>51.417899999999996</v>
      </c>
      <c r="J476" s="10">
        <f>51.4158 * CHOOSE(CONTROL!$C$9, $D$9, 100%, $F$9) + CHOOSE(CONTROL!$C$27, 0.0021, 0)</f>
        <v>51.417899999999996</v>
      </c>
      <c r="K476" s="10">
        <f>51.4158 * CHOOSE(CONTROL!$C$9, $D$9, 100%, $F$9) + CHOOSE(CONTROL!$C$27, 0.0021, 0)</f>
        <v>51.417899999999996</v>
      </c>
      <c r="L476" s="10"/>
    </row>
    <row r="477" spans="1:12" ht="15.75" x14ac:dyDescent="0.25">
      <c r="A477" s="14">
        <v>55457</v>
      </c>
      <c r="B477" s="10">
        <f>53.0982 * CHOOSE(CONTROL!$C$9, $D$9, 100%, $F$9) + CHOOSE(CONTROL!$C$27, 0.0021, 0)</f>
        <v>53.100299999999997</v>
      </c>
      <c r="C477" s="10">
        <f>52.6659 * CHOOSE(CONTROL!$C$9, $D$9, 100%, $F$9) + CHOOSE(CONTROL!$C$27, 0.0021, 0)</f>
        <v>52.667999999999999</v>
      </c>
      <c r="D477" s="10">
        <f>52.6659 * CHOOSE(CONTROL!$C$9, $D$9, 100%, $F$9) + CHOOSE(CONTROL!$C$27, 0.0021, 0)</f>
        <v>52.667999999999999</v>
      </c>
      <c r="E477" s="10">
        <f>52.5293 * CHOOSE(CONTROL!$C$9, $D$9, 100%, $F$9) + CHOOSE(CONTROL!$C$27, 0.0021, 0)</f>
        <v>52.531399999999998</v>
      </c>
      <c r="F477" s="10">
        <f>52.5293 * CHOOSE(CONTROL!$C$9, $D$9, 100%, $F$9) + CHOOSE(CONTROL!$C$27, 0.0021, 0)</f>
        <v>52.531399999999998</v>
      </c>
      <c r="G477" s="10">
        <f>52.8006 * CHOOSE(CONTROL!$C$9, $D$9, 100%, $F$9) + CHOOSE(CONTROL!$C$27, 0.0021, 0)</f>
        <v>52.802700000000002</v>
      </c>
      <c r="H477" s="10">
        <f>52.6659 * CHOOSE(CONTROL!$C$9, $D$9, 100%, $F$9) + CHOOSE(CONTROL!$C$27, 0.0021, 0)</f>
        <v>52.667999999999999</v>
      </c>
      <c r="I477" s="10">
        <f>52.6659 * CHOOSE(CONTROL!$C$9, $D$9, 100%, $F$9) + CHOOSE(CONTROL!$C$27, 0.0021, 0)</f>
        <v>52.667999999999999</v>
      </c>
      <c r="J477" s="10">
        <f>52.6659 * CHOOSE(CONTROL!$C$9, $D$9, 100%, $F$9) + CHOOSE(CONTROL!$C$27, 0.0021, 0)</f>
        <v>52.667999999999999</v>
      </c>
      <c r="K477" s="10">
        <f>52.6659 * CHOOSE(CONTROL!$C$9, $D$9, 100%, $F$9) + CHOOSE(CONTROL!$C$27, 0.0021, 0)</f>
        <v>52.667999999999999</v>
      </c>
      <c r="L477" s="10"/>
    </row>
    <row r="478" spans="1:12" ht="15.75" x14ac:dyDescent="0.25">
      <c r="A478" s="14">
        <v>55487</v>
      </c>
      <c r="B478" s="10">
        <f>53.2155 * CHOOSE(CONTROL!$C$9, $D$9, 100%, $F$9) + CHOOSE(CONTROL!$C$27, 0.0021, 0)</f>
        <v>53.217599999999997</v>
      </c>
      <c r="C478" s="10">
        <f>52.7833 * CHOOSE(CONTROL!$C$9, $D$9, 100%, $F$9) + CHOOSE(CONTROL!$C$27, 0.0021, 0)</f>
        <v>52.785399999999996</v>
      </c>
      <c r="D478" s="10">
        <f>52.7833 * CHOOSE(CONTROL!$C$9, $D$9, 100%, $F$9) + CHOOSE(CONTROL!$C$27, 0.0021, 0)</f>
        <v>52.785399999999996</v>
      </c>
      <c r="E478" s="10">
        <f>52.6466 * CHOOSE(CONTROL!$C$9, $D$9, 100%, $F$9) + CHOOSE(CONTROL!$C$27, 0.0021, 0)</f>
        <v>52.648699999999998</v>
      </c>
      <c r="F478" s="10">
        <f>52.6466 * CHOOSE(CONTROL!$C$9, $D$9, 100%, $F$9) + CHOOSE(CONTROL!$C$27, 0.0021, 0)</f>
        <v>52.648699999999998</v>
      </c>
      <c r="G478" s="10">
        <f>52.918 * CHOOSE(CONTROL!$C$9, $D$9, 100%, $F$9) + CHOOSE(CONTROL!$C$27, 0.0021, 0)</f>
        <v>52.920099999999998</v>
      </c>
      <c r="H478" s="10">
        <f>52.7833 * CHOOSE(CONTROL!$C$9, $D$9, 100%, $F$9) + CHOOSE(CONTROL!$C$27, 0.0021, 0)</f>
        <v>52.785399999999996</v>
      </c>
      <c r="I478" s="10">
        <f>52.7833 * CHOOSE(CONTROL!$C$9, $D$9, 100%, $F$9) + CHOOSE(CONTROL!$C$27, 0.0021, 0)</f>
        <v>52.785399999999996</v>
      </c>
      <c r="J478" s="10">
        <f>52.7833 * CHOOSE(CONTROL!$C$9, $D$9, 100%, $F$9) + CHOOSE(CONTROL!$C$27, 0.0021, 0)</f>
        <v>52.785399999999996</v>
      </c>
      <c r="K478" s="10">
        <f>52.7833 * CHOOSE(CONTROL!$C$9, $D$9, 100%, $F$9) + CHOOSE(CONTROL!$C$27, 0.0021, 0)</f>
        <v>52.785399999999996</v>
      </c>
      <c r="L478" s="10"/>
    </row>
    <row r="479" spans="1:12" ht="15.75" x14ac:dyDescent="0.25">
      <c r="A479" s="14">
        <v>55518</v>
      </c>
      <c r="B479" s="10">
        <f>52.217 * CHOOSE(CONTROL!$C$9, $D$9, 100%, $F$9) + CHOOSE(CONTROL!$C$27, 0.0021, 0)</f>
        <v>52.219099999999997</v>
      </c>
      <c r="C479" s="10">
        <f>51.7848 * CHOOSE(CONTROL!$C$9, $D$9, 100%, $F$9) + CHOOSE(CONTROL!$C$27, 0.0021, 0)</f>
        <v>51.786899999999996</v>
      </c>
      <c r="D479" s="10">
        <f>51.7848 * CHOOSE(CONTROL!$C$9, $D$9, 100%, $F$9) + CHOOSE(CONTROL!$C$27, 0.0021, 0)</f>
        <v>51.786899999999996</v>
      </c>
      <c r="E479" s="10">
        <f>51.6481 * CHOOSE(CONTROL!$C$9, $D$9, 100%, $F$9) + CHOOSE(CONTROL!$C$27, 0.0021, 0)</f>
        <v>51.650199999999998</v>
      </c>
      <c r="F479" s="10">
        <f>51.6481 * CHOOSE(CONTROL!$C$9, $D$9, 100%, $F$9) + CHOOSE(CONTROL!$C$27, 0.0021, 0)</f>
        <v>51.650199999999998</v>
      </c>
      <c r="G479" s="10">
        <f>51.9195 * CHOOSE(CONTROL!$C$9, $D$9, 100%, $F$9) + CHOOSE(CONTROL!$C$27, 0.0021, 0)</f>
        <v>51.921599999999998</v>
      </c>
      <c r="H479" s="10">
        <f>51.7848 * CHOOSE(CONTROL!$C$9, $D$9, 100%, $F$9) + CHOOSE(CONTROL!$C$27, 0.0021, 0)</f>
        <v>51.786899999999996</v>
      </c>
      <c r="I479" s="10">
        <f>51.7848 * CHOOSE(CONTROL!$C$9, $D$9, 100%, $F$9) + CHOOSE(CONTROL!$C$27, 0.0021, 0)</f>
        <v>51.786899999999996</v>
      </c>
      <c r="J479" s="10">
        <f>51.7848 * CHOOSE(CONTROL!$C$9, $D$9, 100%, $F$9) + CHOOSE(CONTROL!$C$27, 0.0021, 0)</f>
        <v>51.786899999999996</v>
      </c>
      <c r="K479" s="10">
        <f>51.7848 * CHOOSE(CONTROL!$C$9, $D$9, 100%, $F$9) + CHOOSE(CONTROL!$C$27, 0.0021, 0)</f>
        <v>51.786899999999996</v>
      </c>
      <c r="L479" s="10"/>
    </row>
    <row r="480" spans="1:12" ht="15.75" x14ac:dyDescent="0.25">
      <c r="A480" s="14">
        <v>55549</v>
      </c>
      <c r="B480" s="10">
        <f>51.5629 * CHOOSE(CONTROL!$C$9, $D$9, 100%, $F$9) + CHOOSE(CONTROL!$C$27, 0.0021, 0)</f>
        <v>51.564999999999998</v>
      </c>
      <c r="C480" s="10">
        <f>51.1307 * CHOOSE(CONTROL!$C$9, $D$9, 100%, $F$9) + CHOOSE(CONTROL!$C$27, 0.0021, 0)</f>
        <v>51.132799999999996</v>
      </c>
      <c r="D480" s="10">
        <f>51.1307 * CHOOSE(CONTROL!$C$9, $D$9, 100%, $F$9) + CHOOSE(CONTROL!$C$27, 0.0021, 0)</f>
        <v>51.132799999999996</v>
      </c>
      <c r="E480" s="10">
        <f>50.994 * CHOOSE(CONTROL!$C$9, $D$9, 100%, $F$9) + CHOOSE(CONTROL!$C$27, 0.0021, 0)</f>
        <v>50.996099999999998</v>
      </c>
      <c r="F480" s="10">
        <f>50.994 * CHOOSE(CONTROL!$C$9, $D$9, 100%, $F$9) + CHOOSE(CONTROL!$C$27, 0.0021, 0)</f>
        <v>50.996099999999998</v>
      </c>
      <c r="G480" s="10">
        <f>51.2654 * CHOOSE(CONTROL!$C$9, $D$9, 100%, $F$9) + CHOOSE(CONTROL!$C$27, 0.0021, 0)</f>
        <v>51.267499999999998</v>
      </c>
      <c r="H480" s="10">
        <f>51.1307 * CHOOSE(CONTROL!$C$9, $D$9, 100%, $F$9) + CHOOSE(CONTROL!$C$27, 0.0021, 0)</f>
        <v>51.132799999999996</v>
      </c>
      <c r="I480" s="10">
        <f>51.1307 * CHOOSE(CONTROL!$C$9, $D$9, 100%, $F$9) + CHOOSE(CONTROL!$C$27, 0.0021, 0)</f>
        <v>51.132799999999996</v>
      </c>
      <c r="J480" s="10">
        <f>51.1307 * CHOOSE(CONTROL!$C$9, $D$9, 100%, $F$9) + CHOOSE(CONTROL!$C$27, 0.0021, 0)</f>
        <v>51.132799999999996</v>
      </c>
      <c r="K480" s="10">
        <f>51.1307 * CHOOSE(CONTROL!$C$9, $D$9, 100%, $F$9) + CHOOSE(CONTROL!$C$27, 0.0021, 0)</f>
        <v>51.132799999999996</v>
      </c>
      <c r="L480" s="10"/>
    </row>
    <row r="481" spans="1:12" ht="15.75" x14ac:dyDescent="0.25">
      <c r="A481" s="14">
        <v>55577</v>
      </c>
      <c r="B481" s="10">
        <f>50.1693 * CHOOSE(CONTROL!$C$9, $D$9, 100%, $F$9) + CHOOSE(CONTROL!$C$27, 0.0021, 0)</f>
        <v>50.171399999999998</v>
      </c>
      <c r="C481" s="10">
        <f>49.737 * CHOOSE(CONTROL!$C$9, $D$9, 100%, $F$9) + CHOOSE(CONTROL!$C$27, 0.0021, 0)</f>
        <v>49.739100000000001</v>
      </c>
      <c r="D481" s="10">
        <f>49.737 * CHOOSE(CONTROL!$C$9, $D$9, 100%, $F$9) + CHOOSE(CONTROL!$C$27, 0.0021, 0)</f>
        <v>49.739100000000001</v>
      </c>
      <c r="E481" s="10">
        <f>49.6004 * CHOOSE(CONTROL!$C$9, $D$9, 100%, $F$9) + CHOOSE(CONTROL!$C$27, 0.0021, 0)</f>
        <v>49.602499999999999</v>
      </c>
      <c r="F481" s="10">
        <f>49.6004 * CHOOSE(CONTROL!$C$9, $D$9, 100%, $F$9) + CHOOSE(CONTROL!$C$27, 0.0021, 0)</f>
        <v>49.602499999999999</v>
      </c>
      <c r="G481" s="10">
        <f>49.8718 * CHOOSE(CONTROL!$C$9, $D$9, 100%, $F$9) + CHOOSE(CONTROL!$C$27, 0.0021, 0)</f>
        <v>49.873899999999999</v>
      </c>
      <c r="H481" s="10">
        <f>49.737 * CHOOSE(CONTROL!$C$9, $D$9, 100%, $F$9) + CHOOSE(CONTROL!$C$27, 0.0021, 0)</f>
        <v>49.739100000000001</v>
      </c>
      <c r="I481" s="10">
        <f>49.737 * CHOOSE(CONTROL!$C$9, $D$9, 100%, $F$9) + CHOOSE(CONTROL!$C$27, 0.0021, 0)</f>
        <v>49.739100000000001</v>
      </c>
      <c r="J481" s="10">
        <f>49.737 * CHOOSE(CONTROL!$C$9, $D$9, 100%, $F$9) + CHOOSE(CONTROL!$C$27, 0.0021, 0)</f>
        <v>49.739100000000001</v>
      </c>
      <c r="K481" s="10">
        <f>49.737 * CHOOSE(CONTROL!$C$9, $D$9, 100%, $F$9) + CHOOSE(CONTROL!$C$27, 0.0021, 0)</f>
        <v>49.739100000000001</v>
      </c>
      <c r="L481" s="10"/>
    </row>
    <row r="482" spans="1:12" ht="15.75" x14ac:dyDescent="0.25">
      <c r="A482" s="14">
        <v>55609</v>
      </c>
      <c r="B482" s="10">
        <f>49.594 * CHOOSE(CONTROL!$C$9, $D$9, 100%, $F$9) + CHOOSE(CONTROL!$C$27, 0.0021, 0)</f>
        <v>49.5961</v>
      </c>
      <c r="C482" s="10">
        <f>49.1617 * CHOOSE(CONTROL!$C$9, $D$9, 100%, $F$9) + CHOOSE(CONTROL!$C$27, 0.0021, 0)</f>
        <v>49.163800000000002</v>
      </c>
      <c r="D482" s="10">
        <f>49.1617 * CHOOSE(CONTROL!$C$9, $D$9, 100%, $F$9) + CHOOSE(CONTROL!$C$27, 0.0021, 0)</f>
        <v>49.163800000000002</v>
      </c>
      <c r="E482" s="10">
        <f>49.0251 * CHOOSE(CONTROL!$C$9, $D$9, 100%, $F$9) + CHOOSE(CONTROL!$C$27, 0.0021, 0)</f>
        <v>49.027200000000001</v>
      </c>
      <c r="F482" s="10">
        <f>49.0251 * CHOOSE(CONTROL!$C$9, $D$9, 100%, $F$9) + CHOOSE(CONTROL!$C$27, 0.0021, 0)</f>
        <v>49.027200000000001</v>
      </c>
      <c r="G482" s="10">
        <f>49.2965 * CHOOSE(CONTROL!$C$9, $D$9, 100%, $F$9) + CHOOSE(CONTROL!$C$27, 0.0021, 0)</f>
        <v>49.2986</v>
      </c>
      <c r="H482" s="10">
        <f>49.1617 * CHOOSE(CONTROL!$C$9, $D$9, 100%, $F$9) + CHOOSE(CONTROL!$C$27, 0.0021, 0)</f>
        <v>49.163800000000002</v>
      </c>
      <c r="I482" s="10">
        <f>49.1617 * CHOOSE(CONTROL!$C$9, $D$9, 100%, $F$9) + CHOOSE(CONTROL!$C$27, 0.0021, 0)</f>
        <v>49.163800000000002</v>
      </c>
      <c r="J482" s="10">
        <f>49.1617 * CHOOSE(CONTROL!$C$9, $D$9, 100%, $F$9) + CHOOSE(CONTROL!$C$27, 0.0021, 0)</f>
        <v>49.163800000000002</v>
      </c>
      <c r="K482" s="10">
        <f>49.1617 * CHOOSE(CONTROL!$C$9, $D$9, 100%, $F$9) + CHOOSE(CONTROL!$C$27, 0.0021, 0)</f>
        <v>49.163800000000002</v>
      </c>
      <c r="L482" s="10"/>
    </row>
    <row r="483" spans="1:12" ht="15.75" x14ac:dyDescent="0.25">
      <c r="A483" s="14">
        <v>55639</v>
      </c>
      <c r="B483" s="10">
        <f>48.9071 * CHOOSE(CONTROL!$C$9, $D$9, 100%, $F$9) + CHOOSE(CONTROL!$C$27, 0.0021, 0)</f>
        <v>48.909199999999998</v>
      </c>
      <c r="C483" s="10">
        <f>48.4748 * CHOOSE(CONTROL!$C$9, $D$9, 100%, $F$9) + CHOOSE(CONTROL!$C$27, 0.0021, 0)</f>
        <v>48.476900000000001</v>
      </c>
      <c r="D483" s="10">
        <f>48.4748 * CHOOSE(CONTROL!$C$9, $D$9, 100%, $F$9) + CHOOSE(CONTROL!$C$27, 0.0021, 0)</f>
        <v>48.476900000000001</v>
      </c>
      <c r="E483" s="10">
        <f>48.3382 * CHOOSE(CONTROL!$C$9, $D$9, 100%, $F$9) + CHOOSE(CONTROL!$C$27, 0.0021, 0)</f>
        <v>48.340299999999999</v>
      </c>
      <c r="F483" s="10">
        <f>48.3382 * CHOOSE(CONTROL!$C$9, $D$9, 100%, $F$9) + CHOOSE(CONTROL!$C$27, 0.0021, 0)</f>
        <v>48.340299999999999</v>
      </c>
      <c r="G483" s="10">
        <f>48.6096 * CHOOSE(CONTROL!$C$9, $D$9, 100%, $F$9) + CHOOSE(CONTROL!$C$27, 0.0021, 0)</f>
        <v>48.611699999999999</v>
      </c>
      <c r="H483" s="10">
        <f>48.4748 * CHOOSE(CONTROL!$C$9, $D$9, 100%, $F$9) + CHOOSE(CONTROL!$C$27, 0.0021, 0)</f>
        <v>48.476900000000001</v>
      </c>
      <c r="I483" s="10">
        <f>48.4748 * CHOOSE(CONTROL!$C$9, $D$9, 100%, $F$9) + CHOOSE(CONTROL!$C$27, 0.0021, 0)</f>
        <v>48.476900000000001</v>
      </c>
      <c r="J483" s="10">
        <f>48.4748 * CHOOSE(CONTROL!$C$9, $D$9, 100%, $F$9) + CHOOSE(CONTROL!$C$27, 0.0021, 0)</f>
        <v>48.476900000000001</v>
      </c>
      <c r="K483" s="10">
        <f>48.4748 * CHOOSE(CONTROL!$C$9, $D$9, 100%, $F$9) + CHOOSE(CONTROL!$C$27, 0.0021, 0)</f>
        <v>48.476900000000001</v>
      </c>
      <c r="L483" s="10"/>
    </row>
    <row r="484" spans="1:12" ht="15.75" x14ac:dyDescent="0.25">
      <c r="A484" s="14">
        <v>55670</v>
      </c>
      <c r="B484" s="10">
        <f>49.886 * CHOOSE(CONTROL!$C$9, $D$9, 100%, $F$9) + CHOOSE(CONTROL!$C$27, 0.0021, 0)</f>
        <v>49.888100000000001</v>
      </c>
      <c r="C484" s="10">
        <f>49.4538 * CHOOSE(CONTROL!$C$9, $D$9, 100%, $F$9) + CHOOSE(CONTROL!$C$27, 0.0021, 0)</f>
        <v>49.4559</v>
      </c>
      <c r="D484" s="10">
        <f>49.4538 * CHOOSE(CONTROL!$C$9, $D$9, 100%, $F$9) + CHOOSE(CONTROL!$C$27, 0.0021, 0)</f>
        <v>49.4559</v>
      </c>
      <c r="E484" s="10">
        <f>49.3171 * CHOOSE(CONTROL!$C$9, $D$9, 100%, $F$9) + CHOOSE(CONTROL!$C$27, 0.0021, 0)</f>
        <v>49.319200000000002</v>
      </c>
      <c r="F484" s="10">
        <f>49.3171 * CHOOSE(CONTROL!$C$9, $D$9, 100%, $F$9) + CHOOSE(CONTROL!$C$27, 0.0021, 0)</f>
        <v>49.319200000000002</v>
      </c>
      <c r="G484" s="10">
        <f>49.5885 * CHOOSE(CONTROL!$C$9, $D$9, 100%, $F$9) + CHOOSE(CONTROL!$C$27, 0.0021, 0)</f>
        <v>49.590600000000002</v>
      </c>
      <c r="H484" s="10">
        <f>49.4538 * CHOOSE(CONTROL!$C$9, $D$9, 100%, $F$9) + CHOOSE(CONTROL!$C$27, 0.0021, 0)</f>
        <v>49.4559</v>
      </c>
      <c r="I484" s="10">
        <f>49.4538 * CHOOSE(CONTROL!$C$9, $D$9, 100%, $F$9) + CHOOSE(CONTROL!$C$27, 0.0021, 0)</f>
        <v>49.4559</v>
      </c>
      <c r="J484" s="10">
        <f>49.4538 * CHOOSE(CONTROL!$C$9, $D$9, 100%, $F$9) + CHOOSE(CONTROL!$C$27, 0.0021, 0)</f>
        <v>49.4559</v>
      </c>
      <c r="K484" s="10">
        <f>49.4538 * CHOOSE(CONTROL!$C$9, $D$9, 100%, $F$9) + CHOOSE(CONTROL!$C$27, 0.0021, 0)</f>
        <v>49.4559</v>
      </c>
      <c r="L484" s="10"/>
    </row>
    <row r="485" spans="1:12" ht="15.75" x14ac:dyDescent="0.25">
      <c r="A485" s="14">
        <v>55700</v>
      </c>
      <c r="B485" s="10">
        <f>50.4724 * CHOOSE(CONTROL!$C$9, $D$9, 100%, $F$9) + CHOOSE(CONTROL!$C$27, 0.0021, 0)</f>
        <v>50.474499999999999</v>
      </c>
      <c r="C485" s="10">
        <f>50.0401 * CHOOSE(CONTROL!$C$9, $D$9, 100%, $F$9) + CHOOSE(CONTROL!$C$27, 0.0021, 0)</f>
        <v>50.042200000000001</v>
      </c>
      <c r="D485" s="10">
        <f>50.0401 * CHOOSE(CONTROL!$C$9, $D$9, 100%, $F$9) + CHOOSE(CONTROL!$C$27, 0.0021, 0)</f>
        <v>50.042200000000001</v>
      </c>
      <c r="E485" s="10">
        <f>49.9034 * CHOOSE(CONTROL!$C$9, $D$9, 100%, $F$9) + CHOOSE(CONTROL!$C$27, 0.0021, 0)</f>
        <v>49.905499999999996</v>
      </c>
      <c r="F485" s="10">
        <f>49.9034 * CHOOSE(CONTROL!$C$9, $D$9, 100%, $F$9) + CHOOSE(CONTROL!$C$27, 0.0021, 0)</f>
        <v>49.905499999999996</v>
      </c>
      <c r="G485" s="10">
        <f>50.1748 * CHOOSE(CONTROL!$C$9, $D$9, 100%, $F$9) + CHOOSE(CONTROL!$C$27, 0.0021, 0)</f>
        <v>50.176899999999996</v>
      </c>
      <c r="H485" s="10">
        <f>50.0401 * CHOOSE(CONTROL!$C$9, $D$9, 100%, $F$9) + CHOOSE(CONTROL!$C$27, 0.0021, 0)</f>
        <v>50.042200000000001</v>
      </c>
      <c r="I485" s="10">
        <f>50.0401 * CHOOSE(CONTROL!$C$9, $D$9, 100%, $F$9) + CHOOSE(CONTROL!$C$27, 0.0021, 0)</f>
        <v>50.042200000000001</v>
      </c>
      <c r="J485" s="10">
        <f>50.0401 * CHOOSE(CONTROL!$C$9, $D$9, 100%, $F$9) + CHOOSE(CONTROL!$C$27, 0.0021, 0)</f>
        <v>50.042200000000001</v>
      </c>
      <c r="K485" s="10">
        <f>50.0401 * CHOOSE(CONTROL!$C$9, $D$9, 100%, $F$9) + CHOOSE(CONTROL!$C$27, 0.0021, 0)</f>
        <v>50.042200000000001</v>
      </c>
      <c r="L485" s="10"/>
    </row>
    <row r="486" spans="1:12" ht="15.75" x14ac:dyDescent="0.25">
      <c r="A486" s="14">
        <v>55731</v>
      </c>
      <c r="B486" s="10">
        <f>51.4396 * CHOOSE(CONTROL!$C$9, $D$9, 100%, $F$9) + CHOOSE(CONTROL!$C$27, 0.0021, 0)</f>
        <v>51.441699999999997</v>
      </c>
      <c r="C486" s="10">
        <f>51.0073 * CHOOSE(CONTROL!$C$9, $D$9, 100%, $F$9) + CHOOSE(CONTROL!$C$27, 0.0021, 0)</f>
        <v>51.009399999999999</v>
      </c>
      <c r="D486" s="10">
        <f>51.0073 * CHOOSE(CONTROL!$C$9, $D$9, 100%, $F$9) + CHOOSE(CONTROL!$C$27, 0.0021, 0)</f>
        <v>51.009399999999999</v>
      </c>
      <c r="E486" s="10">
        <f>50.8707 * CHOOSE(CONTROL!$C$9, $D$9, 100%, $F$9) + CHOOSE(CONTROL!$C$27, 0.0021, 0)</f>
        <v>50.872799999999998</v>
      </c>
      <c r="F486" s="10">
        <f>50.8707 * CHOOSE(CONTROL!$C$9, $D$9, 100%, $F$9) + CHOOSE(CONTROL!$C$27, 0.0021, 0)</f>
        <v>50.872799999999998</v>
      </c>
      <c r="G486" s="10">
        <f>51.1421 * CHOOSE(CONTROL!$C$9, $D$9, 100%, $F$9) + CHOOSE(CONTROL!$C$27, 0.0021, 0)</f>
        <v>51.144199999999998</v>
      </c>
      <c r="H486" s="10">
        <f>51.0073 * CHOOSE(CONTROL!$C$9, $D$9, 100%, $F$9) + CHOOSE(CONTROL!$C$27, 0.0021, 0)</f>
        <v>51.009399999999999</v>
      </c>
      <c r="I486" s="10">
        <f>51.0073 * CHOOSE(CONTROL!$C$9, $D$9, 100%, $F$9) + CHOOSE(CONTROL!$C$27, 0.0021, 0)</f>
        <v>51.009399999999999</v>
      </c>
      <c r="J486" s="10">
        <f>51.0073 * CHOOSE(CONTROL!$C$9, $D$9, 100%, $F$9) + CHOOSE(CONTROL!$C$27, 0.0021, 0)</f>
        <v>51.009399999999999</v>
      </c>
      <c r="K486" s="10">
        <f>51.0073 * CHOOSE(CONTROL!$C$9, $D$9, 100%, $F$9) + CHOOSE(CONTROL!$C$27, 0.0021, 0)</f>
        <v>51.009399999999999</v>
      </c>
      <c r="L486" s="10"/>
    </row>
    <row r="487" spans="1:12" ht="15.75" x14ac:dyDescent="0.25">
      <c r="A487" s="14">
        <v>55762</v>
      </c>
      <c r="B487" s="10">
        <f>51.7348 * CHOOSE(CONTROL!$C$9, $D$9, 100%, $F$9) + CHOOSE(CONTROL!$C$27, 0.0021, 0)</f>
        <v>51.736899999999999</v>
      </c>
      <c r="C487" s="10">
        <f>51.3026 * CHOOSE(CONTROL!$C$9, $D$9, 100%, $F$9) + CHOOSE(CONTROL!$C$27, 0.0021, 0)</f>
        <v>51.304699999999997</v>
      </c>
      <c r="D487" s="10">
        <f>51.3026 * CHOOSE(CONTROL!$C$9, $D$9, 100%, $F$9) + CHOOSE(CONTROL!$C$27, 0.0021, 0)</f>
        <v>51.304699999999997</v>
      </c>
      <c r="E487" s="10">
        <f>51.1659 * CHOOSE(CONTROL!$C$9, $D$9, 100%, $F$9) + CHOOSE(CONTROL!$C$27, 0.0021, 0)</f>
        <v>51.167999999999999</v>
      </c>
      <c r="F487" s="10">
        <f>51.1659 * CHOOSE(CONTROL!$C$9, $D$9, 100%, $F$9) + CHOOSE(CONTROL!$C$27, 0.0021, 0)</f>
        <v>51.167999999999999</v>
      </c>
      <c r="G487" s="10">
        <f>51.4373 * CHOOSE(CONTROL!$C$9, $D$9, 100%, $F$9) + CHOOSE(CONTROL!$C$27, 0.0021, 0)</f>
        <v>51.439399999999999</v>
      </c>
      <c r="H487" s="10">
        <f>51.3026 * CHOOSE(CONTROL!$C$9, $D$9, 100%, $F$9) + CHOOSE(CONTROL!$C$27, 0.0021, 0)</f>
        <v>51.304699999999997</v>
      </c>
      <c r="I487" s="10">
        <f>51.3026 * CHOOSE(CONTROL!$C$9, $D$9, 100%, $F$9) + CHOOSE(CONTROL!$C$27, 0.0021, 0)</f>
        <v>51.304699999999997</v>
      </c>
      <c r="J487" s="10">
        <f>51.3026 * CHOOSE(CONTROL!$C$9, $D$9, 100%, $F$9) + CHOOSE(CONTROL!$C$27, 0.0021, 0)</f>
        <v>51.304699999999997</v>
      </c>
      <c r="K487" s="10">
        <f>51.3026 * CHOOSE(CONTROL!$C$9, $D$9, 100%, $F$9) + CHOOSE(CONTROL!$C$27, 0.0021, 0)</f>
        <v>51.304699999999997</v>
      </c>
      <c r="L487" s="10"/>
    </row>
    <row r="488" spans="1:12" ht="15.75" x14ac:dyDescent="0.25">
      <c r="A488" s="14">
        <v>55792</v>
      </c>
      <c r="B488" s="10">
        <f>52.7402 * CHOOSE(CONTROL!$C$9, $D$9, 100%, $F$9) + CHOOSE(CONTROL!$C$27, 0.0021, 0)</f>
        <v>52.7423</v>
      </c>
      <c r="C488" s="10">
        <f>52.308 * CHOOSE(CONTROL!$C$9, $D$9, 100%, $F$9) + CHOOSE(CONTROL!$C$27, 0.0021, 0)</f>
        <v>52.310099999999998</v>
      </c>
      <c r="D488" s="10">
        <f>52.308 * CHOOSE(CONTROL!$C$9, $D$9, 100%, $F$9) + CHOOSE(CONTROL!$C$27, 0.0021, 0)</f>
        <v>52.310099999999998</v>
      </c>
      <c r="E488" s="10">
        <f>52.1713 * CHOOSE(CONTROL!$C$9, $D$9, 100%, $F$9) + CHOOSE(CONTROL!$C$27, 0.0021, 0)</f>
        <v>52.173400000000001</v>
      </c>
      <c r="F488" s="10">
        <f>52.1713 * CHOOSE(CONTROL!$C$9, $D$9, 100%, $F$9) + CHOOSE(CONTROL!$C$27, 0.0021, 0)</f>
        <v>52.173400000000001</v>
      </c>
      <c r="G488" s="10">
        <f>52.4427 * CHOOSE(CONTROL!$C$9, $D$9, 100%, $F$9) + CHOOSE(CONTROL!$C$27, 0.0021, 0)</f>
        <v>52.444800000000001</v>
      </c>
      <c r="H488" s="10">
        <f>52.308 * CHOOSE(CONTROL!$C$9, $D$9, 100%, $F$9) + CHOOSE(CONTROL!$C$27, 0.0021, 0)</f>
        <v>52.310099999999998</v>
      </c>
      <c r="I488" s="10">
        <f>52.308 * CHOOSE(CONTROL!$C$9, $D$9, 100%, $F$9) + CHOOSE(CONTROL!$C$27, 0.0021, 0)</f>
        <v>52.310099999999998</v>
      </c>
      <c r="J488" s="10">
        <f>52.308 * CHOOSE(CONTROL!$C$9, $D$9, 100%, $F$9) + CHOOSE(CONTROL!$C$27, 0.0021, 0)</f>
        <v>52.310099999999998</v>
      </c>
      <c r="K488" s="10">
        <f>52.308 * CHOOSE(CONTROL!$C$9, $D$9, 100%, $F$9) + CHOOSE(CONTROL!$C$27, 0.0021, 0)</f>
        <v>52.310099999999998</v>
      </c>
      <c r="L488" s="10"/>
    </row>
    <row r="489" spans="1:12" ht="15.75" x14ac:dyDescent="0.25">
      <c r="A489" s="14">
        <v>55823</v>
      </c>
      <c r="B489" s="10">
        <f>54.0129 * CHOOSE(CONTROL!$C$9, $D$9, 100%, $F$9) + CHOOSE(CONTROL!$C$27, 0.0021, 0)</f>
        <v>54.015000000000001</v>
      </c>
      <c r="C489" s="10">
        <f>53.5807 * CHOOSE(CONTROL!$C$9, $D$9, 100%, $F$9) + CHOOSE(CONTROL!$C$27, 0.0021, 0)</f>
        <v>53.582799999999999</v>
      </c>
      <c r="D489" s="10">
        <f>53.5807 * CHOOSE(CONTROL!$C$9, $D$9, 100%, $F$9) + CHOOSE(CONTROL!$C$27, 0.0021, 0)</f>
        <v>53.582799999999999</v>
      </c>
      <c r="E489" s="10">
        <f>53.444 * CHOOSE(CONTROL!$C$9, $D$9, 100%, $F$9) + CHOOSE(CONTROL!$C$27, 0.0021, 0)</f>
        <v>53.446100000000001</v>
      </c>
      <c r="F489" s="10">
        <f>53.444 * CHOOSE(CONTROL!$C$9, $D$9, 100%, $F$9) + CHOOSE(CONTROL!$C$27, 0.0021, 0)</f>
        <v>53.446100000000001</v>
      </c>
      <c r="G489" s="10">
        <f>53.7154 * CHOOSE(CONTROL!$C$9, $D$9, 100%, $F$9) + CHOOSE(CONTROL!$C$27, 0.0021, 0)</f>
        <v>53.717500000000001</v>
      </c>
      <c r="H489" s="10">
        <f>53.5807 * CHOOSE(CONTROL!$C$9, $D$9, 100%, $F$9) + CHOOSE(CONTROL!$C$27, 0.0021, 0)</f>
        <v>53.582799999999999</v>
      </c>
      <c r="I489" s="10">
        <f>53.5807 * CHOOSE(CONTROL!$C$9, $D$9, 100%, $F$9) + CHOOSE(CONTROL!$C$27, 0.0021, 0)</f>
        <v>53.582799999999999</v>
      </c>
      <c r="J489" s="10">
        <f>53.5807 * CHOOSE(CONTROL!$C$9, $D$9, 100%, $F$9) + CHOOSE(CONTROL!$C$27, 0.0021, 0)</f>
        <v>53.582799999999999</v>
      </c>
      <c r="K489" s="10">
        <f>53.5807 * CHOOSE(CONTROL!$C$9, $D$9, 100%, $F$9) + CHOOSE(CONTROL!$C$27, 0.0021, 0)</f>
        <v>53.582799999999999</v>
      </c>
      <c r="L489" s="10"/>
    </row>
    <row r="490" spans="1:12" ht="15.75" x14ac:dyDescent="0.25">
      <c r="A490" s="14">
        <v>55853</v>
      </c>
      <c r="B490" s="10">
        <f>54.1324 * CHOOSE(CONTROL!$C$9, $D$9, 100%, $F$9) + CHOOSE(CONTROL!$C$27, 0.0021, 0)</f>
        <v>54.134499999999996</v>
      </c>
      <c r="C490" s="10">
        <f>53.7001 * CHOOSE(CONTROL!$C$9, $D$9, 100%, $F$9) + CHOOSE(CONTROL!$C$27, 0.0021, 0)</f>
        <v>53.702199999999998</v>
      </c>
      <c r="D490" s="10">
        <f>53.7001 * CHOOSE(CONTROL!$C$9, $D$9, 100%, $F$9) + CHOOSE(CONTROL!$C$27, 0.0021, 0)</f>
        <v>53.702199999999998</v>
      </c>
      <c r="E490" s="10">
        <f>53.5635 * CHOOSE(CONTROL!$C$9, $D$9, 100%, $F$9) + CHOOSE(CONTROL!$C$27, 0.0021, 0)</f>
        <v>53.565599999999996</v>
      </c>
      <c r="F490" s="10">
        <f>53.5635 * CHOOSE(CONTROL!$C$9, $D$9, 100%, $F$9) + CHOOSE(CONTROL!$C$27, 0.0021, 0)</f>
        <v>53.565599999999996</v>
      </c>
      <c r="G490" s="10">
        <f>53.8349 * CHOOSE(CONTROL!$C$9, $D$9, 100%, $F$9) + CHOOSE(CONTROL!$C$27, 0.0021, 0)</f>
        <v>53.836999999999996</v>
      </c>
      <c r="H490" s="10">
        <f>53.7001 * CHOOSE(CONTROL!$C$9, $D$9, 100%, $F$9) + CHOOSE(CONTROL!$C$27, 0.0021, 0)</f>
        <v>53.702199999999998</v>
      </c>
      <c r="I490" s="10">
        <f>53.7001 * CHOOSE(CONTROL!$C$9, $D$9, 100%, $F$9) + CHOOSE(CONTROL!$C$27, 0.0021, 0)</f>
        <v>53.702199999999998</v>
      </c>
      <c r="J490" s="10">
        <f>53.7001 * CHOOSE(CONTROL!$C$9, $D$9, 100%, $F$9) + CHOOSE(CONTROL!$C$27, 0.0021, 0)</f>
        <v>53.702199999999998</v>
      </c>
      <c r="K490" s="10">
        <f>53.7001 * CHOOSE(CONTROL!$C$9, $D$9, 100%, $F$9) + CHOOSE(CONTROL!$C$27, 0.0021, 0)</f>
        <v>53.702199999999998</v>
      </c>
      <c r="L490" s="10"/>
    </row>
    <row r="491" spans="1:12" ht="15.75" x14ac:dyDescent="0.25">
      <c r="A491" s="14">
        <v>55884</v>
      </c>
      <c r="B491" s="10">
        <f>53.1159 * CHOOSE(CONTROL!$C$9, $D$9, 100%, $F$9) + CHOOSE(CONTROL!$C$27, 0.0021, 0)</f>
        <v>53.118000000000002</v>
      </c>
      <c r="C491" s="10">
        <f>52.6837 * CHOOSE(CONTROL!$C$9, $D$9, 100%, $F$9) + CHOOSE(CONTROL!$C$27, 0.0021, 0)</f>
        <v>52.6858</v>
      </c>
      <c r="D491" s="10">
        <f>52.6837 * CHOOSE(CONTROL!$C$9, $D$9, 100%, $F$9) + CHOOSE(CONTROL!$C$27, 0.0021, 0)</f>
        <v>52.6858</v>
      </c>
      <c r="E491" s="10">
        <f>52.547 * CHOOSE(CONTROL!$C$9, $D$9, 100%, $F$9) + CHOOSE(CONTROL!$C$27, 0.0021, 0)</f>
        <v>52.549099999999996</v>
      </c>
      <c r="F491" s="10">
        <f>52.547 * CHOOSE(CONTROL!$C$9, $D$9, 100%, $F$9) + CHOOSE(CONTROL!$C$27, 0.0021, 0)</f>
        <v>52.549099999999996</v>
      </c>
      <c r="G491" s="10">
        <f>52.8184 * CHOOSE(CONTROL!$C$9, $D$9, 100%, $F$9) + CHOOSE(CONTROL!$C$27, 0.0021, 0)</f>
        <v>52.820499999999996</v>
      </c>
      <c r="H491" s="10">
        <f>52.6837 * CHOOSE(CONTROL!$C$9, $D$9, 100%, $F$9) + CHOOSE(CONTROL!$C$27, 0.0021, 0)</f>
        <v>52.6858</v>
      </c>
      <c r="I491" s="10">
        <f>52.6837 * CHOOSE(CONTROL!$C$9, $D$9, 100%, $F$9) + CHOOSE(CONTROL!$C$27, 0.0021, 0)</f>
        <v>52.6858</v>
      </c>
      <c r="J491" s="10">
        <f>52.6837 * CHOOSE(CONTROL!$C$9, $D$9, 100%, $F$9) + CHOOSE(CONTROL!$C$27, 0.0021, 0)</f>
        <v>52.6858</v>
      </c>
      <c r="K491" s="10">
        <f>52.6837 * CHOOSE(CONTROL!$C$9, $D$9, 100%, $F$9) + CHOOSE(CONTROL!$C$27, 0.0021, 0)</f>
        <v>52.6858</v>
      </c>
      <c r="L491" s="10"/>
    </row>
    <row r="492" spans="1:12" ht="15.75" x14ac:dyDescent="0.25">
      <c r="A492" s="14">
        <v>55915</v>
      </c>
      <c r="B492" s="10">
        <f>52.45 * CHOOSE(CONTROL!$C$9, $D$9, 100%, $F$9) + CHOOSE(CONTROL!$C$27, 0.0021, 0)</f>
        <v>52.452100000000002</v>
      </c>
      <c r="C492" s="10">
        <f>52.0178 * CHOOSE(CONTROL!$C$9, $D$9, 100%, $F$9) + CHOOSE(CONTROL!$C$27, 0.0021, 0)</f>
        <v>52.0199</v>
      </c>
      <c r="D492" s="10">
        <f>52.0178 * CHOOSE(CONTROL!$C$9, $D$9, 100%, $F$9) + CHOOSE(CONTROL!$C$27, 0.0021, 0)</f>
        <v>52.0199</v>
      </c>
      <c r="E492" s="10">
        <f>51.8811 * CHOOSE(CONTROL!$C$9, $D$9, 100%, $F$9) + CHOOSE(CONTROL!$C$27, 0.0021, 0)</f>
        <v>51.883200000000002</v>
      </c>
      <c r="F492" s="10">
        <f>51.8811 * CHOOSE(CONTROL!$C$9, $D$9, 100%, $F$9) + CHOOSE(CONTROL!$C$27, 0.0021, 0)</f>
        <v>51.883200000000002</v>
      </c>
      <c r="G492" s="10">
        <f>52.1525 * CHOOSE(CONTROL!$C$9, $D$9, 100%, $F$9) + CHOOSE(CONTROL!$C$27, 0.0021, 0)</f>
        <v>52.154600000000002</v>
      </c>
      <c r="H492" s="10">
        <f>52.0178 * CHOOSE(CONTROL!$C$9, $D$9, 100%, $F$9) + CHOOSE(CONTROL!$C$27, 0.0021, 0)</f>
        <v>52.0199</v>
      </c>
      <c r="I492" s="10">
        <f>52.0178 * CHOOSE(CONTROL!$C$9, $D$9, 100%, $F$9) + CHOOSE(CONTROL!$C$27, 0.0021, 0)</f>
        <v>52.0199</v>
      </c>
      <c r="J492" s="10">
        <f>52.0178 * CHOOSE(CONTROL!$C$9, $D$9, 100%, $F$9) + CHOOSE(CONTROL!$C$27, 0.0021, 0)</f>
        <v>52.0199</v>
      </c>
      <c r="K492" s="10">
        <f>52.0178 * CHOOSE(CONTROL!$C$9, $D$9, 100%, $F$9) + CHOOSE(CONTROL!$C$27, 0.0021, 0)</f>
        <v>52.0199</v>
      </c>
      <c r="L492" s="10"/>
    </row>
    <row r="493" spans="1:12" ht="15.75" x14ac:dyDescent="0.25">
      <c r="A493" s="14">
        <v>55943</v>
      </c>
      <c r="B493" s="10">
        <f>51.0313 * CHOOSE(CONTROL!$C$9, $D$9, 100%, $F$9) + CHOOSE(CONTROL!$C$27, 0.0021, 0)</f>
        <v>51.0334</v>
      </c>
      <c r="C493" s="10">
        <f>50.5991 * CHOOSE(CONTROL!$C$9, $D$9, 100%, $F$9) + CHOOSE(CONTROL!$C$27, 0.0021, 0)</f>
        <v>50.601199999999999</v>
      </c>
      <c r="D493" s="10">
        <f>50.5991 * CHOOSE(CONTROL!$C$9, $D$9, 100%, $F$9) + CHOOSE(CONTROL!$C$27, 0.0021, 0)</f>
        <v>50.601199999999999</v>
      </c>
      <c r="E493" s="10">
        <f>50.4624 * CHOOSE(CONTROL!$C$9, $D$9, 100%, $F$9) + CHOOSE(CONTROL!$C$27, 0.0021, 0)</f>
        <v>50.464500000000001</v>
      </c>
      <c r="F493" s="10">
        <f>50.4624 * CHOOSE(CONTROL!$C$9, $D$9, 100%, $F$9) + CHOOSE(CONTROL!$C$27, 0.0021, 0)</f>
        <v>50.464500000000001</v>
      </c>
      <c r="G493" s="10">
        <f>50.7338 * CHOOSE(CONTROL!$C$9, $D$9, 100%, $F$9) + CHOOSE(CONTROL!$C$27, 0.0021, 0)</f>
        <v>50.735900000000001</v>
      </c>
      <c r="H493" s="10">
        <f>50.5991 * CHOOSE(CONTROL!$C$9, $D$9, 100%, $F$9) + CHOOSE(CONTROL!$C$27, 0.0021, 0)</f>
        <v>50.601199999999999</v>
      </c>
      <c r="I493" s="10">
        <f>50.5991 * CHOOSE(CONTROL!$C$9, $D$9, 100%, $F$9) + CHOOSE(CONTROL!$C$27, 0.0021, 0)</f>
        <v>50.601199999999999</v>
      </c>
      <c r="J493" s="10">
        <f>50.5991 * CHOOSE(CONTROL!$C$9, $D$9, 100%, $F$9) + CHOOSE(CONTROL!$C$27, 0.0021, 0)</f>
        <v>50.601199999999999</v>
      </c>
      <c r="K493" s="10">
        <f>50.5991 * CHOOSE(CONTROL!$C$9, $D$9, 100%, $F$9) + CHOOSE(CONTROL!$C$27, 0.0021, 0)</f>
        <v>50.601199999999999</v>
      </c>
      <c r="L493" s="10"/>
    </row>
    <row r="494" spans="1:12" ht="15.75" x14ac:dyDescent="0.25">
      <c r="A494" s="14">
        <v>55974</v>
      </c>
      <c r="B494" s="10">
        <f>50.4456 * CHOOSE(CONTROL!$C$9, $D$9, 100%, $F$9) + CHOOSE(CONTROL!$C$27, 0.0021, 0)</f>
        <v>50.447699999999998</v>
      </c>
      <c r="C494" s="10">
        <f>50.0134 * CHOOSE(CONTROL!$C$9, $D$9, 100%, $F$9) + CHOOSE(CONTROL!$C$27, 0.0021, 0)</f>
        <v>50.015499999999996</v>
      </c>
      <c r="D494" s="10">
        <f>50.0134 * CHOOSE(CONTROL!$C$9, $D$9, 100%, $F$9) + CHOOSE(CONTROL!$C$27, 0.0021, 0)</f>
        <v>50.015499999999996</v>
      </c>
      <c r="E494" s="10">
        <f>49.8767 * CHOOSE(CONTROL!$C$9, $D$9, 100%, $F$9) + CHOOSE(CONTROL!$C$27, 0.0021, 0)</f>
        <v>49.878799999999998</v>
      </c>
      <c r="F494" s="10">
        <f>49.8767 * CHOOSE(CONTROL!$C$9, $D$9, 100%, $F$9) + CHOOSE(CONTROL!$C$27, 0.0021, 0)</f>
        <v>49.878799999999998</v>
      </c>
      <c r="G494" s="10">
        <f>50.1481 * CHOOSE(CONTROL!$C$9, $D$9, 100%, $F$9) + CHOOSE(CONTROL!$C$27, 0.0021, 0)</f>
        <v>50.150199999999998</v>
      </c>
      <c r="H494" s="10">
        <f>50.0134 * CHOOSE(CONTROL!$C$9, $D$9, 100%, $F$9) + CHOOSE(CONTROL!$C$27, 0.0021, 0)</f>
        <v>50.015499999999996</v>
      </c>
      <c r="I494" s="10">
        <f>50.0134 * CHOOSE(CONTROL!$C$9, $D$9, 100%, $F$9) + CHOOSE(CONTROL!$C$27, 0.0021, 0)</f>
        <v>50.015499999999996</v>
      </c>
      <c r="J494" s="10">
        <f>50.0134 * CHOOSE(CONTROL!$C$9, $D$9, 100%, $F$9) + CHOOSE(CONTROL!$C$27, 0.0021, 0)</f>
        <v>50.015499999999996</v>
      </c>
      <c r="K494" s="10">
        <f>50.0134 * CHOOSE(CONTROL!$C$9, $D$9, 100%, $F$9) + CHOOSE(CONTROL!$C$27, 0.0021, 0)</f>
        <v>50.015499999999996</v>
      </c>
      <c r="L494" s="10"/>
    </row>
    <row r="495" spans="1:12" ht="15.75" x14ac:dyDescent="0.25">
      <c r="A495" s="14">
        <v>56004</v>
      </c>
      <c r="B495" s="10">
        <f>49.7464 * CHOOSE(CONTROL!$C$9, $D$9, 100%, $F$9) + CHOOSE(CONTROL!$C$27, 0.0021, 0)</f>
        <v>49.7485</v>
      </c>
      <c r="C495" s="10">
        <f>49.3141 * CHOOSE(CONTROL!$C$9, $D$9, 100%, $F$9) + CHOOSE(CONTROL!$C$27, 0.0021, 0)</f>
        <v>49.316200000000002</v>
      </c>
      <c r="D495" s="10">
        <f>49.3141 * CHOOSE(CONTROL!$C$9, $D$9, 100%, $F$9) + CHOOSE(CONTROL!$C$27, 0.0021, 0)</f>
        <v>49.316200000000002</v>
      </c>
      <c r="E495" s="10">
        <f>49.1775 * CHOOSE(CONTROL!$C$9, $D$9, 100%, $F$9) + CHOOSE(CONTROL!$C$27, 0.0021, 0)</f>
        <v>49.179600000000001</v>
      </c>
      <c r="F495" s="10">
        <f>49.1775 * CHOOSE(CONTROL!$C$9, $D$9, 100%, $F$9) + CHOOSE(CONTROL!$C$27, 0.0021, 0)</f>
        <v>49.179600000000001</v>
      </c>
      <c r="G495" s="10">
        <f>49.4488 * CHOOSE(CONTROL!$C$9, $D$9, 100%, $F$9) + CHOOSE(CONTROL!$C$27, 0.0021, 0)</f>
        <v>49.450899999999997</v>
      </c>
      <c r="H495" s="10">
        <f>49.3141 * CHOOSE(CONTROL!$C$9, $D$9, 100%, $F$9) + CHOOSE(CONTROL!$C$27, 0.0021, 0)</f>
        <v>49.316200000000002</v>
      </c>
      <c r="I495" s="10">
        <f>49.3141 * CHOOSE(CONTROL!$C$9, $D$9, 100%, $F$9) + CHOOSE(CONTROL!$C$27, 0.0021, 0)</f>
        <v>49.316200000000002</v>
      </c>
      <c r="J495" s="10">
        <f>49.3141 * CHOOSE(CONTROL!$C$9, $D$9, 100%, $F$9) + CHOOSE(CONTROL!$C$27, 0.0021, 0)</f>
        <v>49.316200000000002</v>
      </c>
      <c r="K495" s="10">
        <f>49.3141 * CHOOSE(CONTROL!$C$9, $D$9, 100%, $F$9) + CHOOSE(CONTROL!$C$27, 0.0021, 0)</f>
        <v>49.316200000000002</v>
      </c>
      <c r="L495" s="10"/>
    </row>
    <row r="496" spans="1:12" ht="15.75" x14ac:dyDescent="0.25">
      <c r="A496" s="14">
        <v>56035</v>
      </c>
      <c r="B496" s="10">
        <f>50.7429 * CHOOSE(CONTROL!$C$9, $D$9, 100%, $F$9) + CHOOSE(CONTROL!$C$27, 0.0021, 0)</f>
        <v>50.744999999999997</v>
      </c>
      <c r="C496" s="10">
        <f>50.3107 * CHOOSE(CONTROL!$C$9, $D$9, 100%, $F$9) + CHOOSE(CONTROL!$C$27, 0.0021, 0)</f>
        <v>50.312799999999996</v>
      </c>
      <c r="D496" s="10">
        <f>50.3107 * CHOOSE(CONTROL!$C$9, $D$9, 100%, $F$9) + CHOOSE(CONTROL!$C$27, 0.0021, 0)</f>
        <v>50.312799999999996</v>
      </c>
      <c r="E496" s="10">
        <f>50.174 * CHOOSE(CONTROL!$C$9, $D$9, 100%, $F$9) + CHOOSE(CONTROL!$C$27, 0.0021, 0)</f>
        <v>50.176099999999998</v>
      </c>
      <c r="F496" s="10">
        <f>50.174 * CHOOSE(CONTROL!$C$9, $D$9, 100%, $F$9) + CHOOSE(CONTROL!$C$27, 0.0021, 0)</f>
        <v>50.176099999999998</v>
      </c>
      <c r="G496" s="10">
        <f>50.4454 * CHOOSE(CONTROL!$C$9, $D$9, 100%, $F$9) + CHOOSE(CONTROL!$C$27, 0.0021, 0)</f>
        <v>50.447499999999998</v>
      </c>
      <c r="H496" s="10">
        <f>50.3107 * CHOOSE(CONTROL!$C$9, $D$9, 100%, $F$9) + CHOOSE(CONTROL!$C$27, 0.0021, 0)</f>
        <v>50.312799999999996</v>
      </c>
      <c r="I496" s="10">
        <f>50.3107 * CHOOSE(CONTROL!$C$9, $D$9, 100%, $F$9) + CHOOSE(CONTROL!$C$27, 0.0021, 0)</f>
        <v>50.312799999999996</v>
      </c>
      <c r="J496" s="10">
        <f>50.3107 * CHOOSE(CONTROL!$C$9, $D$9, 100%, $F$9) + CHOOSE(CONTROL!$C$27, 0.0021, 0)</f>
        <v>50.312799999999996</v>
      </c>
      <c r="K496" s="10">
        <f>50.3107 * CHOOSE(CONTROL!$C$9, $D$9, 100%, $F$9) + CHOOSE(CONTROL!$C$27, 0.0021, 0)</f>
        <v>50.312799999999996</v>
      </c>
      <c r="L496" s="10"/>
    </row>
    <row r="497" spans="1:12" ht="15.75" x14ac:dyDescent="0.25">
      <c r="A497" s="14">
        <v>56065</v>
      </c>
      <c r="B497" s="10">
        <f>51.3398 * CHOOSE(CONTROL!$C$9, $D$9, 100%, $F$9) + CHOOSE(CONTROL!$C$27, 0.0021, 0)</f>
        <v>51.341899999999995</v>
      </c>
      <c r="C497" s="10">
        <f>50.9076 * CHOOSE(CONTROL!$C$9, $D$9, 100%, $F$9) + CHOOSE(CONTROL!$C$27, 0.0021, 0)</f>
        <v>50.909700000000001</v>
      </c>
      <c r="D497" s="10">
        <f>50.9076 * CHOOSE(CONTROL!$C$9, $D$9, 100%, $F$9) + CHOOSE(CONTROL!$C$27, 0.0021, 0)</f>
        <v>50.909700000000001</v>
      </c>
      <c r="E497" s="10">
        <f>50.7709 * CHOOSE(CONTROL!$C$9, $D$9, 100%, $F$9) + CHOOSE(CONTROL!$C$27, 0.0021, 0)</f>
        <v>50.772999999999996</v>
      </c>
      <c r="F497" s="10">
        <f>50.7709 * CHOOSE(CONTROL!$C$9, $D$9, 100%, $F$9) + CHOOSE(CONTROL!$C$27, 0.0021, 0)</f>
        <v>50.772999999999996</v>
      </c>
      <c r="G497" s="10">
        <f>51.0423 * CHOOSE(CONTROL!$C$9, $D$9, 100%, $F$9) + CHOOSE(CONTROL!$C$27, 0.0021, 0)</f>
        <v>51.044399999999996</v>
      </c>
      <c r="H497" s="10">
        <f>50.9076 * CHOOSE(CONTROL!$C$9, $D$9, 100%, $F$9) + CHOOSE(CONTROL!$C$27, 0.0021, 0)</f>
        <v>50.909700000000001</v>
      </c>
      <c r="I497" s="10">
        <f>50.9076 * CHOOSE(CONTROL!$C$9, $D$9, 100%, $F$9) + CHOOSE(CONTROL!$C$27, 0.0021, 0)</f>
        <v>50.909700000000001</v>
      </c>
      <c r="J497" s="10">
        <f>50.9076 * CHOOSE(CONTROL!$C$9, $D$9, 100%, $F$9) + CHOOSE(CONTROL!$C$27, 0.0021, 0)</f>
        <v>50.909700000000001</v>
      </c>
      <c r="K497" s="10">
        <f>50.9076 * CHOOSE(CONTROL!$C$9, $D$9, 100%, $F$9) + CHOOSE(CONTROL!$C$27, 0.0021, 0)</f>
        <v>50.909700000000001</v>
      </c>
      <c r="L497" s="10"/>
    </row>
    <row r="498" spans="1:12" ht="15.75" x14ac:dyDescent="0.25">
      <c r="A498" s="14">
        <v>56096</v>
      </c>
      <c r="B498" s="10">
        <f>52.3245 * CHOOSE(CONTROL!$C$9, $D$9, 100%, $F$9) + CHOOSE(CONTROL!$C$27, 0.0021, 0)</f>
        <v>52.326599999999999</v>
      </c>
      <c r="C498" s="10">
        <f>51.8922 * CHOOSE(CONTROL!$C$9, $D$9, 100%, $F$9) + CHOOSE(CONTROL!$C$27, 0.0021, 0)</f>
        <v>51.894300000000001</v>
      </c>
      <c r="D498" s="10">
        <f>51.8922 * CHOOSE(CONTROL!$C$9, $D$9, 100%, $F$9) + CHOOSE(CONTROL!$C$27, 0.0021, 0)</f>
        <v>51.894300000000001</v>
      </c>
      <c r="E498" s="10">
        <f>51.7556 * CHOOSE(CONTROL!$C$9, $D$9, 100%, $F$9) + CHOOSE(CONTROL!$C$27, 0.0021, 0)</f>
        <v>51.7577</v>
      </c>
      <c r="F498" s="10">
        <f>51.7556 * CHOOSE(CONTROL!$C$9, $D$9, 100%, $F$9) + CHOOSE(CONTROL!$C$27, 0.0021, 0)</f>
        <v>51.7577</v>
      </c>
      <c r="G498" s="10">
        <f>52.027 * CHOOSE(CONTROL!$C$9, $D$9, 100%, $F$9) + CHOOSE(CONTROL!$C$27, 0.0021, 0)</f>
        <v>52.0291</v>
      </c>
      <c r="H498" s="10">
        <f>51.8922 * CHOOSE(CONTROL!$C$9, $D$9, 100%, $F$9) + CHOOSE(CONTROL!$C$27, 0.0021, 0)</f>
        <v>51.894300000000001</v>
      </c>
      <c r="I498" s="10">
        <f>51.8922 * CHOOSE(CONTROL!$C$9, $D$9, 100%, $F$9) + CHOOSE(CONTROL!$C$27, 0.0021, 0)</f>
        <v>51.894300000000001</v>
      </c>
      <c r="J498" s="10">
        <f>51.8922 * CHOOSE(CONTROL!$C$9, $D$9, 100%, $F$9) + CHOOSE(CONTROL!$C$27, 0.0021, 0)</f>
        <v>51.894300000000001</v>
      </c>
      <c r="K498" s="10">
        <f>51.8922 * CHOOSE(CONTROL!$C$9, $D$9, 100%, $F$9) + CHOOSE(CONTROL!$C$27, 0.0021, 0)</f>
        <v>51.894300000000001</v>
      </c>
      <c r="L498" s="10"/>
    </row>
    <row r="499" spans="1:12" ht="15.75" x14ac:dyDescent="0.25">
      <c r="A499" s="14">
        <v>56127</v>
      </c>
      <c r="B499" s="10">
        <f>52.625 * CHOOSE(CONTROL!$C$9, $D$9, 100%, $F$9) + CHOOSE(CONTROL!$C$27, 0.0021, 0)</f>
        <v>52.627099999999999</v>
      </c>
      <c r="C499" s="10">
        <f>52.1928 * CHOOSE(CONTROL!$C$9, $D$9, 100%, $F$9) + CHOOSE(CONTROL!$C$27, 0.0021, 0)</f>
        <v>52.194899999999997</v>
      </c>
      <c r="D499" s="10">
        <f>52.1928 * CHOOSE(CONTROL!$C$9, $D$9, 100%, $F$9) + CHOOSE(CONTROL!$C$27, 0.0021, 0)</f>
        <v>52.194899999999997</v>
      </c>
      <c r="E499" s="10">
        <f>52.0561 * CHOOSE(CONTROL!$C$9, $D$9, 100%, $F$9) + CHOOSE(CONTROL!$C$27, 0.0021, 0)</f>
        <v>52.058199999999999</v>
      </c>
      <c r="F499" s="10">
        <f>52.0561 * CHOOSE(CONTROL!$C$9, $D$9, 100%, $F$9) + CHOOSE(CONTROL!$C$27, 0.0021, 0)</f>
        <v>52.058199999999999</v>
      </c>
      <c r="G499" s="10">
        <f>52.3275 * CHOOSE(CONTROL!$C$9, $D$9, 100%, $F$9) + CHOOSE(CONTROL!$C$27, 0.0021, 0)</f>
        <v>52.329599999999999</v>
      </c>
      <c r="H499" s="10">
        <f>52.1928 * CHOOSE(CONTROL!$C$9, $D$9, 100%, $F$9) + CHOOSE(CONTROL!$C$27, 0.0021, 0)</f>
        <v>52.194899999999997</v>
      </c>
      <c r="I499" s="10">
        <f>52.1928 * CHOOSE(CONTROL!$C$9, $D$9, 100%, $F$9) + CHOOSE(CONTROL!$C$27, 0.0021, 0)</f>
        <v>52.194899999999997</v>
      </c>
      <c r="J499" s="10">
        <f>52.1928 * CHOOSE(CONTROL!$C$9, $D$9, 100%, $F$9) + CHOOSE(CONTROL!$C$27, 0.0021, 0)</f>
        <v>52.194899999999997</v>
      </c>
      <c r="K499" s="10">
        <f>52.1928 * CHOOSE(CONTROL!$C$9, $D$9, 100%, $F$9) + CHOOSE(CONTROL!$C$27, 0.0021, 0)</f>
        <v>52.194899999999997</v>
      </c>
      <c r="L499" s="10"/>
    </row>
    <row r="500" spans="1:12" ht="15.75" x14ac:dyDescent="0.25">
      <c r="A500" s="14">
        <v>56157</v>
      </c>
      <c r="B500" s="10">
        <f>53.6485 * CHOOSE(CONTROL!$C$9, $D$9, 100%, $F$9) + CHOOSE(CONTROL!$C$27, 0.0021, 0)</f>
        <v>53.650599999999997</v>
      </c>
      <c r="C500" s="10">
        <f>53.2163 * CHOOSE(CONTROL!$C$9, $D$9, 100%, $F$9) + CHOOSE(CONTROL!$C$27, 0.0021, 0)</f>
        <v>53.218399999999995</v>
      </c>
      <c r="D500" s="10">
        <f>53.2163 * CHOOSE(CONTROL!$C$9, $D$9, 100%, $F$9) + CHOOSE(CONTROL!$C$27, 0.0021, 0)</f>
        <v>53.218399999999995</v>
      </c>
      <c r="E500" s="10">
        <f>53.0796 * CHOOSE(CONTROL!$C$9, $D$9, 100%, $F$9) + CHOOSE(CONTROL!$C$27, 0.0021, 0)</f>
        <v>53.081699999999998</v>
      </c>
      <c r="F500" s="10">
        <f>53.0796 * CHOOSE(CONTROL!$C$9, $D$9, 100%, $F$9) + CHOOSE(CONTROL!$C$27, 0.0021, 0)</f>
        <v>53.081699999999998</v>
      </c>
      <c r="G500" s="10">
        <f>53.351 * CHOOSE(CONTROL!$C$9, $D$9, 100%, $F$9) + CHOOSE(CONTROL!$C$27, 0.0021, 0)</f>
        <v>53.353099999999998</v>
      </c>
      <c r="H500" s="10">
        <f>53.2163 * CHOOSE(CONTROL!$C$9, $D$9, 100%, $F$9) + CHOOSE(CONTROL!$C$27, 0.0021, 0)</f>
        <v>53.218399999999995</v>
      </c>
      <c r="I500" s="10">
        <f>53.2163 * CHOOSE(CONTROL!$C$9, $D$9, 100%, $F$9) + CHOOSE(CONTROL!$C$27, 0.0021, 0)</f>
        <v>53.218399999999995</v>
      </c>
      <c r="J500" s="10">
        <f>53.2163 * CHOOSE(CONTROL!$C$9, $D$9, 100%, $F$9) + CHOOSE(CONTROL!$C$27, 0.0021, 0)</f>
        <v>53.218399999999995</v>
      </c>
      <c r="K500" s="10">
        <f>53.2163 * CHOOSE(CONTROL!$C$9, $D$9, 100%, $F$9) + CHOOSE(CONTROL!$C$27, 0.0021, 0)</f>
        <v>53.218399999999995</v>
      </c>
      <c r="L500" s="10"/>
    </row>
    <row r="501" spans="1:12" ht="15.75" x14ac:dyDescent="0.25">
      <c r="A501" s="14">
        <v>56188</v>
      </c>
      <c r="B501" s="10">
        <f>54.9441 * CHOOSE(CONTROL!$C$9, $D$9, 100%, $F$9) + CHOOSE(CONTROL!$C$27, 0.0021, 0)</f>
        <v>54.946199999999997</v>
      </c>
      <c r="C501" s="10">
        <f>54.5119 * CHOOSE(CONTROL!$C$9, $D$9, 100%, $F$9) + CHOOSE(CONTROL!$C$27, 0.0021, 0)</f>
        <v>54.513999999999996</v>
      </c>
      <c r="D501" s="10">
        <f>54.5119 * CHOOSE(CONTROL!$C$9, $D$9, 100%, $F$9) + CHOOSE(CONTROL!$C$27, 0.0021, 0)</f>
        <v>54.513999999999996</v>
      </c>
      <c r="E501" s="10">
        <f>54.3752 * CHOOSE(CONTROL!$C$9, $D$9, 100%, $F$9) + CHOOSE(CONTROL!$C$27, 0.0021, 0)</f>
        <v>54.377299999999998</v>
      </c>
      <c r="F501" s="10">
        <f>54.3752 * CHOOSE(CONTROL!$C$9, $D$9, 100%, $F$9) + CHOOSE(CONTROL!$C$27, 0.0021, 0)</f>
        <v>54.377299999999998</v>
      </c>
      <c r="G501" s="10">
        <f>54.6466 * CHOOSE(CONTROL!$C$9, $D$9, 100%, $F$9) + CHOOSE(CONTROL!$C$27, 0.0021, 0)</f>
        <v>54.648699999999998</v>
      </c>
      <c r="H501" s="10">
        <f>54.5119 * CHOOSE(CONTROL!$C$9, $D$9, 100%, $F$9) + CHOOSE(CONTROL!$C$27, 0.0021, 0)</f>
        <v>54.513999999999996</v>
      </c>
      <c r="I501" s="10">
        <f>54.5119 * CHOOSE(CONTROL!$C$9, $D$9, 100%, $F$9) + CHOOSE(CONTROL!$C$27, 0.0021, 0)</f>
        <v>54.513999999999996</v>
      </c>
      <c r="J501" s="10">
        <f>54.5119 * CHOOSE(CONTROL!$C$9, $D$9, 100%, $F$9) + CHOOSE(CONTROL!$C$27, 0.0021, 0)</f>
        <v>54.513999999999996</v>
      </c>
      <c r="K501" s="10">
        <f>54.5119 * CHOOSE(CONTROL!$C$9, $D$9, 100%, $F$9) + CHOOSE(CONTROL!$C$27, 0.0021, 0)</f>
        <v>54.513999999999996</v>
      </c>
      <c r="L501" s="10"/>
    </row>
    <row r="502" spans="1:12" ht="15.75" x14ac:dyDescent="0.25">
      <c r="A502" s="14">
        <v>56218</v>
      </c>
      <c r="B502" s="10">
        <f>55.0658 * CHOOSE(CONTROL!$C$9, $D$9, 100%, $F$9) + CHOOSE(CONTROL!$C$27, 0.0021, 0)</f>
        <v>55.067900000000002</v>
      </c>
      <c r="C502" s="10">
        <f>54.6335 * CHOOSE(CONTROL!$C$9, $D$9, 100%, $F$9) + CHOOSE(CONTROL!$C$27, 0.0021, 0)</f>
        <v>54.635599999999997</v>
      </c>
      <c r="D502" s="10">
        <f>54.6335 * CHOOSE(CONTROL!$C$9, $D$9, 100%, $F$9) + CHOOSE(CONTROL!$C$27, 0.0021, 0)</f>
        <v>54.635599999999997</v>
      </c>
      <c r="E502" s="10">
        <f>54.4969 * CHOOSE(CONTROL!$C$9, $D$9, 100%, $F$9) + CHOOSE(CONTROL!$C$27, 0.0021, 0)</f>
        <v>54.498999999999995</v>
      </c>
      <c r="F502" s="10">
        <f>54.4969 * CHOOSE(CONTROL!$C$9, $D$9, 100%, $F$9) + CHOOSE(CONTROL!$C$27, 0.0021, 0)</f>
        <v>54.498999999999995</v>
      </c>
      <c r="G502" s="10">
        <f>54.7682 * CHOOSE(CONTROL!$C$9, $D$9, 100%, $F$9) + CHOOSE(CONTROL!$C$27, 0.0021, 0)</f>
        <v>54.770299999999999</v>
      </c>
      <c r="H502" s="10">
        <f>54.6335 * CHOOSE(CONTROL!$C$9, $D$9, 100%, $F$9) + CHOOSE(CONTROL!$C$27, 0.0021, 0)</f>
        <v>54.635599999999997</v>
      </c>
      <c r="I502" s="10">
        <f>54.6335 * CHOOSE(CONTROL!$C$9, $D$9, 100%, $F$9) + CHOOSE(CONTROL!$C$27, 0.0021, 0)</f>
        <v>54.635599999999997</v>
      </c>
      <c r="J502" s="10">
        <f>54.6335 * CHOOSE(CONTROL!$C$9, $D$9, 100%, $F$9) + CHOOSE(CONTROL!$C$27, 0.0021, 0)</f>
        <v>54.635599999999997</v>
      </c>
      <c r="K502" s="10">
        <f>54.6335 * CHOOSE(CONTROL!$C$9, $D$9, 100%, $F$9) + CHOOSE(CONTROL!$C$27, 0.0021, 0)</f>
        <v>54.635599999999997</v>
      </c>
      <c r="L502" s="10"/>
    </row>
    <row r="503" spans="1:12" ht="15.75" x14ac:dyDescent="0.25">
      <c r="A503" s="14">
        <v>56249</v>
      </c>
      <c r="B503" s="10">
        <f>54.031 * CHOOSE(CONTROL!$C$9, $D$9, 100%, $F$9) + CHOOSE(CONTROL!$C$27, 0.0021, 0)</f>
        <v>54.033099999999997</v>
      </c>
      <c r="C503" s="10">
        <f>53.5988 * CHOOSE(CONTROL!$C$9, $D$9, 100%, $F$9) + CHOOSE(CONTROL!$C$27, 0.0021, 0)</f>
        <v>53.600899999999996</v>
      </c>
      <c r="D503" s="10">
        <f>53.5988 * CHOOSE(CONTROL!$C$9, $D$9, 100%, $F$9) + CHOOSE(CONTROL!$C$27, 0.0021, 0)</f>
        <v>53.600899999999996</v>
      </c>
      <c r="E503" s="10">
        <f>53.4621 * CHOOSE(CONTROL!$C$9, $D$9, 100%, $F$9) + CHOOSE(CONTROL!$C$27, 0.0021, 0)</f>
        <v>53.464199999999998</v>
      </c>
      <c r="F503" s="10">
        <f>53.4621 * CHOOSE(CONTROL!$C$9, $D$9, 100%, $F$9) + CHOOSE(CONTROL!$C$27, 0.0021, 0)</f>
        <v>53.464199999999998</v>
      </c>
      <c r="G503" s="10">
        <f>53.7335 * CHOOSE(CONTROL!$C$9, $D$9, 100%, $F$9) + CHOOSE(CONTROL!$C$27, 0.0021, 0)</f>
        <v>53.735599999999998</v>
      </c>
      <c r="H503" s="10">
        <f>53.5988 * CHOOSE(CONTROL!$C$9, $D$9, 100%, $F$9) + CHOOSE(CONTROL!$C$27, 0.0021, 0)</f>
        <v>53.600899999999996</v>
      </c>
      <c r="I503" s="10">
        <f>53.5988 * CHOOSE(CONTROL!$C$9, $D$9, 100%, $F$9) + CHOOSE(CONTROL!$C$27, 0.0021, 0)</f>
        <v>53.600899999999996</v>
      </c>
      <c r="J503" s="10">
        <f>53.5988 * CHOOSE(CONTROL!$C$9, $D$9, 100%, $F$9) + CHOOSE(CONTROL!$C$27, 0.0021, 0)</f>
        <v>53.600899999999996</v>
      </c>
      <c r="K503" s="10">
        <f>53.5988 * CHOOSE(CONTROL!$C$9, $D$9, 100%, $F$9) + CHOOSE(CONTROL!$C$27, 0.0021, 0)</f>
        <v>53.600899999999996</v>
      </c>
      <c r="L503" s="10"/>
    </row>
    <row r="504" spans="1:12" ht="15.75" x14ac:dyDescent="0.25">
      <c r="A504" s="14">
        <v>56280</v>
      </c>
      <c r="B504" s="10">
        <f>53.3531 * CHOOSE(CONTROL!$C$9, $D$9, 100%, $F$9) + CHOOSE(CONTROL!$C$27, 0.0021, 0)</f>
        <v>53.355199999999996</v>
      </c>
      <c r="C504" s="10">
        <f>52.9209 * CHOOSE(CONTROL!$C$9, $D$9, 100%, $F$9) + CHOOSE(CONTROL!$C$27, 0.0021, 0)</f>
        <v>52.923000000000002</v>
      </c>
      <c r="D504" s="10">
        <f>52.9209 * CHOOSE(CONTROL!$C$9, $D$9, 100%, $F$9) + CHOOSE(CONTROL!$C$27, 0.0021, 0)</f>
        <v>52.923000000000002</v>
      </c>
      <c r="E504" s="10">
        <f>52.7842 * CHOOSE(CONTROL!$C$9, $D$9, 100%, $F$9) + CHOOSE(CONTROL!$C$27, 0.0021, 0)</f>
        <v>52.786299999999997</v>
      </c>
      <c r="F504" s="10">
        <f>52.7842 * CHOOSE(CONTROL!$C$9, $D$9, 100%, $F$9) + CHOOSE(CONTROL!$C$27, 0.0021, 0)</f>
        <v>52.786299999999997</v>
      </c>
      <c r="G504" s="10">
        <f>53.0556 * CHOOSE(CONTROL!$C$9, $D$9, 100%, $F$9) + CHOOSE(CONTROL!$C$27, 0.0021, 0)</f>
        <v>53.057699999999997</v>
      </c>
      <c r="H504" s="10">
        <f>52.9209 * CHOOSE(CONTROL!$C$9, $D$9, 100%, $F$9) + CHOOSE(CONTROL!$C$27, 0.0021, 0)</f>
        <v>52.923000000000002</v>
      </c>
      <c r="I504" s="10">
        <f>52.9209 * CHOOSE(CONTROL!$C$9, $D$9, 100%, $F$9) + CHOOSE(CONTROL!$C$27, 0.0021, 0)</f>
        <v>52.923000000000002</v>
      </c>
      <c r="J504" s="10">
        <f>52.9209 * CHOOSE(CONTROL!$C$9, $D$9, 100%, $F$9) + CHOOSE(CONTROL!$C$27, 0.0021, 0)</f>
        <v>52.923000000000002</v>
      </c>
      <c r="K504" s="10">
        <f>52.9209 * CHOOSE(CONTROL!$C$9, $D$9, 100%, $F$9) + CHOOSE(CONTROL!$C$27, 0.0021, 0)</f>
        <v>52.923000000000002</v>
      </c>
      <c r="L504" s="10"/>
    </row>
    <row r="505" spans="1:12" ht="15.75" x14ac:dyDescent="0.25">
      <c r="A505" s="14">
        <v>56308</v>
      </c>
      <c r="B505" s="10">
        <f>51.9088 * CHOOSE(CONTROL!$C$9, $D$9, 100%, $F$9) + CHOOSE(CONTROL!$C$27, 0.0021, 0)</f>
        <v>51.910899999999998</v>
      </c>
      <c r="C505" s="10">
        <f>51.4766 * CHOOSE(CONTROL!$C$9, $D$9, 100%, $F$9) + CHOOSE(CONTROL!$C$27, 0.0021, 0)</f>
        <v>51.478699999999996</v>
      </c>
      <c r="D505" s="10">
        <f>51.4766 * CHOOSE(CONTROL!$C$9, $D$9, 100%, $F$9) + CHOOSE(CONTROL!$C$27, 0.0021, 0)</f>
        <v>51.478699999999996</v>
      </c>
      <c r="E505" s="10">
        <f>51.3399 * CHOOSE(CONTROL!$C$9, $D$9, 100%, $F$9) + CHOOSE(CONTROL!$C$27, 0.0021, 0)</f>
        <v>51.341999999999999</v>
      </c>
      <c r="F505" s="10">
        <f>51.3399 * CHOOSE(CONTROL!$C$9, $D$9, 100%, $F$9) + CHOOSE(CONTROL!$C$27, 0.0021, 0)</f>
        <v>51.341999999999999</v>
      </c>
      <c r="G505" s="10">
        <f>51.6113 * CHOOSE(CONTROL!$C$9, $D$9, 100%, $F$9) + CHOOSE(CONTROL!$C$27, 0.0021, 0)</f>
        <v>51.613399999999999</v>
      </c>
      <c r="H505" s="10">
        <f>51.4766 * CHOOSE(CONTROL!$C$9, $D$9, 100%, $F$9) + CHOOSE(CONTROL!$C$27, 0.0021, 0)</f>
        <v>51.478699999999996</v>
      </c>
      <c r="I505" s="10">
        <f>51.4766 * CHOOSE(CONTROL!$C$9, $D$9, 100%, $F$9) + CHOOSE(CONTROL!$C$27, 0.0021, 0)</f>
        <v>51.478699999999996</v>
      </c>
      <c r="J505" s="10">
        <f>51.4766 * CHOOSE(CONTROL!$C$9, $D$9, 100%, $F$9) + CHOOSE(CONTROL!$C$27, 0.0021, 0)</f>
        <v>51.478699999999996</v>
      </c>
      <c r="K505" s="10">
        <f>51.4766 * CHOOSE(CONTROL!$C$9, $D$9, 100%, $F$9) + CHOOSE(CONTROL!$C$27, 0.0021, 0)</f>
        <v>51.478699999999996</v>
      </c>
      <c r="L505" s="10"/>
    </row>
    <row r="506" spans="1:12" ht="15.75" x14ac:dyDescent="0.25">
      <c r="A506" s="14">
        <v>56339</v>
      </c>
      <c r="B506" s="10">
        <f>51.3126 * CHOOSE(CONTROL!$C$9, $D$9, 100%, $F$9) + CHOOSE(CONTROL!$C$27, 0.0021, 0)</f>
        <v>51.314700000000002</v>
      </c>
      <c r="C506" s="10">
        <f>50.8804 * CHOOSE(CONTROL!$C$9, $D$9, 100%, $F$9) + CHOOSE(CONTROL!$C$27, 0.0021, 0)</f>
        <v>50.8825</v>
      </c>
      <c r="D506" s="10">
        <f>50.8804 * CHOOSE(CONTROL!$C$9, $D$9, 100%, $F$9) + CHOOSE(CONTROL!$C$27, 0.0021, 0)</f>
        <v>50.8825</v>
      </c>
      <c r="E506" s="10">
        <f>50.7437 * CHOOSE(CONTROL!$C$9, $D$9, 100%, $F$9) + CHOOSE(CONTROL!$C$27, 0.0021, 0)</f>
        <v>50.745799999999996</v>
      </c>
      <c r="F506" s="10">
        <f>50.7437 * CHOOSE(CONTROL!$C$9, $D$9, 100%, $F$9) + CHOOSE(CONTROL!$C$27, 0.0021, 0)</f>
        <v>50.745799999999996</v>
      </c>
      <c r="G506" s="10">
        <f>51.0151 * CHOOSE(CONTROL!$C$9, $D$9, 100%, $F$9) + CHOOSE(CONTROL!$C$27, 0.0021, 0)</f>
        <v>51.017199999999995</v>
      </c>
      <c r="H506" s="10">
        <f>50.8804 * CHOOSE(CONTROL!$C$9, $D$9, 100%, $F$9) + CHOOSE(CONTROL!$C$27, 0.0021, 0)</f>
        <v>50.8825</v>
      </c>
      <c r="I506" s="10">
        <f>50.8804 * CHOOSE(CONTROL!$C$9, $D$9, 100%, $F$9) + CHOOSE(CONTROL!$C$27, 0.0021, 0)</f>
        <v>50.8825</v>
      </c>
      <c r="J506" s="10">
        <f>50.8804 * CHOOSE(CONTROL!$C$9, $D$9, 100%, $F$9) + CHOOSE(CONTROL!$C$27, 0.0021, 0)</f>
        <v>50.8825</v>
      </c>
      <c r="K506" s="10">
        <f>50.8804 * CHOOSE(CONTROL!$C$9, $D$9, 100%, $F$9) + CHOOSE(CONTROL!$C$27, 0.0021, 0)</f>
        <v>50.8825</v>
      </c>
      <c r="L506" s="10"/>
    </row>
    <row r="507" spans="1:12" ht="15.75" x14ac:dyDescent="0.25">
      <c r="A507" s="14">
        <v>56369</v>
      </c>
      <c r="B507" s="10">
        <f>50.6008 * CHOOSE(CONTROL!$C$9, $D$9, 100%, $F$9) + CHOOSE(CONTROL!$C$27, 0.0021, 0)</f>
        <v>50.602899999999998</v>
      </c>
      <c r="C507" s="10">
        <f>50.1685 * CHOOSE(CONTROL!$C$9, $D$9, 100%, $F$9) + CHOOSE(CONTROL!$C$27, 0.0021, 0)</f>
        <v>50.1706</v>
      </c>
      <c r="D507" s="10">
        <f>50.1685 * CHOOSE(CONTROL!$C$9, $D$9, 100%, $F$9) + CHOOSE(CONTROL!$C$27, 0.0021, 0)</f>
        <v>50.1706</v>
      </c>
      <c r="E507" s="10">
        <f>50.0319 * CHOOSE(CONTROL!$C$9, $D$9, 100%, $F$9) + CHOOSE(CONTROL!$C$27, 0.0021, 0)</f>
        <v>50.033999999999999</v>
      </c>
      <c r="F507" s="10">
        <f>50.0319 * CHOOSE(CONTROL!$C$9, $D$9, 100%, $F$9) + CHOOSE(CONTROL!$C$27, 0.0021, 0)</f>
        <v>50.033999999999999</v>
      </c>
      <c r="G507" s="10">
        <f>50.3032 * CHOOSE(CONTROL!$C$9, $D$9, 100%, $F$9) + CHOOSE(CONTROL!$C$27, 0.0021, 0)</f>
        <v>50.305299999999995</v>
      </c>
      <c r="H507" s="10">
        <f>50.1685 * CHOOSE(CONTROL!$C$9, $D$9, 100%, $F$9) + CHOOSE(CONTROL!$C$27, 0.0021, 0)</f>
        <v>50.1706</v>
      </c>
      <c r="I507" s="10">
        <f>50.1685 * CHOOSE(CONTROL!$C$9, $D$9, 100%, $F$9) + CHOOSE(CONTROL!$C$27, 0.0021, 0)</f>
        <v>50.1706</v>
      </c>
      <c r="J507" s="10">
        <f>50.1685 * CHOOSE(CONTROL!$C$9, $D$9, 100%, $F$9) + CHOOSE(CONTROL!$C$27, 0.0021, 0)</f>
        <v>50.1706</v>
      </c>
      <c r="K507" s="10">
        <f>50.1685 * CHOOSE(CONTROL!$C$9, $D$9, 100%, $F$9) + CHOOSE(CONTROL!$C$27, 0.0021, 0)</f>
        <v>50.1706</v>
      </c>
      <c r="L507" s="10"/>
    </row>
    <row r="508" spans="1:12" ht="15.75" x14ac:dyDescent="0.25">
      <c r="A508" s="14">
        <v>56400</v>
      </c>
      <c r="B508" s="10">
        <f>51.6153 * CHOOSE(CONTROL!$C$9, $D$9, 100%, $F$9) + CHOOSE(CONTROL!$C$27, 0.0021, 0)</f>
        <v>51.617399999999996</v>
      </c>
      <c r="C508" s="10">
        <f>51.183 * CHOOSE(CONTROL!$C$9, $D$9, 100%, $F$9) + CHOOSE(CONTROL!$C$27, 0.0021, 0)</f>
        <v>51.185099999999998</v>
      </c>
      <c r="D508" s="10">
        <f>51.183 * CHOOSE(CONTROL!$C$9, $D$9, 100%, $F$9) + CHOOSE(CONTROL!$C$27, 0.0021, 0)</f>
        <v>51.185099999999998</v>
      </c>
      <c r="E508" s="10">
        <f>51.0464 * CHOOSE(CONTROL!$C$9, $D$9, 100%, $F$9) + CHOOSE(CONTROL!$C$27, 0.0021, 0)</f>
        <v>51.048499999999997</v>
      </c>
      <c r="F508" s="10">
        <f>51.0464 * CHOOSE(CONTROL!$C$9, $D$9, 100%, $F$9) + CHOOSE(CONTROL!$C$27, 0.0021, 0)</f>
        <v>51.048499999999997</v>
      </c>
      <c r="G508" s="10">
        <f>51.3177 * CHOOSE(CONTROL!$C$9, $D$9, 100%, $F$9) + CHOOSE(CONTROL!$C$27, 0.0021, 0)</f>
        <v>51.319800000000001</v>
      </c>
      <c r="H508" s="10">
        <f>51.183 * CHOOSE(CONTROL!$C$9, $D$9, 100%, $F$9) + CHOOSE(CONTROL!$C$27, 0.0021, 0)</f>
        <v>51.185099999999998</v>
      </c>
      <c r="I508" s="10">
        <f>51.183 * CHOOSE(CONTROL!$C$9, $D$9, 100%, $F$9) + CHOOSE(CONTROL!$C$27, 0.0021, 0)</f>
        <v>51.185099999999998</v>
      </c>
      <c r="J508" s="10">
        <f>51.183 * CHOOSE(CONTROL!$C$9, $D$9, 100%, $F$9) + CHOOSE(CONTROL!$C$27, 0.0021, 0)</f>
        <v>51.185099999999998</v>
      </c>
      <c r="K508" s="10">
        <f>51.183 * CHOOSE(CONTROL!$C$9, $D$9, 100%, $F$9) + CHOOSE(CONTROL!$C$27, 0.0021, 0)</f>
        <v>51.185099999999998</v>
      </c>
      <c r="L508" s="10"/>
    </row>
    <row r="509" spans="1:12" ht="15.75" x14ac:dyDescent="0.25">
      <c r="A509" s="14">
        <v>56430</v>
      </c>
      <c r="B509" s="10">
        <f>52.2229 * CHOOSE(CONTROL!$C$9, $D$9, 100%, $F$9) + CHOOSE(CONTROL!$C$27, 0.0021, 0)</f>
        <v>52.225000000000001</v>
      </c>
      <c r="C509" s="10">
        <f>51.7907 * CHOOSE(CONTROL!$C$9, $D$9, 100%, $F$9) + CHOOSE(CONTROL!$C$27, 0.0021, 0)</f>
        <v>51.7928</v>
      </c>
      <c r="D509" s="10">
        <f>51.7907 * CHOOSE(CONTROL!$C$9, $D$9, 100%, $F$9) + CHOOSE(CONTROL!$C$27, 0.0021, 0)</f>
        <v>51.7928</v>
      </c>
      <c r="E509" s="10">
        <f>51.654 * CHOOSE(CONTROL!$C$9, $D$9, 100%, $F$9) + CHOOSE(CONTROL!$C$27, 0.0021, 0)</f>
        <v>51.656100000000002</v>
      </c>
      <c r="F509" s="10">
        <f>51.654 * CHOOSE(CONTROL!$C$9, $D$9, 100%, $F$9) + CHOOSE(CONTROL!$C$27, 0.0021, 0)</f>
        <v>51.656100000000002</v>
      </c>
      <c r="G509" s="10">
        <f>51.9254 * CHOOSE(CONTROL!$C$9, $D$9, 100%, $F$9) + CHOOSE(CONTROL!$C$27, 0.0021, 0)</f>
        <v>51.927500000000002</v>
      </c>
      <c r="H509" s="10">
        <f>51.7907 * CHOOSE(CONTROL!$C$9, $D$9, 100%, $F$9) + CHOOSE(CONTROL!$C$27, 0.0021, 0)</f>
        <v>51.7928</v>
      </c>
      <c r="I509" s="10">
        <f>51.7907 * CHOOSE(CONTROL!$C$9, $D$9, 100%, $F$9) + CHOOSE(CONTROL!$C$27, 0.0021, 0)</f>
        <v>51.7928</v>
      </c>
      <c r="J509" s="10">
        <f>51.7907 * CHOOSE(CONTROL!$C$9, $D$9, 100%, $F$9) + CHOOSE(CONTROL!$C$27, 0.0021, 0)</f>
        <v>51.7928</v>
      </c>
      <c r="K509" s="10">
        <f>51.7907 * CHOOSE(CONTROL!$C$9, $D$9, 100%, $F$9) + CHOOSE(CONTROL!$C$27, 0.0021, 0)</f>
        <v>51.7928</v>
      </c>
      <c r="L509" s="10"/>
    </row>
    <row r="510" spans="1:12" ht="15.75" x14ac:dyDescent="0.25">
      <c r="A510" s="14">
        <v>56461</v>
      </c>
      <c r="B510" s="10">
        <f>53.2253 * CHOOSE(CONTROL!$C$9, $D$9, 100%, $F$9) + CHOOSE(CONTROL!$C$27, 0.0021, 0)</f>
        <v>53.227399999999996</v>
      </c>
      <c r="C510" s="10">
        <f>52.7931 * CHOOSE(CONTROL!$C$9, $D$9, 100%, $F$9) + CHOOSE(CONTROL!$C$27, 0.0021, 0)</f>
        <v>52.795200000000001</v>
      </c>
      <c r="D510" s="10">
        <f>52.7931 * CHOOSE(CONTROL!$C$9, $D$9, 100%, $F$9) + CHOOSE(CONTROL!$C$27, 0.0021, 0)</f>
        <v>52.795200000000001</v>
      </c>
      <c r="E510" s="10">
        <f>52.6564 * CHOOSE(CONTROL!$C$9, $D$9, 100%, $F$9) + CHOOSE(CONTROL!$C$27, 0.0021, 0)</f>
        <v>52.658499999999997</v>
      </c>
      <c r="F510" s="10">
        <f>52.6564 * CHOOSE(CONTROL!$C$9, $D$9, 100%, $F$9) + CHOOSE(CONTROL!$C$27, 0.0021, 0)</f>
        <v>52.658499999999997</v>
      </c>
      <c r="G510" s="10">
        <f>52.9278 * CHOOSE(CONTROL!$C$9, $D$9, 100%, $F$9) + CHOOSE(CONTROL!$C$27, 0.0021, 0)</f>
        <v>52.929899999999996</v>
      </c>
      <c r="H510" s="10">
        <f>52.7931 * CHOOSE(CONTROL!$C$9, $D$9, 100%, $F$9) + CHOOSE(CONTROL!$C$27, 0.0021, 0)</f>
        <v>52.795200000000001</v>
      </c>
      <c r="I510" s="10">
        <f>52.7931 * CHOOSE(CONTROL!$C$9, $D$9, 100%, $F$9) + CHOOSE(CONTROL!$C$27, 0.0021, 0)</f>
        <v>52.795200000000001</v>
      </c>
      <c r="J510" s="10">
        <f>52.7931 * CHOOSE(CONTROL!$C$9, $D$9, 100%, $F$9) + CHOOSE(CONTROL!$C$27, 0.0021, 0)</f>
        <v>52.795200000000001</v>
      </c>
      <c r="K510" s="10">
        <f>52.7931 * CHOOSE(CONTROL!$C$9, $D$9, 100%, $F$9) + CHOOSE(CONTROL!$C$27, 0.0021, 0)</f>
        <v>52.795200000000001</v>
      </c>
      <c r="L510" s="10"/>
    </row>
    <row r="511" spans="1:12" ht="15.75" x14ac:dyDescent="0.25">
      <c r="A511" s="14">
        <v>56492</v>
      </c>
      <c r="B511" s="10">
        <f>53.5313 * CHOOSE(CONTROL!$C$9, $D$9, 100%, $F$9) + CHOOSE(CONTROL!$C$27, 0.0021, 0)</f>
        <v>53.5334</v>
      </c>
      <c r="C511" s="10">
        <f>53.099 * CHOOSE(CONTROL!$C$9, $D$9, 100%, $F$9) + CHOOSE(CONTROL!$C$27, 0.0021, 0)</f>
        <v>53.101099999999995</v>
      </c>
      <c r="D511" s="10">
        <f>53.099 * CHOOSE(CONTROL!$C$9, $D$9, 100%, $F$9) + CHOOSE(CONTROL!$C$27, 0.0021, 0)</f>
        <v>53.101099999999995</v>
      </c>
      <c r="E511" s="10">
        <f>52.9624 * CHOOSE(CONTROL!$C$9, $D$9, 100%, $F$9) + CHOOSE(CONTROL!$C$27, 0.0021, 0)</f>
        <v>52.964500000000001</v>
      </c>
      <c r="F511" s="10">
        <f>52.9624 * CHOOSE(CONTROL!$C$9, $D$9, 100%, $F$9) + CHOOSE(CONTROL!$C$27, 0.0021, 0)</f>
        <v>52.964500000000001</v>
      </c>
      <c r="G511" s="10">
        <f>53.2337 * CHOOSE(CONTROL!$C$9, $D$9, 100%, $F$9) + CHOOSE(CONTROL!$C$27, 0.0021, 0)</f>
        <v>53.235799999999998</v>
      </c>
      <c r="H511" s="10">
        <f>53.099 * CHOOSE(CONTROL!$C$9, $D$9, 100%, $F$9) + CHOOSE(CONTROL!$C$27, 0.0021, 0)</f>
        <v>53.101099999999995</v>
      </c>
      <c r="I511" s="10">
        <f>53.099 * CHOOSE(CONTROL!$C$9, $D$9, 100%, $F$9) + CHOOSE(CONTROL!$C$27, 0.0021, 0)</f>
        <v>53.101099999999995</v>
      </c>
      <c r="J511" s="10">
        <f>53.099 * CHOOSE(CONTROL!$C$9, $D$9, 100%, $F$9) + CHOOSE(CONTROL!$C$27, 0.0021, 0)</f>
        <v>53.101099999999995</v>
      </c>
      <c r="K511" s="10">
        <f>53.099 * CHOOSE(CONTROL!$C$9, $D$9, 100%, $F$9) + CHOOSE(CONTROL!$C$27, 0.0021, 0)</f>
        <v>53.101099999999995</v>
      </c>
      <c r="L511" s="10"/>
    </row>
    <row r="512" spans="1:12" ht="15.75" x14ac:dyDescent="0.25">
      <c r="A512" s="14">
        <v>56522</v>
      </c>
      <c r="B512" s="10">
        <f>54.5732 * CHOOSE(CONTROL!$C$9, $D$9, 100%, $F$9) + CHOOSE(CONTROL!$C$27, 0.0021, 0)</f>
        <v>54.575299999999999</v>
      </c>
      <c r="C512" s="10">
        <f>54.141 * CHOOSE(CONTROL!$C$9, $D$9, 100%, $F$9) + CHOOSE(CONTROL!$C$27, 0.0021, 0)</f>
        <v>54.143099999999997</v>
      </c>
      <c r="D512" s="10">
        <f>54.141 * CHOOSE(CONTROL!$C$9, $D$9, 100%, $F$9) + CHOOSE(CONTROL!$C$27, 0.0021, 0)</f>
        <v>54.143099999999997</v>
      </c>
      <c r="E512" s="10">
        <f>54.0043 * CHOOSE(CONTROL!$C$9, $D$9, 100%, $F$9) + CHOOSE(CONTROL!$C$27, 0.0021, 0)</f>
        <v>54.006399999999999</v>
      </c>
      <c r="F512" s="10">
        <f>54.0043 * CHOOSE(CONTROL!$C$9, $D$9, 100%, $F$9) + CHOOSE(CONTROL!$C$27, 0.0021, 0)</f>
        <v>54.006399999999999</v>
      </c>
      <c r="G512" s="10">
        <f>54.2757 * CHOOSE(CONTROL!$C$9, $D$9, 100%, $F$9) + CHOOSE(CONTROL!$C$27, 0.0021, 0)</f>
        <v>54.277799999999999</v>
      </c>
      <c r="H512" s="10">
        <f>54.141 * CHOOSE(CONTROL!$C$9, $D$9, 100%, $F$9) + CHOOSE(CONTROL!$C$27, 0.0021, 0)</f>
        <v>54.143099999999997</v>
      </c>
      <c r="I512" s="10">
        <f>54.141 * CHOOSE(CONTROL!$C$9, $D$9, 100%, $F$9) + CHOOSE(CONTROL!$C$27, 0.0021, 0)</f>
        <v>54.143099999999997</v>
      </c>
      <c r="J512" s="10">
        <f>54.141 * CHOOSE(CONTROL!$C$9, $D$9, 100%, $F$9) + CHOOSE(CONTROL!$C$27, 0.0021, 0)</f>
        <v>54.143099999999997</v>
      </c>
      <c r="K512" s="10">
        <f>54.141 * CHOOSE(CONTROL!$C$9, $D$9, 100%, $F$9) + CHOOSE(CONTROL!$C$27, 0.0021, 0)</f>
        <v>54.143099999999997</v>
      </c>
      <c r="L512" s="10"/>
    </row>
    <row r="513" spans="1:12" ht="15.75" x14ac:dyDescent="0.25">
      <c r="A513" s="14">
        <v>56553</v>
      </c>
      <c r="B513" s="10">
        <f>55.8921 * CHOOSE(CONTROL!$C$9, $D$9, 100%, $F$9) + CHOOSE(CONTROL!$C$27, 0.0021, 0)</f>
        <v>55.894199999999998</v>
      </c>
      <c r="C513" s="10">
        <f>55.4599 * CHOOSE(CONTROL!$C$9, $D$9, 100%, $F$9) + CHOOSE(CONTROL!$C$27, 0.0021, 0)</f>
        <v>55.461999999999996</v>
      </c>
      <c r="D513" s="10">
        <f>55.4599 * CHOOSE(CONTROL!$C$9, $D$9, 100%, $F$9) + CHOOSE(CONTROL!$C$27, 0.0021, 0)</f>
        <v>55.461999999999996</v>
      </c>
      <c r="E513" s="10">
        <f>55.3232 * CHOOSE(CONTROL!$C$9, $D$9, 100%, $F$9) + CHOOSE(CONTROL!$C$27, 0.0021, 0)</f>
        <v>55.325299999999999</v>
      </c>
      <c r="F513" s="10">
        <f>55.3232 * CHOOSE(CONTROL!$C$9, $D$9, 100%, $F$9) + CHOOSE(CONTROL!$C$27, 0.0021, 0)</f>
        <v>55.325299999999999</v>
      </c>
      <c r="G513" s="10">
        <f>55.5946 * CHOOSE(CONTROL!$C$9, $D$9, 100%, $F$9) + CHOOSE(CONTROL!$C$27, 0.0021, 0)</f>
        <v>55.596699999999998</v>
      </c>
      <c r="H513" s="10">
        <f>55.4599 * CHOOSE(CONTROL!$C$9, $D$9, 100%, $F$9) + CHOOSE(CONTROL!$C$27, 0.0021, 0)</f>
        <v>55.461999999999996</v>
      </c>
      <c r="I513" s="10">
        <f>55.4599 * CHOOSE(CONTROL!$C$9, $D$9, 100%, $F$9) + CHOOSE(CONTROL!$C$27, 0.0021, 0)</f>
        <v>55.461999999999996</v>
      </c>
      <c r="J513" s="10">
        <f>55.4599 * CHOOSE(CONTROL!$C$9, $D$9, 100%, $F$9) + CHOOSE(CONTROL!$C$27, 0.0021, 0)</f>
        <v>55.461999999999996</v>
      </c>
      <c r="K513" s="10">
        <f>55.4599 * CHOOSE(CONTROL!$C$9, $D$9, 100%, $F$9) + CHOOSE(CONTROL!$C$27, 0.0021, 0)</f>
        <v>55.461999999999996</v>
      </c>
      <c r="L513" s="10"/>
    </row>
    <row r="514" spans="1:12" ht="15.75" x14ac:dyDescent="0.25">
      <c r="A514" s="14">
        <v>56583</v>
      </c>
      <c r="B514" s="10">
        <f>56.0159 * CHOOSE(CONTROL!$C$9, $D$9, 100%, $F$9) + CHOOSE(CONTROL!$C$27, 0.0021, 0)</f>
        <v>56.018000000000001</v>
      </c>
      <c r="C514" s="10">
        <f>55.5837 * CHOOSE(CONTROL!$C$9, $D$9, 100%, $F$9) + CHOOSE(CONTROL!$C$27, 0.0021, 0)</f>
        <v>55.585799999999999</v>
      </c>
      <c r="D514" s="10">
        <f>55.5837 * CHOOSE(CONTROL!$C$9, $D$9, 100%, $F$9) + CHOOSE(CONTROL!$C$27, 0.0021, 0)</f>
        <v>55.585799999999999</v>
      </c>
      <c r="E514" s="10">
        <f>55.447 * CHOOSE(CONTROL!$C$9, $D$9, 100%, $F$9) + CHOOSE(CONTROL!$C$27, 0.0021, 0)</f>
        <v>55.449100000000001</v>
      </c>
      <c r="F514" s="10">
        <f>55.447 * CHOOSE(CONTROL!$C$9, $D$9, 100%, $F$9) + CHOOSE(CONTROL!$C$27, 0.0021, 0)</f>
        <v>55.449100000000001</v>
      </c>
      <c r="G514" s="10">
        <f>55.7184 * CHOOSE(CONTROL!$C$9, $D$9, 100%, $F$9) + CHOOSE(CONTROL!$C$27, 0.0021, 0)</f>
        <v>55.720500000000001</v>
      </c>
      <c r="H514" s="10">
        <f>55.5837 * CHOOSE(CONTROL!$C$9, $D$9, 100%, $F$9) + CHOOSE(CONTROL!$C$27, 0.0021, 0)</f>
        <v>55.585799999999999</v>
      </c>
      <c r="I514" s="10">
        <f>55.5837 * CHOOSE(CONTROL!$C$9, $D$9, 100%, $F$9) + CHOOSE(CONTROL!$C$27, 0.0021, 0)</f>
        <v>55.585799999999999</v>
      </c>
      <c r="J514" s="10">
        <f>55.5837 * CHOOSE(CONTROL!$C$9, $D$9, 100%, $F$9) + CHOOSE(CONTROL!$C$27, 0.0021, 0)</f>
        <v>55.585799999999999</v>
      </c>
      <c r="K514" s="10">
        <f>55.5837 * CHOOSE(CONTROL!$C$9, $D$9, 100%, $F$9) + CHOOSE(CONTROL!$C$27, 0.0021, 0)</f>
        <v>55.585799999999999</v>
      </c>
      <c r="L514" s="10"/>
    </row>
    <row r="515" spans="1:12" ht="15.75" x14ac:dyDescent="0.25">
      <c r="A515" s="14">
        <v>56614</v>
      </c>
      <c r="B515" s="10">
        <f>54.9625 * CHOOSE(CONTROL!$C$9, $D$9, 100%, $F$9) + CHOOSE(CONTROL!$C$27, 0.0021, 0)</f>
        <v>54.964599999999997</v>
      </c>
      <c r="C515" s="10">
        <f>54.5303 * CHOOSE(CONTROL!$C$9, $D$9, 100%, $F$9) + CHOOSE(CONTROL!$C$27, 0.0021, 0)</f>
        <v>54.532399999999996</v>
      </c>
      <c r="D515" s="10">
        <f>54.5303 * CHOOSE(CONTROL!$C$9, $D$9, 100%, $F$9) + CHOOSE(CONTROL!$C$27, 0.0021, 0)</f>
        <v>54.532399999999996</v>
      </c>
      <c r="E515" s="10">
        <f>54.3936 * CHOOSE(CONTROL!$C$9, $D$9, 100%, $F$9) + CHOOSE(CONTROL!$C$27, 0.0021, 0)</f>
        <v>54.395699999999998</v>
      </c>
      <c r="F515" s="10">
        <f>54.3936 * CHOOSE(CONTROL!$C$9, $D$9, 100%, $F$9) + CHOOSE(CONTROL!$C$27, 0.0021, 0)</f>
        <v>54.395699999999998</v>
      </c>
      <c r="G515" s="10">
        <f>54.665 * CHOOSE(CONTROL!$C$9, $D$9, 100%, $F$9) + CHOOSE(CONTROL!$C$27, 0.0021, 0)</f>
        <v>54.667099999999998</v>
      </c>
      <c r="H515" s="10">
        <f>54.5303 * CHOOSE(CONTROL!$C$9, $D$9, 100%, $F$9) + CHOOSE(CONTROL!$C$27, 0.0021, 0)</f>
        <v>54.532399999999996</v>
      </c>
      <c r="I515" s="10">
        <f>54.5303 * CHOOSE(CONTROL!$C$9, $D$9, 100%, $F$9) + CHOOSE(CONTROL!$C$27, 0.0021, 0)</f>
        <v>54.532399999999996</v>
      </c>
      <c r="J515" s="10">
        <f>54.5303 * CHOOSE(CONTROL!$C$9, $D$9, 100%, $F$9) + CHOOSE(CONTROL!$C$27, 0.0021, 0)</f>
        <v>54.532399999999996</v>
      </c>
      <c r="K515" s="10">
        <f>54.5303 * CHOOSE(CONTROL!$C$9, $D$9, 100%, $F$9) + CHOOSE(CONTROL!$C$27, 0.0021, 0)</f>
        <v>54.532399999999996</v>
      </c>
      <c r="L515" s="10"/>
    </row>
    <row r="516" spans="1:12" ht="15.75" x14ac:dyDescent="0.25">
      <c r="A516" s="13">
        <v>56645</v>
      </c>
      <c r="B516" s="10">
        <f>54.2725 * CHOOSE(CONTROL!$C$9, $D$9, 100%, $F$9) + CHOOSE(CONTROL!$C$27, 0.0021, 0)</f>
        <v>54.2746</v>
      </c>
      <c r="C516" s="10">
        <f>53.8402 * CHOOSE(CONTROL!$C$9, $D$9, 100%, $F$9) + CHOOSE(CONTROL!$C$27, 0.0021, 0)</f>
        <v>53.842300000000002</v>
      </c>
      <c r="D516" s="10">
        <f>53.8402 * CHOOSE(CONTROL!$C$9, $D$9, 100%, $F$9) + CHOOSE(CONTROL!$C$27, 0.0021, 0)</f>
        <v>53.842300000000002</v>
      </c>
      <c r="E516" s="10">
        <f>53.7035 * CHOOSE(CONTROL!$C$9, $D$9, 100%, $F$9) + CHOOSE(CONTROL!$C$27, 0.0021, 0)</f>
        <v>53.705599999999997</v>
      </c>
      <c r="F516" s="10">
        <f>53.7035 * CHOOSE(CONTROL!$C$9, $D$9, 100%, $F$9) + CHOOSE(CONTROL!$C$27, 0.0021, 0)</f>
        <v>53.705599999999997</v>
      </c>
      <c r="G516" s="10">
        <f>53.9749 * CHOOSE(CONTROL!$C$9, $D$9, 100%, $F$9) + CHOOSE(CONTROL!$C$27, 0.0021, 0)</f>
        <v>53.976999999999997</v>
      </c>
      <c r="H516" s="10">
        <f>53.8402 * CHOOSE(CONTROL!$C$9, $D$9, 100%, $F$9) + CHOOSE(CONTROL!$C$27, 0.0021, 0)</f>
        <v>53.842300000000002</v>
      </c>
      <c r="I516" s="10">
        <f>53.8402 * CHOOSE(CONTROL!$C$9, $D$9, 100%, $F$9) + CHOOSE(CONTROL!$C$27, 0.0021, 0)</f>
        <v>53.842300000000002</v>
      </c>
      <c r="J516" s="10">
        <f>53.8402 * CHOOSE(CONTROL!$C$9, $D$9, 100%, $F$9) + CHOOSE(CONTROL!$C$27, 0.0021, 0)</f>
        <v>53.842300000000002</v>
      </c>
      <c r="K516" s="10">
        <f>53.8402 * CHOOSE(CONTROL!$C$9, $D$9, 100%, $F$9) + CHOOSE(CONTROL!$C$27, 0.0021, 0)</f>
        <v>53.842300000000002</v>
      </c>
      <c r="L516" s="10"/>
    </row>
    <row r="517" spans="1:12" ht="15.75" x14ac:dyDescent="0.25">
      <c r="A517" s="13">
        <v>56673</v>
      </c>
      <c r="B517" s="10">
        <f>52.8022 * CHOOSE(CONTROL!$C$9, $D$9, 100%, $F$9) + CHOOSE(CONTROL!$C$27, 0.0021, 0)</f>
        <v>52.804299999999998</v>
      </c>
      <c r="C517" s="10">
        <f>52.3699 * CHOOSE(CONTROL!$C$9, $D$9, 100%, $F$9) + CHOOSE(CONTROL!$C$27, 0.0021, 0)</f>
        <v>52.372</v>
      </c>
      <c r="D517" s="10">
        <f>52.3699 * CHOOSE(CONTROL!$C$9, $D$9, 100%, $F$9) + CHOOSE(CONTROL!$C$27, 0.0021, 0)</f>
        <v>52.372</v>
      </c>
      <c r="E517" s="10">
        <f>52.2333 * CHOOSE(CONTROL!$C$9, $D$9, 100%, $F$9) + CHOOSE(CONTROL!$C$27, 0.0021, 0)</f>
        <v>52.235399999999998</v>
      </c>
      <c r="F517" s="10">
        <f>52.2333 * CHOOSE(CONTROL!$C$9, $D$9, 100%, $F$9) + CHOOSE(CONTROL!$C$27, 0.0021, 0)</f>
        <v>52.235399999999998</v>
      </c>
      <c r="G517" s="10">
        <f>52.5046 * CHOOSE(CONTROL!$C$9, $D$9, 100%, $F$9) + CHOOSE(CONTROL!$C$27, 0.0021, 0)</f>
        <v>52.506700000000002</v>
      </c>
      <c r="H517" s="10">
        <f>52.3699 * CHOOSE(CONTROL!$C$9, $D$9, 100%, $F$9) + CHOOSE(CONTROL!$C$27, 0.0021, 0)</f>
        <v>52.372</v>
      </c>
      <c r="I517" s="10">
        <f>52.3699 * CHOOSE(CONTROL!$C$9, $D$9, 100%, $F$9) + CHOOSE(CONTROL!$C$27, 0.0021, 0)</f>
        <v>52.372</v>
      </c>
      <c r="J517" s="10">
        <f>52.3699 * CHOOSE(CONTROL!$C$9, $D$9, 100%, $F$9) + CHOOSE(CONTROL!$C$27, 0.0021, 0)</f>
        <v>52.372</v>
      </c>
      <c r="K517" s="10">
        <f>52.3699 * CHOOSE(CONTROL!$C$9, $D$9, 100%, $F$9) + CHOOSE(CONTROL!$C$27, 0.0021, 0)</f>
        <v>52.372</v>
      </c>
      <c r="L517" s="10"/>
    </row>
    <row r="518" spans="1:12" ht="15.75" x14ac:dyDescent="0.25">
      <c r="A518" s="13">
        <v>56704</v>
      </c>
      <c r="B518" s="10">
        <f>52.1952 * CHOOSE(CONTROL!$C$9, $D$9, 100%, $F$9) + CHOOSE(CONTROL!$C$27, 0.0021, 0)</f>
        <v>52.197299999999998</v>
      </c>
      <c r="C518" s="10">
        <f>51.763 * CHOOSE(CONTROL!$C$9, $D$9, 100%, $F$9) + CHOOSE(CONTROL!$C$27, 0.0021, 0)</f>
        <v>51.765099999999997</v>
      </c>
      <c r="D518" s="10">
        <f>51.763 * CHOOSE(CONTROL!$C$9, $D$9, 100%, $F$9) + CHOOSE(CONTROL!$C$27, 0.0021, 0)</f>
        <v>51.765099999999997</v>
      </c>
      <c r="E518" s="10">
        <f>51.6263 * CHOOSE(CONTROL!$C$9, $D$9, 100%, $F$9) + CHOOSE(CONTROL!$C$27, 0.0021, 0)</f>
        <v>51.628399999999999</v>
      </c>
      <c r="F518" s="10">
        <f>51.6263 * CHOOSE(CONTROL!$C$9, $D$9, 100%, $F$9) + CHOOSE(CONTROL!$C$27, 0.0021, 0)</f>
        <v>51.628399999999999</v>
      </c>
      <c r="G518" s="10">
        <f>51.8977 * CHOOSE(CONTROL!$C$9, $D$9, 100%, $F$9) + CHOOSE(CONTROL!$C$27, 0.0021, 0)</f>
        <v>51.899799999999999</v>
      </c>
      <c r="H518" s="10">
        <f>51.763 * CHOOSE(CONTROL!$C$9, $D$9, 100%, $F$9) + CHOOSE(CONTROL!$C$27, 0.0021, 0)</f>
        <v>51.765099999999997</v>
      </c>
      <c r="I518" s="10">
        <f>51.763 * CHOOSE(CONTROL!$C$9, $D$9, 100%, $F$9) + CHOOSE(CONTROL!$C$27, 0.0021, 0)</f>
        <v>51.765099999999997</v>
      </c>
      <c r="J518" s="10">
        <f>51.763 * CHOOSE(CONTROL!$C$9, $D$9, 100%, $F$9) + CHOOSE(CONTROL!$C$27, 0.0021, 0)</f>
        <v>51.765099999999997</v>
      </c>
      <c r="K518" s="10">
        <f>51.763 * CHOOSE(CONTROL!$C$9, $D$9, 100%, $F$9) + CHOOSE(CONTROL!$C$27, 0.0021, 0)</f>
        <v>51.765099999999997</v>
      </c>
      <c r="L518" s="10"/>
    </row>
    <row r="519" spans="1:12" ht="15.75" x14ac:dyDescent="0.25">
      <c r="A519" s="13">
        <v>56734</v>
      </c>
      <c r="B519" s="10">
        <f>51.4706 * CHOOSE(CONTROL!$C$9, $D$9, 100%, $F$9) + CHOOSE(CONTROL!$C$27, 0.0021, 0)</f>
        <v>51.472699999999996</v>
      </c>
      <c r="C519" s="10">
        <f>51.0383 * CHOOSE(CONTROL!$C$9, $D$9, 100%, $F$9) + CHOOSE(CONTROL!$C$27, 0.0021, 0)</f>
        <v>51.040399999999998</v>
      </c>
      <c r="D519" s="10">
        <f>51.0383 * CHOOSE(CONTROL!$C$9, $D$9, 100%, $F$9) + CHOOSE(CONTROL!$C$27, 0.0021, 0)</f>
        <v>51.040399999999998</v>
      </c>
      <c r="E519" s="10">
        <f>50.9017 * CHOOSE(CONTROL!$C$9, $D$9, 100%, $F$9) + CHOOSE(CONTROL!$C$27, 0.0021, 0)</f>
        <v>50.903799999999997</v>
      </c>
      <c r="F519" s="10">
        <f>50.9017 * CHOOSE(CONTROL!$C$9, $D$9, 100%, $F$9) + CHOOSE(CONTROL!$C$27, 0.0021, 0)</f>
        <v>50.903799999999997</v>
      </c>
      <c r="G519" s="10">
        <f>51.173 * CHOOSE(CONTROL!$C$9, $D$9, 100%, $F$9) + CHOOSE(CONTROL!$C$27, 0.0021, 0)</f>
        <v>51.1751</v>
      </c>
      <c r="H519" s="10">
        <f>51.0383 * CHOOSE(CONTROL!$C$9, $D$9, 100%, $F$9) + CHOOSE(CONTROL!$C$27, 0.0021, 0)</f>
        <v>51.040399999999998</v>
      </c>
      <c r="I519" s="10">
        <f>51.0383 * CHOOSE(CONTROL!$C$9, $D$9, 100%, $F$9) + CHOOSE(CONTROL!$C$27, 0.0021, 0)</f>
        <v>51.040399999999998</v>
      </c>
      <c r="J519" s="10">
        <f>51.0383 * CHOOSE(CONTROL!$C$9, $D$9, 100%, $F$9) + CHOOSE(CONTROL!$C$27, 0.0021, 0)</f>
        <v>51.040399999999998</v>
      </c>
      <c r="K519" s="10">
        <f>51.0383 * CHOOSE(CONTROL!$C$9, $D$9, 100%, $F$9) + CHOOSE(CONTROL!$C$27, 0.0021, 0)</f>
        <v>51.040399999999998</v>
      </c>
      <c r="L519" s="10"/>
    </row>
    <row r="520" spans="1:12" ht="15.75" x14ac:dyDescent="0.25">
      <c r="A520" s="13">
        <v>56765</v>
      </c>
      <c r="B520" s="10">
        <f>52.5033 * CHOOSE(CONTROL!$C$9, $D$9, 100%, $F$9) + CHOOSE(CONTROL!$C$27, 0.0021, 0)</f>
        <v>52.505400000000002</v>
      </c>
      <c r="C520" s="10">
        <f>52.0711 * CHOOSE(CONTROL!$C$9, $D$9, 100%, $F$9) + CHOOSE(CONTROL!$C$27, 0.0021, 0)</f>
        <v>52.0732</v>
      </c>
      <c r="D520" s="10">
        <f>52.0711 * CHOOSE(CONTROL!$C$9, $D$9, 100%, $F$9) + CHOOSE(CONTROL!$C$27, 0.0021, 0)</f>
        <v>52.0732</v>
      </c>
      <c r="E520" s="10">
        <f>51.9344 * CHOOSE(CONTROL!$C$9, $D$9, 100%, $F$9) + CHOOSE(CONTROL!$C$27, 0.0021, 0)</f>
        <v>51.936499999999995</v>
      </c>
      <c r="F520" s="10">
        <f>51.9344 * CHOOSE(CONTROL!$C$9, $D$9, 100%, $F$9) + CHOOSE(CONTROL!$C$27, 0.0021, 0)</f>
        <v>51.936499999999995</v>
      </c>
      <c r="G520" s="10">
        <f>52.2058 * CHOOSE(CONTROL!$C$9, $D$9, 100%, $F$9) + CHOOSE(CONTROL!$C$27, 0.0021, 0)</f>
        <v>52.207900000000002</v>
      </c>
      <c r="H520" s="10">
        <f>52.0711 * CHOOSE(CONTROL!$C$9, $D$9, 100%, $F$9) + CHOOSE(CONTROL!$C$27, 0.0021, 0)</f>
        <v>52.0732</v>
      </c>
      <c r="I520" s="10">
        <f>52.0711 * CHOOSE(CONTROL!$C$9, $D$9, 100%, $F$9) + CHOOSE(CONTROL!$C$27, 0.0021, 0)</f>
        <v>52.0732</v>
      </c>
      <c r="J520" s="10">
        <f>52.0711 * CHOOSE(CONTROL!$C$9, $D$9, 100%, $F$9) + CHOOSE(CONTROL!$C$27, 0.0021, 0)</f>
        <v>52.0732</v>
      </c>
      <c r="K520" s="10">
        <f>52.0711 * CHOOSE(CONTROL!$C$9, $D$9, 100%, $F$9) + CHOOSE(CONTROL!$C$27, 0.0021, 0)</f>
        <v>52.0732</v>
      </c>
      <c r="L520" s="10"/>
    </row>
    <row r="521" spans="1:12" ht="15.75" x14ac:dyDescent="0.25">
      <c r="A521" s="13">
        <v>56795</v>
      </c>
      <c r="B521" s="10">
        <f>53.1219 * CHOOSE(CONTROL!$C$9, $D$9, 100%, $F$9) + CHOOSE(CONTROL!$C$27, 0.0021, 0)</f>
        <v>53.123999999999995</v>
      </c>
      <c r="C521" s="10">
        <f>52.6897 * CHOOSE(CONTROL!$C$9, $D$9, 100%, $F$9) + CHOOSE(CONTROL!$C$27, 0.0021, 0)</f>
        <v>52.691800000000001</v>
      </c>
      <c r="D521" s="10">
        <f>52.6897 * CHOOSE(CONTROL!$C$9, $D$9, 100%, $F$9) + CHOOSE(CONTROL!$C$27, 0.0021, 0)</f>
        <v>52.691800000000001</v>
      </c>
      <c r="E521" s="10">
        <f>52.553 * CHOOSE(CONTROL!$C$9, $D$9, 100%, $F$9) + CHOOSE(CONTROL!$C$27, 0.0021, 0)</f>
        <v>52.555099999999996</v>
      </c>
      <c r="F521" s="10">
        <f>52.553 * CHOOSE(CONTROL!$C$9, $D$9, 100%, $F$9) + CHOOSE(CONTROL!$C$27, 0.0021, 0)</f>
        <v>52.555099999999996</v>
      </c>
      <c r="G521" s="10">
        <f>52.8244 * CHOOSE(CONTROL!$C$9, $D$9, 100%, $F$9) + CHOOSE(CONTROL!$C$27, 0.0021, 0)</f>
        <v>52.826499999999996</v>
      </c>
      <c r="H521" s="10">
        <f>52.6897 * CHOOSE(CONTROL!$C$9, $D$9, 100%, $F$9) + CHOOSE(CONTROL!$C$27, 0.0021, 0)</f>
        <v>52.691800000000001</v>
      </c>
      <c r="I521" s="10">
        <f>52.6897 * CHOOSE(CONTROL!$C$9, $D$9, 100%, $F$9) + CHOOSE(CONTROL!$C$27, 0.0021, 0)</f>
        <v>52.691800000000001</v>
      </c>
      <c r="J521" s="10">
        <f>52.6897 * CHOOSE(CONTROL!$C$9, $D$9, 100%, $F$9) + CHOOSE(CONTROL!$C$27, 0.0021, 0)</f>
        <v>52.691800000000001</v>
      </c>
      <c r="K521" s="10">
        <f>52.6897 * CHOOSE(CONTROL!$C$9, $D$9, 100%, $F$9) + CHOOSE(CONTROL!$C$27, 0.0021, 0)</f>
        <v>52.691800000000001</v>
      </c>
      <c r="L521" s="10"/>
    </row>
    <row r="522" spans="1:12" ht="15.75" x14ac:dyDescent="0.25">
      <c r="A522" s="13">
        <v>56826</v>
      </c>
      <c r="B522" s="10">
        <f>54.1423 * CHOOSE(CONTROL!$C$9, $D$9, 100%, $F$9) + CHOOSE(CONTROL!$C$27, 0.0021, 0)</f>
        <v>54.144399999999997</v>
      </c>
      <c r="C522" s="10">
        <f>53.7101 * CHOOSE(CONTROL!$C$9, $D$9, 100%, $F$9) + CHOOSE(CONTROL!$C$27, 0.0021, 0)</f>
        <v>53.712199999999996</v>
      </c>
      <c r="D522" s="10">
        <f>53.7101 * CHOOSE(CONTROL!$C$9, $D$9, 100%, $F$9) + CHOOSE(CONTROL!$C$27, 0.0021, 0)</f>
        <v>53.712199999999996</v>
      </c>
      <c r="E522" s="10">
        <f>53.5734 * CHOOSE(CONTROL!$C$9, $D$9, 100%, $F$9) + CHOOSE(CONTROL!$C$27, 0.0021, 0)</f>
        <v>53.575499999999998</v>
      </c>
      <c r="F522" s="10">
        <f>53.5734 * CHOOSE(CONTROL!$C$9, $D$9, 100%, $F$9) + CHOOSE(CONTROL!$C$27, 0.0021, 0)</f>
        <v>53.575499999999998</v>
      </c>
      <c r="G522" s="10">
        <f>53.8448 * CHOOSE(CONTROL!$C$9, $D$9, 100%, $F$9) + CHOOSE(CONTROL!$C$27, 0.0021, 0)</f>
        <v>53.846899999999998</v>
      </c>
      <c r="H522" s="10">
        <f>53.7101 * CHOOSE(CONTROL!$C$9, $D$9, 100%, $F$9) + CHOOSE(CONTROL!$C$27, 0.0021, 0)</f>
        <v>53.712199999999996</v>
      </c>
      <c r="I522" s="10">
        <f>53.7101 * CHOOSE(CONTROL!$C$9, $D$9, 100%, $F$9) + CHOOSE(CONTROL!$C$27, 0.0021, 0)</f>
        <v>53.712199999999996</v>
      </c>
      <c r="J522" s="10">
        <f>53.7101 * CHOOSE(CONTROL!$C$9, $D$9, 100%, $F$9) + CHOOSE(CONTROL!$C$27, 0.0021, 0)</f>
        <v>53.712199999999996</v>
      </c>
      <c r="K522" s="10">
        <f>53.7101 * CHOOSE(CONTROL!$C$9, $D$9, 100%, $F$9) + CHOOSE(CONTROL!$C$27, 0.0021, 0)</f>
        <v>53.712199999999996</v>
      </c>
      <c r="L522" s="10"/>
    </row>
    <row r="523" spans="1:12" ht="15.75" x14ac:dyDescent="0.25">
      <c r="A523" s="13">
        <v>56857</v>
      </c>
      <c r="B523" s="10">
        <f>54.4538 * CHOOSE(CONTROL!$C$9, $D$9, 100%, $F$9) + CHOOSE(CONTROL!$C$27, 0.0021, 0)</f>
        <v>54.4559</v>
      </c>
      <c r="C523" s="10">
        <f>54.0216 * CHOOSE(CONTROL!$C$9, $D$9, 100%, $F$9) + CHOOSE(CONTROL!$C$27, 0.0021, 0)</f>
        <v>54.023699999999998</v>
      </c>
      <c r="D523" s="10">
        <f>54.0216 * CHOOSE(CONTROL!$C$9, $D$9, 100%, $F$9) + CHOOSE(CONTROL!$C$27, 0.0021, 0)</f>
        <v>54.023699999999998</v>
      </c>
      <c r="E523" s="10">
        <f>53.8849 * CHOOSE(CONTROL!$C$9, $D$9, 100%, $F$9) + CHOOSE(CONTROL!$C$27, 0.0021, 0)</f>
        <v>53.887</v>
      </c>
      <c r="F523" s="10">
        <f>53.8849 * CHOOSE(CONTROL!$C$9, $D$9, 100%, $F$9) + CHOOSE(CONTROL!$C$27, 0.0021, 0)</f>
        <v>53.887</v>
      </c>
      <c r="G523" s="10">
        <f>54.1563 * CHOOSE(CONTROL!$C$9, $D$9, 100%, $F$9) + CHOOSE(CONTROL!$C$27, 0.0021, 0)</f>
        <v>54.1584</v>
      </c>
      <c r="H523" s="10">
        <f>54.0216 * CHOOSE(CONTROL!$C$9, $D$9, 100%, $F$9) + CHOOSE(CONTROL!$C$27, 0.0021, 0)</f>
        <v>54.023699999999998</v>
      </c>
      <c r="I523" s="10">
        <f>54.0216 * CHOOSE(CONTROL!$C$9, $D$9, 100%, $F$9) + CHOOSE(CONTROL!$C$27, 0.0021, 0)</f>
        <v>54.023699999999998</v>
      </c>
      <c r="J523" s="10">
        <f>54.0216 * CHOOSE(CONTROL!$C$9, $D$9, 100%, $F$9) + CHOOSE(CONTROL!$C$27, 0.0021, 0)</f>
        <v>54.023699999999998</v>
      </c>
      <c r="K523" s="10">
        <f>54.0216 * CHOOSE(CONTROL!$C$9, $D$9, 100%, $F$9) + CHOOSE(CONTROL!$C$27, 0.0021, 0)</f>
        <v>54.023699999999998</v>
      </c>
      <c r="L523" s="10"/>
    </row>
    <row r="524" spans="1:12" ht="15.75" x14ac:dyDescent="0.25">
      <c r="A524" s="13">
        <v>56887</v>
      </c>
      <c r="B524" s="10">
        <f>55.5145 * CHOOSE(CONTROL!$C$9, $D$9, 100%, $F$9) + CHOOSE(CONTROL!$C$27, 0.0021, 0)</f>
        <v>55.516599999999997</v>
      </c>
      <c r="C524" s="10">
        <f>55.0823 * CHOOSE(CONTROL!$C$9, $D$9, 100%, $F$9) + CHOOSE(CONTROL!$C$27, 0.0021, 0)</f>
        <v>55.084399999999995</v>
      </c>
      <c r="D524" s="10">
        <f>55.0823 * CHOOSE(CONTROL!$C$9, $D$9, 100%, $F$9) + CHOOSE(CONTROL!$C$27, 0.0021, 0)</f>
        <v>55.084399999999995</v>
      </c>
      <c r="E524" s="10">
        <f>54.9456 * CHOOSE(CONTROL!$C$9, $D$9, 100%, $F$9) + CHOOSE(CONTROL!$C$27, 0.0021, 0)</f>
        <v>54.947699999999998</v>
      </c>
      <c r="F524" s="10">
        <f>54.9456 * CHOOSE(CONTROL!$C$9, $D$9, 100%, $F$9) + CHOOSE(CONTROL!$C$27, 0.0021, 0)</f>
        <v>54.947699999999998</v>
      </c>
      <c r="G524" s="10">
        <f>55.217 * CHOOSE(CONTROL!$C$9, $D$9, 100%, $F$9) + CHOOSE(CONTROL!$C$27, 0.0021, 0)</f>
        <v>55.219099999999997</v>
      </c>
      <c r="H524" s="10">
        <f>55.0823 * CHOOSE(CONTROL!$C$9, $D$9, 100%, $F$9) + CHOOSE(CONTROL!$C$27, 0.0021, 0)</f>
        <v>55.084399999999995</v>
      </c>
      <c r="I524" s="10">
        <f>55.0823 * CHOOSE(CONTROL!$C$9, $D$9, 100%, $F$9) + CHOOSE(CONTROL!$C$27, 0.0021, 0)</f>
        <v>55.084399999999995</v>
      </c>
      <c r="J524" s="10">
        <f>55.0823 * CHOOSE(CONTROL!$C$9, $D$9, 100%, $F$9) + CHOOSE(CONTROL!$C$27, 0.0021, 0)</f>
        <v>55.084399999999995</v>
      </c>
      <c r="K524" s="10">
        <f>55.0823 * CHOOSE(CONTROL!$C$9, $D$9, 100%, $F$9) + CHOOSE(CONTROL!$C$27, 0.0021, 0)</f>
        <v>55.084399999999995</v>
      </c>
      <c r="L524" s="10"/>
    </row>
    <row r="525" spans="1:12" ht="15.75" x14ac:dyDescent="0.25">
      <c r="A525" s="13">
        <v>56918</v>
      </c>
      <c r="B525" s="10">
        <f>56.8572 * CHOOSE(CONTROL!$C$9, $D$9, 100%, $F$9) + CHOOSE(CONTROL!$C$27, 0.0021, 0)</f>
        <v>56.859299999999998</v>
      </c>
      <c r="C525" s="10">
        <f>56.4249 * CHOOSE(CONTROL!$C$9, $D$9, 100%, $F$9) + CHOOSE(CONTROL!$C$27, 0.0021, 0)</f>
        <v>56.427</v>
      </c>
      <c r="D525" s="10">
        <f>56.4249 * CHOOSE(CONTROL!$C$9, $D$9, 100%, $F$9) + CHOOSE(CONTROL!$C$27, 0.0021, 0)</f>
        <v>56.427</v>
      </c>
      <c r="E525" s="10">
        <f>56.2883 * CHOOSE(CONTROL!$C$9, $D$9, 100%, $F$9) + CHOOSE(CONTROL!$C$27, 0.0021, 0)</f>
        <v>56.290399999999998</v>
      </c>
      <c r="F525" s="10">
        <f>56.2883 * CHOOSE(CONTROL!$C$9, $D$9, 100%, $F$9) + CHOOSE(CONTROL!$C$27, 0.0021, 0)</f>
        <v>56.290399999999998</v>
      </c>
      <c r="G525" s="10">
        <f>56.5597 * CHOOSE(CONTROL!$C$9, $D$9, 100%, $F$9) + CHOOSE(CONTROL!$C$27, 0.0021, 0)</f>
        <v>56.561799999999998</v>
      </c>
      <c r="H525" s="10">
        <f>56.4249 * CHOOSE(CONTROL!$C$9, $D$9, 100%, $F$9) + CHOOSE(CONTROL!$C$27, 0.0021, 0)</f>
        <v>56.427</v>
      </c>
      <c r="I525" s="10">
        <f>56.4249 * CHOOSE(CONTROL!$C$9, $D$9, 100%, $F$9) + CHOOSE(CONTROL!$C$27, 0.0021, 0)</f>
        <v>56.427</v>
      </c>
      <c r="J525" s="10">
        <f>56.4249 * CHOOSE(CONTROL!$C$9, $D$9, 100%, $F$9) + CHOOSE(CONTROL!$C$27, 0.0021, 0)</f>
        <v>56.427</v>
      </c>
      <c r="K525" s="10">
        <f>56.4249 * CHOOSE(CONTROL!$C$9, $D$9, 100%, $F$9) + CHOOSE(CONTROL!$C$27, 0.0021, 0)</f>
        <v>56.427</v>
      </c>
      <c r="L525" s="10"/>
    </row>
    <row r="526" spans="1:12" ht="15.75" x14ac:dyDescent="0.25">
      <c r="A526" s="13">
        <v>56948</v>
      </c>
      <c r="B526" s="10">
        <f>56.9832 * CHOOSE(CONTROL!$C$9, $D$9, 100%, $F$9) + CHOOSE(CONTROL!$C$27, 0.0021, 0)</f>
        <v>56.985299999999995</v>
      </c>
      <c r="C526" s="10">
        <f>56.551 * CHOOSE(CONTROL!$C$9, $D$9, 100%, $F$9) + CHOOSE(CONTROL!$C$27, 0.0021, 0)</f>
        <v>56.553100000000001</v>
      </c>
      <c r="D526" s="10">
        <f>56.551 * CHOOSE(CONTROL!$C$9, $D$9, 100%, $F$9) + CHOOSE(CONTROL!$C$27, 0.0021, 0)</f>
        <v>56.553100000000001</v>
      </c>
      <c r="E526" s="10">
        <f>56.4143 * CHOOSE(CONTROL!$C$9, $D$9, 100%, $F$9) + CHOOSE(CONTROL!$C$27, 0.0021, 0)</f>
        <v>56.416399999999996</v>
      </c>
      <c r="F526" s="10">
        <f>56.4143 * CHOOSE(CONTROL!$C$9, $D$9, 100%, $F$9) + CHOOSE(CONTROL!$C$27, 0.0021, 0)</f>
        <v>56.416399999999996</v>
      </c>
      <c r="G526" s="10">
        <f>56.6857 * CHOOSE(CONTROL!$C$9, $D$9, 100%, $F$9) + CHOOSE(CONTROL!$C$27, 0.0021, 0)</f>
        <v>56.687799999999996</v>
      </c>
      <c r="H526" s="10">
        <f>56.551 * CHOOSE(CONTROL!$C$9, $D$9, 100%, $F$9) + CHOOSE(CONTROL!$C$27, 0.0021, 0)</f>
        <v>56.553100000000001</v>
      </c>
      <c r="I526" s="10">
        <f>56.551 * CHOOSE(CONTROL!$C$9, $D$9, 100%, $F$9) + CHOOSE(CONTROL!$C$27, 0.0021, 0)</f>
        <v>56.553100000000001</v>
      </c>
      <c r="J526" s="10">
        <f>56.551 * CHOOSE(CONTROL!$C$9, $D$9, 100%, $F$9) + CHOOSE(CONTROL!$C$27, 0.0021, 0)</f>
        <v>56.553100000000001</v>
      </c>
      <c r="K526" s="10">
        <f>56.551 * CHOOSE(CONTROL!$C$9, $D$9, 100%, $F$9) + CHOOSE(CONTROL!$C$27, 0.0021, 0)</f>
        <v>56.553100000000001</v>
      </c>
      <c r="L526" s="10"/>
    </row>
    <row r="527" spans="1:12" ht="15.75" x14ac:dyDescent="0.25">
      <c r="A527" s="13">
        <v>56979</v>
      </c>
      <c r="B527" s="10">
        <f>55.9109 * CHOOSE(CONTROL!$C$9, $D$9, 100%, $F$9) + CHOOSE(CONTROL!$C$27, 0.0021, 0)</f>
        <v>55.912999999999997</v>
      </c>
      <c r="C527" s="10">
        <f>55.4786 * CHOOSE(CONTROL!$C$9, $D$9, 100%, $F$9) + CHOOSE(CONTROL!$C$27, 0.0021, 0)</f>
        <v>55.480699999999999</v>
      </c>
      <c r="D527" s="10">
        <f>55.4786 * CHOOSE(CONTROL!$C$9, $D$9, 100%, $F$9) + CHOOSE(CONTROL!$C$27, 0.0021, 0)</f>
        <v>55.480699999999999</v>
      </c>
      <c r="E527" s="10">
        <f>55.342 * CHOOSE(CONTROL!$C$9, $D$9, 100%, $F$9) + CHOOSE(CONTROL!$C$27, 0.0021, 0)</f>
        <v>55.344099999999997</v>
      </c>
      <c r="F527" s="10">
        <f>55.342 * CHOOSE(CONTROL!$C$9, $D$9, 100%, $F$9) + CHOOSE(CONTROL!$C$27, 0.0021, 0)</f>
        <v>55.344099999999997</v>
      </c>
      <c r="G527" s="10">
        <f>55.6133 * CHOOSE(CONTROL!$C$9, $D$9, 100%, $F$9) + CHOOSE(CONTROL!$C$27, 0.0021, 0)</f>
        <v>55.615400000000001</v>
      </c>
      <c r="H527" s="10">
        <f>55.4786 * CHOOSE(CONTROL!$C$9, $D$9, 100%, $F$9) + CHOOSE(CONTROL!$C$27, 0.0021, 0)</f>
        <v>55.480699999999999</v>
      </c>
      <c r="I527" s="10">
        <f>55.4786 * CHOOSE(CONTROL!$C$9, $D$9, 100%, $F$9) + CHOOSE(CONTROL!$C$27, 0.0021, 0)</f>
        <v>55.480699999999999</v>
      </c>
      <c r="J527" s="10">
        <f>55.4786 * CHOOSE(CONTROL!$C$9, $D$9, 100%, $F$9) + CHOOSE(CONTROL!$C$27, 0.0021, 0)</f>
        <v>55.480699999999999</v>
      </c>
      <c r="K527" s="10">
        <f>55.4786 * CHOOSE(CONTROL!$C$9, $D$9, 100%, $F$9) + CHOOSE(CONTROL!$C$27, 0.0021, 0)</f>
        <v>55.480699999999999</v>
      </c>
      <c r="L527" s="10"/>
    </row>
    <row r="528" spans="1:12" ht="15.75" x14ac:dyDescent="0.25">
      <c r="A528" s="13">
        <v>57010</v>
      </c>
      <c r="B528" s="10">
        <f>55.2083 * CHOOSE(CONTROL!$C$9, $D$9, 100%, $F$9) + CHOOSE(CONTROL!$C$27, 0.0021, 0)</f>
        <v>55.2104</v>
      </c>
      <c r="C528" s="10">
        <f>54.7761 * CHOOSE(CONTROL!$C$9, $D$9, 100%, $F$9) + CHOOSE(CONTROL!$C$27, 0.0021, 0)</f>
        <v>54.778199999999998</v>
      </c>
      <c r="D528" s="10">
        <f>54.7761 * CHOOSE(CONTROL!$C$9, $D$9, 100%, $F$9) + CHOOSE(CONTROL!$C$27, 0.0021, 0)</f>
        <v>54.778199999999998</v>
      </c>
      <c r="E528" s="10">
        <f>54.6394 * CHOOSE(CONTROL!$C$9, $D$9, 100%, $F$9) + CHOOSE(CONTROL!$C$27, 0.0021, 0)</f>
        <v>54.641500000000001</v>
      </c>
      <c r="F528" s="10">
        <f>54.6394 * CHOOSE(CONTROL!$C$9, $D$9, 100%, $F$9) + CHOOSE(CONTROL!$C$27, 0.0021, 0)</f>
        <v>54.641500000000001</v>
      </c>
      <c r="G528" s="10">
        <f>54.9108 * CHOOSE(CONTROL!$C$9, $D$9, 100%, $F$9) + CHOOSE(CONTROL!$C$27, 0.0021, 0)</f>
        <v>54.9129</v>
      </c>
      <c r="H528" s="10">
        <f>54.7761 * CHOOSE(CONTROL!$C$9, $D$9, 100%, $F$9) + CHOOSE(CONTROL!$C$27, 0.0021, 0)</f>
        <v>54.778199999999998</v>
      </c>
      <c r="I528" s="10">
        <f>54.7761 * CHOOSE(CONTROL!$C$9, $D$9, 100%, $F$9) + CHOOSE(CONTROL!$C$27, 0.0021, 0)</f>
        <v>54.778199999999998</v>
      </c>
      <c r="J528" s="10">
        <f>54.7761 * CHOOSE(CONTROL!$C$9, $D$9, 100%, $F$9) + CHOOSE(CONTROL!$C$27, 0.0021, 0)</f>
        <v>54.778199999999998</v>
      </c>
      <c r="K528" s="10">
        <f>54.7761 * CHOOSE(CONTROL!$C$9, $D$9, 100%, $F$9) + CHOOSE(CONTROL!$C$27, 0.0021, 0)</f>
        <v>54.778199999999998</v>
      </c>
      <c r="L528" s="10"/>
    </row>
    <row r="529" spans="1:12" ht="15.75" x14ac:dyDescent="0.25">
      <c r="A529" s="13">
        <v>57038</v>
      </c>
      <c r="B529" s="10">
        <f>53.7116 * CHOOSE(CONTROL!$C$9, $D$9, 100%, $F$9) + CHOOSE(CONTROL!$C$27, 0.0021, 0)</f>
        <v>53.713699999999996</v>
      </c>
      <c r="C529" s="10">
        <f>53.2793 * CHOOSE(CONTROL!$C$9, $D$9, 100%, $F$9) + CHOOSE(CONTROL!$C$27, 0.0021, 0)</f>
        <v>53.281399999999998</v>
      </c>
      <c r="D529" s="10">
        <f>53.2793 * CHOOSE(CONTROL!$C$9, $D$9, 100%, $F$9) + CHOOSE(CONTROL!$C$27, 0.0021, 0)</f>
        <v>53.281399999999998</v>
      </c>
      <c r="E529" s="10">
        <f>53.1427 * CHOOSE(CONTROL!$C$9, $D$9, 100%, $F$9) + CHOOSE(CONTROL!$C$27, 0.0021, 0)</f>
        <v>53.144799999999996</v>
      </c>
      <c r="F529" s="10">
        <f>53.1427 * CHOOSE(CONTROL!$C$9, $D$9, 100%, $F$9) + CHOOSE(CONTROL!$C$27, 0.0021, 0)</f>
        <v>53.144799999999996</v>
      </c>
      <c r="G529" s="10">
        <f>53.4141 * CHOOSE(CONTROL!$C$9, $D$9, 100%, $F$9) + CHOOSE(CONTROL!$C$27, 0.0021, 0)</f>
        <v>53.416199999999996</v>
      </c>
      <c r="H529" s="10">
        <f>53.2793 * CHOOSE(CONTROL!$C$9, $D$9, 100%, $F$9) + CHOOSE(CONTROL!$C$27, 0.0021, 0)</f>
        <v>53.281399999999998</v>
      </c>
      <c r="I529" s="10">
        <f>53.2793 * CHOOSE(CONTROL!$C$9, $D$9, 100%, $F$9) + CHOOSE(CONTROL!$C$27, 0.0021, 0)</f>
        <v>53.281399999999998</v>
      </c>
      <c r="J529" s="10">
        <f>53.2793 * CHOOSE(CONTROL!$C$9, $D$9, 100%, $F$9) + CHOOSE(CONTROL!$C$27, 0.0021, 0)</f>
        <v>53.281399999999998</v>
      </c>
      <c r="K529" s="10">
        <f>53.2793 * CHOOSE(CONTROL!$C$9, $D$9, 100%, $F$9) + CHOOSE(CONTROL!$C$27, 0.0021, 0)</f>
        <v>53.281399999999998</v>
      </c>
      <c r="L529" s="10"/>
    </row>
    <row r="530" spans="1:12" ht="15.75" x14ac:dyDescent="0.25">
      <c r="A530" s="13">
        <v>57070</v>
      </c>
      <c r="B530" s="10">
        <f>53.0937 * CHOOSE(CONTROL!$C$9, $D$9, 100%, $F$9) + CHOOSE(CONTROL!$C$27, 0.0021, 0)</f>
        <v>53.095799999999997</v>
      </c>
      <c r="C530" s="10">
        <f>52.6615 * CHOOSE(CONTROL!$C$9, $D$9, 100%, $F$9) + CHOOSE(CONTROL!$C$27, 0.0021, 0)</f>
        <v>52.663599999999995</v>
      </c>
      <c r="D530" s="10">
        <f>52.6615 * CHOOSE(CONTROL!$C$9, $D$9, 100%, $F$9) + CHOOSE(CONTROL!$C$27, 0.0021, 0)</f>
        <v>52.663599999999995</v>
      </c>
      <c r="E530" s="10">
        <f>52.5248 * CHOOSE(CONTROL!$C$9, $D$9, 100%, $F$9) + CHOOSE(CONTROL!$C$27, 0.0021, 0)</f>
        <v>52.526899999999998</v>
      </c>
      <c r="F530" s="10">
        <f>52.5248 * CHOOSE(CONTROL!$C$9, $D$9, 100%, $F$9) + CHOOSE(CONTROL!$C$27, 0.0021, 0)</f>
        <v>52.526899999999998</v>
      </c>
      <c r="G530" s="10">
        <f>52.7962 * CHOOSE(CONTROL!$C$9, $D$9, 100%, $F$9) + CHOOSE(CONTROL!$C$27, 0.0021, 0)</f>
        <v>52.798299999999998</v>
      </c>
      <c r="H530" s="10">
        <f>52.6615 * CHOOSE(CONTROL!$C$9, $D$9, 100%, $F$9) + CHOOSE(CONTROL!$C$27, 0.0021, 0)</f>
        <v>52.663599999999995</v>
      </c>
      <c r="I530" s="10">
        <f>52.6615 * CHOOSE(CONTROL!$C$9, $D$9, 100%, $F$9) + CHOOSE(CONTROL!$C$27, 0.0021, 0)</f>
        <v>52.663599999999995</v>
      </c>
      <c r="J530" s="10">
        <f>52.6615 * CHOOSE(CONTROL!$C$9, $D$9, 100%, $F$9) + CHOOSE(CONTROL!$C$27, 0.0021, 0)</f>
        <v>52.663599999999995</v>
      </c>
      <c r="K530" s="10">
        <f>52.6615 * CHOOSE(CONTROL!$C$9, $D$9, 100%, $F$9) + CHOOSE(CONTROL!$C$27, 0.0021, 0)</f>
        <v>52.663599999999995</v>
      </c>
      <c r="L530" s="10"/>
    </row>
    <row r="531" spans="1:12" ht="15.75" x14ac:dyDescent="0.25">
      <c r="A531" s="13">
        <v>57100</v>
      </c>
      <c r="B531" s="10">
        <f>52.356 * CHOOSE(CONTROL!$C$9, $D$9, 100%, $F$9) + CHOOSE(CONTROL!$C$27, 0.0021, 0)</f>
        <v>52.3581</v>
      </c>
      <c r="C531" s="10">
        <f>51.9238 * CHOOSE(CONTROL!$C$9, $D$9, 100%, $F$9) + CHOOSE(CONTROL!$C$27, 0.0021, 0)</f>
        <v>51.925899999999999</v>
      </c>
      <c r="D531" s="10">
        <f>51.9238 * CHOOSE(CONTROL!$C$9, $D$9, 100%, $F$9) + CHOOSE(CONTROL!$C$27, 0.0021, 0)</f>
        <v>51.925899999999999</v>
      </c>
      <c r="E531" s="10">
        <f>51.7871 * CHOOSE(CONTROL!$C$9, $D$9, 100%, $F$9) + CHOOSE(CONTROL!$C$27, 0.0021, 0)</f>
        <v>51.789200000000001</v>
      </c>
      <c r="F531" s="10">
        <f>51.7871 * CHOOSE(CONTROL!$C$9, $D$9, 100%, $F$9) + CHOOSE(CONTROL!$C$27, 0.0021, 0)</f>
        <v>51.789200000000001</v>
      </c>
      <c r="G531" s="10">
        <f>52.0585 * CHOOSE(CONTROL!$C$9, $D$9, 100%, $F$9) + CHOOSE(CONTROL!$C$27, 0.0021, 0)</f>
        <v>52.060600000000001</v>
      </c>
      <c r="H531" s="10">
        <f>51.9238 * CHOOSE(CONTROL!$C$9, $D$9, 100%, $F$9) + CHOOSE(CONTROL!$C$27, 0.0021, 0)</f>
        <v>51.925899999999999</v>
      </c>
      <c r="I531" s="10">
        <f>51.9238 * CHOOSE(CONTROL!$C$9, $D$9, 100%, $F$9) + CHOOSE(CONTROL!$C$27, 0.0021, 0)</f>
        <v>51.925899999999999</v>
      </c>
      <c r="J531" s="10">
        <f>51.9238 * CHOOSE(CONTROL!$C$9, $D$9, 100%, $F$9) + CHOOSE(CONTROL!$C$27, 0.0021, 0)</f>
        <v>51.925899999999999</v>
      </c>
      <c r="K531" s="10">
        <f>51.9238 * CHOOSE(CONTROL!$C$9, $D$9, 100%, $F$9) + CHOOSE(CONTROL!$C$27, 0.0021, 0)</f>
        <v>51.925899999999999</v>
      </c>
      <c r="L531" s="10"/>
    </row>
    <row r="532" spans="1:12" ht="15.75" x14ac:dyDescent="0.25">
      <c r="A532" s="13">
        <v>57131</v>
      </c>
      <c r="B532" s="10">
        <f>53.4074 * CHOOSE(CONTROL!$C$9, $D$9, 100%, $F$9) + CHOOSE(CONTROL!$C$27, 0.0021, 0)</f>
        <v>53.409500000000001</v>
      </c>
      <c r="C532" s="10">
        <f>52.9751 * CHOOSE(CONTROL!$C$9, $D$9, 100%, $F$9) + CHOOSE(CONTROL!$C$27, 0.0021, 0)</f>
        <v>52.977199999999996</v>
      </c>
      <c r="D532" s="10">
        <f>52.9751 * CHOOSE(CONTROL!$C$9, $D$9, 100%, $F$9) + CHOOSE(CONTROL!$C$27, 0.0021, 0)</f>
        <v>52.977199999999996</v>
      </c>
      <c r="E532" s="10">
        <f>52.8385 * CHOOSE(CONTROL!$C$9, $D$9, 100%, $F$9) + CHOOSE(CONTROL!$C$27, 0.0021, 0)</f>
        <v>52.840600000000002</v>
      </c>
      <c r="F532" s="10">
        <f>52.8385 * CHOOSE(CONTROL!$C$9, $D$9, 100%, $F$9) + CHOOSE(CONTROL!$C$27, 0.0021, 0)</f>
        <v>52.840600000000002</v>
      </c>
      <c r="G532" s="10">
        <f>53.1098 * CHOOSE(CONTROL!$C$9, $D$9, 100%, $F$9) + CHOOSE(CONTROL!$C$27, 0.0021, 0)</f>
        <v>53.111899999999999</v>
      </c>
      <c r="H532" s="10">
        <f>52.9751 * CHOOSE(CONTROL!$C$9, $D$9, 100%, $F$9) + CHOOSE(CONTROL!$C$27, 0.0021, 0)</f>
        <v>52.977199999999996</v>
      </c>
      <c r="I532" s="10">
        <f>52.9751 * CHOOSE(CONTROL!$C$9, $D$9, 100%, $F$9) + CHOOSE(CONTROL!$C$27, 0.0021, 0)</f>
        <v>52.977199999999996</v>
      </c>
      <c r="J532" s="10">
        <f>52.9751 * CHOOSE(CONTROL!$C$9, $D$9, 100%, $F$9) + CHOOSE(CONTROL!$C$27, 0.0021, 0)</f>
        <v>52.977199999999996</v>
      </c>
      <c r="K532" s="10">
        <f>52.9751 * CHOOSE(CONTROL!$C$9, $D$9, 100%, $F$9) + CHOOSE(CONTROL!$C$27, 0.0021, 0)</f>
        <v>52.977199999999996</v>
      </c>
      <c r="L532" s="10"/>
    </row>
    <row r="533" spans="1:12" ht="15.75" x14ac:dyDescent="0.25">
      <c r="A533" s="13">
        <v>57161</v>
      </c>
      <c r="B533" s="10">
        <f>54.0371 * CHOOSE(CONTROL!$C$9, $D$9, 100%, $F$9) + CHOOSE(CONTROL!$C$27, 0.0021, 0)</f>
        <v>54.039200000000001</v>
      </c>
      <c r="C533" s="10">
        <f>53.6048 * CHOOSE(CONTROL!$C$9, $D$9, 100%, $F$9) + CHOOSE(CONTROL!$C$27, 0.0021, 0)</f>
        <v>53.606899999999996</v>
      </c>
      <c r="D533" s="10">
        <f>53.6048 * CHOOSE(CONTROL!$C$9, $D$9, 100%, $F$9) + CHOOSE(CONTROL!$C$27, 0.0021, 0)</f>
        <v>53.606899999999996</v>
      </c>
      <c r="E533" s="10">
        <f>53.4682 * CHOOSE(CONTROL!$C$9, $D$9, 100%, $F$9) + CHOOSE(CONTROL!$C$27, 0.0021, 0)</f>
        <v>53.470300000000002</v>
      </c>
      <c r="F533" s="10">
        <f>53.4682 * CHOOSE(CONTROL!$C$9, $D$9, 100%, $F$9) + CHOOSE(CONTROL!$C$27, 0.0021, 0)</f>
        <v>53.470300000000002</v>
      </c>
      <c r="G533" s="10">
        <f>53.7396 * CHOOSE(CONTROL!$C$9, $D$9, 100%, $F$9) + CHOOSE(CONTROL!$C$27, 0.0021, 0)</f>
        <v>53.741700000000002</v>
      </c>
      <c r="H533" s="10">
        <f>53.6048 * CHOOSE(CONTROL!$C$9, $D$9, 100%, $F$9) + CHOOSE(CONTROL!$C$27, 0.0021, 0)</f>
        <v>53.606899999999996</v>
      </c>
      <c r="I533" s="10">
        <f>53.6048 * CHOOSE(CONTROL!$C$9, $D$9, 100%, $F$9) + CHOOSE(CONTROL!$C$27, 0.0021, 0)</f>
        <v>53.606899999999996</v>
      </c>
      <c r="J533" s="10">
        <f>53.6048 * CHOOSE(CONTROL!$C$9, $D$9, 100%, $F$9) + CHOOSE(CONTROL!$C$27, 0.0021, 0)</f>
        <v>53.606899999999996</v>
      </c>
      <c r="K533" s="10">
        <f>53.6048 * CHOOSE(CONTROL!$C$9, $D$9, 100%, $F$9) + CHOOSE(CONTROL!$C$27, 0.0021, 0)</f>
        <v>53.606899999999996</v>
      </c>
      <c r="L533" s="10"/>
    </row>
    <row r="534" spans="1:12" ht="15.75" x14ac:dyDescent="0.25">
      <c r="A534" s="13">
        <v>57192</v>
      </c>
      <c r="B534" s="10">
        <f>55.0759 * CHOOSE(CONTROL!$C$9, $D$9, 100%, $F$9) + CHOOSE(CONTROL!$C$27, 0.0021, 0)</f>
        <v>55.077999999999996</v>
      </c>
      <c r="C534" s="10">
        <f>54.6436 * CHOOSE(CONTROL!$C$9, $D$9, 100%, $F$9) + CHOOSE(CONTROL!$C$27, 0.0021, 0)</f>
        <v>54.645699999999998</v>
      </c>
      <c r="D534" s="10">
        <f>54.6436 * CHOOSE(CONTROL!$C$9, $D$9, 100%, $F$9) + CHOOSE(CONTROL!$C$27, 0.0021, 0)</f>
        <v>54.645699999999998</v>
      </c>
      <c r="E534" s="10">
        <f>54.507 * CHOOSE(CONTROL!$C$9, $D$9, 100%, $F$9) + CHOOSE(CONTROL!$C$27, 0.0021, 0)</f>
        <v>54.509099999999997</v>
      </c>
      <c r="F534" s="10">
        <f>54.507 * CHOOSE(CONTROL!$C$9, $D$9, 100%, $F$9) + CHOOSE(CONTROL!$C$27, 0.0021, 0)</f>
        <v>54.509099999999997</v>
      </c>
      <c r="G534" s="10">
        <f>54.7784 * CHOOSE(CONTROL!$C$9, $D$9, 100%, $F$9) + CHOOSE(CONTROL!$C$27, 0.0021, 0)</f>
        <v>54.780499999999996</v>
      </c>
      <c r="H534" s="10">
        <f>54.6436 * CHOOSE(CONTROL!$C$9, $D$9, 100%, $F$9) + CHOOSE(CONTROL!$C$27, 0.0021, 0)</f>
        <v>54.645699999999998</v>
      </c>
      <c r="I534" s="10">
        <f>54.6436 * CHOOSE(CONTROL!$C$9, $D$9, 100%, $F$9) + CHOOSE(CONTROL!$C$27, 0.0021, 0)</f>
        <v>54.645699999999998</v>
      </c>
      <c r="J534" s="10">
        <f>54.6436 * CHOOSE(CONTROL!$C$9, $D$9, 100%, $F$9) + CHOOSE(CONTROL!$C$27, 0.0021, 0)</f>
        <v>54.645699999999998</v>
      </c>
      <c r="K534" s="10">
        <f>54.6436 * CHOOSE(CONTROL!$C$9, $D$9, 100%, $F$9) + CHOOSE(CONTROL!$C$27, 0.0021, 0)</f>
        <v>54.645699999999998</v>
      </c>
      <c r="L534" s="10"/>
    </row>
    <row r="535" spans="1:12" ht="15.75" x14ac:dyDescent="0.25">
      <c r="A535" s="13">
        <v>57223</v>
      </c>
      <c r="B535" s="10">
        <f>55.393 * CHOOSE(CONTROL!$C$9, $D$9, 100%, $F$9) + CHOOSE(CONTROL!$C$27, 0.0021, 0)</f>
        <v>55.395099999999999</v>
      </c>
      <c r="C535" s="10">
        <f>54.9607 * CHOOSE(CONTROL!$C$9, $D$9, 100%, $F$9) + CHOOSE(CONTROL!$C$27, 0.0021, 0)</f>
        <v>54.962800000000001</v>
      </c>
      <c r="D535" s="10">
        <f>54.9607 * CHOOSE(CONTROL!$C$9, $D$9, 100%, $F$9) + CHOOSE(CONTROL!$C$27, 0.0021, 0)</f>
        <v>54.962800000000001</v>
      </c>
      <c r="E535" s="10">
        <f>54.8241 * CHOOSE(CONTROL!$C$9, $D$9, 100%, $F$9) + CHOOSE(CONTROL!$C$27, 0.0021, 0)</f>
        <v>54.8262</v>
      </c>
      <c r="F535" s="10">
        <f>54.8241 * CHOOSE(CONTROL!$C$9, $D$9, 100%, $F$9) + CHOOSE(CONTROL!$C$27, 0.0021, 0)</f>
        <v>54.8262</v>
      </c>
      <c r="G535" s="10">
        <f>55.0954 * CHOOSE(CONTROL!$C$9, $D$9, 100%, $F$9) + CHOOSE(CONTROL!$C$27, 0.0021, 0)</f>
        <v>55.097499999999997</v>
      </c>
      <c r="H535" s="10">
        <f>54.9607 * CHOOSE(CONTROL!$C$9, $D$9, 100%, $F$9) + CHOOSE(CONTROL!$C$27, 0.0021, 0)</f>
        <v>54.962800000000001</v>
      </c>
      <c r="I535" s="10">
        <f>54.9607 * CHOOSE(CONTROL!$C$9, $D$9, 100%, $F$9) + CHOOSE(CONTROL!$C$27, 0.0021, 0)</f>
        <v>54.962800000000001</v>
      </c>
      <c r="J535" s="10">
        <f>54.9607 * CHOOSE(CONTROL!$C$9, $D$9, 100%, $F$9) + CHOOSE(CONTROL!$C$27, 0.0021, 0)</f>
        <v>54.962800000000001</v>
      </c>
      <c r="K535" s="10">
        <f>54.9607 * CHOOSE(CONTROL!$C$9, $D$9, 100%, $F$9) + CHOOSE(CONTROL!$C$27, 0.0021, 0)</f>
        <v>54.962800000000001</v>
      </c>
      <c r="L535" s="10"/>
    </row>
    <row r="536" spans="1:12" ht="15.75" x14ac:dyDescent="0.25">
      <c r="A536" s="13">
        <v>57253</v>
      </c>
      <c r="B536" s="10">
        <f>56.4728 * CHOOSE(CONTROL!$C$9, $D$9, 100%, $F$9) + CHOOSE(CONTROL!$C$27, 0.0021, 0)</f>
        <v>56.474899999999998</v>
      </c>
      <c r="C536" s="10">
        <f>56.0405 * CHOOSE(CONTROL!$C$9, $D$9, 100%, $F$9) + CHOOSE(CONTROL!$C$27, 0.0021, 0)</f>
        <v>56.0426</v>
      </c>
      <c r="D536" s="10">
        <f>56.0405 * CHOOSE(CONTROL!$C$9, $D$9, 100%, $F$9) + CHOOSE(CONTROL!$C$27, 0.0021, 0)</f>
        <v>56.0426</v>
      </c>
      <c r="E536" s="10">
        <f>55.9039 * CHOOSE(CONTROL!$C$9, $D$9, 100%, $F$9) + CHOOSE(CONTROL!$C$27, 0.0021, 0)</f>
        <v>55.905999999999999</v>
      </c>
      <c r="F536" s="10">
        <f>55.9039 * CHOOSE(CONTROL!$C$9, $D$9, 100%, $F$9) + CHOOSE(CONTROL!$C$27, 0.0021, 0)</f>
        <v>55.905999999999999</v>
      </c>
      <c r="G536" s="10">
        <f>56.1752 * CHOOSE(CONTROL!$C$9, $D$9, 100%, $F$9) + CHOOSE(CONTROL!$C$27, 0.0021, 0)</f>
        <v>56.177299999999995</v>
      </c>
      <c r="H536" s="10">
        <f>56.0405 * CHOOSE(CONTROL!$C$9, $D$9, 100%, $F$9) + CHOOSE(CONTROL!$C$27, 0.0021, 0)</f>
        <v>56.0426</v>
      </c>
      <c r="I536" s="10">
        <f>56.0405 * CHOOSE(CONTROL!$C$9, $D$9, 100%, $F$9) + CHOOSE(CONTROL!$C$27, 0.0021, 0)</f>
        <v>56.0426</v>
      </c>
      <c r="J536" s="10">
        <f>56.0405 * CHOOSE(CONTROL!$C$9, $D$9, 100%, $F$9) + CHOOSE(CONTROL!$C$27, 0.0021, 0)</f>
        <v>56.0426</v>
      </c>
      <c r="K536" s="10">
        <f>56.0405 * CHOOSE(CONTROL!$C$9, $D$9, 100%, $F$9) + CHOOSE(CONTROL!$C$27, 0.0021, 0)</f>
        <v>56.0426</v>
      </c>
      <c r="L536" s="10"/>
    </row>
    <row r="537" spans="1:12" ht="15.75" x14ac:dyDescent="0.25">
      <c r="A537" s="13">
        <v>57284</v>
      </c>
      <c r="B537" s="10">
        <f>57.8396 * CHOOSE(CONTROL!$C$9, $D$9, 100%, $F$9) + CHOOSE(CONTROL!$C$27, 0.0021, 0)</f>
        <v>57.841699999999996</v>
      </c>
      <c r="C537" s="10">
        <f>57.4074 * CHOOSE(CONTROL!$C$9, $D$9, 100%, $F$9) + CHOOSE(CONTROL!$C$27, 0.0021, 0)</f>
        <v>57.409500000000001</v>
      </c>
      <c r="D537" s="10">
        <f>57.4074 * CHOOSE(CONTROL!$C$9, $D$9, 100%, $F$9) + CHOOSE(CONTROL!$C$27, 0.0021, 0)</f>
        <v>57.409500000000001</v>
      </c>
      <c r="E537" s="10">
        <f>57.2707 * CHOOSE(CONTROL!$C$9, $D$9, 100%, $F$9) + CHOOSE(CONTROL!$C$27, 0.0021, 0)</f>
        <v>57.272799999999997</v>
      </c>
      <c r="F537" s="10">
        <f>57.2707 * CHOOSE(CONTROL!$C$9, $D$9, 100%, $F$9) + CHOOSE(CONTROL!$C$27, 0.0021, 0)</f>
        <v>57.272799999999997</v>
      </c>
      <c r="G537" s="10">
        <f>57.5421 * CHOOSE(CONTROL!$C$9, $D$9, 100%, $F$9) + CHOOSE(CONTROL!$C$27, 0.0021, 0)</f>
        <v>57.544199999999996</v>
      </c>
      <c r="H537" s="10">
        <f>57.4074 * CHOOSE(CONTROL!$C$9, $D$9, 100%, $F$9) + CHOOSE(CONTROL!$C$27, 0.0021, 0)</f>
        <v>57.409500000000001</v>
      </c>
      <c r="I537" s="10">
        <f>57.4074 * CHOOSE(CONTROL!$C$9, $D$9, 100%, $F$9) + CHOOSE(CONTROL!$C$27, 0.0021, 0)</f>
        <v>57.409500000000001</v>
      </c>
      <c r="J537" s="10">
        <f>57.4074 * CHOOSE(CONTROL!$C$9, $D$9, 100%, $F$9) + CHOOSE(CONTROL!$C$27, 0.0021, 0)</f>
        <v>57.409500000000001</v>
      </c>
      <c r="K537" s="10">
        <f>57.4074 * CHOOSE(CONTROL!$C$9, $D$9, 100%, $F$9) + CHOOSE(CONTROL!$C$27, 0.0021, 0)</f>
        <v>57.409500000000001</v>
      </c>
      <c r="L537" s="10"/>
    </row>
    <row r="538" spans="1:12" ht="15.75" x14ac:dyDescent="0.25">
      <c r="A538" s="13">
        <v>57314</v>
      </c>
      <c r="B538" s="10">
        <f>57.9679 * CHOOSE(CONTROL!$C$9, $D$9, 100%, $F$9) + CHOOSE(CONTROL!$C$27, 0.0021, 0)</f>
        <v>57.97</v>
      </c>
      <c r="C538" s="10">
        <f>57.5357 * CHOOSE(CONTROL!$C$9, $D$9, 100%, $F$9) + CHOOSE(CONTROL!$C$27, 0.0021, 0)</f>
        <v>57.537799999999997</v>
      </c>
      <c r="D538" s="10">
        <f>57.5357 * CHOOSE(CONTROL!$C$9, $D$9, 100%, $F$9) + CHOOSE(CONTROL!$C$27, 0.0021, 0)</f>
        <v>57.537799999999997</v>
      </c>
      <c r="E538" s="10">
        <f>57.399 * CHOOSE(CONTROL!$C$9, $D$9, 100%, $F$9) + CHOOSE(CONTROL!$C$27, 0.0021, 0)</f>
        <v>57.4011</v>
      </c>
      <c r="F538" s="10">
        <f>57.399 * CHOOSE(CONTROL!$C$9, $D$9, 100%, $F$9) + CHOOSE(CONTROL!$C$27, 0.0021, 0)</f>
        <v>57.4011</v>
      </c>
      <c r="G538" s="10">
        <f>57.6704 * CHOOSE(CONTROL!$C$9, $D$9, 100%, $F$9) + CHOOSE(CONTROL!$C$27, 0.0021, 0)</f>
        <v>57.672499999999999</v>
      </c>
      <c r="H538" s="10">
        <f>57.5357 * CHOOSE(CONTROL!$C$9, $D$9, 100%, $F$9) + CHOOSE(CONTROL!$C$27, 0.0021, 0)</f>
        <v>57.537799999999997</v>
      </c>
      <c r="I538" s="10">
        <f>57.5357 * CHOOSE(CONTROL!$C$9, $D$9, 100%, $F$9) + CHOOSE(CONTROL!$C$27, 0.0021, 0)</f>
        <v>57.537799999999997</v>
      </c>
      <c r="J538" s="10">
        <f>57.5357 * CHOOSE(CONTROL!$C$9, $D$9, 100%, $F$9) + CHOOSE(CONTROL!$C$27, 0.0021, 0)</f>
        <v>57.537799999999997</v>
      </c>
      <c r="K538" s="10">
        <f>57.5357 * CHOOSE(CONTROL!$C$9, $D$9, 100%, $F$9) + CHOOSE(CONTROL!$C$27, 0.0021, 0)</f>
        <v>57.537799999999997</v>
      </c>
      <c r="L538" s="10"/>
    </row>
    <row r="539" spans="1:12" ht="15.75" x14ac:dyDescent="0.25">
      <c r="A539" s="13">
        <v>57345</v>
      </c>
      <c r="B539" s="10">
        <f>56.8763 * CHOOSE(CONTROL!$C$9, $D$9, 100%, $F$9) + CHOOSE(CONTROL!$C$27, 0.0021, 0)</f>
        <v>56.878399999999999</v>
      </c>
      <c r="C539" s="10">
        <f>56.444 * CHOOSE(CONTROL!$C$9, $D$9, 100%, $F$9) + CHOOSE(CONTROL!$C$27, 0.0021, 0)</f>
        <v>56.446100000000001</v>
      </c>
      <c r="D539" s="10">
        <f>56.444 * CHOOSE(CONTROL!$C$9, $D$9, 100%, $F$9) + CHOOSE(CONTROL!$C$27, 0.0021, 0)</f>
        <v>56.446100000000001</v>
      </c>
      <c r="E539" s="10">
        <f>56.3074 * CHOOSE(CONTROL!$C$9, $D$9, 100%, $F$9) + CHOOSE(CONTROL!$C$27, 0.0021, 0)</f>
        <v>56.3095</v>
      </c>
      <c r="F539" s="10">
        <f>56.3074 * CHOOSE(CONTROL!$C$9, $D$9, 100%, $F$9) + CHOOSE(CONTROL!$C$27, 0.0021, 0)</f>
        <v>56.3095</v>
      </c>
      <c r="G539" s="10">
        <f>56.5787 * CHOOSE(CONTROL!$C$9, $D$9, 100%, $F$9) + CHOOSE(CONTROL!$C$27, 0.0021, 0)</f>
        <v>56.580799999999996</v>
      </c>
      <c r="H539" s="10">
        <f>56.444 * CHOOSE(CONTROL!$C$9, $D$9, 100%, $F$9) + CHOOSE(CONTROL!$C$27, 0.0021, 0)</f>
        <v>56.446100000000001</v>
      </c>
      <c r="I539" s="10">
        <f>56.444 * CHOOSE(CONTROL!$C$9, $D$9, 100%, $F$9) + CHOOSE(CONTROL!$C$27, 0.0021, 0)</f>
        <v>56.446100000000001</v>
      </c>
      <c r="J539" s="10">
        <f>56.444 * CHOOSE(CONTROL!$C$9, $D$9, 100%, $F$9) + CHOOSE(CONTROL!$C$27, 0.0021, 0)</f>
        <v>56.446100000000001</v>
      </c>
      <c r="K539" s="10">
        <f>56.444 * CHOOSE(CONTROL!$C$9, $D$9, 100%, $F$9) + CHOOSE(CONTROL!$C$27, 0.0021, 0)</f>
        <v>56.446100000000001</v>
      </c>
      <c r="L539" s="10"/>
    </row>
    <row r="540" spans="1:12" ht="15.75" x14ac:dyDescent="0.25">
      <c r="A540" s="13">
        <v>57376</v>
      </c>
      <c r="B540" s="10">
        <f>56.1611 * CHOOSE(CONTROL!$C$9, $D$9, 100%, $F$9) + CHOOSE(CONTROL!$C$27, 0.0021, 0)</f>
        <v>56.163199999999996</v>
      </c>
      <c r="C540" s="10">
        <f>55.7288 * CHOOSE(CONTROL!$C$9, $D$9, 100%, $F$9) + CHOOSE(CONTROL!$C$27, 0.0021, 0)</f>
        <v>55.730899999999998</v>
      </c>
      <c r="D540" s="10">
        <f>55.7288 * CHOOSE(CONTROL!$C$9, $D$9, 100%, $F$9) + CHOOSE(CONTROL!$C$27, 0.0021, 0)</f>
        <v>55.730899999999998</v>
      </c>
      <c r="E540" s="10">
        <f>55.5922 * CHOOSE(CONTROL!$C$9, $D$9, 100%, $F$9) + CHOOSE(CONTROL!$C$27, 0.0021, 0)</f>
        <v>55.594299999999997</v>
      </c>
      <c r="F540" s="10">
        <f>55.5922 * CHOOSE(CONTROL!$C$9, $D$9, 100%, $F$9) + CHOOSE(CONTROL!$C$27, 0.0021, 0)</f>
        <v>55.594299999999997</v>
      </c>
      <c r="G540" s="10">
        <f>55.8636 * CHOOSE(CONTROL!$C$9, $D$9, 100%, $F$9) + CHOOSE(CONTROL!$C$27, 0.0021, 0)</f>
        <v>55.865699999999997</v>
      </c>
      <c r="H540" s="10">
        <f>55.7288 * CHOOSE(CONTROL!$C$9, $D$9, 100%, $F$9) + CHOOSE(CONTROL!$C$27, 0.0021, 0)</f>
        <v>55.730899999999998</v>
      </c>
      <c r="I540" s="10">
        <f>55.7288 * CHOOSE(CONTROL!$C$9, $D$9, 100%, $F$9) + CHOOSE(CONTROL!$C$27, 0.0021, 0)</f>
        <v>55.730899999999998</v>
      </c>
      <c r="J540" s="10">
        <f>55.7288 * CHOOSE(CONTROL!$C$9, $D$9, 100%, $F$9) + CHOOSE(CONTROL!$C$27, 0.0021, 0)</f>
        <v>55.730899999999998</v>
      </c>
      <c r="K540" s="10">
        <f>55.7288 * CHOOSE(CONTROL!$C$9, $D$9, 100%, $F$9) + CHOOSE(CONTROL!$C$27, 0.0021, 0)</f>
        <v>55.730899999999998</v>
      </c>
      <c r="L540" s="10"/>
    </row>
    <row r="541" spans="1:12" ht="15.75" x14ac:dyDescent="0.25">
      <c r="A541" s="13">
        <v>57404</v>
      </c>
      <c r="B541" s="10">
        <f>54.6374 * CHOOSE(CONTROL!$C$9, $D$9, 100%, $F$9) + CHOOSE(CONTROL!$C$27, 0.0021, 0)</f>
        <v>54.639499999999998</v>
      </c>
      <c r="C541" s="10">
        <f>54.2051 * CHOOSE(CONTROL!$C$9, $D$9, 100%, $F$9) + CHOOSE(CONTROL!$C$27, 0.0021, 0)</f>
        <v>54.2072</v>
      </c>
      <c r="D541" s="10">
        <f>54.2051 * CHOOSE(CONTROL!$C$9, $D$9, 100%, $F$9) + CHOOSE(CONTROL!$C$27, 0.0021, 0)</f>
        <v>54.2072</v>
      </c>
      <c r="E541" s="10">
        <f>54.0685 * CHOOSE(CONTROL!$C$9, $D$9, 100%, $F$9) + CHOOSE(CONTROL!$C$27, 0.0021, 0)</f>
        <v>54.070599999999999</v>
      </c>
      <c r="F541" s="10">
        <f>54.0685 * CHOOSE(CONTROL!$C$9, $D$9, 100%, $F$9) + CHOOSE(CONTROL!$C$27, 0.0021, 0)</f>
        <v>54.070599999999999</v>
      </c>
      <c r="G541" s="10">
        <f>54.3399 * CHOOSE(CONTROL!$C$9, $D$9, 100%, $F$9) + CHOOSE(CONTROL!$C$27, 0.0021, 0)</f>
        <v>54.341999999999999</v>
      </c>
      <c r="H541" s="10">
        <f>54.2051 * CHOOSE(CONTROL!$C$9, $D$9, 100%, $F$9) + CHOOSE(CONTROL!$C$27, 0.0021, 0)</f>
        <v>54.2072</v>
      </c>
      <c r="I541" s="10">
        <f>54.2051 * CHOOSE(CONTROL!$C$9, $D$9, 100%, $F$9) + CHOOSE(CONTROL!$C$27, 0.0021, 0)</f>
        <v>54.2072</v>
      </c>
      <c r="J541" s="10">
        <f>54.2051 * CHOOSE(CONTROL!$C$9, $D$9, 100%, $F$9) + CHOOSE(CONTROL!$C$27, 0.0021, 0)</f>
        <v>54.2072</v>
      </c>
      <c r="K541" s="10">
        <f>54.2051 * CHOOSE(CONTROL!$C$9, $D$9, 100%, $F$9) + CHOOSE(CONTROL!$C$27, 0.0021, 0)</f>
        <v>54.2072</v>
      </c>
      <c r="L541" s="10"/>
    </row>
    <row r="542" spans="1:12" ht="15.75" x14ac:dyDescent="0.25">
      <c r="A542" s="13">
        <v>57435</v>
      </c>
      <c r="B542" s="10">
        <f>54.0084 * CHOOSE(CONTROL!$C$9, $D$9, 100%, $F$9) + CHOOSE(CONTROL!$C$27, 0.0021, 0)</f>
        <v>54.0105</v>
      </c>
      <c r="C542" s="10">
        <f>53.5762 * CHOOSE(CONTROL!$C$9, $D$9, 100%, $F$9) + CHOOSE(CONTROL!$C$27, 0.0021, 0)</f>
        <v>53.578299999999999</v>
      </c>
      <c r="D542" s="10">
        <f>53.5762 * CHOOSE(CONTROL!$C$9, $D$9, 100%, $F$9) + CHOOSE(CONTROL!$C$27, 0.0021, 0)</f>
        <v>53.578299999999999</v>
      </c>
      <c r="E542" s="10">
        <f>53.4395 * CHOOSE(CONTROL!$C$9, $D$9, 100%, $F$9) + CHOOSE(CONTROL!$C$27, 0.0021, 0)</f>
        <v>53.441600000000001</v>
      </c>
      <c r="F542" s="10">
        <f>53.4395 * CHOOSE(CONTROL!$C$9, $D$9, 100%, $F$9) + CHOOSE(CONTROL!$C$27, 0.0021, 0)</f>
        <v>53.441600000000001</v>
      </c>
      <c r="G542" s="10">
        <f>53.7109 * CHOOSE(CONTROL!$C$9, $D$9, 100%, $F$9) + CHOOSE(CONTROL!$C$27, 0.0021, 0)</f>
        <v>53.713000000000001</v>
      </c>
      <c r="H542" s="10">
        <f>53.5762 * CHOOSE(CONTROL!$C$9, $D$9, 100%, $F$9) + CHOOSE(CONTROL!$C$27, 0.0021, 0)</f>
        <v>53.578299999999999</v>
      </c>
      <c r="I542" s="10">
        <f>53.5762 * CHOOSE(CONTROL!$C$9, $D$9, 100%, $F$9) + CHOOSE(CONTROL!$C$27, 0.0021, 0)</f>
        <v>53.578299999999999</v>
      </c>
      <c r="J542" s="10">
        <f>53.5762 * CHOOSE(CONTROL!$C$9, $D$9, 100%, $F$9) + CHOOSE(CONTROL!$C$27, 0.0021, 0)</f>
        <v>53.578299999999999</v>
      </c>
      <c r="K542" s="10">
        <f>53.5762 * CHOOSE(CONTROL!$C$9, $D$9, 100%, $F$9) + CHOOSE(CONTROL!$C$27, 0.0021, 0)</f>
        <v>53.578299999999999</v>
      </c>
      <c r="L542" s="10"/>
    </row>
    <row r="543" spans="1:12" ht="15.75" x14ac:dyDescent="0.25">
      <c r="A543" s="13">
        <v>57465</v>
      </c>
      <c r="B543" s="10">
        <f>53.2574 * CHOOSE(CONTROL!$C$9, $D$9, 100%, $F$9) + CHOOSE(CONTROL!$C$27, 0.0021, 0)</f>
        <v>53.259499999999996</v>
      </c>
      <c r="C543" s="10">
        <f>52.8251 * CHOOSE(CONTROL!$C$9, $D$9, 100%, $F$9) + CHOOSE(CONTROL!$C$27, 0.0021, 0)</f>
        <v>52.827199999999998</v>
      </c>
      <c r="D543" s="10">
        <f>52.8251 * CHOOSE(CONTROL!$C$9, $D$9, 100%, $F$9) + CHOOSE(CONTROL!$C$27, 0.0021, 0)</f>
        <v>52.827199999999998</v>
      </c>
      <c r="E543" s="10">
        <f>52.6885 * CHOOSE(CONTROL!$C$9, $D$9, 100%, $F$9) + CHOOSE(CONTROL!$C$27, 0.0021, 0)</f>
        <v>52.690599999999996</v>
      </c>
      <c r="F543" s="10">
        <f>52.6885 * CHOOSE(CONTROL!$C$9, $D$9, 100%, $F$9) + CHOOSE(CONTROL!$C$27, 0.0021, 0)</f>
        <v>52.690599999999996</v>
      </c>
      <c r="G543" s="10">
        <f>52.9599 * CHOOSE(CONTROL!$C$9, $D$9, 100%, $F$9) + CHOOSE(CONTROL!$C$27, 0.0021, 0)</f>
        <v>52.961999999999996</v>
      </c>
      <c r="H543" s="10">
        <f>52.8251 * CHOOSE(CONTROL!$C$9, $D$9, 100%, $F$9) + CHOOSE(CONTROL!$C$27, 0.0021, 0)</f>
        <v>52.827199999999998</v>
      </c>
      <c r="I543" s="10">
        <f>52.8251 * CHOOSE(CONTROL!$C$9, $D$9, 100%, $F$9) + CHOOSE(CONTROL!$C$27, 0.0021, 0)</f>
        <v>52.827199999999998</v>
      </c>
      <c r="J543" s="10">
        <f>52.8251 * CHOOSE(CONTROL!$C$9, $D$9, 100%, $F$9) + CHOOSE(CONTROL!$C$27, 0.0021, 0)</f>
        <v>52.827199999999998</v>
      </c>
      <c r="K543" s="10">
        <f>52.8251 * CHOOSE(CONTROL!$C$9, $D$9, 100%, $F$9) + CHOOSE(CONTROL!$C$27, 0.0021, 0)</f>
        <v>52.827199999999998</v>
      </c>
      <c r="L543" s="10"/>
    </row>
    <row r="544" spans="1:12" ht="15.75" x14ac:dyDescent="0.25">
      <c r="A544" s="13">
        <v>57496</v>
      </c>
      <c r="B544" s="10">
        <f>54.3277 * CHOOSE(CONTROL!$C$9, $D$9, 100%, $F$9) + CHOOSE(CONTROL!$C$27, 0.0021, 0)</f>
        <v>54.329799999999999</v>
      </c>
      <c r="C544" s="10">
        <f>53.8954 * CHOOSE(CONTROL!$C$9, $D$9, 100%, $F$9) + CHOOSE(CONTROL!$C$27, 0.0021, 0)</f>
        <v>53.897500000000001</v>
      </c>
      <c r="D544" s="10">
        <f>53.8954 * CHOOSE(CONTROL!$C$9, $D$9, 100%, $F$9) + CHOOSE(CONTROL!$C$27, 0.0021, 0)</f>
        <v>53.897500000000001</v>
      </c>
      <c r="E544" s="10">
        <f>53.7588 * CHOOSE(CONTROL!$C$9, $D$9, 100%, $F$9) + CHOOSE(CONTROL!$C$27, 0.0021, 0)</f>
        <v>53.760899999999999</v>
      </c>
      <c r="F544" s="10">
        <f>53.7588 * CHOOSE(CONTROL!$C$9, $D$9, 100%, $F$9) + CHOOSE(CONTROL!$C$27, 0.0021, 0)</f>
        <v>53.760899999999999</v>
      </c>
      <c r="G544" s="10">
        <f>54.0302 * CHOOSE(CONTROL!$C$9, $D$9, 100%, $F$9) + CHOOSE(CONTROL!$C$27, 0.0021, 0)</f>
        <v>54.032299999999999</v>
      </c>
      <c r="H544" s="10">
        <f>53.8954 * CHOOSE(CONTROL!$C$9, $D$9, 100%, $F$9) + CHOOSE(CONTROL!$C$27, 0.0021, 0)</f>
        <v>53.897500000000001</v>
      </c>
      <c r="I544" s="10">
        <f>53.8954 * CHOOSE(CONTROL!$C$9, $D$9, 100%, $F$9) + CHOOSE(CONTROL!$C$27, 0.0021, 0)</f>
        <v>53.897500000000001</v>
      </c>
      <c r="J544" s="10">
        <f>53.8954 * CHOOSE(CONTROL!$C$9, $D$9, 100%, $F$9) + CHOOSE(CONTROL!$C$27, 0.0021, 0)</f>
        <v>53.897500000000001</v>
      </c>
      <c r="K544" s="10">
        <f>53.8954 * CHOOSE(CONTROL!$C$9, $D$9, 100%, $F$9) + CHOOSE(CONTROL!$C$27, 0.0021, 0)</f>
        <v>53.897500000000001</v>
      </c>
      <c r="L544" s="10"/>
    </row>
    <row r="545" spans="1:12" ht="15.75" x14ac:dyDescent="0.25">
      <c r="A545" s="13">
        <v>57526</v>
      </c>
      <c r="B545" s="10">
        <f>54.9687 * CHOOSE(CONTROL!$C$9, $D$9, 100%, $F$9) + CHOOSE(CONTROL!$C$27, 0.0021, 0)</f>
        <v>54.970799999999997</v>
      </c>
      <c r="C545" s="10">
        <f>54.5365 * CHOOSE(CONTROL!$C$9, $D$9, 100%, $F$9) + CHOOSE(CONTROL!$C$27, 0.0021, 0)</f>
        <v>54.538599999999995</v>
      </c>
      <c r="D545" s="10">
        <f>54.5365 * CHOOSE(CONTROL!$C$9, $D$9, 100%, $F$9) + CHOOSE(CONTROL!$C$27, 0.0021, 0)</f>
        <v>54.538599999999995</v>
      </c>
      <c r="E545" s="10">
        <f>54.3998 * CHOOSE(CONTROL!$C$9, $D$9, 100%, $F$9) + CHOOSE(CONTROL!$C$27, 0.0021, 0)</f>
        <v>54.401899999999998</v>
      </c>
      <c r="F545" s="10">
        <f>54.3998 * CHOOSE(CONTROL!$C$9, $D$9, 100%, $F$9) + CHOOSE(CONTROL!$C$27, 0.0021, 0)</f>
        <v>54.401899999999998</v>
      </c>
      <c r="G545" s="10">
        <f>54.6712 * CHOOSE(CONTROL!$C$9, $D$9, 100%, $F$9) + CHOOSE(CONTROL!$C$27, 0.0021, 0)</f>
        <v>54.673299999999998</v>
      </c>
      <c r="H545" s="10">
        <f>54.5365 * CHOOSE(CONTROL!$C$9, $D$9, 100%, $F$9) + CHOOSE(CONTROL!$C$27, 0.0021, 0)</f>
        <v>54.538599999999995</v>
      </c>
      <c r="I545" s="10">
        <f>54.5365 * CHOOSE(CONTROL!$C$9, $D$9, 100%, $F$9) + CHOOSE(CONTROL!$C$27, 0.0021, 0)</f>
        <v>54.538599999999995</v>
      </c>
      <c r="J545" s="10">
        <f>54.5365 * CHOOSE(CONTROL!$C$9, $D$9, 100%, $F$9) + CHOOSE(CONTROL!$C$27, 0.0021, 0)</f>
        <v>54.538599999999995</v>
      </c>
      <c r="K545" s="10">
        <f>54.5365 * CHOOSE(CONTROL!$C$9, $D$9, 100%, $F$9) + CHOOSE(CONTROL!$C$27, 0.0021, 0)</f>
        <v>54.538599999999995</v>
      </c>
      <c r="L545" s="10"/>
    </row>
    <row r="546" spans="1:12" ht="15.75" x14ac:dyDescent="0.25">
      <c r="A546" s="13">
        <v>57557</v>
      </c>
      <c r="B546" s="10">
        <f>56.0263 * CHOOSE(CONTROL!$C$9, $D$9, 100%, $F$9) + CHOOSE(CONTROL!$C$27, 0.0021, 0)</f>
        <v>56.028399999999998</v>
      </c>
      <c r="C546" s="10">
        <f>55.594 * CHOOSE(CONTROL!$C$9, $D$9, 100%, $F$9) + CHOOSE(CONTROL!$C$27, 0.0021, 0)</f>
        <v>55.5961</v>
      </c>
      <c r="D546" s="10">
        <f>55.594 * CHOOSE(CONTROL!$C$9, $D$9, 100%, $F$9) + CHOOSE(CONTROL!$C$27, 0.0021, 0)</f>
        <v>55.5961</v>
      </c>
      <c r="E546" s="10">
        <f>55.4573 * CHOOSE(CONTROL!$C$9, $D$9, 100%, $F$9) + CHOOSE(CONTROL!$C$27, 0.0021, 0)</f>
        <v>55.459399999999995</v>
      </c>
      <c r="F546" s="10">
        <f>55.4573 * CHOOSE(CONTROL!$C$9, $D$9, 100%, $F$9) + CHOOSE(CONTROL!$C$27, 0.0021, 0)</f>
        <v>55.459399999999995</v>
      </c>
      <c r="G546" s="10">
        <f>55.7287 * CHOOSE(CONTROL!$C$9, $D$9, 100%, $F$9) + CHOOSE(CONTROL!$C$27, 0.0021, 0)</f>
        <v>55.730800000000002</v>
      </c>
      <c r="H546" s="10">
        <f>55.594 * CHOOSE(CONTROL!$C$9, $D$9, 100%, $F$9) + CHOOSE(CONTROL!$C$27, 0.0021, 0)</f>
        <v>55.5961</v>
      </c>
      <c r="I546" s="10">
        <f>55.594 * CHOOSE(CONTROL!$C$9, $D$9, 100%, $F$9) + CHOOSE(CONTROL!$C$27, 0.0021, 0)</f>
        <v>55.5961</v>
      </c>
      <c r="J546" s="10">
        <f>55.594 * CHOOSE(CONTROL!$C$9, $D$9, 100%, $F$9) + CHOOSE(CONTROL!$C$27, 0.0021, 0)</f>
        <v>55.5961</v>
      </c>
      <c r="K546" s="10">
        <f>55.594 * CHOOSE(CONTROL!$C$9, $D$9, 100%, $F$9) + CHOOSE(CONTROL!$C$27, 0.0021, 0)</f>
        <v>55.5961</v>
      </c>
      <c r="L546" s="10"/>
    </row>
    <row r="547" spans="1:12" ht="15.75" x14ac:dyDescent="0.25">
      <c r="A547" s="13">
        <v>57588</v>
      </c>
      <c r="B547" s="10">
        <f>56.349 * CHOOSE(CONTROL!$C$9, $D$9, 100%, $F$9) + CHOOSE(CONTROL!$C$27, 0.0021, 0)</f>
        <v>56.351099999999995</v>
      </c>
      <c r="C547" s="10">
        <f>55.9168 * CHOOSE(CONTROL!$C$9, $D$9, 100%, $F$9) + CHOOSE(CONTROL!$C$27, 0.0021, 0)</f>
        <v>55.918900000000001</v>
      </c>
      <c r="D547" s="10">
        <f>55.9168 * CHOOSE(CONTROL!$C$9, $D$9, 100%, $F$9) + CHOOSE(CONTROL!$C$27, 0.0021, 0)</f>
        <v>55.918900000000001</v>
      </c>
      <c r="E547" s="10">
        <f>55.7801 * CHOOSE(CONTROL!$C$9, $D$9, 100%, $F$9) + CHOOSE(CONTROL!$C$27, 0.0021, 0)</f>
        <v>55.782199999999996</v>
      </c>
      <c r="F547" s="10">
        <f>55.7801 * CHOOSE(CONTROL!$C$9, $D$9, 100%, $F$9) + CHOOSE(CONTROL!$C$27, 0.0021, 0)</f>
        <v>55.782199999999996</v>
      </c>
      <c r="G547" s="10">
        <f>56.0515 * CHOOSE(CONTROL!$C$9, $D$9, 100%, $F$9) + CHOOSE(CONTROL!$C$27, 0.0021, 0)</f>
        <v>56.053599999999996</v>
      </c>
      <c r="H547" s="10">
        <f>55.9168 * CHOOSE(CONTROL!$C$9, $D$9, 100%, $F$9) + CHOOSE(CONTROL!$C$27, 0.0021, 0)</f>
        <v>55.918900000000001</v>
      </c>
      <c r="I547" s="10">
        <f>55.9168 * CHOOSE(CONTROL!$C$9, $D$9, 100%, $F$9) + CHOOSE(CONTROL!$C$27, 0.0021, 0)</f>
        <v>55.918900000000001</v>
      </c>
      <c r="J547" s="10">
        <f>55.9168 * CHOOSE(CONTROL!$C$9, $D$9, 100%, $F$9) + CHOOSE(CONTROL!$C$27, 0.0021, 0)</f>
        <v>55.918900000000001</v>
      </c>
      <c r="K547" s="10">
        <f>55.9168 * CHOOSE(CONTROL!$C$9, $D$9, 100%, $F$9) + CHOOSE(CONTROL!$C$27, 0.0021, 0)</f>
        <v>55.918900000000001</v>
      </c>
      <c r="L547" s="10"/>
    </row>
    <row r="548" spans="1:12" ht="15.75" x14ac:dyDescent="0.25">
      <c r="A548" s="13">
        <v>57618</v>
      </c>
      <c r="B548" s="10">
        <f>57.4483 * CHOOSE(CONTROL!$C$9, $D$9, 100%, $F$9) + CHOOSE(CONTROL!$C$27, 0.0021, 0)</f>
        <v>57.450400000000002</v>
      </c>
      <c r="C548" s="10">
        <f>57.016 * CHOOSE(CONTROL!$C$9, $D$9, 100%, $F$9) + CHOOSE(CONTROL!$C$27, 0.0021, 0)</f>
        <v>57.018099999999997</v>
      </c>
      <c r="D548" s="10">
        <f>57.016 * CHOOSE(CONTROL!$C$9, $D$9, 100%, $F$9) + CHOOSE(CONTROL!$C$27, 0.0021, 0)</f>
        <v>57.018099999999997</v>
      </c>
      <c r="E548" s="10">
        <f>56.8794 * CHOOSE(CONTROL!$C$9, $D$9, 100%, $F$9) + CHOOSE(CONTROL!$C$27, 0.0021, 0)</f>
        <v>56.881499999999996</v>
      </c>
      <c r="F548" s="10">
        <f>56.8794 * CHOOSE(CONTROL!$C$9, $D$9, 100%, $F$9) + CHOOSE(CONTROL!$C$27, 0.0021, 0)</f>
        <v>56.881499999999996</v>
      </c>
      <c r="G548" s="10">
        <f>57.1508 * CHOOSE(CONTROL!$C$9, $D$9, 100%, $F$9) + CHOOSE(CONTROL!$C$27, 0.0021, 0)</f>
        <v>57.152899999999995</v>
      </c>
      <c r="H548" s="10">
        <f>57.016 * CHOOSE(CONTROL!$C$9, $D$9, 100%, $F$9) + CHOOSE(CONTROL!$C$27, 0.0021, 0)</f>
        <v>57.018099999999997</v>
      </c>
      <c r="I548" s="10">
        <f>57.016 * CHOOSE(CONTROL!$C$9, $D$9, 100%, $F$9) + CHOOSE(CONTROL!$C$27, 0.0021, 0)</f>
        <v>57.018099999999997</v>
      </c>
      <c r="J548" s="10">
        <f>57.016 * CHOOSE(CONTROL!$C$9, $D$9, 100%, $F$9) + CHOOSE(CONTROL!$C$27, 0.0021, 0)</f>
        <v>57.018099999999997</v>
      </c>
      <c r="K548" s="10">
        <f>57.016 * CHOOSE(CONTROL!$C$9, $D$9, 100%, $F$9) + CHOOSE(CONTROL!$C$27, 0.0021, 0)</f>
        <v>57.018099999999997</v>
      </c>
      <c r="L548" s="10"/>
    </row>
    <row r="549" spans="1:12" ht="15.75" x14ac:dyDescent="0.25">
      <c r="A549" s="13">
        <v>57649</v>
      </c>
      <c r="B549" s="10">
        <f>58.8397 * CHOOSE(CONTROL!$C$9, $D$9, 100%, $F$9) + CHOOSE(CONTROL!$C$27, 0.0021, 0)</f>
        <v>58.841799999999999</v>
      </c>
      <c r="C549" s="10">
        <f>58.4075 * CHOOSE(CONTROL!$C$9, $D$9, 100%, $F$9) + CHOOSE(CONTROL!$C$27, 0.0021, 0)</f>
        <v>58.409599999999998</v>
      </c>
      <c r="D549" s="10">
        <f>58.4075 * CHOOSE(CONTROL!$C$9, $D$9, 100%, $F$9) + CHOOSE(CONTROL!$C$27, 0.0021, 0)</f>
        <v>58.409599999999998</v>
      </c>
      <c r="E549" s="10">
        <f>58.2708 * CHOOSE(CONTROL!$C$9, $D$9, 100%, $F$9) + CHOOSE(CONTROL!$C$27, 0.0021, 0)</f>
        <v>58.2729</v>
      </c>
      <c r="F549" s="10">
        <f>58.2708 * CHOOSE(CONTROL!$C$9, $D$9, 100%, $F$9) + CHOOSE(CONTROL!$C$27, 0.0021, 0)</f>
        <v>58.2729</v>
      </c>
      <c r="G549" s="10">
        <f>58.5422 * CHOOSE(CONTROL!$C$9, $D$9, 100%, $F$9) + CHOOSE(CONTROL!$C$27, 0.0021, 0)</f>
        <v>58.5443</v>
      </c>
      <c r="H549" s="10">
        <f>58.4075 * CHOOSE(CONTROL!$C$9, $D$9, 100%, $F$9) + CHOOSE(CONTROL!$C$27, 0.0021, 0)</f>
        <v>58.409599999999998</v>
      </c>
      <c r="I549" s="10">
        <f>58.4075 * CHOOSE(CONTROL!$C$9, $D$9, 100%, $F$9) + CHOOSE(CONTROL!$C$27, 0.0021, 0)</f>
        <v>58.409599999999998</v>
      </c>
      <c r="J549" s="10">
        <f>58.4075 * CHOOSE(CONTROL!$C$9, $D$9, 100%, $F$9) + CHOOSE(CONTROL!$C$27, 0.0021, 0)</f>
        <v>58.409599999999998</v>
      </c>
      <c r="K549" s="10">
        <f>58.4075 * CHOOSE(CONTROL!$C$9, $D$9, 100%, $F$9) + CHOOSE(CONTROL!$C$27, 0.0021, 0)</f>
        <v>58.409599999999998</v>
      </c>
      <c r="L549" s="10"/>
    </row>
    <row r="550" spans="1:12" ht="15.75" x14ac:dyDescent="0.25">
      <c r="A550" s="13">
        <v>57679</v>
      </c>
      <c r="B550" s="10">
        <f>58.9704 * CHOOSE(CONTROL!$C$9, $D$9, 100%, $F$9) + CHOOSE(CONTROL!$C$27, 0.0021, 0)</f>
        <v>58.972499999999997</v>
      </c>
      <c r="C550" s="10">
        <f>58.5381 * CHOOSE(CONTROL!$C$9, $D$9, 100%, $F$9) + CHOOSE(CONTROL!$C$27, 0.0021, 0)</f>
        <v>58.540199999999999</v>
      </c>
      <c r="D550" s="10">
        <f>58.5381 * CHOOSE(CONTROL!$C$9, $D$9, 100%, $F$9) + CHOOSE(CONTROL!$C$27, 0.0021, 0)</f>
        <v>58.540199999999999</v>
      </c>
      <c r="E550" s="10">
        <f>58.4015 * CHOOSE(CONTROL!$C$9, $D$9, 100%, $F$9) + CHOOSE(CONTROL!$C$27, 0.0021, 0)</f>
        <v>58.403599999999997</v>
      </c>
      <c r="F550" s="10">
        <f>58.4015 * CHOOSE(CONTROL!$C$9, $D$9, 100%, $F$9) + CHOOSE(CONTROL!$C$27, 0.0021, 0)</f>
        <v>58.403599999999997</v>
      </c>
      <c r="G550" s="10">
        <f>58.6728 * CHOOSE(CONTROL!$C$9, $D$9, 100%, $F$9) + CHOOSE(CONTROL!$C$27, 0.0021, 0)</f>
        <v>58.674900000000001</v>
      </c>
      <c r="H550" s="10">
        <f>58.5381 * CHOOSE(CONTROL!$C$9, $D$9, 100%, $F$9) + CHOOSE(CONTROL!$C$27, 0.0021, 0)</f>
        <v>58.540199999999999</v>
      </c>
      <c r="I550" s="10">
        <f>58.5381 * CHOOSE(CONTROL!$C$9, $D$9, 100%, $F$9) + CHOOSE(CONTROL!$C$27, 0.0021, 0)</f>
        <v>58.540199999999999</v>
      </c>
      <c r="J550" s="10">
        <f>58.5381 * CHOOSE(CONTROL!$C$9, $D$9, 100%, $F$9) + CHOOSE(CONTROL!$C$27, 0.0021, 0)</f>
        <v>58.540199999999999</v>
      </c>
      <c r="K550" s="10">
        <f>58.5381 * CHOOSE(CONTROL!$C$9, $D$9, 100%, $F$9) + CHOOSE(CONTROL!$C$27, 0.0021, 0)</f>
        <v>58.540199999999999</v>
      </c>
      <c r="L550" s="10"/>
    </row>
    <row r="551" spans="1:12" ht="15.75" x14ac:dyDescent="0.25">
      <c r="A551" s="13">
        <v>57710</v>
      </c>
      <c r="B551" s="10">
        <f>57.859 * CHOOSE(CONTROL!$C$9, $D$9, 100%, $F$9) + CHOOSE(CONTROL!$C$27, 0.0021, 0)</f>
        <v>57.8611</v>
      </c>
      <c r="C551" s="10">
        <f>57.4268 * CHOOSE(CONTROL!$C$9, $D$9, 100%, $F$9) + CHOOSE(CONTROL!$C$27, 0.0021, 0)</f>
        <v>57.428899999999999</v>
      </c>
      <c r="D551" s="10">
        <f>57.4268 * CHOOSE(CONTROL!$C$9, $D$9, 100%, $F$9) + CHOOSE(CONTROL!$C$27, 0.0021, 0)</f>
        <v>57.428899999999999</v>
      </c>
      <c r="E551" s="10">
        <f>57.2901 * CHOOSE(CONTROL!$C$9, $D$9, 100%, $F$9) + CHOOSE(CONTROL!$C$27, 0.0021, 0)</f>
        <v>57.292200000000001</v>
      </c>
      <c r="F551" s="10">
        <f>57.2901 * CHOOSE(CONTROL!$C$9, $D$9, 100%, $F$9) + CHOOSE(CONTROL!$C$27, 0.0021, 0)</f>
        <v>57.292200000000001</v>
      </c>
      <c r="G551" s="10">
        <f>57.5615 * CHOOSE(CONTROL!$C$9, $D$9, 100%, $F$9) + CHOOSE(CONTROL!$C$27, 0.0021, 0)</f>
        <v>57.563600000000001</v>
      </c>
      <c r="H551" s="10">
        <f>57.4268 * CHOOSE(CONTROL!$C$9, $D$9, 100%, $F$9) + CHOOSE(CONTROL!$C$27, 0.0021, 0)</f>
        <v>57.428899999999999</v>
      </c>
      <c r="I551" s="10">
        <f>57.4268 * CHOOSE(CONTROL!$C$9, $D$9, 100%, $F$9) + CHOOSE(CONTROL!$C$27, 0.0021, 0)</f>
        <v>57.428899999999999</v>
      </c>
      <c r="J551" s="10">
        <f>57.4268 * CHOOSE(CONTROL!$C$9, $D$9, 100%, $F$9) + CHOOSE(CONTROL!$C$27, 0.0021, 0)</f>
        <v>57.428899999999999</v>
      </c>
      <c r="K551" s="10">
        <f>57.4268 * CHOOSE(CONTROL!$C$9, $D$9, 100%, $F$9) + CHOOSE(CONTROL!$C$27, 0.0021, 0)</f>
        <v>57.428899999999999</v>
      </c>
      <c r="L551" s="10"/>
    </row>
    <row r="552" spans="1:12" ht="15.75" x14ac:dyDescent="0.25">
      <c r="A552" s="13">
        <v>57741</v>
      </c>
      <c r="B552" s="10">
        <f>57.131 * CHOOSE(CONTROL!$C$9, $D$9, 100%, $F$9) + CHOOSE(CONTROL!$C$27, 0.0021, 0)</f>
        <v>57.133099999999999</v>
      </c>
      <c r="C552" s="10">
        <f>56.6987 * CHOOSE(CONTROL!$C$9, $D$9, 100%, $F$9) + CHOOSE(CONTROL!$C$27, 0.0021, 0)</f>
        <v>56.700800000000001</v>
      </c>
      <c r="D552" s="10">
        <f>56.6987 * CHOOSE(CONTROL!$C$9, $D$9, 100%, $F$9) + CHOOSE(CONTROL!$C$27, 0.0021, 0)</f>
        <v>56.700800000000001</v>
      </c>
      <c r="E552" s="10">
        <f>56.5621 * CHOOSE(CONTROL!$C$9, $D$9, 100%, $F$9) + CHOOSE(CONTROL!$C$27, 0.0021, 0)</f>
        <v>56.5642</v>
      </c>
      <c r="F552" s="10">
        <f>56.5621 * CHOOSE(CONTROL!$C$9, $D$9, 100%, $F$9) + CHOOSE(CONTROL!$C$27, 0.0021, 0)</f>
        <v>56.5642</v>
      </c>
      <c r="G552" s="10">
        <f>56.8335 * CHOOSE(CONTROL!$C$9, $D$9, 100%, $F$9) + CHOOSE(CONTROL!$C$27, 0.0021, 0)</f>
        <v>56.835599999999999</v>
      </c>
      <c r="H552" s="10">
        <f>56.6987 * CHOOSE(CONTROL!$C$9, $D$9, 100%, $F$9) + CHOOSE(CONTROL!$C$27, 0.0021, 0)</f>
        <v>56.700800000000001</v>
      </c>
      <c r="I552" s="10">
        <f>56.6987 * CHOOSE(CONTROL!$C$9, $D$9, 100%, $F$9) + CHOOSE(CONTROL!$C$27, 0.0021, 0)</f>
        <v>56.700800000000001</v>
      </c>
      <c r="J552" s="10">
        <f>56.6987 * CHOOSE(CONTROL!$C$9, $D$9, 100%, $F$9) + CHOOSE(CONTROL!$C$27, 0.0021, 0)</f>
        <v>56.700800000000001</v>
      </c>
      <c r="K552" s="10">
        <f>56.6987 * CHOOSE(CONTROL!$C$9, $D$9, 100%, $F$9) + CHOOSE(CONTROL!$C$27, 0.0021, 0)</f>
        <v>56.700800000000001</v>
      </c>
      <c r="L552" s="10"/>
    </row>
    <row r="553" spans="1:12" ht="15.75" x14ac:dyDescent="0.25">
      <c r="A553" s="13">
        <v>57769</v>
      </c>
      <c r="B553" s="10">
        <f>55.5799 * CHOOSE(CONTROL!$C$9, $D$9, 100%, $F$9) + CHOOSE(CONTROL!$C$27, 0.0021, 0)</f>
        <v>55.582000000000001</v>
      </c>
      <c r="C553" s="10">
        <f>55.1476 * CHOOSE(CONTROL!$C$9, $D$9, 100%, $F$9) + CHOOSE(CONTROL!$C$27, 0.0021, 0)</f>
        <v>55.149699999999996</v>
      </c>
      <c r="D553" s="10">
        <f>55.1476 * CHOOSE(CONTROL!$C$9, $D$9, 100%, $F$9) + CHOOSE(CONTROL!$C$27, 0.0021, 0)</f>
        <v>55.149699999999996</v>
      </c>
      <c r="E553" s="10">
        <f>55.0109 * CHOOSE(CONTROL!$C$9, $D$9, 100%, $F$9) + CHOOSE(CONTROL!$C$27, 0.0021, 0)</f>
        <v>55.012999999999998</v>
      </c>
      <c r="F553" s="10">
        <f>55.0109 * CHOOSE(CONTROL!$C$9, $D$9, 100%, $F$9) + CHOOSE(CONTROL!$C$27, 0.0021, 0)</f>
        <v>55.012999999999998</v>
      </c>
      <c r="G553" s="10">
        <f>55.2823 * CHOOSE(CONTROL!$C$9, $D$9, 100%, $F$9) + CHOOSE(CONTROL!$C$27, 0.0021, 0)</f>
        <v>55.284399999999998</v>
      </c>
      <c r="H553" s="10">
        <f>55.1476 * CHOOSE(CONTROL!$C$9, $D$9, 100%, $F$9) + CHOOSE(CONTROL!$C$27, 0.0021, 0)</f>
        <v>55.149699999999996</v>
      </c>
      <c r="I553" s="10">
        <f>55.1476 * CHOOSE(CONTROL!$C$9, $D$9, 100%, $F$9) + CHOOSE(CONTROL!$C$27, 0.0021, 0)</f>
        <v>55.149699999999996</v>
      </c>
      <c r="J553" s="10">
        <f>55.1476 * CHOOSE(CONTROL!$C$9, $D$9, 100%, $F$9) + CHOOSE(CONTROL!$C$27, 0.0021, 0)</f>
        <v>55.149699999999996</v>
      </c>
      <c r="K553" s="10">
        <f>55.1476 * CHOOSE(CONTROL!$C$9, $D$9, 100%, $F$9) + CHOOSE(CONTROL!$C$27, 0.0021, 0)</f>
        <v>55.149699999999996</v>
      </c>
      <c r="L553" s="10"/>
    </row>
    <row r="554" spans="1:12" ht="15.75" x14ac:dyDescent="0.25">
      <c r="A554" s="13">
        <v>57800</v>
      </c>
      <c r="B554" s="10">
        <f>54.9395 * CHOOSE(CONTROL!$C$9, $D$9, 100%, $F$9) + CHOOSE(CONTROL!$C$27, 0.0021, 0)</f>
        <v>54.941600000000001</v>
      </c>
      <c r="C554" s="10">
        <f>54.5073 * CHOOSE(CONTROL!$C$9, $D$9, 100%, $F$9) + CHOOSE(CONTROL!$C$27, 0.0021, 0)</f>
        <v>54.509399999999999</v>
      </c>
      <c r="D554" s="10">
        <f>54.5073 * CHOOSE(CONTROL!$C$9, $D$9, 100%, $F$9) + CHOOSE(CONTROL!$C$27, 0.0021, 0)</f>
        <v>54.509399999999999</v>
      </c>
      <c r="E554" s="10">
        <f>54.3706 * CHOOSE(CONTROL!$C$9, $D$9, 100%, $F$9) + CHOOSE(CONTROL!$C$27, 0.0021, 0)</f>
        <v>54.372700000000002</v>
      </c>
      <c r="F554" s="10">
        <f>54.3706 * CHOOSE(CONTROL!$C$9, $D$9, 100%, $F$9) + CHOOSE(CONTROL!$C$27, 0.0021, 0)</f>
        <v>54.372700000000002</v>
      </c>
      <c r="G554" s="10">
        <f>54.642 * CHOOSE(CONTROL!$C$9, $D$9, 100%, $F$9) + CHOOSE(CONTROL!$C$27, 0.0021, 0)</f>
        <v>54.644100000000002</v>
      </c>
      <c r="H554" s="10">
        <f>54.5073 * CHOOSE(CONTROL!$C$9, $D$9, 100%, $F$9) + CHOOSE(CONTROL!$C$27, 0.0021, 0)</f>
        <v>54.509399999999999</v>
      </c>
      <c r="I554" s="10">
        <f>54.5073 * CHOOSE(CONTROL!$C$9, $D$9, 100%, $F$9) + CHOOSE(CONTROL!$C$27, 0.0021, 0)</f>
        <v>54.509399999999999</v>
      </c>
      <c r="J554" s="10">
        <f>54.5073 * CHOOSE(CONTROL!$C$9, $D$9, 100%, $F$9) + CHOOSE(CONTROL!$C$27, 0.0021, 0)</f>
        <v>54.509399999999999</v>
      </c>
      <c r="K554" s="10">
        <f>54.5073 * CHOOSE(CONTROL!$C$9, $D$9, 100%, $F$9) + CHOOSE(CONTROL!$C$27, 0.0021, 0)</f>
        <v>54.509399999999999</v>
      </c>
      <c r="L554" s="10"/>
    </row>
    <row r="555" spans="1:12" ht="15.75" x14ac:dyDescent="0.25">
      <c r="A555" s="13">
        <v>57830</v>
      </c>
      <c r="B555" s="10">
        <f>54.175 * CHOOSE(CONTROL!$C$9, $D$9, 100%, $F$9) + CHOOSE(CONTROL!$C$27, 0.0021, 0)</f>
        <v>54.177099999999996</v>
      </c>
      <c r="C555" s="10">
        <f>53.7428 * CHOOSE(CONTROL!$C$9, $D$9, 100%, $F$9) + CHOOSE(CONTROL!$C$27, 0.0021, 0)</f>
        <v>53.744900000000001</v>
      </c>
      <c r="D555" s="10">
        <f>53.7428 * CHOOSE(CONTROL!$C$9, $D$9, 100%, $F$9) + CHOOSE(CONTROL!$C$27, 0.0021, 0)</f>
        <v>53.744900000000001</v>
      </c>
      <c r="E555" s="10">
        <f>53.6061 * CHOOSE(CONTROL!$C$9, $D$9, 100%, $F$9) + CHOOSE(CONTROL!$C$27, 0.0021, 0)</f>
        <v>53.608199999999997</v>
      </c>
      <c r="F555" s="10">
        <f>53.6061 * CHOOSE(CONTROL!$C$9, $D$9, 100%, $F$9) + CHOOSE(CONTROL!$C$27, 0.0021, 0)</f>
        <v>53.608199999999997</v>
      </c>
      <c r="G555" s="10">
        <f>53.8775 * CHOOSE(CONTROL!$C$9, $D$9, 100%, $F$9) + CHOOSE(CONTROL!$C$27, 0.0021, 0)</f>
        <v>53.879599999999996</v>
      </c>
      <c r="H555" s="10">
        <f>53.7428 * CHOOSE(CONTROL!$C$9, $D$9, 100%, $F$9) + CHOOSE(CONTROL!$C$27, 0.0021, 0)</f>
        <v>53.744900000000001</v>
      </c>
      <c r="I555" s="10">
        <f>53.7428 * CHOOSE(CONTROL!$C$9, $D$9, 100%, $F$9) + CHOOSE(CONTROL!$C$27, 0.0021, 0)</f>
        <v>53.744900000000001</v>
      </c>
      <c r="J555" s="10">
        <f>53.7428 * CHOOSE(CONTROL!$C$9, $D$9, 100%, $F$9) + CHOOSE(CONTROL!$C$27, 0.0021, 0)</f>
        <v>53.744900000000001</v>
      </c>
      <c r="K555" s="10">
        <f>53.7428 * CHOOSE(CONTROL!$C$9, $D$9, 100%, $F$9) + CHOOSE(CONTROL!$C$27, 0.0021, 0)</f>
        <v>53.744900000000001</v>
      </c>
      <c r="L555" s="10"/>
    </row>
    <row r="556" spans="1:12" ht="15.75" x14ac:dyDescent="0.25">
      <c r="A556" s="13">
        <v>57861</v>
      </c>
      <c r="B556" s="10">
        <f>55.2646 * CHOOSE(CONTROL!$C$9, $D$9, 100%, $F$9) + CHOOSE(CONTROL!$C$27, 0.0021, 0)</f>
        <v>55.2667</v>
      </c>
      <c r="C556" s="10">
        <f>54.8323 * CHOOSE(CONTROL!$C$9, $D$9, 100%, $F$9) + CHOOSE(CONTROL!$C$27, 0.0021, 0)</f>
        <v>54.834399999999995</v>
      </c>
      <c r="D556" s="10">
        <f>54.8323 * CHOOSE(CONTROL!$C$9, $D$9, 100%, $F$9) + CHOOSE(CONTROL!$C$27, 0.0021, 0)</f>
        <v>54.834399999999995</v>
      </c>
      <c r="E556" s="10">
        <f>54.6957 * CHOOSE(CONTROL!$C$9, $D$9, 100%, $F$9) + CHOOSE(CONTROL!$C$27, 0.0021, 0)</f>
        <v>54.697800000000001</v>
      </c>
      <c r="F556" s="10">
        <f>54.6957 * CHOOSE(CONTROL!$C$9, $D$9, 100%, $F$9) + CHOOSE(CONTROL!$C$27, 0.0021, 0)</f>
        <v>54.697800000000001</v>
      </c>
      <c r="G556" s="10">
        <f>54.967 * CHOOSE(CONTROL!$C$9, $D$9, 100%, $F$9) + CHOOSE(CONTROL!$C$27, 0.0021, 0)</f>
        <v>54.969099999999997</v>
      </c>
      <c r="H556" s="10">
        <f>54.8323 * CHOOSE(CONTROL!$C$9, $D$9, 100%, $F$9) + CHOOSE(CONTROL!$C$27, 0.0021, 0)</f>
        <v>54.834399999999995</v>
      </c>
      <c r="I556" s="10">
        <f>54.8323 * CHOOSE(CONTROL!$C$9, $D$9, 100%, $F$9) + CHOOSE(CONTROL!$C$27, 0.0021, 0)</f>
        <v>54.834399999999995</v>
      </c>
      <c r="J556" s="10">
        <f>54.8323 * CHOOSE(CONTROL!$C$9, $D$9, 100%, $F$9) + CHOOSE(CONTROL!$C$27, 0.0021, 0)</f>
        <v>54.834399999999995</v>
      </c>
      <c r="K556" s="10">
        <f>54.8323 * CHOOSE(CONTROL!$C$9, $D$9, 100%, $F$9) + CHOOSE(CONTROL!$C$27, 0.0021, 0)</f>
        <v>54.834399999999995</v>
      </c>
      <c r="L556" s="10"/>
    </row>
    <row r="557" spans="1:12" ht="15.75" x14ac:dyDescent="0.25">
      <c r="A557" s="13">
        <v>57891</v>
      </c>
      <c r="B557" s="10">
        <f>55.9172 * CHOOSE(CONTROL!$C$9, $D$9, 100%, $F$9) + CHOOSE(CONTROL!$C$27, 0.0021, 0)</f>
        <v>55.9193</v>
      </c>
      <c r="C557" s="10">
        <f>55.4849 * CHOOSE(CONTROL!$C$9, $D$9, 100%, $F$9) + CHOOSE(CONTROL!$C$27, 0.0021, 0)</f>
        <v>55.487000000000002</v>
      </c>
      <c r="D557" s="10">
        <f>55.4849 * CHOOSE(CONTROL!$C$9, $D$9, 100%, $F$9) + CHOOSE(CONTROL!$C$27, 0.0021, 0)</f>
        <v>55.487000000000002</v>
      </c>
      <c r="E557" s="10">
        <f>55.3483 * CHOOSE(CONTROL!$C$9, $D$9, 100%, $F$9) + CHOOSE(CONTROL!$C$27, 0.0021, 0)</f>
        <v>55.3504</v>
      </c>
      <c r="F557" s="10">
        <f>55.3483 * CHOOSE(CONTROL!$C$9, $D$9, 100%, $F$9) + CHOOSE(CONTROL!$C$27, 0.0021, 0)</f>
        <v>55.3504</v>
      </c>
      <c r="G557" s="10">
        <f>55.6196 * CHOOSE(CONTROL!$C$9, $D$9, 100%, $F$9) + CHOOSE(CONTROL!$C$27, 0.0021, 0)</f>
        <v>55.621699999999997</v>
      </c>
      <c r="H557" s="10">
        <f>55.4849 * CHOOSE(CONTROL!$C$9, $D$9, 100%, $F$9) + CHOOSE(CONTROL!$C$27, 0.0021, 0)</f>
        <v>55.487000000000002</v>
      </c>
      <c r="I557" s="10">
        <f>55.4849 * CHOOSE(CONTROL!$C$9, $D$9, 100%, $F$9) + CHOOSE(CONTROL!$C$27, 0.0021, 0)</f>
        <v>55.487000000000002</v>
      </c>
      <c r="J557" s="10">
        <f>55.4849 * CHOOSE(CONTROL!$C$9, $D$9, 100%, $F$9) + CHOOSE(CONTROL!$C$27, 0.0021, 0)</f>
        <v>55.487000000000002</v>
      </c>
      <c r="K557" s="10">
        <f>55.4849 * CHOOSE(CONTROL!$C$9, $D$9, 100%, $F$9) + CHOOSE(CONTROL!$C$27, 0.0021, 0)</f>
        <v>55.487000000000002</v>
      </c>
      <c r="L557" s="10"/>
    </row>
    <row r="558" spans="1:12" ht="15.75" x14ac:dyDescent="0.25">
      <c r="A558" s="13">
        <v>57922</v>
      </c>
      <c r="B558" s="10">
        <f>56.9937 * CHOOSE(CONTROL!$C$9, $D$9, 100%, $F$9) + CHOOSE(CONTROL!$C$27, 0.0021, 0)</f>
        <v>56.995799999999996</v>
      </c>
      <c r="C558" s="10">
        <f>56.5615 * CHOOSE(CONTROL!$C$9, $D$9, 100%, $F$9) + CHOOSE(CONTROL!$C$27, 0.0021, 0)</f>
        <v>56.563600000000001</v>
      </c>
      <c r="D558" s="10">
        <f>56.5615 * CHOOSE(CONTROL!$C$9, $D$9, 100%, $F$9) + CHOOSE(CONTROL!$C$27, 0.0021, 0)</f>
        <v>56.563600000000001</v>
      </c>
      <c r="E558" s="10">
        <f>56.4248 * CHOOSE(CONTROL!$C$9, $D$9, 100%, $F$9) + CHOOSE(CONTROL!$C$27, 0.0021, 0)</f>
        <v>56.426899999999996</v>
      </c>
      <c r="F558" s="10">
        <f>56.4248 * CHOOSE(CONTROL!$C$9, $D$9, 100%, $F$9) + CHOOSE(CONTROL!$C$27, 0.0021, 0)</f>
        <v>56.426899999999996</v>
      </c>
      <c r="G558" s="10">
        <f>56.6962 * CHOOSE(CONTROL!$C$9, $D$9, 100%, $F$9) + CHOOSE(CONTROL!$C$27, 0.0021, 0)</f>
        <v>56.698299999999996</v>
      </c>
      <c r="H558" s="10">
        <f>56.5615 * CHOOSE(CONTROL!$C$9, $D$9, 100%, $F$9) + CHOOSE(CONTROL!$C$27, 0.0021, 0)</f>
        <v>56.563600000000001</v>
      </c>
      <c r="I558" s="10">
        <f>56.5615 * CHOOSE(CONTROL!$C$9, $D$9, 100%, $F$9) + CHOOSE(CONTROL!$C$27, 0.0021, 0)</f>
        <v>56.563600000000001</v>
      </c>
      <c r="J558" s="10">
        <f>56.5615 * CHOOSE(CONTROL!$C$9, $D$9, 100%, $F$9) + CHOOSE(CONTROL!$C$27, 0.0021, 0)</f>
        <v>56.563600000000001</v>
      </c>
      <c r="K558" s="10">
        <f>56.5615 * CHOOSE(CONTROL!$C$9, $D$9, 100%, $F$9) + CHOOSE(CONTROL!$C$27, 0.0021, 0)</f>
        <v>56.563600000000001</v>
      </c>
      <c r="L558" s="10"/>
    </row>
    <row r="559" spans="1:12" ht="15.75" x14ac:dyDescent="0.25">
      <c r="A559" s="13">
        <v>57953</v>
      </c>
      <c r="B559" s="10">
        <f>57.3223 * CHOOSE(CONTROL!$C$9, $D$9, 100%, $F$9) + CHOOSE(CONTROL!$C$27, 0.0021, 0)</f>
        <v>57.324399999999997</v>
      </c>
      <c r="C559" s="10">
        <f>56.8901 * CHOOSE(CONTROL!$C$9, $D$9, 100%, $F$9) + CHOOSE(CONTROL!$C$27, 0.0021, 0)</f>
        <v>56.892199999999995</v>
      </c>
      <c r="D559" s="10">
        <f>56.8901 * CHOOSE(CONTROL!$C$9, $D$9, 100%, $F$9) + CHOOSE(CONTROL!$C$27, 0.0021, 0)</f>
        <v>56.892199999999995</v>
      </c>
      <c r="E559" s="10">
        <f>56.7534 * CHOOSE(CONTROL!$C$9, $D$9, 100%, $F$9) + CHOOSE(CONTROL!$C$27, 0.0021, 0)</f>
        <v>56.755499999999998</v>
      </c>
      <c r="F559" s="10">
        <f>56.7534 * CHOOSE(CONTROL!$C$9, $D$9, 100%, $F$9) + CHOOSE(CONTROL!$C$27, 0.0021, 0)</f>
        <v>56.755499999999998</v>
      </c>
      <c r="G559" s="10">
        <f>57.0248 * CHOOSE(CONTROL!$C$9, $D$9, 100%, $F$9) + CHOOSE(CONTROL!$C$27, 0.0021, 0)</f>
        <v>57.026899999999998</v>
      </c>
      <c r="H559" s="10">
        <f>56.8901 * CHOOSE(CONTROL!$C$9, $D$9, 100%, $F$9) + CHOOSE(CONTROL!$C$27, 0.0021, 0)</f>
        <v>56.892199999999995</v>
      </c>
      <c r="I559" s="10">
        <f>56.8901 * CHOOSE(CONTROL!$C$9, $D$9, 100%, $F$9) + CHOOSE(CONTROL!$C$27, 0.0021, 0)</f>
        <v>56.892199999999995</v>
      </c>
      <c r="J559" s="10">
        <f>56.8901 * CHOOSE(CONTROL!$C$9, $D$9, 100%, $F$9) + CHOOSE(CONTROL!$C$27, 0.0021, 0)</f>
        <v>56.892199999999995</v>
      </c>
      <c r="K559" s="10">
        <f>56.8901 * CHOOSE(CONTROL!$C$9, $D$9, 100%, $F$9) + CHOOSE(CONTROL!$C$27, 0.0021, 0)</f>
        <v>56.892199999999995</v>
      </c>
      <c r="L559" s="10"/>
    </row>
    <row r="560" spans="1:12" ht="15.75" x14ac:dyDescent="0.25">
      <c r="A560" s="13">
        <v>57983</v>
      </c>
      <c r="B560" s="10">
        <f>58.4414 * CHOOSE(CONTROL!$C$9, $D$9, 100%, $F$9) + CHOOSE(CONTROL!$C$27, 0.0021, 0)</f>
        <v>58.4435</v>
      </c>
      <c r="C560" s="10">
        <f>58.0091 * CHOOSE(CONTROL!$C$9, $D$9, 100%, $F$9) + CHOOSE(CONTROL!$C$27, 0.0021, 0)</f>
        <v>58.011199999999995</v>
      </c>
      <c r="D560" s="10">
        <f>58.0091 * CHOOSE(CONTROL!$C$9, $D$9, 100%, $F$9) + CHOOSE(CONTROL!$C$27, 0.0021, 0)</f>
        <v>58.011199999999995</v>
      </c>
      <c r="E560" s="10">
        <f>57.8724 * CHOOSE(CONTROL!$C$9, $D$9, 100%, $F$9) + CHOOSE(CONTROL!$C$27, 0.0021, 0)</f>
        <v>57.874499999999998</v>
      </c>
      <c r="F560" s="10">
        <f>57.8724 * CHOOSE(CONTROL!$C$9, $D$9, 100%, $F$9) + CHOOSE(CONTROL!$C$27, 0.0021, 0)</f>
        <v>57.874499999999998</v>
      </c>
      <c r="G560" s="10">
        <f>58.1438 * CHOOSE(CONTROL!$C$9, $D$9, 100%, $F$9) + CHOOSE(CONTROL!$C$27, 0.0021, 0)</f>
        <v>58.145899999999997</v>
      </c>
      <c r="H560" s="10">
        <f>58.0091 * CHOOSE(CONTROL!$C$9, $D$9, 100%, $F$9) + CHOOSE(CONTROL!$C$27, 0.0021, 0)</f>
        <v>58.011199999999995</v>
      </c>
      <c r="I560" s="10">
        <f>58.0091 * CHOOSE(CONTROL!$C$9, $D$9, 100%, $F$9) + CHOOSE(CONTROL!$C$27, 0.0021, 0)</f>
        <v>58.011199999999995</v>
      </c>
      <c r="J560" s="10">
        <f>58.0091 * CHOOSE(CONTROL!$C$9, $D$9, 100%, $F$9) + CHOOSE(CONTROL!$C$27, 0.0021, 0)</f>
        <v>58.011199999999995</v>
      </c>
      <c r="K560" s="10">
        <f>58.0091 * CHOOSE(CONTROL!$C$9, $D$9, 100%, $F$9) + CHOOSE(CONTROL!$C$27, 0.0021, 0)</f>
        <v>58.011199999999995</v>
      </c>
      <c r="L560" s="10"/>
    </row>
    <row r="561" spans="1:12" ht="15.75" x14ac:dyDescent="0.25">
      <c r="A561" s="13">
        <v>58014</v>
      </c>
      <c r="B561" s="10">
        <f>59.8579 * CHOOSE(CONTROL!$C$9, $D$9, 100%, $F$9) + CHOOSE(CONTROL!$C$27, 0.0021, 0)</f>
        <v>59.86</v>
      </c>
      <c r="C561" s="10">
        <f>59.4256 * CHOOSE(CONTROL!$C$9, $D$9, 100%, $F$9) + CHOOSE(CONTROL!$C$27, 0.0021, 0)</f>
        <v>59.427700000000002</v>
      </c>
      <c r="D561" s="10">
        <f>59.4256 * CHOOSE(CONTROL!$C$9, $D$9, 100%, $F$9) + CHOOSE(CONTROL!$C$27, 0.0021, 0)</f>
        <v>59.427700000000002</v>
      </c>
      <c r="E561" s="10">
        <f>59.289 * CHOOSE(CONTROL!$C$9, $D$9, 100%, $F$9) + CHOOSE(CONTROL!$C$27, 0.0021, 0)</f>
        <v>59.2911</v>
      </c>
      <c r="F561" s="10">
        <f>59.289 * CHOOSE(CONTROL!$C$9, $D$9, 100%, $F$9) + CHOOSE(CONTROL!$C$27, 0.0021, 0)</f>
        <v>59.2911</v>
      </c>
      <c r="G561" s="10">
        <f>59.5603 * CHOOSE(CONTROL!$C$9, $D$9, 100%, $F$9) + CHOOSE(CONTROL!$C$27, 0.0021, 0)</f>
        <v>59.562399999999997</v>
      </c>
      <c r="H561" s="10">
        <f>59.4256 * CHOOSE(CONTROL!$C$9, $D$9, 100%, $F$9) + CHOOSE(CONTROL!$C$27, 0.0021, 0)</f>
        <v>59.427700000000002</v>
      </c>
      <c r="I561" s="10">
        <f>59.4256 * CHOOSE(CONTROL!$C$9, $D$9, 100%, $F$9) + CHOOSE(CONTROL!$C$27, 0.0021, 0)</f>
        <v>59.427700000000002</v>
      </c>
      <c r="J561" s="10">
        <f>59.4256 * CHOOSE(CONTROL!$C$9, $D$9, 100%, $F$9) + CHOOSE(CONTROL!$C$27, 0.0021, 0)</f>
        <v>59.427700000000002</v>
      </c>
      <c r="K561" s="10">
        <f>59.4256 * CHOOSE(CONTROL!$C$9, $D$9, 100%, $F$9) + CHOOSE(CONTROL!$C$27, 0.0021, 0)</f>
        <v>59.427700000000002</v>
      </c>
      <c r="L561" s="10"/>
    </row>
    <row r="562" spans="1:12" ht="15.75" x14ac:dyDescent="0.25">
      <c r="A562" s="13">
        <v>58044</v>
      </c>
      <c r="B562" s="10">
        <f>59.9908 * CHOOSE(CONTROL!$C$9, $D$9, 100%, $F$9) + CHOOSE(CONTROL!$C$27, 0.0021, 0)</f>
        <v>59.992899999999999</v>
      </c>
      <c r="C562" s="10">
        <f>59.5586 * CHOOSE(CONTROL!$C$9, $D$9, 100%, $F$9) + CHOOSE(CONTROL!$C$27, 0.0021, 0)</f>
        <v>59.560699999999997</v>
      </c>
      <c r="D562" s="10">
        <f>59.5586 * CHOOSE(CONTROL!$C$9, $D$9, 100%, $F$9) + CHOOSE(CONTROL!$C$27, 0.0021, 0)</f>
        <v>59.560699999999997</v>
      </c>
      <c r="E562" s="10">
        <f>59.4219 * CHOOSE(CONTROL!$C$9, $D$9, 100%, $F$9) + CHOOSE(CONTROL!$C$27, 0.0021, 0)</f>
        <v>59.423999999999999</v>
      </c>
      <c r="F562" s="10">
        <f>59.4219 * CHOOSE(CONTROL!$C$9, $D$9, 100%, $F$9) + CHOOSE(CONTROL!$C$27, 0.0021, 0)</f>
        <v>59.423999999999999</v>
      </c>
      <c r="G562" s="10">
        <f>59.6933 * CHOOSE(CONTROL!$C$9, $D$9, 100%, $F$9) + CHOOSE(CONTROL!$C$27, 0.0021, 0)</f>
        <v>59.695399999999999</v>
      </c>
      <c r="H562" s="10">
        <f>59.5586 * CHOOSE(CONTROL!$C$9, $D$9, 100%, $F$9) + CHOOSE(CONTROL!$C$27, 0.0021, 0)</f>
        <v>59.560699999999997</v>
      </c>
      <c r="I562" s="10">
        <f>59.5586 * CHOOSE(CONTROL!$C$9, $D$9, 100%, $F$9) + CHOOSE(CONTROL!$C$27, 0.0021, 0)</f>
        <v>59.560699999999997</v>
      </c>
      <c r="J562" s="10">
        <f>59.5586 * CHOOSE(CONTROL!$C$9, $D$9, 100%, $F$9) + CHOOSE(CONTROL!$C$27, 0.0021, 0)</f>
        <v>59.560699999999997</v>
      </c>
      <c r="K562" s="10">
        <f>59.5586 * CHOOSE(CONTROL!$C$9, $D$9, 100%, $F$9) + CHOOSE(CONTROL!$C$27, 0.0021, 0)</f>
        <v>59.560699999999997</v>
      </c>
      <c r="L562" s="10"/>
    </row>
    <row r="563" spans="1:12" ht="15.75" x14ac:dyDescent="0.25">
      <c r="A563" s="13">
        <v>58075</v>
      </c>
      <c r="B563" s="10">
        <f>58.8595 * CHOOSE(CONTROL!$C$9, $D$9, 100%, $F$9) + CHOOSE(CONTROL!$C$27, 0.0021, 0)</f>
        <v>58.861599999999996</v>
      </c>
      <c r="C563" s="10">
        <f>58.4273 * CHOOSE(CONTROL!$C$9, $D$9, 100%, $F$9) + CHOOSE(CONTROL!$C$27, 0.0021, 0)</f>
        <v>58.429400000000001</v>
      </c>
      <c r="D563" s="10">
        <f>58.4273 * CHOOSE(CONTROL!$C$9, $D$9, 100%, $F$9) + CHOOSE(CONTROL!$C$27, 0.0021, 0)</f>
        <v>58.429400000000001</v>
      </c>
      <c r="E563" s="10">
        <f>58.2906 * CHOOSE(CONTROL!$C$9, $D$9, 100%, $F$9) + CHOOSE(CONTROL!$C$27, 0.0021, 0)</f>
        <v>58.292699999999996</v>
      </c>
      <c r="F563" s="10">
        <f>58.2906 * CHOOSE(CONTROL!$C$9, $D$9, 100%, $F$9) + CHOOSE(CONTROL!$C$27, 0.0021, 0)</f>
        <v>58.292699999999996</v>
      </c>
      <c r="G563" s="10">
        <f>58.562 * CHOOSE(CONTROL!$C$9, $D$9, 100%, $F$9) + CHOOSE(CONTROL!$C$27, 0.0021, 0)</f>
        <v>58.564099999999996</v>
      </c>
      <c r="H563" s="10">
        <f>58.4273 * CHOOSE(CONTROL!$C$9, $D$9, 100%, $F$9) + CHOOSE(CONTROL!$C$27, 0.0021, 0)</f>
        <v>58.429400000000001</v>
      </c>
      <c r="I563" s="10">
        <f>58.4273 * CHOOSE(CONTROL!$C$9, $D$9, 100%, $F$9) + CHOOSE(CONTROL!$C$27, 0.0021, 0)</f>
        <v>58.429400000000001</v>
      </c>
      <c r="J563" s="10">
        <f>58.4273 * CHOOSE(CONTROL!$C$9, $D$9, 100%, $F$9) + CHOOSE(CONTROL!$C$27, 0.0021, 0)</f>
        <v>58.429400000000001</v>
      </c>
      <c r="K563" s="10">
        <f>58.4273 * CHOOSE(CONTROL!$C$9, $D$9, 100%, $F$9) + CHOOSE(CONTROL!$C$27, 0.0021, 0)</f>
        <v>58.429400000000001</v>
      </c>
      <c r="L563" s="10"/>
    </row>
    <row r="564" spans="1:12" ht="15.75" x14ac:dyDescent="0.25">
      <c r="A564" s="13">
        <v>58106</v>
      </c>
      <c r="B564" s="10">
        <f>58.1183 * CHOOSE(CONTROL!$C$9, $D$9, 100%, $F$9) + CHOOSE(CONTROL!$C$27, 0.0021, 0)</f>
        <v>58.120399999999997</v>
      </c>
      <c r="C564" s="10">
        <f>57.6861 * CHOOSE(CONTROL!$C$9, $D$9, 100%, $F$9) + CHOOSE(CONTROL!$C$27, 0.0021, 0)</f>
        <v>57.688200000000002</v>
      </c>
      <c r="D564" s="10">
        <f>57.6861 * CHOOSE(CONTROL!$C$9, $D$9, 100%, $F$9) + CHOOSE(CONTROL!$C$27, 0.0021, 0)</f>
        <v>57.688200000000002</v>
      </c>
      <c r="E564" s="10">
        <f>57.5494 * CHOOSE(CONTROL!$C$9, $D$9, 100%, $F$9) + CHOOSE(CONTROL!$C$27, 0.0021, 0)</f>
        <v>57.551499999999997</v>
      </c>
      <c r="F564" s="10">
        <f>57.5494 * CHOOSE(CONTROL!$C$9, $D$9, 100%, $F$9) + CHOOSE(CONTROL!$C$27, 0.0021, 0)</f>
        <v>57.551499999999997</v>
      </c>
      <c r="G564" s="10">
        <f>57.8208 * CHOOSE(CONTROL!$C$9, $D$9, 100%, $F$9) + CHOOSE(CONTROL!$C$27, 0.0021, 0)</f>
        <v>57.822899999999997</v>
      </c>
      <c r="H564" s="10">
        <f>57.6861 * CHOOSE(CONTROL!$C$9, $D$9, 100%, $F$9) + CHOOSE(CONTROL!$C$27, 0.0021, 0)</f>
        <v>57.688200000000002</v>
      </c>
      <c r="I564" s="10">
        <f>57.6861 * CHOOSE(CONTROL!$C$9, $D$9, 100%, $F$9) + CHOOSE(CONTROL!$C$27, 0.0021, 0)</f>
        <v>57.688200000000002</v>
      </c>
      <c r="J564" s="10">
        <f>57.6861 * CHOOSE(CONTROL!$C$9, $D$9, 100%, $F$9) + CHOOSE(CONTROL!$C$27, 0.0021, 0)</f>
        <v>57.688200000000002</v>
      </c>
      <c r="K564" s="10">
        <f>57.6861 * CHOOSE(CONTROL!$C$9, $D$9, 100%, $F$9) + CHOOSE(CONTROL!$C$27, 0.0021, 0)</f>
        <v>57.688200000000002</v>
      </c>
      <c r="L564" s="10"/>
    </row>
    <row r="565" spans="1:12" ht="15.75" x14ac:dyDescent="0.25">
      <c r="A565" s="13">
        <v>58134</v>
      </c>
      <c r="B565" s="10">
        <f>56.5393 * CHOOSE(CONTROL!$C$9, $D$9, 100%, $F$9) + CHOOSE(CONTROL!$C$27, 0.0021, 0)</f>
        <v>56.541399999999996</v>
      </c>
      <c r="C565" s="10">
        <f>56.107 * CHOOSE(CONTROL!$C$9, $D$9, 100%, $F$9) + CHOOSE(CONTROL!$C$27, 0.0021, 0)</f>
        <v>56.109099999999998</v>
      </c>
      <c r="D565" s="10">
        <f>56.107 * CHOOSE(CONTROL!$C$9, $D$9, 100%, $F$9) + CHOOSE(CONTROL!$C$27, 0.0021, 0)</f>
        <v>56.109099999999998</v>
      </c>
      <c r="E565" s="10">
        <f>55.9704 * CHOOSE(CONTROL!$C$9, $D$9, 100%, $F$9) + CHOOSE(CONTROL!$C$27, 0.0021, 0)</f>
        <v>55.972499999999997</v>
      </c>
      <c r="F565" s="10">
        <f>55.9704 * CHOOSE(CONTROL!$C$9, $D$9, 100%, $F$9) + CHOOSE(CONTROL!$C$27, 0.0021, 0)</f>
        <v>55.972499999999997</v>
      </c>
      <c r="G565" s="10">
        <f>56.2418 * CHOOSE(CONTROL!$C$9, $D$9, 100%, $F$9) + CHOOSE(CONTROL!$C$27, 0.0021, 0)</f>
        <v>56.243899999999996</v>
      </c>
      <c r="H565" s="10">
        <f>56.107 * CHOOSE(CONTROL!$C$9, $D$9, 100%, $F$9) + CHOOSE(CONTROL!$C$27, 0.0021, 0)</f>
        <v>56.109099999999998</v>
      </c>
      <c r="I565" s="10">
        <f>56.107 * CHOOSE(CONTROL!$C$9, $D$9, 100%, $F$9) + CHOOSE(CONTROL!$C$27, 0.0021, 0)</f>
        <v>56.109099999999998</v>
      </c>
      <c r="J565" s="10">
        <f>56.107 * CHOOSE(CONTROL!$C$9, $D$9, 100%, $F$9) + CHOOSE(CONTROL!$C$27, 0.0021, 0)</f>
        <v>56.109099999999998</v>
      </c>
      <c r="K565" s="10">
        <f>56.107 * CHOOSE(CONTROL!$C$9, $D$9, 100%, $F$9) + CHOOSE(CONTROL!$C$27, 0.0021, 0)</f>
        <v>56.109099999999998</v>
      </c>
      <c r="L565" s="10"/>
    </row>
    <row r="566" spans="1:12" ht="15.75" x14ac:dyDescent="0.25">
      <c r="A566" s="13">
        <v>58165</v>
      </c>
      <c r="B566" s="10">
        <f>55.8875 * CHOOSE(CONTROL!$C$9, $D$9, 100%, $F$9) + CHOOSE(CONTROL!$C$27, 0.0021, 0)</f>
        <v>55.889600000000002</v>
      </c>
      <c r="C566" s="10">
        <f>55.4552 * CHOOSE(CONTROL!$C$9, $D$9, 100%, $F$9) + CHOOSE(CONTROL!$C$27, 0.0021, 0)</f>
        <v>55.457299999999996</v>
      </c>
      <c r="D566" s="10">
        <f>55.4552 * CHOOSE(CONTROL!$C$9, $D$9, 100%, $F$9) + CHOOSE(CONTROL!$C$27, 0.0021, 0)</f>
        <v>55.457299999999996</v>
      </c>
      <c r="E566" s="10">
        <f>55.3185 * CHOOSE(CONTROL!$C$9, $D$9, 100%, $F$9) + CHOOSE(CONTROL!$C$27, 0.0021, 0)</f>
        <v>55.320599999999999</v>
      </c>
      <c r="F566" s="10">
        <f>55.3185 * CHOOSE(CONTROL!$C$9, $D$9, 100%, $F$9) + CHOOSE(CONTROL!$C$27, 0.0021, 0)</f>
        <v>55.320599999999999</v>
      </c>
      <c r="G566" s="10">
        <f>55.5899 * CHOOSE(CONTROL!$C$9, $D$9, 100%, $F$9) + CHOOSE(CONTROL!$C$27, 0.0021, 0)</f>
        <v>55.591999999999999</v>
      </c>
      <c r="H566" s="10">
        <f>55.4552 * CHOOSE(CONTROL!$C$9, $D$9, 100%, $F$9) + CHOOSE(CONTROL!$C$27, 0.0021, 0)</f>
        <v>55.457299999999996</v>
      </c>
      <c r="I566" s="10">
        <f>55.4552 * CHOOSE(CONTROL!$C$9, $D$9, 100%, $F$9) + CHOOSE(CONTROL!$C$27, 0.0021, 0)</f>
        <v>55.457299999999996</v>
      </c>
      <c r="J566" s="10">
        <f>55.4552 * CHOOSE(CONTROL!$C$9, $D$9, 100%, $F$9) + CHOOSE(CONTROL!$C$27, 0.0021, 0)</f>
        <v>55.457299999999996</v>
      </c>
      <c r="K566" s="10">
        <f>55.4552 * CHOOSE(CONTROL!$C$9, $D$9, 100%, $F$9) + CHOOSE(CONTROL!$C$27, 0.0021, 0)</f>
        <v>55.457299999999996</v>
      </c>
      <c r="L566" s="10"/>
    </row>
    <row r="567" spans="1:12" ht="15.75" x14ac:dyDescent="0.25">
      <c r="A567" s="13">
        <v>58195</v>
      </c>
      <c r="B567" s="10">
        <f>55.1091 * CHOOSE(CONTROL!$C$9, $D$9, 100%, $F$9) + CHOOSE(CONTROL!$C$27, 0.0021, 0)</f>
        <v>55.111199999999997</v>
      </c>
      <c r="C567" s="10">
        <f>54.6769 * CHOOSE(CONTROL!$C$9, $D$9, 100%, $F$9) + CHOOSE(CONTROL!$C$27, 0.0021, 0)</f>
        <v>54.679000000000002</v>
      </c>
      <c r="D567" s="10">
        <f>54.6769 * CHOOSE(CONTROL!$C$9, $D$9, 100%, $F$9) + CHOOSE(CONTROL!$C$27, 0.0021, 0)</f>
        <v>54.679000000000002</v>
      </c>
      <c r="E567" s="10">
        <f>54.5402 * CHOOSE(CONTROL!$C$9, $D$9, 100%, $F$9) + CHOOSE(CONTROL!$C$27, 0.0021, 0)</f>
        <v>54.542299999999997</v>
      </c>
      <c r="F567" s="10">
        <f>54.5402 * CHOOSE(CONTROL!$C$9, $D$9, 100%, $F$9) + CHOOSE(CONTROL!$C$27, 0.0021, 0)</f>
        <v>54.542299999999997</v>
      </c>
      <c r="G567" s="10">
        <f>54.8116 * CHOOSE(CONTROL!$C$9, $D$9, 100%, $F$9) + CHOOSE(CONTROL!$C$27, 0.0021, 0)</f>
        <v>54.813699999999997</v>
      </c>
      <c r="H567" s="10">
        <f>54.6769 * CHOOSE(CONTROL!$C$9, $D$9, 100%, $F$9) + CHOOSE(CONTROL!$C$27, 0.0021, 0)</f>
        <v>54.679000000000002</v>
      </c>
      <c r="I567" s="10">
        <f>54.6769 * CHOOSE(CONTROL!$C$9, $D$9, 100%, $F$9) + CHOOSE(CONTROL!$C$27, 0.0021, 0)</f>
        <v>54.679000000000002</v>
      </c>
      <c r="J567" s="10">
        <f>54.6769 * CHOOSE(CONTROL!$C$9, $D$9, 100%, $F$9) + CHOOSE(CONTROL!$C$27, 0.0021, 0)</f>
        <v>54.679000000000002</v>
      </c>
      <c r="K567" s="10">
        <f>54.6769 * CHOOSE(CONTROL!$C$9, $D$9, 100%, $F$9) + CHOOSE(CONTROL!$C$27, 0.0021, 0)</f>
        <v>54.679000000000002</v>
      </c>
      <c r="L567" s="10"/>
    </row>
    <row r="568" spans="1:12" ht="15.75" x14ac:dyDescent="0.25">
      <c r="A568" s="13">
        <v>58226</v>
      </c>
      <c r="B568" s="10">
        <f>56.2183 * CHOOSE(CONTROL!$C$9, $D$9, 100%, $F$9) + CHOOSE(CONTROL!$C$27, 0.0021, 0)</f>
        <v>56.220399999999998</v>
      </c>
      <c r="C568" s="10">
        <f>55.7861 * CHOOSE(CONTROL!$C$9, $D$9, 100%, $F$9) + CHOOSE(CONTROL!$C$27, 0.0021, 0)</f>
        <v>55.788199999999996</v>
      </c>
      <c r="D568" s="10">
        <f>55.7861 * CHOOSE(CONTROL!$C$9, $D$9, 100%, $F$9) + CHOOSE(CONTROL!$C$27, 0.0021, 0)</f>
        <v>55.788199999999996</v>
      </c>
      <c r="E568" s="10">
        <f>55.6494 * CHOOSE(CONTROL!$C$9, $D$9, 100%, $F$9) + CHOOSE(CONTROL!$C$27, 0.0021, 0)</f>
        <v>55.651499999999999</v>
      </c>
      <c r="F568" s="10">
        <f>55.6494 * CHOOSE(CONTROL!$C$9, $D$9, 100%, $F$9) + CHOOSE(CONTROL!$C$27, 0.0021, 0)</f>
        <v>55.651499999999999</v>
      </c>
      <c r="G568" s="10">
        <f>55.9208 * CHOOSE(CONTROL!$C$9, $D$9, 100%, $F$9) + CHOOSE(CONTROL!$C$27, 0.0021, 0)</f>
        <v>55.922899999999998</v>
      </c>
      <c r="H568" s="10">
        <f>55.7861 * CHOOSE(CONTROL!$C$9, $D$9, 100%, $F$9) + CHOOSE(CONTROL!$C$27, 0.0021, 0)</f>
        <v>55.788199999999996</v>
      </c>
      <c r="I568" s="10">
        <f>55.7861 * CHOOSE(CONTROL!$C$9, $D$9, 100%, $F$9) + CHOOSE(CONTROL!$C$27, 0.0021, 0)</f>
        <v>55.788199999999996</v>
      </c>
      <c r="J568" s="10">
        <f>55.7861 * CHOOSE(CONTROL!$C$9, $D$9, 100%, $F$9) + CHOOSE(CONTROL!$C$27, 0.0021, 0)</f>
        <v>55.788199999999996</v>
      </c>
      <c r="K568" s="10">
        <f>55.7861 * CHOOSE(CONTROL!$C$9, $D$9, 100%, $F$9) + CHOOSE(CONTROL!$C$27, 0.0021, 0)</f>
        <v>55.788199999999996</v>
      </c>
      <c r="L568" s="10"/>
    </row>
    <row r="569" spans="1:12" ht="15.75" x14ac:dyDescent="0.25">
      <c r="A569" s="13">
        <v>58256</v>
      </c>
      <c r="B569" s="10">
        <f>56.8827 * CHOOSE(CONTROL!$C$9, $D$9, 100%, $F$9) + CHOOSE(CONTROL!$C$27, 0.0021, 0)</f>
        <v>56.884799999999998</v>
      </c>
      <c r="C569" s="10">
        <f>56.4504 * CHOOSE(CONTROL!$C$9, $D$9, 100%, $F$9) + CHOOSE(CONTROL!$C$27, 0.0021, 0)</f>
        <v>56.452500000000001</v>
      </c>
      <c r="D569" s="10">
        <f>56.4504 * CHOOSE(CONTROL!$C$9, $D$9, 100%, $F$9) + CHOOSE(CONTROL!$C$27, 0.0021, 0)</f>
        <v>56.452500000000001</v>
      </c>
      <c r="E569" s="10">
        <f>56.3138 * CHOOSE(CONTROL!$C$9, $D$9, 100%, $F$9) + CHOOSE(CONTROL!$C$27, 0.0021, 0)</f>
        <v>56.315899999999999</v>
      </c>
      <c r="F569" s="10">
        <f>56.3138 * CHOOSE(CONTROL!$C$9, $D$9, 100%, $F$9) + CHOOSE(CONTROL!$C$27, 0.0021, 0)</f>
        <v>56.315899999999999</v>
      </c>
      <c r="G569" s="10">
        <f>56.5851 * CHOOSE(CONTROL!$C$9, $D$9, 100%, $F$9) + CHOOSE(CONTROL!$C$27, 0.0021, 0)</f>
        <v>56.587199999999996</v>
      </c>
      <c r="H569" s="10">
        <f>56.4504 * CHOOSE(CONTROL!$C$9, $D$9, 100%, $F$9) + CHOOSE(CONTROL!$C$27, 0.0021, 0)</f>
        <v>56.452500000000001</v>
      </c>
      <c r="I569" s="10">
        <f>56.4504 * CHOOSE(CONTROL!$C$9, $D$9, 100%, $F$9) + CHOOSE(CONTROL!$C$27, 0.0021, 0)</f>
        <v>56.452500000000001</v>
      </c>
      <c r="J569" s="10">
        <f>56.4504 * CHOOSE(CONTROL!$C$9, $D$9, 100%, $F$9) + CHOOSE(CONTROL!$C$27, 0.0021, 0)</f>
        <v>56.452500000000001</v>
      </c>
      <c r="K569" s="10">
        <f>56.4504 * CHOOSE(CONTROL!$C$9, $D$9, 100%, $F$9) + CHOOSE(CONTROL!$C$27, 0.0021, 0)</f>
        <v>56.452500000000001</v>
      </c>
      <c r="L569" s="10"/>
    </row>
    <row r="570" spans="1:12" ht="15.75" x14ac:dyDescent="0.25">
      <c r="A570" s="13">
        <v>58287</v>
      </c>
      <c r="B570" s="10">
        <f>57.9786 * CHOOSE(CONTROL!$C$9, $D$9, 100%, $F$9) + CHOOSE(CONTROL!$C$27, 0.0021, 0)</f>
        <v>57.980699999999999</v>
      </c>
      <c r="C570" s="10">
        <f>57.5464 * CHOOSE(CONTROL!$C$9, $D$9, 100%, $F$9) + CHOOSE(CONTROL!$C$27, 0.0021, 0)</f>
        <v>57.548499999999997</v>
      </c>
      <c r="D570" s="10">
        <f>57.5464 * CHOOSE(CONTROL!$C$9, $D$9, 100%, $F$9) + CHOOSE(CONTROL!$C$27, 0.0021, 0)</f>
        <v>57.548499999999997</v>
      </c>
      <c r="E570" s="10">
        <f>57.4097 * CHOOSE(CONTROL!$C$9, $D$9, 100%, $F$9) + CHOOSE(CONTROL!$C$27, 0.0021, 0)</f>
        <v>57.411799999999999</v>
      </c>
      <c r="F570" s="10">
        <f>57.4097 * CHOOSE(CONTROL!$C$9, $D$9, 100%, $F$9) + CHOOSE(CONTROL!$C$27, 0.0021, 0)</f>
        <v>57.411799999999999</v>
      </c>
      <c r="G570" s="10">
        <f>57.6811 * CHOOSE(CONTROL!$C$9, $D$9, 100%, $F$9) + CHOOSE(CONTROL!$C$27, 0.0021, 0)</f>
        <v>57.683199999999999</v>
      </c>
      <c r="H570" s="10">
        <f>57.5464 * CHOOSE(CONTROL!$C$9, $D$9, 100%, $F$9) + CHOOSE(CONTROL!$C$27, 0.0021, 0)</f>
        <v>57.548499999999997</v>
      </c>
      <c r="I570" s="10">
        <f>57.5464 * CHOOSE(CONTROL!$C$9, $D$9, 100%, $F$9) + CHOOSE(CONTROL!$C$27, 0.0021, 0)</f>
        <v>57.548499999999997</v>
      </c>
      <c r="J570" s="10">
        <f>57.5464 * CHOOSE(CONTROL!$C$9, $D$9, 100%, $F$9) + CHOOSE(CONTROL!$C$27, 0.0021, 0)</f>
        <v>57.548499999999997</v>
      </c>
      <c r="K570" s="10">
        <f>57.5464 * CHOOSE(CONTROL!$C$9, $D$9, 100%, $F$9) + CHOOSE(CONTROL!$C$27, 0.0021, 0)</f>
        <v>57.548499999999997</v>
      </c>
      <c r="L570" s="10"/>
    </row>
    <row r="571" spans="1:12" ht="15.75" x14ac:dyDescent="0.25">
      <c r="A571" s="13">
        <v>58318</v>
      </c>
      <c r="B571" s="10">
        <f>58.3131 * CHOOSE(CONTROL!$C$9, $D$9, 100%, $F$9) + CHOOSE(CONTROL!$C$27, 0.0021, 0)</f>
        <v>58.315199999999997</v>
      </c>
      <c r="C571" s="10">
        <f>57.8809 * CHOOSE(CONTROL!$C$9, $D$9, 100%, $F$9) + CHOOSE(CONTROL!$C$27, 0.0021, 0)</f>
        <v>57.882999999999996</v>
      </c>
      <c r="D571" s="10">
        <f>57.8809 * CHOOSE(CONTROL!$C$9, $D$9, 100%, $F$9) + CHOOSE(CONTROL!$C$27, 0.0021, 0)</f>
        <v>57.882999999999996</v>
      </c>
      <c r="E571" s="10">
        <f>57.7442 * CHOOSE(CONTROL!$C$9, $D$9, 100%, $F$9) + CHOOSE(CONTROL!$C$27, 0.0021, 0)</f>
        <v>57.746299999999998</v>
      </c>
      <c r="F571" s="10">
        <f>57.7442 * CHOOSE(CONTROL!$C$9, $D$9, 100%, $F$9) + CHOOSE(CONTROL!$C$27, 0.0021, 0)</f>
        <v>57.746299999999998</v>
      </c>
      <c r="G571" s="10">
        <f>58.0156 * CHOOSE(CONTROL!$C$9, $D$9, 100%, $F$9) + CHOOSE(CONTROL!$C$27, 0.0021, 0)</f>
        <v>58.017699999999998</v>
      </c>
      <c r="H571" s="10">
        <f>57.8809 * CHOOSE(CONTROL!$C$9, $D$9, 100%, $F$9) + CHOOSE(CONTROL!$C$27, 0.0021, 0)</f>
        <v>57.882999999999996</v>
      </c>
      <c r="I571" s="10">
        <f>57.8809 * CHOOSE(CONTROL!$C$9, $D$9, 100%, $F$9) + CHOOSE(CONTROL!$C$27, 0.0021, 0)</f>
        <v>57.882999999999996</v>
      </c>
      <c r="J571" s="10">
        <f>57.8809 * CHOOSE(CONTROL!$C$9, $D$9, 100%, $F$9) + CHOOSE(CONTROL!$C$27, 0.0021, 0)</f>
        <v>57.882999999999996</v>
      </c>
      <c r="K571" s="10">
        <f>57.8809 * CHOOSE(CONTROL!$C$9, $D$9, 100%, $F$9) + CHOOSE(CONTROL!$C$27, 0.0021, 0)</f>
        <v>57.882999999999996</v>
      </c>
      <c r="L571" s="10"/>
    </row>
    <row r="572" spans="1:12" ht="15.75" x14ac:dyDescent="0.25">
      <c r="A572" s="13">
        <v>58348</v>
      </c>
      <c r="B572" s="10">
        <f>59.4523 * CHOOSE(CONTROL!$C$9, $D$9, 100%, $F$9) + CHOOSE(CONTROL!$C$27, 0.0021, 0)</f>
        <v>59.4544</v>
      </c>
      <c r="C572" s="10">
        <f>59.0201 * CHOOSE(CONTROL!$C$9, $D$9, 100%, $F$9) + CHOOSE(CONTROL!$C$27, 0.0021, 0)</f>
        <v>59.022199999999998</v>
      </c>
      <c r="D572" s="10">
        <f>59.0201 * CHOOSE(CONTROL!$C$9, $D$9, 100%, $F$9) + CHOOSE(CONTROL!$C$27, 0.0021, 0)</f>
        <v>59.022199999999998</v>
      </c>
      <c r="E572" s="10">
        <f>58.8834 * CHOOSE(CONTROL!$C$9, $D$9, 100%, $F$9) + CHOOSE(CONTROL!$C$27, 0.0021, 0)</f>
        <v>58.8855</v>
      </c>
      <c r="F572" s="10">
        <f>58.8834 * CHOOSE(CONTROL!$C$9, $D$9, 100%, $F$9) + CHOOSE(CONTROL!$C$27, 0.0021, 0)</f>
        <v>58.8855</v>
      </c>
      <c r="G572" s="10">
        <f>59.1548 * CHOOSE(CONTROL!$C$9, $D$9, 100%, $F$9) + CHOOSE(CONTROL!$C$27, 0.0021, 0)</f>
        <v>59.1569</v>
      </c>
      <c r="H572" s="10">
        <f>59.0201 * CHOOSE(CONTROL!$C$9, $D$9, 100%, $F$9) + CHOOSE(CONTROL!$C$27, 0.0021, 0)</f>
        <v>59.022199999999998</v>
      </c>
      <c r="I572" s="10">
        <f>59.0201 * CHOOSE(CONTROL!$C$9, $D$9, 100%, $F$9) + CHOOSE(CONTROL!$C$27, 0.0021, 0)</f>
        <v>59.022199999999998</v>
      </c>
      <c r="J572" s="10">
        <f>59.0201 * CHOOSE(CONTROL!$C$9, $D$9, 100%, $F$9) + CHOOSE(CONTROL!$C$27, 0.0021, 0)</f>
        <v>59.022199999999998</v>
      </c>
      <c r="K572" s="10">
        <f>59.0201 * CHOOSE(CONTROL!$C$9, $D$9, 100%, $F$9) + CHOOSE(CONTROL!$C$27, 0.0021, 0)</f>
        <v>59.022199999999998</v>
      </c>
      <c r="L572" s="10"/>
    </row>
    <row r="573" spans="1:12" ht="15.75" x14ac:dyDescent="0.25">
      <c r="A573" s="13">
        <v>58379</v>
      </c>
      <c r="B573" s="10">
        <f>60.8943 * CHOOSE(CONTROL!$C$9, $D$9, 100%, $F$9) + CHOOSE(CONTROL!$C$27, 0.0021, 0)</f>
        <v>60.8964</v>
      </c>
      <c r="C573" s="10">
        <f>60.4621 * CHOOSE(CONTROL!$C$9, $D$9, 100%, $F$9) + CHOOSE(CONTROL!$C$27, 0.0021, 0)</f>
        <v>60.464199999999998</v>
      </c>
      <c r="D573" s="10">
        <f>60.4621 * CHOOSE(CONTROL!$C$9, $D$9, 100%, $F$9) + CHOOSE(CONTROL!$C$27, 0.0021, 0)</f>
        <v>60.464199999999998</v>
      </c>
      <c r="E573" s="10">
        <f>60.3254 * CHOOSE(CONTROL!$C$9, $D$9, 100%, $F$9) + CHOOSE(CONTROL!$C$27, 0.0021, 0)</f>
        <v>60.327500000000001</v>
      </c>
      <c r="F573" s="10">
        <f>60.3254 * CHOOSE(CONTROL!$C$9, $D$9, 100%, $F$9) + CHOOSE(CONTROL!$C$27, 0.0021, 0)</f>
        <v>60.327500000000001</v>
      </c>
      <c r="G573" s="10">
        <f>60.5968 * CHOOSE(CONTROL!$C$9, $D$9, 100%, $F$9) + CHOOSE(CONTROL!$C$27, 0.0021, 0)</f>
        <v>60.5989</v>
      </c>
      <c r="H573" s="10">
        <f>60.4621 * CHOOSE(CONTROL!$C$9, $D$9, 100%, $F$9) + CHOOSE(CONTROL!$C$27, 0.0021, 0)</f>
        <v>60.464199999999998</v>
      </c>
      <c r="I573" s="10">
        <f>60.4621 * CHOOSE(CONTROL!$C$9, $D$9, 100%, $F$9) + CHOOSE(CONTROL!$C$27, 0.0021, 0)</f>
        <v>60.464199999999998</v>
      </c>
      <c r="J573" s="10">
        <f>60.4621 * CHOOSE(CONTROL!$C$9, $D$9, 100%, $F$9) + CHOOSE(CONTROL!$C$27, 0.0021, 0)</f>
        <v>60.464199999999998</v>
      </c>
      <c r="K573" s="10">
        <f>60.4621 * CHOOSE(CONTROL!$C$9, $D$9, 100%, $F$9) + CHOOSE(CONTROL!$C$27, 0.0021, 0)</f>
        <v>60.464199999999998</v>
      </c>
      <c r="L573" s="10"/>
    </row>
    <row r="574" spans="1:12" ht="15.75" x14ac:dyDescent="0.25">
      <c r="A574" s="13">
        <v>58409</v>
      </c>
      <c r="B574" s="10">
        <f>61.0297 * CHOOSE(CONTROL!$C$9, $D$9, 100%, $F$9) + CHOOSE(CONTROL!$C$27, 0.0021, 0)</f>
        <v>61.031799999999997</v>
      </c>
      <c r="C574" s="10">
        <f>60.5974 * CHOOSE(CONTROL!$C$9, $D$9, 100%, $F$9) + CHOOSE(CONTROL!$C$27, 0.0021, 0)</f>
        <v>60.599499999999999</v>
      </c>
      <c r="D574" s="10">
        <f>60.5974 * CHOOSE(CONTROL!$C$9, $D$9, 100%, $F$9) + CHOOSE(CONTROL!$C$27, 0.0021, 0)</f>
        <v>60.599499999999999</v>
      </c>
      <c r="E574" s="10">
        <f>60.4608 * CHOOSE(CONTROL!$C$9, $D$9, 100%, $F$9) + CHOOSE(CONTROL!$C$27, 0.0021, 0)</f>
        <v>60.462899999999998</v>
      </c>
      <c r="F574" s="10">
        <f>60.4608 * CHOOSE(CONTROL!$C$9, $D$9, 100%, $F$9) + CHOOSE(CONTROL!$C$27, 0.0021, 0)</f>
        <v>60.462899999999998</v>
      </c>
      <c r="G574" s="10">
        <f>60.7322 * CHOOSE(CONTROL!$C$9, $D$9, 100%, $F$9) + CHOOSE(CONTROL!$C$27, 0.0021, 0)</f>
        <v>60.734299999999998</v>
      </c>
      <c r="H574" s="10">
        <f>60.5974 * CHOOSE(CONTROL!$C$9, $D$9, 100%, $F$9) + CHOOSE(CONTROL!$C$27, 0.0021, 0)</f>
        <v>60.599499999999999</v>
      </c>
      <c r="I574" s="10">
        <f>60.5974 * CHOOSE(CONTROL!$C$9, $D$9, 100%, $F$9) + CHOOSE(CONTROL!$C$27, 0.0021, 0)</f>
        <v>60.599499999999999</v>
      </c>
      <c r="J574" s="10">
        <f>60.5974 * CHOOSE(CONTROL!$C$9, $D$9, 100%, $F$9) + CHOOSE(CONTROL!$C$27, 0.0021, 0)</f>
        <v>60.599499999999999</v>
      </c>
      <c r="K574" s="10">
        <f>60.5974 * CHOOSE(CONTROL!$C$9, $D$9, 100%, $F$9) + CHOOSE(CONTROL!$C$27, 0.0021, 0)</f>
        <v>60.599499999999999</v>
      </c>
      <c r="L574" s="10"/>
    </row>
    <row r="575" spans="1:12" ht="15.75" x14ac:dyDescent="0.25">
      <c r="A575" s="13">
        <v>58440</v>
      </c>
      <c r="B575" s="10">
        <f>59.878 * CHOOSE(CONTROL!$C$9, $D$9, 100%, $F$9) + CHOOSE(CONTROL!$C$27, 0.0021, 0)</f>
        <v>59.880099999999999</v>
      </c>
      <c r="C575" s="10">
        <f>59.4457 * CHOOSE(CONTROL!$C$9, $D$9, 100%, $F$9) + CHOOSE(CONTROL!$C$27, 0.0021, 0)</f>
        <v>59.447800000000001</v>
      </c>
      <c r="D575" s="10">
        <f>59.4457 * CHOOSE(CONTROL!$C$9, $D$9, 100%, $F$9) + CHOOSE(CONTROL!$C$27, 0.0021, 0)</f>
        <v>59.447800000000001</v>
      </c>
      <c r="E575" s="10">
        <f>59.3091 * CHOOSE(CONTROL!$C$9, $D$9, 100%, $F$9) + CHOOSE(CONTROL!$C$27, 0.0021, 0)</f>
        <v>59.311199999999999</v>
      </c>
      <c r="F575" s="10">
        <f>59.3091 * CHOOSE(CONTROL!$C$9, $D$9, 100%, $F$9) + CHOOSE(CONTROL!$C$27, 0.0021, 0)</f>
        <v>59.311199999999999</v>
      </c>
      <c r="G575" s="10">
        <f>59.5805 * CHOOSE(CONTROL!$C$9, $D$9, 100%, $F$9) + CHOOSE(CONTROL!$C$27, 0.0021, 0)</f>
        <v>59.582599999999999</v>
      </c>
      <c r="H575" s="10">
        <f>59.4457 * CHOOSE(CONTROL!$C$9, $D$9, 100%, $F$9) + CHOOSE(CONTROL!$C$27, 0.0021, 0)</f>
        <v>59.447800000000001</v>
      </c>
      <c r="I575" s="10">
        <f>59.4457 * CHOOSE(CONTROL!$C$9, $D$9, 100%, $F$9) + CHOOSE(CONTROL!$C$27, 0.0021, 0)</f>
        <v>59.447800000000001</v>
      </c>
      <c r="J575" s="10">
        <f>59.4457 * CHOOSE(CONTROL!$C$9, $D$9, 100%, $F$9) + CHOOSE(CONTROL!$C$27, 0.0021, 0)</f>
        <v>59.447800000000001</v>
      </c>
      <c r="K575" s="10">
        <f>59.4457 * CHOOSE(CONTROL!$C$9, $D$9, 100%, $F$9) + CHOOSE(CONTROL!$C$27, 0.0021, 0)</f>
        <v>59.447800000000001</v>
      </c>
      <c r="L575" s="10"/>
    </row>
    <row r="576" spans="1:12" ht="15.75" x14ac:dyDescent="0.25">
      <c r="A576" s="13">
        <v>58471</v>
      </c>
      <c r="B576" s="10">
        <f>59.1235 * CHOOSE(CONTROL!$C$9, $D$9, 100%, $F$9) + CHOOSE(CONTROL!$C$27, 0.0021, 0)</f>
        <v>59.125599999999999</v>
      </c>
      <c r="C576" s="10">
        <f>58.6912 * CHOOSE(CONTROL!$C$9, $D$9, 100%, $F$9) + CHOOSE(CONTROL!$C$27, 0.0021, 0)</f>
        <v>58.693300000000001</v>
      </c>
      <c r="D576" s="10">
        <f>58.6912 * CHOOSE(CONTROL!$C$9, $D$9, 100%, $F$9) + CHOOSE(CONTROL!$C$27, 0.0021, 0)</f>
        <v>58.693300000000001</v>
      </c>
      <c r="E576" s="10">
        <f>58.5546 * CHOOSE(CONTROL!$C$9, $D$9, 100%, $F$9) + CHOOSE(CONTROL!$C$27, 0.0021, 0)</f>
        <v>58.556699999999999</v>
      </c>
      <c r="F576" s="10">
        <f>58.5546 * CHOOSE(CONTROL!$C$9, $D$9, 100%, $F$9) + CHOOSE(CONTROL!$C$27, 0.0021, 0)</f>
        <v>58.556699999999999</v>
      </c>
      <c r="G576" s="10">
        <f>58.826 * CHOOSE(CONTROL!$C$9, $D$9, 100%, $F$9) + CHOOSE(CONTROL!$C$27, 0.0021, 0)</f>
        <v>58.828099999999999</v>
      </c>
      <c r="H576" s="10">
        <f>58.6912 * CHOOSE(CONTROL!$C$9, $D$9, 100%, $F$9) + CHOOSE(CONTROL!$C$27, 0.0021, 0)</f>
        <v>58.693300000000001</v>
      </c>
      <c r="I576" s="10">
        <f>58.6912 * CHOOSE(CONTROL!$C$9, $D$9, 100%, $F$9) + CHOOSE(CONTROL!$C$27, 0.0021, 0)</f>
        <v>58.693300000000001</v>
      </c>
      <c r="J576" s="10">
        <f>58.6912 * CHOOSE(CONTROL!$C$9, $D$9, 100%, $F$9) + CHOOSE(CONTROL!$C$27, 0.0021, 0)</f>
        <v>58.693300000000001</v>
      </c>
      <c r="K576" s="10">
        <f>58.6912 * CHOOSE(CONTROL!$C$9, $D$9, 100%, $F$9) + CHOOSE(CONTROL!$C$27, 0.0021, 0)</f>
        <v>58.693300000000001</v>
      </c>
      <c r="L576" s="10"/>
    </row>
    <row r="577" spans="1:12" ht="15.75" x14ac:dyDescent="0.25">
      <c r="A577" s="13">
        <v>58499</v>
      </c>
      <c r="B577" s="10">
        <f>57.516 * CHOOSE(CONTROL!$C$9, $D$9, 100%, $F$9) + CHOOSE(CONTROL!$C$27, 0.0021, 0)</f>
        <v>57.518099999999997</v>
      </c>
      <c r="C577" s="10">
        <f>57.0837 * CHOOSE(CONTROL!$C$9, $D$9, 100%, $F$9) + CHOOSE(CONTROL!$C$27, 0.0021, 0)</f>
        <v>57.085799999999999</v>
      </c>
      <c r="D577" s="10">
        <f>57.0837 * CHOOSE(CONTROL!$C$9, $D$9, 100%, $F$9) + CHOOSE(CONTROL!$C$27, 0.0021, 0)</f>
        <v>57.085799999999999</v>
      </c>
      <c r="E577" s="10">
        <f>56.9471 * CHOOSE(CONTROL!$C$9, $D$9, 100%, $F$9) + CHOOSE(CONTROL!$C$27, 0.0021, 0)</f>
        <v>56.949199999999998</v>
      </c>
      <c r="F577" s="10">
        <f>56.9471 * CHOOSE(CONTROL!$C$9, $D$9, 100%, $F$9) + CHOOSE(CONTROL!$C$27, 0.0021, 0)</f>
        <v>56.949199999999998</v>
      </c>
      <c r="G577" s="10">
        <f>57.2185 * CHOOSE(CONTROL!$C$9, $D$9, 100%, $F$9) + CHOOSE(CONTROL!$C$27, 0.0021, 0)</f>
        <v>57.220599999999997</v>
      </c>
      <c r="H577" s="10">
        <f>57.0837 * CHOOSE(CONTROL!$C$9, $D$9, 100%, $F$9) + CHOOSE(CONTROL!$C$27, 0.0021, 0)</f>
        <v>57.085799999999999</v>
      </c>
      <c r="I577" s="10">
        <f>57.0837 * CHOOSE(CONTROL!$C$9, $D$9, 100%, $F$9) + CHOOSE(CONTROL!$C$27, 0.0021, 0)</f>
        <v>57.085799999999999</v>
      </c>
      <c r="J577" s="10">
        <f>57.0837 * CHOOSE(CONTROL!$C$9, $D$9, 100%, $F$9) + CHOOSE(CONTROL!$C$27, 0.0021, 0)</f>
        <v>57.085799999999999</v>
      </c>
      <c r="K577" s="10">
        <f>57.0837 * CHOOSE(CONTROL!$C$9, $D$9, 100%, $F$9) + CHOOSE(CONTROL!$C$27, 0.0021, 0)</f>
        <v>57.085799999999999</v>
      </c>
      <c r="L577" s="10"/>
    </row>
    <row r="578" spans="1:12" ht="15.75" x14ac:dyDescent="0.25">
      <c r="A578" s="13">
        <v>58531</v>
      </c>
      <c r="B578" s="10">
        <f>56.8524 * CHOOSE(CONTROL!$C$9, $D$9, 100%, $F$9) + CHOOSE(CONTROL!$C$27, 0.0021, 0)</f>
        <v>56.854500000000002</v>
      </c>
      <c r="C578" s="10">
        <f>56.4202 * CHOOSE(CONTROL!$C$9, $D$9, 100%, $F$9) + CHOOSE(CONTROL!$C$27, 0.0021, 0)</f>
        <v>56.4223</v>
      </c>
      <c r="D578" s="10">
        <f>56.4202 * CHOOSE(CONTROL!$C$9, $D$9, 100%, $F$9) + CHOOSE(CONTROL!$C$27, 0.0021, 0)</f>
        <v>56.4223</v>
      </c>
      <c r="E578" s="10">
        <f>56.2835 * CHOOSE(CONTROL!$C$9, $D$9, 100%, $F$9) + CHOOSE(CONTROL!$C$27, 0.0021, 0)</f>
        <v>56.285599999999995</v>
      </c>
      <c r="F578" s="10">
        <f>56.2835 * CHOOSE(CONTROL!$C$9, $D$9, 100%, $F$9) + CHOOSE(CONTROL!$C$27, 0.0021, 0)</f>
        <v>56.285599999999995</v>
      </c>
      <c r="G578" s="10">
        <f>56.5549 * CHOOSE(CONTROL!$C$9, $D$9, 100%, $F$9) + CHOOSE(CONTROL!$C$27, 0.0021, 0)</f>
        <v>56.557000000000002</v>
      </c>
      <c r="H578" s="10">
        <f>56.4202 * CHOOSE(CONTROL!$C$9, $D$9, 100%, $F$9) + CHOOSE(CONTROL!$C$27, 0.0021, 0)</f>
        <v>56.4223</v>
      </c>
      <c r="I578" s="10">
        <f>56.4202 * CHOOSE(CONTROL!$C$9, $D$9, 100%, $F$9) + CHOOSE(CONTROL!$C$27, 0.0021, 0)</f>
        <v>56.4223</v>
      </c>
      <c r="J578" s="10">
        <f>56.4202 * CHOOSE(CONTROL!$C$9, $D$9, 100%, $F$9) + CHOOSE(CONTROL!$C$27, 0.0021, 0)</f>
        <v>56.4223</v>
      </c>
      <c r="K578" s="10">
        <f>56.4202 * CHOOSE(CONTROL!$C$9, $D$9, 100%, $F$9) + CHOOSE(CONTROL!$C$27, 0.0021, 0)</f>
        <v>56.4223</v>
      </c>
      <c r="L578" s="10"/>
    </row>
    <row r="579" spans="1:12" ht="15.75" x14ac:dyDescent="0.25">
      <c r="A579" s="13">
        <v>58561</v>
      </c>
      <c r="B579" s="10">
        <f>56.0601 * CHOOSE(CONTROL!$C$9, $D$9, 100%, $F$9) + CHOOSE(CONTROL!$C$27, 0.0021, 0)</f>
        <v>56.062199999999997</v>
      </c>
      <c r="C579" s="10">
        <f>55.6279 * CHOOSE(CONTROL!$C$9, $D$9, 100%, $F$9) + CHOOSE(CONTROL!$C$27, 0.0021, 0)</f>
        <v>55.629999999999995</v>
      </c>
      <c r="D579" s="10">
        <f>55.6279 * CHOOSE(CONTROL!$C$9, $D$9, 100%, $F$9) + CHOOSE(CONTROL!$C$27, 0.0021, 0)</f>
        <v>55.629999999999995</v>
      </c>
      <c r="E579" s="10">
        <f>55.4912 * CHOOSE(CONTROL!$C$9, $D$9, 100%, $F$9) + CHOOSE(CONTROL!$C$27, 0.0021, 0)</f>
        <v>55.493299999999998</v>
      </c>
      <c r="F579" s="10">
        <f>55.4912 * CHOOSE(CONTROL!$C$9, $D$9, 100%, $F$9) + CHOOSE(CONTROL!$C$27, 0.0021, 0)</f>
        <v>55.493299999999998</v>
      </c>
      <c r="G579" s="10">
        <f>55.7626 * CHOOSE(CONTROL!$C$9, $D$9, 100%, $F$9) + CHOOSE(CONTROL!$C$27, 0.0021, 0)</f>
        <v>55.764699999999998</v>
      </c>
      <c r="H579" s="10">
        <f>55.6279 * CHOOSE(CONTROL!$C$9, $D$9, 100%, $F$9) + CHOOSE(CONTROL!$C$27, 0.0021, 0)</f>
        <v>55.629999999999995</v>
      </c>
      <c r="I579" s="10">
        <f>55.6279 * CHOOSE(CONTROL!$C$9, $D$9, 100%, $F$9) + CHOOSE(CONTROL!$C$27, 0.0021, 0)</f>
        <v>55.629999999999995</v>
      </c>
      <c r="J579" s="10">
        <f>55.6279 * CHOOSE(CONTROL!$C$9, $D$9, 100%, $F$9) + CHOOSE(CONTROL!$C$27, 0.0021, 0)</f>
        <v>55.629999999999995</v>
      </c>
      <c r="K579" s="10">
        <f>55.6279 * CHOOSE(CONTROL!$C$9, $D$9, 100%, $F$9) + CHOOSE(CONTROL!$C$27, 0.0021, 0)</f>
        <v>55.629999999999995</v>
      </c>
      <c r="L579" s="10"/>
    </row>
    <row r="580" spans="1:12" ht="15.75" x14ac:dyDescent="0.25">
      <c r="A580" s="13">
        <v>58592</v>
      </c>
      <c r="B580" s="10">
        <f>57.1893 * CHOOSE(CONTROL!$C$9, $D$9, 100%, $F$9) + CHOOSE(CONTROL!$C$27, 0.0021, 0)</f>
        <v>57.191400000000002</v>
      </c>
      <c r="C580" s="10">
        <f>56.757 * CHOOSE(CONTROL!$C$9, $D$9, 100%, $F$9) + CHOOSE(CONTROL!$C$27, 0.0021, 0)</f>
        <v>56.759099999999997</v>
      </c>
      <c r="D580" s="10">
        <f>56.757 * CHOOSE(CONTROL!$C$9, $D$9, 100%, $F$9) + CHOOSE(CONTROL!$C$27, 0.0021, 0)</f>
        <v>56.759099999999997</v>
      </c>
      <c r="E580" s="10">
        <f>56.6203 * CHOOSE(CONTROL!$C$9, $D$9, 100%, $F$9) + CHOOSE(CONTROL!$C$27, 0.0021, 0)</f>
        <v>56.622399999999999</v>
      </c>
      <c r="F580" s="10">
        <f>56.6203 * CHOOSE(CONTROL!$C$9, $D$9, 100%, $F$9) + CHOOSE(CONTROL!$C$27, 0.0021, 0)</f>
        <v>56.622399999999999</v>
      </c>
      <c r="G580" s="10">
        <f>56.8917 * CHOOSE(CONTROL!$C$9, $D$9, 100%, $F$9) + CHOOSE(CONTROL!$C$27, 0.0021, 0)</f>
        <v>56.893799999999999</v>
      </c>
      <c r="H580" s="10">
        <f>56.757 * CHOOSE(CONTROL!$C$9, $D$9, 100%, $F$9) + CHOOSE(CONTROL!$C$27, 0.0021, 0)</f>
        <v>56.759099999999997</v>
      </c>
      <c r="I580" s="10">
        <f>56.757 * CHOOSE(CONTROL!$C$9, $D$9, 100%, $F$9) + CHOOSE(CONTROL!$C$27, 0.0021, 0)</f>
        <v>56.759099999999997</v>
      </c>
      <c r="J580" s="10">
        <f>56.757 * CHOOSE(CONTROL!$C$9, $D$9, 100%, $F$9) + CHOOSE(CONTROL!$C$27, 0.0021, 0)</f>
        <v>56.759099999999997</v>
      </c>
      <c r="K580" s="10">
        <f>56.757 * CHOOSE(CONTROL!$C$9, $D$9, 100%, $F$9) + CHOOSE(CONTROL!$C$27, 0.0021, 0)</f>
        <v>56.759099999999997</v>
      </c>
      <c r="L580" s="10"/>
    </row>
    <row r="581" spans="1:12" ht="15.75" x14ac:dyDescent="0.25">
      <c r="A581" s="13">
        <v>58622</v>
      </c>
      <c r="B581" s="10">
        <f>57.8656 * CHOOSE(CONTROL!$C$9, $D$9, 100%, $F$9) + CHOOSE(CONTROL!$C$27, 0.0021, 0)</f>
        <v>57.867699999999999</v>
      </c>
      <c r="C581" s="10">
        <f>57.4333 * CHOOSE(CONTROL!$C$9, $D$9, 100%, $F$9) + CHOOSE(CONTROL!$C$27, 0.0021, 0)</f>
        <v>57.435400000000001</v>
      </c>
      <c r="D581" s="10">
        <f>57.4333 * CHOOSE(CONTROL!$C$9, $D$9, 100%, $F$9) + CHOOSE(CONTROL!$C$27, 0.0021, 0)</f>
        <v>57.435400000000001</v>
      </c>
      <c r="E581" s="10">
        <f>57.2967 * CHOOSE(CONTROL!$C$9, $D$9, 100%, $F$9) + CHOOSE(CONTROL!$C$27, 0.0021, 0)</f>
        <v>57.2988</v>
      </c>
      <c r="F581" s="10">
        <f>57.2967 * CHOOSE(CONTROL!$C$9, $D$9, 100%, $F$9) + CHOOSE(CONTROL!$C$27, 0.0021, 0)</f>
        <v>57.2988</v>
      </c>
      <c r="G581" s="10">
        <f>57.568 * CHOOSE(CONTROL!$C$9, $D$9, 100%, $F$9) + CHOOSE(CONTROL!$C$27, 0.0021, 0)</f>
        <v>57.570099999999996</v>
      </c>
      <c r="H581" s="10">
        <f>57.4333 * CHOOSE(CONTROL!$C$9, $D$9, 100%, $F$9) + CHOOSE(CONTROL!$C$27, 0.0021, 0)</f>
        <v>57.435400000000001</v>
      </c>
      <c r="I581" s="10">
        <f>57.4333 * CHOOSE(CONTROL!$C$9, $D$9, 100%, $F$9) + CHOOSE(CONTROL!$C$27, 0.0021, 0)</f>
        <v>57.435400000000001</v>
      </c>
      <c r="J581" s="10">
        <f>57.4333 * CHOOSE(CONTROL!$C$9, $D$9, 100%, $F$9) + CHOOSE(CONTROL!$C$27, 0.0021, 0)</f>
        <v>57.435400000000001</v>
      </c>
      <c r="K581" s="10">
        <f>57.4333 * CHOOSE(CONTROL!$C$9, $D$9, 100%, $F$9) + CHOOSE(CONTROL!$C$27, 0.0021, 0)</f>
        <v>57.435400000000001</v>
      </c>
      <c r="L581" s="10"/>
    </row>
    <row r="582" spans="1:12" ht="15.75" x14ac:dyDescent="0.25">
      <c r="A582" s="13">
        <v>58653</v>
      </c>
      <c r="B582" s="10">
        <f>58.9812 * CHOOSE(CONTROL!$C$9, $D$9, 100%, $F$9) + CHOOSE(CONTROL!$C$27, 0.0021, 0)</f>
        <v>58.9833</v>
      </c>
      <c r="C582" s="10">
        <f>58.549 * CHOOSE(CONTROL!$C$9, $D$9, 100%, $F$9) + CHOOSE(CONTROL!$C$27, 0.0021, 0)</f>
        <v>58.551099999999998</v>
      </c>
      <c r="D582" s="10">
        <f>58.549 * CHOOSE(CONTROL!$C$9, $D$9, 100%, $F$9) + CHOOSE(CONTROL!$C$27, 0.0021, 0)</f>
        <v>58.551099999999998</v>
      </c>
      <c r="E582" s="10">
        <f>58.4123 * CHOOSE(CONTROL!$C$9, $D$9, 100%, $F$9) + CHOOSE(CONTROL!$C$27, 0.0021, 0)</f>
        <v>58.414400000000001</v>
      </c>
      <c r="F582" s="10">
        <f>58.4123 * CHOOSE(CONTROL!$C$9, $D$9, 100%, $F$9) + CHOOSE(CONTROL!$C$27, 0.0021, 0)</f>
        <v>58.414400000000001</v>
      </c>
      <c r="G582" s="10">
        <f>58.6837 * CHOOSE(CONTROL!$C$9, $D$9, 100%, $F$9) + CHOOSE(CONTROL!$C$27, 0.0021, 0)</f>
        <v>58.6858</v>
      </c>
      <c r="H582" s="10">
        <f>58.549 * CHOOSE(CONTROL!$C$9, $D$9, 100%, $F$9) + CHOOSE(CONTROL!$C$27, 0.0021, 0)</f>
        <v>58.551099999999998</v>
      </c>
      <c r="I582" s="10">
        <f>58.549 * CHOOSE(CONTROL!$C$9, $D$9, 100%, $F$9) + CHOOSE(CONTROL!$C$27, 0.0021, 0)</f>
        <v>58.551099999999998</v>
      </c>
      <c r="J582" s="10">
        <f>58.549 * CHOOSE(CONTROL!$C$9, $D$9, 100%, $F$9) + CHOOSE(CONTROL!$C$27, 0.0021, 0)</f>
        <v>58.551099999999998</v>
      </c>
      <c r="K582" s="10">
        <f>58.549 * CHOOSE(CONTROL!$C$9, $D$9, 100%, $F$9) + CHOOSE(CONTROL!$C$27, 0.0021, 0)</f>
        <v>58.551099999999998</v>
      </c>
      <c r="L582" s="10"/>
    </row>
    <row r="583" spans="1:12" ht="15.75" x14ac:dyDescent="0.25">
      <c r="A583" s="13">
        <v>58684</v>
      </c>
      <c r="B583" s="10">
        <f>59.3218 * CHOOSE(CONTROL!$C$9, $D$9, 100%, $F$9) + CHOOSE(CONTROL!$C$27, 0.0021, 0)</f>
        <v>59.323900000000002</v>
      </c>
      <c r="C583" s="10">
        <f>58.8895 * CHOOSE(CONTROL!$C$9, $D$9, 100%, $F$9) + CHOOSE(CONTROL!$C$27, 0.0021, 0)</f>
        <v>58.891599999999997</v>
      </c>
      <c r="D583" s="10">
        <f>58.8895 * CHOOSE(CONTROL!$C$9, $D$9, 100%, $F$9) + CHOOSE(CONTROL!$C$27, 0.0021, 0)</f>
        <v>58.891599999999997</v>
      </c>
      <c r="E583" s="10">
        <f>58.7529 * CHOOSE(CONTROL!$C$9, $D$9, 100%, $F$9) + CHOOSE(CONTROL!$C$27, 0.0021, 0)</f>
        <v>58.754999999999995</v>
      </c>
      <c r="F583" s="10">
        <f>58.7529 * CHOOSE(CONTROL!$C$9, $D$9, 100%, $F$9) + CHOOSE(CONTROL!$C$27, 0.0021, 0)</f>
        <v>58.754999999999995</v>
      </c>
      <c r="G583" s="10">
        <f>59.0242 * CHOOSE(CONTROL!$C$9, $D$9, 100%, $F$9) + CHOOSE(CONTROL!$C$27, 0.0021, 0)</f>
        <v>59.026299999999999</v>
      </c>
      <c r="H583" s="10">
        <f>58.8895 * CHOOSE(CONTROL!$C$9, $D$9, 100%, $F$9) + CHOOSE(CONTROL!$C$27, 0.0021, 0)</f>
        <v>58.891599999999997</v>
      </c>
      <c r="I583" s="10">
        <f>58.8895 * CHOOSE(CONTROL!$C$9, $D$9, 100%, $F$9) + CHOOSE(CONTROL!$C$27, 0.0021, 0)</f>
        <v>58.891599999999997</v>
      </c>
      <c r="J583" s="10">
        <f>58.8895 * CHOOSE(CONTROL!$C$9, $D$9, 100%, $F$9) + CHOOSE(CONTROL!$C$27, 0.0021, 0)</f>
        <v>58.891599999999997</v>
      </c>
      <c r="K583" s="10">
        <f>58.8895 * CHOOSE(CONTROL!$C$9, $D$9, 100%, $F$9) + CHOOSE(CONTROL!$C$27, 0.0021, 0)</f>
        <v>58.891599999999997</v>
      </c>
      <c r="L583" s="10"/>
    </row>
    <row r="584" spans="1:12" ht="15.75" x14ac:dyDescent="0.25">
      <c r="A584" s="13">
        <v>58714</v>
      </c>
      <c r="B584" s="10">
        <f>60.4815 * CHOOSE(CONTROL!$C$9, $D$9, 100%, $F$9) + CHOOSE(CONTROL!$C$27, 0.0021, 0)</f>
        <v>60.483599999999996</v>
      </c>
      <c r="C584" s="10">
        <f>60.0492 * CHOOSE(CONTROL!$C$9, $D$9, 100%, $F$9) + CHOOSE(CONTROL!$C$27, 0.0021, 0)</f>
        <v>60.051299999999998</v>
      </c>
      <c r="D584" s="10">
        <f>60.0492 * CHOOSE(CONTROL!$C$9, $D$9, 100%, $F$9) + CHOOSE(CONTROL!$C$27, 0.0021, 0)</f>
        <v>60.051299999999998</v>
      </c>
      <c r="E584" s="10">
        <f>59.9126 * CHOOSE(CONTROL!$C$9, $D$9, 100%, $F$9) + CHOOSE(CONTROL!$C$27, 0.0021, 0)</f>
        <v>59.914699999999996</v>
      </c>
      <c r="F584" s="10">
        <f>59.9126 * CHOOSE(CONTROL!$C$9, $D$9, 100%, $F$9) + CHOOSE(CONTROL!$C$27, 0.0021, 0)</f>
        <v>59.914699999999996</v>
      </c>
      <c r="G584" s="10">
        <f>60.1839 * CHOOSE(CONTROL!$C$9, $D$9, 100%, $F$9) + CHOOSE(CONTROL!$C$27, 0.0021, 0)</f>
        <v>60.186</v>
      </c>
      <c r="H584" s="10">
        <f>60.0492 * CHOOSE(CONTROL!$C$9, $D$9, 100%, $F$9) + CHOOSE(CONTROL!$C$27, 0.0021, 0)</f>
        <v>60.051299999999998</v>
      </c>
      <c r="I584" s="10">
        <f>60.0492 * CHOOSE(CONTROL!$C$9, $D$9, 100%, $F$9) + CHOOSE(CONTROL!$C$27, 0.0021, 0)</f>
        <v>60.051299999999998</v>
      </c>
      <c r="J584" s="10">
        <f>60.0492 * CHOOSE(CONTROL!$C$9, $D$9, 100%, $F$9) + CHOOSE(CONTROL!$C$27, 0.0021, 0)</f>
        <v>60.051299999999998</v>
      </c>
      <c r="K584" s="10">
        <f>60.0492 * CHOOSE(CONTROL!$C$9, $D$9, 100%, $F$9) + CHOOSE(CONTROL!$C$27, 0.0021, 0)</f>
        <v>60.051299999999998</v>
      </c>
      <c r="L584" s="10"/>
    </row>
    <row r="585" spans="1:12" ht="15.75" x14ac:dyDescent="0.25">
      <c r="A585" s="13">
        <v>58745</v>
      </c>
      <c r="B585" s="10">
        <f>61.9494 * CHOOSE(CONTROL!$C$9, $D$9, 100%, $F$9) + CHOOSE(CONTROL!$C$27, 0.0021, 0)</f>
        <v>61.951499999999996</v>
      </c>
      <c r="C585" s="10">
        <f>61.5172 * CHOOSE(CONTROL!$C$9, $D$9, 100%, $F$9) + CHOOSE(CONTROL!$C$27, 0.0021, 0)</f>
        <v>61.519300000000001</v>
      </c>
      <c r="D585" s="10">
        <f>61.5172 * CHOOSE(CONTROL!$C$9, $D$9, 100%, $F$9) + CHOOSE(CONTROL!$C$27, 0.0021, 0)</f>
        <v>61.519300000000001</v>
      </c>
      <c r="E585" s="10">
        <f>61.3805 * CHOOSE(CONTROL!$C$9, $D$9, 100%, $F$9) + CHOOSE(CONTROL!$C$27, 0.0021, 0)</f>
        <v>61.382599999999996</v>
      </c>
      <c r="F585" s="10">
        <f>61.3805 * CHOOSE(CONTROL!$C$9, $D$9, 100%, $F$9) + CHOOSE(CONTROL!$C$27, 0.0021, 0)</f>
        <v>61.382599999999996</v>
      </c>
      <c r="G585" s="10">
        <f>61.6519 * CHOOSE(CONTROL!$C$9, $D$9, 100%, $F$9) + CHOOSE(CONTROL!$C$27, 0.0021, 0)</f>
        <v>61.653999999999996</v>
      </c>
      <c r="H585" s="10">
        <f>61.5172 * CHOOSE(CONTROL!$C$9, $D$9, 100%, $F$9) + CHOOSE(CONTROL!$C$27, 0.0021, 0)</f>
        <v>61.519300000000001</v>
      </c>
      <c r="I585" s="10">
        <f>61.5172 * CHOOSE(CONTROL!$C$9, $D$9, 100%, $F$9) + CHOOSE(CONTROL!$C$27, 0.0021, 0)</f>
        <v>61.519300000000001</v>
      </c>
      <c r="J585" s="10">
        <f>61.5172 * CHOOSE(CONTROL!$C$9, $D$9, 100%, $F$9) + CHOOSE(CONTROL!$C$27, 0.0021, 0)</f>
        <v>61.519300000000001</v>
      </c>
      <c r="K585" s="10">
        <f>61.5172 * CHOOSE(CONTROL!$C$9, $D$9, 100%, $F$9) + CHOOSE(CONTROL!$C$27, 0.0021, 0)</f>
        <v>61.519300000000001</v>
      </c>
      <c r="L585" s="10"/>
    </row>
    <row r="586" spans="1:12" ht="15.75" x14ac:dyDescent="0.25">
      <c r="A586" s="13">
        <v>58775</v>
      </c>
      <c r="B586" s="10">
        <f>62.0872 * CHOOSE(CONTROL!$C$9, $D$9, 100%, $F$9) + CHOOSE(CONTROL!$C$27, 0.0021, 0)</f>
        <v>62.089300000000001</v>
      </c>
      <c r="C586" s="10">
        <f>61.655 * CHOOSE(CONTROL!$C$9, $D$9, 100%, $F$9) + CHOOSE(CONTROL!$C$27, 0.0021, 0)</f>
        <v>61.6571</v>
      </c>
      <c r="D586" s="10">
        <f>61.655 * CHOOSE(CONTROL!$C$9, $D$9, 100%, $F$9) + CHOOSE(CONTROL!$C$27, 0.0021, 0)</f>
        <v>61.6571</v>
      </c>
      <c r="E586" s="10">
        <f>61.5183 * CHOOSE(CONTROL!$C$9, $D$9, 100%, $F$9) + CHOOSE(CONTROL!$C$27, 0.0021, 0)</f>
        <v>61.520400000000002</v>
      </c>
      <c r="F586" s="10">
        <f>61.5183 * CHOOSE(CONTROL!$C$9, $D$9, 100%, $F$9) + CHOOSE(CONTROL!$C$27, 0.0021, 0)</f>
        <v>61.520400000000002</v>
      </c>
      <c r="G586" s="10">
        <f>61.7897 * CHOOSE(CONTROL!$C$9, $D$9, 100%, $F$9) + CHOOSE(CONTROL!$C$27, 0.0021, 0)</f>
        <v>61.791800000000002</v>
      </c>
      <c r="H586" s="10">
        <f>61.655 * CHOOSE(CONTROL!$C$9, $D$9, 100%, $F$9) + CHOOSE(CONTROL!$C$27, 0.0021, 0)</f>
        <v>61.6571</v>
      </c>
      <c r="I586" s="10">
        <f>61.655 * CHOOSE(CONTROL!$C$9, $D$9, 100%, $F$9) + CHOOSE(CONTROL!$C$27, 0.0021, 0)</f>
        <v>61.6571</v>
      </c>
      <c r="J586" s="10">
        <f>61.655 * CHOOSE(CONTROL!$C$9, $D$9, 100%, $F$9) + CHOOSE(CONTROL!$C$27, 0.0021, 0)</f>
        <v>61.6571</v>
      </c>
      <c r="K586" s="10">
        <f>61.655 * CHOOSE(CONTROL!$C$9, $D$9, 100%, $F$9) + CHOOSE(CONTROL!$C$27, 0.0021, 0)</f>
        <v>61.6571</v>
      </c>
      <c r="L586" s="10"/>
    </row>
    <row r="587" spans="1:12" ht="15.75" x14ac:dyDescent="0.25">
      <c r="A587" s="13">
        <v>58806</v>
      </c>
      <c r="B587" s="10">
        <f>60.9148 * CHOOSE(CONTROL!$C$9, $D$9, 100%, $F$9) + CHOOSE(CONTROL!$C$27, 0.0021, 0)</f>
        <v>60.916899999999998</v>
      </c>
      <c r="C587" s="10">
        <f>60.4826 * CHOOSE(CONTROL!$C$9, $D$9, 100%, $F$9) + CHOOSE(CONTROL!$C$27, 0.0021, 0)</f>
        <v>60.484699999999997</v>
      </c>
      <c r="D587" s="10">
        <f>60.4826 * CHOOSE(CONTROL!$C$9, $D$9, 100%, $F$9) + CHOOSE(CONTROL!$C$27, 0.0021, 0)</f>
        <v>60.484699999999997</v>
      </c>
      <c r="E587" s="10">
        <f>60.3459 * CHOOSE(CONTROL!$C$9, $D$9, 100%, $F$9) + CHOOSE(CONTROL!$C$27, 0.0021, 0)</f>
        <v>60.347999999999999</v>
      </c>
      <c r="F587" s="10">
        <f>60.3459 * CHOOSE(CONTROL!$C$9, $D$9, 100%, $F$9) + CHOOSE(CONTROL!$C$27, 0.0021, 0)</f>
        <v>60.347999999999999</v>
      </c>
      <c r="G587" s="10">
        <f>60.6173 * CHOOSE(CONTROL!$C$9, $D$9, 100%, $F$9) + CHOOSE(CONTROL!$C$27, 0.0021, 0)</f>
        <v>60.619399999999999</v>
      </c>
      <c r="H587" s="10">
        <f>60.4826 * CHOOSE(CONTROL!$C$9, $D$9, 100%, $F$9) + CHOOSE(CONTROL!$C$27, 0.0021, 0)</f>
        <v>60.484699999999997</v>
      </c>
      <c r="I587" s="10">
        <f>60.4826 * CHOOSE(CONTROL!$C$9, $D$9, 100%, $F$9) + CHOOSE(CONTROL!$C$27, 0.0021, 0)</f>
        <v>60.484699999999997</v>
      </c>
      <c r="J587" s="10">
        <f>60.4826 * CHOOSE(CONTROL!$C$9, $D$9, 100%, $F$9) + CHOOSE(CONTROL!$C$27, 0.0021, 0)</f>
        <v>60.484699999999997</v>
      </c>
      <c r="K587" s="10">
        <f>60.4826 * CHOOSE(CONTROL!$C$9, $D$9, 100%, $F$9) + CHOOSE(CONTROL!$C$27, 0.0021, 0)</f>
        <v>60.484699999999997</v>
      </c>
      <c r="L587" s="10"/>
    </row>
    <row r="588" spans="1:12" ht="15.75" x14ac:dyDescent="0.25">
      <c r="A588" s="13">
        <v>58837</v>
      </c>
      <c r="B588" s="10">
        <f>60.1467 * CHOOSE(CONTROL!$C$9, $D$9, 100%, $F$9) + CHOOSE(CONTROL!$C$27, 0.0021, 0)</f>
        <v>60.148800000000001</v>
      </c>
      <c r="C588" s="10">
        <f>59.7145 * CHOOSE(CONTROL!$C$9, $D$9, 100%, $F$9) + CHOOSE(CONTROL!$C$27, 0.0021, 0)</f>
        <v>59.7166</v>
      </c>
      <c r="D588" s="10">
        <f>59.7145 * CHOOSE(CONTROL!$C$9, $D$9, 100%, $F$9) + CHOOSE(CONTROL!$C$27, 0.0021, 0)</f>
        <v>59.7166</v>
      </c>
      <c r="E588" s="10">
        <f>59.5778 * CHOOSE(CONTROL!$C$9, $D$9, 100%, $F$9) + CHOOSE(CONTROL!$C$27, 0.0021, 0)</f>
        <v>59.579900000000002</v>
      </c>
      <c r="F588" s="10">
        <f>59.5778 * CHOOSE(CONTROL!$C$9, $D$9, 100%, $F$9) + CHOOSE(CONTROL!$C$27, 0.0021, 0)</f>
        <v>59.579900000000002</v>
      </c>
      <c r="G588" s="10">
        <f>59.8492 * CHOOSE(CONTROL!$C$9, $D$9, 100%, $F$9) + CHOOSE(CONTROL!$C$27, 0.0021, 0)</f>
        <v>59.851300000000002</v>
      </c>
      <c r="H588" s="10">
        <f>59.7145 * CHOOSE(CONTROL!$C$9, $D$9, 100%, $F$9) + CHOOSE(CONTROL!$C$27, 0.0021, 0)</f>
        <v>59.7166</v>
      </c>
      <c r="I588" s="10">
        <f>59.7145 * CHOOSE(CONTROL!$C$9, $D$9, 100%, $F$9) + CHOOSE(CONTROL!$C$27, 0.0021, 0)</f>
        <v>59.7166</v>
      </c>
      <c r="J588" s="10">
        <f>59.7145 * CHOOSE(CONTROL!$C$9, $D$9, 100%, $F$9) + CHOOSE(CONTROL!$C$27, 0.0021, 0)</f>
        <v>59.7166</v>
      </c>
      <c r="K588" s="10">
        <f>59.7145 * CHOOSE(CONTROL!$C$9, $D$9, 100%, $F$9) + CHOOSE(CONTROL!$C$27, 0.0021, 0)</f>
        <v>59.7166</v>
      </c>
      <c r="L588" s="10"/>
    </row>
    <row r="589" spans="1:12" ht="15.75" x14ac:dyDescent="0.25">
      <c r="A589" s="13">
        <v>58865</v>
      </c>
      <c r="B589" s="10">
        <f>58.5103 * CHOOSE(CONTROL!$C$9, $D$9, 100%, $F$9) + CHOOSE(CONTROL!$C$27, 0.0021, 0)</f>
        <v>58.5124</v>
      </c>
      <c r="C589" s="10">
        <f>58.078 * CHOOSE(CONTROL!$C$9, $D$9, 100%, $F$9) + CHOOSE(CONTROL!$C$27, 0.0021, 0)</f>
        <v>58.080100000000002</v>
      </c>
      <c r="D589" s="10">
        <f>58.078 * CHOOSE(CONTROL!$C$9, $D$9, 100%, $F$9) + CHOOSE(CONTROL!$C$27, 0.0021, 0)</f>
        <v>58.080100000000002</v>
      </c>
      <c r="E589" s="10">
        <f>57.9414 * CHOOSE(CONTROL!$C$9, $D$9, 100%, $F$9) + CHOOSE(CONTROL!$C$27, 0.0021, 0)</f>
        <v>57.9435</v>
      </c>
      <c r="F589" s="10">
        <f>57.9414 * CHOOSE(CONTROL!$C$9, $D$9, 100%, $F$9) + CHOOSE(CONTROL!$C$27, 0.0021, 0)</f>
        <v>57.9435</v>
      </c>
      <c r="G589" s="10">
        <f>58.2128 * CHOOSE(CONTROL!$C$9, $D$9, 100%, $F$9) + CHOOSE(CONTROL!$C$27, 0.0021, 0)</f>
        <v>58.2149</v>
      </c>
      <c r="H589" s="10">
        <f>58.078 * CHOOSE(CONTROL!$C$9, $D$9, 100%, $F$9) + CHOOSE(CONTROL!$C$27, 0.0021, 0)</f>
        <v>58.080100000000002</v>
      </c>
      <c r="I589" s="10">
        <f>58.078 * CHOOSE(CONTROL!$C$9, $D$9, 100%, $F$9) + CHOOSE(CONTROL!$C$27, 0.0021, 0)</f>
        <v>58.080100000000002</v>
      </c>
      <c r="J589" s="10">
        <f>58.078 * CHOOSE(CONTROL!$C$9, $D$9, 100%, $F$9) + CHOOSE(CONTROL!$C$27, 0.0021, 0)</f>
        <v>58.080100000000002</v>
      </c>
      <c r="K589" s="10">
        <f>58.078 * CHOOSE(CONTROL!$C$9, $D$9, 100%, $F$9) + CHOOSE(CONTROL!$C$27, 0.0021, 0)</f>
        <v>58.080100000000002</v>
      </c>
      <c r="L589" s="10"/>
    </row>
    <row r="590" spans="1:12" ht="15.75" x14ac:dyDescent="0.25">
      <c r="A590" s="13">
        <v>58893</v>
      </c>
      <c r="B590" s="10">
        <f>57.8348 * CHOOSE(CONTROL!$C$9, $D$9, 100%, $F$9) + CHOOSE(CONTROL!$C$27, 0.0021, 0)</f>
        <v>57.8369</v>
      </c>
      <c r="C590" s="10">
        <f>57.4025 * CHOOSE(CONTROL!$C$9, $D$9, 100%, $F$9) + CHOOSE(CONTROL!$C$27, 0.0021, 0)</f>
        <v>57.404600000000002</v>
      </c>
      <c r="D590" s="10">
        <f>57.4025 * CHOOSE(CONTROL!$C$9, $D$9, 100%, $F$9) + CHOOSE(CONTROL!$C$27, 0.0021, 0)</f>
        <v>57.404600000000002</v>
      </c>
      <c r="E590" s="10">
        <f>57.2659 * CHOOSE(CONTROL!$C$9, $D$9, 100%, $F$9) + CHOOSE(CONTROL!$C$27, 0.0021, 0)</f>
        <v>57.268000000000001</v>
      </c>
      <c r="F590" s="10">
        <f>57.2659 * CHOOSE(CONTROL!$C$9, $D$9, 100%, $F$9) + CHOOSE(CONTROL!$C$27, 0.0021, 0)</f>
        <v>57.268000000000001</v>
      </c>
      <c r="G590" s="10">
        <f>57.5372 * CHOOSE(CONTROL!$C$9, $D$9, 100%, $F$9) + CHOOSE(CONTROL!$C$27, 0.0021, 0)</f>
        <v>57.539299999999997</v>
      </c>
      <c r="H590" s="10">
        <f>57.4025 * CHOOSE(CONTROL!$C$9, $D$9, 100%, $F$9) + CHOOSE(CONTROL!$C$27, 0.0021, 0)</f>
        <v>57.404600000000002</v>
      </c>
      <c r="I590" s="10">
        <f>57.4025 * CHOOSE(CONTROL!$C$9, $D$9, 100%, $F$9) + CHOOSE(CONTROL!$C$27, 0.0021, 0)</f>
        <v>57.404600000000002</v>
      </c>
      <c r="J590" s="10">
        <f>57.4025 * CHOOSE(CONTROL!$C$9, $D$9, 100%, $F$9) + CHOOSE(CONTROL!$C$27, 0.0021, 0)</f>
        <v>57.404600000000002</v>
      </c>
      <c r="K590" s="10">
        <f>57.4025 * CHOOSE(CONTROL!$C$9, $D$9, 100%, $F$9) + CHOOSE(CONTROL!$C$27, 0.0021, 0)</f>
        <v>57.404600000000002</v>
      </c>
      <c r="L590" s="10"/>
    </row>
    <row r="591" spans="1:12" ht="15.75" x14ac:dyDescent="0.25">
      <c r="A591" s="13">
        <v>58926</v>
      </c>
      <c r="B591" s="10">
        <f>57.0282 * CHOOSE(CONTROL!$C$9, $D$9, 100%, $F$9) + CHOOSE(CONTROL!$C$27, 0.0021, 0)</f>
        <v>57.030299999999997</v>
      </c>
      <c r="C591" s="10">
        <f>56.5959 * CHOOSE(CONTROL!$C$9, $D$9, 100%, $F$9) + CHOOSE(CONTROL!$C$27, 0.0021, 0)</f>
        <v>56.597999999999999</v>
      </c>
      <c r="D591" s="10">
        <f>56.5959 * CHOOSE(CONTROL!$C$9, $D$9, 100%, $F$9) + CHOOSE(CONTROL!$C$27, 0.0021, 0)</f>
        <v>56.597999999999999</v>
      </c>
      <c r="E591" s="10">
        <f>56.4593 * CHOOSE(CONTROL!$C$9, $D$9, 100%, $F$9) + CHOOSE(CONTROL!$C$27, 0.0021, 0)</f>
        <v>56.461399999999998</v>
      </c>
      <c r="F591" s="10">
        <f>56.4593 * CHOOSE(CONTROL!$C$9, $D$9, 100%, $F$9) + CHOOSE(CONTROL!$C$27, 0.0021, 0)</f>
        <v>56.461399999999998</v>
      </c>
      <c r="G591" s="10">
        <f>56.7307 * CHOOSE(CONTROL!$C$9, $D$9, 100%, $F$9) + CHOOSE(CONTROL!$C$27, 0.0021, 0)</f>
        <v>56.732799999999997</v>
      </c>
      <c r="H591" s="10">
        <f>56.5959 * CHOOSE(CONTROL!$C$9, $D$9, 100%, $F$9) + CHOOSE(CONTROL!$C$27, 0.0021, 0)</f>
        <v>56.597999999999999</v>
      </c>
      <c r="I591" s="10">
        <f>56.5959 * CHOOSE(CONTROL!$C$9, $D$9, 100%, $F$9) + CHOOSE(CONTROL!$C$27, 0.0021, 0)</f>
        <v>56.597999999999999</v>
      </c>
      <c r="J591" s="10">
        <f>56.5959 * CHOOSE(CONTROL!$C$9, $D$9, 100%, $F$9) + CHOOSE(CONTROL!$C$27, 0.0021, 0)</f>
        <v>56.597999999999999</v>
      </c>
      <c r="K591" s="10">
        <f>56.5959 * CHOOSE(CONTROL!$C$9, $D$9, 100%, $F$9) + CHOOSE(CONTROL!$C$27, 0.0021, 0)</f>
        <v>56.597999999999999</v>
      </c>
      <c r="L591" s="10"/>
    </row>
    <row r="592" spans="1:12" ht="15.75" x14ac:dyDescent="0.25">
      <c r="A592" s="13">
        <v>58957</v>
      </c>
      <c r="B592" s="10">
        <f>58.1777 * CHOOSE(CONTROL!$C$9, $D$9, 100%, $F$9) + CHOOSE(CONTROL!$C$27, 0.0021, 0)</f>
        <v>58.1798</v>
      </c>
      <c r="C592" s="10">
        <f>57.7454 * CHOOSE(CONTROL!$C$9, $D$9, 100%, $F$9) + CHOOSE(CONTROL!$C$27, 0.0021, 0)</f>
        <v>57.747499999999995</v>
      </c>
      <c r="D592" s="10">
        <f>57.7454 * CHOOSE(CONTROL!$C$9, $D$9, 100%, $F$9) + CHOOSE(CONTROL!$C$27, 0.0021, 0)</f>
        <v>57.747499999999995</v>
      </c>
      <c r="E592" s="10">
        <f>57.6088 * CHOOSE(CONTROL!$C$9, $D$9, 100%, $F$9) + CHOOSE(CONTROL!$C$27, 0.0021, 0)</f>
        <v>57.610900000000001</v>
      </c>
      <c r="F592" s="10">
        <f>57.6088 * CHOOSE(CONTROL!$C$9, $D$9, 100%, $F$9) + CHOOSE(CONTROL!$C$27, 0.0021, 0)</f>
        <v>57.610900000000001</v>
      </c>
      <c r="G592" s="10">
        <f>57.8801 * CHOOSE(CONTROL!$C$9, $D$9, 100%, $F$9) + CHOOSE(CONTROL!$C$27, 0.0021, 0)</f>
        <v>57.882199999999997</v>
      </c>
      <c r="H592" s="10">
        <f>57.7454 * CHOOSE(CONTROL!$C$9, $D$9, 100%, $F$9) + CHOOSE(CONTROL!$C$27, 0.0021, 0)</f>
        <v>57.747499999999995</v>
      </c>
      <c r="I592" s="10">
        <f>57.7454 * CHOOSE(CONTROL!$C$9, $D$9, 100%, $F$9) + CHOOSE(CONTROL!$C$27, 0.0021, 0)</f>
        <v>57.747499999999995</v>
      </c>
      <c r="J592" s="10">
        <f>57.7454 * CHOOSE(CONTROL!$C$9, $D$9, 100%, $F$9) + CHOOSE(CONTROL!$C$27, 0.0021, 0)</f>
        <v>57.747499999999995</v>
      </c>
      <c r="K592" s="10">
        <f>57.7454 * CHOOSE(CONTROL!$C$9, $D$9, 100%, $F$9) + CHOOSE(CONTROL!$C$27, 0.0021, 0)</f>
        <v>57.747499999999995</v>
      </c>
      <c r="L592" s="10"/>
    </row>
    <row r="593" spans="1:12" ht="15.75" x14ac:dyDescent="0.25">
      <c r="A593" s="13">
        <v>58987</v>
      </c>
      <c r="B593" s="10">
        <f>58.8662 * CHOOSE(CONTROL!$C$9, $D$9, 100%, $F$9) + CHOOSE(CONTROL!$C$27, 0.0021, 0)</f>
        <v>58.868299999999998</v>
      </c>
      <c r="C593" s="10">
        <f>58.4339 * CHOOSE(CONTROL!$C$9, $D$9, 100%, $F$9) + CHOOSE(CONTROL!$C$27, 0.0021, 0)</f>
        <v>58.436</v>
      </c>
      <c r="D593" s="10">
        <f>58.4339 * CHOOSE(CONTROL!$C$9, $D$9, 100%, $F$9) + CHOOSE(CONTROL!$C$27, 0.0021, 0)</f>
        <v>58.436</v>
      </c>
      <c r="E593" s="10">
        <f>58.2972 * CHOOSE(CONTROL!$C$9, $D$9, 100%, $F$9) + CHOOSE(CONTROL!$C$27, 0.0021, 0)</f>
        <v>58.299299999999995</v>
      </c>
      <c r="F593" s="10">
        <f>58.2972 * CHOOSE(CONTROL!$C$9, $D$9, 100%, $F$9) + CHOOSE(CONTROL!$C$27, 0.0021, 0)</f>
        <v>58.299299999999995</v>
      </c>
      <c r="G593" s="10">
        <f>58.5686 * CHOOSE(CONTROL!$C$9, $D$9, 100%, $F$9) + CHOOSE(CONTROL!$C$27, 0.0021, 0)</f>
        <v>58.570700000000002</v>
      </c>
      <c r="H593" s="10">
        <f>58.4339 * CHOOSE(CONTROL!$C$9, $D$9, 100%, $F$9) + CHOOSE(CONTROL!$C$27, 0.0021, 0)</f>
        <v>58.436</v>
      </c>
      <c r="I593" s="10">
        <f>58.4339 * CHOOSE(CONTROL!$C$9, $D$9, 100%, $F$9) + CHOOSE(CONTROL!$C$27, 0.0021, 0)</f>
        <v>58.436</v>
      </c>
      <c r="J593" s="10">
        <f>58.4339 * CHOOSE(CONTROL!$C$9, $D$9, 100%, $F$9) + CHOOSE(CONTROL!$C$27, 0.0021, 0)</f>
        <v>58.436</v>
      </c>
      <c r="K593" s="10">
        <f>58.4339 * CHOOSE(CONTROL!$C$9, $D$9, 100%, $F$9) + CHOOSE(CONTROL!$C$27, 0.0021, 0)</f>
        <v>58.436</v>
      </c>
      <c r="L593" s="10"/>
    </row>
    <row r="594" spans="1:12" ht="15.75" x14ac:dyDescent="0.25">
      <c r="A594" s="13">
        <v>59018</v>
      </c>
      <c r="B594" s="10">
        <f>60.0019 * CHOOSE(CONTROL!$C$9, $D$9, 100%, $F$9) + CHOOSE(CONTROL!$C$27, 0.0021, 0)</f>
        <v>60.003999999999998</v>
      </c>
      <c r="C594" s="10">
        <f>59.5697 * CHOOSE(CONTROL!$C$9, $D$9, 100%, $F$9) + CHOOSE(CONTROL!$C$27, 0.0021, 0)</f>
        <v>59.571799999999996</v>
      </c>
      <c r="D594" s="10">
        <f>59.5697 * CHOOSE(CONTROL!$C$9, $D$9, 100%, $F$9) + CHOOSE(CONTROL!$C$27, 0.0021, 0)</f>
        <v>59.571799999999996</v>
      </c>
      <c r="E594" s="10">
        <f>59.433 * CHOOSE(CONTROL!$C$9, $D$9, 100%, $F$9) + CHOOSE(CONTROL!$C$27, 0.0021, 0)</f>
        <v>59.435099999999998</v>
      </c>
      <c r="F594" s="10">
        <f>59.433 * CHOOSE(CONTROL!$C$9, $D$9, 100%, $F$9) + CHOOSE(CONTROL!$C$27, 0.0021, 0)</f>
        <v>59.435099999999998</v>
      </c>
      <c r="G594" s="10">
        <f>59.7044 * CHOOSE(CONTROL!$C$9, $D$9, 100%, $F$9) + CHOOSE(CONTROL!$C$27, 0.0021, 0)</f>
        <v>59.706499999999998</v>
      </c>
      <c r="H594" s="10">
        <f>59.5697 * CHOOSE(CONTROL!$C$9, $D$9, 100%, $F$9) + CHOOSE(CONTROL!$C$27, 0.0021, 0)</f>
        <v>59.571799999999996</v>
      </c>
      <c r="I594" s="10">
        <f>59.5697 * CHOOSE(CONTROL!$C$9, $D$9, 100%, $F$9) + CHOOSE(CONTROL!$C$27, 0.0021, 0)</f>
        <v>59.571799999999996</v>
      </c>
      <c r="J594" s="10">
        <f>59.5697 * CHOOSE(CONTROL!$C$9, $D$9, 100%, $F$9) + CHOOSE(CONTROL!$C$27, 0.0021, 0)</f>
        <v>59.571799999999996</v>
      </c>
      <c r="K594" s="10">
        <f>59.5697 * CHOOSE(CONTROL!$C$9, $D$9, 100%, $F$9) + CHOOSE(CONTROL!$C$27, 0.0021, 0)</f>
        <v>59.571799999999996</v>
      </c>
      <c r="L594" s="10"/>
    </row>
    <row r="595" spans="1:12" ht="15.75" x14ac:dyDescent="0.25">
      <c r="A595" s="13">
        <v>59049</v>
      </c>
      <c r="B595" s="10">
        <f>60.3486 * CHOOSE(CONTROL!$C$9, $D$9, 100%, $F$9) + CHOOSE(CONTROL!$C$27, 0.0021, 0)</f>
        <v>60.350699999999996</v>
      </c>
      <c r="C595" s="10">
        <f>59.9163 * CHOOSE(CONTROL!$C$9, $D$9, 100%, $F$9) + CHOOSE(CONTROL!$C$27, 0.0021, 0)</f>
        <v>59.918399999999998</v>
      </c>
      <c r="D595" s="10">
        <f>59.9163 * CHOOSE(CONTROL!$C$9, $D$9, 100%, $F$9) + CHOOSE(CONTROL!$C$27, 0.0021, 0)</f>
        <v>59.918399999999998</v>
      </c>
      <c r="E595" s="10">
        <f>59.7797 * CHOOSE(CONTROL!$C$9, $D$9, 100%, $F$9) + CHOOSE(CONTROL!$C$27, 0.0021, 0)</f>
        <v>59.781799999999997</v>
      </c>
      <c r="F595" s="10">
        <f>59.7797 * CHOOSE(CONTROL!$C$9, $D$9, 100%, $F$9) + CHOOSE(CONTROL!$C$27, 0.0021, 0)</f>
        <v>59.781799999999997</v>
      </c>
      <c r="G595" s="10">
        <f>60.051 * CHOOSE(CONTROL!$C$9, $D$9, 100%, $F$9) + CHOOSE(CONTROL!$C$27, 0.0021, 0)</f>
        <v>60.053100000000001</v>
      </c>
      <c r="H595" s="10">
        <f>59.9163 * CHOOSE(CONTROL!$C$9, $D$9, 100%, $F$9) + CHOOSE(CONTROL!$C$27, 0.0021, 0)</f>
        <v>59.918399999999998</v>
      </c>
      <c r="I595" s="10">
        <f>59.9163 * CHOOSE(CONTROL!$C$9, $D$9, 100%, $F$9) + CHOOSE(CONTROL!$C$27, 0.0021, 0)</f>
        <v>59.918399999999998</v>
      </c>
      <c r="J595" s="10">
        <f>59.9163 * CHOOSE(CONTROL!$C$9, $D$9, 100%, $F$9) + CHOOSE(CONTROL!$C$27, 0.0021, 0)</f>
        <v>59.918399999999998</v>
      </c>
      <c r="K595" s="10">
        <f>59.9163 * CHOOSE(CONTROL!$C$9, $D$9, 100%, $F$9) + CHOOSE(CONTROL!$C$27, 0.0021, 0)</f>
        <v>59.918399999999998</v>
      </c>
      <c r="L595" s="10"/>
    </row>
    <row r="596" spans="1:12" ht="15.75" x14ac:dyDescent="0.25">
      <c r="A596" s="13">
        <v>59079</v>
      </c>
      <c r="B596" s="10">
        <f>61.5291 * CHOOSE(CONTROL!$C$9, $D$9, 100%, $F$9) + CHOOSE(CONTROL!$C$27, 0.0021, 0)</f>
        <v>61.531199999999998</v>
      </c>
      <c r="C596" s="10">
        <f>61.0969 * CHOOSE(CONTROL!$C$9, $D$9, 100%, $F$9) + CHOOSE(CONTROL!$C$27, 0.0021, 0)</f>
        <v>61.098999999999997</v>
      </c>
      <c r="D596" s="10">
        <f>61.0969 * CHOOSE(CONTROL!$C$9, $D$9, 100%, $F$9) + CHOOSE(CONTROL!$C$27, 0.0021, 0)</f>
        <v>61.098999999999997</v>
      </c>
      <c r="E596" s="10">
        <f>60.9602 * CHOOSE(CONTROL!$C$9, $D$9, 100%, $F$9) + CHOOSE(CONTROL!$C$27, 0.0021, 0)</f>
        <v>60.962299999999999</v>
      </c>
      <c r="F596" s="10">
        <f>60.9602 * CHOOSE(CONTROL!$C$9, $D$9, 100%, $F$9) + CHOOSE(CONTROL!$C$27, 0.0021, 0)</f>
        <v>60.962299999999999</v>
      </c>
      <c r="G596" s="10">
        <f>61.2316 * CHOOSE(CONTROL!$C$9, $D$9, 100%, $F$9) + CHOOSE(CONTROL!$C$27, 0.0021, 0)</f>
        <v>61.233699999999999</v>
      </c>
      <c r="H596" s="10">
        <f>61.0969 * CHOOSE(CONTROL!$C$9, $D$9, 100%, $F$9) + CHOOSE(CONTROL!$C$27, 0.0021, 0)</f>
        <v>61.098999999999997</v>
      </c>
      <c r="I596" s="10">
        <f>61.0969 * CHOOSE(CONTROL!$C$9, $D$9, 100%, $F$9) + CHOOSE(CONTROL!$C$27, 0.0021, 0)</f>
        <v>61.098999999999997</v>
      </c>
      <c r="J596" s="10">
        <f>61.0969 * CHOOSE(CONTROL!$C$9, $D$9, 100%, $F$9) + CHOOSE(CONTROL!$C$27, 0.0021, 0)</f>
        <v>61.098999999999997</v>
      </c>
      <c r="K596" s="10">
        <f>61.0969 * CHOOSE(CONTROL!$C$9, $D$9, 100%, $F$9) + CHOOSE(CONTROL!$C$27, 0.0021, 0)</f>
        <v>61.098999999999997</v>
      </c>
      <c r="L596" s="10"/>
    </row>
    <row r="597" spans="1:12" ht="15.75" x14ac:dyDescent="0.25">
      <c r="A597" s="13">
        <v>59110</v>
      </c>
      <c r="B597" s="10">
        <f>63.0235 * CHOOSE(CONTROL!$C$9, $D$9, 100%, $F$9) + CHOOSE(CONTROL!$C$27, 0.0021, 0)</f>
        <v>63.025599999999997</v>
      </c>
      <c r="C597" s="10">
        <f>62.5913 * CHOOSE(CONTROL!$C$9, $D$9, 100%, $F$9) + CHOOSE(CONTROL!$C$27, 0.0021, 0)</f>
        <v>62.593399999999995</v>
      </c>
      <c r="D597" s="10">
        <f>62.5913 * CHOOSE(CONTROL!$C$9, $D$9, 100%, $F$9) + CHOOSE(CONTROL!$C$27, 0.0021, 0)</f>
        <v>62.593399999999995</v>
      </c>
      <c r="E597" s="10">
        <f>62.4546 * CHOOSE(CONTROL!$C$9, $D$9, 100%, $F$9) + CHOOSE(CONTROL!$C$27, 0.0021, 0)</f>
        <v>62.456699999999998</v>
      </c>
      <c r="F597" s="10">
        <f>62.4546 * CHOOSE(CONTROL!$C$9, $D$9, 100%, $F$9) + CHOOSE(CONTROL!$C$27, 0.0021, 0)</f>
        <v>62.456699999999998</v>
      </c>
      <c r="G597" s="10">
        <f>62.726 * CHOOSE(CONTROL!$C$9, $D$9, 100%, $F$9) + CHOOSE(CONTROL!$C$27, 0.0021, 0)</f>
        <v>62.728099999999998</v>
      </c>
      <c r="H597" s="10">
        <f>62.5913 * CHOOSE(CONTROL!$C$9, $D$9, 100%, $F$9) + CHOOSE(CONTROL!$C$27, 0.0021, 0)</f>
        <v>62.593399999999995</v>
      </c>
      <c r="I597" s="10">
        <f>62.5913 * CHOOSE(CONTROL!$C$9, $D$9, 100%, $F$9) + CHOOSE(CONTROL!$C$27, 0.0021, 0)</f>
        <v>62.593399999999995</v>
      </c>
      <c r="J597" s="10">
        <f>62.5913 * CHOOSE(CONTROL!$C$9, $D$9, 100%, $F$9) + CHOOSE(CONTROL!$C$27, 0.0021, 0)</f>
        <v>62.593399999999995</v>
      </c>
      <c r="K597" s="10">
        <f>62.5913 * CHOOSE(CONTROL!$C$9, $D$9, 100%, $F$9) + CHOOSE(CONTROL!$C$27, 0.0021, 0)</f>
        <v>62.593399999999995</v>
      </c>
      <c r="L597" s="10"/>
    </row>
    <row r="598" spans="1:12" ht="15.75" x14ac:dyDescent="0.25">
      <c r="A598" s="13">
        <v>59140</v>
      </c>
      <c r="B598" s="10">
        <f>63.1638 * CHOOSE(CONTROL!$C$9, $D$9, 100%, $F$9) + CHOOSE(CONTROL!$C$27, 0.0021, 0)</f>
        <v>63.165900000000001</v>
      </c>
      <c r="C598" s="10">
        <f>62.7316 * CHOOSE(CONTROL!$C$9, $D$9, 100%, $F$9) + CHOOSE(CONTROL!$C$27, 0.0021, 0)</f>
        <v>62.733699999999999</v>
      </c>
      <c r="D598" s="10">
        <f>62.7316 * CHOOSE(CONTROL!$C$9, $D$9, 100%, $F$9) + CHOOSE(CONTROL!$C$27, 0.0021, 0)</f>
        <v>62.733699999999999</v>
      </c>
      <c r="E598" s="10">
        <f>62.5949 * CHOOSE(CONTROL!$C$9, $D$9, 100%, $F$9) + CHOOSE(CONTROL!$C$27, 0.0021, 0)</f>
        <v>62.597000000000001</v>
      </c>
      <c r="F598" s="10">
        <f>62.5949 * CHOOSE(CONTROL!$C$9, $D$9, 100%, $F$9) + CHOOSE(CONTROL!$C$27, 0.0021, 0)</f>
        <v>62.597000000000001</v>
      </c>
      <c r="G598" s="10">
        <f>62.8663 * CHOOSE(CONTROL!$C$9, $D$9, 100%, $F$9) + CHOOSE(CONTROL!$C$27, 0.0021, 0)</f>
        <v>62.868400000000001</v>
      </c>
      <c r="H598" s="10">
        <f>62.7316 * CHOOSE(CONTROL!$C$9, $D$9, 100%, $F$9) + CHOOSE(CONTROL!$C$27, 0.0021, 0)</f>
        <v>62.733699999999999</v>
      </c>
      <c r="I598" s="10">
        <f>62.7316 * CHOOSE(CONTROL!$C$9, $D$9, 100%, $F$9) + CHOOSE(CONTROL!$C$27, 0.0021, 0)</f>
        <v>62.733699999999999</v>
      </c>
      <c r="J598" s="10">
        <f>62.7316 * CHOOSE(CONTROL!$C$9, $D$9, 100%, $F$9) + CHOOSE(CONTROL!$C$27, 0.0021, 0)</f>
        <v>62.733699999999999</v>
      </c>
      <c r="K598" s="10">
        <f>62.7316 * CHOOSE(CONTROL!$C$9, $D$9, 100%, $F$9) + CHOOSE(CONTROL!$C$27, 0.0021, 0)</f>
        <v>62.733699999999999</v>
      </c>
      <c r="L598" s="10"/>
    </row>
    <row r="599" spans="1:12" ht="15.75" x14ac:dyDescent="0.25">
      <c r="A599" s="13">
        <v>59171</v>
      </c>
      <c r="B599" s="10">
        <f>61.9703 * CHOOSE(CONTROL!$C$9, $D$9, 100%, $F$9) + CHOOSE(CONTROL!$C$27, 0.0021, 0)</f>
        <v>61.9724</v>
      </c>
      <c r="C599" s="10">
        <f>61.538 * CHOOSE(CONTROL!$C$9, $D$9, 100%, $F$9) + CHOOSE(CONTROL!$C$27, 0.0021, 0)</f>
        <v>61.540099999999995</v>
      </c>
      <c r="D599" s="10">
        <f>61.538 * CHOOSE(CONTROL!$C$9, $D$9, 100%, $F$9) + CHOOSE(CONTROL!$C$27, 0.0021, 0)</f>
        <v>61.540099999999995</v>
      </c>
      <c r="E599" s="10">
        <f>61.4014 * CHOOSE(CONTROL!$C$9, $D$9, 100%, $F$9) + CHOOSE(CONTROL!$C$27, 0.0021, 0)</f>
        <v>61.403500000000001</v>
      </c>
      <c r="F599" s="10">
        <f>61.4014 * CHOOSE(CONTROL!$C$9, $D$9, 100%, $F$9) + CHOOSE(CONTROL!$C$27, 0.0021, 0)</f>
        <v>61.403500000000001</v>
      </c>
      <c r="G599" s="10">
        <f>61.6728 * CHOOSE(CONTROL!$C$9, $D$9, 100%, $F$9) + CHOOSE(CONTROL!$C$27, 0.0021, 0)</f>
        <v>61.674900000000001</v>
      </c>
      <c r="H599" s="10">
        <f>61.538 * CHOOSE(CONTROL!$C$9, $D$9, 100%, $F$9) + CHOOSE(CONTROL!$C$27, 0.0021, 0)</f>
        <v>61.540099999999995</v>
      </c>
      <c r="I599" s="10">
        <f>61.538 * CHOOSE(CONTROL!$C$9, $D$9, 100%, $F$9) + CHOOSE(CONTROL!$C$27, 0.0021, 0)</f>
        <v>61.540099999999995</v>
      </c>
      <c r="J599" s="10">
        <f>61.538 * CHOOSE(CONTROL!$C$9, $D$9, 100%, $F$9) + CHOOSE(CONTROL!$C$27, 0.0021, 0)</f>
        <v>61.540099999999995</v>
      </c>
      <c r="K599" s="10">
        <f>61.538 * CHOOSE(CONTROL!$C$9, $D$9, 100%, $F$9) + CHOOSE(CONTROL!$C$27, 0.0021, 0)</f>
        <v>61.540099999999995</v>
      </c>
      <c r="L599" s="10"/>
    </row>
    <row r="600" spans="1:12" ht="15.75" x14ac:dyDescent="0.25">
      <c r="A600" s="13">
        <v>59202</v>
      </c>
      <c r="B600" s="10">
        <f>61.1884 * CHOOSE(CONTROL!$C$9, $D$9, 100%, $F$9) + CHOOSE(CONTROL!$C$27, 0.0021, 0)</f>
        <v>61.1905</v>
      </c>
      <c r="C600" s="10">
        <f>60.7561 * CHOOSE(CONTROL!$C$9, $D$9, 100%, $F$9) + CHOOSE(CONTROL!$C$27, 0.0021, 0)</f>
        <v>60.758200000000002</v>
      </c>
      <c r="D600" s="10">
        <f>60.7561 * CHOOSE(CONTROL!$C$9, $D$9, 100%, $F$9) + CHOOSE(CONTROL!$C$27, 0.0021, 0)</f>
        <v>60.758200000000002</v>
      </c>
      <c r="E600" s="10">
        <f>60.6195 * CHOOSE(CONTROL!$C$9, $D$9, 100%, $F$9) + CHOOSE(CONTROL!$C$27, 0.0021, 0)</f>
        <v>60.621600000000001</v>
      </c>
      <c r="F600" s="10">
        <f>60.6195 * CHOOSE(CONTROL!$C$9, $D$9, 100%, $F$9) + CHOOSE(CONTROL!$C$27, 0.0021, 0)</f>
        <v>60.621600000000001</v>
      </c>
      <c r="G600" s="10">
        <f>60.8908 * CHOOSE(CONTROL!$C$9, $D$9, 100%, $F$9) + CHOOSE(CONTROL!$C$27, 0.0021, 0)</f>
        <v>60.892899999999997</v>
      </c>
      <c r="H600" s="10">
        <f>60.7561 * CHOOSE(CONTROL!$C$9, $D$9, 100%, $F$9) + CHOOSE(CONTROL!$C$27, 0.0021, 0)</f>
        <v>60.758200000000002</v>
      </c>
      <c r="I600" s="10">
        <f>60.7561 * CHOOSE(CONTROL!$C$9, $D$9, 100%, $F$9) + CHOOSE(CONTROL!$C$27, 0.0021, 0)</f>
        <v>60.758200000000002</v>
      </c>
      <c r="J600" s="10">
        <f>60.7561 * CHOOSE(CONTROL!$C$9, $D$9, 100%, $F$9) + CHOOSE(CONTROL!$C$27, 0.0021, 0)</f>
        <v>60.758200000000002</v>
      </c>
      <c r="K600" s="10">
        <f>60.7561 * CHOOSE(CONTROL!$C$9, $D$9, 100%, $F$9) + CHOOSE(CONTROL!$C$27, 0.0021, 0)</f>
        <v>60.758200000000002</v>
      </c>
      <c r="L600" s="10"/>
    </row>
    <row r="601" spans="1:12" ht="15.75" x14ac:dyDescent="0.25">
      <c r="A601" s="13">
        <v>59230</v>
      </c>
      <c r="B601" s="10">
        <f>59.5225 * CHOOSE(CONTROL!$C$9, $D$9, 100%, $F$9) + CHOOSE(CONTROL!$C$27, 0.0021, 0)</f>
        <v>59.5246</v>
      </c>
      <c r="C601" s="10">
        <f>59.0902 * CHOOSE(CONTROL!$C$9, $D$9, 100%, $F$9) + CHOOSE(CONTROL!$C$27, 0.0021, 0)</f>
        <v>59.092300000000002</v>
      </c>
      <c r="D601" s="10">
        <f>59.0902 * CHOOSE(CONTROL!$C$9, $D$9, 100%, $F$9) + CHOOSE(CONTROL!$C$27, 0.0021, 0)</f>
        <v>59.092300000000002</v>
      </c>
      <c r="E601" s="10">
        <f>58.9536 * CHOOSE(CONTROL!$C$9, $D$9, 100%, $F$9) + CHOOSE(CONTROL!$C$27, 0.0021, 0)</f>
        <v>58.9557</v>
      </c>
      <c r="F601" s="10">
        <f>58.9536 * CHOOSE(CONTROL!$C$9, $D$9, 100%, $F$9) + CHOOSE(CONTROL!$C$27, 0.0021, 0)</f>
        <v>58.9557</v>
      </c>
      <c r="G601" s="10">
        <f>59.2249 * CHOOSE(CONTROL!$C$9, $D$9, 100%, $F$9) + CHOOSE(CONTROL!$C$27, 0.0021, 0)</f>
        <v>59.226999999999997</v>
      </c>
      <c r="H601" s="10">
        <f>59.0902 * CHOOSE(CONTROL!$C$9, $D$9, 100%, $F$9) + CHOOSE(CONTROL!$C$27, 0.0021, 0)</f>
        <v>59.092300000000002</v>
      </c>
      <c r="I601" s="10">
        <f>59.0902 * CHOOSE(CONTROL!$C$9, $D$9, 100%, $F$9) + CHOOSE(CONTROL!$C$27, 0.0021, 0)</f>
        <v>59.092300000000002</v>
      </c>
      <c r="J601" s="10">
        <f>59.0902 * CHOOSE(CONTROL!$C$9, $D$9, 100%, $F$9) + CHOOSE(CONTROL!$C$27, 0.0021, 0)</f>
        <v>59.092300000000002</v>
      </c>
      <c r="K601" s="10">
        <f>59.0902 * CHOOSE(CONTROL!$C$9, $D$9, 100%, $F$9) + CHOOSE(CONTROL!$C$27, 0.0021, 0)</f>
        <v>59.092300000000002</v>
      </c>
      <c r="L601" s="10"/>
    </row>
    <row r="602" spans="1:12" ht="15.75" x14ac:dyDescent="0.25">
      <c r="A602" s="13">
        <v>59261</v>
      </c>
      <c r="B602" s="10">
        <f>58.8348 * CHOOSE(CONTROL!$C$9, $D$9, 100%, $F$9) + CHOOSE(CONTROL!$C$27, 0.0021, 0)</f>
        <v>58.8369</v>
      </c>
      <c r="C602" s="10">
        <f>58.4026 * CHOOSE(CONTROL!$C$9, $D$9, 100%, $F$9) + CHOOSE(CONTROL!$C$27, 0.0021, 0)</f>
        <v>58.404699999999998</v>
      </c>
      <c r="D602" s="10">
        <f>58.4026 * CHOOSE(CONTROL!$C$9, $D$9, 100%, $F$9) + CHOOSE(CONTROL!$C$27, 0.0021, 0)</f>
        <v>58.404699999999998</v>
      </c>
      <c r="E602" s="10">
        <f>58.2659 * CHOOSE(CONTROL!$C$9, $D$9, 100%, $F$9) + CHOOSE(CONTROL!$C$27, 0.0021, 0)</f>
        <v>58.268000000000001</v>
      </c>
      <c r="F602" s="10">
        <f>58.2659 * CHOOSE(CONTROL!$C$9, $D$9, 100%, $F$9) + CHOOSE(CONTROL!$C$27, 0.0021, 0)</f>
        <v>58.268000000000001</v>
      </c>
      <c r="G602" s="10">
        <f>58.5373 * CHOOSE(CONTROL!$C$9, $D$9, 100%, $F$9) + CHOOSE(CONTROL!$C$27, 0.0021, 0)</f>
        <v>58.539400000000001</v>
      </c>
      <c r="H602" s="10">
        <f>58.4026 * CHOOSE(CONTROL!$C$9, $D$9, 100%, $F$9) + CHOOSE(CONTROL!$C$27, 0.0021, 0)</f>
        <v>58.404699999999998</v>
      </c>
      <c r="I602" s="10">
        <f>58.4026 * CHOOSE(CONTROL!$C$9, $D$9, 100%, $F$9) + CHOOSE(CONTROL!$C$27, 0.0021, 0)</f>
        <v>58.404699999999998</v>
      </c>
      <c r="J602" s="10">
        <f>58.4026 * CHOOSE(CONTROL!$C$9, $D$9, 100%, $F$9) + CHOOSE(CONTROL!$C$27, 0.0021, 0)</f>
        <v>58.404699999999998</v>
      </c>
      <c r="K602" s="10">
        <f>58.4026 * CHOOSE(CONTROL!$C$9, $D$9, 100%, $F$9) + CHOOSE(CONTROL!$C$27, 0.0021, 0)</f>
        <v>58.404699999999998</v>
      </c>
      <c r="L602" s="10"/>
    </row>
    <row r="603" spans="1:12" ht="15.75" x14ac:dyDescent="0.25">
      <c r="A603" s="13">
        <v>59291</v>
      </c>
      <c r="B603" s="10">
        <f>58.0137 * CHOOSE(CONTROL!$C$9, $D$9, 100%, $F$9) + CHOOSE(CONTROL!$C$27, 0.0021, 0)</f>
        <v>58.015799999999999</v>
      </c>
      <c r="C603" s="10">
        <f>57.5814 * CHOOSE(CONTROL!$C$9, $D$9, 100%, $F$9) + CHOOSE(CONTROL!$C$27, 0.0021, 0)</f>
        <v>57.583500000000001</v>
      </c>
      <c r="D603" s="10">
        <f>57.5814 * CHOOSE(CONTROL!$C$9, $D$9, 100%, $F$9) + CHOOSE(CONTROL!$C$27, 0.0021, 0)</f>
        <v>57.583500000000001</v>
      </c>
      <c r="E603" s="10">
        <f>57.4448 * CHOOSE(CONTROL!$C$9, $D$9, 100%, $F$9) + CHOOSE(CONTROL!$C$27, 0.0021, 0)</f>
        <v>57.446899999999999</v>
      </c>
      <c r="F603" s="10">
        <f>57.4448 * CHOOSE(CONTROL!$C$9, $D$9, 100%, $F$9) + CHOOSE(CONTROL!$C$27, 0.0021, 0)</f>
        <v>57.446899999999999</v>
      </c>
      <c r="G603" s="10">
        <f>57.7162 * CHOOSE(CONTROL!$C$9, $D$9, 100%, $F$9) + CHOOSE(CONTROL!$C$27, 0.0021, 0)</f>
        <v>57.718299999999999</v>
      </c>
      <c r="H603" s="10">
        <f>57.5814 * CHOOSE(CONTROL!$C$9, $D$9, 100%, $F$9) + CHOOSE(CONTROL!$C$27, 0.0021, 0)</f>
        <v>57.583500000000001</v>
      </c>
      <c r="I603" s="10">
        <f>57.5814 * CHOOSE(CONTROL!$C$9, $D$9, 100%, $F$9) + CHOOSE(CONTROL!$C$27, 0.0021, 0)</f>
        <v>57.583500000000001</v>
      </c>
      <c r="J603" s="10">
        <f>57.5814 * CHOOSE(CONTROL!$C$9, $D$9, 100%, $F$9) + CHOOSE(CONTROL!$C$27, 0.0021, 0)</f>
        <v>57.583500000000001</v>
      </c>
      <c r="K603" s="10">
        <f>57.5814 * CHOOSE(CONTROL!$C$9, $D$9, 100%, $F$9) + CHOOSE(CONTROL!$C$27, 0.0021, 0)</f>
        <v>57.583500000000001</v>
      </c>
      <c r="L603" s="10"/>
    </row>
    <row r="604" spans="1:12" ht="15.75" x14ac:dyDescent="0.25">
      <c r="A604" s="13">
        <v>59322</v>
      </c>
      <c r="B604" s="10">
        <f>59.1839 * CHOOSE(CONTROL!$C$9, $D$9, 100%, $F$9) + CHOOSE(CONTROL!$C$27, 0.0021, 0)</f>
        <v>59.186</v>
      </c>
      <c r="C604" s="10">
        <f>58.7516 * CHOOSE(CONTROL!$C$9, $D$9, 100%, $F$9) + CHOOSE(CONTROL!$C$27, 0.0021, 0)</f>
        <v>58.753700000000002</v>
      </c>
      <c r="D604" s="10">
        <f>58.7516 * CHOOSE(CONTROL!$C$9, $D$9, 100%, $F$9) + CHOOSE(CONTROL!$C$27, 0.0021, 0)</f>
        <v>58.753700000000002</v>
      </c>
      <c r="E604" s="10">
        <f>58.615 * CHOOSE(CONTROL!$C$9, $D$9, 100%, $F$9) + CHOOSE(CONTROL!$C$27, 0.0021, 0)</f>
        <v>58.617100000000001</v>
      </c>
      <c r="F604" s="10">
        <f>58.615 * CHOOSE(CONTROL!$C$9, $D$9, 100%, $F$9) + CHOOSE(CONTROL!$C$27, 0.0021, 0)</f>
        <v>58.617100000000001</v>
      </c>
      <c r="G604" s="10">
        <f>58.8863 * CHOOSE(CONTROL!$C$9, $D$9, 100%, $F$9) + CHOOSE(CONTROL!$C$27, 0.0021, 0)</f>
        <v>58.888399999999997</v>
      </c>
      <c r="H604" s="10">
        <f>58.7516 * CHOOSE(CONTROL!$C$9, $D$9, 100%, $F$9) + CHOOSE(CONTROL!$C$27, 0.0021, 0)</f>
        <v>58.753700000000002</v>
      </c>
      <c r="I604" s="10">
        <f>58.7516 * CHOOSE(CONTROL!$C$9, $D$9, 100%, $F$9) + CHOOSE(CONTROL!$C$27, 0.0021, 0)</f>
        <v>58.753700000000002</v>
      </c>
      <c r="J604" s="10">
        <f>58.7516 * CHOOSE(CONTROL!$C$9, $D$9, 100%, $F$9) + CHOOSE(CONTROL!$C$27, 0.0021, 0)</f>
        <v>58.753700000000002</v>
      </c>
      <c r="K604" s="10">
        <f>58.7516 * CHOOSE(CONTROL!$C$9, $D$9, 100%, $F$9) + CHOOSE(CONTROL!$C$27, 0.0021, 0)</f>
        <v>58.753700000000002</v>
      </c>
      <c r="L604" s="10"/>
    </row>
    <row r="605" spans="1:12" ht="15.75" x14ac:dyDescent="0.25">
      <c r="A605" s="13">
        <v>59352</v>
      </c>
      <c r="B605" s="10">
        <f>59.8848 * CHOOSE(CONTROL!$C$9, $D$9, 100%, $F$9) + CHOOSE(CONTROL!$C$27, 0.0021, 0)</f>
        <v>59.886899999999997</v>
      </c>
      <c r="C605" s="10">
        <f>59.4525 * CHOOSE(CONTROL!$C$9, $D$9, 100%, $F$9) + CHOOSE(CONTROL!$C$27, 0.0021, 0)</f>
        <v>59.454599999999999</v>
      </c>
      <c r="D605" s="10">
        <f>59.4525 * CHOOSE(CONTROL!$C$9, $D$9, 100%, $F$9) + CHOOSE(CONTROL!$C$27, 0.0021, 0)</f>
        <v>59.454599999999999</v>
      </c>
      <c r="E605" s="10">
        <f>59.3158 * CHOOSE(CONTROL!$C$9, $D$9, 100%, $F$9) + CHOOSE(CONTROL!$C$27, 0.0021, 0)</f>
        <v>59.317900000000002</v>
      </c>
      <c r="F605" s="10">
        <f>59.3158 * CHOOSE(CONTROL!$C$9, $D$9, 100%, $F$9) + CHOOSE(CONTROL!$C$27, 0.0021, 0)</f>
        <v>59.317900000000002</v>
      </c>
      <c r="G605" s="10">
        <f>59.5872 * CHOOSE(CONTROL!$C$9, $D$9, 100%, $F$9) + CHOOSE(CONTROL!$C$27, 0.0021, 0)</f>
        <v>59.589300000000001</v>
      </c>
      <c r="H605" s="10">
        <f>59.4525 * CHOOSE(CONTROL!$C$9, $D$9, 100%, $F$9) + CHOOSE(CONTROL!$C$27, 0.0021, 0)</f>
        <v>59.454599999999999</v>
      </c>
      <c r="I605" s="10">
        <f>59.4525 * CHOOSE(CONTROL!$C$9, $D$9, 100%, $F$9) + CHOOSE(CONTROL!$C$27, 0.0021, 0)</f>
        <v>59.454599999999999</v>
      </c>
      <c r="J605" s="10">
        <f>59.4525 * CHOOSE(CONTROL!$C$9, $D$9, 100%, $F$9) + CHOOSE(CONTROL!$C$27, 0.0021, 0)</f>
        <v>59.454599999999999</v>
      </c>
      <c r="K605" s="10">
        <f>59.4525 * CHOOSE(CONTROL!$C$9, $D$9, 100%, $F$9) + CHOOSE(CONTROL!$C$27, 0.0021, 0)</f>
        <v>59.454599999999999</v>
      </c>
      <c r="L605" s="10"/>
    </row>
    <row r="606" spans="1:12" ht="15.75" x14ac:dyDescent="0.25">
      <c r="A606" s="13">
        <v>59383</v>
      </c>
      <c r="B606" s="10">
        <f>61.041 * CHOOSE(CONTROL!$C$9, $D$9, 100%, $F$9) + CHOOSE(CONTROL!$C$27, 0.0021, 0)</f>
        <v>61.043099999999995</v>
      </c>
      <c r="C606" s="10">
        <f>60.6087 * CHOOSE(CONTROL!$C$9, $D$9, 100%, $F$9) + CHOOSE(CONTROL!$C$27, 0.0021, 0)</f>
        <v>60.610799999999998</v>
      </c>
      <c r="D606" s="10">
        <f>60.6087 * CHOOSE(CONTROL!$C$9, $D$9, 100%, $F$9) + CHOOSE(CONTROL!$C$27, 0.0021, 0)</f>
        <v>60.610799999999998</v>
      </c>
      <c r="E606" s="10">
        <f>60.4721 * CHOOSE(CONTROL!$C$9, $D$9, 100%, $F$9) + CHOOSE(CONTROL!$C$27, 0.0021, 0)</f>
        <v>60.474199999999996</v>
      </c>
      <c r="F606" s="10">
        <f>60.4721 * CHOOSE(CONTROL!$C$9, $D$9, 100%, $F$9) + CHOOSE(CONTROL!$C$27, 0.0021, 0)</f>
        <v>60.474199999999996</v>
      </c>
      <c r="G606" s="10">
        <f>60.7434 * CHOOSE(CONTROL!$C$9, $D$9, 100%, $F$9) + CHOOSE(CONTROL!$C$27, 0.0021, 0)</f>
        <v>60.7455</v>
      </c>
      <c r="H606" s="10">
        <f>60.6087 * CHOOSE(CONTROL!$C$9, $D$9, 100%, $F$9) + CHOOSE(CONTROL!$C$27, 0.0021, 0)</f>
        <v>60.610799999999998</v>
      </c>
      <c r="I606" s="10">
        <f>60.6087 * CHOOSE(CONTROL!$C$9, $D$9, 100%, $F$9) + CHOOSE(CONTROL!$C$27, 0.0021, 0)</f>
        <v>60.610799999999998</v>
      </c>
      <c r="J606" s="10">
        <f>60.6087 * CHOOSE(CONTROL!$C$9, $D$9, 100%, $F$9) + CHOOSE(CONTROL!$C$27, 0.0021, 0)</f>
        <v>60.610799999999998</v>
      </c>
      <c r="K606" s="10">
        <f>60.6087 * CHOOSE(CONTROL!$C$9, $D$9, 100%, $F$9) + CHOOSE(CONTROL!$C$27, 0.0021, 0)</f>
        <v>60.610799999999998</v>
      </c>
      <c r="L606" s="10"/>
    </row>
    <row r="607" spans="1:12" ht="15.75" x14ac:dyDescent="0.25">
      <c r="A607" s="13">
        <v>59414</v>
      </c>
      <c r="B607" s="10">
        <f>61.3939 * CHOOSE(CONTROL!$C$9, $D$9, 100%, $F$9) + CHOOSE(CONTROL!$C$27, 0.0021, 0)</f>
        <v>61.396000000000001</v>
      </c>
      <c r="C607" s="10">
        <f>60.9616 * CHOOSE(CONTROL!$C$9, $D$9, 100%, $F$9) + CHOOSE(CONTROL!$C$27, 0.0021, 0)</f>
        <v>60.963699999999996</v>
      </c>
      <c r="D607" s="10">
        <f>60.9616 * CHOOSE(CONTROL!$C$9, $D$9, 100%, $F$9) + CHOOSE(CONTROL!$C$27, 0.0021, 0)</f>
        <v>60.963699999999996</v>
      </c>
      <c r="E607" s="10">
        <f>60.825 * CHOOSE(CONTROL!$C$9, $D$9, 100%, $F$9) + CHOOSE(CONTROL!$C$27, 0.0021, 0)</f>
        <v>60.827100000000002</v>
      </c>
      <c r="F607" s="10">
        <f>60.825 * CHOOSE(CONTROL!$C$9, $D$9, 100%, $F$9) + CHOOSE(CONTROL!$C$27, 0.0021, 0)</f>
        <v>60.827100000000002</v>
      </c>
      <c r="G607" s="10">
        <f>61.0963 * CHOOSE(CONTROL!$C$9, $D$9, 100%, $F$9) + CHOOSE(CONTROL!$C$27, 0.0021, 0)</f>
        <v>61.098399999999998</v>
      </c>
      <c r="H607" s="10">
        <f>60.9616 * CHOOSE(CONTROL!$C$9, $D$9, 100%, $F$9) + CHOOSE(CONTROL!$C$27, 0.0021, 0)</f>
        <v>60.963699999999996</v>
      </c>
      <c r="I607" s="10">
        <f>60.9616 * CHOOSE(CONTROL!$C$9, $D$9, 100%, $F$9) + CHOOSE(CONTROL!$C$27, 0.0021, 0)</f>
        <v>60.963699999999996</v>
      </c>
      <c r="J607" s="10">
        <f>60.9616 * CHOOSE(CONTROL!$C$9, $D$9, 100%, $F$9) + CHOOSE(CONTROL!$C$27, 0.0021, 0)</f>
        <v>60.963699999999996</v>
      </c>
      <c r="K607" s="10">
        <f>60.9616 * CHOOSE(CONTROL!$C$9, $D$9, 100%, $F$9) + CHOOSE(CONTROL!$C$27, 0.0021, 0)</f>
        <v>60.963699999999996</v>
      </c>
      <c r="L607" s="10"/>
    </row>
    <row r="608" spans="1:12" ht="15.75" x14ac:dyDescent="0.25">
      <c r="A608" s="13">
        <v>59444</v>
      </c>
      <c r="B608" s="10">
        <f>62.5957 * CHOOSE(CONTROL!$C$9, $D$9, 100%, $F$9) + CHOOSE(CONTROL!$C$27, 0.0021, 0)</f>
        <v>62.597799999999999</v>
      </c>
      <c r="C608" s="10">
        <f>62.1635 * CHOOSE(CONTROL!$C$9, $D$9, 100%, $F$9) + CHOOSE(CONTROL!$C$27, 0.0021, 0)</f>
        <v>62.165599999999998</v>
      </c>
      <c r="D608" s="10">
        <f>62.1635 * CHOOSE(CONTROL!$C$9, $D$9, 100%, $F$9) + CHOOSE(CONTROL!$C$27, 0.0021, 0)</f>
        <v>62.165599999999998</v>
      </c>
      <c r="E608" s="10">
        <f>62.0268 * CHOOSE(CONTROL!$C$9, $D$9, 100%, $F$9) + CHOOSE(CONTROL!$C$27, 0.0021, 0)</f>
        <v>62.0289</v>
      </c>
      <c r="F608" s="10">
        <f>62.0268 * CHOOSE(CONTROL!$C$9, $D$9, 100%, $F$9) + CHOOSE(CONTROL!$C$27, 0.0021, 0)</f>
        <v>62.0289</v>
      </c>
      <c r="G608" s="10">
        <f>62.2982 * CHOOSE(CONTROL!$C$9, $D$9, 100%, $F$9) + CHOOSE(CONTROL!$C$27, 0.0021, 0)</f>
        <v>62.3003</v>
      </c>
      <c r="H608" s="10">
        <f>62.1635 * CHOOSE(CONTROL!$C$9, $D$9, 100%, $F$9) + CHOOSE(CONTROL!$C$27, 0.0021, 0)</f>
        <v>62.165599999999998</v>
      </c>
      <c r="I608" s="10">
        <f>62.1635 * CHOOSE(CONTROL!$C$9, $D$9, 100%, $F$9) + CHOOSE(CONTROL!$C$27, 0.0021, 0)</f>
        <v>62.165599999999998</v>
      </c>
      <c r="J608" s="10">
        <f>62.1635 * CHOOSE(CONTROL!$C$9, $D$9, 100%, $F$9) + CHOOSE(CONTROL!$C$27, 0.0021, 0)</f>
        <v>62.165599999999998</v>
      </c>
      <c r="K608" s="10">
        <f>62.1635 * CHOOSE(CONTROL!$C$9, $D$9, 100%, $F$9) + CHOOSE(CONTROL!$C$27, 0.0021, 0)</f>
        <v>62.165599999999998</v>
      </c>
      <c r="L608" s="10"/>
    </row>
    <row r="609" spans="1:12" ht="15.75" x14ac:dyDescent="0.25">
      <c r="A609" s="13">
        <v>59475</v>
      </c>
      <c r="B609" s="10">
        <f>64.117 * CHOOSE(CONTROL!$C$9, $D$9, 100%, $F$9) + CHOOSE(CONTROL!$C$27, 0.0021, 0)</f>
        <v>64.119100000000003</v>
      </c>
      <c r="C609" s="10">
        <f>63.6848 * CHOOSE(CONTROL!$C$9, $D$9, 100%, $F$9) + CHOOSE(CONTROL!$C$27, 0.0021, 0)</f>
        <v>63.686900000000001</v>
      </c>
      <c r="D609" s="10">
        <f>63.6848 * CHOOSE(CONTROL!$C$9, $D$9, 100%, $F$9) + CHOOSE(CONTROL!$C$27, 0.0021, 0)</f>
        <v>63.686900000000001</v>
      </c>
      <c r="E609" s="10">
        <f>63.5481 * CHOOSE(CONTROL!$C$9, $D$9, 100%, $F$9) + CHOOSE(CONTROL!$C$27, 0.0021, 0)</f>
        <v>63.550199999999997</v>
      </c>
      <c r="F609" s="10">
        <f>63.5481 * CHOOSE(CONTROL!$C$9, $D$9, 100%, $F$9) + CHOOSE(CONTROL!$C$27, 0.0021, 0)</f>
        <v>63.550199999999997</v>
      </c>
      <c r="G609" s="10">
        <f>63.8195 * CHOOSE(CONTROL!$C$9, $D$9, 100%, $F$9) + CHOOSE(CONTROL!$C$27, 0.0021, 0)</f>
        <v>63.821599999999997</v>
      </c>
      <c r="H609" s="10">
        <f>63.6848 * CHOOSE(CONTROL!$C$9, $D$9, 100%, $F$9) + CHOOSE(CONTROL!$C$27, 0.0021, 0)</f>
        <v>63.686900000000001</v>
      </c>
      <c r="I609" s="10">
        <f>63.6848 * CHOOSE(CONTROL!$C$9, $D$9, 100%, $F$9) + CHOOSE(CONTROL!$C$27, 0.0021, 0)</f>
        <v>63.686900000000001</v>
      </c>
      <c r="J609" s="10">
        <f>63.6848 * CHOOSE(CONTROL!$C$9, $D$9, 100%, $F$9) + CHOOSE(CONTROL!$C$27, 0.0021, 0)</f>
        <v>63.686900000000001</v>
      </c>
      <c r="K609" s="10">
        <f>63.6848 * CHOOSE(CONTROL!$C$9, $D$9, 100%, $F$9) + CHOOSE(CONTROL!$C$27, 0.0021, 0)</f>
        <v>63.686900000000001</v>
      </c>
      <c r="L609" s="10"/>
    </row>
    <row r="610" spans="1:12" ht="15.75" x14ac:dyDescent="0.25">
      <c r="A610" s="13">
        <v>59505</v>
      </c>
      <c r="B610" s="10">
        <f>64.2598 * CHOOSE(CONTROL!$C$9, $D$9, 100%, $F$9) + CHOOSE(CONTROL!$C$27, 0.0021, 0)</f>
        <v>64.261899999999997</v>
      </c>
      <c r="C610" s="10">
        <f>63.8276 * CHOOSE(CONTROL!$C$9, $D$9, 100%, $F$9) + CHOOSE(CONTROL!$C$27, 0.0021, 0)</f>
        <v>63.829699999999995</v>
      </c>
      <c r="D610" s="10">
        <f>63.8276 * CHOOSE(CONTROL!$C$9, $D$9, 100%, $F$9) + CHOOSE(CONTROL!$C$27, 0.0021, 0)</f>
        <v>63.829699999999995</v>
      </c>
      <c r="E610" s="10">
        <f>63.6909 * CHOOSE(CONTROL!$C$9, $D$9, 100%, $F$9) + CHOOSE(CONTROL!$C$27, 0.0021, 0)</f>
        <v>63.692999999999998</v>
      </c>
      <c r="F610" s="10">
        <f>63.6909 * CHOOSE(CONTROL!$C$9, $D$9, 100%, $F$9) + CHOOSE(CONTROL!$C$27, 0.0021, 0)</f>
        <v>63.692999999999998</v>
      </c>
      <c r="G610" s="10">
        <f>63.9623 * CHOOSE(CONTROL!$C$9, $D$9, 100%, $F$9) + CHOOSE(CONTROL!$C$27, 0.0021, 0)</f>
        <v>63.964399999999998</v>
      </c>
      <c r="H610" s="10">
        <f>63.8276 * CHOOSE(CONTROL!$C$9, $D$9, 100%, $F$9) + CHOOSE(CONTROL!$C$27, 0.0021, 0)</f>
        <v>63.829699999999995</v>
      </c>
      <c r="I610" s="10">
        <f>63.8276 * CHOOSE(CONTROL!$C$9, $D$9, 100%, $F$9) + CHOOSE(CONTROL!$C$27, 0.0021, 0)</f>
        <v>63.829699999999995</v>
      </c>
      <c r="J610" s="10">
        <f>63.8276 * CHOOSE(CONTROL!$C$9, $D$9, 100%, $F$9) + CHOOSE(CONTROL!$C$27, 0.0021, 0)</f>
        <v>63.829699999999995</v>
      </c>
      <c r="K610" s="10">
        <f>63.8276 * CHOOSE(CONTROL!$C$9, $D$9, 100%, $F$9) + CHOOSE(CONTROL!$C$27, 0.0021, 0)</f>
        <v>63.829699999999995</v>
      </c>
      <c r="L610" s="10"/>
    </row>
    <row r="611" spans="1:12" ht="15.75" x14ac:dyDescent="0.25">
      <c r="A611" s="13">
        <v>59536</v>
      </c>
      <c r="B611" s="10">
        <f>63.0448 * CHOOSE(CONTROL!$C$9, $D$9, 100%, $F$9) + CHOOSE(CONTROL!$C$27, 0.0021, 0)</f>
        <v>63.046900000000001</v>
      </c>
      <c r="C611" s="10">
        <f>62.6125 * CHOOSE(CONTROL!$C$9, $D$9, 100%, $F$9) + CHOOSE(CONTROL!$C$27, 0.0021, 0)</f>
        <v>62.614599999999996</v>
      </c>
      <c r="D611" s="10">
        <f>62.6125 * CHOOSE(CONTROL!$C$9, $D$9, 100%, $F$9) + CHOOSE(CONTROL!$C$27, 0.0021, 0)</f>
        <v>62.614599999999996</v>
      </c>
      <c r="E611" s="10">
        <f>62.4759 * CHOOSE(CONTROL!$C$9, $D$9, 100%, $F$9) + CHOOSE(CONTROL!$C$27, 0.0021, 0)</f>
        <v>62.478000000000002</v>
      </c>
      <c r="F611" s="10">
        <f>62.4759 * CHOOSE(CONTROL!$C$9, $D$9, 100%, $F$9) + CHOOSE(CONTROL!$C$27, 0.0021, 0)</f>
        <v>62.478000000000002</v>
      </c>
      <c r="G611" s="10">
        <f>62.7473 * CHOOSE(CONTROL!$C$9, $D$9, 100%, $F$9) + CHOOSE(CONTROL!$C$27, 0.0021, 0)</f>
        <v>62.749400000000001</v>
      </c>
      <c r="H611" s="10">
        <f>62.6125 * CHOOSE(CONTROL!$C$9, $D$9, 100%, $F$9) + CHOOSE(CONTROL!$C$27, 0.0021, 0)</f>
        <v>62.614599999999996</v>
      </c>
      <c r="I611" s="10">
        <f>62.6125 * CHOOSE(CONTROL!$C$9, $D$9, 100%, $F$9) + CHOOSE(CONTROL!$C$27, 0.0021, 0)</f>
        <v>62.614599999999996</v>
      </c>
      <c r="J611" s="10">
        <f>62.6125 * CHOOSE(CONTROL!$C$9, $D$9, 100%, $F$9) + CHOOSE(CONTROL!$C$27, 0.0021, 0)</f>
        <v>62.614599999999996</v>
      </c>
      <c r="K611" s="10">
        <f>62.6125 * CHOOSE(CONTROL!$C$9, $D$9, 100%, $F$9) + CHOOSE(CONTROL!$C$27, 0.0021, 0)</f>
        <v>62.614599999999996</v>
      </c>
      <c r="L611" s="10"/>
    </row>
    <row r="612" spans="1:12" ht="15.75" x14ac:dyDescent="0.25">
      <c r="A612" s="13">
        <v>59567</v>
      </c>
      <c r="B612" s="10">
        <f>62.2488 * CHOOSE(CONTROL!$C$9, $D$9, 100%, $F$9) + CHOOSE(CONTROL!$C$27, 0.0021, 0)</f>
        <v>62.250900000000001</v>
      </c>
      <c r="C612" s="10">
        <f>61.8165 * CHOOSE(CONTROL!$C$9, $D$9, 100%, $F$9) + CHOOSE(CONTROL!$C$27, 0.0021, 0)</f>
        <v>61.818599999999996</v>
      </c>
      <c r="D612" s="10">
        <f>61.8165 * CHOOSE(CONTROL!$C$9, $D$9, 100%, $F$9) + CHOOSE(CONTROL!$C$27, 0.0021, 0)</f>
        <v>61.818599999999996</v>
      </c>
      <c r="E612" s="10">
        <f>61.6799 * CHOOSE(CONTROL!$C$9, $D$9, 100%, $F$9) + CHOOSE(CONTROL!$C$27, 0.0021, 0)</f>
        <v>61.682000000000002</v>
      </c>
      <c r="F612" s="10">
        <f>61.6799 * CHOOSE(CONTROL!$C$9, $D$9, 100%, $F$9) + CHOOSE(CONTROL!$C$27, 0.0021, 0)</f>
        <v>61.682000000000002</v>
      </c>
      <c r="G612" s="10">
        <f>61.9513 * CHOOSE(CONTROL!$C$9, $D$9, 100%, $F$9) + CHOOSE(CONTROL!$C$27, 0.0021, 0)</f>
        <v>61.953400000000002</v>
      </c>
      <c r="H612" s="10">
        <f>61.8165 * CHOOSE(CONTROL!$C$9, $D$9, 100%, $F$9) + CHOOSE(CONTROL!$C$27, 0.0021, 0)</f>
        <v>61.818599999999996</v>
      </c>
      <c r="I612" s="10">
        <f>61.8165 * CHOOSE(CONTROL!$C$9, $D$9, 100%, $F$9) + CHOOSE(CONTROL!$C$27, 0.0021, 0)</f>
        <v>61.818599999999996</v>
      </c>
      <c r="J612" s="10">
        <f>61.8165 * CHOOSE(CONTROL!$C$9, $D$9, 100%, $F$9) + CHOOSE(CONTROL!$C$27, 0.0021, 0)</f>
        <v>61.818599999999996</v>
      </c>
      <c r="K612" s="10">
        <f>61.8165 * CHOOSE(CONTROL!$C$9, $D$9, 100%, $F$9) + CHOOSE(CONTROL!$C$27, 0.0021, 0)</f>
        <v>61.818599999999996</v>
      </c>
      <c r="L612" s="10"/>
    </row>
    <row r="613" spans="1:12" ht="15.75" x14ac:dyDescent="0.25">
      <c r="A613" s="13">
        <v>59595</v>
      </c>
      <c r="B613" s="10">
        <f>60.5529 * CHOOSE(CONTROL!$C$9, $D$9, 100%, $F$9) + CHOOSE(CONTROL!$C$27, 0.0021, 0)</f>
        <v>60.555</v>
      </c>
      <c r="C613" s="10">
        <f>60.1207 * CHOOSE(CONTROL!$C$9, $D$9, 100%, $F$9) + CHOOSE(CONTROL!$C$27, 0.0021, 0)</f>
        <v>60.122799999999998</v>
      </c>
      <c r="D613" s="10">
        <f>60.1207 * CHOOSE(CONTROL!$C$9, $D$9, 100%, $F$9) + CHOOSE(CONTROL!$C$27, 0.0021, 0)</f>
        <v>60.122799999999998</v>
      </c>
      <c r="E613" s="10">
        <f>59.984 * CHOOSE(CONTROL!$C$9, $D$9, 100%, $F$9) + CHOOSE(CONTROL!$C$27, 0.0021, 0)</f>
        <v>59.9861</v>
      </c>
      <c r="F613" s="10">
        <f>59.984 * CHOOSE(CONTROL!$C$9, $D$9, 100%, $F$9) + CHOOSE(CONTROL!$C$27, 0.0021, 0)</f>
        <v>59.9861</v>
      </c>
      <c r="G613" s="10">
        <f>60.2554 * CHOOSE(CONTROL!$C$9, $D$9, 100%, $F$9) + CHOOSE(CONTROL!$C$27, 0.0021, 0)</f>
        <v>60.2575</v>
      </c>
      <c r="H613" s="10">
        <f>60.1207 * CHOOSE(CONTROL!$C$9, $D$9, 100%, $F$9) + CHOOSE(CONTROL!$C$27, 0.0021, 0)</f>
        <v>60.122799999999998</v>
      </c>
      <c r="I613" s="10">
        <f>60.1207 * CHOOSE(CONTROL!$C$9, $D$9, 100%, $F$9) + CHOOSE(CONTROL!$C$27, 0.0021, 0)</f>
        <v>60.122799999999998</v>
      </c>
      <c r="J613" s="10">
        <f>60.1207 * CHOOSE(CONTROL!$C$9, $D$9, 100%, $F$9) + CHOOSE(CONTROL!$C$27, 0.0021, 0)</f>
        <v>60.122799999999998</v>
      </c>
      <c r="K613" s="10">
        <f>60.1207 * CHOOSE(CONTROL!$C$9, $D$9, 100%, $F$9) + CHOOSE(CONTROL!$C$27, 0.0021, 0)</f>
        <v>60.122799999999998</v>
      </c>
      <c r="L613" s="10"/>
    </row>
    <row r="614" spans="1:12" ht="15.75" x14ac:dyDescent="0.25">
      <c r="A614" s="13">
        <v>59626</v>
      </c>
      <c r="B614" s="10">
        <f>59.8528 * CHOOSE(CONTROL!$C$9, $D$9, 100%, $F$9) + CHOOSE(CONTROL!$C$27, 0.0021, 0)</f>
        <v>59.854900000000001</v>
      </c>
      <c r="C614" s="10">
        <f>59.4206 * CHOOSE(CONTROL!$C$9, $D$9, 100%, $F$9) + CHOOSE(CONTROL!$C$27, 0.0021, 0)</f>
        <v>59.422699999999999</v>
      </c>
      <c r="D614" s="10">
        <f>59.4206 * CHOOSE(CONTROL!$C$9, $D$9, 100%, $F$9) + CHOOSE(CONTROL!$C$27, 0.0021, 0)</f>
        <v>59.422699999999999</v>
      </c>
      <c r="E614" s="10">
        <f>59.2839 * CHOOSE(CONTROL!$C$9, $D$9, 100%, $F$9) + CHOOSE(CONTROL!$C$27, 0.0021, 0)</f>
        <v>59.286000000000001</v>
      </c>
      <c r="F614" s="10">
        <f>59.2839 * CHOOSE(CONTROL!$C$9, $D$9, 100%, $F$9) + CHOOSE(CONTROL!$C$27, 0.0021, 0)</f>
        <v>59.286000000000001</v>
      </c>
      <c r="G614" s="10">
        <f>59.5553 * CHOOSE(CONTROL!$C$9, $D$9, 100%, $F$9) + CHOOSE(CONTROL!$C$27, 0.0021, 0)</f>
        <v>59.557400000000001</v>
      </c>
      <c r="H614" s="10">
        <f>59.4206 * CHOOSE(CONTROL!$C$9, $D$9, 100%, $F$9) + CHOOSE(CONTROL!$C$27, 0.0021, 0)</f>
        <v>59.422699999999999</v>
      </c>
      <c r="I614" s="10">
        <f>59.4206 * CHOOSE(CONTROL!$C$9, $D$9, 100%, $F$9) + CHOOSE(CONTROL!$C$27, 0.0021, 0)</f>
        <v>59.422699999999999</v>
      </c>
      <c r="J614" s="10">
        <f>59.4206 * CHOOSE(CONTROL!$C$9, $D$9, 100%, $F$9) + CHOOSE(CONTROL!$C$27, 0.0021, 0)</f>
        <v>59.422699999999999</v>
      </c>
      <c r="K614" s="10">
        <f>59.4206 * CHOOSE(CONTROL!$C$9, $D$9, 100%, $F$9) + CHOOSE(CONTROL!$C$27, 0.0021, 0)</f>
        <v>59.422699999999999</v>
      </c>
      <c r="L614" s="10"/>
    </row>
    <row r="615" spans="1:12" ht="15.75" x14ac:dyDescent="0.25">
      <c r="A615" s="13">
        <v>59656</v>
      </c>
      <c r="B615" s="10">
        <f>59.0169 * CHOOSE(CONTROL!$C$9, $D$9, 100%, $F$9) + CHOOSE(CONTROL!$C$27, 0.0021, 0)</f>
        <v>59.018999999999998</v>
      </c>
      <c r="C615" s="10">
        <f>58.5847 * CHOOSE(CONTROL!$C$9, $D$9, 100%, $F$9) + CHOOSE(CONTROL!$C$27, 0.0021, 0)</f>
        <v>58.586799999999997</v>
      </c>
      <c r="D615" s="10">
        <f>58.5847 * CHOOSE(CONTROL!$C$9, $D$9, 100%, $F$9) + CHOOSE(CONTROL!$C$27, 0.0021, 0)</f>
        <v>58.586799999999997</v>
      </c>
      <c r="E615" s="10">
        <f>58.448 * CHOOSE(CONTROL!$C$9, $D$9, 100%, $F$9) + CHOOSE(CONTROL!$C$27, 0.0021, 0)</f>
        <v>58.450099999999999</v>
      </c>
      <c r="F615" s="10">
        <f>58.448 * CHOOSE(CONTROL!$C$9, $D$9, 100%, $F$9) + CHOOSE(CONTROL!$C$27, 0.0021, 0)</f>
        <v>58.450099999999999</v>
      </c>
      <c r="G615" s="10">
        <f>58.7194 * CHOOSE(CONTROL!$C$9, $D$9, 100%, $F$9) + CHOOSE(CONTROL!$C$27, 0.0021, 0)</f>
        <v>58.721499999999999</v>
      </c>
      <c r="H615" s="10">
        <f>58.5847 * CHOOSE(CONTROL!$C$9, $D$9, 100%, $F$9) + CHOOSE(CONTROL!$C$27, 0.0021, 0)</f>
        <v>58.586799999999997</v>
      </c>
      <c r="I615" s="10">
        <f>58.5847 * CHOOSE(CONTROL!$C$9, $D$9, 100%, $F$9) + CHOOSE(CONTROL!$C$27, 0.0021, 0)</f>
        <v>58.586799999999997</v>
      </c>
      <c r="J615" s="10">
        <f>58.5847 * CHOOSE(CONTROL!$C$9, $D$9, 100%, $F$9) + CHOOSE(CONTROL!$C$27, 0.0021, 0)</f>
        <v>58.586799999999997</v>
      </c>
      <c r="K615" s="10">
        <f>58.5847 * CHOOSE(CONTROL!$C$9, $D$9, 100%, $F$9) + CHOOSE(CONTROL!$C$27, 0.0021, 0)</f>
        <v>58.586799999999997</v>
      </c>
      <c r="L615" s="10"/>
    </row>
    <row r="616" spans="1:12" ht="15.75" x14ac:dyDescent="0.25">
      <c r="A616" s="13">
        <v>59687</v>
      </c>
      <c r="B616" s="10">
        <f>60.2082 * CHOOSE(CONTROL!$C$9, $D$9, 100%, $F$9) + CHOOSE(CONTROL!$C$27, 0.0021, 0)</f>
        <v>60.210299999999997</v>
      </c>
      <c r="C616" s="10">
        <f>59.7759 * CHOOSE(CONTROL!$C$9, $D$9, 100%, $F$9) + CHOOSE(CONTROL!$C$27, 0.0021, 0)</f>
        <v>59.777999999999999</v>
      </c>
      <c r="D616" s="10">
        <f>59.7759 * CHOOSE(CONTROL!$C$9, $D$9, 100%, $F$9) + CHOOSE(CONTROL!$C$27, 0.0021, 0)</f>
        <v>59.777999999999999</v>
      </c>
      <c r="E616" s="10">
        <f>59.6393 * CHOOSE(CONTROL!$C$9, $D$9, 100%, $F$9) + CHOOSE(CONTROL!$C$27, 0.0021, 0)</f>
        <v>59.641399999999997</v>
      </c>
      <c r="F616" s="10">
        <f>59.6393 * CHOOSE(CONTROL!$C$9, $D$9, 100%, $F$9) + CHOOSE(CONTROL!$C$27, 0.0021, 0)</f>
        <v>59.641399999999997</v>
      </c>
      <c r="G616" s="10">
        <f>59.9107 * CHOOSE(CONTROL!$C$9, $D$9, 100%, $F$9) + CHOOSE(CONTROL!$C$27, 0.0021, 0)</f>
        <v>59.912799999999997</v>
      </c>
      <c r="H616" s="10">
        <f>59.7759 * CHOOSE(CONTROL!$C$9, $D$9, 100%, $F$9) + CHOOSE(CONTROL!$C$27, 0.0021, 0)</f>
        <v>59.777999999999999</v>
      </c>
      <c r="I616" s="10">
        <f>59.7759 * CHOOSE(CONTROL!$C$9, $D$9, 100%, $F$9) + CHOOSE(CONTROL!$C$27, 0.0021, 0)</f>
        <v>59.777999999999999</v>
      </c>
      <c r="J616" s="10">
        <f>59.7759 * CHOOSE(CONTROL!$C$9, $D$9, 100%, $F$9) + CHOOSE(CONTROL!$C$27, 0.0021, 0)</f>
        <v>59.777999999999999</v>
      </c>
      <c r="K616" s="10">
        <f>59.7759 * CHOOSE(CONTROL!$C$9, $D$9, 100%, $F$9) + CHOOSE(CONTROL!$C$27, 0.0021, 0)</f>
        <v>59.777999999999999</v>
      </c>
      <c r="L616" s="10"/>
    </row>
    <row r="617" spans="1:12" ht="15.75" x14ac:dyDescent="0.25">
      <c r="A617" s="13">
        <v>59717</v>
      </c>
      <c r="B617" s="10">
        <f>60.9217 * CHOOSE(CONTROL!$C$9, $D$9, 100%, $F$9) + CHOOSE(CONTROL!$C$27, 0.0021, 0)</f>
        <v>60.9238</v>
      </c>
      <c r="C617" s="10">
        <f>60.4894 * CHOOSE(CONTROL!$C$9, $D$9, 100%, $F$9) + CHOOSE(CONTROL!$C$27, 0.0021, 0)</f>
        <v>60.491500000000002</v>
      </c>
      <c r="D617" s="10">
        <f>60.4894 * CHOOSE(CONTROL!$C$9, $D$9, 100%, $F$9) + CHOOSE(CONTROL!$C$27, 0.0021, 0)</f>
        <v>60.491500000000002</v>
      </c>
      <c r="E617" s="10">
        <f>60.3528 * CHOOSE(CONTROL!$C$9, $D$9, 100%, $F$9) + CHOOSE(CONTROL!$C$27, 0.0021, 0)</f>
        <v>60.354900000000001</v>
      </c>
      <c r="F617" s="10">
        <f>60.3528 * CHOOSE(CONTROL!$C$9, $D$9, 100%, $F$9) + CHOOSE(CONTROL!$C$27, 0.0021, 0)</f>
        <v>60.354900000000001</v>
      </c>
      <c r="G617" s="10">
        <f>60.6242 * CHOOSE(CONTROL!$C$9, $D$9, 100%, $F$9) + CHOOSE(CONTROL!$C$27, 0.0021, 0)</f>
        <v>60.626300000000001</v>
      </c>
      <c r="H617" s="10">
        <f>60.4894 * CHOOSE(CONTROL!$C$9, $D$9, 100%, $F$9) + CHOOSE(CONTROL!$C$27, 0.0021, 0)</f>
        <v>60.491500000000002</v>
      </c>
      <c r="I617" s="10">
        <f>60.4894 * CHOOSE(CONTROL!$C$9, $D$9, 100%, $F$9) + CHOOSE(CONTROL!$C$27, 0.0021, 0)</f>
        <v>60.491500000000002</v>
      </c>
      <c r="J617" s="10">
        <f>60.4894 * CHOOSE(CONTROL!$C$9, $D$9, 100%, $F$9) + CHOOSE(CONTROL!$C$27, 0.0021, 0)</f>
        <v>60.491500000000002</v>
      </c>
      <c r="K617" s="10">
        <f>60.4894 * CHOOSE(CONTROL!$C$9, $D$9, 100%, $F$9) + CHOOSE(CONTROL!$C$27, 0.0021, 0)</f>
        <v>60.491500000000002</v>
      </c>
      <c r="L617" s="10"/>
    </row>
    <row r="618" spans="1:12" ht="15.75" x14ac:dyDescent="0.25">
      <c r="A618" s="13">
        <v>59748</v>
      </c>
      <c r="B618" s="10">
        <f>62.0987 * CHOOSE(CONTROL!$C$9, $D$9, 100%, $F$9) + CHOOSE(CONTROL!$C$27, 0.0021, 0)</f>
        <v>62.1008</v>
      </c>
      <c r="C618" s="10">
        <f>61.6665 * CHOOSE(CONTROL!$C$9, $D$9, 100%, $F$9) + CHOOSE(CONTROL!$C$27, 0.0021, 0)</f>
        <v>61.668599999999998</v>
      </c>
      <c r="D618" s="10">
        <f>61.6665 * CHOOSE(CONTROL!$C$9, $D$9, 100%, $F$9) + CHOOSE(CONTROL!$C$27, 0.0021, 0)</f>
        <v>61.668599999999998</v>
      </c>
      <c r="E618" s="10">
        <f>61.5298 * CHOOSE(CONTROL!$C$9, $D$9, 100%, $F$9) + CHOOSE(CONTROL!$C$27, 0.0021, 0)</f>
        <v>61.5319</v>
      </c>
      <c r="F618" s="10">
        <f>61.5298 * CHOOSE(CONTROL!$C$9, $D$9, 100%, $F$9) + CHOOSE(CONTROL!$C$27, 0.0021, 0)</f>
        <v>61.5319</v>
      </c>
      <c r="G618" s="10">
        <f>61.8012 * CHOOSE(CONTROL!$C$9, $D$9, 100%, $F$9) + CHOOSE(CONTROL!$C$27, 0.0021, 0)</f>
        <v>61.8033</v>
      </c>
      <c r="H618" s="10">
        <f>61.6665 * CHOOSE(CONTROL!$C$9, $D$9, 100%, $F$9) + CHOOSE(CONTROL!$C$27, 0.0021, 0)</f>
        <v>61.668599999999998</v>
      </c>
      <c r="I618" s="10">
        <f>61.6665 * CHOOSE(CONTROL!$C$9, $D$9, 100%, $F$9) + CHOOSE(CONTROL!$C$27, 0.0021, 0)</f>
        <v>61.668599999999998</v>
      </c>
      <c r="J618" s="10">
        <f>61.6665 * CHOOSE(CONTROL!$C$9, $D$9, 100%, $F$9) + CHOOSE(CONTROL!$C$27, 0.0021, 0)</f>
        <v>61.668599999999998</v>
      </c>
      <c r="K618" s="10">
        <f>61.6665 * CHOOSE(CONTROL!$C$9, $D$9, 100%, $F$9) + CHOOSE(CONTROL!$C$27, 0.0021, 0)</f>
        <v>61.668599999999998</v>
      </c>
      <c r="L618" s="10"/>
    </row>
    <row r="619" spans="1:12" ht="15.75" x14ac:dyDescent="0.25">
      <c r="A619" s="13">
        <v>59779</v>
      </c>
      <c r="B619" s="10">
        <f>62.458 * CHOOSE(CONTROL!$C$9, $D$9, 100%, $F$9) + CHOOSE(CONTROL!$C$27, 0.0021, 0)</f>
        <v>62.460099999999997</v>
      </c>
      <c r="C619" s="10">
        <f>62.0257 * CHOOSE(CONTROL!$C$9, $D$9, 100%, $F$9) + CHOOSE(CONTROL!$C$27, 0.0021, 0)</f>
        <v>62.027799999999999</v>
      </c>
      <c r="D619" s="10">
        <f>62.0257 * CHOOSE(CONTROL!$C$9, $D$9, 100%, $F$9) + CHOOSE(CONTROL!$C$27, 0.0021, 0)</f>
        <v>62.027799999999999</v>
      </c>
      <c r="E619" s="10">
        <f>61.8891 * CHOOSE(CONTROL!$C$9, $D$9, 100%, $F$9) + CHOOSE(CONTROL!$C$27, 0.0021, 0)</f>
        <v>61.891199999999998</v>
      </c>
      <c r="F619" s="10">
        <f>61.8891 * CHOOSE(CONTROL!$C$9, $D$9, 100%, $F$9) + CHOOSE(CONTROL!$C$27, 0.0021, 0)</f>
        <v>61.891199999999998</v>
      </c>
      <c r="G619" s="10">
        <f>62.1605 * CHOOSE(CONTROL!$C$9, $D$9, 100%, $F$9) + CHOOSE(CONTROL!$C$27, 0.0021, 0)</f>
        <v>62.162599999999998</v>
      </c>
      <c r="H619" s="10">
        <f>62.0257 * CHOOSE(CONTROL!$C$9, $D$9, 100%, $F$9) + CHOOSE(CONTROL!$C$27, 0.0021, 0)</f>
        <v>62.027799999999999</v>
      </c>
      <c r="I619" s="10">
        <f>62.0257 * CHOOSE(CONTROL!$C$9, $D$9, 100%, $F$9) + CHOOSE(CONTROL!$C$27, 0.0021, 0)</f>
        <v>62.027799999999999</v>
      </c>
      <c r="J619" s="10">
        <f>62.0257 * CHOOSE(CONTROL!$C$9, $D$9, 100%, $F$9) + CHOOSE(CONTROL!$C$27, 0.0021, 0)</f>
        <v>62.027799999999999</v>
      </c>
      <c r="K619" s="10">
        <f>62.0257 * CHOOSE(CONTROL!$C$9, $D$9, 100%, $F$9) + CHOOSE(CONTROL!$C$27, 0.0021, 0)</f>
        <v>62.027799999999999</v>
      </c>
      <c r="L619" s="10"/>
    </row>
    <row r="620" spans="1:12" ht="15.75" x14ac:dyDescent="0.25">
      <c r="A620" s="13">
        <v>59809</v>
      </c>
      <c r="B620" s="10">
        <f>63.6815 * CHOOSE(CONTROL!$C$9, $D$9, 100%, $F$9) + CHOOSE(CONTROL!$C$27, 0.0021, 0)</f>
        <v>63.683599999999998</v>
      </c>
      <c r="C620" s="10">
        <f>63.2492 * CHOOSE(CONTROL!$C$9, $D$9, 100%, $F$9) + CHOOSE(CONTROL!$C$27, 0.0021, 0)</f>
        <v>63.251300000000001</v>
      </c>
      <c r="D620" s="10">
        <f>63.2492 * CHOOSE(CONTROL!$C$9, $D$9, 100%, $F$9) + CHOOSE(CONTROL!$C$27, 0.0021, 0)</f>
        <v>63.251300000000001</v>
      </c>
      <c r="E620" s="10">
        <f>63.1125 * CHOOSE(CONTROL!$C$9, $D$9, 100%, $F$9) + CHOOSE(CONTROL!$C$27, 0.0021, 0)</f>
        <v>63.114599999999996</v>
      </c>
      <c r="F620" s="10">
        <f>63.1125 * CHOOSE(CONTROL!$C$9, $D$9, 100%, $F$9) + CHOOSE(CONTROL!$C$27, 0.0021, 0)</f>
        <v>63.114599999999996</v>
      </c>
      <c r="G620" s="10">
        <f>63.3839 * CHOOSE(CONTROL!$C$9, $D$9, 100%, $F$9) + CHOOSE(CONTROL!$C$27, 0.0021, 0)</f>
        <v>63.385999999999996</v>
      </c>
      <c r="H620" s="10">
        <f>63.2492 * CHOOSE(CONTROL!$C$9, $D$9, 100%, $F$9) + CHOOSE(CONTROL!$C$27, 0.0021, 0)</f>
        <v>63.251300000000001</v>
      </c>
      <c r="I620" s="10">
        <f>63.2492 * CHOOSE(CONTROL!$C$9, $D$9, 100%, $F$9) + CHOOSE(CONTROL!$C$27, 0.0021, 0)</f>
        <v>63.251300000000001</v>
      </c>
      <c r="J620" s="10">
        <f>63.2492 * CHOOSE(CONTROL!$C$9, $D$9, 100%, $F$9) + CHOOSE(CONTROL!$C$27, 0.0021, 0)</f>
        <v>63.251300000000001</v>
      </c>
      <c r="K620" s="10">
        <f>63.2492 * CHOOSE(CONTROL!$C$9, $D$9, 100%, $F$9) + CHOOSE(CONTROL!$C$27, 0.0021, 0)</f>
        <v>63.251300000000001</v>
      </c>
      <c r="L620" s="10"/>
    </row>
    <row r="621" spans="1:12" ht="15.75" x14ac:dyDescent="0.25">
      <c r="A621" s="13">
        <v>59840</v>
      </c>
      <c r="B621" s="10">
        <f>65.2301 * CHOOSE(CONTROL!$C$9, $D$9, 100%, $F$9) + CHOOSE(CONTROL!$C$27, 0.0021, 0)</f>
        <v>65.232199999999992</v>
      </c>
      <c r="C621" s="10">
        <f>64.7979 * CHOOSE(CONTROL!$C$9, $D$9, 100%, $F$9) + CHOOSE(CONTROL!$C$27, 0.0021, 0)</f>
        <v>64.8</v>
      </c>
      <c r="D621" s="10">
        <f>64.7979 * CHOOSE(CONTROL!$C$9, $D$9, 100%, $F$9) + CHOOSE(CONTROL!$C$27, 0.0021, 0)</f>
        <v>64.8</v>
      </c>
      <c r="E621" s="10">
        <f>64.6612 * CHOOSE(CONTROL!$C$9, $D$9, 100%, $F$9) + CHOOSE(CONTROL!$C$27, 0.0021, 0)</f>
        <v>64.663299999999992</v>
      </c>
      <c r="F621" s="10">
        <f>64.6612 * CHOOSE(CONTROL!$C$9, $D$9, 100%, $F$9) + CHOOSE(CONTROL!$C$27, 0.0021, 0)</f>
        <v>64.663299999999992</v>
      </c>
      <c r="G621" s="10">
        <f>64.9326 * CHOOSE(CONTROL!$C$9, $D$9, 100%, $F$9) + CHOOSE(CONTROL!$C$27, 0.0021, 0)</f>
        <v>64.934699999999992</v>
      </c>
      <c r="H621" s="10">
        <f>64.7979 * CHOOSE(CONTROL!$C$9, $D$9, 100%, $F$9) + CHOOSE(CONTROL!$C$27, 0.0021, 0)</f>
        <v>64.8</v>
      </c>
      <c r="I621" s="10">
        <f>64.7979 * CHOOSE(CONTROL!$C$9, $D$9, 100%, $F$9) + CHOOSE(CONTROL!$C$27, 0.0021, 0)</f>
        <v>64.8</v>
      </c>
      <c r="J621" s="10">
        <f>64.7979 * CHOOSE(CONTROL!$C$9, $D$9, 100%, $F$9) + CHOOSE(CONTROL!$C$27, 0.0021, 0)</f>
        <v>64.8</v>
      </c>
      <c r="K621" s="10">
        <f>64.7979 * CHOOSE(CONTROL!$C$9, $D$9, 100%, $F$9) + CHOOSE(CONTROL!$C$27, 0.0021, 0)</f>
        <v>64.8</v>
      </c>
      <c r="L621" s="10"/>
    </row>
    <row r="622" spans="1:12" ht="15.75" x14ac:dyDescent="0.25">
      <c r="A622" s="13">
        <v>59870</v>
      </c>
      <c r="B622" s="10">
        <f>65.3755 * CHOOSE(CONTROL!$C$9, $D$9, 100%, $F$9) + CHOOSE(CONTROL!$C$27, 0.0021, 0)</f>
        <v>65.377600000000001</v>
      </c>
      <c r="C622" s="10">
        <f>64.9433 * CHOOSE(CONTROL!$C$9, $D$9, 100%, $F$9) + CHOOSE(CONTROL!$C$27, 0.0021, 0)</f>
        <v>64.945399999999992</v>
      </c>
      <c r="D622" s="10">
        <f>64.9433 * CHOOSE(CONTROL!$C$9, $D$9, 100%, $F$9) + CHOOSE(CONTROL!$C$27, 0.0021, 0)</f>
        <v>64.945399999999992</v>
      </c>
      <c r="E622" s="10">
        <f>64.8066 * CHOOSE(CONTROL!$C$9, $D$9, 100%, $F$9) + CHOOSE(CONTROL!$C$27, 0.0021, 0)</f>
        <v>64.808700000000002</v>
      </c>
      <c r="F622" s="10">
        <f>64.8066 * CHOOSE(CONTROL!$C$9, $D$9, 100%, $F$9) + CHOOSE(CONTROL!$C$27, 0.0021, 0)</f>
        <v>64.808700000000002</v>
      </c>
      <c r="G622" s="10">
        <f>65.078 * CHOOSE(CONTROL!$C$9, $D$9, 100%, $F$9) + CHOOSE(CONTROL!$C$27, 0.0021, 0)</f>
        <v>65.080100000000002</v>
      </c>
      <c r="H622" s="10">
        <f>64.9433 * CHOOSE(CONTROL!$C$9, $D$9, 100%, $F$9) + CHOOSE(CONTROL!$C$27, 0.0021, 0)</f>
        <v>64.945399999999992</v>
      </c>
      <c r="I622" s="10">
        <f>64.9433 * CHOOSE(CONTROL!$C$9, $D$9, 100%, $F$9) + CHOOSE(CONTROL!$C$27, 0.0021, 0)</f>
        <v>64.945399999999992</v>
      </c>
      <c r="J622" s="10">
        <f>64.9433 * CHOOSE(CONTROL!$C$9, $D$9, 100%, $F$9) + CHOOSE(CONTROL!$C$27, 0.0021, 0)</f>
        <v>64.945399999999992</v>
      </c>
      <c r="K622" s="10">
        <f>64.9433 * CHOOSE(CONTROL!$C$9, $D$9, 100%, $F$9) + CHOOSE(CONTROL!$C$27, 0.0021, 0)</f>
        <v>64.945399999999992</v>
      </c>
      <c r="L622" s="10"/>
    </row>
    <row r="623" spans="1:12" ht="15.75" x14ac:dyDescent="0.25">
      <c r="A623" s="13">
        <v>59901</v>
      </c>
      <c r="B623" s="10">
        <f>64.1386 * CHOOSE(CONTROL!$C$9, $D$9, 100%, $F$9) + CHOOSE(CONTROL!$C$27, 0.0021, 0)</f>
        <v>64.140699999999995</v>
      </c>
      <c r="C623" s="10">
        <f>63.7064 * CHOOSE(CONTROL!$C$9, $D$9, 100%, $F$9) + CHOOSE(CONTROL!$C$27, 0.0021, 0)</f>
        <v>63.708500000000001</v>
      </c>
      <c r="D623" s="10">
        <f>63.7064 * CHOOSE(CONTROL!$C$9, $D$9, 100%, $F$9) + CHOOSE(CONTROL!$C$27, 0.0021, 0)</f>
        <v>63.708500000000001</v>
      </c>
      <c r="E623" s="10">
        <f>63.5697 * CHOOSE(CONTROL!$C$9, $D$9, 100%, $F$9) + CHOOSE(CONTROL!$C$27, 0.0021, 0)</f>
        <v>63.571799999999996</v>
      </c>
      <c r="F623" s="10">
        <f>63.5697 * CHOOSE(CONTROL!$C$9, $D$9, 100%, $F$9) + CHOOSE(CONTROL!$C$27, 0.0021, 0)</f>
        <v>63.571799999999996</v>
      </c>
      <c r="G623" s="10">
        <f>63.8411 * CHOOSE(CONTROL!$C$9, $D$9, 100%, $F$9) + CHOOSE(CONTROL!$C$27, 0.0021, 0)</f>
        <v>63.843199999999996</v>
      </c>
      <c r="H623" s="10">
        <f>63.7064 * CHOOSE(CONTROL!$C$9, $D$9, 100%, $F$9) + CHOOSE(CONTROL!$C$27, 0.0021, 0)</f>
        <v>63.708500000000001</v>
      </c>
      <c r="I623" s="10">
        <f>63.7064 * CHOOSE(CONTROL!$C$9, $D$9, 100%, $F$9) + CHOOSE(CONTROL!$C$27, 0.0021, 0)</f>
        <v>63.708500000000001</v>
      </c>
      <c r="J623" s="10">
        <f>63.7064 * CHOOSE(CONTROL!$C$9, $D$9, 100%, $F$9) + CHOOSE(CONTROL!$C$27, 0.0021, 0)</f>
        <v>63.708500000000001</v>
      </c>
      <c r="K623" s="10">
        <f>63.7064 * CHOOSE(CONTROL!$C$9, $D$9, 100%, $F$9) + CHOOSE(CONTROL!$C$27, 0.0021, 0)</f>
        <v>63.708500000000001</v>
      </c>
      <c r="L623" s="10"/>
    </row>
    <row r="624" spans="1:12" ht="15.75" x14ac:dyDescent="0.25">
      <c r="A624" s="13">
        <v>59932</v>
      </c>
      <c r="B624" s="10">
        <f>63.3283 * CHOOSE(CONTROL!$C$9, $D$9, 100%, $F$9) + CHOOSE(CONTROL!$C$27, 0.0021, 0)</f>
        <v>63.330399999999997</v>
      </c>
      <c r="C624" s="10">
        <f>62.8961 * CHOOSE(CONTROL!$C$9, $D$9, 100%, $F$9) + CHOOSE(CONTROL!$C$27, 0.0021, 0)</f>
        <v>62.898199999999996</v>
      </c>
      <c r="D624" s="10">
        <f>62.8961 * CHOOSE(CONTROL!$C$9, $D$9, 100%, $F$9) + CHOOSE(CONTROL!$C$27, 0.0021, 0)</f>
        <v>62.898199999999996</v>
      </c>
      <c r="E624" s="10">
        <f>62.7594 * CHOOSE(CONTROL!$C$9, $D$9, 100%, $F$9) + CHOOSE(CONTROL!$C$27, 0.0021, 0)</f>
        <v>62.761499999999998</v>
      </c>
      <c r="F624" s="10">
        <f>62.7594 * CHOOSE(CONTROL!$C$9, $D$9, 100%, $F$9) + CHOOSE(CONTROL!$C$27, 0.0021, 0)</f>
        <v>62.761499999999998</v>
      </c>
      <c r="G624" s="10">
        <f>63.0308 * CHOOSE(CONTROL!$C$9, $D$9, 100%, $F$9) + CHOOSE(CONTROL!$C$27, 0.0021, 0)</f>
        <v>63.032899999999998</v>
      </c>
      <c r="H624" s="10">
        <f>62.8961 * CHOOSE(CONTROL!$C$9, $D$9, 100%, $F$9) + CHOOSE(CONTROL!$C$27, 0.0021, 0)</f>
        <v>62.898199999999996</v>
      </c>
      <c r="I624" s="10">
        <f>62.8961 * CHOOSE(CONTROL!$C$9, $D$9, 100%, $F$9) + CHOOSE(CONTROL!$C$27, 0.0021, 0)</f>
        <v>62.898199999999996</v>
      </c>
      <c r="J624" s="10">
        <f>62.8961 * CHOOSE(CONTROL!$C$9, $D$9, 100%, $F$9) + CHOOSE(CONTROL!$C$27, 0.0021, 0)</f>
        <v>62.898199999999996</v>
      </c>
      <c r="K624" s="10">
        <f>62.8961 * CHOOSE(CONTROL!$C$9, $D$9, 100%, $F$9) + CHOOSE(CONTROL!$C$27, 0.0021, 0)</f>
        <v>62.898199999999996</v>
      </c>
      <c r="L624" s="10"/>
    </row>
    <row r="625" spans="1:12" ht="15.75" x14ac:dyDescent="0.25">
      <c r="A625" s="13">
        <v>59961</v>
      </c>
      <c r="B625" s="10">
        <f>61.6019 * CHOOSE(CONTROL!$C$9, $D$9, 100%, $F$9) + CHOOSE(CONTROL!$C$27, 0.0021, 0)</f>
        <v>61.603999999999999</v>
      </c>
      <c r="C625" s="10">
        <f>61.1696 * CHOOSE(CONTROL!$C$9, $D$9, 100%, $F$9) + CHOOSE(CONTROL!$C$27, 0.0021, 0)</f>
        <v>61.171700000000001</v>
      </c>
      <c r="D625" s="10">
        <f>61.1696 * CHOOSE(CONTROL!$C$9, $D$9, 100%, $F$9) + CHOOSE(CONTROL!$C$27, 0.0021, 0)</f>
        <v>61.171700000000001</v>
      </c>
      <c r="E625" s="10">
        <f>61.033 * CHOOSE(CONTROL!$C$9, $D$9, 100%, $F$9) + CHOOSE(CONTROL!$C$27, 0.0021, 0)</f>
        <v>61.0351</v>
      </c>
      <c r="F625" s="10">
        <f>61.033 * CHOOSE(CONTROL!$C$9, $D$9, 100%, $F$9) + CHOOSE(CONTROL!$C$27, 0.0021, 0)</f>
        <v>61.0351</v>
      </c>
      <c r="G625" s="10">
        <f>61.3043 * CHOOSE(CONTROL!$C$9, $D$9, 100%, $F$9) + CHOOSE(CONTROL!$C$27, 0.0021, 0)</f>
        <v>61.306399999999996</v>
      </c>
      <c r="H625" s="10">
        <f>61.1696 * CHOOSE(CONTROL!$C$9, $D$9, 100%, $F$9) + CHOOSE(CONTROL!$C$27, 0.0021, 0)</f>
        <v>61.171700000000001</v>
      </c>
      <c r="I625" s="10">
        <f>61.1696 * CHOOSE(CONTROL!$C$9, $D$9, 100%, $F$9) + CHOOSE(CONTROL!$C$27, 0.0021, 0)</f>
        <v>61.171700000000001</v>
      </c>
      <c r="J625" s="10">
        <f>61.1696 * CHOOSE(CONTROL!$C$9, $D$9, 100%, $F$9) + CHOOSE(CONTROL!$C$27, 0.0021, 0)</f>
        <v>61.171700000000001</v>
      </c>
      <c r="K625" s="10">
        <f>61.1696 * CHOOSE(CONTROL!$C$9, $D$9, 100%, $F$9) + CHOOSE(CONTROL!$C$27, 0.0021, 0)</f>
        <v>61.171700000000001</v>
      </c>
      <c r="L625" s="10"/>
    </row>
    <row r="626" spans="1:12" ht="15.75" x14ac:dyDescent="0.25">
      <c r="A626" s="13">
        <v>59992</v>
      </c>
      <c r="B626" s="10">
        <f>60.8892 * CHOOSE(CONTROL!$C$9, $D$9, 100%, $F$9) + CHOOSE(CONTROL!$C$27, 0.0021, 0)</f>
        <v>60.891300000000001</v>
      </c>
      <c r="C626" s="10">
        <f>60.457 * CHOOSE(CONTROL!$C$9, $D$9, 100%, $F$9) + CHOOSE(CONTROL!$C$27, 0.0021, 0)</f>
        <v>60.459099999999999</v>
      </c>
      <c r="D626" s="10">
        <f>60.457 * CHOOSE(CONTROL!$C$9, $D$9, 100%, $F$9) + CHOOSE(CONTROL!$C$27, 0.0021, 0)</f>
        <v>60.459099999999999</v>
      </c>
      <c r="E626" s="10">
        <f>60.3203 * CHOOSE(CONTROL!$C$9, $D$9, 100%, $F$9) + CHOOSE(CONTROL!$C$27, 0.0021, 0)</f>
        <v>60.322400000000002</v>
      </c>
      <c r="F626" s="10">
        <f>60.3203 * CHOOSE(CONTROL!$C$9, $D$9, 100%, $F$9) + CHOOSE(CONTROL!$C$27, 0.0021, 0)</f>
        <v>60.322400000000002</v>
      </c>
      <c r="G626" s="10">
        <f>60.5917 * CHOOSE(CONTROL!$C$9, $D$9, 100%, $F$9) + CHOOSE(CONTROL!$C$27, 0.0021, 0)</f>
        <v>60.593800000000002</v>
      </c>
      <c r="H626" s="10">
        <f>60.457 * CHOOSE(CONTROL!$C$9, $D$9, 100%, $F$9) + CHOOSE(CONTROL!$C$27, 0.0021, 0)</f>
        <v>60.459099999999999</v>
      </c>
      <c r="I626" s="10">
        <f>60.457 * CHOOSE(CONTROL!$C$9, $D$9, 100%, $F$9) + CHOOSE(CONTROL!$C$27, 0.0021, 0)</f>
        <v>60.459099999999999</v>
      </c>
      <c r="J626" s="10">
        <f>60.457 * CHOOSE(CONTROL!$C$9, $D$9, 100%, $F$9) + CHOOSE(CONTROL!$C$27, 0.0021, 0)</f>
        <v>60.459099999999999</v>
      </c>
      <c r="K626" s="10">
        <f>60.457 * CHOOSE(CONTROL!$C$9, $D$9, 100%, $F$9) + CHOOSE(CONTROL!$C$27, 0.0021, 0)</f>
        <v>60.459099999999999</v>
      </c>
      <c r="L626" s="10"/>
    </row>
    <row r="627" spans="1:12" ht="15.75" x14ac:dyDescent="0.25">
      <c r="A627" s="13">
        <v>60022</v>
      </c>
      <c r="B627" s="10">
        <f>60.0383 * CHOOSE(CONTROL!$C$9, $D$9, 100%, $F$9) + CHOOSE(CONTROL!$C$27, 0.0021, 0)</f>
        <v>60.040399999999998</v>
      </c>
      <c r="C627" s="10">
        <f>59.606 * CHOOSE(CONTROL!$C$9, $D$9, 100%, $F$9) + CHOOSE(CONTROL!$C$27, 0.0021, 0)</f>
        <v>59.6081</v>
      </c>
      <c r="D627" s="10">
        <f>59.606 * CHOOSE(CONTROL!$C$9, $D$9, 100%, $F$9) + CHOOSE(CONTROL!$C$27, 0.0021, 0)</f>
        <v>59.6081</v>
      </c>
      <c r="E627" s="10">
        <f>59.4694 * CHOOSE(CONTROL!$C$9, $D$9, 100%, $F$9) + CHOOSE(CONTROL!$C$27, 0.0021, 0)</f>
        <v>59.471499999999999</v>
      </c>
      <c r="F627" s="10">
        <f>59.4694 * CHOOSE(CONTROL!$C$9, $D$9, 100%, $F$9) + CHOOSE(CONTROL!$C$27, 0.0021, 0)</f>
        <v>59.471499999999999</v>
      </c>
      <c r="G627" s="10">
        <f>59.7407 * CHOOSE(CONTROL!$C$9, $D$9, 100%, $F$9) + CHOOSE(CONTROL!$C$27, 0.0021, 0)</f>
        <v>59.742799999999995</v>
      </c>
      <c r="H627" s="10">
        <f>59.606 * CHOOSE(CONTROL!$C$9, $D$9, 100%, $F$9) + CHOOSE(CONTROL!$C$27, 0.0021, 0)</f>
        <v>59.6081</v>
      </c>
      <c r="I627" s="10">
        <f>59.606 * CHOOSE(CONTROL!$C$9, $D$9, 100%, $F$9) + CHOOSE(CONTROL!$C$27, 0.0021, 0)</f>
        <v>59.6081</v>
      </c>
      <c r="J627" s="10">
        <f>59.606 * CHOOSE(CONTROL!$C$9, $D$9, 100%, $F$9) + CHOOSE(CONTROL!$C$27, 0.0021, 0)</f>
        <v>59.6081</v>
      </c>
      <c r="K627" s="10">
        <f>59.606 * CHOOSE(CONTROL!$C$9, $D$9, 100%, $F$9) + CHOOSE(CONTROL!$C$27, 0.0021, 0)</f>
        <v>59.6081</v>
      </c>
      <c r="L627" s="10"/>
    </row>
    <row r="628" spans="1:12" ht="15.75" x14ac:dyDescent="0.25">
      <c r="A628" s="13">
        <v>60053</v>
      </c>
      <c r="B628" s="10">
        <f>61.251 * CHOOSE(CONTROL!$C$9, $D$9, 100%, $F$9) + CHOOSE(CONTROL!$C$27, 0.0021, 0)</f>
        <v>61.253099999999996</v>
      </c>
      <c r="C628" s="10">
        <f>60.8187 * CHOOSE(CONTROL!$C$9, $D$9, 100%, $F$9) + CHOOSE(CONTROL!$C$27, 0.0021, 0)</f>
        <v>60.820799999999998</v>
      </c>
      <c r="D628" s="10">
        <f>60.8187 * CHOOSE(CONTROL!$C$9, $D$9, 100%, $F$9) + CHOOSE(CONTROL!$C$27, 0.0021, 0)</f>
        <v>60.820799999999998</v>
      </c>
      <c r="E628" s="10">
        <f>60.6821 * CHOOSE(CONTROL!$C$9, $D$9, 100%, $F$9) + CHOOSE(CONTROL!$C$27, 0.0021, 0)</f>
        <v>60.684199999999997</v>
      </c>
      <c r="F628" s="10">
        <f>60.6821 * CHOOSE(CONTROL!$C$9, $D$9, 100%, $F$9) + CHOOSE(CONTROL!$C$27, 0.0021, 0)</f>
        <v>60.684199999999997</v>
      </c>
      <c r="G628" s="10">
        <f>60.9534 * CHOOSE(CONTROL!$C$9, $D$9, 100%, $F$9) + CHOOSE(CONTROL!$C$27, 0.0021, 0)</f>
        <v>60.955500000000001</v>
      </c>
      <c r="H628" s="10">
        <f>60.8187 * CHOOSE(CONTROL!$C$9, $D$9, 100%, $F$9) + CHOOSE(CONTROL!$C$27, 0.0021, 0)</f>
        <v>60.820799999999998</v>
      </c>
      <c r="I628" s="10">
        <f>60.8187 * CHOOSE(CONTROL!$C$9, $D$9, 100%, $F$9) + CHOOSE(CONTROL!$C$27, 0.0021, 0)</f>
        <v>60.820799999999998</v>
      </c>
      <c r="J628" s="10">
        <f>60.8187 * CHOOSE(CONTROL!$C$9, $D$9, 100%, $F$9) + CHOOSE(CONTROL!$C$27, 0.0021, 0)</f>
        <v>60.820799999999998</v>
      </c>
      <c r="K628" s="10">
        <f>60.8187 * CHOOSE(CONTROL!$C$9, $D$9, 100%, $F$9) + CHOOSE(CONTROL!$C$27, 0.0021, 0)</f>
        <v>60.820799999999998</v>
      </c>
      <c r="L628" s="10"/>
    </row>
    <row r="629" spans="1:12" ht="15.75" x14ac:dyDescent="0.25">
      <c r="A629" s="13">
        <v>60083</v>
      </c>
      <c r="B629" s="10">
        <f>61.9773 * CHOOSE(CONTROL!$C$9, $D$9, 100%, $F$9) + CHOOSE(CONTROL!$C$27, 0.0021, 0)</f>
        <v>61.979399999999998</v>
      </c>
      <c r="C629" s="10">
        <f>61.5451 * CHOOSE(CONTROL!$C$9, $D$9, 100%, $F$9) + CHOOSE(CONTROL!$C$27, 0.0021, 0)</f>
        <v>61.547199999999997</v>
      </c>
      <c r="D629" s="10">
        <f>61.5451 * CHOOSE(CONTROL!$C$9, $D$9, 100%, $F$9) + CHOOSE(CONTROL!$C$27, 0.0021, 0)</f>
        <v>61.547199999999997</v>
      </c>
      <c r="E629" s="10">
        <f>61.4084 * CHOOSE(CONTROL!$C$9, $D$9, 100%, $F$9) + CHOOSE(CONTROL!$C$27, 0.0021, 0)</f>
        <v>61.410499999999999</v>
      </c>
      <c r="F629" s="10">
        <f>61.4084 * CHOOSE(CONTROL!$C$9, $D$9, 100%, $F$9) + CHOOSE(CONTROL!$C$27, 0.0021, 0)</f>
        <v>61.410499999999999</v>
      </c>
      <c r="G629" s="10">
        <f>61.6798 * CHOOSE(CONTROL!$C$9, $D$9, 100%, $F$9) + CHOOSE(CONTROL!$C$27, 0.0021, 0)</f>
        <v>61.681899999999999</v>
      </c>
      <c r="H629" s="10">
        <f>61.5451 * CHOOSE(CONTROL!$C$9, $D$9, 100%, $F$9) + CHOOSE(CONTROL!$C$27, 0.0021, 0)</f>
        <v>61.547199999999997</v>
      </c>
      <c r="I629" s="10">
        <f>61.5451 * CHOOSE(CONTROL!$C$9, $D$9, 100%, $F$9) + CHOOSE(CONTROL!$C$27, 0.0021, 0)</f>
        <v>61.547199999999997</v>
      </c>
      <c r="J629" s="10">
        <f>61.5451 * CHOOSE(CONTROL!$C$9, $D$9, 100%, $F$9) + CHOOSE(CONTROL!$C$27, 0.0021, 0)</f>
        <v>61.547199999999997</v>
      </c>
      <c r="K629" s="10">
        <f>61.5451 * CHOOSE(CONTROL!$C$9, $D$9, 100%, $F$9) + CHOOSE(CONTROL!$C$27, 0.0021, 0)</f>
        <v>61.547199999999997</v>
      </c>
      <c r="L629" s="10"/>
    </row>
    <row r="630" spans="1:12" ht="15.75" x14ac:dyDescent="0.25">
      <c r="A630" s="13">
        <v>60114</v>
      </c>
      <c r="B630" s="10">
        <f>63.1755 * CHOOSE(CONTROL!$C$9, $D$9, 100%, $F$9) + CHOOSE(CONTROL!$C$27, 0.0021, 0)</f>
        <v>63.177599999999998</v>
      </c>
      <c r="C630" s="10">
        <f>62.7433 * CHOOSE(CONTROL!$C$9, $D$9, 100%, $F$9) + CHOOSE(CONTROL!$C$27, 0.0021, 0)</f>
        <v>62.745399999999997</v>
      </c>
      <c r="D630" s="10">
        <f>62.7433 * CHOOSE(CONTROL!$C$9, $D$9, 100%, $F$9) + CHOOSE(CONTROL!$C$27, 0.0021, 0)</f>
        <v>62.745399999999997</v>
      </c>
      <c r="E630" s="10">
        <f>62.6066 * CHOOSE(CONTROL!$C$9, $D$9, 100%, $F$9) + CHOOSE(CONTROL!$C$27, 0.0021, 0)</f>
        <v>62.608699999999999</v>
      </c>
      <c r="F630" s="10">
        <f>62.6066 * CHOOSE(CONTROL!$C$9, $D$9, 100%, $F$9) + CHOOSE(CONTROL!$C$27, 0.0021, 0)</f>
        <v>62.608699999999999</v>
      </c>
      <c r="G630" s="10">
        <f>62.878 * CHOOSE(CONTROL!$C$9, $D$9, 100%, $F$9) + CHOOSE(CONTROL!$C$27, 0.0021, 0)</f>
        <v>62.880099999999999</v>
      </c>
      <c r="H630" s="10">
        <f>62.7433 * CHOOSE(CONTROL!$C$9, $D$9, 100%, $F$9) + CHOOSE(CONTROL!$C$27, 0.0021, 0)</f>
        <v>62.745399999999997</v>
      </c>
      <c r="I630" s="10">
        <f>62.7433 * CHOOSE(CONTROL!$C$9, $D$9, 100%, $F$9) + CHOOSE(CONTROL!$C$27, 0.0021, 0)</f>
        <v>62.745399999999997</v>
      </c>
      <c r="J630" s="10">
        <f>62.7433 * CHOOSE(CONTROL!$C$9, $D$9, 100%, $F$9) + CHOOSE(CONTROL!$C$27, 0.0021, 0)</f>
        <v>62.745399999999997</v>
      </c>
      <c r="K630" s="10">
        <f>62.7433 * CHOOSE(CONTROL!$C$9, $D$9, 100%, $F$9) + CHOOSE(CONTROL!$C$27, 0.0021, 0)</f>
        <v>62.745399999999997</v>
      </c>
      <c r="L630" s="10"/>
    </row>
    <row r="631" spans="1:12" ht="15.75" x14ac:dyDescent="0.25">
      <c r="A631" s="13">
        <v>60145</v>
      </c>
      <c r="B631" s="10">
        <f>63.5413 * CHOOSE(CONTROL!$C$9, $D$9, 100%, $F$9) + CHOOSE(CONTROL!$C$27, 0.0021, 0)</f>
        <v>63.543399999999998</v>
      </c>
      <c r="C631" s="10">
        <f>63.109 * CHOOSE(CONTROL!$C$9, $D$9, 100%, $F$9) + CHOOSE(CONTROL!$C$27, 0.0021, 0)</f>
        <v>63.1111</v>
      </c>
      <c r="D631" s="10">
        <f>63.109 * CHOOSE(CONTROL!$C$9, $D$9, 100%, $F$9) + CHOOSE(CONTROL!$C$27, 0.0021, 0)</f>
        <v>63.1111</v>
      </c>
      <c r="E631" s="10">
        <f>62.9723 * CHOOSE(CONTROL!$C$9, $D$9, 100%, $F$9) + CHOOSE(CONTROL!$C$27, 0.0021, 0)</f>
        <v>62.974399999999996</v>
      </c>
      <c r="F631" s="10">
        <f>62.9723 * CHOOSE(CONTROL!$C$9, $D$9, 100%, $F$9) + CHOOSE(CONTROL!$C$27, 0.0021, 0)</f>
        <v>62.974399999999996</v>
      </c>
      <c r="G631" s="10">
        <f>63.2437 * CHOOSE(CONTROL!$C$9, $D$9, 100%, $F$9) + CHOOSE(CONTROL!$C$27, 0.0021, 0)</f>
        <v>63.245799999999996</v>
      </c>
      <c r="H631" s="10">
        <f>63.109 * CHOOSE(CONTROL!$C$9, $D$9, 100%, $F$9) + CHOOSE(CONTROL!$C$27, 0.0021, 0)</f>
        <v>63.1111</v>
      </c>
      <c r="I631" s="10">
        <f>63.109 * CHOOSE(CONTROL!$C$9, $D$9, 100%, $F$9) + CHOOSE(CONTROL!$C$27, 0.0021, 0)</f>
        <v>63.1111</v>
      </c>
      <c r="J631" s="10">
        <f>63.109 * CHOOSE(CONTROL!$C$9, $D$9, 100%, $F$9) + CHOOSE(CONTROL!$C$27, 0.0021, 0)</f>
        <v>63.1111</v>
      </c>
      <c r="K631" s="10">
        <f>63.109 * CHOOSE(CONTROL!$C$9, $D$9, 100%, $F$9) + CHOOSE(CONTROL!$C$27, 0.0021, 0)</f>
        <v>63.1111</v>
      </c>
      <c r="L631" s="10"/>
    </row>
    <row r="632" spans="1:12" ht="15.75" x14ac:dyDescent="0.25">
      <c r="A632" s="13">
        <v>60175</v>
      </c>
      <c r="B632" s="10">
        <f>64.7868 * CHOOSE(CONTROL!$C$9, $D$9, 100%, $F$9) + CHOOSE(CONTROL!$C$27, 0.0021, 0)</f>
        <v>64.788899999999998</v>
      </c>
      <c r="C632" s="10">
        <f>64.3545 * CHOOSE(CONTROL!$C$9, $D$9, 100%, $F$9) + CHOOSE(CONTROL!$C$27, 0.0021, 0)</f>
        <v>64.3566</v>
      </c>
      <c r="D632" s="10">
        <f>64.3545 * CHOOSE(CONTROL!$C$9, $D$9, 100%, $F$9) + CHOOSE(CONTROL!$C$27, 0.0021, 0)</f>
        <v>64.3566</v>
      </c>
      <c r="E632" s="10">
        <f>64.2178 * CHOOSE(CONTROL!$C$9, $D$9, 100%, $F$9) + CHOOSE(CONTROL!$C$27, 0.0021, 0)</f>
        <v>64.219899999999996</v>
      </c>
      <c r="F632" s="10">
        <f>64.2178 * CHOOSE(CONTROL!$C$9, $D$9, 100%, $F$9) + CHOOSE(CONTROL!$C$27, 0.0021, 0)</f>
        <v>64.219899999999996</v>
      </c>
      <c r="G632" s="10">
        <f>64.4892 * CHOOSE(CONTROL!$C$9, $D$9, 100%, $F$9) + CHOOSE(CONTROL!$C$27, 0.0021, 0)</f>
        <v>64.491299999999995</v>
      </c>
      <c r="H632" s="10">
        <f>64.3545 * CHOOSE(CONTROL!$C$9, $D$9, 100%, $F$9) + CHOOSE(CONTROL!$C$27, 0.0021, 0)</f>
        <v>64.3566</v>
      </c>
      <c r="I632" s="10">
        <f>64.3545 * CHOOSE(CONTROL!$C$9, $D$9, 100%, $F$9) + CHOOSE(CONTROL!$C$27, 0.0021, 0)</f>
        <v>64.3566</v>
      </c>
      <c r="J632" s="10">
        <f>64.3545 * CHOOSE(CONTROL!$C$9, $D$9, 100%, $F$9) + CHOOSE(CONTROL!$C$27, 0.0021, 0)</f>
        <v>64.3566</v>
      </c>
      <c r="K632" s="10">
        <f>64.3545 * CHOOSE(CONTROL!$C$9, $D$9, 100%, $F$9) + CHOOSE(CONTROL!$C$27, 0.0021, 0)</f>
        <v>64.3566</v>
      </c>
      <c r="L632" s="10"/>
    </row>
    <row r="633" spans="1:12" ht="15.75" x14ac:dyDescent="0.25">
      <c r="A633" s="13">
        <v>60206</v>
      </c>
      <c r="B633" s="10">
        <f>66.3633 * CHOOSE(CONTROL!$C$9, $D$9, 100%, $F$9) + CHOOSE(CONTROL!$C$27, 0.0021, 0)</f>
        <v>66.365399999999994</v>
      </c>
      <c r="C633" s="10">
        <f>65.9311 * CHOOSE(CONTROL!$C$9, $D$9, 100%, $F$9) + CHOOSE(CONTROL!$C$27, 0.0021, 0)</f>
        <v>65.933199999999999</v>
      </c>
      <c r="D633" s="10">
        <f>65.9311 * CHOOSE(CONTROL!$C$9, $D$9, 100%, $F$9) + CHOOSE(CONTROL!$C$27, 0.0021, 0)</f>
        <v>65.933199999999999</v>
      </c>
      <c r="E633" s="10">
        <f>65.7944 * CHOOSE(CONTROL!$C$9, $D$9, 100%, $F$9) + CHOOSE(CONTROL!$C$27, 0.0021, 0)</f>
        <v>65.796499999999995</v>
      </c>
      <c r="F633" s="10">
        <f>65.7944 * CHOOSE(CONTROL!$C$9, $D$9, 100%, $F$9) + CHOOSE(CONTROL!$C$27, 0.0021, 0)</f>
        <v>65.796499999999995</v>
      </c>
      <c r="G633" s="10">
        <f>66.0658 * CHOOSE(CONTROL!$C$9, $D$9, 100%, $F$9) + CHOOSE(CONTROL!$C$27, 0.0021, 0)</f>
        <v>66.067899999999995</v>
      </c>
      <c r="H633" s="10">
        <f>65.9311 * CHOOSE(CONTROL!$C$9, $D$9, 100%, $F$9) + CHOOSE(CONTROL!$C$27, 0.0021, 0)</f>
        <v>65.933199999999999</v>
      </c>
      <c r="I633" s="10">
        <f>65.9311 * CHOOSE(CONTROL!$C$9, $D$9, 100%, $F$9) + CHOOSE(CONTROL!$C$27, 0.0021, 0)</f>
        <v>65.933199999999999</v>
      </c>
      <c r="J633" s="10">
        <f>65.9311 * CHOOSE(CONTROL!$C$9, $D$9, 100%, $F$9) + CHOOSE(CONTROL!$C$27, 0.0021, 0)</f>
        <v>65.933199999999999</v>
      </c>
      <c r="K633" s="10">
        <f>65.9311 * CHOOSE(CONTROL!$C$9, $D$9, 100%, $F$9) + CHOOSE(CONTROL!$C$27, 0.0021, 0)</f>
        <v>65.933199999999999</v>
      </c>
      <c r="L633" s="10"/>
    </row>
    <row r="634" spans="1:12" ht="15.75" x14ac:dyDescent="0.25">
      <c r="A634" s="13">
        <v>60236</v>
      </c>
      <c r="B634" s="10">
        <f>66.5113 * CHOOSE(CONTROL!$C$9, $D$9, 100%, $F$9) + CHOOSE(CONTROL!$C$27, 0.0021, 0)</f>
        <v>66.513400000000004</v>
      </c>
      <c r="C634" s="10">
        <f>66.0791 * CHOOSE(CONTROL!$C$9, $D$9, 100%, $F$9) + CHOOSE(CONTROL!$C$27, 0.0021, 0)</f>
        <v>66.081199999999995</v>
      </c>
      <c r="D634" s="10">
        <f>66.0791 * CHOOSE(CONTROL!$C$9, $D$9, 100%, $F$9) + CHOOSE(CONTROL!$C$27, 0.0021, 0)</f>
        <v>66.081199999999995</v>
      </c>
      <c r="E634" s="10">
        <f>65.9424 * CHOOSE(CONTROL!$C$9, $D$9, 100%, $F$9) + CHOOSE(CONTROL!$C$27, 0.0021, 0)</f>
        <v>65.944500000000005</v>
      </c>
      <c r="F634" s="10">
        <f>65.9424 * CHOOSE(CONTROL!$C$9, $D$9, 100%, $F$9) + CHOOSE(CONTROL!$C$27, 0.0021, 0)</f>
        <v>65.944500000000005</v>
      </c>
      <c r="G634" s="10">
        <f>66.2138 * CHOOSE(CONTROL!$C$9, $D$9, 100%, $F$9) + CHOOSE(CONTROL!$C$27, 0.0021, 0)</f>
        <v>66.215900000000005</v>
      </c>
      <c r="H634" s="10">
        <f>66.0791 * CHOOSE(CONTROL!$C$9, $D$9, 100%, $F$9) + CHOOSE(CONTROL!$C$27, 0.0021, 0)</f>
        <v>66.081199999999995</v>
      </c>
      <c r="I634" s="10">
        <f>66.0791 * CHOOSE(CONTROL!$C$9, $D$9, 100%, $F$9) + CHOOSE(CONTROL!$C$27, 0.0021, 0)</f>
        <v>66.081199999999995</v>
      </c>
      <c r="J634" s="10">
        <f>66.0791 * CHOOSE(CONTROL!$C$9, $D$9, 100%, $F$9) + CHOOSE(CONTROL!$C$27, 0.0021, 0)</f>
        <v>66.081199999999995</v>
      </c>
      <c r="K634" s="10">
        <f>66.0791 * CHOOSE(CONTROL!$C$9, $D$9, 100%, $F$9) + CHOOSE(CONTROL!$C$27, 0.0021, 0)</f>
        <v>66.081199999999995</v>
      </c>
      <c r="L634" s="10"/>
    </row>
    <row r="635" spans="1:12" ht="15.75" x14ac:dyDescent="0.25">
      <c r="A635" s="13">
        <v>60267</v>
      </c>
      <c r="B635" s="10">
        <f>65.2522 * CHOOSE(CONTROL!$C$9, $D$9, 100%, $F$9) + CHOOSE(CONTROL!$C$27, 0.0021, 0)</f>
        <v>65.254300000000001</v>
      </c>
      <c r="C635" s="10">
        <f>64.8199 * CHOOSE(CONTROL!$C$9, $D$9, 100%, $F$9) + CHOOSE(CONTROL!$C$27, 0.0021, 0)</f>
        <v>64.822000000000003</v>
      </c>
      <c r="D635" s="10">
        <f>64.8199 * CHOOSE(CONTROL!$C$9, $D$9, 100%, $F$9) + CHOOSE(CONTROL!$C$27, 0.0021, 0)</f>
        <v>64.822000000000003</v>
      </c>
      <c r="E635" s="10">
        <f>64.6832 * CHOOSE(CONTROL!$C$9, $D$9, 100%, $F$9) + CHOOSE(CONTROL!$C$27, 0.0021, 0)</f>
        <v>64.685299999999998</v>
      </c>
      <c r="F635" s="10">
        <f>64.6832 * CHOOSE(CONTROL!$C$9, $D$9, 100%, $F$9) + CHOOSE(CONTROL!$C$27, 0.0021, 0)</f>
        <v>64.685299999999998</v>
      </c>
      <c r="G635" s="10">
        <f>64.9546 * CHOOSE(CONTROL!$C$9, $D$9, 100%, $F$9) + CHOOSE(CONTROL!$C$27, 0.0021, 0)</f>
        <v>64.956699999999998</v>
      </c>
      <c r="H635" s="10">
        <f>64.8199 * CHOOSE(CONTROL!$C$9, $D$9, 100%, $F$9) + CHOOSE(CONTROL!$C$27, 0.0021, 0)</f>
        <v>64.822000000000003</v>
      </c>
      <c r="I635" s="10">
        <f>64.8199 * CHOOSE(CONTROL!$C$9, $D$9, 100%, $F$9) + CHOOSE(CONTROL!$C$27, 0.0021, 0)</f>
        <v>64.822000000000003</v>
      </c>
      <c r="J635" s="10">
        <f>64.8199 * CHOOSE(CONTROL!$C$9, $D$9, 100%, $F$9) + CHOOSE(CONTROL!$C$27, 0.0021, 0)</f>
        <v>64.822000000000003</v>
      </c>
      <c r="K635" s="10">
        <f>64.8199 * CHOOSE(CONTROL!$C$9, $D$9, 100%, $F$9) + CHOOSE(CONTROL!$C$27, 0.0021, 0)</f>
        <v>64.822000000000003</v>
      </c>
      <c r="L635" s="10"/>
    </row>
    <row r="636" spans="1:12" ht="15.75" x14ac:dyDescent="0.25">
      <c r="A636" s="13">
        <v>60298</v>
      </c>
      <c r="B636" s="10">
        <f>64.4272 * CHOOSE(CONTROL!$C$9, $D$9, 100%, $F$9) + CHOOSE(CONTROL!$C$27, 0.0021, 0)</f>
        <v>64.429299999999998</v>
      </c>
      <c r="C636" s="10">
        <f>63.995 * CHOOSE(CONTROL!$C$9, $D$9, 100%, $F$9) + CHOOSE(CONTROL!$C$27, 0.0021, 0)</f>
        <v>63.997099999999996</v>
      </c>
      <c r="D636" s="10">
        <f>63.995 * CHOOSE(CONTROL!$C$9, $D$9, 100%, $F$9) + CHOOSE(CONTROL!$C$27, 0.0021, 0)</f>
        <v>63.997099999999996</v>
      </c>
      <c r="E636" s="10">
        <f>63.8583 * CHOOSE(CONTROL!$C$9, $D$9, 100%, $F$9) + CHOOSE(CONTROL!$C$27, 0.0021, 0)</f>
        <v>63.860399999999998</v>
      </c>
      <c r="F636" s="10">
        <f>63.8583 * CHOOSE(CONTROL!$C$9, $D$9, 100%, $F$9) + CHOOSE(CONTROL!$C$27, 0.0021, 0)</f>
        <v>63.860399999999998</v>
      </c>
      <c r="G636" s="10">
        <f>64.1297 * CHOOSE(CONTROL!$C$9, $D$9, 100%, $F$9) + CHOOSE(CONTROL!$C$27, 0.0021, 0)</f>
        <v>64.131799999999998</v>
      </c>
      <c r="H636" s="10">
        <f>63.995 * CHOOSE(CONTROL!$C$9, $D$9, 100%, $F$9) + CHOOSE(CONTROL!$C$27, 0.0021, 0)</f>
        <v>63.997099999999996</v>
      </c>
      <c r="I636" s="10">
        <f>63.995 * CHOOSE(CONTROL!$C$9, $D$9, 100%, $F$9) + CHOOSE(CONTROL!$C$27, 0.0021, 0)</f>
        <v>63.997099999999996</v>
      </c>
      <c r="J636" s="10">
        <f>63.995 * CHOOSE(CONTROL!$C$9, $D$9, 100%, $F$9) + CHOOSE(CONTROL!$C$27, 0.0021, 0)</f>
        <v>63.997099999999996</v>
      </c>
      <c r="K636" s="10">
        <f>63.995 * CHOOSE(CONTROL!$C$9, $D$9, 100%, $F$9) + CHOOSE(CONTROL!$C$27, 0.0021, 0)</f>
        <v>63.997099999999996</v>
      </c>
      <c r="L636" s="10"/>
    </row>
    <row r="637" spans="1:12" ht="15.75" x14ac:dyDescent="0.25">
      <c r="A637" s="13">
        <v>60326</v>
      </c>
      <c r="B637" s="10">
        <f>62.6697 * CHOOSE(CONTROL!$C$9, $D$9, 100%, $F$9) + CHOOSE(CONTROL!$C$27, 0.0021, 0)</f>
        <v>62.671799999999998</v>
      </c>
      <c r="C637" s="10">
        <f>62.2375 * CHOOSE(CONTROL!$C$9, $D$9, 100%, $F$9) + CHOOSE(CONTROL!$C$27, 0.0021, 0)</f>
        <v>62.239599999999996</v>
      </c>
      <c r="D637" s="10">
        <f>62.2375 * CHOOSE(CONTROL!$C$9, $D$9, 100%, $F$9) + CHOOSE(CONTROL!$C$27, 0.0021, 0)</f>
        <v>62.239599999999996</v>
      </c>
      <c r="E637" s="10">
        <f>62.1008 * CHOOSE(CONTROL!$C$9, $D$9, 100%, $F$9) + CHOOSE(CONTROL!$C$27, 0.0021, 0)</f>
        <v>62.102899999999998</v>
      </c>
      <c r="F637" s="10">
        <f>62.1008 * CHOOSE(CONTROL!$C$9, $D$9, 100%, $F$9) + CHOOSE(CONTROL!$C$27, 0.0021, 0)</f>
        <v>62.102899999999998</v>
      </c>
      <c r="G637" s="10">
        <f>62.3722 * CHOOSE(CONTROL!$C$9, $D$9, 100%, $F$9) + CHOOSE(CONTROL!$C$27, 0.0021, 0)</f>
        <v>62.374299999999998</v>
      </c>
      <c r="H637" s="10">
        <f>62.2375 * CHOOSE(CONTROL!$C$9, $D$9, 100%, $F$9) + CHOOSE(CONTROL!$C$27, 0.0021, 0)</f>
        <v>62.239599999999996</v>
      </c>
      <c r="I637" s="10">
        <f>62.2375 * CHOOSE(CONTROL!$C$9, $D$9, 100%, $F$9) + CHOOSE(CONTROL!$C$27, 0.0021, 0)</f>
        <v>62.239599999999996</v>
      </c>
      <c r="J637" s="10">
        <f>62.2375 * CHOOSE(CONTROL!$C$9, $D$9, 100%, $F$9) + CHOOSE(CONTROL!$C$27, 0.0021, 0)</f>
        <v>62.239599999999996</v>
      </c>
      <c r="K637" s="10">
        <f>62.2375 * CHOOSE(CONTROL!$C$9, $D$9, 100%, $F$9) + CHOOSE(CONTROL!$C$27, 0.0021, 0)</f>
        <v>62.239599999999996</v>
      </c>
      <c r="L637" s="10"/>
    </row>
    <row r="638" spans="1:12" ht="15.75" x14ac:dyDescent="0.25">
      <c r="A638" s="13">
        <v>60357</v>
      </c>
      <c r="B638" s="10">
        <f>61.9442 * CHOOSE(CONTROL!$C$9, $D$9, 100%, $F$9) + CHOOSE(CONTROL!$C$27, 0.0021, 0)</f>
        <v>61.946300000000001</v>
      </c>
      <c r="C638" s="10">
        <f>61.512 * CHOOSE(CONTROL!$C$9, $D$9, 100%, $F$9) + CHOOSE(CONTROL!$C$27, 0.0021, 0)</f>
        <v>61.514099999999999</v>
      </c>
      <c r="D638" s="10">
        <f>61.512 * CHOOSE(CONTROL!$C$9, $D$9, 100%, $F$9) + CHOOSE(CONTROL!$C$27, 0.0021, 0)</f>
        <v>61.514099999999999</v>
      </c>
      <c r="E638" s="10">
        <f>61.3753 * CHOOSE(CONTROL!$C$9, $D$9, 100%, $F$9) + CHOOSE(CONTROL!$C$27, 0.0021, 0)</f>
        <v>61.377400000000002</v>
      </c>
      <c r="F638" s="10">
        <f>61.3753 * CHOOSE(CONTROL!$C$9, $D$9, 100%, $F$9) + CHOOSE(CONTROL!$C$27, 0.0021, 0)</f>
        <v>61.377400000000002</v>
      </c>
      <c r="G638" s="10">
        <f>61.6467 * CHOOSE(CONTROL!$C$9, $D$9, 100%, $F$9) + CHOOSE(CONTROL!$C$27, 0.0021, 0)</f>
        <v>61.648800000000001</v>
      </c>
      <c r="H638" s="10">
        <f>61.512 * CHOOSE(CONTROL!$C$9, $D$9, 100%, $F$9) + CHOOSE(CONTROL!$C$27, 0.0021, 0)</f>
        <v>61.514099999999999</v>
      </c>
      <c r="I638" s="10">
        <f>61.512 * CHOOSE(CONTROL!$C$9, $D$9, 100%, $F$9) + CHOOSE(CONTROL!$C$27, 0.0021, 0)</f>
        <v>61.514099999999999</v>
      </c>
      <c r="J638" s="10">
        <f>61.512 * CHOOSE(CONTROL!$C$9, $D$9, 100%, $F$9) + CHOOSE(CONTROL!$C$27, 0.0021, 0)</f>
        <v>61.514099999999999</v>
      </c>
      <c r="K638" s="10">
        <f>61.512 * CHOOSE(CONTROL!$C$9, $D$9, 100%, $F$9) + CHOOSE(CONTROL!$C$27, 0.0021, 0)</f>
        <v>61.514099999999999</v>
      </c>
      <c r="L638" s="10"/>
    </row>
    <row r="639" spans="1:12" ht="15.75" x14ac:dyDescent="0.25">
      <c r="A639" s="13">
        <v>60387</v>
      </c>
      <c r="B639" s="10">
        <f>61.078 * CHOOSE(CONTROL!$C$9, $D$9, 100%, $F$9) + CHOOSE(CONTROL!$C$27, 0.0021, 0)</f>
        <v>61.080100000000002</v>
      </c>
      <c r="C639" s="10">
        <f>60.6457 * CHOOSE(CONTROL!$C$9, $D$9, 100%, $F$9) + CHOOSE(CONTROL!$C$27, 0.0021, 0)</f>
        <v>60.647799999999997</v>
      </c>
      <c r="D639" s="10">
        <f>60.6457 * CHOOSE(CONTROL!$C$9, $D$9, 100%, $F$9) + CHOOSE(CONTROL!$C$27, 0.0021, 0)</f>
        <v>60.647799999999997</v>
      </c>
      <c r="E639" s="10">
        <f>60.5091 * CHOOSE(CONTROL!$C$9, $D$9, 100%, $F$9) + CHOOSE(CONTROL!$C$27, 0.0021, 0)</f>
        <v>60.511199999999995</v>
      </c>
      <c r="F639" s="10">
        <f>60.5091 * CHOOSE(CONTROL!$C$9, $D$9, 100%, $F$9) + CHOOSE(CONTROL!$C$27, 0.0021, 0)</f>
        <v>60.511199999999995</v>
      </c>
      <c r="G639" s="10">
        <f>60.7804 * CHOOSE(CONTROL!$C$9, $D$9, 100%, $F$9) + CHOOSE(CONTROL!$C$27, 0.0021, 0)</f>
        <v>60.782499999999999</v>
      </c>
      <c r="H639" s="10">
        <f>60.6457 * CHOOSE(CONTROL!$C$9, $D$9, 100%, $F$9) + CHOOSE(CONTROL!$C$27, 0.0021, 0)</f>
        <v>60.647799999999997</v>
      </c>
      <c r="I639" s="10">
        <f>60.6457 * CHOOSE(CONTROL!$C$9, $D$9, 100%, $F$9) + CHOOSE(CONTROL!$C$27, 0.0021, 0)</f>
        <v>60.647799999999997</v>
      </c>
      <c r="J639" s="10">
        <f>60.6457 * CHOOSE(CONTROL!$C$9, $D$9, 100%, $F$9) + CHOOSE(CONTROL!$C$27, 0.0021, 0)</f>
        <v>60.647799999999997</v>
      </c>
      <c r="K639" s="10">
        <f>60.6457 * CHOOSE(CONTROL!$C$9, $D$9, 100%, $F$9) + CHOOSE(CONTROL!$C$27, 0.0021, 0)</f>
        <v>60.647799999999997</v>
      </c>
      <c r="L639" s="10"/>
    </row>
    <row r="640" spans="1:12" ht="15.75" x14ac:dyDescent="0.25">
      <c r="A640" s="13">
        <v>60418</v>
      </c>
      <c r="B640" s="10">
        <f>62.3125 * CHOOSE(CONTROL!$C$9, $D$9, 100%, $F$9) + CHOOSE(CONTROL!$C$27, 0.0021, 0)</f>
        <v>62.314599999999999</v>
      </c>
      <c r="C640" s="10">
        <f>61.8802 * CHOOSE(CONTROL!$C$9, $D$9, 100%, $F$9) + CHOOSE(CONTROL!$C$27, 0.0021, 0)</f>
        <v>61.882300000000001</v>
      </c>
      <c r="D640" s="10">
        <f>61.8802 * CHOOSE(CONTROL!$C$9, $D$9, 100%, $F$9) + CHOOSE(CONTROL!$C$27, 0.0021, 0)</f>
        <v>61.882300000000001</v>
      </c>
      <c r="E640" s="10">
        <f>61.7436 * CHOOSE(CONTROL!$C$9, $D$9, 100%, $F$9) + CHOOSE(CONTROL!$C$27, 0.0021, 0)</f>
        <v>61.745699999999999</v>
      </c>
      <c r="F640" s="10">
        <f>61.7436 * CHOOSE(CONTROL!$C$9, $D$9, 100%, $F$9) + CHOOSE(CONTROL!$C$27, 0.0021, 0)</f>
        <v>61.745699999999999</v>
      </c>
      <c r="G640" s="10">
        <f>62.015 * CHOOSE(CONTROL!$C$9, $D$9, 100%, $F$9) + CHOOSE(CONTROL!$C$27, 0.0021, 0)</f>
        <v>62.017099999999999</v>
      </c>
      <c r="H640" s="10">
        <f>61.8802 * CHOOSE(CONTROL!$C$9, $D$9, 100%, $F$9) + CHOOSE(CONTROL!$C$27, 0.0021, 0)</f>
        <v>61.882300000000001</v>
      </c>
      <c r="I640" s="10">
        <f>61.8802 * CHOOSE(CONTROL!$C$9, $D$9, 100%, $F$9) + CHOOSE(CONTROL!$C$27, 0.0021, 0)</f>
        <v>61.882300000000001</v>
      </c>
      <c r="J640" s="10">
        <f>61.8802 * CHOOSE(CONTROL!$C$9, $D$9, 100%, $F$9) + CHOOSE(CONTROL!$C$27, 0.0021, 0)</f>
        <v>61.882300000000001</v>
      </c>
      <c r="K640" s="10">
        <f>61.8802 * CHOOSE(CONTROL!$C$9, $D$9, 100%, $F$9) + CHOOSE(CONTROL!$C$27, 0.0021, 0)</f>
        <v>61.882300000000001</v>
      </c>
      <c r="L640" s="10"/>
    </row>
    <row r="641" spans="1:12" ht="15.75" x14ac:dyDescent="0.25">
      <c r="A641" s="13">
        <v>60448</v>
      </c>
      <c r="B641" s="10">
        <f>63.0519 * CHOOSE(CONTROL!$C$9, $D$9, 100%, $F$9) + CHOOSE(CONTROL!$C$27, 0.0021, 0)</f>
        <v>63.054000000000002</v>
      </c>
      <c r="C641" s="10">
        <f>62.6197 * CHOOSE(CONTROL!$C$9, $D$9, 100%, $F$9) + CHOOSE(CONTROL!$C$27, 0.0021, 0)</f>
        <v>62.6218</v>
      </c>
      <c r="D641" s="10">
        <f>62.6197 * CHOOSE(CONTROL!$C$9, $D$9, 100%, $F$9) + CHOOSE(CONTROL!$C$27, 0.0021, 0)</f>
        <v>62.6218</v>
      </c>
      <c r="E641" s="10">
        <f>62.483 * CHOOSE(CONTROL!$C$9, $D$9, 100%, $F$9) + CHOOSE(CONTROL!$C$27, 0.0021, 0)</f>
        <v>62.485099999999996</v>
      </c>
      <c r="F641" s="10">
        <f>62.483 * CHOOSE(CONTROL!$C$9, $D$9, 100%, $F$9) + CHOOSE(CONTROL!$C$27, 0.0021, 0)</f>
        <v>62.485099999999996</v>
      </c>
      <c r="G641" s="10">
        <f>62.7544 * CHOOSE(CONTROL!$C$9, $D$9, 100%, $F$9) + CHOOSE(CONTROL!$C$27, 0.0021, 0)</f>
        <v>62.756499999999996</v>
      </c>
      <c r="H641" s="10">
        <f>62.6197 * CHOOSE(CONTROL!$C$9, $D$9, 100%, $F$9) + CHOOSE(CONTROL!$C$27, 0.0021, 0)</f>
        <v>62.6218</v>
      </c>
      <c r="I641" s="10">
        <f>62.6197 * CHOOSE(CONTROL!$C$9, $D$9, 100%, $F$9) + CHOOSE(CONTROL!$C$27, 0.0021, 0)</f>
        <v>62.6218</v>
      </c>
      <c r="J641" s="10">
        <f>62.6197 * CHOOSE(CONTROL!$C$9, $D$9, 100%, $F$9) + CHOOSE(CONTROL!$C$27, 0.0021, 0)</f>
        <v>62.6218</v>
      </c>
      <c r="K641" s="10">
        <f>62.6197 * CHOOSE(CONTROL!$C$9, $D$9, 100%, $F$9) + CHOOSE(CONTROL!$C$27, 0.0021, 0)</f>
        <v>62.6218</v>
      </c>
      <c r="L641" s="10"/>
    </row>
    <row r="642" spans="1:12" ht="15.75" x14ac:dyDescent="0.25">
      <c r="A642" s="13">
        <v>60479</v>
      </c>
      <c r="B642" s="10">
        <f>64.2717 * CHOOSE(CONTROL!$C$9, $D$9, 100%, $F$9) + CHOOSE(CONTROL!$C$27, 0.0021, 0)</f>
        <v>64.273799999999994</v>
      </c>
      <c r="C642" s="10">
        <f>63.8395 * CHOOSE(CONTROL!$C$9, $D$9, 100%, $F$9) + CHOOSE(CONTROL!$C$27, 0.0021, 0)</f>
        <v>63.8416</v>
      </c>
      <c r="D642" s="10">
        <f>63.8395 * CHOOSE(CONTROL!$C$9, $D$9, 100%, $F$9) + CHOOSE(CONTROL!$C$27, 0.0021, 0)</f>
        <v>63.8416</v>
      </c>
      <c r="E642" s="10">
        <f>63.7028 * CHOOSE(CONTROL!$C$9, $D$9, 100%, $F$9) + CHOOSE(CONTROL!$C$27, 0.0021, 0)</f>
        <v>63.704900000000002</v>
      </c>
      <c r="F642" s="10">
        <f>63.7028 * CHOOSE(CONTROL!$C$9, $D$9, 100%, $F$9) + CHOOSE(CONTROL!$C$27, 0.0021, 0)</f>
        <v>63.704900000000002</v>
      </c>
      <c r="G642" s="10">
        <f>63.9742 * CHOOSE(CONTROL!$C$9, $D$9, 100%, $F$9) + CHOOSE(CONTROL!$C$27, 0.0021, 0)</f>
        <v>63.976300000000002</v>
      </c>
      <c r="H642" s="10">
        <f>63.8395 * CHOOSE(CONTROL!$C$9, $D$9, 100%, $F$9) + CHOOSE(CONTROL!$C$27, 0.0021, 0)</f>
        <v>63.8416</v>
      </c>
      <c r="I642" s="10">
        <f>63.8395 * CHOOSE(CONTROL!$C$9, $D$9, 100%, $F$9) + CHOOSE(CONTROL!$C$27, 0.0021, 0)</f>
        <v>63.8416</v>
      </c>
      <c r="J642" s="10">
        <f>63.8395 * CHOOSE(CONTROL!$C$9, $D$9, 100%, $F$9) + CHOOSE(CONTROL!$C$27, 0.0021, 0)</f>
        <v>63.8416</v>
      </c>
      <c r="K642" s="10">
        <f>63.8395 * CHOOSE(CONTROL!$C$9, $D$9, 100%, $F$9) + CHOOSE(CONTROL!$C$27, 0.0021, 0)</f>
        <v>63.8416</v>
      </c>
      <c r="L642" s="10"/>
    </row>
    <row r="643" spans="1:12" ht="15.75" x14ac:dyDescent="0.25">
      <c r="A643" s="13">
        <v>60510</v>
      </c>
      <c r="B643" s="10">
        <f>64.644 * CHOOSE(CONTROL!$C$9, $D$9, 100%, $F$9) + CHOOSE(CONTROL!$C$27, 0.0021, 0)</f>
        <v>64.646100000000004</v>
      </c>
      <c r="C643" s="10">
        <f>64.2118 * CHOOSE(CONTROL!$C$9, $D$9, 100%, $F$9) + CHOOSE(CONTROL!$C$27, 0.0021, 0)</f>
        <v>64.213899999999995</v>
      </c>
      <c r="D643" s="10">
        <f>64.2118 * CHOOSE(CONTROL!$C$9, $D$9, 100%, $F$9) + CHOOSE(CONTROL!$C$27, 0.0021, 0)</f>
        <v>64.213899999999995</v>
      </c>
      <c r="E643" s="10">
        <f>64.0751 * CHOOSE(CONTROL!$C$9, $D$9, 100%, $F$9) + CHOOSE(CONTROL!$C$27, 0.0021, 0)</f>
        <v>64.077200000000005</v>
      </c>
      <c r="F643" s="10">
        <f>64.0751 * CHOOSE(CONTROL!$C$9, $D$9, 100%, $F$9) + CHOOSE(CONTROL!$C$27, 0.0021, 0)</f>
        <v>64.077200000000005</v>
      </c>
      <c r="G643" s="10">
        <f>64.3465 * CHOOSE(CONTROL!$C$9, $D$9, 100%, $F$9) + CHOOSE(CONTROL!$C$27, 0.0021, 0)</f>
        <v>64.348600000000005</v>
      </c>
      <c r="H643" s="10">
        <f>64.2118 * CHOOSE(CONTROL!$C$9, $D$9, 100%, $F$9) + CHOOSE(CONTROL!$C$27, 0.0021, 0)</f>
        <v>64.213899999999995</v>
      </c>
      <c r="I643" s="10">
        <f>64.2118 * CHOOSE(CONTROL!$C$9, $D$9, 100%, $F$9) + CHOOSE(CONTROL!$C$27, 0.0021, 0)</f>
        <v>64.213899999999995</v>
      </c>
      <c r="J643" s="10">
        <f>64.2118 * CHOOSE(CONTROL!$C$9, $D$9, 100%, $F$9) + CHOOSE(CONTROL!$C$27, 0.0021, 0)</f>
        <v>64.213899999999995</v>
      </c>
      <c r="K643" s="10">
        <f>64.2118 * CHOOSE(CONTROL!$C$9, $D$9, 100%, $F$9) + CHOOSE(CONTROL!$C$27, 0.0021, 0)</f>
        <v>64.213899999999995</v>
      </c>
      <c r="L643" s="10"/>
    </row>
    <row r="644" spans="1:12" ht="15.75" x14ac:dyDescent="0.25">
      <c r="A644" s="13">
        <v>60540</v>
      </c>
      <c r="B644" s="10">
        <f>65.912 * CHOOSE(CONTROL!$C$9, $D$9, 100%, $F$9) + CHOOSE(CONTROL!$C$27, 0.0021, 0)</f>
        <v>65.914100000000005</v>
      </c>
      <c r="C644" s="10">
        <f>65.4797 * CHOOSE(CONTROL!$C$9, $D$9, 100%, $F$9) + CHOOSE(CONTROL!$C$27, 0.0021, 0)</f>
        <v>65.481799999999993</v>
      </c>
      <c r="D644" s="10">
        <f>65.4797 * CHOOSE(CONTROL!$C$9, $D$9, 100%, $F$9) + CHOOSE(CONTROL!$C$27, 0.0021, 0)</f>
        <v>65.481799999999993</v>
      </c>
      <c r="E644" s="10">
        <f>65.343 * CHOOSE(CONTROL!$C$9, $D$9, 100%, $F$9) + CHOOSE(CONTROL!$C$27, 0.0021, 0)</f>
        <v>65.345100000000002</v>
      </c>
      <c r="F644" s="10">
        <f>65.343 * CHOOSE(CONTROL!$C$9, $D$9, 100%, $F$9) + CHOOSE(CONTROL!$C$27, 0.0021, 0)</f>
        <v>65.345100000000002</v>
      </c>
      <c r="G644" s="10">
        <f>65.6144 * CHOOSE(CONTROL!$C$9, $D$9, 100%, $F$9) + CHOOSE(CONTROL!$C$27, 0.0021, 0)</f>
        <v>65.616500000000002</v>
      </c>
      <c r="H644" s="10">
        <f>65.4797 * CHOOSE(CONTROL!$C$9, $D$9, 100%, $F$9) + CHOOSE(CONTROL!$C$27, 0.0021, 0)</f>
        <v>65.481799999999993</v>
      </c>
      <c r="I644" s="10">
        <f>65.4797 * CHOOSE(CONTROL!$C$9, $D$9, 100%, $F$9) + CHOOSE(CONTROL!$C$27, 0.0021, 0)</f>
        <v>65.481799999999993</v>
      </c>
      <c r="J644" s="10">
        <f>65.4797 * CHOOSE(CONTROL!$C$9, $D$9, 100%, $F$9) + CHOOSE(CONTROL!$C$27, 0.0021, 0)</f>
        <v>65.481799999999993</v>
      </c>
      <c r="K644" s="10">
        <f>65.4797 * CHOOSE(CONTROL!$C$9, $D$9, 100%, $F$9) + CHOOSE(CONTROL!$C$27, 0.0021, 0)</f>
        <v>65.481799999999993</v>
      </c>
      <c r="L644" s="10"/>
    </row>
    <row r="645" spans="1:12" ht="15.75" x14ac:dyDescent="0.25">
      <c r="A645" s="13">
        <v>60571</v>
      </c>
      <c r="B645" s="10">
        <f>67.5169 * CHOOSE(CONTROL!$C$9, $D$9, 100%, $F$9) + CHOOSE(CONTROL!$C$27, 0.0021, 0)</f>
        <v>67.519000000000005</v>
      </c>
      <c r="C645" s="10">
        <f>67.0847 * CHOOSE(CONTROL!$C$9, $D$9, 100%, $F$9) + CHOOSE(CONTROL!$C$27, 0.0021, 0)</f>
        <v>67.086799999999997</v>
      </c>
      <c r="D645" s="10">
        <f>67.0847 * CHOOSE(CONTROL!$C$9, $D$9, 100%, $F$9) + CHOOSE(CONTROL!$C$27, 0.0021, 0)</f>
        <v>67.086799999999997</v>
      </c>
      <c r="E645" s="10">
        <f>66.948 * CHOOSE(CONTROL!$C$9, $D$9, 100%, $F$9) + CHOOSE(CONTROL!$C$27, 0.0021, 0)</f>
        <v>66.950099999999992</v>
      </c>
      <c r="F645" s="10">
        <f>66.948 * CHOOSE(CONTROL!$C$9, $D$9, 100%, $F$9) + CHOOSE(CONTROL!$C$27, 0.0021, 0)</f>
        <v>66.950099999999992</v>
      </c>
      <c r="G645" s="10">
        <f>67.2194 * CHOOSE(CONTROL!$C$9, $D$9, 100%, $F$9) + CHOOSE(CONTROL!$C$27, 0.0021, 0)</f>
        <v>67.221499999999992</v>
      </c>
      <c r="H645" s="10">
        <f>67.0847 * CHOOSE(CONTROL!$C$9, $D$9, 100%, $F$9) + CHOOSE(CONTROL!$C$27, 0.0021, 0)</f>
        <v>67.086799999999997</v>
      </c>
      <c r="I645" s="10">
        <f>67.0847 * CHOOSE(CONTROL!$C$9, $D$9, 100%, $F$9) + CHOOSE(CONTROL!$C$27, 0.0021, 0)</f>
        <v>67.086799999999997</v>
      </c>
      <c r="J645" s="10">
        <f>67.0847 * CHOOSE(CONTROL!$C$9, $D$9, 100%, $F$9) + CHOOSE(CONTROL!$C$27, 0.0021, 0)</f>
        <v>67.086799999999997</v>
      </c>
      <c r="K645" s="10">
        <f>67.0847 * CHOOSE(CONTROL!$C$9, $D$9, 100%, $F$9) + CHOOSE(CONTROL!$C$27, 0.0021, 0)</f>
        <v>67.086799999999997</v>
      </c>
      <c r="L645" s="10"/>
    </row>
    <row r="646" spans="1:12" ht="15.75" x14ac:dyDescent="0.25">
      <c r="A646" s="13">
        <v>60601</v>
      </c>
      <c r="B646" s="10">
        <f>67.6676 * CHOOSE(CONTROL!$C$9, $D$9, 100%, $F$9) + CHOOSE(CONTROL!$C$27, 0.0021, 0)</f>
        <v>67.669699999999992</v>
      </c>
      <c r="C646" s="10">
        <f>67.2353 * CHOOSE(CONTROL!$C$9, $D$9, 100%, $F$9) + CHOOSE(CONTROL!$C$27, 0.0021, 0)</f>
        <v>67.237399999999994</v>
      </c>
      <c r="D646" s="10">
        <f>67.2353 * CHOOSE(CONTROL!$C$9, $D$9, 100%, $F$9) + CHOOSE(CONTROL!$C$27, 0.0021, 0)</f>
        <v>67.237399999999994</v>
      </c>
      <c r="E646" s="10">
        <f>67.0987 * CHOOSE(CONTROL!$C$9, $D$9, 100%, $F$9) + CHOOSE(CONTROL!$C$27, 0.0021, 0)</f>
        <v>67.100799999999992</v>
      </c>
      <c r="F646" s="10">
        <f>67.0987 * CHOOSE(CONTROL!$C$9, $D$9, 100%, $F$9) + CHOOSE(CONTROL!$C$27, 0.0021, 0)</f>
        <v>67.100799999999992</v>
      </c>
      <c r="G646" s="10">
        <f>67.3701 * CHOOSE(CONTROL!$C$9, $D$9, 100%, $F$9) + CHOOSE(CONTROL!$C$27, 0.0021, 0)</f>
        <v>67.372199999999992</v>
      </c>
      <c r="H646" s="10">
        <f>67.2353 * CHOOSE(CONTROL!$C$9, $D$9, 100%, $F$9) + CHOOSE(CONTROL!$C$27, 0.0021, 0)</f>
        <v>67.237399999999994</v>
      </c>
      <c r="I646" s="10">
        <f>67.2353 * CHOOSE(CONTROL!$C$9, $D$9, 100%, $F$9) + CHOOSE(CONTROL!$C$27, 0.0021, 0)</f>
        <v>67.237399999999994</v>
      </c>
      <c r="J646" s="10">
        <f>67.2353 * CHOOSE(CONTROL!$C$9, $D$9, 100%, $F$9) + CHOOSE(CONTROL!$C$27, 0.0021, 0)</f>
        <v>67.237399999999994</v>
      </c>
      <c r="K646" s="10">
        <f>67.2353 * CHOOSE(CONTROL!$C$9, $D$9, 100%, $F$9) + CHOOSE(CONTROL!$C$27, 0.0021, 0)</f>
        <v>67.237399999999994</v>
      </c>
      <c r="L646" s="10"/>
    </row>
    <row r="647" spans="1:12" ht="15.75" x14ac:dyDescent="0.25">
      <c r="A647" s="13">
        <v>60632</v>
      </c>
      <c r="B647" s="10">
        <f>66.3857 * CHOOSE(CONTROL!$C$9, $D$9, 100%, $F$9) + CHOOSE(CONTROL!$C$27, 0.0021, 0)</f>
        <v>66.387799999999999</v>
      </c>
      <c r="C647" s="10">
        <f>65.9535 * CHOOSE(CONTROL!$C$9, $D$9, 100%, $F$9) + CHOOSE(CONTROL!$C$27, 0.0021, 0)</f>
        <v>65.955600000000004</v>
      </c>
      <c r="D647" s="10">
        <f>65.9535 * CHOOSE(CONTROL!$C$9, $D$9, 100%, $F$9) + CHOOSE(CONTROL!$C$27, 0.0021, 0)</f>
        <v>65.955600000000004</v>
      </c>
      <c r="E647" s="10">
        <f>65.8168 * CHOOSE(CONTROL!$C$9, $D$9, 100%, $F$9) + CHOOSE(CONTROL!$C$27, 0.0021, 0)</f>
        <v>65.818899999999999</v>
      </c>
      <c r="F647" s="10">
        <f>65.8168 * CHOOSE(CONTROL!$C$9, $D$9, 100%, $F$9) + CHOOSE(CONTROL!$C$27, 0.0021, 0)</f>
        <v>65.818899999999999</v>
      </c>
      <c r="G647" s="10">
        <f>66.0882 * CHOOSE(CONTROL!$C$9, $D$9, 100%, $F$9) + CHOOSE(CONTROL!$C$27, 0.0021, 0)</f>
        <v>66.090299999999999</v>
      </c>
      <c r="H647" s="10">
        <f>65.9535 * CHOOSE(CONTROL!$C$9, $D$9, 100%, $F$9) + CHOOSE(CONTROL!$C$27, 0.0021, 0)</f>
        <v>65.955600000000004</v>
      </c>
      <c r="I647" s="10">
        <f>65.9535 * CHOOSE(CONTROL!$C$9, $D$9, 100%, $F$9) + CHOOSE(CONTROL!$C$27, 0.0021, 0)</f>
        <v>65.955600000000004</v>
      </c>
      <c r="J647" s="10">
        <f>65.9535 * CHOOSE(CONTROL!$C$9, $D$9, 100%, $F$9) + CHOOSE(CONTROL!$C$27, 0.0021, 0)</f>
        <v>65.955600000000004</v>
      </c>
      <c r="K647" s="10">
        <f>65.9535 * CHOOSE(CONTROL!$C$9, $D$9, 100%, $F$9) + CHOOSE(CONTROL!$C$27, 0.0021, 0)</f>
        <v>65.955600000000004</v>
      </c>
      <c r="L647" s="10"/>
    </row>
    <row r="648" spans="1:12" ht="15.75" x14ac:dyDescent="0.25">
      <c r="A648" s="13">
        <v>60663</v>
      </c>
      <c r="B648" s="10">
        <f>65.546 * CHOOSE(CONTROL!$C$9, $D$9, 100%, $F$9) + CHOOSE(CONTROL!$C$27, 0.0021, 0)</f>
        <v>65.548100000000005</v>
      </c>
      <c r="C648" s="10">
        <f>65.1137 * CHOOSE(CONTROL!$C$9, $D$9, 100%, $F$9) + CHOOSE(CONTROL!$C$27, 0.0021, 0)</f>
        <v>65.115799999999993</v>
      </c>
      <c r="D648" s="10">
        <f>65.1137 * CHOOSE(CONTROL!$C$9, $D$9, 100%, $F$9) + CHOOSE(CONTROL!$C$27, 0.0021, 0)</f>
        <v>65.115799999999993</v>
      </c>
      <c r="E648" s="10">
        <f>64.9771 * CHOOSE(CONTROL!$C$9, $D$9, 100%, $F$9) + CHOOSE(CONTROL!$C$27, 0.0021, 0)</f>
        <v>64.979199999999992</v>
      </c>
      <c r="F648" s="10">
        <f>64.9771 * CHOOSE(CONTROL!$C$9, $D$9, 100%, $F$9) + CHOOSE(CONTROL!$C$27, 0.0021, 0)</f>
        <v>64.979199999999992</v>
      </c>
      <c r="G648" s="10">
        <f>65.2484 * CHOOSE(CONTROL!$C$9, $D$9, 100%, $F$9) + CHOOSE(CONTROL!$C$27, 0.0021, 0)</f>
        <v>65.250500000000002</v>
      </c>
      <c r="H648" s="10">
        <f>65.1137 * CHOOSE(CONTROL!$C$9, $D$9, 100%, $F$9) + CHOOSE(CONTROL!$C$27, 0.0021, 0)</f>
        <v>65.115799999999993</v>
      </c>
      <c r="I648" s="10">
        <f>65.1137 * CHOOSE(CONTROL!$C$9, $D$9, 100%, $F$9) + CHOOSE(CONTROL!$C$27, 0.0021, 0)</f>
        <v>65.115799999999993</v>
      </c>
      <c r="J648" s="10">
        <f>65.1137 * CHOOSE(CONTROL!$C$9, $D$9, 100%, $F$9) + CHOOSE(CONTROL!$C$27, 0.0021, 0)</f>
        <v>65.115799999999993</v>
      </c>
      <c r="K648" s="10">
        <f>65.1137 * CHOOSE(CONTROL!$C$9, $D$9, 100%, $F$9) + CHOOSE(CONTROL!$C$27, 0.0021, 0)</f>
        <v>65.115799999999993</v>
      </c>
      <c r="L648" s="10"/>
    </row>
    <row r="649" spans="1:12" ht="15.75" x14ac:dyDescent="0.25">
      <c r="A649" s="13">
        <v>60691</v>
      </c>
      <c r="B649" s="10">
        <f>63.7568 * CHOOSE(CONTROL!$C$9, $D$9, 100%, $F$9) + CHOOSE(CONTROL!$C$27, 0.0021, 0)</f>
        <v>63.758899999999997</v>
      </c>
      <c r="C649" s="10">
        <f>63.3246 * CHOOSE(CONTROL!$C$9, $D$9, 100%, $F$9) + CHOOSE(CONTROL!$C$27, 0.0021, 0)</f>
        <v>63.326699999999995</v>
      </c>
      <c r="D649" s="10">
        <f>63.3246 * CHOOSE(CONTROL!$C$9, $D$9, 100%, $F$9) + CHOOSE(CONTROL!$C$27, 0.0021, 0)</f>
        <v>63.326699999999995</v>
      </c>
      <c r="E649" s="10">
        <f>63.1879 * CHOOSE(CONTROL!$C$9, $D$9, 100%, $F$9) + CHOOSE(CONTROL!$C$27, 0.0021, 0)</f>
        <v>63.19</v>
      </c>
      <c r="F649" s="10">
        <f>63.1879 * CHOOSE(CONTROL!$C$9, $D$9, 100%, $F$9) + CHOOSE(CONTROL!$C$27, 0.0021, 0)</f>
        <v>63.19</v>
      </c>
      <c r="G649" s="10">
        <f>63.4593 * CHOOSE(CONTROL!$C$9, $D$9, 100%, $F$9) + CHOOSE(CONTROL!$C$27, 0.0021, 0)</f>
        <v>63.461399999999998</v>
      </c>
      <c r="H649" s="10">
        <f>63.3246 * CHOOSE(CONTROL!$C$9, $D$9, 100%, $F$9) + CHOOSE(CONTROL!$C$27, 0.0021, 0)</f>
        <v>63.326699999999995</v>
      </c>
      <c r="I649" s="10">
        <f>63.3246 * CHOOSE(CONTROL!$C$9, $D$9, 100%, $F$9) + CHOOSE(CONTROL!$C$27, 0.0021, 0)</f>
        <v>63.326699999999995</v>
      </c>
      <c r="J649" s="10">
        <f>63.3246 * CHOOSE(CONTROL!$C$9, $D$9, 100%, $F$9) + CHOOSE(CONTROL!$C$27, 0.0021, 0)</f>
        <v>63.326699999999995</v>
      </c>
      <c r="K649" s="10">
        <f>63.3246 * CHOOSE(CONTROL!$C$9, $D$9, 100%, $F$9) + CHOOSE(CONTROL!$C$27, 0.0021, 0)</f>
        <v>63.326699999999995</v>
      </c>
      <c r="L649" s="10"/>
    </row>
    <row r="650" spans="1:12" ht="15.75" x14ac:dyDescent="0.25">
      <c r="A650" s="13">
        <v>60722</v>
      </c>
      <c r="B650" s="10">
        <f>63.0183 * CHOOSE(CONTROL!$C$9, $D$9, 100%, $F$9) + CHOOSE(CONTROL!$C$27, 0.0021, 0)</f>
        <v>63.020400000000002</v>
      </c>
      <c r="C650" s="10">
        <f>62.586 * CHOOSE(CONTROL!$C$9, $D$9, 100%, $F$9) + CHOOSE(CONTROL!$C$27, 0.0021, 0)</f>
        <v>62.588099999999997</v>
      </c>
      <c r="D650" s="10">
        <f>62.586 * CHOOSE(CONTROL!$C$9, $D$9, 100%, $F$9) + CHOOSE(CONTROL!$C$27, 0.0021, 0)</f>
        <v>62.588099999999997</v>
      </c>
      <c r="E650" s="10">
        <f>62.4493 * CHOOSE(CONTROL!$C$9, $D$9, 100%, $F$9) + CHOOSE(CONTROL!$C$27, 0.0021, 0)</f>
        <v>62.4514</v>
      </c>
      <c r="F650" s="10">
        <f>62.4493 * CHOOSE(CONTROL!$C$9, $D$9, 100%, $F$9) + CHOOSE(CONTROL!$C$27, 0.0021, 0)</f>
        <v>62.4514</v>
      </c>
      <c r="G650" s="10">
        <f>62.7207 * CHOOSE(CONTROL!$C$9, $D$9, 100%, $F$9) + CHOOSE(CONTROL!$C$27, 0.0021, 0)</f>
        <v>62.722799999999999</v>
      </c>
      <c r="H650" s="10">
        <f>62.586 * CHOOSE(CONTROL!$C$9, $D$9, 100%, $F$9) + CHOOSE(CONTROL!$C$27, 0.0021, 0)</f>
        <v>62.588099999999997</v>
      </c>
      <c r="I650" s="10">
        <f>62.586 * CHOOSE(CONTROL!$C$9, $D$9, 100%, $F$9) + CHOOSE(CONTROL!$C$27, 0.0021, 0)</f>
        <v>62.588099999999997</v>
      </c>
      <c r="J650" s="10">
        <f>62.586 * CHOOSE(CONTROL!$C$9, $D$9, 100%, $F$9) + CHOOSE(CONTROL!$C$27, 0.0021, 0)</f>
        <v>62.588099999999997</v>
      </c>
      <c r="K650" s="10">
        <f>62.586 * CHOOSE(CONTROL!$C$9, $D$9, 100%, $F$9) + CHOOSE(CONTROL!$C$27, 0.0021, 0)</f>
        <v>62.588099999999997</v>
      </c>
      <c r="L650" s="10"/>
    </row>
    <row r="651" spans="1:12" ht="15.75" x14ac:dyDescent="0.25">
      <c r="A651" s="13">
        <v>60752</v>
      </c>
      <c r="B651" s="10">
        <f>62.1364 * CHOOSE(CONTROL!$C$9, $D$9, 100%, $F$9) + CHOOSE(CONTROL!$C$27, 0.0021, 0)</f>
        <v>62.138500000000001</v>
      </c>
      <c r="C651" s="10">
        <f>61.7041 * CHOOSE(CONTROL!$C$9, $D$9, 100%, $F$9) + CHOOSE(CONTROL!$C$27, 0.0021, 0)</f>
        <v>61.706199999999995</v>
      </c>
      <c r="D651" s="10">
        <f>61.7041 * CHOOSE(CONTROL!$C$9, $D$9, 100%, $F$9) + CHOOSE(CONTROL!$C$27, 0.0021, 0)</f>
        <v>61.706199999999995</v>
      </c>
      <c r="E651" s="10">
        <f>61.5675 * CHOOSE(CONTROL!$C$9, $D$9, 100%, $F$9) + CHOOSE(CONTROL!$C$27, 0.0021, 0)</f>
        <v>61.569600000000001</v>
      </c>
      <c r="F651" s="10">
        <f>61.5675 * CHOOSE(CONTROL!$C$9, $D$9, 100%, $F$9) + CHOOSE(CONTROL!$C$27, 0.0021, 0)</f>
        <v>61.569600000000001</v>
      </c>
      <c r="G651" s="10">
        <f>61.8389 * CHOOSE(CONTROL!$C$9, $D$9, 100%, $F$9) + CHOOSE(CONTROL!$C$27, 0.0021, 0)</f>
        <v>61.841000000000001</v>
      </c>
      <c r="H651" s="10">
        <f>61.7041 * CHOOSE(CONTROL!$C$9, $D$9, 100%, $F$9) + CHOOSE(CONTROL!$C$27, 0.0021, 0)</f>
        <v>61.706199999999995</v>
      </c>
      <c r="I651" s="10">
        <f>61.7041 * CHOOSE(CONTROL!$C$9, $D$9, 100%, $F$9) + CHOOSE(CONTROL!$C$27, 0.0021, 0)</f>
        <v>61.706199999999995</v>
      </c>
      <c r="J651" s="10">
        <f>61.7041 * CHOOSE(CONTROL!$C$9, $D$9, 100%, $F$9) + CHOOSE(CONTROL!$C$27, 0.0021, 0)</f>
        <v>61.706199999999995</v>
      </c>
      <c r="K651" s="10">
        <f>61.7041 * CHOOSE(CONTROL!$C$9, $D$9, 100%, $F$9) + CHOOSE(CONTROL!$C$27, 0.0021, 0)</f>
        <v>61.706199999999995</v>
      </c>
      <c r="L651" s="10"/>
    </row>
    <row r="652" spans="1:12" ht="15.75" x14ac:dyDescent="0.25">
      <c r="A652" s="13">
        <v>60783</v>
      </c>
      <c r="B652" s="10">
        <f>63.3931 * CHOOSE(CONTROL!$C$9, $D$9, 100%, $F$9) + CHOOSE(CONTROL!$C$27, 0.0021, 0)</f>
        <v>63.395199999999996</v>
      </c>
      <c r="C652" s="10">
        <f>62.9609 * CHOOSE(CONTROL!$C$9, $D$9, 100%, $F$9) + CHOOSE(CONTROL!$C$27, 0.0021, 0)</f>
        <v>62.963000000000001</v>
      </c>
      <c r="D652" s="10">
        <f>62.9609 * CHOOSE(CONTROL!$C$9, $D$9, 100%, $F$9) + CHOOSE(CONTROL!$C$27, 0.0021, 0)</f>
        <v>62.963000000000001</v>
      </c>
      <c r="E652" s="10">
        <f>62.8242 * CHOOSE(CONTROL!$C$9, $D$9, 100%, $F$9) + CHOOSE(CONTROL!$C$27, 0.0021, 0)</f>
        <v>62.826299999999996</v>
      </c>
      <c r="F652" s="10">
        <f>62.8242 * CHOOSE(CONTROL!$C$9, $D$9, 100%, $F$9) + CHOOSE(CONTROL!$C$27, 0.0021, 0)</f>
        <v>62.826299999999996</v>
      </c>
      <c r="G652" s="10">
        <f>63.0956 * CHOOSE(CONTROL!$C$9, $D$9, 100%, $F$9) + CHOOSE(CONTROL!$C$27, 0.0021, 0)</f>
        <v>63.097699999999996</v>
      </c>
      <c r="H652" s="10">
        <f>62.9609 * CHOOSE(CONTROL!$C$9, $D$9, 100%, $F$9) + CHOOSE(CONTROL!$C$27, 0.0021, 0)</f>
        <v>62.963000000000001</v>
      </c>
      <c r="I652" s="10">
        <f>62.9609 * CHOOSE(CONTROL!$C$9, $D$9, 100%, $F$9) + CHOOSE(CONTROL!$C$27, 0.0021, 0)</f>
        <v>62.963000000000001</v>
      </c>
      <c r="J652" s="10">
        <f>62.9609 * CHOOSE(CONTROL!$C$9, $D$9, 100%, $F$9) + CHOOSE(CONTROL!$C$27, 0.0021, 0)</f>
        <v>62.963000000000001</v>
      </c>
      <c r="K652" s="10">
        <f>62.9609 * CHOOSE(CONTROL!$C$9, $D$9, 100%, $F$9) + CHOOSE(CONTROL!$C$27, 0.0021, 0)</f>
        <v>62.963000000000001</v>
      </c>
      <c r="L652" s="10"/>
    </row>
    <row r="653" spans="1:12" ht="15.75" x14ac:dyDescent="0.25">
      <c r="A653" s="13">
        <v>60813</v>
      </c>
      <c r="B653" s="10">
        <f>64.1459 * CHOOSE(CONTROL!$C$9, $D$9, 100%, $F$9) + CHOOSE(CONTROL!$C$27, 0.0021, 0)</f>
        <v>64.147999999999996</v>
      </c>
      <c r="C653" s="10">
        <f>63.7136 * CHOOSE(CONTROL!$C$9, $D$9, 100%, $F$9) + CHOOSE(CONTROL!$C$27, 0.0021, 0)</f>
        <v>63.715699999999998</v>
      </c>
      <c r="D653" s="10">
        <f>63.7136 * CHOOSE(CONTROL!$C$9, $D$9, 100%, $F$9) + CHOOSE(CONTROL!$C$27, 0.0021, 0)</f>
        <v>63.715699999999998</v>
      </c>
      <c r="E653" s="10">
        <f>63.577 * CHOOSE(CONTROL!$C$9, $D$9, 100%, $F$9) + CHOOSE(CONTROL!$C$27, 0.0021, 0)</f>
        <v>63.579099999999997</v>
      </c>
      <c r="F653" s="10">
        <f>63.577 * CHOOSE(CONTROL!$C$9, $D$9, 100%, $F$9) + CHOOSE(CONTROL!$C$27, 0.0021, 0)</f>
        <v>63.579099999999997</v>
      </c>
      <c r="G653" s="10">
        <f>63.8484 * CHOOSE(CONTROL!$C$9, $D$9, 100%, $F$9) + CHOOSE(CONTROL!$C$27, 0.0021, 0)</f>
        <v>63.850499999999997</v>
      </c>
      <c r="H653" s="10">
        <f>63.7136 * CHOOSE(CONTROL!$C$9, $D$9, 100%, $F$9) + CHOOSE(CONTROL!$C$27, 0.0021, 0)</f>
        <v>63.715699999999998</v>
      </c>
      <c r="I653" s="10">
        <f>63.7136 * CHOOSE(CONTROL!$C$9, $D$9, 100%, $F$9) + CHOOSE(CONTROL!$C$27, 0.0021, 0)</f>
        <v>63.715699999999998</v>
      </c>
      <c r="J653" s="10">
        <f>63.7136 * CHOOSE(CONTROL!$C$9, $D$9, 100%, $F$9) + CHOOSE(CONTROL!$C$27, 0.0021, 0)</f>
        <v>63.715699999999998</v>
      </c>
      <c r="K653" s="10">
        <f>63.7136 * CHOOSE(CONTROL!$C$9, $D$9, 100%, $F$9) + CHOOSE(CONTROL!$C$27, 0.0021, 0)</f>
        <v>63.715699999999998</v>
      </c>
      <c r="L653" s="10"/>
    </row>
    <row r="654" spans="1:12" ht="15.75" x14ac:dyDescent="0.25">
      <c r="A654" s="13">
        <v>60844</v>
      </c>
      <c r="B654" s="10">
        <f>65.3876 * CHOOSE(CONTROL!$C$9, $D$9, 100%, $F$9) + CHOOSE(CONTROL!$C$27, 0.0021, 0)</f>
        <v>65.389700000000005</v>
      </c>
      <c r="C654" s="10">
        <f>64.9554 * CHOOSE(CONTROL!$C$9, $D$9, 100%, $F$9) + CHOOSE(CONTROL!$C$27, 0.0021, 0)</f>
        <v>64.957499999999996</v>
      </c>
      <c r="D654" s="10">
        <f>64.9554 * CHOOSE(CONTROL!$C$9, $D$9, 100%, $F$9) + CHOOSE(CONTROL!$C$27, 0.0021, 0)</f>
        <v>64.957499999999996</v>
      </c>
      <c r="E654" s="10">
        <f>64.8187 * CHOOSE(CONTROL!$C$9, $D$9, 100%, $F$9) + CHOOSE(CONTROL!$C$27, 0.0021, 0)</f>
        <v>64.820800000000006</v>
      </c>
      <c r="F654" s="10">
        <f>64.8187 * CHOOSE(CONTROL!$C$9, $D$9, 100%, $F$9) + CHOOSE(CONTROL!$C$27, 0.0021, 0)</f>
        <v>64.820800000000006</v>
      </c>
      <c r="G654" s="10">
        <f>65.0901 * CHOOSE(CONTROL!$C$9, $D$9, 100%, $F$9) + CHOOSE(CONTROL!$C$27, 0.0021, 0)</f>
        <v>65.092200000000005</v>
      </c>
      <c r="H654" s="10">
        <f>64.9554 * CHOOSE(CONTROL!$C$9, $D$9, 100%, $F$9) + CHOOSE(CONTROL!$C$27, 0.0021, 0)</f>
        <v>64.957499999999996</v>
      </c>
      <c r="I654" s="10">
        <f>64.9554 * CHOOSE(CONTROL!$C$9, $D$9, 100%, $F$9) + CHOOSE(CONTROL!$C$27, 0.0021, 0)</f>
        <v>64.957499999999996</v>
      </c>
      <c r="J654" s="10">
        <f>64.9554 * CHOOSE(CONTROL!$C$9, $D$9, 100%, $F$9) + CHOOSE(CONTROL!$C$27, 0.0021, 0)</f>
        <v>64.957499999999996</v>
      </c>
      <c r="K654" s="10">
        <f>64.9554 * CHOOSE(CONTROL!$C$9, $D$9, 100%, $F$9) + CHOOSE(CONTROL!$C$27, 0.0021, 0)</f>
        <v>64.957499999999996</v>
      </c>
      <c r="L654" s="10"/>
    </row>
    <row r="655" spans="1:12" ht="15.75" x14ac:dyDescent="0.25">
      <c r="A655" s="13">
        <v>60875</v>
      </c>
      <c r="B655" s="10">
        <f>65.7667 * CHOOSE(CONTROL!$C$9, $D$9, 100%, $F$9) + CHOOSE(CONTROL!$C$27, 0.0021, 0)</f>
        <v>65.768799999999999</v>
      </c>
      <c r="C655" s="10">
        <f>65.3344 * CHOOSE(CONTROL!$C$9, $D$9, 100%, $F$9) + CHOOSE(CONTROL!$C$27, 0.0021, 0)</f>
        <v>65.336500000000001</v>
      </c>
      <c r="D655" s="10">
        <f>65.3344 * CHOOSE(CONTROL!$C$9, $D$9, 100%, $F$9) + CHOOSE(CONTROL!$C$27, 0.0021, 0)</f>
        <v>65.336500000000001</v>
      </c>
      <c r="E655" s="10">
        <f>65.1978 * CHOOSE(CONTROL!$C$9, $D$9, 100%, $F$9) + CHOOSE(CONTROL!$C$27, 0.0021, 0)</f>
        <v>65.1999</v>
      </c>
      <c r="F655" s="10">
        <f>65.1978 * CHOOSE(CONTROL!$C$9, $D$9, 100%, $F$9) + CHOOSE(CONTROL!$C$27, 0.0021, 0)</f>
        <v>65.1999</v>
      </c>
      <c r="G655" s="10">
        <f>65.4691 * CHOOSE(CONTROL!$C$9, $D$9, 100%, $F$9) + CHOOSE(CONTROL!$C$27, 0.0021, 0)</f>
        <v>65.471199999999996</v>
      </c>
      <c r="H655" s="10">
        <f>65.3344 * CHOOSE(CONTROL!$C$9, $D$9, 100%, $F$9) + CHOOSE(CONTROL!$C$27, 0.0021, 0)</f>
        <v>65.336500000000001</v>
      </c>
      <c r="I655" s="10">
        <f>65.3344 * CHOOSE(CONTROL!$C$9, $D$9, 100%, $F$9) + CHOOSE(CONTROL!$C$27, 0.0021, 0)</f>
        <v>65.336500000000001</v>
      </c>
      <c r="J655" s="10">
        <f>65.3344 * CHOOSE(CONTROL!$C$9, $D$9, 100%, $F$9) + CHOOSE(CONTROL!$C$27, 0.0021, 0)</f>
        <v>65.336500000000001</v>
      </c>
      <c r="K655" s="10">
        <f>65.3344 * CHOOSE(CONTROL!$C$9, $D$9, 100%, $F$9) + CHOOSE(CONTROL!$C$27, 0.0021, 0)</f>
        <v>65.336500000000001</v>
      </c>
      <c r="L655" s="10"/>
    </row>
    <row r="656" spans="1:12" ht="15.75" x14ac:dyDescent="0.25">
      <c r="A656" s="13">
        <v>60905</v>
      </c>
      <c r="B656" s="10">
        <f>67.0574 * CHOOSE(CONTROL!$C$9, $D$9, 100%, $F$9) + CHOOSE(CONTROL!$C$27, 0.0021, 0)</f>
        <v>67.0595</v>
      </c>
      <c r="C656" s="10">
        <f>66.6252 * CHOOSE(CONTROL!$C$9, $D$9, 100%, $F$9) + CHOOSE(CONTROL!$C$27, 0.0021, 0)</f>
        <v>66.627300000000005</v>
      </c>
      <c r="D656" s="10">
        <f>66.6252 * CHOOSE(CONTROL!$C$9, $D$9, 100%, $F$9) + CHOOSE(CONTROL!$C$27, 0.0021, 0)</f>
        <v>66.627300000000005</v>
      </c>
      <c r="E656" s="10">
        <f>66.4885 * CHOOSE(CONTROL!$C$9, $D$9, 100%, $F$9) + CHOOSE(CONTROL!$C$27, 0.0021, 0)</f>
        <v>66.490600000000001</v>
      </c>
      <c r="F656" s="10">
        <f>66.4885 * CHOOSE(CONTROL!$C$9, $D$9, 100%, $F$9) + CHOOSE(CONTROL!$C$27, 0.0021, 0)</f>
        <v>66.490600000000001</v>
      </c>
      <c r="G656" s="10">
        <f>66.7599 * CHOOSE(CONTROL!$C$9, $D$9, 100%, $F$9) + CHOOSE(CONTROL!$C$27, 0.0021, 0)</f>
        <v>66.762</v>
      </c>
      <c r="H656" s="10">
        <f>66.6252 * CHOOSE(CONTROL!$C$9, $D$9, 100%, $F$9) + CHOOSE(CONTROL!$C$27, 0.0021, 0)</f>
        <v>66.627300000000005</v>
      </c>
      <c r="I656" s="10">
        <f>66.6252 * CHOOSE(CONTROL!$C$9, $D$9, 100%, $F$9) + CHOOSE(CONTROL!$C$27, 0.0021, 0)</f>
        <v>66.627300000000005</v>
      </c>
      <c r="J656" s="10">
        <f>66.6252 * CHOOSE(CONTROL!$C$9, $D$9, 100%, $F$9) + CHOOSE(CONTROL!$C$27, 0.0021, 0)</f>
        <v>66.627300000000005</v>
      </c>
      <c r="K656" s="10">
        <f>66.6252 * CHOOSE(CONTROL!$C$9, $D$9, 100%, $F$9) + CHOOSE(CONTROL!$C$27, 0.0021, 0)</f>
        <v>66.627300000000005</v>
      </c>
      <c r="L656" s="10"/>
    </row>
    <row r="657" spans="1:12" ht="15.75" x14ac:dyDescent="0.25">
      <c r="A657" s="13">
        <v>60936</v>
      </c>
      <c r="B657" s="10">
        <f>68.6913 * CHOOSE(CONTROL!$C$9, $D$9, 100%, $F$9) + CHOOSE(CONTROL!$C$27, 0.0021, 0)</f>
        <v>68.693399999999997</v>
      </c>
      <c r="C657" s="10">
        <f>68.259 * CHOOSE(CONTROL!$C$9, $D$9, 100%, $F$9) + CHOOSE(CONTROL!$C$27, 0.0021, 0)</f>
        <v>68.261099999999999</v>
      </c>
      <c r="D657" s="10">
        <f>68.259 * CHOOSE(CONTROL!$C$9, $D$9, 100%, $F$9) + CHOOSE(CONTROL!$C$27, 0.0021, 0)</f>
        <v>68.261099999999999</v>
      </c>
      <c r="E657" s="10">
        <f>68.1224 * CHOOSE(CONTROL!$C$9, $D$9, 100%, $F$9) + CHOOSE(CONTROL!$C$27, 0.0021, 0)</f>
        <v>68.124499999999998</v>
      </c>
      <c r="F657" s="10">
        <f>68.1224 * CHOOSE(CONTROL!$C$9, $D$9, 100%, $F$9) + CHOOSE(CONTROL!$C$27, 0.0021, 0)</f>
        <v>68.124499999999998</v>
      </c>
      <c r="G657" s="10">
        <f>68.3937 * CHOOSE(CONTROL!$C$9, $D$9, 100%, $F$9) + CHOOSE(CONTROL!$C$27, 0.0021, 0)</f>
        <v>68.395799999999994</v>
      </c>
      <c r="H657" s="10">
        <f>68.259 * CHOOSE(CONTROL!$C$9, $D$9, 100%, $F$9) + CHOOSE(CONTROL!$C$27, 0.0021, 0)</f>
        <v>68.261099999999999</v>
      </c>
      <c r="I657" s="10">
        <f>68.259 * CHOOSE(CONTROL!$C$9, $D$9, 100%, $F$9) + CHOOSE(CONTROL!$C$27, 0.0021, 0)</f>
        <v>68.261099999999999</v>
      </c>
      <c r="J657" s="10">
        <f>68.259 * CHOOSE(CONTROL!$C$9, $D$9, 100%, $F$9) + CHOOSE(CONTROL!$C$27, 0.0021, 0)</f>
        <v>68.261099999999999</v>
      </c>
      <c r="K657" s="10">
        <f>68.259 * CHOOSE(CONTROL!$C$9, $D$9, 100%, $F$9) + CHOOSE(CONTROL!$C$27, 0.0021, 0)</f>
        <v>68.261099999999999</v>
      </c>
      <c r="L657" s="10"/>
    </row>
    <row r="658" spans="1:12" ht="15.75" x14ac:dyDescent="0.25">
      <c r="A658" s="13">
        <v>60966</v>
      </c>
      <c r="B658" s="10">
        <f>68.8447 * CHOOSE(CONTROL!$C$9, $D$9, 100%, $F$9) + CHOOSE(CONTROL!$C$27, 0.0021, 0)</f>
        <v>68.846800000000002</v>
      </c>
      <c r="C658" s="10">
        <f>68.4124 * CHOOSE(CONTROL!$C$9, $D$9, 100%, $F$9) + CHOOSE(CONTROL!$C$27, 0.0021, 0)</f>
        <v>68.414500000000004</v>
      </c>
      <c r="D658" s="10">
        <f>68.4124 * CHOOSE(CONTROL!$C$9, $D$9, 100%, $F$9) + CHOOSE(CONTROL!$C$27, 0.0021, 0)</f>
        <v>68.414500000000004</v>
      </c>
      <c r="E658" s="10">
        <f>68.2758 * CHOOSE(CONTROL!$C$9, $D$9, 100%, $F$9) + CHOOSE(CONTROL!$C$27, 0.0021, 0)</f>
        <v>68.277900000000002</v>
      </c>
      <c r="F658" s="10">
        <f>68.2758 * CHOOSE(CONTROL!$C$9, $D$9, 100%, $F$9) + CHOOSE(CONTROL!$C$27, 0.0021, 0)</f>
        <v>68.277900000000002</v>
      </c>
      <c r="G658" s="10">
        <f>68.5471 * CHOOSE(CONTROL!$C$9, $D$9, 100%, $F$9) + CHOOSE(CONTROL!$C$27, 0.0021, 0)</f>
        <v>68.549199999999999</v>
      </c>
      <c r="H658" s="10">
        <f>68.4124 * CHOOSE(CONTROL!$C$9, $D$9, 100%, $F$9) + CHOOSE(CONTROL!$C$27, 0.0021, 0)</f>
        <v>68.414500000000004</v>
      </c>
      <c r="I658" s="10">
        <f>68.4124 * CHOOSE(CONTROL!$C$9, $D$9, 100%, $F$9) + CHOOSE(CONTROL!$C$27, 0.0021, 0)</f>
        <v>68.414500000000004</v>
      </c>
      <c r="J658" s="10">
        <f>68.4124 * CHOOSE(CONTROL!$C$9, $D$9, 100%, $F$9) + CHOOSE(CONTROL!$C$27, 0.0021, 0)</f>
        <v>68.414500000000004</v>
      </c>
      <c r="K658" s="10">
        <f>68.4124 * CHOOSE(CONTROL!$C$9, $D$9, 100%, $F$9) + CHOOSE(CONTROL!$C$27, 0.0021, 0)</f>
        <v>68.414500000000004</v>
      </c>
      <c r="L658" s="10"/>
    </row>
    <row r="659" spans="1:12" ht="15.75" x14ac:dyDescent="0.25">
      <c r="A659" s="13">
        <v>60997</v>
      </c>
      <c r="B659" s="10">
        <f>67.5397 * CHOOSE(CONTROL!$C$9, $D$9, 100%, $F$9) + CHOOSE(CONTROL!$C$27, 0.0021, 0)</f>
        <v>67.541799999999995</v>
      </c>
      <c r="C659" s="10">
        <f>67.1075 * CHOOSE(CONTROL!$C$9, $D$9, 100%, $F$9) + CHOOSE(CONTROL!$C$27, 0.0021, 0)</f>
        <v>67.1096</v>
      </c>
      <c r="D659" s="10">
        <f>67.1075 * CHOOSE(CONTROL!$C$9, $D$9, 100%, $F$9) + CHOOSE(CONTROL!$C$27, 0.0021, 0)</f>
        <v>67.1096</v>
      </c>
      <c r="E659" s="10">
        <f>66.9708 * CHOOSE(CONTROL!$C$9, $D$9, 100%, $F$9) + CHOOSE(CONTROL!$C$27, 0.0021, 0)</f>
        <v>66.972899999999996</v>
      </c>
      <c r="F659" s="10">
        <f>66.9708 * CHOOSE(CONTROL!$C$9, $D$9, 100%, $F$9) + CHOOSE(CONTROL!$C$27, 0.0021, 0)</f>
        <v>66.972899999999996</v>
      </c>
      <c r="G659" s="10">
        <f>67.2422 * CHOOSE(CONTROL!$C$9, $D$9, 100%, $F$9) + CHOOSE(CONTROL!$C$27, 0.0021, 0)</f>
        <v>67.244299999999996</v>
      </c>
      <c r="H659" s="10">
        <f>67.1075 * CHOOSE(CONTROL!$C$9, $D$9, 100%, $F$9) + CHOOSE(CONTROL!$C$27, 0.0021, 0)</f>
        <v>67.1096</v>
      </c>
      <c r="I659" s="10">
        <f>67.1075 * CHOOSE(CONTROL!$C$9, $D$9, 100%, $F$9) + CHOOSE(CONTROL!$C$27, 0.0021, 0)</f>
        <v>67.1096</v>
      </c>
      <c r="J659" s="10">
        <f>67.1075 * CHOOSE(CONTROL!$C$9, $D$9, 100%, $F$9) + CHOOSE(CONTROL!$C$27, 0.0021, 0)</f>
        <v>67.1096</v>
      </c>
      <c r="K659" s="10">
        <f>67.1075 * CHOOSE(CONTROL!$C$9, $D$9, 100%, $F$9) + CHOOSE(CONTROL!$C$27, 0.0021, 0)</f>
        <v>67.1096</v>
      </c>
      <c r="L659" s="10"/>
    </row>
    <row r="660" spans="1:12" ht="15.75" x14ac:dyDescent="0.25">
      <c r="A660" s="13">
        <v>61028</v>
      </c>
      <c r="B660" s="10">
        <f>66.6848 * CHOOSE(CONTROL!$C$9, $D$9, 100%, $F$9) + CHOOSE(CONTROL!$C$27, 0.0021, 0)</f>
        <v>66.686899999999994</v>
      </c>
      <c r="C660" s="10">
        <f>66.2526 * CHOOSE(CONTROL!$C$9, $D$9, 100%, $F$9) + CHOOSE(CONTROL!$C$27, 0.0021, 0)</f>
        <v>66.2547</v>
      </c>
      <c r="D660" s="10">
        <f>66.2526 * CHOOSE(CONTROL!$C$9, $D$9, 100%, $F$9) + CHOOSE(CONTROL!$C$27, 0.0021, 0)</f>
        <v>66.2547</v>
      </c>
      <c r="E660" s="10">
        <f>66.1159 * CHOOSE(CONTROL!$C$9, $D$9, 100%, $F$9) + CHOOSE(CONTROL!$C$27, 0.0021, 0)</f>
        <v>66.117999999999995</v>
      </c>
      <c r="F660" s="10">
        <f>66.1159 * CHOOSE(CONTROL!$C$9, $D$9, 100%, $F$9) + CHOOSE(CONTROL!$C$27, 0.0021, 0)</f>
        <v>66.117999999999995</v>
      </c>
      <c r="G660" s="10">
        <f>66.3873 * CHOOSE(CONTROL!$C$9, $D$9, 100%, $F$9) + CHOOSE(CONTROL!$C$27, 0.0021, 0)</f>
        <v>66.389399999999995</v>
      </c>
      <c r="H660" s="10">
        <f>66.2526 * CHOOSE(CONTROL!$C$9, $D$9, 100%, $F$9) + CHOOSE(CONTROL!$C$27, 0.0021, 0)</f>
        <v>66.2547</v>
      </c>
      <c r="I660" s="10">
        <f>66.2526 * CHOOSE(CONTROL!$C$9, $D$9, 100%, $F$9) + CHOOSE(CONTROL!$C$27, 0.0021, 0)</f>
        <v>66.2547</v>
      </c>
      <c r="J660" s="10">
        <f>66.2526 * CHOOSE(CONTROL!$C$9, $D$9, 100%, $F$9) + CHOOSE(CONTROL!$C$27, 0.0021, 0)</f>
        <v>66.2547</v>
      </c>
      <c r="K660" s="10">
        <f>66.2526 * CHOOSE(CONTROL!$C$9, $D$9, 100%, $F$9) + CHOOSE(CONTROL!$C$27, 0.0021, 0)</f>
        <v>66.2547</v>
      </c>
      <c r="L660" s="10"/>
    </row>
    <row r="661" spans="1:12" ht="15.75" x14ac:dyDescent="0.25">
      <c r="A661" s="13">
        <v>61056</v>
      </c>
      <c r="B661" s="10">
        <f>64.8635 * CHOOSE(CONTROL!$C$9, $D$9, 100%, $F$9) + CHOOSE(CONTROL!$C$27, 0.0021, 0)</f>
        <v>64.865600000000001</v>
      </c>
      <c r="C661" s="10">
        <f>64.4312 * CHOOSE(CONTROL!$C$9, $D$9, 100%, $F$9) + CHOOSE(CONTROL!$C$27, 0.0021, 0)</f>
        <v>64.433300000000003</v>
      </c>
      <c r="D661" s="10">
        <f>64.4312 * CHOOSE(CONTROL!$C$9, $D$9, 100%, $F$9) + CHOOSE(CONTROL!$C$27, 0.0021, 0)</f>
        <v>64.433300000000003</v>
      </c>
      <c r="E661" s="10">
        <f>64.2946 * CHOOSE(CONTROL!$C$9, $D$9, 100%, $F$9) + CHOOSE(CONTROL!$C$27, 0.0021, 0)</f>
        <v>64.296700000000001</v>
      </c>
      <c r="F661" s="10">
        <f>64.2946 * CHOOSE(CONTROL!$C$9, $D$9, 100%, $F$9) + CHOOSE(CONTROL!$C$27, 0.0021, 0)</f>
        <v>64.296700000000001</v>
      </c>
      <c r="G661" s="10">
        <f>64.5659 * CHOOSE(CONTROL!$C$9, $D$9, 100%, $F$9) + CHOOSE(CONTROL!$C$27, 0.0021, 0)</f>
        <v>64.567999999999998</v>
      </c>
      <c r="H661" s="10">
        <f>64.4312 * CHOOSE(CONTROL!$C$9, $D$9, 100%, $F$9) + CHOOSE(CONTROL!$C$27, 0.0021, 0)</f>
        <v>64.433300000000003</v>
      </c>
      <c r="I661" s="10">
        <f>64.4312 * CHOOSE(CONTROL!$C$9, $D$9, 100%, $F$9) + CHOOSE(CONTROL!$C$27, 0.0021, 0)</f>
        <v>64.433300000000003</v>
      </c>
      <c r="J661" s="10">
        <f>64.4312 * CHOOSE(CONTROL!$C$9, $D$9, 100%, $F$9) + CHOOSE(CONTROL!$C$27, 0.0021, 0)</f>
        <v>64.433300000000003</v>
      </c>
      <c r="K661" s="10">
        <f>64.4312 * CHOOSE(CONTROL!$C$9, $D$9, 100%, $F$9) + CHOOSE(CONTROL!$C$27, 0.0021, 0)</f>
        <v>64.433300000000003</v>
      </c>
      <c r="L661" s="10"/>
    </row>
    <row r="662" spans="1:12" ht="15.75" x14ac:dyDescent="0.25">
      <c r="A662" s="13">
        <v>61087</v>
      </c>
      <c r="B662" s="10">
        <f>64.1116 * CHOOSE(CONTROL!$C$9, $D$9, 100%, $F$9) + CHOOSE(CONTROL!$C$27, 0.0021, 0)</f>
        <v>64.113699999999994</v>
      </c>
      <c r="C662" s="10">
        <f>63.6794 * CHOOSE(CONTROL!$C$9, $D$9, 100%, $F$9) + CHOOSE(CONTROL!$C$27, 0.0021, 0)</f>
        <v>63.6815</v>
      </c>
      <c r="D662" s="10">
        <f>63.6794 * CHOOSE(CONTROL!$C$9, $D$9, 100%, $F$9) + CHOOSE(CONTROL!$C$27, 0.0021, 0)</f>
        <v>63.6815</v>
      </c>
      <c r="E662" s="10">
        <f>63.5427 * CHOOSE(CONTROL!$C$9, $D$9, 100%, $F$9) + CHOOSE(CONTROL!$C$27, 0.0021, 0)</f>
        <v>63.544800000000002</v>
      </c>
      <c r="F662" s="10">
        <f>63.5427 * CHOOSE(CONTROL!$C$9, $D$9, 100%, $F$9) + CHOOSE(CONTROL!$C$27, 0.0021, 0)</f>
        <v>63.544800000000002</v>
      </c>
      <c r="G662" s="10">
        <f>63.8141 * CHOOSE(CONTROL!$C$9, $D$9, 100%, $F$9) + CHOOSE(CONTROL!$C$27, 0.0021, 0)</f>
        <v>63.816200000000002</v>
      </c>
      <c r="H662" s="10">
        <f>63.6794 * CHOOSE(CONTROL!$C$9, $D$9, 100%, $F$9) + CHOOSE(CONTROL!$C$27, 0.0021, 0)</f>
        <v>63.6815</v>
      </c>
      <c r="I662" s="10">
        <f>63.6794 * CHOOSE(CONTROL!$C$9, $D$9, 100%, $F$9) + CHOOSE(CONTROL!$C$27, 0.0021, 0)</f>
        <v>63.6815</v>
      </c>
      <c r="J662" s="10">
        <f>63.6794 * CHOOSE(CONTROL!$C$9, $D$9, 100%, $F$9) + CHOOSE(CONTROL!$C$27, 0.0021, 0)</f>
        <v>63.6815</v>
      </c>
      <c r="K662" s="10">
        <f>63.6794 * CHOOSE(CONTROL!$C$9, $D$9, 100%, $F$9) + CHOOSE(CONTROL!$C$27, 0.0021, 0)</f>
        <v>63.6815</v>
      </c>
      <c r="L662" s="10"/>
    </row>
    <row r="663" spans="1:12" ht="15.75" x14ac:dyDescent="0.25">
      <c r="A663" s="13">
        <v>61117</v>
      </c>
      <c r="B663" s="10">
        <f>63.2139 * CHOOSE(CONTROL!$C$9, $D$9, 100%, $F$9) + CHOOSE(CONTROL!$C$27, 0.0021, 0)</f>
        <v>63.216000000000001</v>
      </c>
      <c r="C663" s="10">
        <f>62.7816 * CHOOSE(CONTROL!$C$9, $D$9, 100%, $F$9) + CHOOSE(CONTROL!$C$27, 0.0021, 0)</f>
        <v>62.783699999999996</v>
      </c>
      <c r="D663" s="10">
        <f>62.7816 * CHOOSE(CONTROL!$C$9, $D$9, 100%, $F$9) + CHOOSE(CONTROL!$C$27, 0.0021, 0)</f>
        <v>62.783699999999996</v>
      </c>
      <c r="E663" s="10">
        <f>62.645 * CHOOSE(CONTROL!$C$9, $D$9, 100%, $F$9) + CHOOSE(CONTROL!$C$27, 0.0021, 0)</f>
        <v>62.647100000000002</v>
      </c>
      <c r="F663" s="10">
        <f>62.645 * CHOOSE(CONTROL!$C$9, $D$9, 100%, $F$9) + CHOOSE(CONTROL!$C$27, 0.0021, 0)</f>
        <v>62.647100000000002</v>
      </c>
      <c r="G663" s="10">
        <f>62.9163 * CHOOSE(CONTROL!$C$9, $D$9, 100%, $F$9) + CHOOSE(CONTROL!$C$27, 0.0021, 0)</f>
        <v>62.918399999999998</v>
      </c>
      <c r="H663" s="10">
        <f>62.7816 * CHOOSE(CONTROL!$C$9, $D$9, 100%, $F$9) + CHOOSE(CONTROL!$C$27, 0.0021, 0)</f>
        <v>62.783699999999996</v>
      </c>
      <c r="I663" s="10">
        <f>62.7816 * CHOOSE(CONTROL!$C$9, $D$9, 100%, $F$9) + CHOOSE(CONTROL!$C$27, 0.0021, 0)</f>
        <v>62.783699999999996</v>
      </c>
      <c r="J663" s="10">
        <f>62.7816 * CHOOSE(CONTROL!$C$9, $D$9, 100%, $F$9) + CHOOSE(CONTROL!$C$27, 0.0021, 0)</f>
        <v>62.783699999999996</v>
      </c>
      <c r="K663" s="10">
        <f>62.7816 * CHOOSE(CONTROL!$C$9, $D$9, 100%, $F$9) + CHOOSE(CONTROL!$C$27, 0.0021, 0)</f>
        <v>62.783699999999996</v>
      </c>
      <c r="L663" s="10"/>
    </row>
    <row r="664" spans="1:12" ht="15.75" x14ac:dyDescent="0.25">
      <c r="A664" s="13">
        <v>61148</v>
      </c>
      <c r="B664" s="10">
        <f>64.4933 * CHOOSE(CONTROL!$C$9, $D$9, 100%, $F$9) + CHOOSE(CONTROL!$C$27, 0.0021, 0)</f>
        <v>64.495400000000004</v>
      </c>
      <c r="C664" s="10">
        <f>64.061 * CHOOSE(CONTROL!$C$9, $D$9, 100%, $F$9) + CHOOSE(CONTROL!$C$27, 0.0021, 0)</f>
        <v>64.063100000000006</v>
      </c>
      <c r="D664" s="10">
        <f>64.061 * CHOOSE(CONTROL!$C$9, $D$9, 100%, $F$9) + CHOOSE(CONTROL!$C$27, 0.0021, 0)</f>
        <v>64.063100000000006</v>
      </c>
      <c r="E664" s="10">
        <f>63.9244 * CHOOSE(CONTROL!$C$9, $D$9, 100%, $F$9) + CHOOSE(CONTROL!$C$27, 0.0021, 0)</f>
        <v>63.926499999999997</v>
      </c>
      <c r="F664" s="10">
        <f>63.9244 * CHOOSE(CONTROL!$C$9, $D$9, 100%, $F$9) + CHOOSE(CONTROL!$C$27, 0.0021, 0)</f>
        <v>63.926499999999997</v>
      </c>
      <c r="G664" s="10">
        <f>64.1957 * CHOOSE(CONTROL!$C$9, $D$9, 100%, $F$9) + CHOOSE(CONTROL!$C$27, 0.0021, 0)</f>
        <v>64.197800000000001</v>
      </c>
      <c r="H664" s="10">
        <f>64.061 * CHOOSE(CONTROL!$C$9, $D$9, 100%, $F$9) + CHOOSE(CONTROL!$C$27, 0.0021, 0)</f>
        <v>64.063100000000006</v>
      </c>
      <c r="I664" s="10">
        <f>64.061 * CHOOSE(CONTROL!$C$9, $D$9, 100%, $F$9) + CHOOSE(CONTROL!$C$27, 0.0021, 0)</f>
        <v>64.063100000000006</v>
      </c>
      <c r="J664" s="10">
        <f>64.061 * CHOOSE(CONTROL!$C$9, $D$9, 100%, $F$9) + CHOOSE(CONTROL!$C$27, 0.0021, 0)</f>
        <v>64.063100000000006</v>
      </c>
      <c r="K664" s="10">
        <f>64.061 * CHOOSE(CONTROL!$C$9, $D$9, 100%, $F$9) + CHOOSE(CONTROL!$C$27, 0.0021, 0)</f>
        <v>64.063100000000006</v>
      </c>
      <c r="L664" s="10"/>
    </row>
    <row r="665" spans="1:12" ht="15.75" x14ac:dyDescent="0.25">
      <c r="A665" s="13">
        <v>61178</v>
      </c>
      <c r="B665" s="10">
        <f>65.2596 * CHOOSE(CONTROL!$C$9, $D$9, 100%, $F$9) + CHOOSE(CONTROL!$C$27, 0.0021, 0)</f>
        <v>65.261700000000005</v>
      </c>
      <c r="C665" s="10">
        <f>64.8273 * CHOOSE(CONTROL!$C$9, $D$9, 100%, $F$9) + CHOOSE(CONTROL!$C$27, 0.0021, 0)</f>
        <v>64.829399999999993</v>
      </c>
      <c r="D665" s="10">
        <f>64.8273 * CHOOSE(CONTROL!$C$9, $D$9, 100%, $F$9) + CHOOSE(CONTROL!$C$27, 0.0021, 0)</f>
        <v>64.829399999999993</v>
      </c>
      <c r="E665" s="10">
        <f>64.6907 * CHOOSE(CONTROL!$C$9, $D$9, 100%, $F$9) + CHOOSE(CONTROL!$C$27, 0.0021, 0)</f>
        <v>64.692800000000005</v>
      </c>
      <c r="F665" s="10">
        <f>64.6907 * CHOOSE(CONTROL!$C$9, $D$9, 100%, $F$9) + CHOOSE(CONTROL!$C$27, 0.0021, 0)</f>
        <v>64.692800000000005</v>
      </c>
      <c r="G665" s="10">
        <f>64.962 * CHOOSE(CONTROL!$C$9, $D$9, 100%, $F$9) + CHOOSE(CONTROL!$C$27, 0.0021, 0)</f>
        <v>64.964100000000002</v>
      </c>
      <c r="H665" s="10">
        <f>64.8273 * CHOOSE(CONTROL!$C$9, $D$9, 100%, $F$9) + CHOOSE(CONTROL!$C$27, 0.0021, 0)</f>
        <v>64.829399999999993</v>
      </c>
      <c r="I665" s="10">
        <f>64.8273 * CHOOSE(CONTROL!$C$9, $D$9, 100%, $F$9) + CHOOSE(CONTROL!$C$27, 0.0021, 0)</f>
        <v>64.829399999999993</v>
      </c>
      <c r="J665" s="10">
        <f>64.8273 * CHOOSE(CONTROL!$C$9, $D$9, 100%, $F$9) + CHOOSE(CONTROL!$C$27, 0.0021, 0)</f>
        <v>64.829399999999993</v>
      </c>
      <c r="K665" s="10">
        <f>64.8273 * CHOOSE(CONTROL!$C$9, $D$9, 100%, $F$9) + CHOOSE(CONTROL!$C$27, 0.0021, 0)</f>
        <v>64.829399999999993</v>
      </c>
      <c r="L665" s="10"/>
    </row>
    <row r="666" spans="1:12" ht="15.75" x14ac:dyDescent="0.25">
      <c r="A666" s="13">
        <v>61209</v>
      </c>
      <c r="B666" s="10">
        <f>66.5237 * CHOOSE(CONTROL!$C$9, $D$9, 100%, $F$9) + CHOOSE(CONTROL!$C$27, 0.0021, 0)</f>
        <v>66.525800000000004</v>
      </c>
      <c r="C666" s="10">
        <f>66.0914 * CHOOSE(CONTROL!$C$9, $D$9, 100%, $F$9) + CHOOSE(CONTROL!$C$27, 0.0021, 0)</f>
        <v>66.093499999999992</v>
      </c>
      <c r="D666" s="10">
        <f>66.0914 * CHOOSE(CONTROL!$C$9, $D$9, 100%, $F$9) + CHOOSE(CONTROL!$C$27, 0.0021, 0)</f>
        <v>66.093499999999992</v>
      </c>
      <c r="E666" s="10">
        <f>65.9548 * CHOOSE(CONTROL!$C$9, $D$9, 100%, $F$9) + CHOOSE(CONTROL!$C$27, 0.0021, 0)</f>
        <v>65.956900000000005</v>
      </c>
      <c r="F666" s="10">
        <f>65.9548 * CHOOSE(CONTROL!$C$9, $D$9, 100%, $F$9) + CHOOSE(CONTROL!$C$27, 0.0021, 0)</f>
        <v>65.956900000000005</v>
      </c>
      <c r="G666" s="10">
        <f>66.2261 * CHOOSE(CONTROL!$C$9, $D$9, 100%, $F$9) + CHOOSE(CONTROL!$C$27, 0.0021, 0)</f>
        <v>66.228200000000001</v>
      </c>
      <c r="H666" s="10">
        <f>66.0914 * CHOOSE(CONTROL!$C$9, $D$9, 100%, $F$9) + CHOOSE(CONTROL!$C$27, 0.0021, 0)</f>
        <v>66.093499999999992</v>
      </c>
      <c r="I666" s="10">
        <f>66.0914 * CHOOSE(CONTROL!$C$9, $D$9, 100%, $F$9) + CHOOSE(CONTROL!$C$27, 0.0021, 0)</f>
        <v>66.093499999999992</v>
      </c>
      <c r="J666" s="10">
        <f>66.0914 * CHOOSE(CONTROL!$C$9, $D$9, 100%, $F$9) + CHOOSE(CONTROL!$C$27, 0.0021, 0)</f>
        <v>66.093499999999992</v>
      </c>
      <c r="K666" s="10">
        <f>66.0914 * CHOOSE(CONTROL!$C$9, $D$9, 100%, $F$9) + CHOOSE(CONTROL!$C$27, 0.0021, 0)</f>
        <v>66.093499999999992</v>
      </c>
      <c r="L666" s="10"/>
    </row>
    <row r="667" spans="1:12" ht="15.75" x14ac:dyDescent="0.25">
      <c r="A667" s="13">
        <v>61240</v>
      </c>
      <c r="B667" s="10">
        <f>66.9095 * CHOOSE(CONTROL!$C$9, $D$9, 100%, $F$9) + CHOOSE(CONTROL!$C$27, 0.0021, 0)</f>
        <v>66.911599999999993</v>
      </c>
      <c r="C667" s="10">
        <f>66.4773 * CHOOSE(CONTROL!$C$9, $D$9, 100%, $F$9) + CHOOSE(CONTROL!$C$27, 0.0021, 0)</f>
        <v>66.479399999999998</v>
      </c>
      <c r="D667" s="10">
        <f>66.4773 * CHOOSE(CONTROL!$C$9, $D$9, 100%, $F$9) + CHOOSE(CONTROL!$C$27, 0.0021, 0)</f>
        <v>66.479399999999998</v>
      </c>
      <c r="E667" s="10">
        <f>66.3406 * CHOOSE(CONTROL!$C$9, $D$9, 100%, $F$9) + CHOOSE(CONTROL!$C$27, 0.0021, 0)</f>
        <v>66.342699999999994</v>
      </c>
      <c r="F667" s="10">
        <f>66.3406 * CHOOSE(CONTROL!$C$9, $D$9, 100%, $F$9) + CHOOSE(CONTROL!$C$27, 0.0021, 0)</f>
        <v>66.342699999999994</v>
      </c>
      <c r="G667" s="10">
        <f>66.612 * CHOOSE(CONTROL!$C$9, $D$9, 100%, $F$9) + CHOOSE(CONTROL!$C$27, 0.0021, 0)</f>
        <v>66.614099999999993</v>
      </c>
      <c r="H667" s="10">
        <f>66.4773 * CHOOSE(CONTROL!$C$9, $D$9, 100%, $F$9) + CHOOSE(CONTROL!$C$27, 0.0021, 0)</f>
        <v>66.479399999999998</v>
      </c>
      <c r="I667" s="10">
        <f>66.4773 * CHOOSE(CONTROL!$C$9, $D$9, 100%, $F$9) + CHOOSE(CONTROL!$C$27, 0.0021, 0)</f>
        <v>66.479399999999998</v>
      </c>
      <c r="J667" s="10">
        <f>66.4773 * CHOOSE(CONTROL!$C$9, $D$9, 100%, $F$9) + CHOOSE(CONTROL!$C$27, 0.0021, 0)</f>
        <v>66.479399999999998</v>
      </c>
      <c r="K667" s="10">
        <f>66.4773 * CHOOSE(CONTROL!$C$9, $D$9, 100%, $F$9) + CHOOSE(CONTROL!$C$27, 0.0021, 0)</f>
        <v>66.479399999999998</v>
      </c>
      <c r="L667" s="10"/>
    </row>
    <row r="668" spans="1:12" ht="15.75" x14ac:dyDescent="0.25">
      <c r="A668" s="13">
        <v>61270</v>
      </c>
      <c r="B668" s="10">
        <f>68.2235 * CHOOSE(CONTROL!$C$9, $D$9, 100%, $F$9) + CHOOSE(CONTROL!$C$27, 0.0021, 0)</f>
        <v>68.2256</v>
      </c>
      <c r="C668" s="10">
        <f>67.7913 * CHOOSE(CONTROL!$C$9, $D$9, 100%, $F$9) + CHOOSE(CONTROL!$C$27, 0.0021, 0)</f>
        <v>67.793400000000005</v>
      </c>
      <c r="D668" s="10">
        <f>67.7913 * CHOOSE(CONTROL!$C$9, $D$9, 100%, $F$9) + CHOOSE(CONTROL!$C$27, 0.0021, 0)</f>
        <v>67.793400000000005</v>
      </c>
      <c r="E668" s="10">
        <f>67.6546 * CHOOSE(CONTROL!$C$9, $D$9, 100%, $F$9) + CHOOSE(CONTROL!$C$27, 0.0021, 0)</f>
        <v>67.656700000000001</v>
      </c>
      <c r="F668" s="10">
        <f>67.6546 * CHOOSE(CONTROL!$C$9, $D$9, 100%, $F$9) + CHOOSE(CONTROL!$C$27, 0.0021, 0)</f>
        <v>67.656700000000001</v>
      </c>
      <c r="G668" s="10">
        <f>67.926 * CHOOSE(CONTROL!$C$9, $D$9, 100%, $F$9) + CHOOSE(CONTROL!$C$27, 0.0021, 0)</f>
        <v>67.928100000000001</v>
      </c>
      <c r="H668" s="10">
        <f>67.7913 * CHOOSE(CONTROL!$C$9, $D$9, 100%, $F$9) + CHOOSE(CONTROL!$C$27, 0.0021, 0)</f>
        <v>67.793400000000005</v>
      </c>
      <c r="I668" s="10">
        <f>67.7913 * CHOOSE(CONTROL!$C$9, $D$9, 100%, $F$9) + CHOOSE(CONTROL!$C$27, 0.0021, 0)</f>
        <v>67.793400000000005</v>
      </c>
      <c r="J668" s="10">
        <f>67.7913 * CHOOSE(CONTROL!$C$9, $D$9, 100%, $F$9) + CHOOSE(CONTROL!$C$27, 0.0021, 0)</f>
        <v>67.793400000000005</v>
      </c>
      <c r="K668" s="10">
        <f>67.7913 * CHOOSE(CONTROL!$C$9, $D$9, 100%, $F$9) + CHOOSE(CONTROL!$C$27, 0.0021, 0)</f>
        <v>67.793400000000005</v>
      </c>
      <c r="L668" s="10"/>
    </row>
    <row r="669" spans="1:12" ht="15.75" x14ac:dyDescent="0.25">
      <c r="A669" s="13">
        <v>61301</v>
      </c>
      <c r="B669" s="10">
        <f>69.8868 * CHOOSE(CONTROL!$C$9, $D$9, 100%, $F$9) + CHOOSE(CONTROL!$C$27, 0.0021, 0)</f>
        <v>69.888899999999992</v>
      </c>
      <c r="C669" s="10">
        <f>69.4545 * CHOOSE(CONTROL!$C$9, $D$9, 100%, $F$9) + CHOOSE(CONTROL!$C$27, 0.0021, 0)</f>
        <v>69.456599999999995</v>
      </c>
      <c r="D669" s="10">
        <f>69.4545 * CHOOSE(CONTROL!$C$9, $D$9, 100%, $F$9) + CHOOSE(CONTROL!$C$27, 0.0021, 0)</f>
        <v>69.456599999999995</v>
      </c>
      <c r="E669" s="10">
        <f>69.3179 * CHOOSE(CONTROL!$C$9, $D$9, 100%, $F$9) + CHOOSE(CONTROL!$C$27, 0.0021, 0)</f>
        <v>69.319999999999993</v>
      </c>
      <c r="F669" s="10">
        <f>69.3179 * CHOOSE(CONTROL!$C$9, $D$9, 100%, $F$9) + CHOOSE(CONTROL!$C$27, 0.0021, 0)</f>
        <v>69.319999999999993</v>
      </c>
      <c r="G669" s="10">
        <f>69.5892 * CHOOSE(CONTROL!$C$9, $D$9, 100%, $F$9) + CHOOSE(CONTROL!$C$27, 0.0021, 0)</f>
        <v>69.591300000000004</v>
      </c>
      <c r="H669" s="10">
        <f>69.4545 * CHOOSE(CONTROL!$C$9, $D$9, 100%, $F$9) + CHOOSE(CONTROL!$C$27, 0.0021, 0)</f>
        <v>69.456599999999995</v>
      </c>
      <c r="I669" s="10">
        <f>69.4545 * CHOOSE(CONTROL!$C$9, $D$9, 100%, $F$9) + CHOOSE(CONTROL!$C$27, 0.0021, 0)</f>
        <v>69.456599999999995</v>
      </c>
      <c r="J669" s="10">
        <f>69.4545 * CHOOSE(CONTROL!$C$9, $D$9, 100%, $F$9) + CHOOSE(CONTROL!$C$27, 0.0021, 0)</f>
        <v>69.456599999999995</v>
      </c>
      <c r="K669" s="10">
        <f>69.4545 * CHOOSE(CONTROL!$C$9, $D$9, 100%, $F$9) + CHOOSE(CONTROL!$C$27, 0.0021, 0)</f>
        <v>69.456599999999995</v>
      </c>
      <c r="L669" s="10"/>
    </row>
    <row r="670" spans="1:12" ht="15.75" x14ac:dyDescent="0.25">
      <c r="A670" s="13">
        <v>61331</v>
      </c>
      <c r="B670" s="10">
        <f>70.0429 * CHOOSE(CONTROL!$C$9, $D$9, 100%, $F$9) + CHOOSE(CONTROL!$C$27, 0.0021, 0)</f>
        <v>70.045000000000002</v>
      </c>
      <c r="C670" s="10">
        <f>69.6107 * CHOOSE(CONTROL!$C$9, $D$9, 100%, $F$9) + CHOOSE(CONTROL!$C$27, 0.0021, 0)</f>
        <v>69.612799999999993</v>
      </c>
      <c r="D670" s="10">
        <f>69.6107 * CHOOSE(CONTROL!$C$9, $D$9, 100%, $F$9) + CHOOSE(CONTROL!$C$27, 0.0021, 0)</f>
        <v>69.612799999999993</v>
      </c>
      <c r="E670" s="10">
        <f>69.474 * CHOOSE(CONTROL!$C$9, $D$9, 100%, $F$9) + CHOOSE(CONTROL!$C$27, 0.0021, 0)</f>
        <v>69.476100000000002</v>
      </c>
      <c r="F670" s="10">
        <f>69.474 * CHOOSE(CONTROL!$C$9, $D$9, 100%, $F$9) + CHOOSE(CONTROL!$C$27, 0.0021, 0)</f>
        <v>69.476100000000002</v>
      </c>
      <c r="G670" s="10">
        <f>69.7454 * CHOOSE(CONTROL!$C$9, $D$9, 100%, $F$9) + CHOOSE(CONTROL!$C$27, 0.0021, 0)</f>
        <v>69.747500000000002</v>
      </c>
      <c r="H670" s="10">
        <f>69.6107 * CHOOSE(CONTROL!$C$9, $D$9, 100%, $F$9) + CHOOSE(CONTROL!$C$27, 0.0021, 0)</f>
        <v>69.612799999999993</v>
      </c>
      <c r="I670" s="10">
        <f>69.6107 * CHOOSE(CONTROL!$C$9, $D$9, 100%, $F$9) + CHOOSE(CONTROL!$C$27, 0.0021, 0)</f>
        <v>69.612799999999993</v>
      </c>
      <c r="J670" s="10">
        <f>69.6107 * CHOOSE(CONTROL!$C$9, $D$9, 100%, $F$9) + CHOOSE(CONTROL!$C$27, 0.0021, 0)</f>
        <v>69.612799999999993</v>
      </c>
      <c r="K670" s="10">
        <f>69.6107 * CHOOSE(CONTROL!$C$9, $D$9, 100%, $F$9) + CHOOSE(CONTROL!$C$27, 0.0021, 0)</f>
        <v>69.612799999999993</v>
      </c>
      <c r="L670" s="10"/>
    </row>
    <row r="671" spans="1:12" ht="15.75" x14ac:dyDescent="0.25">
      <c r="A671" s="13">
        <v>61362</v>
      </c>
      <c r="B671" s="10">
        <f>68.7145 * CHOOSE(CONTROL!$C$9, $D$9, 100%, $F$9) + CHOOSE(CONTROL!$C$27, 0.0021, 0)</f>
        <v>68.7166</v>
      </c>
      <c r="C671" s="10">
        <f>68.2822 * CHOOSE(CONTROL!$C$9, $D$9, 100%, $F$9) + CHOOSE(CONTROL!$C$27, 0.0021, 0)</f>
        <v>68.284300000000002</v>
      </c>
      <c r="D671" s="10">
        <f>68.2822 * CHOOSE(CONTROL!$C$9, $D$9, 100%, $F$9) + CHOOSE(CONTROL!$C$27, 0.0021, 0)</f>
        <v>68.284300000000002</v>
      </c>
      <c r="E671" s="10">
        <f>68.1456 * CHOOSE(CONTROL!$C$9, $D$9, 100%, $F$9) + CHOOSE(CONTROL!$C$27, 0.0021, 0)</f>
        <v>68.1477</v>
      </c>
      <c r="F671" s="10">
        <f>68.1456 * CHOOSE(CONTROL!$C$9, $D$9, 100%, $F$9) + CHOOSE(CONTROL!$C$27, 0.0021, 0)</f>
        <v>68.1477</v>
      </c>
      <c r="G671" s="10">
        <f>68.417 * CHOOSE(CONTROL!$C$9, $D$9, 100%, $F$9) + CHOOSE(CONTROL!$C$27, 0.0021, 0)</f>
        <v>68.4191</v>
      </c>
      <c r="H671" s="10">
        <f>68.2822 * CHOOSE(CONTROL!$C$9, $D$9, 100%, $F$9) + CHOOSE(CONTROL!$C$27, 0.0021, 0)</f>
        <v>68.284300000000002</v>
      </c>
      <c r="I671" s="10">
        <f>68.2822 * CHOOSE(CONTROL!$C$9, $D$9, 100%, $F$9) + CHOOSE(CONTROL!$C$27, 0.0021, 0)</f>
        <v>68.284300000000002</v>
      </c>
      <c r="J671" s="10">
        <f>68.2822 * CHOOSE(CONTROL!$C$9, $D$9, 100%, $F$9) + CHOOSE(CONTROL!$C$27, 0.0021, 0)</f>
        <v>68.284300000000002</v>
      </c>
      <c r="K671" s="10">
        <f>68.2822 * CHOOSE(CONTROL!$C$9, $D$9, 100%, $F$9) + CHOOSE(CONTROL!$C$27, 0.0021, 0)</f>
        <v>68.284300000000002</v>
      </c>
      <c r="L671" s="10"/>
    </row>
    <row r="672" spans="1:12" ht="15.75" x14ac:dyDescent="0.25">
      <c r="A672" s="13">
        <v>61393</v>
      </c>
      <c r="B672" s="10">
        <f>67.8442 * CHOOSE(CONTROL!$C$9, $D$9, 100%, $F$9) + CHOOSE(CONTROL!$C$27, 0.0021, 0)</f>
        <v>67.846299999999999</v>
      </c>
      <c r="C672" s="10">
        <f>67.412 * CHOOSE(CONTROL!$C$9, $D$9, 100%, $F$9) + CHOOSE(CONTROL!$C$27, 0.0021, 0)</f>
        <v>67.414100000000005</v>
      </c>
      <c r="D672" s="10">
        <f>67.412 * CHOOSE(CONTROL!$C$9, $D$9, 100%, $F$9) + CHOOSE(CONTROL!$C$27, 0.0021, 0)</f>
        <v>67.414100000000005</v>
      </c>
      <c r="E672" s="10">
        <f>67.2753 * CHOOSE(CONTROL!$C$9, $D$9, 100%, $F$9) + CHOOSE(CONTROL!$C$27, 0.0021, 0)</f>
        <v>67.2774</v>
      </c>
      <c r="F672" s="10">
        <f>67.2753 * CHOOSE(CONTROL!$C$9, $D$9, 100%, $F$9) + CHOOSE(CONTROL!$C$27, 0.0021, 0)</f>
        <v>67.2774</v>
      </c>
      <c r="G672" s="10">
        <f>67.5467 * CHOOSE(CONTROL!$C$9, $D$9, 100%, $F$9) + CHOOSE(CONTROL!$C$27, 0.0021, 0)</f>
        <v>67.5488</v>
      </c>
      <c r="H672" s="10">
        <f>67.412 * CHOOSE(CONTROL!$C$9, $D$9, 100%, $F$9) + CHOOSE(CONTROL!$C$27, 0.0021, 0)</f>
        <v>67.414100000000005</v>
      </c>
      <c r="I672" s="10">
        <f>67.412 * CHOOSE(CONTROL!$C$9, $D$9, 100%, $F$9) + CHOOSE(CONTROL!$C$27, 0.0021, 0)</f>
        <v>67.414100000000005</v>
      </c>
      <c r="J672" s="10">
        <f>67.412 * CHOOSE(CONTROL!$C$9, $D$9, 100%, $F$9) + CHOOSE(CONTROL!$C$27, 0.0021, 0)</f>
        <v>67.414100000000005</v>
      </c>
      <c r="K672" s="10">
        <f>67.412 * CHOOSE(CONTROL!$C$9, $D$9, 100%, $F$9) + CHOOSE(CONTROL!$C$27, 0.0021, 0)</f>
        <v>67.414100000000005</v>
      </c>
      <c r="L672" s="10"/>
    </row>
    <row r="673" spans="1:12" ht="15.75" x14ac:dyDescent="0.25">
      <c r="A673" s="13">
        <v>61422</v>
      </c>
      <c r="B673" s="10">
        <f>65.9901 * CHOOSE(CONTROL!$C$9, $D$9, 100%, $F$9) + CHOOSE(CONTROL!$C$27, 0.0021, 0)</f>
        <v>65.992199999999997</v>
      </c>
      <c r="C673" s="10">
        <f>65.5578 * CHOOSE(CONTROL!$C$9, $D$9, 100%, $F$9) + CHOOSE(CONTROL!$C$27, 0.0021, 0)</f>
        <v>65.559899999999999</v>
      </c>
      <c r="D673" s="10">
        <f>65.5578 * CHOOSE(CONTROL!$C$9, $D$9, 100%, $F$9) + CHOOSE(CONTROL!$C$27, 0.0021, 0)</f>
        <v>65.559899999999999</v>
      </c>
      <c r="E673" s="10">
        <f>65.4211 * CHOOSE(CONTROL!$C$9, $D$9, 100%, $F$9) + CHOOSE(CONTROL!$C$27, 0.0021, 0)</f>
        <v>65.423199999999994</v>
      </c>
      <c r="F673" s="10">
        <f>65.4211 * CHOOSE(CONTROL!$C$9, $D$9, 100%, $F$9) + CHOOSE(CONTROL!$C$27, 0.0021, 0)</f>
        <v>65.423199999999994</v>
      </c>
      <c r="G673" s="10">
        <f>65.6925 * CHOOSE(CONTROL!$C$9, $D$9, 100%, $F$9) + CHOOSE(CONTROL!$C$27, 0.0021, 0)</f>
        <v>65.694599999999994</v>
      </c>
      <c r="H673" s="10">
        <f>65.5578 * CHOOSE(CONTROL!$C$9, $D$9, 100%, $F$9) + CHOOSE(CONTROL!$C$27, 0.0021, 0)</f>
        <v>65.559899999999999</v>
      </c>
      <c r="I673" s="10">
        <f>65.5578 * CHOOSE(CONTROL!$C$9, $D$9, 100%, $F$9) + CHOOSE(CONTROL!$C$27, 0.0021, 0)</f>
        <v>65.559899999999999</v>
      </c>
      <c r="J673" s="10">
        <f>65.5578 * CHOOSE(CONTROL!$C$9, $D$9, 100%, $F$9) + CHOOSE(CONTROL!$C$27, 0.0021, 0)</f>
        <v>65.559899999999999</v>
      </c>
      <c r="K673" s="10">
        <f>65.5578 * CHOOSE(CONTROL!$C$9, $D$9, 100%, $F$9) + CHOOSE(CONTROL!$C$27, 0.0021, 0)</f>
        <v>65.559899999999999</v>
      </c>
      <c r="L673" s="10"/>
    </row>
    <row r="674" spans="1:12" ht="15.75" x14ac:dyDescent="0.25">
      <c r="A674" s="13">
        <v>61453</v>
      </c>
      <c r="B674" s="10">
        <f>65.2247 * CHOOSE(CONTROL!$C$9, $D$9, 100%, $F$9) + CHOOSE(CONTROL!$C$27, 0.0021, 0)</f>
        <v>65.226799999999997</v>
      </c>
      <c r="C674" s="10">
        <f>64.7924 * CHOOSE(CONTROL!$C$9, $D$9, 100%, $F$9) + CHOOSE(CONTROL!$C$27, 0.0021, 0)</f>
        <v>64.794499999999999</v>
      </c>
      <c r="D674" s="10">
        <f>64.7924 * CHOOSE(CONTROL!$C$9, $D$9, 100%, $F$9) + CHOOSE(CONTROL!$C$27, 0.0021, 0)</f>
        <v>64.794499999999999</v>
      </c>
      <c r="E674" s="10">
        <f>64.6558 * CHOOSE(CONTROL!$C$9, $D$9, 100%, $F$9) + CHOOSE(CONTROL!$C$27, 0.0021, 0)</f>
        <v>64.657899999999998</v>
      </c>
      <c r="F674" s="10">
        <f>64.6558 * CHOOSE(CONTROL!$C$9, $D$9, 100%, $F$9) + CHOOSE(CONTROL!$C$27, 0.0021, 0)</f>
        <v>64.657899999999998</v>
      </c>
      <c r="G674" s="10">
        <f>64.9271 * CHOOSE(CONTROL!$C$9, $D$9, 100%, $F$9) + CHOOSE(CONTROL!$C$27, 0.0021, 0)</f>
        <v>64.929199999999994</v>
      </c>
      <c r="H674" s="10">
        <f>64.7924 * CHOOSE(CONTROL!$C$9, $D$9, 100%, $F$9) + CHOOSE(CONTROL!$C$27, 0.0021, 0)</f>
        <v>64.794499999999999</v>
      </c>
      <c r="I674" s="10">
        <f>64.7924 * CHOOSE(CONTROL!$C$9, $D$9, 100%, $F$9) + CHOOSE(CONTROL!$C$27, 0.0021, 0)</f>
        <v>64.794499999999999</v>
      </c>
      <c r="J674" s="10">
        <f>64.7924 * CHOOSE(CONTROL!$C$9, $D$9, 100%, $F$9) + CHOOSE(CONTROL!$C$27, 0.0021, 0)</f>
        <v>64.794499999999999</v>
      </c>
      <c r="K674" s="10">
        <f>64.7924 * CHOOSE(CONTROL!$C$9, $D$9, 100%, $F$9) + CHOOSE(CONTROL!$C$27, 0.0021, 0)</f>
        <v>64.794499999999999</v>
      </c>
      <c r="L674" s="10"/>
    </row>
    <row r="675" spans="1:12" ht="15.75" x14ac:dyDescent="0.25">
      <c r="A675" s="13">
        <v>61483</v>
      </c>
      <c r="B675" s="10">
        <f>64.3108 * CHOOSE(CONTROL!$C$9, $D$9, 100%, $F$9) + CHOOSE(CONTROL!$C$27, 0.0021, 0)</f>
        <v>64.312899999999999</v>
      </c>
      <c r="C675" s="10">
        <f>63.8785 * CHOOSE(CONTROL!$C$9, $D$9, 100%, $F$9) + CHOOSE(CONTROL!$C$27, 0.0021, 0)</f>
        <v>63.880600000000001</v>
      </c>
      <c r="D675" s="10">
        <f>63.8785 * CHOOSE(CONTROL!$C$9, $D$9, 100%, $F$9) + CHOOSE(CONTROL!$C$27, 0.0021, 0)</f>
        <v>63.880600000000001</v>
      </c>
      <c r="E675" s="10">
        <f>63.7419 * CHOOSE(CONTROL!$C$9, $D$9, 100%, $F$9) + CHOOSE(CONTROL!$C$27, 0.0021, 0)</f>
        <v>63.744</v>
      </c>
      <c r="F675" s="10">
        <f>63.7419 * CHOOSE(CONTROL!$C$9, $D$9, 100%, $F$9) + CHOOSE(CONTROL!$C$27, 0.0021, 0)</f>
        <v>63.744</v>
      </c>
      <c r="G675" s="10">
        <f>64.0132 * CHOOSE(CONTROL!$C$9, $D$9, 100%, $F$9) + CHOOSE(CONTROL!$C$27, 0.0021, 0)</f>
        <v>64.015299999999996</v>
      </c>
      <c r="H675" s="10">
        <f>63.8785 * CHOOSE(CONTROL!$C$9, $D$9, 100%, $F$9) + CHOOSE(CONTROL!$C$27, 0.0021, 0)</f>
        <v>63.880600000000001</v>
      </c>
      <c r="I675" s="10">
        <f>63.8785 * CHOOSE(CONTROL!$C$9, $D$9, 100%, $F$9) + CHOOSE(CONTROL!$C$27, 0.0021, 0)</f>
        <v>63.880600000000001</v>
      </c>
      <c r="J675" s="10">
        <f>63.8785 * CHOOSE(CONTROL!$C$9, $D$9, 100%, $F$9) + CHOOSE(CONTROL!$C$27, 0.0021, 0)</f>
        <v>63.880600000000001</v>
      </c>
      <c r="K675" s="10">
        <f>63.8785 * CHOOSE(CONTROL!$C$9, $D$9, 100%, $F$9) + CHOOSE(CONTROL!$C$27, 0.0021, 0)</f>
        <v>63.880600000000001</v>
      </c>
      <c r="L675" s="10"/>
    </row>
    <row r="676" spans="1:12" ht="15.75" x14ac:dyDescent="0.25">
      <c r="A676" s="13">
        <v>61514</v>
      </c>
      <c r="B676" s="10">
        <f>65.6132 * CHOOSE(CONTROL!$C$9, $D$9, 100%, $F$9) + CHOOSE(CONTROL!$C$27, 0.0021, 0)</f>
        <v>65.615300000000005</v>
      </c>
      <c r="C676" s="10">
        <f>65.1809 * CHOOSE(CONTROL!$C$9, $D$9, 100%, $F$9) + CHOOSE(CONTROL!$C$27, 0.0021, 0)</f>
        <v>65.182999999999993</v>
      </c>
      <c r="D676" s="10">
        <f>65.1809 * CHOOSE(CONTROL!$C$9, $D$9, 100%, $F$9) + CHOOSE(CONTROL!$C$27, 0.0021, 0)</f>
        <v>65.182999999999993</v>
      </c>
      <c r="E676" s="10">
        <f>65.0443 * CHOOSE(CONTROL!$C$9, $D$9, 100%, $F$9) + CHOOSE(CONTROL!$C$27, 0.0021, 0)</f>
        <v>65.046400000000006</v>
      </c>
      <c r="F676" s="10">
        <f>65.0443 * CHOOSE(CONTROL!$C$9, $D$9, 100%, $F$9) + CHOOSE(CONTROL!$C$27, 0.0021, 0)</f>
        <v>65.046400000000006</v>
      </c>
      <c r="G676" s="10">
        <f>65.3156 * CHOOSE(CONTROL!$C$9, $D$9, 100%, $F$9) + CHOOSE(CONTROL!$C$27, 0.0021, 0)</f>
        <v>65.317700000000002</v>
      </c>
      <c r="H676" s="10">
        <f>65.1809 * CHOOSE(CONTROL!$C$9, $D$9, 100%, $F$9) + CHOOSE(CONTROL!$C$27, 0.0021, 0)</f>
        <v>65.182999999999993</v>
      </c>
      <c r="I676" s="10">
        <f>65.1809 * CHOOSE(CONTROL!$C$9, $D$9, 100%, $F$9) + CHOOSE(CONTROL!$C$27, 0.0021, 0)</f>
        <v>65.182999999999993</v>
      </c>
      <c r="J676" s="10">
        <f>65.1809 * CHOOSE(CONTROL!$C$9, $D$9, 100%, $F$9) + CHOOSE(CONTROL!$C$27, 0.0021, 0)</f>
        <v>65.182999999999993</v>
      </c>
      <c r="K676" s="10">
        <f>65.1809 * CHOOSE(CONTROL!$C$9, $D$9, 100%, $F$9) + CHOOSE(CONTROL!$C$27, 0.0021, 0)</f>
        <v>65.182999999999993</v>
      </c>
      <c r="L676" s="10"/>
    </row>
    <row r="677" spans="1:12" ht="15.75" x14ac:dyDescent="0.25">
      <c r="A677" s="13">
        <v>61544</v>
      </c>
      <c r="B677" s="10">
        <f>66.3933 * CHOOSE(CONTROL!$C$9, $D$9, 100%, $F$9) + CHOOSE(CONTROL!$C$27, 0.0021, 0)</f>
        <v>66.395399999999995</v>
      </c>
      <c r="C677" s="10">
        <f>65.961 * CHOOSE(CONTROL!$C$9, $D$9, 100%, $F$9) + CHOOSE(CONTROL!$C$27, 0.0021, 0)</f>
        <v>65.963099999999997</v>
      </c>
      <c r="D677" s="10">
        <f>65.961 * CHOOSE(CONTROL!$C$9, $D$9, 100%, $F$9) + CHOOSE(CONTROL!$C$27, 0.0021, 0)</f>
        <v>65.963099999999997</v>
      </c>
      <c r="E677" s="10">
        <f>65.8244 * CHOOSE(CONTROL!$C$9, $D$9, 100%, $F$9) + CHOOSE(CONTROL!$C$27, 0.0021, 0)</f>
        <v>65.826499999999996</v>
      </c>
      <c r="F677" s="10">
        <f>65.8244 * CHOOSE(CONTROL!$C$9, $D$9, 100%, $F$9) + CHOOSE(CONTROL!$C$27, 0.0021, 0)</f>
        <v>65.826499999999996</v>
      </c>
      <c r="G677" s="10">
        <f>66.0957 * CHOOSE(CONTROL!$C$9, $D$9, 100%, $F$9) + CHOOSE(CONTROL!$C$27, 0.0021, 0)</f>
        <v>66.097799999999992</v>
      </c>
      <c r="H677" s="10">
        <f>65.961 * CHOOSE(CONTROL!$C$9, $D$9, 100%, $F$9) + CHOOSE(CONTROL!$C$27, 0.0021, 0)</f>
        <v>65.963099999999997</v>
      </c>
      <c r="I677" s="10">
        <f>65.961 * CHOOSE(CONTROL!$C$9, $D$9, 100%, $F$9) + CHOOSE(CONTROL!$C$27, 0.0021, 0)</f>
        <v>65.963099999999997</v>
      </c>
      <c r="J677" s="10">
        <f>65.961 * CHOOSE(CONTROL!$C$9, $D$9, 100%, $F$9) + CHOOSE(CONTROL!$C$27, 0.0021, 0)</f>
        <v>65.963099999999997</v>
      </c>
      <c r="K677" s="10">
        <f>65.961 * CHOOSE(CONTROL!$C$9, $D$9, 100%, $F$9) + CHOOSE(CONTROL!$C$27, 0.0021, 0)</f>
        <v>65.963099999999997</v>
      </c>
      <c r="L677" s="10"/>
    </row>
    <row r="678" spans="1:12" ht="15.75" x14ac:dyDescent="0.25">
      <c r="A678" s="13">
        <v>61575</v>
      </c>
      <c r="B678" s="10">
        <f>67.6801 * CHOOSE(CONTROL!$C$9, $D$9, 100%, $F$9) + CHOOSE(CONTROL!$C$27, 0.0021, 0)</f>
        <v>67.682199999999995</v>
      </c>
      <c r="C678" s="10">
        <f>67.2479 * CHOOSE(CONTROL!$C$9, $D$9, 100%, $F$9) + CHOOSE(CONTROL!$C$27, 0.0021, 0)</f>
        <v>67.25</v>
      </c>
      <c r="D678" s="10">
        <f>67.2479 * CHOOSE(CONTROL!$C$9, $D$9, 100%, $F$9) + CHOOSE(CONTROL!$C$27, 0.0021, 0)</f>
        <v>67.25</v>
      </c>
      <c r="E678" s="10">
        <f>67.1112 * CHOOSE(CONTROL!$C$9, $D$9, 100%, $F$9) + CHOOSE(CONTROL!$C$27, 0.0021, 0)</f>
        <v>67.113299999999995</v>
      </c>
      <c r="F678" s="10">
        <f>67.1112 * CHOOSE(CONTROL!$C$9, $D$9, 100%, $F$9) + CHOOSE(CONTROL!$C$27, 0.0021, 0)</f>
        <v>67.113299999999995</v>
      </c>
      <c r="G678" s="10">
        <f>67.3826 * CHOOSE(CONTROL!$C$9, $D$9, 100%, $F$9) + CHOOSE(CONTROL!$C$27, 0.0021, 0)</f>
        <v>67.384699999999995</v>
      </c>
      <c r="H678" s="10">
        <f>67.2479 * CHOOSE(CONTROL!$C$9, $D$9, 100%, $F$9) + CHOOSE(CONTROL!$C$27, 0.0021, 0)</f>
        <v>67.25</v>
      </c>
      <c r="I678" s="10">
        <f>67.2479 * CHOOSE(CONTROL!$C$9, $D$9, 100%, $F$9) + CHOOSE(CONTROL!$C$27, 0.0021, 0)</f>
        <v>67.25</v>
      </c>
      <c r="J678" s="10">
        <f>67.2479 * CHOOSE(CONTROL!$C$9, $D$9, 100%, $F$9) + CHOOSE(CONTROL!$C$27, 0.0021, 0)</f>
        <v>67.25</v>
      </c>
      <c r="K678" s="10">
        <f>67.2479 * CHOOSE(CONTROL!$C$9, $D$9, 100%, $F$9) + CHOOSE(CONTROL!$C$27, 0.0021, 0)</f>
        <v>67.25</v>
      </c>
      <c r="L678" s="10"/>
    </row>
    <row r="679" spans="1:12" ht="15.75" x14ac:dyDescent="0.25">
      <c r="A679" s="13">
        <v>61606</v>
      </c>
      <c r="B679" s="10">
        <f>68.0729 * CHOOSE(CONTROL!$C$9, $D$9, 100%, $F$9) + CHOOSE(CONTROL!$C$27, 0.0021, 0)</f>
        <v>68.075000000000003</v>
      </c>
      <c r="C679" s="10">
        <f>67.6407 * CHOOSE(CONTROL!$C$9, $D$9, 100%, $F$9) + CHOOSE(CONTROL!$C$27, 0.0021, 0)</f>
        <v>67.642799999999994</v>
      </c>
      <c r="D679" s="10">
        <f>67.6407 * CHOOSE(CONTROL!$C$9, $D$9, 100%, $F$9) + CHOOSE(CONTROL!$C$27, 0.0021, 0)</f>
        <v>67.642799999999994</v>
      </c>
      <c r="E679" s="10">
        <f>67.504 * CHOOSE(CONTROL!$C$9, $D$9, 100%, $F$9) + CHOOSE(CONTROL!$C$27, 0.0021, 0)</f>
        <v>67.506100000000004</v>
      </c>
      <c r="F679" s="10">
        <f>67.504 * CHOOSE(CONTROL!$C$9, $D$9, 100%, $F$9) + CHOOSE(CONTROL!$C$27, 0.0021, 0)</f>
        <v>67.506100000000004</v>
      </c>
      <c r="G679" s="10">
        <f>67.7754 * CHOOSE(CONTROL!$C$9, $D$9, 100%, $F$9) + CHOOSE(CONTROL!$C$27, 0.0021, 0)</f>
        <v>67.777500000000003</v>
      </c>
      <c r="H679" s="10">
        <f>67.6407 * CHOOSE(CONTROL!$C$9, $D$9, 100%, $F$9) + CHOOSE(CONTROL!$C$27, 0.0021, 0)</f>
        <v>67.642799999999994</v>
      </c>
      <c r="I679" s="10">
        <f>67.6407 * CHOOSE(CONTROL!$C$9, $D$9, 100%, $F$9) + CHOOSE(CONTROL!$C$27, 0.0021, 0)</f>
        <v>67.642799999999994</v>
      </c>
      <c r="J679" s="10">
        <f>67.6407 * CHOOSE(CONTROL!$C$9, $D$9, 100%, $F$9) + CHOOSE(CONTROL!$C$27, 0.0021, 0)</f>
        <v>67.642799999999994</v>
      </c>
      <c r="K679" s="10">
        <f>67.6407 * CHOOSE(CONTROL!$C$9, $D$9, 100%, $F$9) + CHOOSE(CONTROL!$C$27, 0.0021, 0)</f>
        <v>67.642799999999994</v>
      </c>
      <c r="L679" s="10"/>
    </row>
    <row r="680" spans="1:12" ht="15.75" x14ac:dyDescent="0.25">
      <c r="A680" s="13">
        <v>61636</v>
      </c>
      <c r="B680" s="10">
        <f>69.4106 * CHOOSE(CONTROL!$C$9, $D$9, 100%, $F$9) + CHOOSE(CONTROL!$C$27, 0.0021, 0)</f>
        <v>69.412700000000001</v>
      </c>
      <c r="C680" s="10">
        <f>68.9783 * CHOOSE(CONTROL!$C$9, $D$9, 100%, $F$9) + CHOOSE(CONTROL!$C$27, 0.0021, 0)</f>
        <v>68.980400000000003</v>
      </c>
      <c r="D680" s="10">
        <f>68.9783 * CHOOSE(CONTROL!$C$9, $D$9, 100%, $F$9) + CHOOSE(CONTROL!$C$27, 0.0021, 0)</f>
        <v>68.980400000000003</v>
      </c>
      <c r="E680" s="10">
        <f>68.8417 * CHOOSE(CONTROL!$C$9, $D$9, 100%, $F$9) + CHOOSE(CONTROL!$C$27, 0.0021, 0)</f>
        <v>68.843800000000002</v>
      </c>
      <c r="F680" s="10">
        <f>68.8417 * CHOOSE(CONTROL!$C$9, $D$9, 100%, $F$9) + CHOOSE(CONTROL!$C$27, 0.0021, 0)</f>
        <v>68.843800000000002</v>
      </c>
      <c r="G680" s="10">
        <f>69.113 * CHOOSE(CONTROL!$C$9, $D$9, 100%, $F$9) + CHOOSE(CONTROL!$C$27, 0.0021, 0)</f>
        <v>69.115099999999998</v>
      </c>
      <c r="H680" s="10">
        <f>68.9783 * CHOOSE(CONTROL!$C$9, $D$9, 100%, $F$9) + CHOOSE(CONTROL!$C$27, 0.0021, 0)</f>
        <v>68.980400000000003</v>
      </c>
      <c r="I680" s="10">
        <f>68.9783 * CHOOSE(CONTROL!$C$9, $D$9, 100%, $F$9) + CHOOSE(CONTROL!$C$27, 0.0021, 0)</f>
        <v>68.980400000000003</v>
      </c>
      <c r="J680" s="10">
        <f>68.9783 * CHOOSE(CONTROL!$C$9, $D$9, 100%, $F$9) + CHOOSE(CONTROL!$C$27, 0.0021, 0)</f>
        <v>68.980400000000003</v>
      </c>
      <c r="K680" s="10">
        <f>68.9783 * CHOOSE(CONTROL!$C$9, $D$9, 100%, $F$9) + CHOOSE(CONTROL!$C$27, 0.0021, 0)</f>
        <v>68.980400000000003</v>
      </c>
      <c r="L680" s="10"/>
    </row>
    <row r="681" spans="1:12" ht="15.75" x14ac:dyDescent="0.25">
      <c r="A681" s="13">
        <v>61667</v>
      </c>
      <c r="B681" s="10">
        <f>71.1038 * CHOOSE(CONTROL!$C$9, $D$9, 100%, $F$9) + CHOOSE(CONTROL!$C$27, 0.0021, 0)</f>
        <v>71.105900000000005</v>
      </c>
      <c r="C681" s="10">
        <f>70.6716 * CHOOSE(CONTROL!$C$9, $D$9, 100%, $F$9) + CHOOSE(CONTROL!$C$27, 0.0021, 0)</f>
        <v>70.673699999999997</v>
      </c>
      <c r="D681" s="10">
        <f>70.6716 * CHOOSE(CONTROL!$C$9, $D$9, 100%, $F$9) + CHOOSE(CONTROL!$C$27, 0.0021, 0)</f>
        <v>70.673699999999997</v>
      </c>
      <c r="E681" s="10">
        <f>70.5349 * CHOOSE(CONTROL!$C$9, $D$9, 100%, $F$9) + CHOOSE(CONTROL!$C$27, 0.0021, 0)</f>
        <v>70.536999999999992</v>
      </c>
      <c r="F681" s="10">
        <f>70.5349 * CHOOSE(CONTROL!$C$9, $D$9, 100%, $F$9) + CHOOSE(CONTROL!$C$27, 0.0021, 0)</f>
        <v>70.536999999999992</v>
      </c>
      <c r="G681" s="10">
        <f>70.8063 * CHOOSE(CONTROL!$C$9, $D$9, 100%, $F$9) + CHOOSE(CONTROL!$C$27, 0.0021, 0)</f>
        <v>70.808399999999992</v>
      </c>
      <c r="H681" s="10">
        <f>70.6716 * CHOOSE(CONTROL!$C$9, $D$9, 100%, $F$9) + CHOOSE(CONTROL!$C$27, 0.0021, 0)</f>
        <v>70.673699999999997</v>
      </c>
      <c r="I681" s="10">
        <f>70.6716 * CHOOSE(CONTROL!$C$9, $D$9, 100%, $F$9) + CHOOSE(CONTROL!$C$27, 0.0021, 0)</f>
        <v>70.673699999999997</v>
      </c>
      <c r="J681" s="10">
        <f>70.6716 * CHOOSE(CONTROL!$C$9, $D$9, 100%, $F$9) + CHOOSE(CONTROL!$C$27, 0.0021, 0)</f>
        <v>70.673699999999997</v>
      </c>
      <c r="K681" s="10">
        <f>70.6716 * CHOOSE(CONTROL!$C$9, $D$9, 100%, $F$9) + CHOOSE(CONTROL!$C$27, 0.0021, 0)</f>
        <v>70.673699999999997</v>
      </c>
      <c r="L681" s="10"/>
    </row>
    <row r="682" spans="1:12" ht="15.75" x14ac:dyDescent="0.25">
      <c r="A682" s="13">
        <v>61697</v>
      </c>
      <c r="B682" s="10">
        <f>71.2628 * CHOOSE(CONTROL!$C$9, $D$9, 100%, $F$9) + CHOOSE(CONTROL!$C$27, 0.0021, 0)</f>
        <v>71.264899999999997</v>
      </c>
      <c r="C682" s="10">
        <f>70.8305 * CHOOSE(CONTROL!$C$9, $D$9, 100%, $F$9) + CHOOSE(CONTROL!$C$27, 0.0021, 0)</f>
        <v>70.832599999999999</v>
      </c>
      <c r="D682" s="10">
        <f>70.8305 * CHOOSE(CONTROL!$C$9, $D$9, 100%, $F$9) + CHOOSE(CONTROL!$C$27, 0.0021, 0)</f>
        <v>70.832599999999999</v>
      </c>
      <c r="E682" s="10">
        <f>70.6939 * CHOOSE(CONTROL!$C$9, $D$9, 100%, $F$9) + CHOOSE(CONTROL!$C$27, 0.0021, 0)</f>
        <v>70.695999999999998</v>
      </c>
      <c r="F682" s="10">
        <f>70.6939 * CHOOSE(CONTROL!$C$9, $D$9, 100%, $F$9) + CHOOSE(CONTROL!$C$27, 0.0021, 0)</f>
        <v>70.695999999999998</v>
      </c>
      <c r="G682" s="10">
        <f>70.9652 * CHOOSE(CONTROL!$C$9, $D$9, 100%, $F$9) + CHOOSE(CONTROL!$C$27, 0.0021, 0)</f>
        <v>70.967299999999994</v>
      </c>
      <c r="H682" s="10">
        <f>70.8305 * CHOOSE(CONTROL!$C$9, $D$9, 100%, $F$9) + CHOOSE(CONTROL!$C$27, 0.0021, 0)</f>
        <v>70.832599999999999</v>
      </c>
      <c r="I682" s="10">
        <f>70.8305 * CHOOSE(CONTROL!$C$9, $D$9, 100%, $F$9) + CHOOSE(CONTROL!$C$27, 0.0021, 0)</f>
        <v>70.832599999999999</v>
      </c>
      <c r="J682" s="10">
        <f>70.8305 * CHOOSE(CONTROL!$C$9, $D$9, 100%, $F$9) + CHOOSE(CONTROL!$C$27, 0.0021, 0)</f>
        <v>70.832599999999999</v>
      </c>
      <c r="K682" s="10">
        <f>70.8305 * CHOOSE(CONTROL!$C$9, $D$9, 100%, $F$9) + CHOOSE(CONTROL!$C$27, 0.0021, 0)</f>
        <v>70.832599999999999</v>
      </c>
      <c r="L682" s="10"/>
    </row>
    <row r="683" spans="1:12" ht="15.75" x14ac:dyDescent="0.25">
      <c r="A683" s="13">
        <v>61728</v>
      </c>
      <c r="B683" s="10">
        <f>69.9104 * CHOOSE(CONTROL!$C$9, $D$9, 100%, $F$9) + CHOOSE(CONTROL!$C$27, 0.0021, 0)</f>
        <v>69.912499999999994</v>
      </c>
      <c r="C683" s="10">
        <f>69.4782 * CHOOSE(CONTROL!$C$9, $D$9, 100%, $F$9) + CHOOSE(CONTROL!$C$27, 0.0021, 0)</f>
        <v>69.4803</v>
      </c>
      <c r="D683" s="10">
        <f>69.4782 * CHOOSE(CONTROL!$C$9, $D$9, 100%, $F$9) + CHOOSE(CONTROL!$C$27, 0.0021, 0)</f>
        <v>69.4803</v>
      </c>
      <c r="E683" s="10">
        <f>69.3415 * CHOOSE(CONTROL!$C$9, $D$9, 100%, $F$9) + CHOOSE(CONTROL!$C$27, 0.0021, 0)</f>
        <v>69.343599999999995</v>
      </c>
      <c r="F683" s="10">
        <f>69.3415 * CHOOSE(CONTROL!$C$9, $D$9, 100%, $F$9) + CHOOSE(CONTROL!$C$27, 0.0021, 0)</f>
        <v>69.343599999999995</v>
      </c>
      <c r="G683" s="10">
        <f>69.6129 * CHOOSE(CONTROL!$C$9, $D$9, 100%, $F$9) + CHOOSE(CONTROL!$C$27, 0.0021, 0)</f>
        <v>69.614999999999995</v>
      </c>
      <c r="H683" s="10">
        <f>69.4782 * CHOOSE(CONTROL!$C$9, $D$9, 100%, $F$9) + CHOOSE(CONTROL!$C$27, 0.0021, 0)</f>
        <v>69.4803</v>
      </c>
      <c r="I683" s="10">
        <f>69.4782 * CHOOSE(CONTROL!$C$9, $D$9, 100%, $F$9) + CHOOSE(CONTROL!$C$27, 0.0021, 0)</f>
        <v>69.4803</v>
      </c>
      <c r="J683" s="10">
        <f>69.4782 * CHOOSE(CONTROL!$C$9, $D$9, 100%, $F$9) + CHOOSE(CONTROL!$C$27, 0.0021, 0)</f>
        <v>69.4803</v>
      </c>
      <c r="K683" s="10">
        <f>69.4782 * CHOOSE(CONTROL!$C$9, $D$9, 100%, $F$9) + CHOOSE(CONTROL!$C$27, 0.0021, 0)</f>
        <v>69.4803</v>
      </c>
      <c r="L683" s="10"/>
    </row>
    <row r="684" spans="1:12" ht="15.75" x14ac:dyDescent="0.25">
      <c r="A684" s="13">
        <v>61759</v>
      </c>
      <c r="B684" s="10">
        <f>69.0245 * CHOOSE(CONTROL!$C$9, $D$9, 100%, $F$9) + CHOOSE(CONTROL!$C$27, 0.0021, 0)</f>
        <v>69.026600000000002</v>
      </c>
      <c r="C684" s="10">
        <f>68.5922 * CHOOSE(CONTROL!$C$9, $D$9, 100%, $F$9) + CHOOSE(CONTROL!$C$27, 0.0021, 0)</f>
        <v>68.594300000000004</v>
      </c>
      <c r="D684" s="10">
        <f>68.5922 * CHOOSE(CONTROL!$C$9, $D$9, 100%, $F$9) + CHOOSE(CONTROL!$C$27, 0.0021, 0)</f>
        <v>68.594300000000004</v>
      </c>
      <c r="E684" s="10">
        <f>68.4556 * CHOOSE(CONTROL!$C$9, $D$9, 100%, $F$9) + CHOOSE(CONTROL!$C$27, 0.0021, 0)</f>
        <v>68.457700000000003</v>
      </c>
      <c r="F684" s="10">
        <f>68.4556 * CHOOSE(CONTROL!$C$9, $D$9, 100%, $F$9) + CHOOSE(CONTROL!$C$27, 0.0021, 0)</f>
        <v>68.457700000000003</v>
      </c>
      <c r="G684" s="10">
        <f>68.7269 * CHOOSE(CONTROL!$C$9, $D$9, 100%, $F$9) + CHOOSE(CONTROL!$C$27, 0.0021, 0)</f>
        <v>68.728999999999999</v>
      </c>
      <c r="H684" s="10">
        <f>68.5922 * CHOOSE(CONTROL!$C$9, $D$9, 100%, $F$9) + CHOOSE(CONTROL!$C$27, 0.0021, 0)</f>
        <v>68.594300000000004</v>
      </c>
      <c r="I684" s="10">
        <f>68.5922 * CHOOSE(CONTROL!$C$9, $D$9, 100%, $F$9) + CHOOSE(CONTROL!$C$27, 0.0021, 0)</f>
        <v>68.594300000000004</v>
      </c>
      <c r="J684" s="10">
        <f>68.5922 * CHOOSE(CONTROL!$C$9, $D$9, 100%, $F$9) + CHOOSE(CONTROL!$C$27, 0.0021, 0)</f>
        <v>68.594300000000004</v>
      </c>
      <c r="K684" s="10">
        <f>68.5922 * CHOOSE(CONTROL!$C$9, $D$9, 100%, $F$9) + CHOOSE(CONTROL!$C$27, 0.0021, 0)</f>
        <v>68.594300000000004</v>
      </c>
      <c r="L684" s="10"/>
    </row>
    <row r="685" spans="1:12" ht="15.75" x14ac:dyDescent="0.25">
      <c r="A685" s="13">
        <v>61787</v>
      </c>
      <c r="B685" s="10">
        <f>67.1369 * CHOOSE(CONTROL!$C$9, $D$9, 100%, $F$9) + CHOOSE(CONTROL!$C$27, 0.0021, 0)</f>
        <v>67.138999999999996</v>
      </c>
      <c r="C685" s="10">
        <f>66.7047 * CHOOSE(CONTROL!$C$9, $D$9, 100%, $F$9) + CHOOSE(CONTROL!$C$27, 0.0021, 0)</f>
        <v>66.706800000000001</v>
      </c>
      <c r="D685" s="10">
        <f>66.7047 * CHOOSE(CONTROL!$C$9, $D$9, 100%, $F$9) + CHOOSE(CONTROL!$C$27, 0.0021, 0)</f>
        <v>66.706800000000001</v>
      </c>
      <c r="E685" s="10">
        <f>66.568 * CHOOSE(CONTROL!$C$9, $D$9, 100%, $F$9) + CHOOSE(CONTROL!$C$27, 0.0021, 0)</f>
        <v>66.570099999999996</v>
      </c>
      <c r="F685" s="10">
        <f>66.568 * CHOOSE(CONTROL!$C$9, $D$9, 100%, $F$9) + CHOOSE(CONTROL!$C$27, 0.0021, 0)</f>
        <v>66.570099999999996</v>
      </c>
      <c r="G685" s="10">
        <f>66.8394 * CHOOSE(CONTROL!$C$9, $D$9, 100%, $F$9) + CHOOSE(CONTROL!$C$27, 0.0021, 0)</f>
        <v>66.841499999999996</v>
      </c>
      <c r="H685" s="10">
        <f>66.7047 * CHOOSE(CONTROL!$C$9, $D$9, 100%, $F$9) + CHOOSE(CONTROL!$C$27, 0.0021, 0)</f>
        <v>66.706800000000001</v>
      </c>
      <c r="I685" s="10">
        <f>66.7047 * CHOOSE(CONTROL!$C$9, $D$9, 100%, $F$9) + CHOOSE(CONTROL!$C$27, 0.0021, 0)</f>
        <v>66.706800000000001</v>
      </c>
      <c r="J685" s="10">
        <f>66.7047 * CHOOSE(CONTROL!$C$9, $D$9, 100%, $F$9) + CHOOSE(CONTROL!$C$27, 0.0021, 0)</f>
        <v>66.706800000000001</v>
      </c>
      <c r="K685" s="10">
        <f>66.7047 * CHOOSE(CONTROL!$C$9, $D$9, 100%, $F$9) + CHOOSE(CONTROL!$C$27, 0.0021, 0)</f>
        <v>66.706800000000001</v>
      </c>
      <c r="L685" s="10"/>
    </row>
    <row r="686" spans="1:12" ht="15.75" x14ac:dyDescent="0.25">
      <c r="A686" s="13">
        <v>61818</v>
      </c>
      <c r="B686" s="10">
        <f>66.3577 * CHOOSE(CONTROL!$C$9, $D$9, 100%, $F$9) + CHOOSE(CONTROL!$C$27, 0.0021, 0)</f>
        <v>66.359799999999993</v>
      </c>
      <c r="C686" s="10">
        <f>65.9255 * CHOOSE(CONTROL!$C$9, $D$9, 100%, $F$9) + CHOOSE(CONTROL!$C$27, 0.0021, 0)</f>
        <v>65.927599999999998</v>
      </c>
      <c r="D686" s="10">
        <f>65.9255 * CHOOSE(CONTROL!$C$9, $D$9, 100%, $F$9) + CHOOSE(CONTROL!$C$27, 0.0021, 0)</f>
        <v>65.927599999999998</v>
      </c>
      <c r="E686" s="10">
        <f>65.7888 * CHOOSE(CONTROL!$C$9, $D$9, 100%, $F$9) + CHOOSE(CONTROL!$C$27, 0.0021, 0)</f>
        <v>65.790899999999993</v>
      </c>
      <c r="F686" s="10">
        <f>65.7888 * CHOOSE(CONTROL!$C$9, $D$9, 100%, $F$9) + CHOOSE(CONTROL!$C$27, 0.0021, 0)</f>
        <v>65.790899999999993</v>
      </c>
      <c r="G686" s="10">
        <f>66.0602 * CHOOSE(CONTROL!$C$9, $D$9, 100%, $F$9) + CHOOSE(CONTROL!$C$27, 0.0021, 0)</f>
        <v>66.062299999999993</v>
      </c>
      <c r="H686" s="10">
        <f>65.9255 * CHOOSE(CONTROL!$C$9, $D$9, 100%, $F$9) + CHOOSE(CONTROL!$C$27, 0.0021, 0)</f>
        <v>65.927599999999998</v>
      </c>
      <c r="I686" s="10">
        <f>65.9255 * CHOOSE(CONTROL!$C$9, $D$9, 100%, $F$9) + CHOOSE(CONTROL!$C$27, 0.0021, 0)</f>
        <v>65.927599999999998</v>
      </c>
      <c r="J686" s="10">
        <f>65.9255 * CHOOSE(CONTROL!$C$9, $D$9, 100%, $F$9) + CHOOSE(CONTROL!$C$27, 0.0021, 0)</f>
        <v>65.927599999999998</v>
      </c>
      <c r="K686" s="10">
        <f>65.9255 * CHOOSE(CONTROL!$C$9, $D$9, 100%, $F$9) + CHOOSE(CONTROL!$C$27, 0.0021, 0)</f>
        <v>65.927599999999998</v>
      </c>
      <c r="L686" s="10"/>
    </row>
    <row r="687" spans="1:12" ht="15.75" x14ac:dyDescent="0.25">
      <c r="A687" s="13">
        <v>61848</v>
      </c>
      <c r="B687" s="10">
        <f>65.4274 * CHOOSE(CONTROL!$C$9, $D$9, 100%, $F$9) + CHOOSE(CONTROL!$C$27, 0.0021, 0)</f>
        <v>65.429500000000004</v>
      </c>
      <c r="C687" s="10">
        <f>64.9951 * CHOOSE(CONTROL!$C$9, $D$9, 100%, $F$9) + CHOOSE(CONTROL!$C$27, 0.0021, 0)</f>
        <v>64.997199999999992</v>
      </c>
      <c r="D687" s="10">
        <f>64.9951 * CHOOSE(CONTROL!$C$9, $D$9, 100%, $F$9) + CHOOSE(CONTROL!$C$27, 0.0021, 0)</f>
        <v>64.997199999999992</v>
      </c>
      <c r="E687" s="10">
        <f>64.8585 * CHOOSE(CONTROL!$C$9, $D$9, 100%, $F$9) + CHOOSE(CONTROL!$C$27, 0.0021, 0)</f>
        <v>64.860600000000005</v>
      </c>
      <c r="F687" s="10">
        <f>64.8585 * CHOOSE(CONTROL!$C$9, $D$9, 100%, $F$9) + CHOOSE(CONTROL!$C$27, 0.0021, 0)</f>
        <v>64.860600000000005</v>
      </c>
      <c r="G687" s="10">
        <f>65.1299 * CHOOSE(CONTROL!$C$9, $D$9, 100%, $F$9) + CHOOSE(CONTROL!$C$27, 0.0021, 0)</f>
        <v>65.132000000000005</v>
      </c>
      <c r="H687" s="10">
        <f>64.9951 * CHOOSE(CONTROL!$C$9, $D$9, 100%, $F$9) + CHOOSE(CONTROL!$C$27, 0.0021, 0)</f>
        <v>64.997199999999992</v>
      </c>
      <c r="I687" s="10">
        <f>64.9951 * CHOOSE(CONTROL!$C$9, $D$9, 100%, $F$9) + CHOOSE(CONTROL!$C$27, 0.0021, 0)</f>
        <v>64.997199999999992</v>
      </c>
      <c r="J687" s="10">
        <f>64.9951 * CHOOSE(CONTROL!$C$9, $D$9, 100%, $F$9) + CHOOSE(CONTROL!$C$27, 0.0021, 0)</f>
        <v>64.997199999999992</v>
      </c>
      <c r="K687" s="10">
        <f>64.9951 * CHOOSE(CONTROL!$C$9, $D$9, 100%, $F$9) + CHOOSE(CONTROL!$C$27, 0.0021, 0)</f>
        <v>64.997199999999992</v>
      </c>
      <c r="L687" s="10"/>
    </row>
    <row r="688" spans="1:12" ht="15.75" x14ac:dyDescent="0.25">
      <c r="A688" s="13">
        <v>61879</v>
      </c>
      <c r="B688" s="10">
        <f>66.7533 * CHOOSE(CONTROL!$C$9, $D$9, 100%, $F$9) + CHOOSE(CONTROL!$C$27, 0.0021, 0)</f>
        <v>66.755399999999995</v>
      </c>
      <c r="C688" s="10">
        <f>66.321 * CHOOSE(CONTROL!$C$9, $D$9, 100%, $F$9) + CHOOSE(CONTROL!$C$27, 0.0021, 0)</f>
        <v>66.323099999999997</v>
      </c>
      <c r="D688" s="10">
        <f>66.321 * CHOOSE(CONTROL!$C$9, $D$9, 100%, $F$9) + CHOOSE(CONTROL!$C$27, 0.0021, 0)</f>
        <v>66.323099999999997</v>
      </c>
      <c r="E688" s="10">
        <f>66.1844 * CHOOSE(CONTROL!$C$9, $D$9, 100%, $F$9) + CHOOSE(CONTROL!$C$27, 0.0021, 0)</f>
        <v>66.186499999999995</v>
      </c>
      <c r="F688" s="10">
        <f>66.1844 * CHOOSE(CONTROL!$C$9, $D$9, 100%, $F$9) + CHOOSE(CONTROL!$C$27, 0.0021, 0)</f>
        <v>66.186499999999995</v>
      </c>
      <c r="G688" s="10">
        <f>66.4557 * CHOOSE(CONTROL!$C$9, $D$9, 100%, $F$9) + CHOOSE(CONTROL!$C$27, 0.0021, 0)</f>
        <v>66.457799999999992</v>
      </c>
      <c r="H688" s="10">
        <f>66.321 * CHOOSE(CONTROL!$C$9, $D$9, 100%, $F$9) + CHOOSE(CONTROL!$C$27, 0.0021, 0)</f>
        <v>66.323099999999997</v>
      </c>
      <c r="I688" s="10">
        <f>66.321 * CHOOSE(CONTROL!$C$9, $D$9, 100%, $F$9) + CHOOSE(CONTROL!$C$27, 0.0021, 0)</f>
        <v>66.323099999999997</v>
      </c>
      <c r="J688" s="10">
        <f>66.321 * CHOOSE(CONTROL!$C$9, $D$9, 100%, $F$9) + CHOOSE(CONTROL!$C$27, 0.0021, 0)</f>
        <v>66.323099999999997</v>
      </c>
      <c r="K688" s="10">
        <f>66.321 * CHOOSE(CONTROL!$C$9, $D$9, 100%, $F$9) + CHOOSE(CONTROL!$C$27, 0.0021, 0)</f>
        <v>66.323099999999997</v>
      </c>
      <c r="L688" s="10"/>
    </row>
    <row r="689" spans="1:12" ht="15.75" x14ac:dyDescent="0.25">
      <c r="A689" s="13">
        <v>61909</v>
      </c>
      <c r="B689" s="10">
        <f>67.5474 * CHOOSE(CONTROL!$C$9, $D$9, 100%, $F$9) + CHOOSE(CONTROL!$C$27, 0.0021, 0)</f>
        <v>67.549499999999995</v>
      </c>
      <c r="C689" s="10">
        <f>67.1151 * CHOOSE(CONTROL!$C$9, $D$9, 100%, $F$9) + CHOOSE(CONTROL!$C$27, 0.0021, 0)</f>
        <v>67.117199999999997</v>
      </c>
      <c r="D689" s="10">
        <f>67.1151 * CHOOSE(CONTROL!$C$9, $D$9, 100%, $F$9) + CHOOSE(CONTROL!$C$27, 0.0021, 0)</f>
        <v>67.117199999999997</v>
      </c>
      <c r="E689" s="10">
        <f>66.9785 * CHOOSE(CONTROL!$C$9, $D$9, 100%, $F$9) + CHOOSE(CONTROL!$C$27, 0.0021, 0)</f>
        <v>66.980599999999995</v>
      </c>
      <c r="F689" s="10">
        <f>66.9785 * CHOOSE(CONTROL!$C$9, $D$9, 100%, $F$9) + CHOOSE(CONTROL!$C$27, 0.0021, 0)</f>
        <v>66.980599999999995</v>
      </c>
      <c r="G689" s="10">
        <f>67.2499 * CHOOSE(CONTROL!$C$9, $D$9, 100%, $F$9) + CHOOSE(CONTROL!$C$27, 0.0021, 0)</f>
        <v>67.251999999999995</v>
      </c>
      <c r="H689" s="10">
        <f>67.1151 * CHOOSE(CONTROL!$C$9, $D$9, 100%, $F$9) + CHOOSE(CONTROL!$C$27, 0.0021, 0)</f>
        <v>67.117199999999997</v>
      </c>
      <c r="I689" s="10">
        <f>67.1151 * CHOOSE(CONTROL!$C$9, $D$9, 100%, $F$9) + CHOOSE(CONTROL!$C$27, 0.0021, 0)</f>
        <v>67.117199999999997</v>
      </c>
      <c r="J689" s="10">
        <f>67.1151 * CHOOSE(CONTROL!$C$9, $D$9, 100%, $F$9) + CHOOSE(CONTROL!$C$27, 0.0021, 0)</f>
        <v>67.117199999999997</v>
      </c>
      <c r="K689" s="10">
        <f>67.1151 * CHOOSE(CONTROL!$C$9, $D$9, 100%, $F$9) + CHOOSE(CONTROL!$C$27, 0.0021, 0)</f>
        <v>67.117199999999997</v>
      </c>
      <c r="L689" s="10"/>
    </row>
    <row r="690" spans="1:12" ht="15.75" x14ac:dyDescent="0.25">
      <c r="A690" s="13">
        <v>61940</v>
      </c>
      <c r="B690" s="10">
        <f>68.8574 * CHOOSE(CONTROL!$C$9, $D$9, 100%, $F$9) + CHOOSE(CONTROL!$C$27, 0.0021, 0)</f>
        <v>68.859499999999997</v>
      </c>
      <c r="C690" s="10">
        <f>68.4252 * CHOOSE(CONTROL!$C$9, $D$9, 100%, $F$9) + CHOOSE(CONTROL!$C$27, 0.0021, 0)</f>
        <v>68.427300000000002</v>
      </c>
      <c r="D690" s="10">
        <f>68.4252 * CHOOSE(CONTROL!$C$9, $D$9, 100%, $F$9) + CHOOSE(CONTROL!$C$27, 0.0021, 0)</f>
        <v>68.427300000000002</v>
      </c>
      <c r="E690" s="10">
        <f>68.2885 * CHOOSE(CONTROL!$C$9, $D$9, 100%, $F$9) + CHOOSE(CONTROL!$C$27, 0.0021, 0)</f>
        <v>68.290599999999998</v>
      </c>
      <c r="F690" s="10">
        <f>68.2885 * CHOOSE(CONTROL!$C$9, $D$9, 100%, $F$9) + CHOOSE(CONTROL!$C$27, 0.0021, 0)</f>
        <v>68.290599999999998</v>
      </c>
      <c r="G690" s="10">
        <f>68.5599 * CHOOSE(CONTROL!$C$9, $D$9, 100%, $F$9) + CHOOSE(CONTROL!$C$27, 0.0021, 0)</f>
        <v>68.561999999999998</v>
      </c>
      <c r="H690" s="10">
        <f>68.4252 * CHOOSE(CONTROL!$C$9, $D$9, 100%, $F$9) + CHOOSE(CONTROL!$C$27, 0.0021, 0)</f>
        <v>68.427300000000002</v>
      </c>
      <c r="I690" s="10">
        <f>68.4252 * CHOOSE(CONTROL!$C$9, $D$9, 100%, $F$9) + CHOOSE(CONTROL!$C$27, 0.0021, 0)</f>
        <v>68.427300000000002</v>
      </c>
      <c r="J690" s="10">
        <f>68.4252 * CHOOSE(CONTROL!$C$9, $D$9, 100%, $F$9) + CHOOSE(CONTROL!$C$27, 0.0021, 0)</f>
        <v>68.427300000000002</v>
      </c>
      <c r="K690" s="10">
        <f>68.4252 * CHOOSE(CONTROL!$C$9, $D$9, 100%, $F$9) + CHOOSE(CONTROL!$C$27, 0.0021, 0)</f>
        <v>68.427300000000002</v>
      </c>
      <c r="L690" s="10"/>
    </row>
    <row r="691" spans="1:12" ht="15.75" x14ac:dyDescent="0.25">
      <c r="A691" s="13">
        <v>61971</v>
      </c>
      <c r="B691" s="10">
        <f>69.2573 * CHOOSE(CONTROL!$C$9, $D$9, 100%, $F$9) + CHOOSE(CONTROL!$C$27, 0.0021, 0)</f>
        <v>69.259399999999999</v>
      </c>
      <c r="C691" s="10">
        <f>68.8251 * CHOOSE(CONTROL!$C$9, $D$9, 100%, $F$9) + CHOOSE(CONTROL!$C$27, 0.0021, 0)</f>
        <v>68.827200000000005</v>
      </c>
      <c r="D691" s="10">
        <f>68.8251 * CHOOSE(CONTROL!$C$9, $D$9, 100%, $F$9) + CHOOSE(CONTROL!$C$27, 0.0021, 0)</f>
        <v>68.827200000000005</v>
      </c>
      <c r="E691" s="10">
        <f>68.6884 * CHOOSE(CONTROL!$C$9, $D$9, 100%, $F$9) + CHOOSE(CONTROL!$C$27, 0.0021, 0)</f>
        <v>68.6905</v>
      </c>
      <c r="F691" s="10">
        <f>68.6884 * CHOOSE(CONTROL!$C$9, $D$9, 100%, $F$9) + CHOOSE(CONTROL!$C$27, 0.0021, 0)</f>
        <v>68.6905</v>
      </c>
      <c r="G691" s="10">
        <f>68.9598 * CHOOSE(CONTROL!$C$9, $D$9, 100%, $F$9) + CHOOSE(CONTROL!$C$27, 0.0021, 0)</f>
        <v>68.9619</v>
      </c>
      <c r="H691" s="10">
        <f>68.8251 * CHOOSE(CONTROL!$C$9, $D$9, 100%, $F$9) + CHOOSE(CONTROL!$C$27, 0.0021, 0)</f>
        <v>68.827200000000005</v>
      </c>
      <c r="I691" s="10">
        <f>68.8251 * CHOOSE(CONTROL!$C$9, $D$9, 100%, $F$9) + CHOOSE(CONTROL!$C$27, 0.0021, 0)</f>
        <v>68.827200000000005</v>
      </c>
      <c r="J691" s="10">
        <f>68.8251 * CHOOSE(CONTROL!$C$9, $D$9, 100%, $F$9) + CHOOSE(CONTROL!$C$27, 0.0021, 0)</f>
        <v>68.827200000000005</v>
      </c>
      <c r="K691" s="10">
        <f>68.8251 * CHOOSE(CONTROL!$C$9, $D$9, 100%, $F$9) + CHOOSE(CONTROL!$C$27, 0.0021, 0)</f>
        <v>68.827200000000005</v>
      </c>
      <c r="L691" s="10"/>
    </row>
    <row r="692" spans="1:12" ht="15.75" x14ac:dyDescent="0.25">
      <c r="A692" s="13">
        <v>62001</v>
      </c>
      <c r="B692" s="10">
        <f>70.619 * CHOOSE(CONTROL!$C$9, $D$9, 100%, $F$9) + CHOOSE(CONTROL!$C$27, 0.0021, 0)</f>
        <v>70.621099999999998</v>
      </c>
      <c r="C692" s="10">
        <f>70.1868 * CHOOSE(CONTROL!$C$9, $D$9, 100%, $F$9) + CHOOSE(CONTROL!$C$27, 0.0021, 0)</f>
        <v>70.188900000000004</v>
      </c>
      <c r="D692" s="10">
        <f>70.1868 * CHOOSE(CONTROL!$C$9, $D$9, 100%, $F$9) + CHOOSE(CONTROL!$C$27, 0.0021, 0)</f>
        <v>70.188900000000004</v>
      </c>
      <c r="E692" s="10">
        <f>70.0501 * CHOOSE(CONTROL!$C$9, $D$9, 100%, $F$9) + CHOOSE(CONTROL!$C$27, 0.0021, 0)</f>
        <v>70.052199999999999</v>
      </c>
      <c r="F692" s="10">
        <f>70.0501 * CHOOSE(CONTROL!$C$9, $D$9, 100%, $F$9) + CHOOSE(CONTROL!$C$27, 0.0021, 0)</f>
        <v>70.052199999999999</v>
      </c>
      <c r="G692" s="10">
        <f>70.3215 * CHOOSE(CONTROL!$C$9, $D$9, 100%, $F$9) + CHOOSE(CONTROL!$C$27, 0.0021, 0)</f>
        <v>70.323599999999999</v>
      </c>
      <c r="H692" s="10">
        <f>70.1868 * CHOOSE(CONTROL!$C$9, $D$9, 100%, $F$9) + CHOOSE(CONTROL!$C$27, 0.0021, 0)</f>
        <v>70.188900000000004</v>
      </c>
      <c r="I692" s="10">
        <f>70.1868 * CHOOSE(CONTROL!$C$9, $D$9, 100%, $F$9) + CHOOSE(CONTROL!$C$27, 0.0021, 0)</f>
        <v>70.188900000000004</v>
      </c>
      <c r="J692" s="10">
        <f>70.1868 * CHOOSE(CONTROL!$C$9, $D$9, 100%, $F$9) + CHOOSE(CONTROL!$C$27, 0.0021, 0)</f>
        <v>70.188900000000004</v>
      </c>
      <c r="K692" s="10">
        <f>70.1868 * CHOOSE(CONTROL!$C$9, $D$9, 100%, $F$9) + CHOOSE(CONTROL!$C$27, 0.0021, 0)</f>
        <v>70.188900000000004</v>
      </c>
      <c r="L692" s="10"/>
    </row>
    <row r="693" spans="1:12" ht="15.75" x14ac:dyDescent="0.25">
      <c r="A693" s="13">
        <v>62032</v>
      </c>
      <c r="B693" s="10">
        <f>72.3427 * CHOOSE(CONTROL!$C$9, $D$9, 100%, $F$9) + CHOOSE(CONTROL!$C$27, 0.0021, 0)</f>
        <v>72.344799999999992</v>
      </c>
      <c r="C693" s="10">
        <f>71.9105 * CHOOSE(CONTROL!$C$9, $D$9, 100%, $F$9) + CHOOSE(CONTROL!$C$27, 0.0021, 0)</f>
        <v>71.912599999999998</v>
      </c>
      <c r="D693" s="10">
        <f>71.9105 * CHOOSE(CONTROL!$C$9, $D$9, 100%, $F$9) + CHOOSE(CONTROL!$C$27, 0.0021, 0)</f>
        <v>71.912599999999998</v>
      </c>
      <c r="E693" s="10">
        <f>71.7738 * CHOOSE(CONTROL!$C$9, $D$9, 100%, $F$9) + CHOOSE(CONTROL!$C$27, 0.0021, 0)</f>
        <v>71.775899999999993</v>
      </c>
      <c r="F693" s="10">
        <f>71.7738 * CHOOSE(CONTROL!$C$9, $D$9, 100%, $F$9) + CHOOSE(CONTROL!$C$27, 0.0021, 0)</f>
        <v>71.775899999999993</v>
      </c>
      <c r="G693" s="10">
        <f>72.0452 * CHOOSE(CONTROL!$C$9, $D$9, 100%, $F$9) + CHOOSE(CONTROL!$C$27, 0.0021, 0)</f>
        <v>72.047299999999993</v>
      </c>
      <c r="H693" s="10">
        <f>71.9105 * CHOOSE(CONTROL!$C$9, $D$9, 100%, $F$9) + CHOOSE(CONTROL!$C$27, 0.0021, 0)</f>
        <v>71.912599999999998</v>
      </c>
      <c r="I693" s="10">
        <f>71.9105 * CHOOSE(CONTROL!$C$9, $D$9, 100%, $F$9) + CHOOSE(CONTROL!$C$27, 0.0021, 0)</f>
        <v>71.912599999999998</v>
      </c>
      <c r="J693" s="10">
        <f>71.9105 * CHOOSE(CONTROL!$C$9, $D$9, 100%, $F$9) + CHOOSE(CONTROL!$C$27, 0.0021, 0)</f>
        <v>71.912599999999998</v>
      </c>
      <c r="K693" s="10">
        <f>71.9105 * CHOOSE(CONTROL!$C$9, $D$9, 100%, $F$9) + CHOOSE(CONTROL!$C$27, 0.0021, 0)</f>
        <v>71.912599999999998</v>
      </c>
      <c r="L693" s="10"/>
    </row>
    <row r="694" spans="1:12" ht="15.75" x14ac:dyDescent="0.25">
      <c r="A694" s="13">
        <v>62062</v>
      </c>
      <c r="B694" s="10">
        <f>72.5046 * CHOOSE(CONTROL!$C$9, $D$9, 100%, $F$9) + CHOOSE(CONTROL!$C$27, 0.0021, 0)</f>
        <v>72.506699999999995</v>
      </c>
      <c r="C694" s="10">
        <f>72.0723 * CHOOSE(CONTROL!$C$9, $D$9, 100%, $F$9) + CHOOSE(CONTROL!$C$27, 0.0021, 0)</f>
        <v>72.074399999999997</v>
      </c>
      <c r="D694" s="10">
        <f>72.0723 * CHOOSE(CONTROL!$C$9, $D$9, 100%, $F$9) + CHOOSE(CONTROL!$C$27, 0.0021, 0)</f>
        <v>72.074399999999997</v>
      </c>
      <c r="E694" s="10">
        <f>71.9357 * CHOOSE(CONTROL!$C$9, $D$9, 100%, $F$9) + CHOOSE(CONTROL!$C$27, 0.0021, 0)</f>
        <v>71.937799999999996</v>
      </c>
      <c r="F694" s="10">
        <f>71.9357 * CHOOSE(CONTROL!$C$9, $D$9, 100%, $F$9) + CHOOSE(CONTROL!$C$27, 0.0021, 0)</f>
        <v>71.937799999999996</v>
      </c>
      <c r="G694" s="10">
        <f>72.207 * CHOOSE(CONTROL!$C$9, $D$9, 100%, $F$9) + CHOOSE(CONTROL!$C$27, 0.0021, 0)</f>
        <v>72.209099999999992</v>
      </c>
      <c r="H694" s="10">
        <f>72.0723 * CHOOSE(CONTROL!$C$9, $D$9, 100%, $F$9) + CHOOSE(CONTROL!$C$27, 0.0021, 0)</f>
        <v>72.074399999999997</v>
      </c>
      <c r="I694" s="10">
        <f>72.0723 * CHOOSE(CONTROL!$C$9, $D$9, 100%, $F$9) + CHOOSE(CONTROL!$C$27, 0.0021, 0)</f>
        <v>72.074399999999997</v>
      </c>
      <c r="J694" s="10">
        <f>72.0723 * CHOOSE(CONTROL!$C$9, $D$9, 100%, $F$9) + CHOOSE(CONTROL!$C$27, 0.0021, 0)</f>
        <v>72.074399999999997</v>
      </c>
      <c r="K694" s="10">
        <f>72.0723 * CHOOSE(CONTROL!$C$9, $D$9, 100%, $F$9) + CHOOSE(CONTROL!$C$27, 0.0021, 0)</f>
        <v>72.074399999999997</v>
      </c>
      <c r="L694" s="10"/>
    </row>
    <row r="695" spans="1:12" ht="15.75" x14ac:dyDescent="0.25">
      <c r="A695" s="13">
        <v>62093</v>
      </c>
      <c r="B695" s="10">
        <f>71.1279 * CHOOSE(CONTROL!$C$9, $D$9, 100%, $F$9) + CHOOSE(CONTROL!$C$27, 0.0021, 0)</f>
        <v>71.13</v>
      </c>
      <c r="C695" s="10">
        <f>70.6956 * CHOOSE(CONTROL!$C$9, $D$9, 100%, $F$9) + CHOOSE(CONTROL!$C$27, 0.0021, 0)</f>
        <v>70.697699999999998</v>
      </c>
      <c r="D695" s="10">
        <f>70.6956 * CHOOSE(CONTROL!$C$9, $D$9, 100%, $F$9) + CHOOSE(CONTROL!$C$27, 0.0021, 0)</f>
        <v>70.697699999999998</v>
      </c>
      <c r="E695" s="10">
        <f>70.559 * CHOOSE(CONTROL!$C$9, $D$9, 100%, $F$9) + CHOOSE(CONTROL!$C$27, 0.0021, 0)</f>
        <v>70.561099999999996</v>
      </c>
      <c r="F695" s="10">
        <f>70.559 * CHOOSE(CONTROL!$C$9, $D$9, 100%, $F$9) + CHOOSE(CONTROL!$C$27, 0.0021, 0)</f>
        <v>70.561099999999996</v>
      </c>
      <c r="G695" s="10">
        <f>70.8303 * CHOOSE(CONTROL!$C$9, $D$9, 100%, $F$9) + CHOOSE(CONTROL!$C$27, 0.0021, 0)</f>
        <v>70.832399999999993</v>
      </c>
      <c r="H695" s="10">
        <f>70.6956 * CHOOSE(CONTROL!$C$9, $D$9, 100%, $F$9) + CHOOSE(CONTROL!$C$27, 0.0021, 0)</f>
        <v>70.697699999999998</v>
      </c>
      <c r="I695" s="10">
        <f>70.6956 * CHOOSE(CONTROL!$C$9, $D$9, 100%, $F$9) + CHOOSE(CONTROL!$C$27, 0.0021, 0)</f>
        <v>70.697699999999998</v>
      </c>
      <c r="J695" s="10">
        <f>70.6956 * CHOOSE(CONTROL!$C$9, $D$9, 100%, $F$9) + CHOOSE(CONTROL!$C$27, 0.0021, 0)</f>
        <v>70.697699999999998</v>
      </c>
      <c r="K695" s="10">
        <f>70.6956 * CHOOSE(CONTROL!$C$9, $D$9, 100%, $F$9) + CHOOSE(CONTROL!$C$27, 0.0021, 0)</f>
        <v>70.697699999999998</v>
      </c>
      <c r="L695" s="10"/>
    </row>
    <row r="696" spans="1:12" ht="15.75" x14ac:dyDescent="0.25">
      <c r="A696" s="13">
        <v>62124</v>
      </c>
      <c r="B696" s="10">
        <f>70.226 * CHOOSE(CONTROL!$C$9, $D$9, 100%, $F$9) + CHOOSE(CONTROL!$C$27, 0.0021, 0)</f>
        <v>70.228099999999998</v>
      </c>
      <c r="C696" s="10">
        <f>69.7937 * CHOOSE(CONTROL!$C$9, $D$9, 100%, $F$9) + CHOOSE(CONTROL!$C$27, 0.0021, 0)</f>
        <v>69.7958</v>
      </c>
      <c r="D696" s="10">
        <f>69.7937 * CHOOSE(CONTROL!$C$9, $D$9, 100%, $F$9) + CHOOSE(CONTROL!$C$27, 0.0021, 0)</f>
        <v>69.7958</v>
      </c>
      <c r="E696" s="10">
        <f>69.6571 * CHOOSE(CONTROL!$C$9, $D$9, 100%, $F$9) + CHOOSE(CONTROL!$C$27, 0.0021, 0)</f>
        <v>69.659199999999998</v>
      </c>
      <c r="F696" s="10">
        <f>69.6571 * CHOOSE(CONTROL!$C$9, $D$9, 100%, $F$9) + CHOOSE(CONTROL!$C$27, 0.0021, 0)</f>
        <v>69.659199999999998</v>
      </c>
      <c r="G696" s="10">
        <f>69.9284 * CHOOSE(CONTROL!$C$9, $D$9, 100%, $F$9) + CHOOSE(CONTROL!$C$27, 0.0021, 0)</f>
        <v>69.930499999999995</v>
      </c>
      <c r="H696" s="10">
        <f>69.7937 * CHOOSE(CONTROL!$C$9, $D$9, 100%, $F$9) + CHOOSE(CONTROL!$C$27, 0.0021, 0)</f>
        <v>69.7958</v>
      </c>
      <c r="I696" s="10">
        <f>69.7937 * CHOOSE(CONTROL!$C$9, $D$9, 100%, $F$9) + CHOOSE(CONTROL!$C$27, 0.0021, 0)</f>
        <v>69.7958</v>
      </c>
      <c r="J696" s="10">
        <f>69.7937 * CHOOSE(CONTROL!$C$9, $D$9, 100%, $F$9) + CHOOSE(CONTROL!$C$27, 0.0021, 0)</f>
        <v>69.7958</v>
      </c>
      <c r="K696" s="10">
        <f>69.7937 * CHOOSE(CONTROL!$C$9, $D$9, 100%, $F$9) + CHOOSE(CONTROL!$C$27, 0.0021, 0)</f>
        <v>69.7958</v>
      </c>
      <c r="L696" s="10"/>
    </row>
    <row r="697" spans="1:12" ht="15.75" x14ac:dyDescent="0.25">
      <c r="A697" s="13">
        <v>62152</v>
      </c>
      <c r="B697" s="10">
        <f>68.3044 * CHOOSE(CONTROL!$C$9, $D$9, 100%, $F$9) + CHOOSE(CONTROL!$C$27, 0.0021, 0)</f>
        <v>68.3065</v>
      </c>
      <c r="C697" s="10">
        <f>67.8722 * CHOOSE(CONTROL!$C$9, $D$9, 100%, $F$9) + CHOOSE(CONTROL!$C$27, 0.0021, 0)</f>
        <v>67.874300000000005</v>
      </c>
      <c r="D697" s="10">
        <f>67.8722 * CHOOSE(CONTROL!$C$9, $D$9, 100%, $F$9) + CHOOSE(CONTROL!$C$27, 0.0021, 0)</f>
        <v>67.874300000000005</v>
      </c>
      <c r="E697" s="10">
        <f>67.7355 * CHOOSE(CONTROL!$C$9, $D$9, 100%, $F$9) + CHOOSE(CONTROL!$C$27, 0.0021, 0)</f>
        <v>67.7376</v>
      </c>
      <c r="F697" s="10">
        <f>67.7355 * CHOOSE(CONTROL!$C$9, $D$9, 100%, $F$9) + CHOOSE(CONTROL!$C$27, 0.0021, 0)</f>
        <v>67.7376</v>
      </c>
      <c r="G697" s="10">
        <f>68.0069 * CHOOSE(CONTROL!$C$9, $D$9, 100%, $F$9) + CHOOSE(CONTROL!$C$27, 0.0021, 0)</f>
        <v>68.009</v>
      </c>
      <c r="H697" s="10">
        <f>67.8722 * CHOOSE(CONTROL!$C$9, $D$9, 100%, $F$9) + CHOOSE(CONTROL!$C$27, 0.0021, 0)</f>
        <v>67.874300000000005</v>
      </c>
      <c r="I697" s="10">
        <f>67.8722 * CHOOSE(CONTROL!$C$9, $D$9, 100%, $F$9) + CHOOSE(CONTROL!$C$27, 0.0021, 0)</f>
        <v>67.874300000000005</v>
      </c>
      <c r="J697" s="10">
        <f>67.8722 * CHOOSE(CONTROL!$C$9, $D$9, 100%, $F$9) + CHOOSE(CONTROL!$C$27, 0.0021, 0)</f>
        <v>67.874300000000005</v>
      </c>
      <c r="K697" s="10">
        <f>67.8722 * CHOOSE(CONTROL!$C$9, $D$9, 100%, $F$9) + CHOOSE(CONTROL!$C$27, 0.0021, 0)</f>
        <v>67.874300000000005</v>
      </c>
      <c r="L697" s="10"/>
    </row>
    <row r="698" spans="1:12" ht="15.75" x14ac:dyDescent="0.25">
      <c r="A698" s="13">
        <v>62183</v>
      </c>
      <c r="B698" s="10">
        <f>67.5112 * CHOOSE(CONTROL!$C$9, $D$9, 100%, $F$9) + CHOOSE(CONTROL!$C$27, 0.0021, 0)</f>
        <v>67.513300000000001</v>
      </c>
      <c r="C698" s="10">
        <f>67.079 * CHOOSE(CONTROL!$C$9, $D$9, 100%, $F$9) + CHOOSE(CONTROL!$C$27, 0.0021, 0)</f>
        <v>67.081099999999992</v>
      </c>
      <c r="D698" s="10">
        <f>67.079 * CHOOSE(CONTROL!$C$9, $D$9, 100%, $F$9) + CHOOSE(CONTROL!$C$27, 0.0021, 0)</f>
        <v>67.081099999999992</v>
      </c>
      <c r="E698" s="10">
        <f>66.9423 * CHOOSE(CONTROL!$C$9, $D$9, 100%, $F$9) + CHOOSE(CONTROL!$C$27, 0.0021, 0)</f>
        <v>66.944400000000002</v>
      </c>
      <c r="F698" s="10">
        <f>66.9423 * CHOOSE(CONTROL!$C$9, $D$9, 100%, $F$9) + CHOOSE(CONTROL!$C$27, 0.0021, 0)</f>
        <v>66.944400000000002</v>
      </c>
      <c r="G698" s="10">
        <f>67.2137 * CHOOSE(CONTROL!$C$9, $D$9, 100%, $F$9) + CHOOSE(CONTROL!$C$27, 0.0021, 0)</f>
        <v>67.215800000000002</v>
      </c>
      <c r="H698" s="10">
        <f>67.079 * CHOOSE(CONTROL!$C$9, $D$9, 100%, $F$9) + CHOOSE(CONTROL!$C$27, 0.0021, 0)</f>
        <v>67.081099999999992</v>
      </c>
      <c r="I698" s="10">
        <f>67.079 * CHOOSE(CONTROL!$C$9, $D$9, 100%, $F$9) + CHOOSE(CONTROL!$C$27, 0.0021, 0)</f>
        <v>67.081099999999992</v>
      </c>
      <c r="J698" s="10">
        <f>67.079 * CHOOSE(CONTROL!$C$9, $D$9, 100%, $F$9) + CHOOSE(CONTROL!$C$27, 0.0021, 0)</f>
        <v>67.081099999999992</v>
      </c>
      <c r="K698" s="10">
        <f>67.079 * CHOOSE(CONTROL!$C$9, $D$9, 100%, $F$9) + CHOOSE(CONTROL!$C$27, 0.0021, 0)</f>
        <v>67.081099999999992</v>
      </c>
      <c r="L698" s="10"/>
    </row>
    <row r="699" spans="1:12" ht="15.75" x14ac:dyDescent="0.25">
      <c r="A699" s="13">
        <v>62213</v>
      </c>
      <c r="B699" s="10">
        <f>66.5641 * CHOOSE(CONTROL!$C$9, $D$9, 100%, $F$9) + CHOOSE(CONTROL!$C$27, 0.0021, 0)</f>
        <v>66.566199999999995</v>
      </c>
      <c r="C699" s="10">
        <f>66.1319 * CHOOSE(CONTROL!$C$9, $D$9, 100%, $F$9) + CHOOSE(CONTROL!$C$27, 0.0021, 0)</f>
        <v>66.134</v>
      </c>
      <c r="D699" s="10">
        <f>66.1319 * CHOOSE(CONTROL!$C$9, $D$9, 100%, $F$9) + CHOOSE(CONTROL!$C$27, 0.0021, 0)</f>
        <v>66.134</v>
      </c>
      <c r="E699" s="10">
        <f>65.9952 * CHOOSE(CONTROL!$C$9, $D$9, 100%, $F$9) + CHOOSE(CONTROL!$C$27, 0.0021, 0)</f>
        <v>65.997299999999996</v>
      </c>
      <c r="F699" s="10">
        <f>65.9952 * CHOOSE(CONTROL!$C$9, $D$9, 100%, $F$9) + CHOOSE(CONTROL!$C$27, 0.0021, 0)</f>
        <v>65.997299999999996</v>
      </c>
      <c r="G699" s="10">
        <f>66.2666 * CHOOSE(CONTROL!$C$9, $D$9, 100%, $F$9) + CHOOSE(CONTROL!$C$27, 0.0021, 0)</f>
        <v>66.268699999999995</v>
      </c>
      <c r="H699" s="10">
        <f>66.1319 * CHOOSE(CONTROL!$C$9, $D$9, 100%, $F$9) + CHOOSE(CONTROL!$C$27, 0.0021, 0)</f>
        <v>66.134</v>
      </c>
      <c r="I699" s="10">
        <f>66.1319 * CHOOSE(CONTROL!$C$9, $D$9, 100%, $F$9) + CHOOSE(CONTROL!$C$27, 0.0021, 0)</f>
        <v>66.134</v>
      </c>
      <c r="J699" s="10">
        <f>66.1319 * CHOOSE(CONTROL!$C$9, $D$9, 100%, $F$9) + CHOOSE(CONTROL!$C$27, 0.0021, 0)</f>
        <v>66.134</v>
      </c>
      <c r="K699" s="10">
        <f>66.1319 * CHOOSE(CONTROL!$C$9, $D$9, 100%, $F$9) + CHOOSE(CONTROL!$C$27, 0.0021, 0)</f>
        <v>66.134</v>
      </c>
      <c r="L699" s="10"/>
    </row>
    <row r="700" spans="1:12" ht="15.75" x14ac:dyDescent="0.25">
      <c r="A700" s="13">
        <v>62244</v>
      </c>
      <c r="B700" s="10">
        <f>67.9139 * CHOOSE(CONTROL!$C$9, $D$9, 100%, $F$9) + CHOOSE(CONTROL!$C$27, 0.0021, 0)</f>
        <v>67.915999999999997</v>
      </c>
      <c r="C700" s="10">
        <f>67.4816 * CHOOSE(CONTROL!$C$9, $D$9, 100%, $F$9) + CHOOSE(CONTROL!$C$27, 0.0021, 0)</f>
        <v>67.483699999999999</v>
      </c>
      <c r="D700" s="10">
        <f>67.4816 * CHOOSE(CONTROL!$C$9, $D$9, 100%, $F$9) + CHOOSE(CONTROL!$C$27, 0.0021, 0)</f>
        <v>67.483699999999999</v>
      </c>
      <c r="E700" s="10">
        <f>67.345 * CHOOSE(CONTROL!$C$9, $D$9, 100%, $F$9) + CHOOSE(CONTROL!$C$27, 0.0021, 0)</f>
        <v>67.347099999999998</v>
      </c>
      <c r="F700" s="10">
        <f>67.345 * CHOOSE(CONTROL!$C$9, $D$9, 100%, $F$9) + CHOOSE(CONTROL!$C$27, 0.0021, 0)</f>
        <v>67.347099999999998</v>
      </c>
      <c r="G700" s="10">
        <f>67.6163 * CHOOSE(CONTROL!$C$9, $D$9, 100%, $F$9) + CHOOSE(CONTROL!$C$27, 0.0021, 0)</f>
        <v>67.618399999999994</v>
      </c>
      <c r="H700" s="10">
        <f>67.4816 * CHOOSE(CONTROL!$C$9, $D$9, 100%, $F$9) + CHOOSE(CONTROL!$C$27, 0.0021, 0)</f>
        <v>67.483699999999999</v>
      </c>
      <c r="I700" s="10">
        <f>67.4816 * CHOOSE(CONTROL!$C$9, $D$9, 100%, $F$9) + CHOOSE(CONTROL!$C$27, 0.0021, 0)</f>
        <v>67.483699999999999</v>
      </c>
      <c r="J700" s="10">
        <f>67.4816 * CHOOSE(CONTROL!$C$9, $D$9, 100%, $F$9) + CHOOSE(CONTROL!$C$27, 0.0021, 0)</f>
        <v>67.483699999999999</v>
      </c>
      <c r="K700" s="10">
        <f>67.4816 * CHOOSE(CONTROL!$C$9, $D$9, 100%, $F$9) + CHOOSE(CONTROL!$C$27, 0.0021, 0)</f>
        <v>67.483699999999999</v>
      </c>
      <c r="L700" s="10"/>
    </row>
    <row r="701" spans="1:12" ht="15.75" x14ac:dyDescent="0.25">
      <c r="A701" s="13">
        <v>62274</v>
      </c>
      <c r="B701" s="10">
        <f>68.7223 * CHOOSE(CONTROL!$C$9, $D$9, 100%, $F$9) + CHOOSE(CONTROL!$C$27, 0.0021, 0)</f>
        <v>68.724400000000003</v>
      </c>
      <c r="C701" s="10">
        <f>68.2901 * CHOOSE(CONTROL!$C$9, $D$9, 100%, $F$9) + CHOOSE(CONTROL!$C$27, 0.0021, 0)</f>
        <v>68.292199999999994</v>
      </c>
      <c r="D701" s="10">
        <f>68.2901 * CHOOSE(CONTROL!$C$9, $D$9, 100%, $F$9) + CHOOSE(CONTROL!$C$27, 0.0021, 0)</f>
        <v>68.292199999999994</v>
      </c>
      <c r="E701" s="10">
        <f>68.1534 * CHOOSE(CONTROL!$C$9, $D$9, 100%, $F$9) + CHOOSE(CONTROL!$C$27, 0.0021, 0)</f>
        <v>68.155500000000004</v>
      </c>
      <c r="F701" s="10">
        <f>68.1534 * CHOOSE(CONTROL!$C$9, $D$9, 100%, $F$9) + CHOOSE(CONTROL!$C$27, 0.0021, 0)</f>
        <v>68.155500000000004</v>
      </c>
      <c r="G701" s="10">
        <f>68.4248 * CHOOSE(CONTROL!$C$9, $D$9, 100%, $F$9) + CHOOSE(CONTROL!$C$27, 0.0021, 0)</f>
        <v>68.426900000000003</v>
      </c>
      <c r="H701" s="10">
        <f>68.2901 * CHOOSE(CONTROL!$C$9, $D$9, 100%, $F$9) + CHOOSE(CONTROL!$C$27, 0.0021, 0)</f>
        <v>68.292199999999994</v>
      </c>
      <c r="I701" s="10">
        <f>68.2901 * CHOOSE(CONTROL!$C$9, $D$9, 100%, $F$9) + CHOOSE(CONTROL!$C$27, 0.0021, 0)</f>
        <v>68.292199999999994</v>
      </c>
      <c r="J701" s="10">
        <f>68.2901 * CHOOSE(CONTROL!$C$9, $D$9, 100%, $F$9) + CHOOSE(CONTROL!$C$27, 0.0021, 0)</f>
        <v>68.292199999999994</v>
      </c>
      <c r="K701" s="10">
        <f>68.2901 * CHOOSE(CONTROL!$C$9, $D$9, 100%, $F$9) + CHOOSE(CONTROL!$C$27, 0.0021, 0)</f>
        <v>68.292199999999994</v>
      </c>
      <c r="L701" s="10"/>
    </row>
    <row r="702" spans="1:12" ht="15.75" x14ac:dyDescent="0.25">
      <c r="A702" s="13">
        <v>62305</v>
      </c>
      <c r="B702" s="10">
        <f>70.0559 * CHOOSE(CONTROL!$C$9, $D$9, 100%, $F$9) + CHOOSE(CONTROL!$C$27, 0.0021, 0)</f>
        <v>70.057999999999993</v>
      </c>
      <c r="C702" s="10">
        <f>69.6237 * CHOOSE(CONTROL!$C$9, $D$9, 100%, $F$9) + CHOOSE(CONTROL!$C$27, 0.0021, 0)</f>
        <v>69.625799999999998</v>
      </c>
      <c r="D702" s="10">
        <f>69.6237 * CHOOSE(CONTROL!$C$9, $D$9, 100%, $F$9) + CHOOSE(CONTROL!$C$27, 0.0021, 0)</f>
        <v>69.625799999999998</v>
      </c>
      <c r="E702" s="10">
        <f>69.487 * CHOOSE(CONTROL!$C$9, $D$9, 100%, $F$9) + CHOOSE(CONTROL!$C$27, 0.0021, 0)</f>
        <v>69.489099999999993</v>
      </c>
      <c r="F702" s="10">
        <f>69.487 * CHOOSE(CONTROL!$C$9, $D$9, 100%, $F$9) + CHOOSE(CONTROL!$C$27, 0.0021, 0)</f>
        <v>69.489099999999993</v>
      </c>
      <c r="G702" s="10">
        <f>69.7584 * CHOOSE(CONTROL!$C$9, $D$9, 100%, $F$9) + CHOOSE(CONTROL!$C$27, 0.0021, 0)</f>
        <v>69.760499999999993</v>
      </c>
      <c r="H702" s="10">
        <f>69.6237 * CHOOSE(CONTROL!$C$9, $D$9, 100%, $F$9) + CHOOSE(CONTROL!$C$27, 0.0021, 0)</f>
        <v>69.625799999999998</v>
      </c>
      <c r="I702" s="10">
        <f>69.6237 * CHOOSE(CONTROL!$C$9, $D$9, 100%, $F$9) + CHOOSE(CONTROL!$C$27, 0.0021, 0)</f>
        <v>69.625799999999998</v>
      </c>
      <c r="J702" s="10">
        <f>69.6237 * CHOOSE(CONTROL!$C$9, $D$9, 100%, $F$9) + CHOOSE(CONTROL!$C$27, 0.0021, 0)</f>
        <v>69.625799999999998</v>
      </c>
      <c r="K702" s="10">
        <f>69.6237 * CHOOSE(CONTROL!$C$9, $D$9, 100%, $F$9) + CHOOSE(CONTROL!$C$27, 0.0021, 0)</f>
        <v>69.625799999999998</v>
      </c>
      <c r="L702" s="10"/>
    </row>
    <row r="703" spans="1:12" ht="15.75" x14ac:dyDescent="0.25">
      <c r="A703" s="13">
        <v>62336</v>
      </c>
      <c r="B703" s="10">
        <f>70.463 * CHOOSE(CONTROL!$C$9, $D$9, 100%, $F$9) + CHOOSE(CONTROL!$C$27, 0.0021, 0)</f>
        <v>70.465099999999993</v>
      </c>
      <c r="C703" s="10">
        <f>70.0307 * CHOOSE(CONTROL!$C$9, $D$9, 100%, $F$9) + CHOOSE(CONTROL!$C$27, 0.0021, 0)</f>
        <v>70.032799999999995</v>
      </c>
      <c r="D703" s="10">
        <f>70.0307 * CHOOSE(CONTROL!$C$9, $D$9, 100%, $F$9) + CHOOSE(CONTROL!$C$27, 0.0021, 0)</f>
        <v>70.032799999999995</v>
      </c>
      <c r="E703" s="10">
        <f>69.8941 * CHOOSE(CONTROL!$C$9, $D$9, 100%, $F$9) + CHOOSE(CONTROL!$C$27, 0.0021, 0)</f>
        <v>69.896199999999993</v>
      </c>
      <c r="F703" s="10">
        <f>69.8941 * CHOOSE(CONTROL!$C$9, $D$9, 100%, $F$9) + CHOOSE(CONTROL!$C$27, 0.0021, 0)</f>
        <v>69.896199999999993</v>
      </c>
      <c r="G703" s="10">
        <f>70.1655 * CHOOSE(CONTROL!$C$9, $D$9, 100%, $F$9) + CHOOSE(CONTROL!$C$27, 0.0021, 0)</f>
        <v>70.167599999999993</v>
      </c>
      <c r="H703" s="10">
        <f>70.0307 * CHOOSE(CONTROL!$C$9, $D$9, 100%, $F$9) + CHOOSE(CONTROL!$C$27, 0.0021, 0)</f>
        <v>70.032799999999995</v>
      </c>
      <c r="I703" s="10">
        <f>70.0307 * CHOOSE(CONTROL!$C$9, $D$9, 100%, $F$9) + CHOOSE(CONTROL!$C$27, 0.0021, 0)</f>
        <v>70.032799999999995</v>
      </c>
      <c r="J703" s="10">
        <f>70.0307 * CHOOSE(CONTROL!$C$9, $D$9, 100%, $F$9) + CHOOSE(CONTROL!$C$27, 0.0021, 0)</f>
        <v>70.032799999999995</v>
      </c>
      <c r="K703" s="10">
        <f>70.0307 * CHOOSE(CONTROL!$C$9, $D$9, 100%, $F$9) + CHOOSE(CONTROL!$C$27, 0.0021, 0)</f>
        <v>70.032799999999995</v>
      </c>
      <c r="L703" s="10"/>
    </row>
    <row r="704" spans="1:12" ht="15.75" x14ac:dyDescent="0.25">
      <c r="A704" s="13">
        <v>62366</v>
      </c>
      <c r="B704" s="10">
        <f>71.8492 * CHOOSE(CONTROL!$C$9, $D$9, 100%, $F$9) + CHOOSE(CONTROL!$C$27, 0.0021, 0)</f>
        <v>71.851299999999995</v>
      </c>
      <c r="C704" s="10">
        <f>71.417 * CHOOSE(CONTROL!$C$9, $D$9, 100%, $F$9) + CHOOSE(CONTROL!$C$27, 0.0021, 0)</f>
        <v>71.4191</v>
      </c>
      <c r="D704" s="10">
        <f>71.417 * CHOOSE(CONTROL!$C$9, $D$9, 100%, $F$9) + CHOOSE(CONTROL!$C$27, 0.0021, 0)</f>
        <v>71.4191</v>
      </c>
      <c r="E704" s="10">
        <f>71.2803 * CHOOSE(CONTROL!$C$9, $D$9, 100%, $F$9) + CHOOSE(CONTROL!$C$27, 0.0021, 0)</f>
        <v>71.282399999999996</v>
      </c>
      <c r="F704" s="10">
        <f>71.2803 * CHOOSE(CONTROL!$C$9, $D$9, 100%, $F$9) + CHOOSE(CONTROL!$C$27, 0.0021, 0)</f>
        <v>71.282399999999996</v>
      </c>
      <c r="G704" s="10">
        <f>71.5517 * CHOOSE(CONTROL!$C$9, $D$9, 100%, $F$9) + CHOOSE(CONTROL!$C$27, 0.0021, 0)</f>
        <v>71.553799999999995</v>
      </c>
      <c r="H704" s="10">
        <f>71.417 * CHOOSE(CONTROL!$C$9, $D$9, 100%, $F$9) + CHOOSE(CONTROL!$C$27, 0.0021, 0)</f>
        <v>71.4191</v>
      </c>
      <c r="I704" s="10">
        <f>71.417 * CHOOSE(CONTROL!$C$9, $D$9, 100%, $F$9) + CHOOSE(CONTROL!$C$27, 0.0021, 0)</f>
        <v>71.4191</v>
      </c>
      <c r="J704" s="10">
        <f>71.417 * CHOOSE(CONTROL!$C$9, $D$9, 100%, $F$9) + CHOOSE(CONTROL!$C$27, 0.0021, 0)</f>
        <v>71.4191</v>
      </c>
      <c r="K704" s="10">
        <f>71.417 * CHOOSE(CONTROL!$C$9, $D$9, 100%, $F$9) + CHOOSE(CONTROL!$C$27, 0.0021, 0)</f>
        <v>71.4191</v>
      </c>
      <c r="L704" s="10"/>
    </row>
    <row r="705" spans="1:12" ht="15.75" x14ac:dyDescent="0.25">
      <c r="A705" s="13">
        <v>62397</v>
      </c>
      <c r="B705" s="10">
        <f>73.604 * CHOOSE(CONTROL!$C$9, $D$9, 100%, $F$9) + CHOOSE(CONTROL!$C$27, 0.0021, 0)</f>
        <v>73.606099999999998</v>
      </c>
      <c r="C705" s="10">
        <f>73.1717 * CHOOSE(CONTROL!$C$9, $D$9, 100%, $F$9) + CHOOSE(CONTROL!$C$27, 0.0021, 0)</f>
        <v>73.1738</v>
      </c>
      <c r="D705" s="10">
        <f>73.1717 * CHOOSE(CONTROL!$C$9, $D$9, 100%, $F$9) + CHOOSE(CONTROL!$C$27, 0.0021, 0)</f>
        <v>73.1738</v>
      </c>
      <c r="E705" s="10">
        <f>73.0351 * CHOOSE(CONTROL!$C$9, $D$9, 100%, $F$9) + CHOOSE(CONTROL!$C$27, 0.0021, 0)</f>
        <v>73.037199999999999</v>
      </c>
      <c r="F705" s="10">
        <f>73.0351 * CHOOSE(CONTROL!$C$9, $D$9, 100%, $F$9) + CHOOSE(CONTROL!$C$27, 0.0021, 0)</f>
        <v>73.037199999999999</v>
      </c>
      <c r="G705" s="10">
        <f>73.3065 * CHOOSE(CONTROL!$C$9, $D$9, 100%, $F$9) + CHOOSE(CONTROL!$C$27, 0.0021, 0)</f>
        <v>73.308599999999998</v>
      </c>
      <c r="H705" s="10">
        <f>73.1717 * CHOOSE(CONTROL!$C$9, $D$9, 100%, $F$9) + CHOOSE(CONTROL!$C$27, 0.0021, 0)</f>
        <v>73.1738</v>
      </c>
      <c r="I705" s="10">
        <f>73.1717 * CHOOSE(CONTROL!$C$9, $D$9, 100%, $F$9) + CHOOSE(CONTROL!$C$27, 0.0021, 0)</f>
        <v>73.1738</v>
      </c>
      <c r="J705" s="10">
        <f>73.1717 * CHOOSE(CONTROL!$C$9, $D$9, 100%, $F$9) + CHOOSE(CONTROL!$C$27, 0.0021, 0)</f>
        <v>73.1738</v>
      </c>
      <c r="K705" s="10">
        <f>73.1717 * CHOOSE(CONTROL!$C$9, $D$9, 100%, $F$9) + CHOOSE(CONTROL!$C$27, 0.0021, 0)</f>
        <v>73.1738</v>
      </c>
      <c r="L705" s="10"/>
    </row>
    <row r="706" spans="1:12" ht="15.75" x14ac:dyDescent="0.25">
      <c r="A706" s="13">
        <v>62427</v>
      </c>
      <c r="B706" s="10">
        <f>73.7687 * CHOOSE(CONTROL!$C$9, $D$9, 100%, $F$9) + CHOOSE(CONTROL!$C$27, 0.0021, 0)</f>
        <v>73.770799999999994</v>
      </c>
      <c r="C706" s="10">
        <f>73.3365 * CHOOSE(CONTROL!$C$9, $D$9, 100%, $F$9) + CHOOSE(CONTROL!$C$27, 0.0021, 0)</f>
        <v>73.3386</v>
      </c>
      <c r="D706" s="10">
        <f>73.3365 * CHOOSE(CONTROL!$C$9, $D$9, 100%, $F$9) + CHOOSE(CONTROL!$C$27, 0.0021, 0)</f>
        <v>73.3386</v>
      </c>
      <c r="E706" s="10">
        <f>73.1998 * CHOOSE(CONTROL!$C$9, $D$9, 100%, $F$9) + CHOOSE(CONTROL!$C$27, 0.0021, 0)</f>
        <v>73.201899999999995</v>
      </c>
      <c r="F706" s="10">
        <f>73.1998 * CHOOSE(CONTROL!$C$9, $D$9, 100%, $F$9) + CHOOSE(CONTROL!$C$27, 0.0021, 0)</f>
        <v>73.201899999999995</v>
      </c>
      <c r="G706" s="10">
        <f>73.4712 * CHOOSE(CONTROL!$C$9, $D$9, 100%, $F$9) + CHOOSE(CONTROL!$C$27, 0.0021, 0)</f>
        <v>73.473299999999995</v>
      </c>
      <c r="H706" s="10">
        <f>73.3365 * CHOOSE(CONTROL!$C$9, $D$9, 100%, $F$9) + CHOOSE(CONTROL!$C$27, 0.0021, 0)</f>
        <v>73.3386</v>
      </c>
      <c r="I706" s="10">
        <f>73.3365 * CHOOSE(CONTROL!$C$9, $D$9, 100%, $F$9) + CHOOSE(CONTROL!$C$27, 0.0021, 0)</f>
        <v>73.3386</v>
      </c>
      <c r="J706" s="10">
        <f>73.3365 * CHOOSE(CONTROL!$C$9, $D$9, 100%, $F$9) + CHOOSE(CONTROL!$C$27, 0.0021, 0)</f>
        <v>73.3386</v>
      </c>
      <c r="K706" s="10">
        <f>73.3365 * CHOOSE(CONTROL!$C$9, $D$9, 100%, $F$9) + CHOOSE(CONTROL!$C$27, 0.0021, 0)</f>
        <v>73.3386</v>
      </c>
      <c r="L706" s="10"/>
    </row>
    <row r="707" spans="1:12" ht="15.75" x14ac:dyDescent="0.25">
      <c r="A707" s="13">
        <v>62458</v>
      </c>
      <c r="B707" s="10">
        <f>72.3672 * CHOOSE(CONTROL!$C$9, $D$9, 100%, $F$9) + CHOOSE(CONTROL!$C$27, 0.0021, 0)</f>
        <v>72.369299999999996</v>
      </c>
      <c r="C707" s="10">
        <f>71.935 * CHOOSE(CONTROL!$C$9, $D$9, 100%, $F$9) + CHOOSE(CONTROL!$C$27, 0.0021, 0)</f>
        <v>71.937100000000001</v>
      </c>
      <c r="D707" s="10">
        <f>71.935 * CHOOSE(CONTROL!$C$9, $D$9, 100%, $F$9) + CHOOSE(CONTROL!$C$27, 0.0021, 0)</f>
        <v>71.937100000000001</v>
      </c>
      <c r="E707" s="10">
        <f>71.7983 * CHOOSE(CONTROL!$C$9, $D$9, 100%, $F$9) + CHOOSE(CONTROL!$C$27, 0.0021, 0)</f>
        <v>71.800399999999996</v>
      </c>
      <c r="F707" s="10">
        <f>71.7983 * CHOOSE(CONTROL!$C$9, $D$9, 100%, $F$9) + CHOOSE(CONTROL!$C$27, 0.0021, 0)</f>
        <v>71.800399999999996</v>
      </c>
      <c r="G707" s="10">
        <f>72.0697 * CHOOSE(CONTROL!$C$9, $D$9, 100%, $F$9) + CHOOSE(CONTROL!$C$27, 0.0021, 0)</f>
        <v>72.071799999999996</v>
      </c>
      <c r="H707" s="10">
        <f>71.935 * CHOOSE(CONTROL!$C$9, $D$9, 100%, $F$9) + CHOOSE(CONTROL!$C$27, 0.0021, 0)</f>
        <v>71.937100000000001</v>
      </c>
      <c r="I707" s="10">
        <f>71.935 * CHOOSE(CONTROL!$C$9, $D$9, 100%, $F$9) + CHOOSE(CONTROL!$C$27, 0.0021, 0)</f>
        <v>71.937100000000001</v>
      </c>
      <c r="J707" s="10">
        <f>71.935 * CHOOSE(CONTROL!$C$9, $D$9, 100%, $F$9) + CHOOSE(CONTROL!$C$27, 0.0021, 0)</f>
        <v>71.937100000000001</v>
      </c>
      <c r="K707" s="10">
        <f>71.935 * CHOOSE(CONTROL!$C$9, $D$9, 100%, $F$9) + CHOOSE(CONTROL!$C$27, 0.0021, 0)</f>
        <v>71.937100000000001</v>
      </c>
      <c r="L707" s="10"/>
    </row>
    <row r="708" spans="1:12" ht="15.75" x14ac:dyDescent="0.25">
      <c r="A708" s="13">
        <v>62489</v>
      </c>
      <c r="B708" s="10">
        <f>71.4491 * CHOOSE(CONTROL!$C$9, $D$9, 100%, $F$9) + CHOOSE(CONTROL!$C$27, 0.0021, 0)</f>
        <v>71.4512</v>
      </c>
      <c r="C708" s="10">
        <f>71.0169 * CHOOSE(CONTROL!$C$9, $D$9, 100%, $F$9) + CHOOSE(CONTROL!$C$27, 0.0021, 0)</f>
        <v>71.019000000000005</v>
      </c>
      <c r="D708" s="10">
        <f>71.0169 * CHOOSE(CONTROL!$C$9, $D$9, 100%, $F$9) + CHOOSE(CONTROL!$C$27, 0.0021, 0)</f>
        <v>71.019000000000005</v>
      </c>
      <c r="E708" s="10">
        <f>70.8802 * CHOOSE(CONTROL!$C$9, $D$9, 100%, $F$9) + CHOOSE(CONTROL!$C$27, 0.0021, 0)</f>
        <v>70.882300000000001</v>
      </c>
      <c r="F708" s="10">
        <f>70.8802 * CHOOSE(CONTROL!$C$9, $D$9, 100%, $F$9) + CHOOSE(CONTROL!$C$27, 0.0021, 0)</f>
        <v>70.882300000000001</v>
      </c>
      <c r="G708" s="10">
        <f>71.1516 * CHOOSE(CONTROL!$C$9, $D$9, 100%, $F$9) + CHOOSE(CONTROL!$C$27, 0.0021, 0)</f>
        <v>71.153700000000001</v>
      </c>
      <c r="H708" s="10">
        <f>71.0169 * CHOOSE(CONTROL!$C$9, $D$9, 100%, $F$9) + CHOOSE(CONTROL!$C$27, 0.0021, 0)</f>
        <v>71.019000000000005</v>
      </c>
      <c r="I708" s="10">
        <f>71.0169 * CHOOSE(CONTROL!$C$9, $D$9, 100%, $F$9) + CHOOSE(CONTROL!$C$27, 0.0021, 0)</f>
        <v>71.019000000000005</v>
      </c>
      <c r="J708" s="10">
        <f>71.0169 * CHOOSE(CONTROL!$C$9, $D$9, 100%, $F$9) + CHOOSE(CONTROL!$C$27, 0.0021, 0)</f>
        <v>71.019000000000005</v>
      </c>
      <c r="K708" s="10">
        <f>71.0169 * CHOOSE(CONTROL!$C$9, $D$9, 100%, $F$9) + CHOOSE(CONTROL!$C$27, 0.0021, 0)</f>
        <v>71.019000000000005</v>
      </c>
      <c r="L708" s="10"/>
    </row>
    <row r="709" spans="1:12" ht="15.75" x14ac:dyDescent="0.25">
      <c r="A709" s="13">
        <v>62517</v>
      </c>
      <c r="B709" s="10">
        <f>69.493 * CHOOSE(CONTROL!$C$9, $D$9, 100%, $F$9) + CHOOSE(CONTROL!$C$27, 0.0021, 0)</f>
        <v>69.495099999999994</v>
      </c>
      <c r="C709" s="10">
        <f>69.0607 * CHOOSE(CONTROL!$C$9, $D$9, 100%, $F$9) + CHOOSE(CONTROL!$C$27, 0.0021, 0)</f>
        <v>69.062799999999996</v>
      </c>
      <c r="D709" s="10">
        <f>69.0607 * CHOOSE(CONTROL!$C$9, $D$9, 100%, $F$9) + CHOOSE(CONTROL!$C$27, 0.0021, 0)</f>
        <v>69.062799999999996</v>
      </c>
      <c r="E709" s="10">
        <f>68.9241 * CHOOSE(CONTROL!$C$9, $D$9, 100%, $F$9) + CHOOSE(CONTROL!$C$27, 0.0021, 0)</f>
        <v>68.926199999999994</v>
      </c>
      <c r="F709" s="10">
        <f>68.9241 * CHOOSE(CONTROL!$C$9, $D$9, 100%, $F$9) + CHOOSE(CONTROL!$C$27, 0.0021, 0)</f>
        <v>68.926199999999994</v>
      </c>
      <c r="G709" s="10">
        <f>69.1954 * CHOOSE(CONTROL!$C$9, $D$9, 100%, $F$9) + CHOOSE(CONTROL!$C$27, 0.0021, 0)</f>
        <v>69.197500000000005</v>
      </c>
      <c r="H709" s="10">
        <f>69.0607 * CHOOSE(CONTROL!$C$9, $D$9, 100%, $F$9) + CHOOSE(CONTROL!$C$27, 0.0021, 0)</f>
        <v>69.062799999999996</v>
      </c>
      <c r="I709" s="10">
        <f>69.0607 * CHOOSE(CONTROL!$C$9, $D$9, 100%, $F$9) + CHOOSE(CONTROL!$C$27, 0.0021, 0)</f>
        <v>69.062799999999996</v>
      </c>
      <c r="J709" s="10">
        <f>69.0607 * CHOOSE(CONTROL!$C$9, $D$9, 100%, $F$9) + CHOOSE(CONTROL!$C$27, 0.0021, 0)</f>
        <v>69.062799999999996</v>
      </c>
      <c r="K709" s="10">
        <f>69.0607 * CHOOSE(CONTROL!$C$9, $D$9, 100%, $F$9) + CHOOSE(CONTROL!$C$27, 0.0021, 0)</f>
        <v>69.062799999999996</v>
      </c>
      <c r="L709" s="10"/>
    </row>
    <row r="710" spans="1:12" ht="15.75" x14ac:dyDescent="0.25">
      <c r="A710" s="13">
        <v>62548</v>
      </c>
      <c r="B710" s="10">
        <f>68.6855 * CHOOSE(CONTROL!$C$9, $D$9, 100%, $F$9) + CHOOSE(CONTROL!$C$27, 0.0021, 0)</f>
        <v>68.687600000000003</v>
      </c>
      <c r="C710" s="10">
        <f>68.2532 * CHOOSE(CONTROL!$C$9, $D$9, 100%, $F$9) + CHOOSE(CONTROL!$C$27, 0.0021, 0)</f>
        <v>68.255300000000005</v>
      </c>
      <c r="D710" s="10">
        <f>68.2532 * CHOOSE(CONTROL!$C$9, $D$9, 100%, $F$9) + CHOOSE(CONTROL!$C$27, 0.0021, 0)</f>
        <v>68.255300000000005</v>
      </c>
      <c r="E710" s="10">
        <f>68.1166 * CHOOSE(CONTROL!$C$9, $D$9, 100%, $F$9) + CHOOSE(CONTROL!$C$27, 0.0021, 0)</f>
        <v>68.118700000000004</v>
      </c>
      <c r="F710" s="10">
        <f>68.1166 * CHOOSE(CONTROL!$C$9, $D$9, 100%, $F$9) + CHOOSE(CONTROL!$C$27, 0.0021, 0)</f>
        <v>68.118700000000004</v>
      </c>
      <c r="G710" s="10">
        <f>68.388 * CHOOSE(CONTROL!$C$9, $D$9, 100%, $F$9) + CHOOSE(CONTROL!$C$27, 0.0021, 0)</f>
        <v>68.390100000000004</v>
      </c>
      <c r="H710" s="10">
        <f>68.2532 * CHOOSE(CONTROL!$C$9, $D$9, 100%, $F$9) + CHOOSE(CONTROL!$C$27, 0.0021, 0)</f>
        <v>68.255300000000005</v>
      </c>
      <c r="I710" s="10">
        <f>68.2532 * CHOOSE(CONTROL!$C$9, $D$9, 100%, $F$9) + CHOOSE(CONTROL!$C$27, 0.0021, 0)</f>
        <v>68.255300000000005</v>
      </c>
      <c r="J710" s="10">
        <f>68.2532 * CHOOSE(CONTROL!$C$9, $D$9, 100%, $F$9) + CHOOSE(CONTROL!$C$27, 0.0021, 0)</f>
        <v>68.255300000000005</v>
      </c>
      <c r="K710" s="10">
        <f>68.2532 * CHOOSE(CONTROL!$C$9, $D$9, 100%, $F$9) + CHOOSE(CONTROL!$C$27, 0.0021, 0)</f>
        <v>68.255300000000005</v>
      </c>
      <c r="L710" s="10"/>
    </row>
    <row r="711" spans="1:12" ht="15.75" x14ac:dyDescent="0.25">
      <c r="A711" s="13">
        <v>62578</v>
      </c>
      <c r="B711" s="10">
        <f>67.7213 * CHOOSE(CONTROL!$C$9, $D$9, 100%, $F$9) + CHOOSE(CONTROL!$C$27, 0.0021, 0)</f>
        <v>67.723399999999998</v>
      </c>
      <c r="C711" s="10">
        <f>67.2891 * CHOOSE(CONTROL!$C$9, $D$9, 100%, $F$9) + CHOOSE(CONTROL!$C$27, 0.0021, 0)</f>
        <v>67.291200000000003</v>
      </c>
      <c r="D711" s="10">
        <f>67.2891 * CHOOSE(CONTROL!$C$9, $D$9, 100%, $F$9) + CHOOSE(CONTROL!$C$27, 0.0021, 0)</f>
        <v>67.291200000000003</v>
      </c>
      <c r="E711" s="10">
        <f>67.1524 * CHOOSE(CONTROL!$C$9, $D$9, 100%, $F$9) + CHOOSE(CONTROL!$C$27, 0.0021, 0)</f>
        <v>67.154499999999999</v>
      </c>
      <c r="F711" s="10">
        <f>67.1524 * CHOOSE(CONTROL!$C$9, $D$9, 100%, $F$9) + CHOOSE(CONTROL!$C$27, 0.0021, 0)</f>
        <v>67.154499999999999</v>
      </c>
      <c r="G711" s="10">
        <f>67.4238 * CHOOSE(CONTROL!$C$9, $D$9, 100%, $F$9) + CHOOSE(CONTROL!$C$27, 0.0021, 0)</f>
        <v>67.425899999999999</v>
      </c>
      <c r="H711" s="10">
        <f>67.2891 * CHOOSE(CONTROL!$C$9, $D$9, 100%, $F$9) + CHOOSE(CONTROL!$C$27, 0.0021, 0)</f>
        <v>67.291200000000003</v>
      </c>
      <c r="I711" s="10">
        <f>67.2891 * CHOOSE(CONTROL!$C$9, $D$9, 100%, $F$9) + CHOOSE(CONTROL!$C$27, 0.0021, 0)</f>
        <v>67.291200000000003</v>
      </c>
      <c r="J711" s="10">
        <f>67.2891 * CHOOSE(CONTROL!$C$9, $D$9, 100%, $F$9) + CHOOSE(CONTROL!$C$27, 0.0021, 0)</f>
        <v>67.291200000000003</v>
      </c>
      <c r="K711" s="10">
        <f>67.2891 * CHOOSE(CONTROL!$C$9, $D$9, 100%, $F$9) + CHOOSE(CONTROL!$C$27, 0.0021, 0)</f>
        <v>67.291200000000003</v>
      </c>
      <c r="L711" s="10"/>
    </row>
    <row r="712" spans="1:12" ht="15.75" x14ac:dyDescent="0.25">
      <c r="A712" s="13">
        <v>62609</v>
      </c>
      <c r="B712" s="10">
        <f>69.0954 * CHOOSE(CONTROL!$C$9, $D$9, 100%, $F$9) + CHOOSE(CONTROL!$C$27, 0.0021, 0)</f>
        <v>69.097499999999997</v>
      </c>
      <c r="C712" s="10">
        <f>68.6631 * CHOOSE(CONTROL!$C$9, $D$9, 100%, $F$9) + CHOOSE(CONTROL!$C$27, 0.0021, 0)</f>
        <v>68.665199999999999</v>
      </c>
      <c r="D712" s="10">
        <f>68.6631 * CHOOSE(CONTROL!$C$9, $D$9, 100%, $F$9) + CHOOSE(CONTROL!$C$27, 0.0021, 0)</f>
        <v>68.665199999999999</v>
      </c>
      <c r="E712" s="10">
        <f>68.5265 * CHOOSE(CONTROL!$C$9, $D$9, 100%, $F$9) + CHOOSE(CONTROL!$C$27, 0.0021, 0)</f>
        <v>68.528599999999997</v>
      </c>
      <c r="F712" s="10">
        <f>68.5265 * CHOOSE(CONTROL!$C$9, $D$9, 100%, $F$9) + CHOOSE(CONTROL!$C$27, 0.0021, 0)</f>
        <v>68.528599999999997</v>
      </c>
      <c r="G712" s="10">
        <f>68.7978 * CHOOSE(CONTROL!$C$9, $D$9, 100%, $F$9) + CHOOSE(CONTROL!$C$27, 0.0021, 0)</f>
        <v>68.799899999999994</v>
      </c>
      <c r="H712" s="10">
        <f>68.6631 * CHOOSE(CONTROL!$C$9, $D$9, 100%, $F$9) + CHOOSE(CONTROL!$C$27, 0.0021, 0)</f>
        <v>68.665199999999999</v>
      </c>
      <c r="I712" s="10">
        <f>68.6631 * CHOOSE(CONTROL!$C$9, $D$9, 100%, $F$9) + CHOOSE(CONTROL!$C$27, 0.0021, 0)</f>
        <v>68.665199999999999</v>
      </c>
      <c r="J712" s="10">
        <f>68.6631 * CHOOSE(CONTROL!$C$9, $D$9, 100%, $F$9) + CHOOSE(CONTROL!$C$27, 0.0021, 0)</f>
        <v>68.665199999999999</v>
      </c>
      <c r="K712" s="10">
        <f>68.6631 * CHOOSE(CONTROL!$C$9, $D$9, 100%, $F$9) + CHOOSE(CONTROL!$C$27, 0.0021, 0)</f>
        <v>68.665199999999999</v>
      </c>
      <c r="L712" s="10"/>
    </row>
    <row r="713" spans="1:12" ht="15.75" x14ac:dyDescent="0.25">
      <c r="A713" s="13">
        <v>62639</v>
      </c>
      <c r="B713" s="10">
        <f>69.9184 * CHOOSE(CONTROL!$C$9, $D$9, 100%, $F$9) + CHOOSE(CONTROL!$C$27, 0.0021, 0)</f>
        <v>69.920500000000004</v>
      </c>
      <c r="C713" s="10">
        <f>69.4861 * CHOOSE(CONTROL!$C$9, $D$9, 100%, $F$9) + CHOOSE(CONTROL!$C$27, 0.0021, 0)</f>
        <v>69.488199999999992</v>
      </c>
      <c r="D713" s="10">
        <f>69.4861 * CHOOSE(CONTROL!$C$9, $D$9, 100%, $F$9) + CHOOSE(CONTROL!$C$27, 0.0021, 0)</f>
        <v>69.488199999999992</v>
      </c>
      <c r="E713" s="10">
        <f>69.3495 * CHOOSE(CONTROL!$C$9, $D$9, 100%, $F$9) + CHOOSE(CONTROL!$C$27, 0.0021, 0)</f>
        <v>69.351600000000005</v>
      </c>
      <c r="F713" s="10">
        <f>69.3495 * CHOOSE(CONTROL!$C$9, $D$9, 100%, $F$9) + CHOOSE(CONTROL!$C$27, 0.0021, 0)</f>
        <v>69.351600000000005</v>
      </c>
      <c r="G713" s="10">
        <f>69.6208 * CHOOSE(CONTROL!$C$9, $D$9, 100%, $F$9) + CHOOSE(CONTROL!$C$27, 0.0021, 0)</f>
        <v>69.622900000000001</v>
      </c>
      <c r="H713" s="10">
        <f>69.4861 * CHOOSE(CONTROL!$C$9, $D$9, 100%, $F$9) + CHOOSE(CONTROL!$C$27, 0.0021, 0)</f>
        <v>69.488199999999992</v>
      </c>
      <c r="I713" s="10">
        <f>69.4861 * CHOOSE(CONTROL!$C$9, $D$9, 100%, $F$9) + CHOOSE(CONTROL!$C$27, 0.0021, 0)</f>
        <v>69.488199999999992</v>
      </c>
      <c r="J713" s="10">
        <f>69.4861 * CHOOSE(CONTROL!$C$9, $D$9, 100%, $F$9) + CHOOSE(CONTROL!$C$27, 0.0021, 0)</f>
        <v>69.488199999999992</v>
      </c>
      <c r="K713" s="10">
        <f>69.4861 * CHOOSE(CONTROL!$C$9, $D$9, 100%, $F$9) + CHOOSE(CONTROL!$C$27, 0.0021, 0)</f>
        <v>69.488199999999992</v>
      </c>
      <c r="L713" s="10"/>
    </row>
    <row r="714" spans="1:12" ht="15.75" x14ac:dyDescent="0.25">
      <c r="A714" s="13">
        <v>62670</v>
      </c>
      <c r="B714" s="10">
        <f>71.276 * CHOOSE(CONTROL!$C$9, $D$9, 100%, $F$9) + CHOOSE(CONTROL!$C$27, 0.0021, 0)</f>
        <v>71.278099999999995</v>
      </c>
      <c r="C714" s="10">
        <f>70.8438 * CHOOSE(CONTROL!$C$9, $D$9, 100%, $F$9) + CHOOSE(CONTROL!$C$27, 0.0021, 0)</f>
        <v>70.8459</v>
      </c>
      <c r="D714" s="10">
        <f>70.8438 * CHOOSE(CONTROL!$C$9, $D$9, 100%, $F$9) + CHOOSE(CONTROL!$C$27, 0.0021, 0)</f>
        <v>70.8459</v>
      </c>
      <c r="E714" s="10">
        <f>70.7071 * CHOOSE(CONTROL!$C$9, $D$9, 100%, $F$9) + CHOOSE(CONTROL!$C$27, 0.0021, 0)</f>
        <v>70.709199999999996</v>
      </c>
      <c r="F714" s="10">
        <f>70.7071 * CHOOSE(CONTROL!$C$9, $D$9, 100%, $F$9) + CHOOSE(CONTROL!$C$27, 0.0021, 0)</f>
        <v>70.709199999999996</v>
      </c>
      <c r="G714" s="10">
        <f>70.9785 * CHOOSE(CONTROL!$C$9, $D$9, 100%, $F$9) + CHOOSE(CONTROL!$C$27, 0.0021, 0)</f>
        <v>70.980599999999995</v>
      </c>
      <c r="H714" s="10">
        <f>70.8438 * CHOOSE(CONTROL!$C$9, $D$9, 100%, $F$9) + CHOOSE(CONTROL!$C$27, 0.0021, 0)</f>
        <v>70.8459</v>
      </c>
      <c r="I714" s="10">
        <f>70.8438 * CHOOSE(CONTROL!$C$9, $D$9, 100%, $F$9) + CHOOSE(CONTROL!$C$27, 0.0021, 0)</f>
        <v>70.8459</v>
      </c>
      <c r="J714" s="10">
        <f>70.8438 * CHOOSE(CONTROL!$C$9, $D$9, 100%, $F$9) + CHOOSE(CONTROL!$C$27, 0.0021, 0)</f>
        <v>70.8459</v>
      </c>
      <c r="K714" s="10">
        <f>70.8438 * CHOOSE(CONTROL!$C$9, $D$9, 100%, $F$9) + CHOOSE(CONTROL!$C$27, 0.0021, 0)</f>
        <v>70.8459</v>
      </c>
      <c r="L714" s="10"/>
    </row>
    <row r="715" spans="1:12" ht="15.75" x14ac:dyDescent="0.25">
      <c r="A715" s="13">
        <v>62701</v>
      </c>
      <c r="B715" s="10">
        <f>71.6904 * CHOOSE(CONTROL!$C$9, $D$9, 100%, $F$9) + CHOOSE(CONTROL!$C$27, 0.0021, 0)</f>
        <v>71.692499999999995</v>
      </c>
      <c r="C715" s="10">
        <f>71.2581 * CHOOSE(CONTROL!$C$9, $D$9, 100%, $F$9) + CHOOSE(CONTROL!$C$27, 0.0021, 0)</f>
        <v>71.260199999999998</v>
      </c>
      <c r="D715" s="10">
        <f>71.2581 * CHOOSE(CONTROL!$C$9, $D$9, 100%, $F$9) + CHOOSE(CONTROL!$C$27, 0.0021, 0)</f>
        <v>71.260199999999998</v>
      </c>
      <c r="E715" s="10">
        <f>71.1215 * CHOOSE(CONTROL!$C$9, $D$9, 100%, $F$9) + CHOOSE(CONTROL!$C$27, 0.0021, 0)</f>
        <v>71.123599999999996</v>
      </c>
      <c r="F715" s="10">
        <f>71.1215 * CHOOSE(CONTROL!$C$9, $D$9, 100%, $F$9) + CHOOSE(CONTROL!$C$27, 0.0021, 0)</f>
        <v>71.123599999999996</v>
      </c>
      <c r="G715" s="10">
        <f>71.3929 * CHOOSE(CONTROL!$C$9, $D$9, 100%, $F$9) + CHOOSE(CONTROL!$C$27, 0.0021, 0)</f>
        <v>71.394999999999996</v>
      </c>
      <c r="H715" s="10">
        <f>71.2581 * CHOOSE(CONTROL!$C$9, $D$9, 100%, $F$9) + CHOOSE(CONTROL!$C$27, 0.0021, 0)</f>
        <v>71.260199999999998</v>
      </c>
      <c r="I715" s="10">
        <f>71.2581 * CHOOSE(CONTROL!$C$9, $D$9, 100%, $F$9) + CHOOSE(CONTROL!$C$27, 0.0021, 0)</f>
        <v>71.260199999999998</v>
      </c>
      <c r="J715" s="10">
        <f>71.2581 * CHOOSE(CONTROL!$C$9, $D$9, 100%, $F$9) + CHOOSE(CONTROL!$C$27, 0.0021, 0)</f>
        <v>71.260199999999998</v>
      </c>
      <c r="K715" s="10">
        <f>71.2581 * CHOOSE(CONTROL!$C$9, $D$9, 100%, $F$9) + CHOOSE(CONTROL!$C$27, 0.0021, 0)</f>
        <v>71.260199999999998</v>
      </c>
      <c r="L715" s="10"/>
    </row>
    <row r="716" spans="1:12" ht="15.75" x14ac:dyDescent="0.25">
      <c r="A716" s="13">
        <v>62731</v>
      </c>
      <c r="B716" s="10">
        <f>73.1016 * CHOOSE(CONTROL!$C$9, $D$9, 100%, $F$9) + CHOOSE(CONTROL!$C$27, 0.0021, 0)</f>
        <v>73.103700000000003</v>
      </c>
      <c r="C716" s="10">
        <f>72.6694 * CHOOSE(CONTROL!$C$9, $D$9, 100%, $F$9) + CHOOSE(CONTROL!$C$27, 0.0021, 0)</f>
        <v>72.671499999999995</v>
      </c>
      <c r="D716" s="10">
        <f>72.6694 * CHOOSE(CONTROL!$C$9, $D$9, 100%, $F$9) + CHOOSE(CONTROL!$C$27, 0.0021, 0)</f>
        <v>72.671499999999995</v>
      </c>
      <c r="E716" s="10">
        <f>72.5327 * CHOOSE(CONTROL!$C$9, $D$9, 100%, $F$9) + CHOOSE(CONTROL!$C$27, 0.0021, 0)</f>
        <v>72.534800000000004</v>
      </c>
      <c r="F716" s="10">
        <f>72.5327 * CHOOSE(CONTROL!$C$9, $D$9, 100%, $F$9) + CHOOSE(CONTROL!$C$27, 0.0021, 0)</f>
        <v>72.534800000000004</v>
      </c>
      <c r="G716" s="10">
        <f>72.8041 * CHOOSE(CONTROL!$C$9, $D$9, 100%, $F$9) + CHOOSE(CONTROL!$C$27, 0.0021, 0)</f>
        <v>72.806200000000004</v>
      </c>
      <c r="H716" s="10">
        <f>72.6694 * CHOOSE(CONTROL!$C$9, $D$9, 100%, $F$9) + CHOOSE(CONTROL!$C$27, 0.0021, 0)</f>
        <v>72.671499999999995</v>
      </c>
      <c r="I716" s="10">
        <f>72.6694 * CHOOSE(CONTROL!$C$9, $D$9, 100%, $F$9) + CHOOSE(CONTROL!$C$27, 0.0021, 0)</f>
        <v>72.671499999999995</v>
      </c>
      <c r="J716" s="10">
        <f>72.6694 * CHOOSE(CONTROL!$C$9, $D$9, 100%, $F$9) + CHOOSE(CONTROL!$C$27, 0.0021, 0)</f>
        <v>72.671499999999995</v>
      </c>
      <c r="K716" s="10">
        <f>72.6694 * CHOOSE(CONTROL!$C$9, $D$9, 100%, $F$9) + CHOOSE(CONTROL!$C$27, 0.0021, 0)</f>
        <v>72.671499999999995</v>
      </c>
      <c r="L716" s="10"/>
    </row>
    <row r="717" spans="1:12" ht="15.75" x14ac:dyDescent="0.25">
      <c r="A717" s="13">
        <v>62762</v>
      </c>
      <c r="B717" s="10">
        <f>74.8879 * CHOOSE(CONTROL!$C$9, $D$9, 100%, $F$9) + CHOOSE(CONTROL!$C$27, 0.0021, 0)</f>
        <v>74.89</v>
      </c>
      <c r="C717" s="10">
        <f>74.4557 * CHOOSE(CONTROL!$C$9, $D$9, 100%, $F$9) + CHOOSE(CONTROL!$C$27, 0.0021, 0)</f>
        <v>74.457799999999992</v>
      </c>
      <c r="D717" s="10">
        <f>74.4557 * CHOOSE(CONTROL!$C$9, $D$9, 100%, $F$9) + CHOOSE(CONTROL!$C$27, 0.0021, 0)</f>
        <v>74.457799999999992</v>
      </c>
      <c r="E717" s="10">
        <f>74.319 * CHOOSE(CONTROL!$C$9, $D$9, 100%, $F$9) + CHOOSE(CONTROL!$C$27, 0.0021, 0)</f>
        <v>74.321100000000001</v>
      </c>
      <c r="F717" s="10">
        <f>74.319 * CHOOSE(CONTROL!$C$9, $D$9, 100%, $F$9) + CHOOSE(CONTROL!$C$27, 0.0021, 0)</f>
        <v>74.321100000000001</v>
      </c>
      <c r="G717" s="10">
        <f>74.5904 * CHOOSE(CONTROL!$C$9, $D$9, 100%, $F$9) + CHOOSE(CONTROL!$C$27, 0.0021, 0)</f>
        <v>74.592500000000001</v>
      </c>
      <c r="H717" s="10">
        <f>74.4557 * CHOOSE(CONTROL!$C$9, $D$9, 100%, $F$9) + CHOOSE(CONTROL!$C$27, 0.0021, 0)</f>
        <v>74.457799999999992</v>
      </c>
      <c r="I717" s="10">
        <f>74.4557 * CHOOSE(CONTROL!$C$9, $D$9, 100%, $F$9) + CHOOSE(CONTROL!$C$27, 0.0021, 0)</f>
        <v>74.457799999999992</v>
      </c>
      <c r="J717" s="10">
        <f>74.4557 * CHOOSE(CONTROL!$C$9, $D$9, 100%, $F$9) + CHOOSE(CONTROL!$C$27, 0.0021, 0)</f>
        <v>74.457799999999992</v>
      </c>
      <c r="K717" s="10">
        <f>74.4557 * CHOOSE(CONTROL!$C$9, $D$9, 100%, $F$9) + CHOOSE(CONTROL!$C$27, 0.0021, 0)</f>
        <v>74.457799999999992</v>
      </c>
      <c r="L717" s="10"/>
    </row>
    <row r="718" spans="1:12" ht="15.75" x14ac:dyDescent="0.25">
      <c r="A718" s="13">
        <v>62792</v>
      </c>
      <c r="B718" s="10">
        <f>75.0556 * CHOOSE(CONTROL!$C$9, $D$9, 100%, $F$9) + CHOOSE(CONTROL!$C$27, 0.0021, 0)</f>
        <v>75.057699999999997</v>
      </c>
      <c r="C718" s="10">
        <f>74.6234 * CHOOSE(CONTROL!$C$9, $D$9, 100%, $F$9) + CHOOSE(CONTROL!$C$27, 0.0021, 0)</f>
        <v>74.625500000000002</v>
      </c>
      <c r="D718" s="10">
        <f>74.6234 * CHOOSE(CONTROL!$C$9, $D$9, 100%, $F$9) + CHOOSE(CONTROL!$C$27, 0.0021, 0)</f>
        <v>74.625500000000002</v>
      </c>
      <c r="E718" s="10">
        <f>74.4867 * CHOOSE(CONTROL!$C$9, $D$9, 100%, $F$9) + CHOOSE(CONTROL!$C$27, 0.0021, 0)</f>
        <v>74.488799999999998</v>
      </c>
      <c r="F718" s="10">
        <f>74.4867 * CHOOSE(CONTROL!$C$9, $D$9, 100%, $F$9) + CHOOSE(CONTROL!$C$27, 0.0021, 0)</f>
        <v>74.488799999999998</v>
      </c>
      <c r="G718" s="10">
        <f>74.7581 * CHOOSE(CONTROL!$C$9, $D$9, 100%, $F$9) + CHOOSE(CONTROL!$C$27, 0.0021, 0)</f>
        <v>74.760199999999998</v>
      </c>
      <c r="H718" s="10">
        <f>74.6234 * CHOOSE(CONTROL!$C$9, $D$9, 100%, $F$9) + CHOOSE(CONTROL!$C$27, 0.0021, 0)</f>
        <v>74.625500000000002</v>
      </c>
      <c r="I718" s="10">
        <f>74.6234 * CHOOSE(CONTROL!$C$9, $D$9, 100%, $F$9) + CHOOSE(CONTROL!$C$27, 0.0021, 0)</f>
        <v>74.625500000000002</v>
      </c>
      <c r="J718" s="10">
        <f>74.6234 * CHOOSE(CONTROL!$C$9, $D$9, 100%, $F$9) + CHOOSE(CONTROL!$C$27, 0.0021, 0)</f>
        <v>74.625500000000002</v>
      </c>
      <c r="K718" s="10">
        <f>74.6234 * CHOOSE(CONTROL!$C$9, $D$9, 100%, $F$9) + CHOOSE(CONTROL!$C$27, 0.0021, 0)</f>
        <v>74.625500000000002</v>
      </c>
      <c r="L718" s="10"/>
    </row>
    <row r="719" spans="1:12" ht="15.75" x14ac:dyDescent="0.25">
      <c r="A719" s="13">
        <v>62823</v>
      </c>
      <c r="B719" s="10">
        <f>73.6289 * CHOOSE(CONTROL!$C$9, $D$9, 100%, $F$9) + CHOOSE(CONTROL!$C$27, 0.0021, 0)</f>
        <v>73.631</v>
      </c>
      <c r="C719" s="10">
        <f>73.1967 * CHOOSE(CONTROL!$C$9, $D$9, 100%, $F$9) + CHOOSE(CONTROL!$C$27, 0.0021, 0)</f>
        <v>73.198800000000006</v>
      </c>
      <c r="D719" s="10">
        <f>73.1967 * CHOOSE(CONTROL!$C$9, $D$9, 100%, $F$9) + CHOOSE(CONTROL!$C$27, 0.0021, 0)</f>
        <v>73.198800000000006</v>
      </c>
      <c r="E719" s="10">
        <f>73.06 * CHOOSE(CONTROL!$C$9, $D$9, 100%, $F$9) + CHOOSE(CONTROL!$C$27, 0.0021, 0)</f>
        <v>73.062100000000001</v>
      </c>
      <c r="F719" s="10">
        <f>73.06 * CHOOSE(CONTROL!$C$9, $D$9, 100%, $F$9) + CHOOSE(CONTROL!$C$27, 0.0021, 0)</f>
        <v>73.062100000000001</v>
      </c>
      <c r="G719" s="10">
        <f>73.3314 * CHOOSE(CONTROL!$C$9, $D$9, 100%, $F$9) + CHOOSE(CONTROL!$C$27, 0.0021, 0)</f>
        <v>73.333500000000001</v>
      </c>
      <c r="H719" s="10">
        <f>73.1967 * CHOOSE(CONTROL!$C$9, $D$9, 100%, $F$9) + CHOOSE(CONTROL!$C$27, 0.0021, 0)</f>
        <v>73.198800000000006</v>
      </c>
      <c r="I719" s="10">
        <f>73.1967 * CHOOSE(CONTROL!$C$9, $D$9, 100%, $F$9) + CHOOSE(CONTROL!$C$27, 0.0021, 0)</f>
        <v>73.198800000000006</v>
      </c>
      <c r="J719" s="10">
        <f>73.1967 * CHOOSE(CONTROL!$C$9, $D$9, 100%, $F$9) + CHOOSE(CONTROL!$C$27, 0.0021, 0)</f>
        <v>73.198800000000006</v>
      </c>
      <c r="K719" s="10">
        <f>73.1967 * CHOOSE(CONTROL!$C$9, $D$9, 100%, $F$9) + CHOOSE(CONTROL!$C$27, 0.0021, 0)</f>
        <v>73.198800000000006</v>
      </c>
      <c r="L719" s="10"/>
    </row>
    <row r="720" spans="1:12" ht="15.75" x14ac:dyDescent="0.25">
      <c r="A720" s="13">
        <v>62854</v>
      </c>
      <c r="B720" s="10">
        <f>72.6943 * CHOOSE(CONTROL!$C$9, $D$9, 100%, $F$9) + CHOOSE(CONTROL!$C$27, 0.0021, 0)</f>
        <v>72.696399999999997</v>
      </c>
      <c r="C720" s="10">
        <f>72.262 * CHOOSE(CONTROL!$C$9, $D$9, 100%, $F$9) + CHOOSE(CONTROL!$C$27, 0.0021, 0)</f>
        <v>72.264099999999999</v>
      </c>
      <c r="D720" s="10">
        <f>72.262 * CHOOSE(CONTROL!$C$9, $D$9, 100%, $F$9) + CHOOSE(CONTROL!$C$27, 0.0021, 0)</f>
        <v>72.264099999999999</v>
      </c>
      <c r="E720" s="10">
        <f>72.1254 * CHOOSE(CONTROL!$C$9, $D$9, 100%, $F$9) + CHOOSE(CONTROL!$C$27, 0.0021, 0)</f>
        <v>72.127499999999998</v>
      </c>
      <c r="F720" s="10">
        <f>72.1254 * CHOOSE(CONTROL!$C$9, $D$9, 100%, $F$9) + CHOOSE(CONTROL!$C$27, 0.0021, 0)</f>
        <v>72.127499999999998</v>
      </c>
      <c r="G720" s="10">
        <f>72.3967 * CHOOSE(CONTROL!$C$9, $D$9, 100%, $F$9) + CHOOSE(CONTROL!$C$27, 0.0021, 0)</f>
        <v>72.398799999999994</v>
      </c>
      <c r="H720" s="10">
        <f>72.262 * CHOOSE(CONTROL!$C$9, $D$9, 100%, $F$9) + CHOOSE(CONTROL!$C$27, 0.0021, 0)</f>
        <v>72.264099999999999</v>
      </c>
      <c r="I720" s="10">
        <f>72.262 * CHOOSE(CONTROL!$C$9, $D$9, 100%, $F$9) + CHOOSE(CONTROL!$C$27, 0.0021, 0)</f>
        <v>72.264099999999999</v>
      </c>
      <c r="J720" s="10">
        <f>72.262 * CHOOSE(CONTROL!$C$9, $D$9, 100%, $F$9) + CHOOSE(CONTROL!$C$27, 0.0021, 0)</f>
        <v>72.264099999999999</v>
      </c>
      <c r="K720" s="10">
        <f>72.262 * CHOOSE(CONTROL!$C$9, $D$9, 100%, $F$9) + CHOOSE(CONTROL!$C$27, 0.0021, 0)</f>
        <v>72.264099999999999</v>
      </c>
      <c r="L720" s="10"/>
    </row>
    <row r="721" spans="1:12" ht="15.75" x14ac:dyDescent="0.25">
      <c r="A721" s="13">
        <v>62883</v>
      </c>
      <c r="B721" s="10">
        <f>70.7029 * CHOOSE(CONTROL!$C$9, $D$9, 100%, $F$9) + CHOOSE(CONTROL!$C$27, 0.0021, 0)</f>
        <v>70.704999999999998</v>
      </c>
      <c r="C721" s="10">
        <f>70.2707 * CHOOSE(CONTROL!$C$9, $D$9, 100%, $F$9) + CHOOSE(CONTROL!$C$27, 0.0021, 0)</f>
        <v>70.272800000000004</v>
      </c>
      <c r="D721" s="10">
        <f>70.2707 * CHOOSE(CONTROL!$C$9, $D$9, 100%, $F$9) + CHOOSE(CONTROL!$C$27, 0.0021, 0)</f>
        <v>70.272800000000004</v>
      </c>
      <c r="E721" s="10">
        <f>70.134 * CHOOSE(CONTROL!$C$9, $D$9, 100%, $F$9) + CHOOSE(CONTROL!$C$27, 0.0021, 0)</f>
        <v>70.136099999999999</v>
      </c>
      <c r="F721" s="10">
        <f>70.134 * CHOOSE(CONTROL!$C$9, $D$9, 100%, $F$9) + CHOOSE(CONTROL!$C$27, 0.0021, 0)</f>
        <v>70.136099999999999</v>
      </c>
      <c r="G721" s="10">
        <f>70.4054 * CHOOSE(CONTROL!$C$9, $D$9, 100%, $F$9) + CHOOSE(CONTROL!$C$27, 0.0021, 0)</f>
        <v>70.407499999999999</v>
      </c>
      <c r="H721" s="10">
        <f>70.2707 * CHOOSE(CONTROL!$C$9, $D$9, 100%, $F$9) + CHOOSE(CONTROL!$C$27, 0.0021, 0)</f>
        <v>70.272800000000004</v>
      </c>
      <c r="I721" s="10">
        <f>70.2707 * CHOOSE(CONTROL!$C$9, $D$9, 100%, $F$9) + CHOOSE(CONTROL!$C$27, 0.0021, 0)</f>
        <v>70.272800000000004</v>
      </c>
      <c r="J721" s="10">
        <f>70.2707 * CHOOSE(CONTROL!$C$9, $D$9, 100%, $F$9) + CHOOSE(CONTROL!$C$27, 0.0021, 0)</f>
        <v>70.272800000000004</v>
      </c>
      <c r="K721" s="10">
        <f>70.2707 * CHOOSE(CONTROL!$C$9, $D$9, 100%, $F$9) + CHOOSE(CONTROL!$C$27, 0.0021, 0)</f>
        <v>70.272800000000004</v>
      </c>
      <c r="L721" s="10"/>
    </row>
    <row r="722" spans="1:12" ht="15.75" x14ac:dyDescent="0.25">
      <c r="A722" s="13">
        <v>62914</v>
      </c>
      <c r="B722" s="10">
        <f>69.8809 * CHOOSE(CONTROL!$C$9, $D$9, 100%, $F$9) + CHOOSE(CONTROL!$C$27, 0.0021, 0)</f>
        <v>69.882999999999996</v>
      </c>
      <c r="C722" s="10">
        <f>69.4486 * CHOOSE(CONTROL!$C$9, $D$9, 100%, $F$9) + CHOOSE(CONTROL!$C$27, 0.0021, 0)</f>
        <v>69.450699999999998</v>
      </c>
      <c r="D722" s="10">
        <f>69.4486 * CHOOSE(CONTROL!$C$9, $D$9, 100%, $F$9) + CHOOSE(CONTROL!$C$27, 0.0021, 0)</f>
        <v>69.450699999999998</v>
      </c>
      <c r="E722" s="10">
        <f>69.312 * CHOOSE(CONTROL!$C$9, $D$9, 100%, $F$9) + CHOOSE(CONTROL!$C$27, 0.0021, 0)</f>
        <v>69.314099999999996</v>
      </c>
      <c r="F722" s="10">
        <f>69.312 * CHOOSE(CONTROL!$C$9, $D$9, 100%, $F$9) + CHOOSE(CONTROL!$C$27, 0.0021, 0)</f>
        <v>69.314099999999996</v>
      </c>
      <c r="G722" s="10">
        <f>69.5834 * CHOOSE(CONTROL!$C$9, $D$9, 100%, $F$9) + CHOOSE(CONTROL!$C$27, 0.0021, 0)</f>
        <v>69.585499999999996</v>
      </c>
      <c r="H722" s="10">
        <f>69.4486 * CHOOSE(CONTROL!$C$9, $D$9, 100%, $F$9) + CHOOSE(CONTROL!$C$27, 0.0021, 0)</f>
        <v>69.450699999999998</v>
      </c>
      <c r="I722" s="10">
        <f>69.4486 * CHOOSE(CONTROL!$C$9, $D$9, 100%, $F$9) + CHOOSE(CONTROL!$C$27, 0.0021, 0)</f>
        <v>69.450699999999998</v>
      </c>
      <c r="J722" s="10">
        <f>69.4486 * CHOOSE(CONTROL!$C$9, $D$9, 100%, $F$9) + CHOOSE(CONTROL!$C$27, 0.0021, 0)</f>
        <v>69.450699999999998</v>
      </c>
      <c r="K722" s="10">
        <f>69.4486 * CHOOSE(CONTROL!$C$9, $D$9, 100%, $F$9) + CHOOSE(CONTROL!$C$27, 0.0021, 0)</f>
        <v>69.450699999999998</v>
      </c>
      <c r="L722" s="10"/>
    </row>
    <row r="723" spans="1:12" ht="15.75" x14ac:dyDescent="0.25">
      <c r="A723" s="13">
        <v>62944</v>
      </c>
      <c r="B723" s="10">
        <f>68.8994 * CHOOSE(CONTROL!$C$9, $D$9, 100%, $F$9) + CHOOSE(CONTROL!$C$27, 0.0021, 0)</f>
        <v>68.901499999999999</v>
      </c>
      <c r="C723" s="10">
        <f>68.4671 * CHOOSE(CONTROL!$C$9, $D$9, 100%, $F$9) + CHOOSE(CONTROL!$C$27, 0.0021, 0)</f>
        <v>68.469200000000001</v>
      </c>
      <c r="D723" s="10">
        <f>68.4671 * CHOOSE(CONTROL!$C$9, $D$9, 100%, $F$9) + CHOOSE(CONTROL!$C$27, 0.0021, 0)</f>
        <v>68.469200000000001</v>
      </c>
      <c r="E723" s="10">
        <f>68.3305 * CHOOSE(CONTROL!$C$9, $D$9, 100%, $F$9) + CHOOSE(CONTROL!$C$27, 0.0021, 0)</f>
        <v>68.332599999999999</v>
      </c>
      <c r="F723" s="10">
        <f>68.3305 * CHOOSE(CONTROL!$C$9, $D$9, 100%, $F$9) + CHOOSE(CONTROL!$C$27, 0.0021, 0)</f>
        <v>68.332599999999999</v>
      </c>
      <c r="G723" s="10">
        <f>68.6018 * CHOOSE(CONTROL!$C$9, $D$9, 100%, $F$9) + CHOOSE(CONTROL!$C$27, 0.0021, 0)</f>
        <v>68.603899999999996</v>
      </c>
      <c r="H723" s="10">
        <f>68.4671 * CHOOSE(CONTROL!$C$9, $D$9, 100%, $F$9) + CHOOSE(CONTROL!$C$27, 0.0021, 0)</f>
        <v>68.469200000000001</v>
      </c>
      <c r="I723" s="10">
        <f>68.4671 * CHOOSE(CONTROL!$C$9, $D$9, 100%, $F$9) + CHOOSE(CONTROL!$C$27, 0.0021, 0)</f>
        <v>68.469200000000001</v>
      </c>
      <c r="J723" s="10">
        <f>68.4671 * CHOOSE(CONTROL!$C$9, $D$9, 100%, $F$9) + CHOOSE(CONTROL!$C$27, 0.0021, 0)</f>
        <v>68.469200000000001</v>
      </c>
      <c r="K723" s="10">
        <f>68.4671 * CHOOSE(CONTROL!$C$9, $D$9, 100%, $F$9) + CHOOSE(CONTROL!$C$27, 0.0021, 0)</f>
        <v>68.469200000000001</v>
      </c>
      <c r="L723" s="10"/>
    </row>
    <row r="724" spans="1:12" ht="15.75" x14ac:dyDescent="0.25">
      <c r="A724" s="13">
        <v>62975</v>
      </c>
      <c r="B724" s="10">
        <f>70.2981 * CHOOSE(CONTROL!$C$9, $D$9, 100%, $F$9) + CHOOSE(CONTROL!$C$27, 0.0021, 0)</f>
        <v>70.300200000000004</v>
      </c>
      <c r="C724" s="10">
        <f>69.8659 * CHOOSE(CONTROL!$C$9, $D$9, 100%, $F$9) + CHOOSE(CONTROL!$C$27, 0.0021, 0)</f>
        <v>69.867999999999995</v>
      </c>
      <c r="D724" s="10">
        <f>69.8659 * CHOOSE(CONTROL!$C$9, $D$9, 100%, $F$9) + CHOOSE(CONTROL!$C$27, 0.0021, 0)</f>
        <v>69.867999999999995</v>
      </c>
      <c r="E724" s="10">
        <f>69.7292 * CHOOSE(CONTROL!$C$9, $D$9, 100%, $F$9) + CHOOSE(CONTROL!$C$27, 0.0021, 0)</f>
        <v>69.731300000000005</v>
      </c>
      <c r="F724" s="10">
        <f>69.7292 * CHOOSE(CONTROL!$C$9, $D$9, 100%, $F$9) + CHOOSE(CONTROL!$C$27, 0.0021, 0)</f>
        <v>69.731300000000005</v>
      </c>
      <c r="G724" s="10">
        <f>70.0006 * CHOOSE(CONTROL!$C$9, $D$9, 100%, $F$9) + CHOOSE(CONTROL!$C$27, 0.0021, 0)</f>
        <v>70.002700000000004</v>
      </c>
      <c r="H724" s="10">
        <f>69.8659 * CHOOSE(CONTROL!$C$9, $D$9, 100%, $F$9) + CHOOSE(CONTROL!$C$27, 0.0021, 0)</f>
        <v>69.867999999999995</v>
      </c>
      <c r="I724" s="10">
        <f>69.8659 * CHOOSE(CONTROL!$C$9, $D$9, 100%, $F$9) + CHOOSE(CONTROL!$C$27, 0.0021, 0)</f>
        <v>69.867999999999995</v>
      </c>
      <c r="J724" s="10">
        <f>69.8659 * CHOOSE(CONTROL!$C$9, $D$9, 100%, $F$9) + CHOOSE(CONTROL!$C$27, 0.0021, 0)</f>
        <v>69.867999999999995</v>
      </c>
      <c r="K724" s="10">
        <f>69.8659 * CHOOSE(CONTROL!$C$9, $D$9, 100%, $F$9) + CHOOSE(CONTROL!$C$27, 0.0021, 0)</f>
        <v>69.867999999999995</v>
      </c>
      <c r="L724" s="10"/>
    </row>
    <row r="725" spans="1:12" ht="15.75" x14ac:dyDescent="0.25">
      <c r="A725" s="13">
        <v>63005</v>
      </c>
      <c r="B725" s="10">
        <f>71.136 * CHOOSE(CONTROL!$C$9, $D$9, 100%, $F$9) + CHOOSE(CONTROL!$C$27, 0.0021, 0)</f>
        <v>71.138099999999994</v>
      </c>
      <c r="C725" s="10">
        <f>70.7037 * CHOOSE(CONTROL!$C$9, $D$9, 100%, $F$9) + CHOOSE(CONTROL!$C$27, 0.0021, 0)</f>
        <v>70.705799999999996</v>
      </c>
      <c r="D725" s="10">
        <f>70.7037 * CHOOSE(CONTROL!$C$9, $D$9, 100%, $F$9) + CHOOSE(CONTROL!$C$27, 0.0021, 0)</f>
        <v>70.705799999999996</v>
      </c>
      <c r="E725" s="10">
        <f>70.5671 * CHOOSE(CONTROL!$C$9, $D$9, 100%, $F$9) + CHOOSE(CONTROL!$C$27, 0.0021, 0)</f>
        <v>70.569199999999995</v>
      </c>
      <c r="F725" s="10">
        <f>70.5671 * CHOOSE(CONTROL!$C$9, $D$9, 100%, $F$9) + CHOOSE(CONTROL!$C$27, 0.0021, 0)</f>
        <v>70.569199999999995</v>
      </c>
      <c r="G725" s="10">
        <f>70.8384 * CHOOSE(CONTROL!$C$9, $D$9, 100%, $F$9) + CHOOSE(CONTROL!$C$27, 0.0021, 0)</f>
        <v>70.840499999999992</v>
      </c>
      <c r="H725" s="10">
        <f>70.7037 * CHOOSE(CONTROL!$C$9, $D$9, 100%, $F$9) + CHOOSE(CONTROL!$C$27, 0.0021, 0)</f>
        <v>70.705799999999996</v>
      </c>
      <c r="I725" s="10">
        <f>70.7037 * CHOOSE(CONTROL!$C$9, $D$9, 100%, $F$9) + CHOOSE(CONTROL!$C$27, 0.0021, 0)</f>
        <v>70.705799999999996</v>
      </c>
      <c r="J725" s="10">
        <f>70.7037 * CHOOSE(CONTROL!$C$9, $D$9, 100%, $F$9) + CHOOSE(CONTROL!$C$27, 0.0021, 0)</f>
        <v>70.705799999999996</v>
      </c>
      <c r="K725" s="10">
        <f>70.7037 * CHOOSE(CONTROL!$C$9, $D$9, 100%, $F$9) + CHOOSE(CONTROL!$C$27, 0.0021, 0)</f>
        <v>70.705799999999996</v>
      </c>
      <c r="L725" s="10"/>
    </row>
    <row r="726" spans="1:12" ht="15.75" x14ac:dyDescent="0.25">
      <c r="A726" s="13">
        <v>63036</v>
      </c>
      <c r="B726" s="10">
        <f>72.518 * CHOOSE(CONTROL!$C$9, $D$9, 100%, $F$9) + CHOOSE(CONTROL!$C$27, 0.0021, 0)</f>
        <v>72.520099999999999</v>
      </c>
      <c r="C726" s="10">
        <f>72.0858 * CHOOSE(CONTROL!$C$9, $D$9, 100%, $F$9) + CHOOSE(CONTROL!$C$27, 0.0021, 0)</f>
        <v>72.087900000000005</v>
      </c>
      <c r="D726" s="10">
        <f>72.0858 * CHOOSE(CONTROL!$C$9, $D$9, 100%, $F$9) + CHOOSE(CONTROL!$C$27, 0.0021, 0)</f>
        <v>72.087900000000005</v>
      </c>
      <c r="E726" s="10">
        <f>71.9491 * CHOOSE(CONTROL!$C$9, $D$9, 100%, $F$9) + CHOOSE(CONTROL!$C$27, 0.0021, 0)</f>
        <v>71.9512</v>
      </c>
      <c r="F726" s="10">
        <f>71.9491 * CHOOSE(CONTROL!$C$9, $D$9, 100%, $F$9) + CHOOSE(CONTROL!$C$27, 0.0021, 0)</f>
        <v>71.9512</v>
      </c>
      <c r="G726" s="10">
        <f>72.2205 * CHOOSE(CONTROL!$C$9, $D$9, 100%, $F$9) + CHOOSE(CONTROL!$C$27, 0.0021, 0)</f>
        <v>72.2226</v>
      </c>
      <c r="H726" s="10">
        <f>72.0858 * CHOOSE(CONTROL!$C$9, $D$9, 100%, $F$9) + CHOOSE(CONTROL!$C$27, 0.0021, 0)</f>
        <v>72.087900000000005</v>
      </c>
      <c r="I726" s="10">
        <f>72.0858 * CHOOSE(CONTROL!$C$9, $D$9, 100%, $F$9) + CHOOSE(CONTROL!$C$27, 0.0021, 0)</f>
        <v>72.087900000000005</v>
      </c>
      <c r="J726" s="10">
        <f>72.0858 * CHOOSE(CONTROL!$C$9, $D$9, 100%, $F$9) + CHOOSE(CONTROL!$C$27, 0.0021, 0)</f>
        <v>72.087900000000005</v>
      </c>
      <c r="K726" s="10">
        <f>72.0858 * CHOOSE(CONTROL!$C$9, $D$9, 100%, $F$9) + CHOOSE(CONTROL!$C$27, 0.0021, 0)</f>
        <v>72.087900000000005</v>
      </c>
      <c r="L726" s="10"/>
    </row>
    <row r="727" spans="1:12" ht="15.75" x14ac:dyDescent="0.25">
      <c r="A727" s="13">
        <v>63067</v>
      </c>
      <c r="B727" s="10">
        <f>72.9399 * CHOOSE(CONTROL!$C$9, $D$9, 100%, $F$9) + CHOOSE(CONTROL!$C$27, 0.0021, 0)</f>
        <v>72.941999999999993</v>
      </c>
      <c r="C727" s="10">
        <f>72.5076 * CHOOSE(CONTROL!$C$9, $D$9, 100%, $F$9) + CHOOSE(CONTROL!$C$27, 0.0021, 0)</f>
        <v>72.509699999999995</v>
      </c>
      <c r="D727" s="10">
        <f>72.5076 * CHOOSE(CONTROL!$C$9, $D$9, 100%, $F$9) + CHOOSE(CONTROL!$C$27, 0.0021, 0)</f>
        <v>72.509699999999995</v>
      </c>
      <c r="E727" s="10">
        <f>72.371 * CHOOSE(CONTROL!$C$9, $D$9, 100%, $F$9) + CHOOSE(CONTROL!$C$27, 0.0021, 0)</f>
        <v>72.373099999999994</v>
      </c>
      <c r="F727" s="10">
        <f>72.371 * CHOOSE(CONTROL!$C$9, $D$9, 100%, $F$9) + CHOOSE(CONTROL!$C$27, 0.0021, 0)</f>
        <v>72.373099999999994</v>
      </c>
      <c r="G727" s="10">
        <f>72.6424 * CHOOSE(CONTROL!$C$9, $D$9, 100%, $F$9) + CHOOSE(CONTROL!$C$27, 0.0021, 0)</f>
        <v>72.644499999999994</v>
      </c>
      <c r="H727" s="10">
        <f>72.5076 * CHOOSE(CONTROL!$C$9, $D$9, 100%, $F$9) + CHOOSE(CONTROL!$C$27, 0.0021, 0)</f>
        <v>72.509699999999995</v>
      </c>
      <c r="I727" s="10">
        <f>72.5076 * CHOOSE(CONTROL!$C$9, $D$9, 100%, $F$9) + CHOOSE(CONTROL!$C$27, 0.0021, 0)</f>
        <v>72.509699999999995</v>
      </c>
      <c r="J727" s="10">
        <f>72.5076 * CHOOSE(CONTROL!$C$9, $D$9, 100%, $F$9) + CHOOSE(CONTROL!$C$27, 0.0021, 0)</f>
        <v>72.509699999999995</v>
      </c>
      <c r="K727" s="10">
        <f>72.5076 * CHOOSE(CONTROL!$C$9, $D$9, 100%, $F$9) + CHOOSE(CONTROL!$C$27, 0.0021, 0)</f>
        <v>72.509699999999995</v>
      </c>
      <c r="L727" s="10"/>
    </row>
    <row r="728" spans="1:12" ht="15.75" x14ac:dyDescent="0.25">
      <c r="A728" s="13">
        <v>63097</v>
      </c>
      <c r="B728" s="10">
        <f>74.3765 * CHOOSE(CONTROL!$C$9, $D$9, 100%, $F$9) + CHOOSE(CONTROL!$C$27, 0.0021, 0)</f>
        <v>74.378599999999992</v>
      </c>
      <c r="C728" s="10">
        <f>73.9443 * CHOOSE(CONTROL!$C$9, $D$9, 100%, $F$9) + CHOOSE(CONTROL!$C$27, 0.0021, 0)</f>
        <v>73.946399999999997</v>
      </c>
      <c r="D728" s="10">
        <f>73.9443 * CHOOSE(CONTROL!$C$9, $D$9, 100%, $F$9) + CHOOSE(CONTROL!$C$27, 0.0021, 0)</f>
        <v>73.946399999999997</v>
      </c>
      <c r="E728" s="10">
        <f>73.8076 * CHOOSE(CONTROL!$C$9, $D$9, 100%, $F$9) + CHOOSE(CONTROL!$C$27, 0.0021, 0)</f>
        <v>73.809699999999992</v>
      </c>
      <c r="F728" s="10">
        <f>73.8076 * CHOOSE(CONTROL!$C$9, $D$9, 100%, $F$9) + CHOOSE(CONTROL!$C$27, 0.0021, 0)</f>
        <v>73.809699999999992</v>
      </c>
      <c r="G728" s="10">
        <f>74.079 * CHOOSE(CONTROL!$C$9, $D$9, 100%, $F$9) + CHOOSE(CONTROL!$C$27, 0.0021, 0)</f>
        <v>74.081099999999992</v>
      </c>
      <c r="H728" s="10">
        <f>73.9443 * CHOOSE(CONTROL!$C$9, $D$9, 100%, $F$9) + CHOOSE(CONTROL!$C$27, 0.0021, 0)</f>
        <v>73.946399999999997</v>
      </c>
      <c r="I728" s="10">
        <f>73.9443 * CHOOSE(CONTROL!$C$9, $D$9, 100%, $F$9) + CHOOSE(CONTROL!$C$27, 0.0021, 0)</f>
        <v>73.946399999999997</v>
      </c>
      <c r="J728" s="10">
        <f>73.9443 * CHOOSE(CONTROL!$C$9, $D$9, 100%, $F$9) + CHOOSE(CONTROL!$C$27, 0.0021, 0)</f>
        <v>73.946399999999997</v>
      </c>
      <c r="K728" s="10">
        <f>73.9443 * CHOOSE(CONTROL!$C$9, $D$9, 100%, $F$9) + CHOOSE(CONTROL!$C$27, 0.0021, 0)</f>
        <v>73.946399999999997</v>
      </c>
      <c r="L728" s="10"/>
    </row>
    <row r="729" spans="1:12" ht="15.75" x14ac:dyDescent="0.25">
      <c r="A729" s="13">
        <v>63128</v>
      </c>
      <c r="B729" s="10">
        <f>76.195 * CHOOSE(CONTROL!$C$9, $D$9, 100%, $F$9) + CHOOSE(CONTROL!$C$27, 0.0021, 0)</f>
        <v>76.197099999999992</v>
      </c>
      <c r="C729" s="10">
        <f>75.7628 * CHOOSE(CONTROL!$C$9, $D$9, 100%, $F$9) + CHOOSE(CONTROL!$C$27, 0.0021, 0)</f>
        <v>75.764899999999997</v>
      </c>
      <c r="D729" s="10">
        <f>75.7628 * CHOOSE(CONTROL!$C$9, $D$9, 100%, $F$9) + CHOOSE(CONTROL!$C$27, 0.0021, 0)</f>
        <v>75.764899999999997</v>
      </c>
      <c r="E729" s="10">
        <f>75.6261 * CHOOSE(CONTROL!$C$9, $D$9, 100%, $F$9) + CHOOSE(CONTROL!$C$27, 0.0021, 0)</f>
        <v>75.628199999999993</v>
      </c>
      <c r="F729" s="10">
        <f>75.6261 * CHOOSE(CONTROL!$C$9, $D$9, 100%, $F$9) + CHOOSE(CONTROL!$C$27, 0.0021, 0)</f>
        <v>75.628199999999993</v>
      </c>
      <c r="G729" s="10">
        <f>75.8975 * CHOOSE(CONTROL!$C$9, $D$9, 100%, $F$9) + CHOOSE(CONTROL!$C$27, 0.0021, 0)</f>
        <v>75.899599999999992</v>
      </c>
      <c r="H729" s="10">
        <f>75.7628 * CHOOSE(CONTROL!$C$9, $D$9, 100%, $F$9) + CHOOSE(CONTROL!$C$27, 0.0021, 0)</f>
        <v>75.764899999999997</v>
      </c>
      <c r="I729" s="10">
        <f>75.7628 * CHOOSE(CONTROL!$C$9, $D$9, 100%, $F$9) + CHOOSE(CONTROL!$C$27, 0.0021, 0)</f>
        <v>75.764899999999997</v>
      </c>
      <c r="J729" s="10">
        <f>75.7628 * CHOOSE(CONTROL!$C$9, $D$9, 100%, $F$9) + CHOOSE(CONTROL!$C$27, 0.0021, 0)</f>
        <v>75.764899999999997</v>
      </c>
      <c r="K729" s="10">
        <f>75.7628 * CHOOSE(CONTROL!$C$9, $D$9, 100%, $F$9) + CHOOSE(CONTROL!$C$27, 0.0021, 0)</f>
        <v>75.764899999999997</v>
      </c>
      <c r="L729" s="10"/>
    </row>
    <row r="730" spans="1:12" ht="15.75" x14ac:dyDescent="0.25">
      <c r="A730" s="13">
        <v>63158</v>
      </c>
      <c r="B730" s="10">
        <f>76.3657 * CHOOSE(CONTROL!$C$9, $D$9, 100%, $F$9) + CHOOSE(CONTROL!$C$27, 0.0021, 0)</f>
        <v>76.367800000000003</v>
      </c>
      <c r="C730" s="10">
        <f>75.9335 * CHOOSE(CONTROL!$C$9, $D$9, 100%, $F$9) + CHOOSE(CONTROL!$C$27, 0.0021, 0)</f>
        <v>75.935599999999994</v>
      </c>
      <c r="D730" s="10">
        <f>75.9335 * CHOOSE(CONTROL!$C$9, $D$9, 100%, $F$9) + CHOOSE(CONTROL!$C$27, 0.0021, 0)</f>
        <v>75.935599999999994</v>
      </c>
      <c r="E730" s="10">
        <f>75.7968 * CHOOSE(CONTROL!$C$9, $D$9, 100%, $F$9) + CHOOSE(CONTROL!$C$27, 0.0021, 0)</f>
        <v>75.798900000000003</v>
      </c>
      <c r="F730" s="10">
        <f>75.7968 * CHOOSE(CONTROL!$C$9, $D$9, 100%, $F$9) + CHOOSE(CONTROL!$C$27, 0.0021, 0)</f>
        <v>75.798900000000003</v>
      </c>
      <c r="G730" s="10">
        <f>76.0682 * CHOOSE(CONTROL!$C$9, $D$9, 100%, $F$9) + CHOOSE(CONTROL!$C$27, 0.0021, 0)</f>
        <v>76.070300000000003</v>
      </c>
      <c r="H730" s="10">
        <f>75.9335 * CHOOSE(CONTROL!$C$9, $D$9, 100%, $F$9) + CHOOSE(CONTROL!$C$27, 0.0021, 0)</f>
        <v>75.935599999999994</v>
      </c>
      <c r="I730" s="10">
        <f>75.9335 * CHOOSE(CONTROL!$C$9, $D$9, 100%, $F$9) + CHOOSE(CONTROL!$C$27, 0.0021, 0)</f>
        <v>75.935599999999994</v>
      </c>
      <c r="J730" s="10">
        <f>75.9335 * CHOOSE(CONTROL!$C$9, $D$9, 100%, $F$9) + CHOOSE(CONTROL!$C$27, 0.0021, 0)</f>
        <v>75.935599999999994</v>
      </c>
      <c r="K730" s="10">
        <f>75.9335 * CHOOSE(CONTROL!$C$9, $D$9, 100%, $F$9) + CHOOSE(CONTROL!$C$27, 0.0021, 0)</f>
        <v>75.935599999999994</v>
      </c>
      <c r="L730" s="10"/>
    </row>
    <row r="731" spans="1:12" ht="15.75" x14ac:dyDescent="0.25">
      <c r="A731" s="13">
        <v>63189</v>
      </c>
      <c r="B731" s="10">
        <f>74.9133 * CHOOSE(CONTROL!$C$9, $D$9, 100%, $F$9) + CHOOSE(CONTROL!$C$27, 0.0021, 0)</f>
        <v>74.915400000000005</v>
      </c>
      <c r="C731" s="10">
        <f>74.4811 * CHOOSE(CONTROL!$C$9, $D$9, 100%, $F$9) + CHOOSE(CONTROL!$C$27, 0.0021, 0)</f>
        <v>74.483199999999997</v>
      </c>
      <c r="D731" s="10">
        <f>74.4811 * CHOOSE(CONTROL!$C$9, $D$9, 100%, $F$9) + CHOOSE(CONTROL!$C$27, 0.0021, 0)</f>
        <v>74.483199999999997</v>
      </c>
      <c r="E731" s="10">
        <f>74.3444 * CHOOSE(CONTROL!$C$9, $D$9, 100%, $F$9) + CHOOSE(CONTROL!$C$27, 0.0021, 0)</f>
        <v>74.346499999999992</v>
      </c>
      <c r="F731" s="10">
        <f>74.3444 * CHOOSE(CONTROL!$C$9, $D$9, 100%, $F$9) + CHOOSE(CONTROL!$C$27, 0.0021, 0)</f>
        <v>74.346499999999992</v>
      </c>
      <c r="G731" s="10">
        <f>74.6158 * CHOOSE(CONTROL!$C$9, $D$9, 100%, $F$9) + CHOOSE(CONTROL!$C$27, 0.0021, 0)</f>
        <v>74.617899999999992</v>
      </c>
      <c r="H731" s="10">
        <f>74.4811 * CHOOSE(CONTROL!$C$9, $D$9, 100%, $F$9) + CHOOSE(CONTROL!$C$27, 0.0021, 0)</f>
        <v>74.483199999999997</v>
      </c>
      <c r="I731" s="10">
        <f>74.4811 * CHOOSE(CONTROL!$C$9, $D$9, 100%, $F$9) + CHOOSE(CONTROL!$C$27, 0.0021, 0)</f>
        <v>74.483199999999997</v>
      </c>
      <c r="J731" s="10">
        <f>74.4811 * CHOOSE(CONTROL!$C$9, $D$9, 100%, $F$9) + CHOOSE(CONTROL!$C$27, 0.0021, 0)</f>
        <v>74.483199999999997</v>
      </c>
      <c r="K731" s="10">
        <f>74.4811 * CHOOSE(CONTROL!$C$9, $D$9, 100%, $F$9) + CHOOSE(CONTROL!$C$27, 0.0021, 0)</f>
        <v>74.483199999999997</v>
      </c>
      <c r="L731" s="10"/>
    </row>
    <row r="732" spans="1:12" ht="15.75" x14ac:dyDescent="0.25">
      <c r="A732" s="13">
        <v>63220</v>
      </c>
      <c r="B732" s="10">
        <f>73.9618 * CHOOSE(CONTROL!$C$9, $D$9, 100%, $F$9) + CHOOSE(CONTROL!$C$27, 0.0021, 0)</f>
        <v>73.963899999999995</v>
      </c>
      <c r="C732" s="10">
        <f>73.5296 * CHOOSE(CONTROL!$C$9, $D$9, 100%, $F$9) + CHOOSE(CONTROL!$C$27, 0.0021, 0)</f>
        <v>73.531700000000001</v>
      </c>
      <c r="D732" s="10">
        <f>73.5296 * CHOOSE(CONTROL!$C$9, $D$9, 100%, $F$9) + CHOOSE(CONTROL!$C$27, 0.0021, 0)</f>
        <v>73.531700000000001</v>
      </c>
      <c r="E732" s="10">
        <f>73.3929 * CHOOSE(CONTROL!$C$9, $D$9, 100%, $F$9) + CHOOSE(CONTROL!$C$27, 0.0021, 0)</f>
        <v>73.394999999999996</v>
      </c>
      <c r="F732" s="10">
        <f>73.3929 * CHOOSE(CONTROL!$C$9, $D$9, 100%, $F$9) + CHOOSE(CONTROL!$C$27, 0.0021, 0)</f>
        <v>73.394999999999996</v>
      </c>
      <c r="G732" s="10">
        <f>73.6643 * CHOOSE(CONTROL!$C$9, $D$9, 100%, $F$9) + CHOOSE(CONTROL!$C$27, 0.0021, 0)</f>
        <v>73.666399999999996</v>
      </c>
      <c r="H732" s="10">
        <f>73.5296 * CHOOSE(CONTROL!$C$9, $D$9, 100%, $F$9) + CHOOSE(CONTROL!$C$27, 0.0021, 0)</f>
        <v>73.531700000000001</v>
      </c>
      <c r="I732" s="10">
        <f>73.5296 * CHOOSE(CONTROL!$C$9, $D$9, 100%, $F$9) + CHOOSE(CONTROL!$C$27, 0.0021, 0)</f>
        <v>73.531700000000001</v>
      </c>
      <c r="J732" s="10">
        <f>73.5296 * CHOOSE(CONTROL!$C$9, $D$9, 100%, $F$9) + CHOOSE(CONTROL!$C$27, 0.0021, 0)</f>
        <v>73.531700000000001</v>
      </c>
      <c r="K732" s="10">
        <f>73.5296 * CHOOSE(CONTROL!$C$9, $D$9, 100%, $F$9) + CHOOSE(CONTROL!$C$27, 0.0021, 0)</f>
        <v>73.531700000000001</v>
      </c>
      <c r="L732" s="10"/>
    </row>
    <row r="733" spans="1:12" ht="15.75" x14ac:dyDescent="0.25">
      <c r="A733" s="13">
        <v>63248</v>
      </c>
      <c r="B733" s="10">
        <f>71.9346 * CHOOSE(CONTROL!$C$9, $D$9, 100%, $F$9) + CHOOSE(CONTROL!$C$27, 0.0021, 0)</f>
        <v>71.936700000000002</v>
      </c>
      <c r="C733" s="10">
        <f>71.5024 * CHOOSE(CONTROL!$C$9, $D$9, 100%, $F$9) + CHOOSE(CONTROL!$C$27, 0.0021, 0)</f>
        <v>71.504499999999993</v>
      </c>
      <c r="D733" s="10">
        <f>71.5024 * CHOOSE(CONTROL!$C$9, $D$9, 100%, $F$9) + CHOOSE(CONTROL!$C$27, 0.0021, 0)</f>
        <v>71.504499999999993</v>
      </c>
      <c r="E733" s="10">
        <f>71.3657 * CHOOSE(CONTROL!$C$9, $D$9, 100%, $F$9) + CHOOSE(CONTROL!$C$27, 0.0021, 0)</f>
        <v>71.367800000000003</v>
      </c>
      <c r="F733" s="10">
        <f>71.3657 * CHOOSE(CONTROL!$C$9, $D$9, 100%, $F$9) + CHOOSE(CONTROL!$C$27, 0.0021, 0)</f>
        <v>71.367800000000003</v>
      </c>
      <c r="G733" s="10">
        <f>71.6371 * CHOOSE(CONTROL!$C$9, $D$9, 100%, $F$9) + CHOOSE(CONTROL!$C$27, 0.0021, 0)</f>
        <v>71.639200000000002</v>
      </c>
      <c r="H733" s="10">
        <f>71.5024 * CHOOSE(CONTROL!$C$9, $D$9, 100%, $F$9) + CHOOSE(CONTROL!$C$27, 0.0021, 0)</f>
        <v>71.504499999999993</v>
      </c>
      <c r="I733" s="10">
        <f>71.5024 * CHOOSE(CONTROL!$C$9, $D$9, 100%, $F$9) + CHOOSE(CONTROL!$C$27, 0.0021, 0)</f>
        <v>71.504499999999993</v>
      </c>
      <c r="J733" s="10">
        <f>71.5024 * CHOOSE(CONTROL!$C$9, $D$9, 100%, $F$9) + CHOOSE(CONTROL!$C$27, 0.0021, 0)</f>
        <v>71.504499999999993</v>
      </c>
      <c r="K733" s="10">
        <f>71.5024 * CHOOSE(CONTROL!$C$9, $D$9, 100%, $F$9) + CHOOSE(CONTROL!$C$27, 0.0021, 0)</f>
        <v>71.504499999999993</v>
      </c>
      <c r="L733" s="10"/>
    </row>
    <row r="734" spans="1:12" ht="15.75" x14ac:dyDescent="0.25">
      <c r="A734" s="13">
        <v>63279</v>
      </c>
      <c r="B734" s="10">
        <f>71.0978 * CHOOSE(CONTROL!$C$9, $D$9, 100%, $F$9) + CHOOSE(CONTROL!$C$27, 0.0021, 0)</f>
        <v>71.099900000000005</v>
      </c>
      <c r="C734" s="10">
        <f>70.6656 * CHOOSE(CONTROL!$C$9, $D$9, 100%, $F$9) + CHOOSE(CONTROL!$C$27, 0.0021, 0)</f>
        <v>70.667699999999996</v>
      </c>
      <c r="D734" s="10">
        <f>70.6656 * CHOOSE(CONTROL!$C$9, $D$9, 100%, $F$9) + CHOOSE(CONTROL!$C$27, 0.0021, 0)</f>
        <v>70.667699999999996</v>
      </c>
      <c r="E734" s="10">
        <f>70.5289 * CHOOSE(CONTROL!$C$9, $D$9, 100%, $F$9) + CHOOSE(CONTROL!$C$27, 0.0021, 0)</f>
        <v>70.530999999999992</v>
      </c>
      <c r="F734" s="10">
        <f>70.5289 * CHOOSE(CONTROL!$C$9, $D$9, 100%, $F$9) + CHOOSE(CONTROL!$C$27, 0.0021, 0)</f>
        <v>70.530999999999992</v>
      </c>
      <c r="G734" s="10">
        <f>70.8003 * CHOOSE(CONTROL!$C$9, $D$9, 100%, $F$9) + CHOOSE(CONTROL!$C$27, 0.0021, 0)</f>
        <v>70.802399999999992</v>
      </c>
      <c r="H734" s="10">
        <f>70.6656 * CHOOSE(CONTROL!$C$9, $D$9, 100%, $F$9) + CHOOSE(CONTROL!$C$27, 0.0021, 0)</f>
        <v>70.667699999999996</v>
      </c>
      <c r="I734" s="10">
        <f>70.6656 * CHOOSE(CONTROL!$C$9, $D$9, 100%, $F$9) + CHOOSE(CONTROL!$C$27, 0.0021, 0)</f>
        <v>70.667699999999996</v>
      </c>
      <c r="J734" s="10">
        <f>70.6656 * CHOOSE(CONTROL!$C$9, $D$9, 100%, $F$9) + CHOOSE(CONTROL!$C$27, 0.0021, 0)</f>
        <v>70.667699999999996</v>
      </c>
      <c r="K734" s="10">
        <f>70.6656 * CHOOSE(CONTROL!$C$9, $D$9, 100%, $F$9) + CHOOSE(CONTROL!$C$27, 0.0021, 0)</f>
        <v>70.667699999999996</v>
      </c>
      <c r="L734" s="10"/>
    </row>
    <row r="735" spans="1:12" ht="15.75" x14ac:dyDescent="0.25">
      <c r="A735" s="13">
        <v>63309</v>
      </c>
      <c r="B735" s="10">
        <f>70.0986 * CHOOSE(CONTROL!$C$9, $D$9, 100%, $F$9) + CHOOSE(CONTROL!$C$27, 0.0021, 0)</f>
        <v>70.100700000000003</v>
      </c>
      <c r="C735" s="10">
        <f>69.6664 * CHOOSE(CONTROL!$C$9, $D$9, 100%, $F$9) + CHOOSE(CONTROL!$C$27, 0.0021, 0)</f>
        <v>69.668499999999995</v>
      </c>
      <c r="D735" s="10">
        <f>69.6664 * CHOOSE(CONTROL!$C$9, $D$9, 100%, $F$9) + CHOOSE(CONTROL!$C$27, 0.0021, 0)</f>
        <v>69.668499999999995</v>
      </c>
      <c r="E735" s="10">
        <f>69.5297 * CHOOSE(CONTROL!$C$9, $D$9, 100%, $F$9) + CHOOSE(CONTROL!$C$27, 0.0021, 0)</f>
        <v>69.531800000000004</v>
      </c>
      <c r="F735" s="10">
        <f>69.5297 * CHOOSE(CONTROL!$C$9, $D$9, 100%, $F$9) + CHOOSE(CONTROL!$C$27, 0.0021, 0)</f>
        <v>69.531800000000004</v>
      </c>
      <c r="G735" s="10">
        <f>69.8011 * CHOOSE(CONTROL!$C$9, $D$9, 100%, $F$9) + CHOOSE(CONTROL!$C$27, 0.0021, 0)</f>
        <v>69.803200000000004</v>
      </c>
      <c r="H735" s="10">
        <f>69.6664 * CHOOSE(CONTROL!$C$9, $D$9, 100%, $F$9) + CHOOSE(CONTROL!$C$27, 0.0021, 0)</f>
        <v>69.668499999999995</v>
      </c>
      <c r="I735" s="10">
        <f>69.6664 * CHOOSE(CONTROL!$C$9, $D$9, 100%, $F$9) + CHOOSE(CONTROL!$C$27, 0.0021, 0)</f>
        <v>69.668499999999995</v>
      </c>
      <c r="J735" s="10">
        <f>69.6664 * CHOOSE(CONTROL!$C$9, $D$9, 100%, $F$9) + CHOOSE(CONTROL!$C$27, 0.0021, 0)</f>
        <v>69.668499999999995</v>
      </c>
      <c r="K735" s="10">
        <f>69.6664 * CHOOSE(CONTROL!$C$9, $D$9, 100%, $F$9) + CHOOSE(CONTROL!$C$27, 0.0021, 0)</f>
        <v>69.668499999999995</v>
      </c>
      <c r="L735" s="10"/>
    </row>
    <row r="736" spans="1:12" ht="15.75" x14ac:dyDescent="0.25">
      <c r="A736" s="13">
        <v>63340</v>
      </c>
      <c r="B736" s="10">
        <f>71.5226 * CHOOSE(CONTROL!$C$9, $D$9, 100%, $F$9) + CHOOSE(CONTROL!$C$27, 0.0021, 0)</f>
        <v>71.524699999999996</v>
      </c>
      <c r="C736" s="10">
        <f>71.0903 * CHOOSE(CONTROL!$C$9, $D$9, 100%, $F$9) + CHOOSE(CONTROL!$C$27, 0.0021, 0)</f>
        <v>71.092399999999998</v>
      </c>
      <c r="D736" s="10">
        <f>71.0903 * CHOOSE(CONTROL!$C$9, $D$9, 100%, $F$9) + CHOOSE(CONTROL!$C$27, 0.0021, 0)</f>
        <v>71.092399999999998</v>
      </c>
      <c r="E736" s="10">
        <f>70.9537 * CHOOSE(CONTROL!$C$9, $D$9, 100%, $F$9) + CHOOSE(CONTROL!$C$27, 0.0021, 0)</f>
        <v>70.955799999999996</v>
      </c>
      <c r="F736" s="10">
        <f>70.9537 * CHOOSE(CONTROL!$C$9, $D$9, 100%, $F$9) + CHOOSE(CONTROL!$C$27, 0.0021, 0)</f>
        <v>70.955799999999996</v>
      </c>
      <c r="G736" s="10">
        <f>71.2251 * CHOOSE(CONTROL!$C$9, $D$9, 100%, $F$9) + CHOOSE(CONTROL!$C$27, 0.0021, 0)</f>
        <v>71.227199999999996</v>
      </c>
      <c r="H736" s="10">
        <f>71.0903 * CHOOSE(CONTROL!$C$9, $D$9, 100%, $F$9) + CHOOSE(CONTROL!$C$27, 0.0021, 0)</f>
        <v>71.092399999999998</v>
      </c>
      <c r="I736" s="10">
        <f>71.0903 * CHOOSE(CONTROL!$C$9, $D$9, 100%, $F$9) + CHOOSE(CONTROL!$C$27, 0.0021, 0)</f>
        <v>71.092399999999998</v>
      </c>
      <c r="J736" s="10">
        <f>71.0903 * CHOOSE(CONTROL!$C$9, $D$9, 100%, $F$9) + CHOOSE(CONTROL!$C$27, 0.0021, 0)</f>
        <v>71.092399999999998</v>
      </c>
      <c r="K736" s="10">
        <f>71.0903 * CHOOSE(CONTROL!$C$9, $D$9, 100%, $F$9) + CHOOSE(CONTROL!$C$27, 0.0021, 0)</f>
        <v>71.092399999999998</v>
      </c>
      <c r="L736" s="10"/>
    </row>
    <row r="737" spans="1:12" ht="15.75" x14ac:dyDescent="0.25">
      <c r="A737" s="13">
        <v>63370</v>
      </c>
      <c r="B737" s="10">
        <f>72.3755 * CHOOSE(CONTROL!$C$9, $D$9, 100%, $F$9) + CHOOSE(CONTROL!$C$27, 0.0021, 0)</f>
        <v>72.377600000000001</v>
      </c>
      <c r="C737" s="10">
        <f>71.9432 * CHOOSE(CONTROL!$C$9, $D$9, 100%, $F$9) + CHOOSE(CONTROL!$C$27, 0.0021, 0)</f>
        <v>71.945300000000003</v>
      </c>
      <c r="D737" s="10">
        <f>71.9432 * CHOOSE(CONTROL!$C$9, $D$9, 100%, $F$9) + CHOOSE(CONTROL!$C$27, 0.0021, 0)</f>
        <v>71.945300000000003</v>
      </c>
      <c r="E737" s="10">
        <f>71.8066 * CHOOSE(CONTROL!$C$9, $D$9, 100%, $F$9) + CHOOSE(CONTROL!$C$27, 0.0021, 0)</f>
        <v>71.808700000000002</v>
      </c>
      <c r="F737" s="10">
        <f>71.8066 * CHOOSE(CONTROL!$C$9, $D$9, 100%, $F$9) + CHOOSE(CONTROL!$C$27, 0.0021, 0)</f>
        <v>71.808700000000002</v>
      </c>
      <c r="G737" s="10">
        <f>72.0779 * CHOOSE(CONTROL!$C$9, $D$9, 100%, $F$9) + CHOOSE(CONTROL!$C$27, 0.0021, 0)</f>
        <v>72.08</v>
      </c>
      <c r="H737" s="10">
        <f>71.9432 * CHOOSE(CONTROL!$C$9, $D$9, 100%, $F$9) + CHOOSE(CONTROL!$C$27, 0.0021, 0)</f>
        <v>71.945300000000003</v>
      </c>
      <c r="I737" s="10">
        <f>71.9432 * CHOOSE(CONTROL!$C$9, $D$9, 100%, $F$9) + CHOOSE(CONTROL!$C$27, 0.0021, 0)</f>
        <v>71.945300000000003</v>
      </c>
      <c r="J737" s="10">
        <f>71.9432 * CHOOSE(CONTROL!$C$9, $D$9, 100%, $F$9) + CHOOSE(CONTROL!$C$27, 0.0021, 0)</f>
        <v>71.945300000000003</v>
      </c>
      <c r="K737" s="10">
        <f>71.9432 * CHOOSE(CONTROL!$C$9, $D$9, 100%, $F$9) + CHOOSE(CONTROL!$C$27, 0.0021, 0)</f>
        <v>71.945300000000003</v>
      </c>
      <c r="L737" s="10"/>
    </row>
    <row r="738" spans="1:12" ht="15.75" x14ac:dyDescent="0.25">
      <c r="A738" s="13">
        <v>63401</v>
      </c>
      <c r="B738" s="10">
        <f>73.7824 * CHOOSE(CONTROL!$C$9, $D$9, 100%, $F$9) + CHOOSE(CONTROL!$C$27, 0.0021, 0)</f>
        <v>73.784499999999994</v>
      </c>
      <c r="C738" s="10">
        <f>73.3502 * CHOOSE(CONTROL!$C$9, $D$9, 100%, $F$9) + CHOOSE(CONTROL!$C$27, 0.0021, 0)</f>
        <v>73.3523</v>
      </c>
      <c r="D738" s="10">
        <f>73.3502 * CHOOSE(CONTROL!$C$9, $D$9, 100%, $F$9) + CHOOSE(CONTROL!$C$27, 0.0021, 0)</f>
        <v>73.3523</v>
      </c>
      <c r="E738" s="10">
        <f>73.2135 * CHOOSE(CONTROL!$C$9, $D$9, 100%, $F$9) + CHOOSE(CONTROL!$C$27, 0.0021, 0)</f>
        <v>73.215599999999995</v>
      </c>
      <c r="F738" s="10">
        <f>73.2135 * CHOOSE(CONTROL!$C$9, $D$9, 100%, $F$9) + CHOOSE(CONTROL!$C$27, 0.0021, 0)</f>
        <v>73.215599999999995</v>
      </c>
      <c r="G738" s="10">
        <f>73.4849 * CHOOSE(CONTROL!$C$9, $D$9, 100%, $F$9) + CHOOSE(CONTROL!$C$27, 0.0021, 0)</f>
        <v>73.486999999999995</v>
      </c>
      <c r="H738" s="10">
        <f>73.3502 * CHOOSE(CONTROL!$C$9, $D$9, 100%, $F$9) + CHOOSE(CONTROL!$C$27, 0.0021, 0)</f>
        <v>73.3523</v>
      </c>
      <c r="I738" s="10">
        <f>73.3502 * CHOOSE(CONTROL!$C$9, $D$9, 100%, $F$9) + CHOOSE(CONTROL!$C$27, 0.0021, 0)</f>
        <v>73.3523</v>
      </c>
      <c r="J738" s="10">
        <f>73.3502 * CHOOSE(CONTROL!$C$9, $D$9, 100%, $F$9) + CHOOSE(CONTROL!$C$27, 0.0021, 0)</f>
        <v>73.3523</v>
      </c>
      <c r="K738" s="10">
        <f>73.3502 * CHOOSE(CONTROL!$C$9, $D$9, 100%, $F$9) + CHOOSE(CONTROL!$C$27, 0.0021, 0)</f>
        <v>73.3523</v>
      </c>
      <c r="L738" s="10"/>
    </row>
    <row r="739" spans="1:12" ht="15.75" x14ac:dyDescent="0.25">
      <c r="A739" s="13">
        <v>63432</v>
      </c>
      <c r="B739" s="10">
        <f>74.2119 * CHOOSE(CONTROL!$C$9, $D$9, 100%, $F$9) + CHOOSE(CONTROL!$C$27, 0.0021, 0)</f>
        <v>74.213999999999999</v>
      </c>
      <c r="C739" s="10">
        <f>73.7796 * CHOOSE(CONTROL!$C$9, $D$9, 100%, $F$9) + CHOOSE(CONTROL!$C$27, 0.0021, 0)</f>
        <v>73.781700000000001</v>
      </c>
      <c r="D739" s="10">
        <f>73.7796 * CHOOSE(CONTROL!$C$9, $D$9, 100%, $F$9) + CHOOSE(CONTROL!$C$27, 0.0021, 0)</f>
        <v>73.781700000000001</v>
      </c>
      <c r="E739" s="10">
        <f>73.643 * CHOOSE(CONTROL!$C$9, $D$9, 100%, $F$9) + CHOOSE(CONTROL!$C$27, 0.0021, 0)</f>
        <v>73.645099999999999</v>
      </c>
      <c r="F739" s="10">
        <f>73.643 * CHOOSE(CONTROL!$C$9, $D$9, 100%, $F$9) + CHOOSE(CONTROL!$C$27, 0.0021, 0)</f>
        <v>73.645099999999999</v>
      </c>
      <c r="G739" s="10">
        <f>73.9144 * CHOOSE(CONTROL!$C$9, $D$9, 100%, $F$9) + CHOOSE(CONTROL!$C$27, 0.0021, 0)</f>
        <v>73.916499999999999</v>
      </c>
      <c r="H739" s="10">
        <f>73.7796 * CHOOSE(CONTROL!$C$9, $D$9, 100%, $F$9) + CHOOSE(CONTROL!$C$27, 0.0021, 0)</f>
        <v>73.781700000000001</v>
      </c>
      <c r="I739" s="10">
        <f>73.7796 * CHOOSE(CONTROL!$C$9, $D$9, 100%, $F$9) + CHOOSE(CONTROL!$C$27, 0.0021, 0)</f>
        <v>73.781700000000001</v>
      </c>
      <c r="J739" s="10">
        <f>73.7796 * CHOOSE(CONTROL!$C$9, $D$9, 100%, $F$9) + CHOOSE(CONTROL!$C$27, 0.0021, 0)</f>
        <v>73.781700000000001</v>
      </c>
      <c r="K739" s="10">
        <f>73.7796 * CHOOSE(CONTROL!$C$9, $D$9, 100%, $F$9) + CHOOSE(CONTROL!$C$27, 0.0021, 0)</f>
        <v>73.781700000000001</v>
      </c>
      <c r="L739" s="10"/>
    </row>
    <row r="740" spans="1:12" ht="15.75" x14ac:dyDescent="0.25">
      <c r="A740" s="13">
        <v>63462</v>
      </c>
      <c r="B740" s="10">
        <f>75.6744 * CHOOSE(CONTROL!$C$9, $D$9, 100%, $F$9) + CHOOSE(CONTROL!$C$27, 0.0021, 0)</f>
        <v>75.676500000000004</v>
      </c>
      <c r="C740" s="10">
        <f>75.2421 * CHOOSE(CONTROL!$C$9, $D$9, 100%, $F$9) + CHOOSE(CONTROL!$C$27, 0.0021, 0)</f>
        <v>75.244199999999992</v>
      </c>
      <c r="D740" s="10">
        <f>75.2421 * CHOOSE(CONTROL!$C$9, $D$9, 100%, $F$9) + CHOOSE(CONTROL!$C$27, 0.0021, 0)</f>
        <v>75.244199999999992</v>
      </c>
      <c r="E740" s="10">
        <f>75.1055 * CHOOSE(CONTROL!$C$9, $D$9, 100%, $F$9) + CHOOSE(CONTROL!$C$27, 0.0021, 0)</f>
        <v>75.107600000000005</v>
      </c>
      <c r="F740" s="10">
        <f>75.1055 * CHOOSE(CONTROL!$C$9, $D$9, 100%, $F$9) + CHOOSE(CONTROL!$C$27, 0.0021, 0)</f>
        <v>75.107600000000005</v>
      </c>
      <c r="G740" s="10">
        <f>75.3768 * CHOOSE(CONTROL!$C$9, $D$9, 100%, $F$9) + CHOOSE(CONTROL!$C$27, 0.0021, 0)</f>
        <v>75.378900000000002</v>
      </c>
      <c r="H740" s="10">
        <f>75.2421 * CHOOSE(CONTROL!$C$9, $D$9, 100%, $F$9) + CHOOSE(CONTROL!$C$27, 0.0021, 0)</f>
        <v>75.244199999999992</v>
      </c>
      <c r="I740" s="10">
        <f>75.2421 * CHOOSE(CONTROL!$C$9, $D$9, 100%, $F$9) + CHOOSE(CONTROL!$C$27, 0.0021, 0)</f>
        <v>75.244199999999992</v>
      </c>
      <c r="J740" s="10">
        <f>75.2421 * CHOOSE(CONTROL!$C$9, $D$9, 100%, $F$9) + CHOOSE(CONTROL!$C$27, 0.0021, 0)</f>
        <v>75.244199999999992</v>
      </c>
      <c r="K740" s="10">
        <f>75.2421 * CHOOSE(CONTROL!$C$9, $D$9, 100%, $F$9) + CHOOSE(CONTROL!$C$27, 0.0021, 0)</f>
        <v>75.244199999999992</v>
      </c>
      <c r="L740" s="10"/>
    </row>
    <row r="741" spans="1:12" ht="15.75" x14ac:dyDescent="0.25">
      <c r="A741" s="13">
        <v>63493</v>
      </c>
      <c r="B741" s="10">
        <f>77.5256 * CHOOSE(CONTROL!$C$9, $D$9, 100%, $F$9) + CHOOSE(CONTROL!$C$27, 0.0021, 0)</f>
        <v>77.527699999999996</v>
      </c>
      <c r="C741" s="10">
        <f>77.0934 * CHOOSE(CONTROL!$C$9, $D$9, 100%, $F$9) + CHOOSE(CONTROL!$C$27, 0.0021, 0)</f>
        <v>77.095500000000001</v>
      </c>
      <c r="D741" s="10">
        <f>77.0934 * CHOOSE(CONTROL!$C$9, $D$9, 100%, $F$9) + CHOOSE(CONTROL!$C$27, 0.0021, 0)</f>
        <v>77.095500000000001</v>
      </c>
      <c r="E741" s="10">
        <f>76.9567 * CHOOSE(CONTROL!$C$9, $D$9, 100%, $F$9) + CHOOSE(CONTROL!$C$27, 0.0021, 0)</f>
        <v>76.958799999999997</v>
      </c>
      <c r="F741" s="10">
        <f>76.9567 * CHOOSE(CONTROL!$C$9, $D$9, 100%, $F$9) + CHOOSE(CONTROL!$C$27, 0.0021, 0)</f>
        <v>76.958799999999997</v>
      </c>
      <c r="G741" s="10">
        <f>77.2281 * CHOOSE(CONTROL!$C$9, $D$9, 100%, $F$9) + CHOOSE(CONTROL!$C$27, 0.0021, 0)</f>
        <v>77.230199999999996</v>
      </c>
      <c r="H741" s="10">
        <f>77.0934 * CHOOSE(CONTROL!$C$9, $D$9, 100%, $F$9) + CHOOSE(CONTROL!$C$27, 0.0021, 0)</f>
        <v>77.095500000000001</v>
      </c>
      <c r="I741" s="10">
        <f>77.0934 * CHOOSE(CONTROL!$C$9, $D$9, 100%, $F$9) + CHOOSE(CONTROL!$C$27, 0.0021, 0)</f>
        <v>77.095500000000001</v>
      </c>
      <c r="J741" s="10">
        <f>77.0934 * CHOOSE(CONTROL!$C$9, $D$9, 100%, $F$9) + CHOOSE(CONTROL!$C$27, 0.0021, 0)</f>
        <v>77.095500000000001</v>
      </c>
      <c r="K741" s="10">
        <f>77.0934 * CHOOSE(CONTROL!$C$9, $D$9, 100%, $F$9) + CHOOSE(CONTROL!$C$27, 0.0021, 0)</f>
        <v>77.095500000000001</v>
      </c>
      <c r="L741" s="10"/>
    </row>
    <row r="742" spans="1:12" ht="15.75" x14ac:dyDescent="0.25">
      <c r="A742" s="13">
        <v>63523</v>
      </c>
      <c r="B742" s="10">
        <f>77.6994 * CHOOSE(CONTROL!$C$9, $D$9, 100%, $F$9) + CHOOSE(CONTROL!$C$27, 0.0021, 0)</f>
        <v>77.701499999999996</v>
      </c>
      <c r="C742" s="10">
        <f>77.2672 * CHOOSE(CONTROL!$C$9, $D$9, 100%, $F$9) + CHOOSE(CONTROL!$C$27, 0.0021, 0)</f>
        <v>77.269300000000001</v>
      </c>
      <c r="D742" s="10">
        <f>77.2672 * CHOOSE(CONTROL!$C$9, $D$9, 100%, $F$9) + CHOOSE(CONTROL!$C$27, 0.0021, 0)</f>
        <v>77.269300000000001</v>
      </c>
      <c r="E742" s="10">
        <f>77.1305 * CHOOSE(CONTROL!$C$9, $D$9, 100%, $F$9) + CHOOSE(CONTROL!$C$27, 0.0021, 0)</f>
        <v>77.132599999999996</v>
      </c>
      <c r="F742" s="10">
        <f>77.1305 * CHOOSE(CONTROL!$C$9, $D$9, 100%, $F$9) + CHOOSE(CONTROL!$C$27, 0.0021, 0)</f>
        <v>77.132599999999996</v>
      </c>
      <c r="G742" s="10">
        <f>77.4019 * CHOOSE(CONTROL!$C$9, $D$9, 100%, $F$9) + CHOOSE(CONTROL!$C$27, 0.0021, 0)</f>
        <v>77.403999999999996</v>
      </c>
      <c r="H742" s="10">
        <f>77.2672 * CHOOSE(CONTROL!$C$9, $D$9, 100%, $F$9) + CHOOSE(CONTROL!$C$27, 0.0021, 0)</f>
        <v>77.269300000000001</v>
      </c>
      <c r="I742" s="10">
        <f>77.2672 * CHOOSE(CONTROL!$C$9, $D$9, 100%, $F$9) + CHOOSE(CONTROL!$C$27, 0.0021, 0)</f>
        <v>77.269300000000001</v>
      </c>
      <c r="J742" s="10">
        <f>77.2672 * CHOOSE(CONTROL!$C$9, $D$9, 100%, $F$9) + CHOOSE(CONTROL!$C$27, 0.0021, 0)</f>
        <v>77.269300000000001</v>
      </c>
      <c r="K742" s="10">
        <f>77.2672 * CHOOSE(CONTROL!$C$9, $D$9, 100%, $F$9) + CHOOSE(CONTROL!$C$27, 0.0021, 0)</f>
        <v>77.269300000000001</v>
      </c>
      <c r="L742" s="10"/>
    </row>
    <row r="743" spans="1:12" ht="15.75" x14ac:dyDescent="0.25">
      <c r="A743" s="13">
        <v>63554</v>
      </c>
      <c r="B743" s="10">
        <f>76.2209 * CHOOSE(CONTROL!$C$9, $D$9, 100%, $F$9) + CHOOSE(CONTROL!$C$27, 0.0021, 0)</f>
        <v>76.222999999999999</v>
      </c>
      <c r="C743" s="10">
        <f>75.7886 * CHOOSE(CONTROL!$C$9, $D$9, 100%, $F$9) + CHOOSE(CONTROL!$C$27, 0.0021, 0)</f>
        <v>75.790700000000001</v>
      </c>
      <c r="D743" s="10">
        <f>75.7886 * CHOOSE(CONTROL!$C$9, $D$9, 100%, $F$9) + CHOOSE(CONTROL!$C$27, 0.0021, 0)</f>
        <v>75.790700000000001</v>
      </c>
      <c r="E743" s="10">
        <f>75.652 * CHOOSE(CONTROL!$C$9, $D$9, 100%, $F$9) + CHOOSE(CONTROL!$C$27, 0.0021, 0)</f>
        <v>75.6541</v>
      </c>
      <c r="F743" s="10">
        <f>75.652 * CHOOSE(CONTROL!$C$9, $D$9, 100%, $F$9) + CHOOSE(CONTROL!$C$27, 0.0021, 0)</f>
        <v>75.6541</v>
      </c>
      <c r="G743" s="10">
        <f>75.9233 * CHOOSE(CONTROL!$C$9, $D$9, 100%, $F$9) + CHOOSE(CONTROL!$C$27, 0.0021, 0)</f>
        <v>75.925399999999996</v>
      </c>
      <c r="H743" s="10">
        <f>75.7886 * CHOOSE(CONTROL!$C$9, $D$9, 100%, $F$9) + CHOOSE(CONTROL!$C$27, 0.0021, 0)</f>
        <v>75.790700000000001</v>
      </c>
      <c r="I743" s="10">
        <f>75.7886 * CHOOSE(CONTROL!$C$9, $D$9, 100%, $F$9) + CHOOSE(CONTROL!$C$27, 0.0021, 0)</f>
        <v>75.790700000000001</v>
      </c>
      <c r="J743" s="10">
        <f>75.7886 * CHOOSE(CONTROL!$C$9, $D$9, 100%, $F$9) + CHOOSE(CONTROL!$C$27, 0.0021, 0)</f>
        <v>75.790700000000001</v>
      </c>
      <c r="K743" s="10">
        <f>75.7886 * CHOOSE(CONTROL!$C$9, $D$9, 100%, $F$9) + CHOOSE(CONTROL!$C$27, 0.0021, 0)</f>
        <v>75.790700000000001</v>
      </c>
      <c r="L743" s="10"/>
    </row>
    <row r="744" spans="1:12" ht="15.75" x14ac:dyDescent="0.25">
      <c r="A744" s="13">
        <v>63585</v>
      </c>
      <c r="B744" s="10">
        <f>75.2522 * CHOOSE(CONTROL!$C$9, $D$9, 100%, $F$9) + CHOOSE(CONTROL!$C$27, 0.0021, 0)</f>
        <v>75.254300000000001</v>
      </c>
      <c r="C744" s="10">
        <f>74.82 * CHOOSE(CONTROL!$C$9, $D$9, 100%, $F$9) + CHOOSE(CONTROL!$C$27, 0.0021, 0)</f>
        <v>74.822099999999992</v>
      </c>
      <c r="D744" s="10">
        <f>74.82 * CHOOSE(CONTROL!$C$9, $D$9, 100%, $F$9) + CHOOSE(CONTROL!$C$27, 0.0021, 0)</f>
        <v>74.822099999999992</v>
      </c>
      <c r="E744" s="10">
        <f>74.6833 * CHOOSE(CONTROL!$C$9, $D$9, 100%, $F$9) + CHOOSE(CONTROL!$C$27, 0.0021, 0)</f>
        <v>74.685400000000001</v>
      </c>
      <c r="F744" s="10">
        <f>74.6833 * CHOOSE(CONTROL!$C$9, $D$9, 100%, $F$9) + CHOOSE(CONTROL!$C$27, 0.0021, 0)</f>
        <v>74.685400000000001</v>
      </c>
      <c r="G744" s="10">
        <f>74.9547 * CHOOSE(CONTROL!$C$9, $D$9, 100%, $F$9) + CHOOSE(CONTROL!$C$27, 0.0021, 0)</f>
        <v>74.956800000000001</v>
      </c>
      <c r="H744" s="10">
        <f>74.82 * CHOOSE(CONTROL!$C$9, $D$9, 100%, $F$9) + CHOOSE(CONTROL!$C$27, 0.0021, 0)</f>
        <v>74.822099999999992</v>
      </c>
      <c r="I744" s="10">
        <f>74.82 * CHOOSE(CONTROL!$C$9, $D$9, 100%, $F$9) + CHOOSE(CONTROL!$C$27, 0.0021, 0)</f>
        <v>74.822099999999992</v>
      </c>
      <c r="J744" s="10">
        <f>74.82 * CHOOSE(CONTROL!$C$9, $D$9, 100%, $F$9) + CHOOSE(CONTROL!$C$27, 0.0021, 0)</f>
        <v>74.822099999999992</v>
      </c>
      <c r="K744" s="10">
        <f>74.82 * CHOOSE(CONTROL!$C$9, $D$9, 100%, $F$9) + CHOOSE(CONTROL!$C$27, 0.0021, 0)</f>
        <v>74.822099999999992</v>
      </c>
      <c r="L744" s="10"/>
    </row>
    <row r="745" spans="1:12" ht="15.75" x14ac:dyDescent="0.25">
      <c r="A745" s="13">
        <v>63613</v>
      </c>
      <c r="B745" s="10">
        <f>73.1885 * CHOOSE(CONTROL!$C$9, $D$9, 100%, $F$9) + CHOOSE(CONTROL!$C$27, 0.0021, 0)</f>
        <v>73.190600000000003</v>
      </c>
      <c r="C745" s="10">
        <f>72.7563 * CHOOSE(CONTROL!$C$9, $D$9, 100%, $F$9) + CHOOSE(CONTROL!$C$27, 0.0021, 0)</f>
        <v>72.758399999999995</v>
      </c>
      <c r="D745" s="10">
        <f>72.7563 * CHOOSE(CONTROL!$C$9, $D$9, 100%, $F$9) + CHOOSE(CONTROL!$C$27, 0.0021, 0)</f>
        <v>72.758399999999995</v>
      </c>
      <c r="E745" s="10">
        <f>72.6196 * CHOOSE(CONTROL!$C$9, $D$9, 100%, $F$9) + CHOOSE(CONTROL!$C$27, 0.0021, 0)</f>
        <v>72.621700000000004</v>
      </c>
      <c r="F745" s="10">
        <f>72.6196 * CHOOSE(CONTROL!$C$9, $D$9, 100%, $F$9) + CHOOSE(CONTROL!$C$27, 0.0021, 0)</f>
        <v>72.621700000000004</v>
      </c>
      <c r="G745" s="10">
        <f>72.891 * CHOOSE(CONTROL!$C$9, $D$9, 100%, $F$9) + CHOOSE(CONTROL!$C$27, 0.0021, 0)</f>
        <v>72.893100000000004</v>
      </c>
      <c r="H745" s="10">
        <f>72.7563 * CHOOSE(CONTROL!$C$9, $D$9, 100%, $F$9) + CHOOSE(CONTROL!$C$27, 0.0021, 0)</f>
        <v>72.758399999999995</v>
      </c>
      <c r="I745" s="10">
        <f>72.7563 * CHOOSE(CONTROL!$C$9, $D$9, 100%, $F$9) + CHOOSE(CONTROL!$C$27, 0.0021, 0)</f>
        <v>72.758399999999995</v>
      </c>
      <c r="J745" s="10">
        <f>72.7563 * CHOOSE(CONTROL!$C$9, $D$9, 100%, $F$9) + CHOOSE(CONTROL!$C$27, 0.0021, 0)</f>
        <v>72.758399999999995</v>
      </c>
      <c r="K745" s="10">
        <f>72.7563 * CHOOSE(CONTROL!$C$9, $D$9, 100%, $F$9) + CHOOSE(CONTROL!$C$27, 0.0021, 0)</f>
        <v>72.758399999999995</v>
      </c>
      <c r="L745" s="10"/>
    </row>
    <row r="746" spans="1:12" ht="15.75" x14ac:dyDescent="0.25">
      <c r="A746" s="13">
        <v>63644</v>
      </c>
      <c r="B746" s="10">
        <f>72.3366 * CHOOSE(CONTROL!$C$9, $D$9, 100%, $F$9) + CHOOSE(CONTROL!$C$27, 0.0021, 0)</f>
        <v>72.338700000000003</v>
      </c>
      <c r="C746" s="10">
        <f>71.9044 * CHOOSE(CONTROL!$C$9, $D$9, 100%, $F$9) + CHOOSE(CONTROL!$C$27, 0.0021, 0)</f>
        <v>71.906499999999994</v>
      </c>
      <c r="D746" s="10">
        <f>71.9044 * CHOOSE(CONTROL!$C$9, $D$9, 100%, $F$9) + CHOOSE(CONTROL!$C$27, 0.0021, 0)</f>
        <v>71.906499999999994</v>
      </c>
      <c r="E746" s="10">
        <f>71.7677 * CHOOSE(CONTROL!$C$9, $D$9, 100%, $F$9) + CHOOSE(CONTROL!$C$27, 0.0021, 0)</f>
        <v>71.769800000000004</v>
      </c>
      <c r="F746" s="10">
        <f>71.7677 * CHOOSE(CONTROL!$C$9, $D$9, 100%, $F$9) + CHOOSE(CONTROL!$C$27, 0.0021, 0)</f>
        <v>71.769800000000004</v>
      </c>
      <c r="G746" s="10">
        <f>72.0391 * CHOOSE(CONTROL!$C$9, $D$9, 100%, $F$9) + CHOOSE(CONTROL!$C$27, 0.0021, 0)</f>
        <v>72.041200000000003</v>
      </c>
      <c r="H746" s="10">
        <f>71.9044 * CHOOSE(CONTROL!$C$9, $D$9, 100%, $F$9) + CHOOSE(CONTROL!$C$27, 0.0021, 0)</f>
        <v>71.906499999999994</v>
      </c>
      <c r="I746" s="10">
        <f>71.9044 * CHOOSE(CONTROL!$C$9, $D$9, 100%, $F$9) + CHOOSE(CONTROL!$C$27, 0.0021, 0)</f>
        <v>71.906499999999994</v>
      </c>
      <c r="J746" s="10">
        <f>71.9044 * CHOOSE(CONTROL!$C$9, $D$9, 100%, $F$9) + CHOOSE(CONTROL!$C$27, 0.0021, 0)</f>
        <v>71.906499999999994</v>
      </c>
      <c r="K746" s="10">
        <f>71.9044 * CHOOSE(CONTROL!$C$9, $D$9, 100%, $F$9) + CHOOSE(CONTROL!$C$27, 0.0021, 0)</f>
        <v>71.906499999999994</v>
      </c>
      <c r="L746" s="10"/>
    </row>
    <row r="747" spans="1:12" ht="15.75" x14ac:dyDescent="0.25">
      <c r="A747" s="13">
        <v>63674</v>
      </c>
      <c r="B747" s="10">
        <f>71.3195 * CHOOSE(CONTROL!$C$9, $D$9, 100%, $F$9) + CHOOSE(CONTROL!$C$27, 0.0021, 0)</f>
        <v>71.321600000000004</v>
      </c>
      <c r="C747" s="10">
        <f>70.8872 * CHOOSE(CONTROL!$C$9, $D$9, 100%, $F$9) + CHOOSE(CONTROL!$C$27, 0.0021, 0)</f>
        <v>70.889300000000006</v>
      </c>
      <c r="D747" s="10">
        <f>70.8872 * CHOOSE(CONTROL!$C$9, $D$9, 100%, $F$9) + CHOOSE(CONTROL!$C$27, 0.0021, 0)</f>
        <v>70.889300000000006</v>
      </c>
      <c r="E747" s="10">
        <f>70.7506 * CHOOSE(CONTROL!$C$9, $D$9, 100%, $F$9) + CHOOSE(CONTROL!$C$27, 0.0021, 0)</f>
        <v>70.752700000000004</v>
      </c>
      <c r="F747" s="10">
        <f>70.7506 * CHOOSE(CONTROL!$C$9, $D$9, 100%, $F$9) + CHOOSE(CONTROL!$C$27, 0.0021, 0)</f>
        <v>70.752700000000004</v>
      </c>
      <c r="G747" s="10">
        <f>71.0219 * CHOOSE(CONTROL!$C$9, $D$9, 100%, $F$9) + CHOOSE(CONTROL!$C$27, 0.0021, 0)</f>
        <v>71.024000000000001</v>
      </c>
      <c r="H747" s="10">
        <f>70.8872 * CHOOSE(CONTROL!$C$9, $D$9, 100%, $F$9) + CHOOSE(CONTROL!$C$27, 0.0021, 0)</f>
        <v>70.889300000000006</v>
      </c>
      <c r="I747" s="10">
        <f>70.8872 * CHOOSE(CONTROL!$C$9, $D$9, 100%, $F$9) + CHOOSE(CONTROL!$C$27, 0.0021, 0)</f>
        <v>70.889300000000006</v>
      </c>
      <c r="J747" s="10">
        <f>70.8872 * CHOOSE(CONTROL!$C$9, $D$9, 100%, $F$9) + CHOOSE(CONTROL!$C$27, 0.0021, 0)</f>
        <v>70.889300000000006</v>
      </c>
      <c r="K747" s="10">
        <f>70.8872 * CHOOSE(CONTROL!$C$9, $D$9, 100%, $F$9) + CHOOSE(CONTROL!$C$27, 0.0021, 0)</f>
        <v>70.889300000000006</v>
      </c>
      <c r="L747" s="10"/>
    </row>
    <row r="748" spans="1:12" ht="15.75" x14ac:dyDescent="0.25">
      <c r="A748" s="13">
        <v>63705</v>
      </c>
      <c r="B748" s="10">
        <f>72.7691 * CHOOSE(CONTROL!$C$9, $D$9, 100%, $F$9) + CHOOSE(CONTROL!$C$27, 0.0021, 0)</f>
        <v>72.771199999999993</v>
      </c>
      <c r="C748" s="10">
        <f>72.3368 * CHOOSE(CONTROL!$C$9, $D$9, 100%, $F$9) + CHOOSE(CONTROL!$C$27, 0.0021, 0)</f>
        <v>72.338899999999995</v>
      </c>
      <c r="D748" s="10">
        <f>72.3368 * CHOOSE(CONTROL!$C$9, $D$9, 100%, $F$9) + CHOOSE(CONTROL!$C$27, 0.0021, 0)</f>
        <v>72.338899999999995</v>
      </c>
      <c r="E748" s="10">
        <f>72.2002 * CHOOSE(CONTROL!$C$9, $D$9, 100%, $F$9) + CHOOSE(CONTROL!$C$27, 0.0021, 0)</f>
        <v>72.202299999999994</v>
      </c>
      <c r="F748" s="10">
        <f>72.2002 * CHOOSE(CONTROL!$C$9, $D$9, 100%, $F$9) + CHOOSE(CONTROL!$C$27, 0.0021, 0)</f>
        <v>72.202299999999994</v>
      </c>
      <c r="G748" s="10">
        <f>72.4715 * CHOOSE(CONTROL!$C$9, $D$9, 100%, $F$9) + CHOOSE(CONTROL!$C$27, 0.0021, 0)</f>
        <v>72.473600000000005</v>
      </c>
      <c r="H748" s="10">
        <f>72.3368 * CHOOSE(CONTROL!$C$9, $D$9, 100%, $F$9) + CHOOSE(CONTROL!$C$27, 0.0021, 0)</f>
        <v>72.338899999999995</v>
      </c>
      <c r="I748" s="10">
        <f>72.3368 * CHOOSE(CONTROL!$C$9, $D$9, 100%, $F$9) + CHOOSE(CONTROL!$C$27, 0.0021, 0)</f>
        <v>72.338899999999995</v>
      </c>
      <c r="J748" s="10">
        <f>72.3368 * CHOOSE(CONTROL!$C$9, $D$9, 100%, $F$9) + CHOOSE(CONTROL!$C$27, 0.0021, 0)</f>
        <v>72.338899999999995</v>
      </c>
      <c r="K748" s="10">
        <f>72.3368 * CHOOSE(CONTROL!$C$9, $D$9, 100%, $F$9) + CHOOSE(CONTROL!$C$27, 0.0021, 0)</f>
        <v>72.338899999999995</v>
      </c>
      <c r="L748" s="10"/>
    </row>
    <row r="749" spans="1:12" ht="15.75" x14ac:dyDescent="0.25">
      <c r="A749" s="13">
        <v>63735</v>
      </c>
      <c r="B749" s="10">
        <f>73.6373 * CHOOSE(CONTROL!$C$9, $D$9, 100%, $F$9) + CHOOSE(CONTROL!$C$27, 0.0021, 0)</f>
        <v>73.639399999999995</v>
      </c>
      <c r="C749" s="10">
        <f>73.2051 * CHOOSE(CONTROL!$C$9, $D$9, 100%, $F$9) + CHOOSE(CONTROL!$C$27, 0.0021, 0)</f>
        <v>73.2072</v>
      </c>
      <c r="D749" s="10">
        <f>73.2051 * CHOOSE(CONTROL!$C$9, $D$9, 100%, $F$9) + CHOOSE(CONTROL!$C$27, 0.0021, 0)</f>
        <v>73.2072</v>
      </c>
      <c r="E749" s="10">
        <f>73.0684 * CHOOSE(CONTROL!$C$9, $D$9, 100%, $F$9) + CHOOSE(CONTROL!$C$27, 0.0021, 0)</f>
        <v>73.070499999999996</v>
      </c>
      <c r="F749" s="10">
        <f>73.0684 * CHOOSE(CONTROL!$C$9, $D$9, 100%, $F$9) + CHOOSE(CONTROL!$C$27, 0.0021, 0)</f>
        <v>73.070499999999996</v>
      </c>
      <c r="G749" s="10">
        <f>73.3398 * CHOOSE(CONTROL!$C$9, $D$9, 100%, $F$9) + CHOOSE(CONTROL!$C$27, 0.0021, 0)</f>
        <v>73.341899999999995</v>
      </c>
      <c r="H749" s="10">
        <f>73.2051 * CHOOSE(CONTROL!$C$9, $D$9, 100%, $F$9) + CHOOSE(CONTROL!$C$27, 0.0021, 0)</f>
        <v>73.2072</v>
      </c>
      <c r="I749" s="10">
        <f>73.2051 * CHOOSE(CONTROL!$C$9, $D$9, 100%, $F$9) + CHOOSE(CONTROL!$C$27, 0.0021, 0)</f>
        <v>73.2072</v>
      </c>
      <c r="J749" s="10">
        <f>73.2051 * CHOOSE(CONTROL!$C$9, $D$9, 100%, $F$9) + CHOOSE(CONTROL!$C$27, 0.0021, 0)</f>
        <v>73.2072</v>
      </c>
      <c r="K749" s="10">
        <f>73.2051 * CHOOSE(CONTROL!$C$9, $D$9, 100%, $F$9) + CHOOSE(CONTROL!$C$27, 0.0021, 0)</f>
        <v>73.2072</v>
      </c>
      <c r="L749" s="10"/>
    </row>
    <row r="750" spans="1:12" ht="15.75" x14ac:dyDescent="0.25">
      <c r="A750" s="13">
        <v>63766</v>
      </c>
      <c r="B750" s="10">
        <f>75.0696 * CHOOSE(CONTROL!$C$9, $D$9, 100%, $F$9) + CHOOSE(CONTROL!$C$27, 0.0021, 0)</f>
        <v>75.071699999999993</v>
      </c>
      <c r="C750" s="10">
        <f>74.6374 * CHOOSE(CONTROL!$C$9, $D$9, 100%, $F$9) + CHOOSE(CONTROL!$C$27, 0.0021, 0)</f>
        <v>74.639499999999998</v>
      </c>
      <c r="D750" s="10">
        <f>74.6374 * CHOOSE(CONTROL!$C$9, $D$9, 100%, $F$9) + CHOOSE(CONTROL!$C$27, 0.0021, 0)</f>
        <v>74.639499999999998</v>
      </c>
      <c r="E750" s="10">
        <f>74.5007 * CHOOSE(CONTROL!$C$9, $D$9, 100%, $F$9) + CHOOSE(CONTROL!$C$27, 0.0021, 0)</f>
        <v>74.502799999999993</v>
      </c>
      <c r="F750" s="10">
        <f>74.5007 * CHOOSE(CONTROL!$C$9, $D$9, 100%, $F$9) + CHOOSE(CONTROL!$C$27, 0.0021, 0)</f>
        <v>74.502799999999993</v>
      </c>
      <c r="G750" s="10">
        <f>74.7721 * CHOOSE(CONTROL!$C$9, $D$9, 100%, $F$9) + CHOOSE(CONTROL!$C$27, 0.0021, 0)</f>
        <v>74.774199999999993</v>
      </c>
      <c r="H750" s="10">
        <f>74.6374 * CHOOSE(CONTROL!$C$9, $D$9, 100%, $F$9) + CHOOSE(CONTROL!$C$27, 0.0021, 0)</f>
        <v>74.639499999999998</v>
      </c>
      <c r="I750" s="10">
        <f>74.6374 * CHOOSE(CONTROL!$C$9, $D$9, 100%, $F$9) + CHOOSE(CONTROL!$C$27, 0.0021, 0)</f>
        <v>74.639499999999998</v>
      </c>
      <c r="J750" s="10">
        <f>74.6374 * CHOOSE(CONTROL!$C$9, $D$9, 100%, $F$9) + CHOOSE(CONTROL!$C$27, 0.0021, 0)</f>
        <v>74.639499999999998</v>
      </c>
      <c r="K750" s="10">
        <f>74.6374 * CHOOSE(CONTROL!$C$9, $D$9, 100%, $F$9) + CHOOSE(CONTROL!$C$27, 0.0021, 0)</f>
        <v>74.639499999999998</v>
      </c>
      <c r="L750" s="10"/>
    </row>
    <row r="751" spans="1:12" ht="15.75" x14ac:dyDescent="0.25">
      <c r="A751" s="13">
        <v>63797</v>
      </c>
      <c r="B751" s="10">
        <f>75.5068 * CHOOSE(CONTROL!$C$9, $D$9, 100%, $F$9) + CHOOSE(CONTROL!$C$27, 0.0021, 0)</f>
        <v>75.508899999999997</v>
      </c>
      <c r="C751" s="10">
        <f>75.0745 * CHOOSE(CONTROL!$C$9, $D$9, 100%, $F$9) + CHOOSE(CONTROL!$C$27, 0.0021, 0)</f>
        <v>75.076599999999999</v>
      </c>
      <c r="D751" s="10">
        <f>75.0745 * CHOOSE(CONTROL!$C$9, $D$9, 100%, $F$9) + CHOOSE(CONTROL!$C$27, 0.0021, 0)</f>
        <v>75.076599999999999</v>
      </c>
      <c r="E751" s="10">
        <f>74.9379 * CHOOSE(CONTROL!$C$9, $D$9, 100%, $F$9) + CHOOSE(CONTROL!$C$27, 0.0021, 0)</f>
        <v>74.94</v>
      </c>
      <c r="F751" s="10">
        <f>74.9379 * CHOOSE(CONTROL!$C$9, $D$9, 100%, $F$9) + CHOOSE(CONTROL!$C$27, 0.0021, 0)</f>
        <v>74.94</v>
      </c>
      <c r="G751" s="10">
        <f>75.2093 * CHOOSE(CONTROL!$C$9, $D$9, 100%, $F$9) + CHOOSE(CONTROL!$C$27, 0.0021, 0)</f>
        <v>75.211399999999998</v>
      </c>
      <c r="H751" s="10">
        <f>75.0745 * CHOOSE(CONTROL!$C$9, $D$9, 100%, $F$9) + CHOOSE(CONTROL!$C$27, 0.0021, 0)</f>
        <v>75.076599999999999</v>
      </c>
      <c r="I751" s="10">
        <f>75.0745 * CHOOSE(CONTROL!$C$9, $D$9, 100%, $F$9) + CHOOSE(CONTROL!$C$27, 0.0021, 0)</f>
        <v>75.076599999999999</v>
      </c>
      <c r="J751" s="10">
        <f>75.0745 * CHOOSE(CONTROL!$C$9, $D$9, 100%, $F$9) + CHOOSE(CONTROL!$C$27, 0.0021, 0)</f>
        <v>75.076599999999999</v>
      </c>
      <c r="K751" s="10">
        <f>75.0745 * CHOOSE(CONTROL!$C$9, $D$9, 100%, $F$9) + CHOOSE(CONTROL!$C$27, 0.0021, 0)</f>
        <v>75.076599999999999</v>
      </c>
      <c r="L751" s="10"/>
    </row>
    <row r="752" spans="1:12" ht="15.75" x14ac:dyDescent="0.25">
      <c r="A752" s="13">
        <v>63827</v>
      </c>
      <c r="B752" s="10">
        <f>76.9956 * CHOOSE(CONTROL!$C$9, $D$9, 100%, $F$9) + CHOOSE(CONTROL!$C$27, 0.0021, 0)</f>
        <v>76.997699999999995</v>
      </c>
      <c r="C752" s="10">
        <f>76.5634 * CHOOSE(CONTROL!$C$9, $D$9, 100%, $F$9) + CHOOSE(CONTROL!$C$27, 0.0021, 0)</f>
        <v>76.5655</v>
      </c>
      <c r="D752" s="10">
        <f>76.5634 * CHOOSE(CONTROL!$C$9, $D$9, 100%, $F$9) + CHOOSE(CONTROL!$C$27, 0.0021, 0)</f>
        <v>76.5655</v>
      </c>
      <c r="E752" s="10">
        <f>76.4267 * CHOOSE(CONTROL!$C$9, $D$9, 100%, $F$9) + CHOOSE(CONTROL!$C$27, 0.0021, 0)</f>
        <v>76.428799999999995</v>
      </c>
      <c r="F752" s="10">
        <f>76.4267 * CHOOSE(CONTROL!$C$9, $D$9, 100%, $F$9) + CHOOSE(CONTROL!$C$27, 0.0021, 0)</f>
        <v>76.428799999999995</v>
      </c>
      <c r="G752" s="10">
        <f>76.6981 * CHOOSE(CONTROL!$C$9, $D$9, 100%, $F$9) + CHOOSE(CONTROL!$C$27, 0.0021, 0)</f>
        <v>76.700199999999995</v>
      </c>
      <c r="H752" s="10">
        <f>76.5634 * CHOOSE(CONTROL!$C$9, $D$9, 100%, $F$9) + CHOOSE(CONTROL!$C$27, 0.0021, 0)</f>
        <v>76.5655</v>
      </c>
      <c r="I752" s="10">
        <f>76.5634 * CHOOSE(CONTROL!$C$9, $D$9, 100%, $F$9) + CHOOSE(CONTROL!$C$27, 0.0021, 0)</f>
        <v>76.5655</v>
      </c>
      <c r="J752" s="10">
        <f>76.5634 * CHOOSE(CONTROL!$C$9, $D$9, 100%, $F$9) + CHOOSE(CONTROL!$C$27, 0.0021, 0)</f>
        <v>76.5655</v>
      </c>
      <c r="K752" s="10">
        <f>76.5634 * CHOOSE(CONTROL!$C$9, $D$9, 100%, $F$9) + CHOOSE(CONTROL!$C$27, 0.0021, 0)</f>
        <v>76.5655</v>
      </c>
      <c r="L752" s="10"/>
    </row>
    <row r="753" spans="1:12" ht="15.75" x14ac:dyDescent="0.25">
      <c r="A753" s="13">
        <v>63858</v>
      </c>
      <c r="B753" s="10">
        <f>78.8802 * CHOOSE(CONTROL!$C$9, $D$9, 100%, $F$9) + CHOOSE(CONTROL!$C$27, 0.0021, 0)</f>
        <v>78.882300000000001</v>
      </c>
      <c r="C753" s="10">
        <f>78.4479 * CHOOSE(CONTROL!$C$9, $D$9, 100%, $F$9) + CHOOSE(CONTROL!$C$27, 0.0021, 0)</f>
        <v>78.45</v>
      </c>
      <c r="D753" s="10">
        <f>78.4479 * CHOOSE(CONTROL!$C$9, $D$9, 100%, $F$9) + CHOOSE(CONTROL!$C$27, 0.0021, 0)</f>
        <v>78.45</v>
      </c>
      <c r="E753" s="10">
        <f>78.3113 * CHOOSE(CONTROL!$C$9, $D$9, 100%, $F$9) + CHOOSE(CONTROL!$C$27, 0.0021, 0)</f>
        <v>78.313400000000001</v>
      </c>
      <c r="F753" s="10">
        <f>78.3113 * CHOOSE(CONTROL!$C$9, $D$9, 100%, $F$9) + CHOOSE(CONTROL!$C$27, 0.0021, 0)</f>
        <v>78.313400000000001</v>
      </c>
      <c r="G753" s="10">
        <f>78.5827 * CHOOSE(CONTROL!$C$9, $D$9, 100%, $F$9) + CHOOSE(CONTROL!$C$27, 0.0021, 0)</f>
        <v>78.584800000000001</v>
      </c>
      <c r="H753" s="10">
        <f>78.4479 * CHOOSE(CONTROL!$C$9, $D$9, 100%, $F$9) + CHOOSE(CONTROL!$C$27, 0.0021, 0)</f>
        <v>78.45</v>
      </c>
      <c r="I753" s="10">
        <f>78.4479 * CHOOSE(CONTROL!$C$9, $D$9, 100%, $F$9) + CHOOSE(CONTROL!$C$27, 0.0021, 0)</f>
        <v>78.45</v>
      </c>
      <c r="J753" s="10">
        <f>78.4479 * CHOOSE(CONTROL!$C$9, $D$9, 100%, $F$9) + CHOOSE(CONTROL!$C$27, 0.0021, 0)</f>
        <v>78.45</v>
      </c>
      <c r="K753" s="10">
        <f>78.4479 * CHOOSE(CONTROL!$C$9, $D$9, 100%, $F$9) + CHOOSE(CONTROL!$C$27, 0.0021, 0)</f>
        <v>78.45</v>
      </c>
      <c r="L753" s="10"/>
    </row>
    <row r="754" spans="1:12" ht="15.75" x14ac:dyDescent="0.25">
      <c r="A754" s="13">
        <v>63888</v>
      </c>
      <c r="B754" s="10">
        <f>79.0571 * CHOOSE(CONTROL!$C$9, $D$9, 100%, $F$9) + CHOOSE(CONTROL!$C$27, 0.0021, 0)</f>
        <v>79.059200000000004</v>
      </c>
      <c r="C754" s="10">
        <f>78.6249 * CHOOSE(CONTROL!$C$9, $D$9, 100%, $F$9) + CHOOSE(CONTROL!$C$27, 0.0021, 0)</f>
        <v>78.626999999999995</v>
      </c>
      <c r="D754" s="10">
        <f>78.6249 * CHOOSE(CONTROL!$C$9, $D$9, 100%, $F$9) + CHOOSE(CONTROL!$C$27, 0.0021, 0)</f>
        <v>78.626999999999995</v>
      </c>
      <c r="E754" s="10">
        <f>78.4882 * CHOOSE(CONTROL!$C$9, $D$9, 100%, $F$9) + CHOOSE(CONTROL!$C$27, 0.0021, 0)</f>
        <v>78.490300000000005</v>
      </c>
      <c r="F754" s="10">
        <f>78.4882 * CHOOSE(CONTROL!$C$9, $D$9, 100%, $F$9) + CHOOSE(CONTROL!$C$27, 0.0021, 0)</f>
        <v>78.490300000000005</v>
      </c>
      <c r="G754" s="10">
        <f>78.7596 * CHOOSE(CONTROL!$C$9, $D$9, 100%, $F$9) + CHOOSE(CONTROL!$C$27, 0.0021, 0)</f>
        <v>78.761700000000005</v>
      </c>
      <c r="H754" s="10">
        <f>78.6249 * CHOOSE(CONTROL!$C$9, $D$9, 100%, $F$9) + CHOOSE(CONTROL!$C$27, 0.0021, 0)</f>
        <v>78.626999999999995</v>
      </c>
      <c r="I754" s="10">
        <f>78.6249 * CHOOSE(CONTROL!$C$9, $D$9, 100%, $F$9) + CHOOSE(CONTROL!$C$27, 0.0021, 0)</f>
        <v>78.626999999999995</v>
      </c>
      <c r="J754" s="10">
        <f>78.6249 * CHOOSE(CONTROL!$C$9, $D$9, 100%, $F$9) + CHOOSE(CONTROL!$C$27, 0.0021, 0)</f>
        <v>78.626999999999995</v>
      </c>
      <c r="K754" s="10">
        <f>78.6249 * CHOOSE(CONTROL!$C$9, $D$9, 100%, $F$9) + CHOOSE(CONTROL!$C$27, 0.0021, 0)</f>
        <v>78.626999999999995</v>
      </c>
      <c r="L754" s="10"/>
    </row>
    <row r="755" spans="1:12" ht="15.75" x14ac:dyDescent="0.25">
      <c r="A755" s="13">
        <v>63919</v>
      </c>
      <c r="B755" s="10">
        <f>77.5519 * CHOOSE(CONTROL!$C$9, $D$9, 100%, $F$9) + CHOOSE(CONTROL!$C$27, 0.0021, 0)</f>
        <v>77.554000000000002</v>
      </c>
      <c r="C755" s="10">
        <f>77.1197 * CHOOSE(CONTROL!$C$9, $D$9, 100%, $F$9) + CHOOSE(CONTROL!$C$27, 0.0021, 0)</f>
        <v>77.121799999999993</v>
      </c>
      <c r="D755" s="10">
        <f>77.1197 * CHOOSE(CONTROL!$C$9, $D$9, 100%, $F$9) + CHOOSE(CONTROL!$C$27, 0.0021, 0)</f>
        <v>77.121799999999993</v>
      </c>
      <c r="E755" s="10">
        <f>76.983 * CHOOSE(CONTROL!$C$9, $D$9, 100%, $F$9) + CHOOSE(CONTROL!$C$27, 0.0021, 0)</f>
        <v>76.985100000000003</v>
      </c>
      <c r="F755" s="10">
        <f>76.983 * CHOOSE(CONTROL!$C$9, $D$9, 100%, $F$9) + CHOOSE(CONTROL!$C$27, 0.0021, 0)</f>
        <v>76.985100000000003</v>
      </c>
      <c r="G755" s="10">
        <f>77.2544 * CHOOSE(CONTROL!$C$9, $D$9, 100%, $F$9) + CHOOSE(CONTROL!$C$27, 0.0021, 0)</f>
        <v>77.256500000000003</v>
      </c>
      <c r="H755" s="10">
        <f>77.1197 * CHOOSE(CONTROL!$C$9, $D$9, 100%, $F$9) + CHOOSE(CONTROL!$C$27, 0.0021, 0)</f>
        <v>77.121799999999993</v>
      </c>
      <c r="I755" s="10">
        <f>77.1197 * CHOOSE(CONTROL!$C$9, $D$9, 100%, $F$9) + CHOOSE(CONTROL!$C$27, 0.0021, 0)</f>
        <v>77.121799999999993</v>
      </c>
      <c r="J755" s="10">
        <f>77.1197 * CHOOSE(CONTROL!$C$9, $D$9, 100%, $F$9) + CHOOSE(CONTROL!$C$27, 0.0021, 0)</f>
        <v>77.121799999999993</v>
      </c>
      <c r="K755" s="10">
        <f>77.1197 * CHOOSE(CONTROL!$C$9, $D$9, 100%, $F$9) + CHOOSE(CONTROL!$C$27, 0.0021, 0)</f>
        <v>77.121799999999993</v>
      </c>
      <c r="L755" s="10"/>
    </row>
    <row r="756" spans="1:12" ht="15.75" x14ac:dyDescent="0.25">
      <c r="A756" s="13">
        <v>63950</v>
      </c>
      <c r="B756" s="10">
        <f>76.5659 * CHOOSE(CONTROL!$C$9, $D$9, 100%, $F$9) + CHOOSE(CONTROL!$C$27, 0.0021, 0)</f>
        <v>76.567999999999998</v>
      </c>
      <c r="C756" s="10">
        <f>76.1336 * CHOOSE(CONTROL!$C$9, $D$9, 100%, $F$9) + CHOOSE(CONTROL!$C$27, 0.0021, 0)</f>
        <v>76.1357</v>
      </c>
      <c r="D756" s="10">
        <f>76.1336 * CHOOSE(CONTROL!$C$9, $D$9, 100%, $F$9) + CHOOSE(CONTROL!$C$27, 0.0021, 0)</f>
        <v>76.1357</v>
      </c>
      <c r="E756" s="10">
        <f>75.997 * CHOOSE(CONTROL!$C$9, $D$9, 100%, $F$9) + CHOOSE(CONTROL!$C$27, 0.0021, 0)</f>
        <v>75.999099999999999</v>
      </c>
      <c r="F756" s="10">
        <f>75.997 * CHOOSE(CONTROL!$C$9, $D$9, 100%, $F$9) + CHOOSE(CONTROL!$C$27, 0.0021, 0)</f>
        <v>75.999099999999999</v>
      </c>
      <c r="G756" s="10">
        <f>76.2683 * CHOOSE(CONTROL!$C$9, $D$9, 100%, $F$9) + CHOOSE(CONTROL!$C$27, 0.0021, 0)</f>
        <v>76.270399999999995</v>
      </c>
      <c r="H756" s="10">
        <f>76.1336 * CHOOSE(CONTROL!$C$9, $D$9, 100%, $F$9) + CHOOSE(CONTROL!$C$27, 0.0021, 0)</f>
        <v>76.1357</v>
      </c>
      <c r="I756" s="10">
        <f>76.1336 * CHOOSE(CONTROL!$C$9, $D$9, 100%, $F$9) + CHOOSE(CONTROL!$C$27, 0.0021, 0)</f>
        <v>76.1357</v>
      </c>
      <c r="J756" s="10">
        <f>76.1336 * CHOOSE(CONTROL!$C$9, $D$9, 100%, $F$9) + CHOOSE(CONTROL!$C$27, 0.0021, 0)</f>
        <v>76.1357</v>
      </c>
      <c r="K756" s="10">
        <f>76.1336 * CHOOSE(CONTROL!$C$9, $D$9, 100%, $F$9) + CHOOSE(CONTROL!$C$27, 0.0021, 0)</f>
        <v>76.1357</v>
      </c>
      <c r="L756" s="10"/>
    </row>
    <row r="757" spans="1:12" ht="15.75" x14ac:dyDescent="0.25">
      <c r="A757" s="13">
        <v>63978</v>
      </c>
      <c r="B757" s="10">
        <f>74.465 * CHOOSE(CONTROL!$C$9, $D$9, 100%, $F$9) + CHOOSE(CONTROL!$C$27, 0.0021, 0)</f>
        <v>74.467100000000002</v>
      </c>
      <c r="C757" s="10">
        <f>74.0328 * CHOOSE(CONTROL!$C$9, $D$9, 100%, $F$9) + CHOOSE(CONTROL!$C$27, 0.0021, 0)</f>
        <v>74.034899999999993</v>
      </c>
      <c r="D757" s="10">
        <f>74.0328 * CHOOSE(CONTROL!$C$9, $D$9, 100%, $F$9) + CHOOSE(CONTROL!$C$27, 0.0021, 0)</f>
        <v>74.034899999999993</v>
      </c>
      <c r="E757" s="10">
        <f>73.8961 * CHOOSE(CONTROL!$C$9, $D$9, 100%, $F$9) + CHOOSE(CONTROL!$C$27, 0.0021, 0)</f>
        <v>73.898200000000003</v>
      </c>
      <c r="F757" s="10">
        <f>73.8961 * CHOOSE(CONTROL!$C$9, $D$9, 100%, $F$9) + CHOOSE(CONTROL!$C$27, 0.0021, 0)</f>
        <v>73.898200000000003</v>
      </c>
      <c r="G757" s="10">
        <f>74.1675 * CHOOSE(CONTROL!$C$9, $D$9, 100%, $F$9) + CHOOSE(CONTROL!$C$27, 0.0021, 0)</f>
        <v>74.169600000000003</v>
      </c>
      <c r="H757" s="10">
        <f>74.0328 * CHOOSE(CONTROL!$C$9, $D$9, 100%, $F$9) + CHOOSE(CONTROL!$C$27, 0.0021, 0)</f>
        <v>74.034899999999993</v>
      </c>
      <c r="I757" s="10">
        <f>74.0328 * CHOOSE(CONTROL!$C$9, $D$9, 100%, $F$9) + CHOOSE(CONTROL!$C$27, 0.0021, 0)</f>
        <v>74.034899999999993</v>
      </c>
      <c r="J757" s="10">
        <f>74.0328 * CHOOSE(CONTROL!$C$9, $D$9, 100%, $F$9) + CHOOSE(CONTROL!$C$27, 0.0021, 0)</f>
        <v>74.034899999999993</v>
      </c>
      <c r="K757" s="10">
        <f>74.0328 * CHOOSE(CONTROL!$C$9, $D$9, 100%, $F$9) + CHOOSE(CONTROL!$C$27, 0.0021, 0)</f>
        <v>74.034899999999993</v>
      </c>
      <c r="L757" s="10"/>
    </row>
    <row r="758" spans="1:12" ht="15.75" x14ac:dyDescent="0.25">
      <c r="A758" s="13">
        <v>64009</v>
      </c>
      <c r="B758" s="10">
        <f>73.5978 * CHOOSE(CONTROL!$C$9, $D$9, 100%, $F$9) + CHOOSE(CONTROL!$C$27, 0.0021, 0)</f>
        <v>73.599900000000005</v>
      </c>
      <c r="C758" s="10">
        <f>73.1655 * CHOOSE(CONTROL!$C$9, $D$9, 100%, $F$9) + CHOOSE(CONTROL!$C$27, 0.0021, 0)</f>
        <v>73.167599999999993</v>
      </c>
      <c r="D758" s="10">
        <f>73.1655 * CHOOSE(CONTROL!$C$9, $D$9, 100%, $F$9) + CHOOSE(CONTROL!$C$27, 0.0021, 0)</f>
        <v>73.167599999999993</v>
      </c>
      <c r="E758" s="10">
        <f>73.0289 * CHOOSE(CONTROL!$C$9, $D$9, 100%, $F$9) + CHOOSE(CONTROL!$C$27, 0.0021, 0)</f>
        <v>73.030999999999992</v>
      </c>
      <c r="F758" s="10">
        <f>73.0289 * CHOOSE(CONTROL!$C$9, $D$9, 100%, $F$9) + CHOOSE(CONTROL!$C$27, 0.0021, 0)</f>
        <v>73.030999999999992</v>
      </c>
      <c r="G758" s="10">
        <f>73.3002 * CHOOSE(CONTROL!$C$9, $D$9, 100%, $F$9) + CHOOSE(CONTROL!$C$27, 0.0021, 0)</f>
        <v>73.302300000000002</v>
      </c>
      <c r="H758" s="10">
        <f>73.1655 * CHOOSE(CONTROL!$C$9, $D$9, 100%, $F$9) + CHOOSE(CONTROL!$C$27, 0.0021, 0)</f>
        <v>73.167599999999993</v>
      </c>
      <c r="I758" s="10">
        <f>73.1655 * CHOOSE(CONTROL!$C$9, $D$9, 100%, $F$9) + CHOOSE(CONTROL!$C$27, 0.0021, 0)</f>
        <v>73.167599999999993</v>
      </c>
      <c r="J758" s="10">
        <f>73.1655 * CHOOSE(CONTROL!$C$9, $D$9, 100%, $F$9) + CHOOSE(CONTROL!$C$27, 0.0021, 0)</f>
        <v>73.167599999999993</v>
      </c>
      <c r="K758" s="10">
        <f>73.1655 * CHOOSE(CONTROL!$C$9, $D$9, 100%, $F$9) + CHOOSE(CONTROL!$C$27, 0.0021, 0)</f>
        <v>73.167599999999993</v>
      </c>
      <c r="L758" s="10"/>
    </row>
    <row r="759" spans="1:12" ht="15.75" x14ac:dyDescent="0.25">
      <c r="A759" s="13">
        <v>64039</v>
      </c>
      <c r="B759" s="10">
        <f>72.5623 * CHOOSE(CONTROL!$C$9, $D$9, 100%, $F$9) + CHOOSE(CONTROL!$C$27, 0.0021, 0)</f>
        <v>72.564399999999992</v>
      </c>
      <c r="C759" s="10">
        <f>72.13 * CHOOSE(CONTROL!$C$9, $D$9, 100%, $F$9) + CHOOSE(CONTROL!$C$27, 0.0021, 0)</f>
        <v>72.132099999999994</v>
      </c>
      <c r="D759" s="10">
        <f>72.13 * CHOOSE(CONTROL!$C$9, $D$9, 100%, $F$9) + CHOOSE(CONTROL!$C$27, 0.0021, 0)</f>
        <v>72.132099999999994</v>
      </c>
      <c r="E759" s="10">
        <f>71.9934 * CHOOSE(CONTROL!$C$9, $D$9, 100%, $F$9) + CHOOSE(CONTROL!$C$27, 0.0021, 0)</f>
        <v>71.995499999999993</v>
      </c>
      <c r="F759" s="10">
        <f>71.9934 * CHOOSE(CONTROL!$C$9, $D$9, 100%, $F$9) + CHOOSE(CONTROL!$C$27, 0.0021, 0)</f>
        <v>71.995499999999993</v>
      </c>
      <c r="G759" s="10">
        <f>72.2648 * CHOOSE(CONTROL!$C$9, $D$9, 100%, $F$9) + CHOOSE(CONTROL!$C$27, 0.0021, 0)</f>
        <v>72.266899999999993</v>
      </c>
      <c r="H759" s="10">
        <f>72.13 * CHOOSE(CONTROL!$C$9, $D$9, 100%, $F$9) + CHOOSE(CONTROL!$C$27, 0.0021, 0)</f>
        <v>72.132099999999994</v>
      </c>
      <c r="I759" s="10">
        <f>72.13 * CHOOSE(CONTROL!$C$9, $D$9, 100%, $F$9) + CHOOSE(CONTROL!$C$27, 0.0021, 0)</f>
        <v>72.132099999999994</v>
      </c>
      <c r="J759" s="10">
        <f>72.13 * CHOOSE(CONTROL!$C$9, $D$9, 100%, $F$9) + CHOOSE(CONTROL!$C$27, 0.0021, 0)</f>
        <v>72.132099999999994</v>
      </c>
      <c r="K759" s="10">
        <f>72.13 * CHOOSE(CONTROL!$C$9, $D$9, 100%, $F$9) + CHOOSE(CONTROL!$C$27, 0.0021, 0)</f>
        <v>72.132099999999994</v>
      </c>
      <c r="L759" s="10"/>
    </row>
    <row r="760" spans="1:12" ht="15.75" x14ac:dyDescent="0.25">
      <c r="A760" s="13">
        <v>64070</v>
      </c>
      <c r="B760" s="10">
        <f>74.038 * CHOOSE(CONTROL!$C$9, $D$9, 100%, $F$9) + CHOOSE(CONTROL!$C$27, 0.0021, 0)</f>
        <v>74.040099999999995</v>
      </c>
      <c r="C760" s="10">
        <f>73.6057 * CHOOSE(CONTROL!$C$9, $D$9, 100%, $F$9) + CHOOSE(CONTROL!$C$27, 0.0021, 0)</f>
        <v>73.607799999999997</v>
      </c>
      <c r="D760" s="10">
        <f>73.6057 * CHOOSE(CONTROL!$C$9, $D$9, 100%, $F$9) + CHOOSE(CONTROL!$C$27, 0.0021, 0)</f>
        <v>73.607799999999997</v>
      </c>
      <c r="E760" s="10">
        <f>73.4691 * CHOOSE(CONTROL!$C$9, $D$9, 100%, $F$9) + CHOOSE(CONTROL!$C$27, 0.0021, 0)</f>
        <v>73.471199999999996</v>
      </c>
      <c r="F760" s="10">
        <f>73.4691 * CHOOSE(CONTROL!$C$9, $D$9, 100%, $F$9) + CHOOSE(CONTROL!$C$27, 0.0021, 0)</f>
        <v>73.471199999999996</v>
      </c>
      <c r="G760" s="10">
        <f>73.7405 * CHOOSE(CONTROL!$C$9, $D$9, 100%, $F$9) + CHOOSE(CONTROL!$C$27, 0.0021, 0)</f>
        <v>73.742599999999996</v>
      </c>
      <c r="H760" s="10">
        <f>73.6057 * CHOOSE(CONTROL!$C$9, $D$9, 100%, $F$9) + CHOOSE(CONTROL!$C$27, 0.0021, 0)</f>
        <v>73.607799999999997</v>
      </c>
      <c r="I760" s="10">
        <f>73.6057 * CHOOSE(CONTROL!$C$9, $D$9, 100%, $F$9) + CHOOSE(CONTROL!$C$27, 0.0021, 0)</f>
        <v>73.607799999999997</v>
      </c>
      <c r="J760" s="10">
        <f>73.6057 * CHOOSE(CONTROL!$C$9, $D$9, 100%, $F$9) + CHOOSE(CONTROL!$C$27, 0.0021, 0)</f>
        <v>73.607799999999997</v>
      </c>
      <c r="K760" s="10">
        <f>73.6057 * CHOOSE(CONTROL!$C$9, $D$9, 100%, $F$9) + CHOOSE(CONTROL!$C$27, 0.0021, 0)</f>
        <v>73.607799999999997</v>
      </c>
      <c r="L760" s="10"/>
    </row>
    <row r="761" spans="1:12" ht="15.75" x14ac:dyDescent="0.25">
      <c r="A761" s="13">
        <v>64100</v>
      </c>
      <c r="B761" s="10">
        <f>74.9219 * CHOOSE(CONTROL!$C$9, $D$9, 100%, $F$9) + CHOOSE(CONTROL!$C$27, 0.0021, 0)</f>
        <v>74.923999999999992</v>
      </c>
      <c r="C761" s="10">
        <f>74.4896 * CHOOSE(CONTROL!$C$9, $D$9, 100%, $F$9) + CHOOSE(CONTROL!$C$27, 0.0021, 0)</f>
        <v>74.491699999999994</v>
      </c>
      <c r="D761" s="10">
        <f>74.4896 * CHOOSE(CONTROL!$C$9, $D$9, 100%, $F$9) + CHOOSE(CONTROL!$C$27, 0.0021, 0)</f>
        <v>74.491699999999994</v>
      </c>
      <c r="E761" s="10">
        <f>74.353 * CHOOSE(CONTROL!$C$9, $D$9, 100%, $F$9) + CHOOSE(CONTROL!$C$27, 0.0021, 0)</f>
        <v>74.355099999999993</v>
      </c>
      <c r="F761" s="10">
        <f>74.353 * CHOOSE(CONTROL!$C$9, $D$9, 100%, $F$9) + CHOOSE(CONTROL!$C$27, 0.0021, 0)</f>
        <v>74.355099999999993</v>
      </c>
      <c r="G761" s="10">
        <f>74.6243 * CHOOSE(CONTROL!$C$9, $D$9, 100%, $F$9) + CHOOSE(CONTROL!$C$27, 0.0021, 0)</f>
        <v>74.626400000000004</v>
      </c>
      <c r="H761" s="10">
        <f>74.4896 * CHOOSE(CONTROL!$C$9, $D$9, 100%, $F$9) + CHOOSE(CONTROL!$C$27, 0.0021, 0)</f>
        <v>74.491699999999994</v>
      </c>
      <c r="I761" s="10">
        <f>74.4896 * CHOOSE(CONTROL!$C$9, $D$9, 100%, $F$9) + CHOOSE(CONTROL!$C$27, 0.0021, 0)</f>
        <v>74.491699999999994</v>
      </c>
      <c r="J761" s="10">
        <f>74.4896 * CHOOSE(CONTROL!$C$9, $D$9, 100%, $F$9) + CHOOSE(CONTROL!$C$27, 0.0021, 0)</f>
        <v>74.491699999999994</v>
      </c>
      <c r="K761" s="10">
        <f>74.4896 * CHOOSE(CONTROL!$C$9, $D$9, 100%, $F$9) + CHOOSE(CONTROL!$C$27, 0.0021, 0)</f>
        <v>74.491699999999994</v>
      </c>
      <c r="L761" s="10"/>
    </row>
    <row r="762" spans="1:12" ht="15.75" x14ac:dyDescent="0.25">
      <c r="A762" s="13">
        <v>64131</v>
      </c>
      <c r="B762" s="10">
        <f>76.38 * CHOOSE(CONTROL!$C$9, $D$9, 100%, $F$9) + CHOOSE(CONTROL!$C$27, 0.0021, 0)</f>
        <v>76.382099999999994</v>
      </c>
      <c r="C762" s="10">
        <f>75.9477 * CHOOSE(CONTROL!$C$9, $D$9, 100%, $F$9) + CHOOSE(CONTROL!$C$27, 0.0021, 0)</f>
        <v>75.949799999999996</v>
      </c>
      <c r="D762" s="10">
        <f>75.9477 * CHOOSE(CONTROL!$C$9, $D$9, 100%, $F$9) + CHOOSE(CONTROL!$C$27, 0.0021, 0)</f>
        <v>75.949799999999996</v>
      </c>
      <c r="E762" s="10">
        <f>75.811 * CHOOSE(CONTROL!$C$9, $D$9, 100%, $F$9) + CHOOSE(CONTROL!$C$27, 0.0021, 0)</f>
        <v>75.813100000000006</v>
      </c>
      <c r="F762" s="10">
        <f>75.811 * CHOOSE(CONTROL!$C$9, $D$9, 100%, $F$9) + CHOOSE(CONTROL!$C$27, 0.0021, 0)</f>
        <v>75.813100000000006</v>
      </c>
      <c r="G762" s="10">
        <f>76.0824 * CHOOSE(CONTROL!$C$9, $D$9, 100%, $F$9) + CHOOSE(CONTROL!$C$27, 0.0021, 0)</f>
        <v>76.084500000000006</v>
      </c>
      <c r="H762" s="10">
        <f>75.9477 * CHOOSE(CONTROL!$C$9, $D$9, 100%, $F$9) + CHOOSE(CONTROL!$C$27, 0.0021, 0)</f>
        <v>75.949799999999996</v>
      </c>
      <c r="I762" s="10">
        <f>75.9477 * CHOOSE(CONTROL!$C$9, $D$9, 100%, $F$9) + CHOOSE(CONTROL!$C$27, 0.0021, 0)</f>
        <v>75.949799999999996</v>
      </c>
      <c r="J762" s="10">
        <f>75.9477 * CHOOSE(CONTROL!$C$9, $D$9, 100%, $F$9) + CHOOSE(CONTROL!$C$27, 0.0021, 0)</f>
        <v>75.949799999999996</v>
      </c>
      <c r="K762" s="10">
        <f>75.9477 * CHOOSE(CONTROL!$C$9, $D$9, 100%, $F$9) + CHOOSE(CONTROL!$C$27, 0.0021, 0)</f>
        <v>75.949799999999996</v>
      </c>
      <c r="L762" s="10"/>
    </row>
    <row r="763" spans="1:12" ht="15.75" x14ac:dyDescent="0.25">
      <c r="A763" s="13">
        <v>64162</v>
      </c>
      <c r="B763" s="10">
        <f>76.825 * CHOOSE(CONTROL!$C$9, $D$9, 100%, $F$9) + CHOOSE(CONTROL!$C$27, 0.0021, 0)</f>
        <v>76.827100000000002</v>
      </c>
      <c r="C763" s="10">
        <f>76.3928 * CHOOSE(CONTROL!$C$9, $D$9, 100%, $F$9) + CHOOSE(CONTROL!$C$27, 0.0021, 0)</f>
        <v>76.394899999999993</v>
      </c>
      <c r="D763" s="10">
        <f>76.3928 * CHOOSE(CONTROL!$C$9, $D$9, 100%, $F$9) + CHOOSE(CONTROL!$C$27, 0.0021, 0)</f>
        <v>76.394899999999993</v>
      </c>
      <c r="E763" s="10">
        <f>76.2561 * CHOOSE(CONTROL!$C$9, $D$9, 100%, $F$9) + CHOOSE(CONTROL!$C$27, 0.0021, 0)</f>
        <v>76.258200000000002</v>
      </c>
      <c r="F763" s="10">
        <f>76.2561 * CHOOSE(CONTROL!$C$9, $D$9, 100%, $F$9) + CHOOSE(CONTROL!$C$27, 0.0021, 0)</f>
        <v>76.258200000000002</v>
      </c>
      <c r="G763" s="10">
        <f>76.5275 * CHOOSE(CONTROL!$C$9, $D$9, 100%, $F$9) + CHOOSE(CONTROL!$C$27, 0.0021, 0)</f>
        <v>76.529600000000002</v>
      </c>
      <c r="H763" s="10">
        <f>76.3928 * CHOOSE(CONTROL!$C$9, $D$9, 100%, $F$9) + CHOOSE(CONTROL!$C$27, 0.0021, 0)</f>
        <v>76.394899999999993</v>
      </c>
      <c r="I763" s="10">
        <f>76.3928 * CHOOSE(CONTROL!$C$9, $D$9, 100%, $F$9) + CHOOSE(CONTROL!$C$27, 0.0021, 0)</f>
        <v>76.394899999999993</v>
      </c>
      <c r="J763" s="10">
        <f>76.3928 * CHOOSE(CONTROL!$C$9, $D$9, 100%, $F$9) + CHOOSE(CONTROL!$C$27, 0.0021, 0)</f>
        <v>76.394899999999993</v>
      </c>
      <c r="K763" s="10">
        <f>76.3928 * CHOOSE(CONTROL!$C$9, $D$9, 100%, $F$9) + CHOOSE(CONTROL!$C$27, 0.0021, 0)</f>
        <v>76.394899999999993</v>
      </c>
      <c r="L763" s="10"/>
    </row>
    <row r="764" spans="1:12" ht="15.75" x14ac:dyDescent="0.25">
      <c r="A764" s="13">
        <v>64192</v>
      </c>
      <c r="B764" s="10">
        <f>78.3406 * CHOOSE(CONTROL!$C$9, $D$9, 100%, $F$9) + CHOOSE(CONTROL!$C$27, 0.0021, 0)</f>
        <v>78.342699999999994</v>
      </c>
      <c r="C764" s="10">
        <f>77.9084 * CHOOSE(CONTROL!$C$9, $D$9, 100%, $F$9) + CHOOSE(CONTROL!$C$27, 0.0021, 0)</f>
        <v>77.910499999999999</v>
      </c>
      <c r="D764" s="10">
        <f>77.9084 * CHOOSE(CONTROL!$C$9, $D$9, 100%, $F$9) + CHOOSE(CONTROL!$C$27, 0.0021, 0)</f>
        <v>77.910499999999999</v>
      </c>
      <c r="E764" s="10">
        <f>77.7717 * CHOOSE(CONTROL!$C$9, $D$9, 100%, $F$9) + CHOOSE(CONTROL!$C$27, 0.0021, 0)</f>
        <v>77.773799999999994</v>
      </c>
      <c r="F764" s="10">
        <f>77.7717 * CHOOSE(CONTROL!$C$9, $D$9, 100%, $F$9) + CHOOSE(CONTROL!$C$27, 0.0021, 0)</f>
        <v>77.773799999999994</v>
      </c>
      <c r="G764" s="10">
        <f>78.0431 * CHOOSE(CONTROL!$C$9, $D$9, 100%, $F$9) + CHOOSE(CONTROL!$C$27, 0.0021, 0)</f>
        <v>78.045199999999994</v>
      </c>
      <c r="H764" s="10">
        <f>77.9084 * CHOOSE(CONTROL!$C$9, $D$9, 100%, $F$9) + CHOOSE(CONTROL!$C$27, 0.0021, 0)</f>
        <v>77.910499999999999</v>
      </c>
      <c r="I764" s="10">
        <f>77.9084 * CHOOSE(CONTROL!$C$9, $D$9, 100%, $F$9) + CHOOSE(CONTROL!$C$27, 0.0021, 0)</f>
        <v>77.910499999999999</v>
      </c>
      <c r="J764" s="10">
        <f>77.9084 * CHOOSE(CONTROL!$C$9, $D$9, 100%, $F$9) + CHOOSE(CONTROL!$C$27, 0.0021, 0)</f>
        <v>77.910499999999999</v>
      </c>
      <c r="K764" s="10">
        <f>77.9084 * CHOOSE(CONTROL!$C$9, $D$9, 100%, $F$9) + CHOOSE(CONTROL!$C$27, 0.0021, 0)</f>
        <v>77.910499999999999</v>
      </c>
      <c r="L764" s="10"/>
    </row>
    <row r="765" spans="1:12" ht="15.75" x14ac:dyDescent="0.25">
      <c r="A765" s="13">
        <v>64223</v>
      </c>
      <c r="B765" s="10">
        <f>80.2591 * CHOOSE(CONTROL!$C$9, $D$9, 100%, $F$9) + CHOOSE(CONTROL!$C$27, 0.0021, 0)</f>
        <v>80.261200000000002</v>
      </c>
      <c r="C765" s="10">
        <f>79.8269 * CHOOSE(CONTROL!$C$9, $D$9, 100%, $F$9) + CHOOSE(CONTROL!$C$27, 0.0021, 0)</f>
        <v>79.828999999999994</v>
      </c>
      <c r="D765" s="10">
        <f>79.8269 * CHOOSE(CONTROL!$C$9, $D$9, 100%, $F$9) + CHOOSE(CONTROL!$C$27, 0.0021, 0)</f>
        <v>79.828999999999994</v>
      </c>
      <c r="E765" s="10">
        <f>79.6902 * CHOOSE(CONTROL!$C$9, $D$9, 100%, $F$9) + CHOOSE(CONTROL!$C$27, 0.0021, 0)</f>
        <v>79.692300000000003</v>
      </c>
      <c r="F765" s="10">
        <f>79.6902 * CHOOSE(CONTROL!$C$9, $D$9, 100%, $F$9) + CHOOSE(CONTROL!$C$27, 0.0021, 0)</f>
        <v>79.692300000000003</v>
      </c>
      <c r="G765" s="10">
        <f>79.9616 * CHOOSE(CONTROL!$C$9, $D$9, 100%, $F$9) + CHOOSE(CONTROL!$C$27, 0.0021, 0)</f>
        <v>79.963700000000003</v>
      </c>
      <c r="H765" s="10">
        <f>79.8269 * CHOOSE(CONTROL!$C$9, $D$9, 100%, $F$9) + CHOOSE(CONTROL!$C$27, 0.0021, 0)</f>
        <v>79.828999999999994</v>
      </c>
      <c r="I765" s="10">
        <f>79.8269 * CHOOSE(CONTROL!$C$9, $D$9, 100%, $F$9) + CHOOSE(CONTROL!$C$27, 0.0021, 0)</f>
        <v>79.828999999999994</v>
      </c>
      <c r="J765" s="10">
        <f>79.8269 * CHOOSE(CONTROL!$C$9, $D$9, 100%, $F$9) + CHOOSE(CONTROL!$C$27, 0.0021, 0)</f>
        <v>79.828999999999994</v>
      </c>
      <c r="K765" s="10">
        <f>79.8269 * CHOOSE(CONTROL!$C$9, $D$9, 100%, $F$9) + CHOOSE(CONTROL!$C$27, 0.0021, 0)</f>
        <v>79.828999999999994</v>
      </c>
      <c r="L765" s="10"/>
    </row>
    <row r="766" spans="1:12" ht="15.75" x14ac:dyDescent="0.25">
      <c r="A766" s="13">
        <v>64253</v>
      </c>
      <c r="B766" s="10">
        <f>80.4392 * CHOOSE(CONTROL!$C$9, $D$9, 100%, $F$9) + CHOOSE(CONTROL!$C$27, 0.0021, 0)</f>
        <v>80.441299999999998</v>
      </c>
      <c r="C766" s="10">
        <f>80.007 * CHOOSE(CONTROL!$C$9, $D$9, 100%, $F$9) + CHOOSE(CONTROL!$C$27, 0.0021, 0)</f>
        <v>80.009100000000004</v>
      </c>
      <c r="D766" s="10">
        <f>80.007 * CHOOSE(CONTROL!$C$9, $D$9, 100%, $F$9) + CHOOSE(CONTROL!$C$27, 0.0021, 0)</f>
        <v>80.009100000000004</v>
      </c>
      <c r="E766" s="10">
        <f>79.8703 * CHOOSE(CONTROL!$C$9, $D$9, 100%, $F$9) + CHOOSE(CONTROL!$C$27, 0.0021, 0)</f>
        <v>79.872399999999999</v>
      </c>
      <c r="F766" s="10">
        <f>79.8703 * CHOOSE(CONTROL!$C$9, $D$9, 100%, $F$9) + CHOOSE(CONTROL!$C$27, 0.0021, 0)</f>
        <v>79.872399999999999</v>
      </c>
      <c r="G766" s="10">
        <f>80.1417 * CHOOSE(CONTROL!$C$9, $D$9, 100%, $F$9) + CHOOSE(CONTROL!$C$27, 0.0021, 0)</f>
        <v>80.143799999999999</v>
      </c>
      <c r="H766" s="10">
        <f>80.007 * CHOOSE(CONTROL!$C$9, $D$9, 100%, $F$9) + CHOOSE(CONTROL!$C$27, 0.0021, 0)</f>
        <v>80.009100000000004</v>
      </c>
      <c r="I766" s="10">
        <f>80.007 * CHOOSE(CONTROL!$C$9, $D$9, 100%, $F$9) + CHOOSE(CONTROL!$C$27, 0.0021, 0)</f>
        <v>80.009100000000004</v>
      </c>
      <c r="J766" s="10">
        <f>80.007 * CHOOSE(CONTROL!$C$9, $D$9, 100%, $F$9) + CHOOSE(CONTROL!$C$27, 0.0021, 0)</f>
        <v>80.009100000000004</v>
      </c>
      <c r="K766" s="10">
        <f>80.007 * CHOOSE(CONTROL!$C$9, $D$9, 100%, $F$9) + CHOOSE(CONTROL!$C$27, 0.0021, 0)</f>
        <v>80.009100000000004</v>
      </c>
      <c r="L766" s="10"/>
    </row>
    <row r="767" spans="1:12" ht="15.75" x14ac:dyDescent="0.25">
      <c r="A767" s="13">
        <v>64284</v>
      </c>
      <c r="B767" s="10">
        <f>78.907 * CHOOSE(CONTROL!$C$9, $D$9, 100%, $F$9) + CHOOSE(CONTROL!$C$27, 0.0021, 0)</f>
        <v>78.909099999999995</v>
      </c>
      <c r="C767" s="10">
        <f>78.4747 * CHOOSE(CONTROL!$C$9, $D$9, 100%, $F$9) + CHOOSE(CONTROL!$C$27, 0.0021, 0)</f>
        <v>78.476799999999997</v>
      </c>
      <c r="D767" s="10">
        <f>78.4747 * CHOOSE(CONTROL!$C$9, $D$9, 100%, $F$9) + CHOOSE(CONTROL!$C$27, 0.0021, 0)</f>
        <v>78.476799999999997</v>
      </c>
      <c r="E767" s="10">
        <f>78.3381 * CHOOSE(CONTROL!$C$9, $D$9, 100%, $F$9) + CHOOSE(CONTROL!$C$27, 0.0021, 0)</f>
        <v>78.340199999999996</v>
      </c>
      <c r="F767" s="10">
        <f>78.3381 * CHOOSE(CONTROL!$C$9, $D$9, 100%, $F$9) + CHOOSE(CONTROL!$C$27, 0.0021, 0)</f>
        <v>78.340199999999996</v>
      </c>
      <c r="G767" s="10">
        <f>78.6094 * CHOOSE(CONTROL!$C$9, $D$9, 100%, $F$9) + CHOOSE(CONTROL!$C$27, 0.0021, 0)</f>
        <v>78.611499999999992</v>
      </c>
      <c r="H767" s="10">
        <f>78.4747 * CHOOSE(CONTROL!$C$9, $D$9, 100%, $F$9) + CHOOSE(CONTROL!$C$27, 0.0021, 0)</f>
        <v>78.476799999999997</v>
      </c>
      <c r="I767" s="10">
        <f>78.4747 * CHOOSE(CONTROL!$C$9, $D$9, 100%, $F$9) + CHOOSE(CONTROL!$C$27, 0.0021, 0)</f>
        <v>78.476799999999997</v>
      </c>
      <c r="J767" s="10">
        <f>78.4747 * CHOOSE(CONTROL!$C$9, $D$9, 100%, $F$9) + CHOOSE(CONTROL!$C$27, 0.0021, 0)</f>
        <v>78.476799999999997</v>
      </c>
      <c r="K767" s="10">
        <f>78.4747 * CHOOSE(CONTROL!$C$9, $D$9, 100%, $F$9) + CHOOSE(CONTROL!$C$27, 0.0021, 0)</f>
        <v>78.476799999999997</v>
      </c>
      <c r="L767" s="10"/>
    </row>
    <row r="768" spans="1:12" ht="15.75" x14ac:dyDescent="0.25">
      <c r="A768" s="13">
        <v>64315</v>
      </c>
      <c r="B768" s="10">
        <f>77.9031 * CHOOSE(CONTROL!$C$9, $D$9, 100%, $F$9) + CHOOSE(CONTROL!$C$27, 0.0021, 0)</f>
        <v>77.905199999999994</v>
      </c>
      <c r="C768" s="10">
        <f>77.4709 * CHOOSE(CONTROL!$C$9, $D$9, 100%, $F$9) + CHOOSE(CONTROL!$C$27, 0.0021, 0)</f>
        <v>77.472999999999999</v>
      </c>
      <c r="D768" s="10">
        <f>77.4709 * CHOOSE(CONTROL!$C$9, $D$9, 100%, $F$9) + CHOOSE(CONTROL!$C$27, 0.0021, 0)</f>
        <v>77.472999999999999</v>
      </c>
      <c r="E768" s="10">
        <f>77.3342 * CHOOSE(CONTROL!$C$9, $D$9, 100%, $F$9) + CHOOSE(CONTROL!$C$27, 0.0021, 0)</f>
        <v>77.336299999999994</v>
      </c>
      <c r="F768" s="10">
        <f>77.3342 * CHOOSE(CONTROL!$C$9, $D$9, 100%, $F$9) + CHOOSE(CONTROL!$C$27, 0.0021, 0)</f>
        <v>77.336299999999994</v>
      </c>
      <c r="G768" s="10">
        <f>77.6056 * CHOOSE(CONTROL!$C$9, $D$9, 100%, $F$9) + CHOOSE(CONTROL!$C$27, 0.0021, 0)</f>
        <v>77.607699999999994</v>
      </c>
      <c r="H768" s="10">
        <f>77.4709 * CHOOSE(CONTROL!$C$9, $D$9, 100%, $F$9) + CHOOSE(CONTROL!$C$27, 0.0021, 0)</f>
        <v>77.472999999999999</v>
      </c>
      <c r="I768" s="10">
        <f>77.4709 * CHOOSE(CONTROL!$C$9, $D$9, 100%, $F$9) + CHOOSE(CONTROL!$C$27, 0.0021, 0)</f>
        <v>77.472999999999999</v>
      </c>
      <c r="J768" s="10">
        <f>77.4709 * CHOOSE(CONTROL!$C$9, $D$9, 100%, $F$9) + CHOOSE(CONTROL!$C$27, 0.0021, 0)</f>
        <v>77.472999999999999</v>
      </c>
      <c r="K768" s="10">
        <f>77.4709 * CHOOSE(CONTROL!$C$9, $D$9, 100%, $F$9) + CHOOSE(CONTROL!$C$27, 0.0021, 0)</f>
        <v>77.472999999999999</v>
      </c>
      <c r="L768" s="10"/>
    </row>
    <row r="769" spans="1:12" ht="15.75" x14ac:dyDescent="0.25">
      <c r="A769" s="13">
        <v>64344</v>
      </c>
      <c r="B769" s="10">
        <f>75.7645 * CHOOSE(CONTROL!$C$9, $D$9, 100%, $F$9) + CHOOSE(CONTROL!$C$27, 0.0021, 0)</f>
        <v>75.766599999999997</v>
      </c>
      <c r="C769" s="10">
        <f>75.3322 * CHOOSE(CONTROL!$C$9, $D$9, 100%, $F$9) + CHOOSE(CONTROL!$C$27, 0.0021, 0)</f>
        <v>75.334299999999999</v>
      </c>
      <c r="D769" s="10">
        <f>75.3322 * CHOOSE(CONTROL!$C$9, $D$9, 100%, $F$9) + CHOOSE(CONTROL!$C$27, 0.0021, 0)</f>
        <v>75.334299999999999</v>
      </c>
      <c r="E769" s="10">
        <f>75.1956 * CHOOSE(CONTROL!$C$9, $D$9, 100%, $F$9) + CHOOSE(CONTROL!$C$27, 0.0021, 0)</f>
        <v>75.197699999999998</v>
      </c>
      <c r="F769" s="10">
        <f>75.1956 * CHOOSE(CONTROL!$C$9, $D$9, 100%, $F$9) + CHOOSE(CONTROL!$C$27, 0.0021, 0)</f>
        <v>75.197699999999998</v>
      </c>
      <c r="G769" s="10">
        <f>75.4669 * CHOOSE(CONTROL!$C$9, $D$9, 100%, $F$9) + CHOOSE(CONTROL!$C$27, 0.0021, 0)</f>
        <v>75.468999999999994</v>
      </c>
      <c r="H769" s="10">
        <f>75.3322 * CHOOSE(CONTROL!$C$9, $D$9, 100%, $F$9) + CHOOSE(CONTROL!$C$27, 0.0021, 0)</f>
        <v>75.334299999999999</v>
      </c>
      <c r="I769" s="10">
        <f>75.3322 * CHOOSE(CONTROL!$C$9, $D$9, 100%, $F$9) + CHOOSE(CONTROL!$C$27, 0.0021, 0)</f>
        <v>75.334299999999999</v>
      </c>
      <c r="J769" s="10">
        <f>75.3322 * CHOOSE(CONTROL!$C$9, $D$9, 100%, $F$9) + CHOOSE(CONTROL!$C$27, 0.0021, 0)</f>
        <v>75.334299999999999</v>
      </c>
      <c r="K769" s="10">
        <f>75.3322 * CHOOSE(CONTROL!$C$9, $D$9, 100%, $F$9) + CHOOSE(CONTROL!$C$27, 0.0021, 0)</f>
        <v>75.334299999999999</v>
      </c>
      <c r="L769" s="10"/>
    </row>
    <row r="770" spans="1:12" ht="15.75" x14ac:dyDescent="0.25">
      <c r="A770" s="13">
        <v>64375</v>
      </c>
      <c r="B770" s="10">
        <f>74.8816 * CHOOSE(CONTROL!$C$9, $D$9, 100%, $F$9) + CHOOSE(CONTROL!$C$27, 0.0021, 0)</f>
        <v>74.883700000000005</v>
      </c>
      <c r="C770" s="10">
        <f>74.4494 * CHOOSE(CONTROL!$C$9, $D$9, 100%, $F$9) + CHOOSE(CONTROL!$C$27, 0.0021, 0)</f>
        <v>74.451499999999996</v>
      </c>
      <c r="D770" s="10">
        <f>74.4494 * CHOOSE(CONTROL!$C$9, $D$9, 100%, $F$9) + CHOOSE(CONTROL!$C$27, 0.0021, 0)</f>
        <v>74.451499999999996</v>
      </c>
      <c r="E770" s="10">
        <f>74.3127 * CHOOSE(CONTROL!$C$9, $D$9, 100%, $F$9) + CHOOSE(CONTROL!$C$27, 0.0021, 0)</f>
        <v>74.314800000000005</v>
      </c>
      <c r="F770" s="10">
        <f>74.3127 * CHOOSE(CONTROL!$C$9, $D$9, 100%, $F$9) + CHOOSE(CONTROL!$C$27, 0.0021, 0)</f>
        <v>74.314800000000005</v>
      </c>
      <c r="G770" s="10">
        <f>74.5841 * CHOOSE(CONTROL!$C$9, $D$9, 100%, $F$9) + CHOOSE(CONTROL!$C$27, 0.0021, 0)</f>
        <v>74.586200000000005</v>
      </c>
      <c r="H770" s="10">
        <f>74.4494 * CHOOSE(CONTROL!$C$9, $D$9, 100%, $F$9) + CHOOSE(CONTROL!$C$27, 0.0021, 0)</f>
        <v>74.451499999999996</v>
      </c>
      <c r="I770" s="10">
        <f>74.4494 * CHOOSE(CONTROL!$C$9, $D$9, 100%, $F$9) + CHOOSE(CONTROL!$C$27, 0.0021, 0)</f>
        <v>74.451499999999996</v>
      </c>
      <c r="J770" s="10">
        <f>74.4494 * CHOOSE(CONTROL!$C$9, $D$9, 100%, $F$9) + CHOOSE(CONTROL!$C$27, 0.0021, 0)</f>
        <v>74.451499999999996</v>
      </c>
      <c r="K770" s="10">
        <f>74.4494 * CHOOSE(CONTROL!$C$9, $D$9, 100%, $F$9) + CHOOSE(CONTROL!$C$27, 0.0021, 0)</f>
        <v>74.451499999999996</v>
      </c>
      <c r="L770" s="10"/>
    </row>
    <row r="771" spans="1:12" ht="15.75" x14ac:dyDescent="0.25">
      <c r="A771" s="13">
        <v>64405</v>
      </c>
      <c r="B771" s="10">
        <f>73.8275 * CHOOSE(CONTROL!$C$9, $D$9, 100%, $F$9) + CHOOSE(CONTROL!$C$27, 0.0021, 0)</f>
        <v>73.829599999999999</v>
      </c>
      <c r="C771" s="10">
        <f>73.3952 * CHOOSE(CONTROL!$C$9, $D$9, 100%, $F$9) + CHOOSE(CONTROL!$C$27, 0.0021, 0)</f>
        <v>73.397300000000001</v>
      </c>
      <c r="D771" s="10">
        <f>73.3952 * CHOOSE(CONTROL!$C$9, $D$9, 100%, $F$9) + CHOOSE(CONTROL!$C$27, 0.0021, 0)</f>
        <v>73.397300000000001</v>
      </c>
      <c r="E771" s="10">
        <f>73.2586 * CHOOSE(CONTROL!$C$9, $D$9, 100%, $F$9) + CHOOSE(CONTROL!$C$27, 0.0021, 0)</f>
        <v>73.2607</v>
      </c>
      <c r="F771" s="10">
        <f>73.2586 * CHOOSE(CONTROL!$C$9, $D$9, 100%, $F$9) + CHOOSE(CONTROL!$C$27, 0.0021, 0)</f>
        <v>73.2607</v>
      </c>
      <c r="G771" s="10">
        <f>73.5299 * CHOOSE(CONTROL!$C$9, $D$9, 100%, $F$9) + CHOOSE(CONTROL!$C$27, 0.0021, 0)</f>
        <v>73.531999999999996</v>
      </c>
      <c r="H771" s="10">
        <f>73.3952 * CHOOSE(CONTROL!$C$9, $D$9, 100%, $F$9) + CHOOSE(CONTROL!$C$27, 0.0021, 0)</f>
        <v>73.397300000000001</v>
      </c>
      <c r="I771" s="10">
        <f>73.3952 * CHOOSE(CONTROL!$C$9, $D$9, 100%, $F$9) + CHOOSE(CONTROL!$C$27, 0.0021, 0)</f>
        <v>73.397300000000001</v>
      </c>
      <c r="J771" s="10">
        <f>73.3952 * CHOOSE(CONTROL!$C$9, $D$9, 100%, $F$9) + CHOOSE(CONTROL!$C$27, 0.0021, 0)</f>
        <v>73.397300000000001</v>
      </c>
      <c r="K771" s="10">
        <f>73.3952 * CHOOSE(CONTROL!$C$9, $D$9, 100%, $F$9) + CHOOSE(CONTROL!$C$27, 0.0021, 0)</f>
        <v>73.397300000000001</v>
      </c>
      <c r="L771" s="10"/>
    </row>
    <row r="772" spans="1:12" ht="15.75" x14ac:dyDescent="0.25">
      <c r="A772" s="13">
        <v>64436</v>
      </c>
      <c r="B772" s="10">
        <f>75.3297 * CHOOSE(CONTROL!$C$9, $D$9, 100%, $F$9) + CHOOSE(CONTROL!$C$27, 0.0021, 0)</f>
        <v>75.331800000000001</v>
      </c>
      <c r="C772" s="10">
        <f>74.8975 * CHOOSE(CONTROL!$C$9, $D$9, 100%, $F$9) + CHOOSE(CONTROL!$C$27, 0.0021, 0)</f>
        <v>74.899599999999992</v>
      </c>
      <c r="D772" s="10">
        <f>74.8975 * CHOOSE(CONTROL!$C$9, $D$9, 100%, $F$9) + CHOOSE(CONTROL!$C$27, 0.0021, 0)</f>
        <v>74.899599999999992</v>
      </c>
      <c r="E772" s="10">
        <f>74.7608 * CHOOSE(CONTROL!$C$9, $D$9, 100%, $F$9) + CHOOSE(CONTROL!$C$27, 0.0021, 0)</f>
        <v>74.762900000000002</v>
      </c>
      <c r="F772" s="10">
        <f>74.7608 * CHOOSE(CONTROL!$C$9, $D$9, 100%, $F$9) + CHOOSE(CONTROL!$C$27, 0.0021, 0)</f>
        <v>74.762900000000002</v>
      </c>
      <c r="G772" s="10">
        <f>75.0322 * CHOOSE(CONTROL!$C$9, $D$9, 100%, $F$9) + CHOOSE(CONTROL!$C$27, 0.0021, 0)</f>
        <v>75.034300000000002</v>
      </c>
      <c r="H772" s="10">
        <f>74.8975 * CHOOSE(CONTROL!$C$9, $D$9, 100%, $F$9) + CHOOSE(CONTROL!$C$27, 0.0021, 0)</f>
        <v>74.899599999999992</v>
      </c>
      <c r="I772" s="10">
        <f>74.8975 * CHOOSE(CONTROL!$C$9, $D$9, 100%, $F$9) + CHOOSE(CONTROL!$C$27, 0.0021, 0)</f>
        <v>74.899599999999992</v>
      </c>
      <c r="J772" s="10">
        <f>74.8975 * CHOOSE(CONTROL!$C$9, $D$9, 100%, $F$9) + CHOOSE(CONTROL!$C$27, 0.0021, 0)</f>
        <v>74.899599999999992</v>
      </c>
      <c r="K772" s="10">
        <f>74.8975 * CHOOSE(CONTROL!$C$9, $D$9, 100%, $F$9) + CHOOSE(CONTROL!$C$27, 0.0021, 0)</f>
        <v>74.899599999999992</v>
      </c>
      <c r="L772" s="10"/>
    </row>
    <row r="773" spans="1:12" ht="15.75" x14ac:dyDescent="0.25">
      <c r="A773" s="13">
        <v>64466</v>
      </c>
      <c r="B773" s="10">
        <f>76.2295 * CHOOSE(CONTROL!$C$9, $D$9, 100%, $F$9) + CHOOSE(CONTROL!$C$27, 0.0021, 0)</f>
        <v>76.2316</v>
      </c>
      <c r="C773" s="10">
        <f>75.7973 * CHOOSE(CONTROL!$C$9, $D$9, 100%, $F$9) + CHOOSE(CONTROL!$C$27, 0.0021, 0)</f>
        <v>75.799400000000006</v>
      </c>
      <c r="D773" s="10">
        <f>75.7973 * CHOOSE(CONTROL!$C$9, $D$9, 100%, $F$9) + CHOOSE(CONTROL!$C$27, 0.0021, 0)</f>
        <v>75.799400000000006</v>
      </c>
      <c r="E773" s="10">
        <f>75.6606 * CHOOSE(CONTROL!$C$9, $D$9, 100%, $F$9) + CHOOSE(CONTROL!$C$27, 0.0021, 0)</f>
        <v>75.662700000000001</v>
      </c>
      <c r="F773" s="10">
        <f>75.6606 * CHOOSE(CONTROL!$C$9, $D$9, 100%, $F$9) + CHOOSE(CONTROL!$C$27, 0.0021, 0)</f>
        <v>75.662700000000001</v>
      </c>
      <c r="G773" s="10">
        <f>75.932 * CHOOSE(CONTROL!$C$9, $D$9, 100%, $F$9) + CHOOSE(CONTROL!$C$27, 0.0021, 0)</f>
        <v>75.934100000000001</v>
      </c>
      <c r="H773" s="10">
        <f>75.7973 * CHOOSE(CONTROL!$C$9, $D$9, 100%, $F$9) + CHOOSE(CONTROL!$C$27, 0.0021, 0)</f>
        <v>75.799400000000006</v>
      </c>
      <c r="I773" s="10">
        <f>75.7973 * CHOOSE(CONTROL!$C$9, $D$9, 100%, $F$9) + CHOOSE(CONTROL!$C$27, 0.0021, 0)</f>
        <v>75.799400000000006</v>
      </c>
      <c r="J773" s="10">
        <f>75.7973 * CHOOSE(CONTROL!$C$9, $D$9, 100%, $F$9) + CHOOSE(CONTROL!$C$27, 0.0021, 0)</f>
        <v>75.799400000000006</v>
      </c>
      <c r="K773" s="10">
        <f>75.7973 * CHOOSE(CONTROL!$C$9, $D$9, 100%, $F$9) + CHOOSE(CONTROL!$C$27, 0.0021, 0)</f>
        <v>75.799400000000006</v>
      </c>
      <c r="L773" s="10"/>
    </row>
    <row r="774" spans="1:12" ht="15.75" x14ac:dyDescent="0.25">
      <c r="A774" s="13">
        <v>64497</v>
      </c>
      <c r="B774" s="10">
        <f>77.7139 * CHOOSE(CONTROL!$C$9, $D$9, 100%, $F$9) + CHOOSE(CONTROL!$C$27, 0.0021, 0)</f>
        <v>77.715999999999994</v>
      </c>
      <c r="C774" s="10">
        <f>77.2816 * CHOOSE(CONTROL!$C$9, $D$9, 100%, $F$9) + CHOOSE(CONTROL!$C$27, 0.0021, 0)</f>
        <v>77.283699999999996</v>
      </c>
      <c r="D774" s="10">
        <f>77.2816 * CHOOSE(CONTROL!$C$9, $D$9, 100%, $F$9) + CHOOSE(CONTROL!$C$27, 0.0021, 0)</f>
        <v>77.283699999999996</v>
      </c>
      <c r="E774" s="10">
        <f>77.145 * CHOOSE(CONTROL!$C$9, $D$9, 100%, $F$9) + CHOOSE(CONTROL!$C$27, 0.0021, 0)</f>
        <v>77.147099999999995</v>
      </c>
      <c r="F774" s="10">
        <f>77.145 * CHOOSE(CONTROL!$C$9, $D$9, 100%, $F$9) + CHOOSE(CONTROL!$C$27, 0.0021, 0)</f>
        <v>77.147099999999995</v>
      </c>
      <c r="G774" s="10">
        <f>77.4164 * CHOOSE(CONTROL!$C$9, $D$9, 100%, $F$9) + CHOOSE(CONTROL!$C$27, 0.0021, 0)</f>
        <v>77.418499999999995</v>
      </c>
      <c r="H774" s="10">
        <f>77.2816 * CHOOSE(CONTROL!$C$9, $D$9, 100%, $F$9) + CHOOSE(CONTROL!$C$27, 0.0021, 0)</f>
        <v>77.283699999999996</v>
      </c>
      <c r="I774" s="10">
        <f>77.2816 * CHOOSE(CONTROL!$C$9, $D$9, 100%, $F$9) + CHOOSE(CONTROL!$C$27, 0.0021, 0)</f>
        <v>77.283699999999996</v>
      </c>
      <c r="J774" s="10">
        <f>77.2816 * CHOOSE(CONTROL!$C$9, $D$9, 100%, $F$9) + CHOOSE(CONTROL!$C$27, 0.0021, 0)</f>
        <v>77.283699999999996</v>
      </c>
      <c r="K774" s="10">
        <f>77.2816 * CHOOSE(CONTROL!$C$9, $D$9, 100%, $F$9) + CHOOSE(CONTROL!$C$27, 0.0021, 0)</f>
        <v>77.283699999999996</v>
      </c>
      <c r="L774" s="10"/>
    </row>
    <row r="775" spans="1:12" ht="15.75" x14ac:dyDescent="0.25">
      <c r="A775" s="13">
        <v>64528</v>
      </c>
      <c r="B775" s="10">
        <f>78.167 * CHOOSE(CONTROL!$C$9, $D$9, 100%, $F$9) + CHOOSE(CONTROL!$C$27, 0.0021, 0)</f>
        <v>78.1691</v>
      </c>
      <c r="C775" s="10">
        <f>77.7347 * CHOOSE(CONTROL!$C$9, $D$9, 100%, $F$9) + CHOOSE(CONTROL!$C$27, 0.0021, 0)</f>
        <v>77.736800000000002</v>
      </c>
      <c r="D775" s="10">
        <f>77.7347 * CHOOSE(CONTROL!$C$9, $D$9, 100%, $F$9) + CHOOSE(CONTROL!$C$27, 0.0021, 0)</f>
        <v>77.736800000000002</v>
      </c>
      <c r="E775" s="10">
        <f>77.598 * CHOOSE(CONTROL!$C$9, $D$9, 100%, $F$9) + CHOOSE(CONTROL!$C$27, 0.0021, 0)</f>
        <v>77.600099999999998</v>
      </c>
      <c r="F775" s="10">
        <f>77.598 * CHOOSE(CONTROL!$C$9, $D$9, 100%, $F$9) + CHOOSE(CONTROL!$C$27, 0.0021, 0)</f>
        <v>77.600099999999998</v>
      </c>
      <c r="G775" s="10">
        <f>77.8694 * CHOOSE(CONTROL!$C$9, $D$9, 100%, $F$9) + CHOOSE(CONTROL!$C$27, 0.0021, 0)</f>
        <v>77.871499999999997</v>
      </c>
      <c r="H775" s="10">
        <f>77.7347 * CHOOSE(CONTROL!$C$9, $D$9, 100%, $F$9) + CHOOSE(CONTROL!$C$27, 0.0021, 0)</f>
        <v>77.736800000000002</v>
      </c>
      <c r="I775" s="10">
        <f>77.7347 * CHOOSE(CONTROL!$C$9, $D$9, 100%, $F$9) + CHOOSE(CONTROL!$C$27, 0.0021, 0)</f>
        <v>77.736800000000002</v>
      </c>
      <c r="J775" s="10">
        <f>77.7347 * CHOOSE(CONTROL!$C$9, $D$9, 100%, $F$9) + CHOOSE(CONTROL!$C$27, 0.0021, 0)</f>
        <v>77.736800000000002</v>
      </c>
      <c r="K775" s="10">
        <f>77.7347 * CHOOSE(CONTROL!$C$9, $D$9, 100%, $F$9) + CHOOSE(CONTROL!$C$27, 0.0021, 0)</f>
        <v>77.736800000000002</v>
      </c>
      <c r="L775" s="10"/>
    </row>
    <row r="776" spans="1:12" ht="15.75" x14ac:dyDescent="0.25">
      <c r="A776" s="13">
        <v>64558</v>
      </c>
      <c r="B776" s="10">
        <f>79.7099 * CHOOSE(CONTROL!$C$9, $D$9, 100%, $F$9) + CHOOSE(CONTROL!$C$27, 0.0021, 0)</f>
        <v>79.712000000000003</v>
      </c>
      <c r="C776" s="10">
        <f>79.2776 * CHOOSE(CONTROL!$C$9, $D$9, 100%, $F$9) + CHOOSE(CONTROL!$C$27, 0.0021, 0)</f>
        <v>79.279700000000005</v>
      </c>
      <c r="D776" s="10">
        <f>79.2776 * CHOOSE(CONTROL!$C$9, $D$9, 100%, $F$9) + CHOOSE(CONTROL!$C$27, 0.0021, 0)</f>
        <v>79.279700000000005</v>
      </c>
      <c r="E776" s="10">
        <f>79.141 * CHOOSE(CONTROL!$C$9, $D$9, 100%, $F$9) + CHOOSE(CONTROL!$C$27, 0.0021, 0)</f>
        <v>79.143100000000004</v>
      </c>
      <c r="F776" s="10">
        <f>79.141 * CHOOSE(CONTROL!$C$9, $D$9, 100%, $F$9) + CHOOSE(CONTROL!$C$27, 0.0021, 0)</f>
        <v>79.143100000000004</v>
      </c>
      <c r="G776" s="10">
        <f>79.4123 * CHOOSE(CONTROL!$C$9, $D$9, 100%, $F$9) + CHOOSE(CONTROL!$C$27, 0.0021, 0)</f>
        <v>79.414400000000001</v>
      </c>
      <c r="H776" s="10">
        <f>79.2776 * CHOOSE(CONTROL!$C$9, $D$9, 100%, $F$9) + CHOOSE(CONTROL!$C$27, 0.0021, 0)</f>
        <v>79.279700000000005</v>
      </c>
      <c r="I776" s="10">
        <f>79.2776 * CHOOSE(CONTROL!$C$9, $D$9, 100%, $F$9) + CHOOSE(CONTROL!$C$27, 0.0021, 0)</f>
        <v>79.279700000000005</v>
      </c>
      <c r="J776" s="10">
        <f>79.2776 * CHOOSE(CONTROL!$C$9, $D$9, 100%, $F$9) + CHOOSE(CONTROL!$C$27, 0.0021, 0)</f>
        <v>79.279700000000005</v>
      </c>
      <c r="K776" s="10">
        <f>79.2776 * CHOOSE(CONTROL!$C$9, $D$9, 100%, $F$9) + CHOOSE(CONTROL!$C$27, 0.0021, 0)</f>
        <v>79.279700000000005</v>
      </c>
      <c r="L776" s="10"/>
    </row>
    <row r="777" spans="1:12" ht="15.75" x14ac:dyDescent="0.25">
      <c r="A777" s="13">
        <v>64589</v>
      </c>
      <c r="B777" s="10">
        <f>81.6629 * CHOOSE(CONTROL!$C$9, $D$9, 100%, $F$9) + CHOOSE(CONTROL!$C$27, 0.0021, 0)</f>
        <v>81.664999999999992</v>
      </c>
      <c r="C777" s="10">
        <f>81.2307 * CHOOSE(CONTROL!$C$9, $D$9, 100%, $F$9) + CHOOSE(CONTROL!$C$27, 0.0021, 0)</f>
        <v>81.232799999999997</v>
      </c>
      <c r="D777" s="10">
        <f>81.2307 * CHOOSE(CONTROL!$C$9, $D$9, 100%, $F$9) + CHOOSE(CONTROL!$C$27, 0.0021, 0)</f>
        <v>81.232799999999997</v>
      </c>
      <c r="E777" s="10">
        <f>81.094 * CHOOSE(CONTROL!$C$9, $D$9, 100%, $F$9) + CHOOSE(CONTROL!$C$27, 0.0021, 0)</f>
        <v>81.096099999999993</v>
      </c>
      <c r="F777" s="10">
        <f>81.094 * CHOOSE(CONTROL!$C$9, $D$9, 100%, $F$9) + CHOOSE(CONTROL!$C$27, 0.0021, 0)</f>
        <v>81.096099999999993</v>
      </c>
      <c r="G777" s="10">
        <f>81.3654 * CHOOSE(CONTROL!$C$9, $D$9, 100%, $F$9) + CHOOSE(CONTROL!$C$27, 0.0021, 0)</f>
        <v>81.367499999999993</v>
      </c>
      <c r="H777" s="10">
        <f>81.2307 * CHOOSE(CONTROL!$C$9, $D$9, 100%, $F$9) + CHOOSE(CONTROL!$C$27, 0.0021, 0)</f>
        <v>81.232799999999997</v>
      </c>
      <c r="I777" s="10">
        <f>81.2307 * CHOOSE(CONTROL!$C$9, $D$9, 100%, $F$9) + CHOOSE(CONTROL!$C$27, 0.0021, 0)</f>
        <v>81.232799999999997</v>
      </c>
      <c r="J777" s="10">
        <f>81.2307 * CHOOSE(CONTROL!$C$9, $D$9, 100%, $F$9) + CHOOSE(CONTROL!$C$27, 0.0021, 0)</f>
        <v>81.232799999999997</v>
      </c>
      <c r="K777" s="10">
        <f>81.2307 * CHOOSE(CONTROL!$C$9, $D$9, 100%, $F$9) + CHOOSE(CONTROL!$C$27, 0.0021, 0)</f>
        <v>81.232799999999997</v>
      </c>
      <c r="L777" s="10"/>
    </row>
    <row r="778" spans="1:12" ht="15.75" x14ac:dyDescent="0.25">
      <c r="A778" s="13">
        <v>64619</v>
      </c>
      <c r="B778" s="10">
        <f>81.8463 * CHOOSE(CONTROL!$C$9, $D$9, 100%, $F$9) + CHOOSE(CONTROL!$C$27, 0.0021, 0)</f>
        <v>81.848399999999998</v>
      </c>
      <c r="C778" s="10">
        <f>81.414 * CHOOSE(CONTROL!$C$9, $D$9, 100%, $F$9) + CHOOSE(CONTROL!$C$27, 0.0021, 0)</f>
        <v>81.4161</v>
      </c>
      <c r="D778" s="10">
        <f>81.414 * CHOOSE(CONTROL!$C$9, $D$9, 100%, $F$9) + CHOOSE(CONTROL!$C$27, 0.0021, 0)</f>
        <v>81.4161</v>
      </c>
      <c r="E778" s="10">
        <f>81.2774 * CHOOSE(CONTROL!$C$9, $D$9, 100%, $F$9) + CHOOSE(CONTROL!$C$27, 0.0021, 0)</f>
        <v>81.279499999999999</v>
      </c>
      <c r="F778" s="10">
        <f>81.2774 * CHOOSE(CONTROL!$C$9, $D$9, 100%, $F$9) + CHOOSE(CONTROL!$C$27, 0.0021, 0)</f>
        <v>81.279499999999999</v>
      </c>
      <c r="G778" s="10">
        <f>81.5487 * CHOOSE(CONTROL!$C$9, $D$9, 100%, $F$9) + CHOOSE(CONTROL!$C$27, 0.0021, 0)</f>
        <v>81.550799999999995</v>
      </c>
      <c r="H778" s="10">
        <f>81.414 * CHOOSE(CONTROL!$C$9, $D$9, 100%, $F$9) + CHOOSE(CONTROL!$C$27, 0.0021, 0)</f>
        <v>81.4161</v>
      </c>
      <c r="I778" s="10">
        <f>81.414 * CHOOSE(CONTROL!$C$9, $D$9, 100%, $F$9) + CHOOSE(CONTROL!$C$27, 0.0021, 0)</f>
        <v>81.4161</v>
      </c>
      <c r="J778" s="10">
        <f>81.414 * CHOOSE(CONTROL!$C$9, $D$9, 100%, $F$9) + CHOOSE(CONTROL!$C$27, 0.0021, 0)</f>
        <v>81.4161</v>
      </c>
      <c r="K778" s="10">
        <f>81.414 * CHOOSE(CONTROL!$C$9, $D$9, 100%, $F$9) + CHOOSE(CONTROL!$C$27, 0.0021, 0)</f>
        <v>81.4161</v>
      </c>
      <c r="L778" s="10"/>
    </row>
    <row r="779" spans="1:12" ht="15.75" x14ac:dyDescent="0.25">
      <c r="A779" s="13">
        <v>64650</v>
      </c>
      <c r="B779" s="10">
        <f>80.2864 * CHOOSE(CONTROL!$C$9, $D$9, 100%, $F$9) + CHOOSE(CONTROL!$C$27, 0.0021, 0)</f>
        <v>80.288499999999999</v>
      </c>
      <c r="C779" s="10">
        <f>79.8542 * CHOOSE(CONTROL!$C$9, $D$9, 100%, $F$9) + CHOOSE(CONTROL!$C$27, 0.0021, 0)</f>
        <v>79.856300000000005</v>
      </c>
      <c r="D779" s="10">
        <f>79.8542 * CHOOSE(CONTROL!$C$9, $D$9, 100%, $F$9) + CHOOSE(CONTROL!$C$27, 0.0021, 0)</f>
        <v>79.856300000000005</v>
      </c>
      <c r="E779" s="10">
        <f>79.7175 * CHOOSE(CONTROL!$C$9, $D$9, 100%, $F$9) + CHOOSE(CONTROL!$C$27, 0.0021, 0)</f>
        <v>79.7196</v>
      </c>
      <c r="F779" s="10">
        <f>79.7175 * CHOOSE(CONTROL!$C$9, $D$9, 100%, $F$9) + CHOOSE(CONTROL!$C$27, 0.0021, 0)</f>
        <v>79.7196</v>
      </c>
      <c r="G779" s="10">
        <f>79.9889 * CHOOSE(CONTROL!$C$9, $D$9, 100%, $F$9) + CHOOSE(CONTROL!$C$27, 0.0021, 0)</f>
        <v>79.991</v>
      </c>
      <c r="H779" s="10">
        <f>79.8542 * CHOOSE(CONTROL!$C$9, $D$9, 100%, $F$9) + CHOOSE(CONTROL!$C$27, 0.0021, 0)</f>
        <v>79.856300000000005</v>
      </c>
      <c r="I779" s="10">
        <f>79.8542 * CHOOSE(CONTROL!$C$9, $D$9, 100%, $F$9) + CHOOSE(CONTROL!$C$27, 0.0021, 0)</f>
        <v>79.856300000000005</v>
      </c>
      <c r="J779" s="10">
        <f>79.8542 * CHOOSE(CONTROL!$C$9, $D$9, 100%, $F$9) + CHOOSE(CONTROL!$C$27, 0.0021, 0)</f>
        <v>79.856300000000005</v>
      </c>
      <c r="K779" s="10">
        <f>79.8542 * CHOOSE(CONTROL!$C$9, $D$9, 100%, $F$9) + CHOOSE(CONTROL!$C$27, 0.0021, 0)</f>
        <v>79.856300000000005</v>
      </c>
      <c r="L779" s="10"/>
    </row>
    <row r="780" spans="1:12" ht="15.75" x14ac:dyDescent="0.25">
      <c r="A780" s="13">
        <v>64681</v>
      </c>
      <c r="B780" s="10">
        <f>79.2645 * CHOOSE(CONTROL!$C$9, $D$9, 100%, $F$9) + CHOOSE(CONTROL!$C$27, 0.0021, 0)</f>
        <v>79.266599999999997</v>
      </c>
      <c r="C780" s="10">
        <f>78.8323 * CHOOSE(CONTROL!$C$9, $D$9, 100%, $F$9) + CHOOSE(CONTROL!$C$27, 0.0021, 0)</f>
        <v>78.834400000000002</v>
      </c>
      <c r="D780" s="10">
        <f>78.8323 * CHOOSE(CONTROL!$C$9, $D$9, 100%, $F$9) + CHOOSE(CONTROL!$C$27, 0.0021, 0)</f>
        <v>78.834400000000002</v>
      </c>
      <c r="E780" s="10">
        <f>78.6956 * CHOOSE(CONTROL!$C$9, $D$9, 100%, $F$9) + CHOOSE(CONTROL!$C$27, 0.0021, 0)</f>
        <v>78.697699999999998</v>
      </c>
      <c r="F780" s="10">
        <f>78.6956 * CHOOSE(CONTROL!$C$9, $D$9, 100%, $F$9) + CHOOSE(CONTROL!$C$27, 0.0021, 0)</f>
        <v>78.697699999999998</v>
      </c>
      <c r="G780" s="10">
        <f>78.967 * CHOOSE(CONTROL!$C$9, $D$9, 100%, $F$9) + CHOOSE(CONTROL!$C$27, 0.0021, 0)</f>
        <v>78.969099999999997</v>
      </c>
      <c r="H780" s="10">
        <f>78.8323 * CHOOSE(CONTROL!$C$9, $D$9, 100%, $F$9) + CHOOSE(CONTROL!$C$27, 0.0021, 0)</f>
        <v>78.834400000000002</v>
      </c>
      <c r="I780" s="10">
        <f>78.8323 * CHOOSE(CONTROL!$C$9, $D$9, 100%, $F$9) + CHOOSE(CONTROL!$C$27, 0.0021, 0)</f>
        <v>78.834400000000002</v>
      </c>
      <c r="J780" s="10">
        <f>78.8323 * CHOOSE(CONTROL!$C$9, $D$9, 100%, $F$9) + CHOOSE(CONTROL!$C$27, 0.0021, 0)</f>
        <v>78.834400000000002</v>
      </c>
      <c r="K780" s="10">
        <f>78.8323 * CHOOSE(CONTROL!$C$9, $D$9, 100%, $F$9) + CHOOSE(CONTROL!$C$27, 0.0021, 0)</f>
        <v>78.834400000000002</v>
      </c>
      <c r="L780" s="10"/>
    </row>
    <row r="781" spans="1:12" ht="15.75" x14ac:dyDescent="0.25">
      <c r="A781" s="13">
        <v>64709</v>
      </c>
      <c r="B781" s="10">
        <f>77.0873 * CHOOSE(CONTROL!$C$9, $D$9, 100%, $F$9) + CHOOSE(CONTROL!$C$27, 0.0021, 0)</f>
        <v>77.089399999999998</v>
      </c>
      <c r="C781" s="10">
        <f>76.6551 * CHOOSE(CONTROL!$C$9, $D$9, 100%, $F$9) + CHOOSE(CONTROL!$C$27, 0.0021, 0)</f>
        <v>76.657200000000003</v>
      </c>
      <c r="D781" s="10">
        <f>76.6551 * CHOOSE(CONTROL!$C$9, $D$9, 100%, $F$9) + CHOOSE(CONTROL!$C$27, 0.0021, 0)</f>
        <v>76.657200000000003</v>
      </c>
      <c r="E781" s="10">
        <f>76.5184 * CHOOSE(CONTROL!$C$9, $D$9, 100%, $F$9) + CHOOSE(CONTROL!$C$27, 0.0021, 0)</f>
        <v>76.520499999999998</v>
      </c>
      <c r="F781" s="10">
        <f>76.5184 * CHOOSE(CONTROL!$C$9, $D$9, 100%, $F$9) + CHOOSE(CONTROL!$C$27, 0.0021, 0)</f>
        <v>76.520499999999998</v>
      </c>
      <c r="G781" s="10">
        <f>76.7898 * CHOOSE(CONTROL!$C$9, $D$9, 100%, $F$9) + CHOOSE(CONTROL!$C$27, 0.0021, 0)</f>
        <v>76.791899999999998</v>
      </c>
      <c r="H781" s="10">
        <f>76.6551 * CHOOSE(CONTROL!$C$9, $D$9, 100%, $F$9) + CHOOSE(CONTROL!$C$27, 0.0021, 0)</f>
        <v>76.657200000000003</v>
      </c>
      <c r="I781" s="10">
        <f>76.6551 * CHOOSE(CONTROL!$C$9, $D$9, 100%, $F$9) + CHOOSE(CONTROL!$C$27, 0.0021, 0)</f>
        <v>76.657200000000003</v>
      </c>
      <c r="J781" s="10">
        <f>76.6551 * CHOOSE(CONTROL!$C$9, $D$9, 100%, $F$9) + CHOOSE(CONTROL!$C$27, 0.0021, 0)</f>
        <v>76.657200000000003</v>
      </c>
      <c r="K781" s="10">
        <f>76.6551 * CHOOSE(CONTROL!$C$9, $D$9, 100%, $F$9) + CHOOSE(CONTROL!$C$27, 0.0021, 0)</f>
        <v>76.657200000000003</v>
      </c>
      <c r="L781" s="10"/>
    </row>
    <row r="782" spans="1:12" ht="15.75" x14ac:dyDescent="0.25">
      <c r="A782" s="13">
        <v>64740</v>
      </c>
      <c r="B782" s="10">
        <f>76.1886 * CHOOSE(CONTROL!$C$9, $D$9, 100%, $F$9) + CHOOSE(CONTROL!$C$27, 0.0021, 0)</f>
        <v>76.190699999999993</v>
      </c>
      <c r="C782" s="10">
        <f>75.7563 * CHOOSE(CONTROL!$C$9, $D$9, 100%, $F$9) + CHOOSE(CONTROL!$C$27, 0.0021, 0)</f>
        <v>75.758399999999995</v>
      </c>
      <c r="D782" s="10">
        <f>75.7563 * CHOOSE(CONTROL!$C$9, $D$9, 100%, $F$9) + CHOOSE(CONTROL!$C$27, 0.0021, 0)</f>
        <v>75.758399999999995</v>
      </c>
      <c r="E782" s="10">
        <f>75.6197 * CHOOSE(CONTROL!$C$9, $D$9, 100%, $F$9) + CHOOSE(CONTROL!$C$27, 0.0021, 0)</f>
        <v>75.621799999999993</v>
      </c>
      <c r="F782" s="10">
        <f>75.6197 * CHOOSE(CONTROL!$C$9, $D$9, 100%, $F$9) + CHOOSE(CONTROL!$C$27, 0.0021, 0)</f>
        <v>75.621799999999993</v>
      </c>
      <c r="G782" s="10">
        <f>75.891 * CHOOSE(CONTROL!$C$9, $D$9, 100%, $F$9) + CHOOSE(CONTROL!$C$27, 0.0021, 0)</f>
        <v>75.893100000000004</v>
      </c>
      <c r="H782" s="10">
        <f>75.7563 * CHOOSE(CONTROL!$C$9, $D$9, 100%, $F$9) + CHOOSE(CONTROL!$C$27, 0.0021, 0)</f>
        <v>75.758399999999995</v>
      </c>
      <c r="I782" s="10">
        <f>75.7563 * CHOOSE(CONTROL!$C$9, $D$9, 100%, $F$9) + CHOOSE(CONTROL!$C$27, 0.0021, 0)</f>
        <v>75.758399999999995</v>
      </c>
      <c r="J782" s="10">
        <f>75.7563 * CHOOSE(CONTROL!$C$9, $D$9, 100%, $F$9) + CHOOSE(CONTROL!$C$27, 0.0021, 0)</f>
        <v>75.758399999999995</v>
      </c>
      <c r="K782" s="10">
        <f>75.7563 * CHOOSE(CONTROL!$C$9, $D$9, 100%, $F$9) + CHOOSE(CONTROL!$C$27, 0.0021, 0)</f>
        <v>75.758399999999995</v>
      </c>
      <c r="L782" s="10"/>
    </row>
    <row r="783" spans="1:12" ht="15.75" x14ac:dyDescent="0.25">
      <c r="A783" s="13">
        <v>64770</v>
      </c>
      <c r="B783" s="10">
        <f>75.1155 * CHOOSE(CONTROL!$C$9, $D$9, 100%, $F$9) + CHOOSE(CONTROL!$C$27, 0.0021, 0)</f>
        <v>75.117599999999996</v>
      </c>
      <c r="C783" s="10">
        <f>74.6832 * CHOOSE(CONTROL!$C$9, $D$9, 100%, $F$9) + CHOOSE(CONTROL!$C$27, 0.0021, 0)</f>
        <v>74.685299999999998</v>
      </c>
      <c r="D783" s="10">
        <f>74.6832 * CHOOSE(CONTROL!$C$9, $D$9, 100%, $F$9) + CHOOSE(CONTROL!$C$27, 0.0021, 0)</f>
        <v>74.685299999999998</v>
      </c>
      <c r="E783" s="10">
        <f>74.5466 * CHOOSE(CONTROL!$C$9, $D$9, 100%, $F$9) + CHOOSE(CONTROL!$C$27, 0.0021, 0)</f>
        <v>74.548699999999997</v>
      </c>
      <c r="F783" s="10">
        <f>74.5466 * CHOOSE(CONTROL!$C$9, $D$9, 100%, $F$9) + CHOOSE(CONTROL!$C$27, 0.0021, 0)</f>
        <v>74.548699999999997</v>
      </c>
      <c r="G783" s="10">
        <f>74.8179 * CHOOSE(CONTROL!$C$9, $D$9, 100%, $F$9) + CHOOSE(CONTROL!$C$27, 0.0021, 0)</f>
        <v>74.819999999999993</v>
      </c>
      <c r="H783" s="10">
        <f>74.6832 * CHOOSE(CONTROL!$C$9, $D$9, 100%, $F$9) + CHOOSE(CONTROL!$C$27, 0.0021, 0)</f>
        <v>74.685299999999998</v>
      </c>
      <c r="I783" s="10">
        <f>74.6832 * CHOOSE(CONTROL!$C$9, $D$9, 100%, $F$9) + CHOOSE(CONTROL!$C$27, 0.0021, 0)</f>
        <v>74.685299999999998</v>
      </c>
      <c r="J783" s="10">
        <f>74.6832 * CHOOSE(CONTROL!$C$9, $D$9, 100%, $F$9) + CHOOSE(CONTROL!$C$27, 0.0021, 0)</f>
        <v>74.685299999999998</v>
      </c>
      <c r="K783" s="10">
        <f>74.6832 * CHOOSE(CONTROL!$C$9, $D$9, 100%, $F$9) + CHOOSE(CONTROL!$C$27, 0.0021, 0)</f>
        <v>74.685299999999998</v>
      </c>
      <c r="L783" s="10"/>
    </row>
    <row r="784" spans="1:12" ht="15.75" x14ac:dyDescent="0.25">
      <c r="A784" s="13">
        <v>64801</v>
      </c>
      <c r="B784" s="10">
        <f>76.6448 * CHOOSE(CONTROL!$C$9, $D$9, 100%, $F$9) + CHOOSE(CONTROL!$C$27, 0.0021, 0)</f>
        <v>76.646900000000002</v>
      </c>
      <c r="C784" s="10">
        <f>76.2125 * CHOOSE(CONTROL!$C$9, $D$9, 100%, $F$9) + CHOOSE(CONTROL!$C$27, 0.0021, 0)</f>
        <v>76.214600000000004</v>
      </c>
      <c r="D784" s="10">
        <f>76.2125 * CHOOSE(CONTROL!$C$9, $D$9, 100%, $F$9) + CHOOSE(CONTROL!$C$27, 0.0021, 0)</f>
        <v>76.214600000000004</v>
      </c>
      <c r="E784" s="10">
        <f>76.0759 * CHOOSE(CONTROL!$C$9, $D$9, 100%, $F$9) + CHOOSE(CONTROL!$C$27, 0.0021, 0)</f>
        <v>76.078000000000003</v>
      </c>
      <c r="F784" s="10">
        <f>76.0759 * CHOOSE(CONTROL!$C$9, $D$9, 100%, $F$9) + CHOOSE(CONTROL!$C$27, 0.0021, 0)</f>
        <v>76.078000000000003</v>
      </c>
      <c r="G784" s="10">
        <f>76.3472 * CHOOSE(CONTROL!$C$9, $D$9, 100%, $F$9) + CHOOSE(CONTROL!$C$27, 0.0021, 0)</f>
        <v>76.349299999999999</v>
      </c>
      <c r="H784" s="10">
        <f>76.2125 * CHOOSE(CONTROL!$C$9, $D$9, 100%, $F$9) + CHOOSE(CONTROL!$C$27, 0.0021, 0)</f>
        <v>76.214600000000004</v>
      </c>
      <c r="I784" s="10">
        <f>76.2125 * CHOOSE(CONTROL!$C$9, $D$9, 100%, $F$9) + CHOOSE(CONTROL!$C$27, 0.0021, 0)</f>
        <v>76.214600000000004</v>
      </c>
      <c r="J784" s="10">
        <f>76.2125 * CHOOSE(CONTROL!$C$9, $D$9, 100%, $F$9) + CHOOSE(CONTROL!$C$27, 0.0021, 0)</f>
        <v>76.214600000000004</v>
      </c>
      <c r="K784" s="10">
        <f>76.2125 * CHOOSE(CONTROL!$C$9, $D$9, 100%, $F$9) + CHOOSE(CONTROL!$C$27, 0.0021, 0)</f>
        <v>76.214600000000004</v>
      </c>
      <c r="L784" s="10"/>
    </row>
    <row r="785" spans="1:12" ht="15.75" x14ac:dyDescent="0.25">
      <c r="A785" s="13">
        <v>64831</v>
      </c>
      <c r="B785" s="10">
        <f>77.5608 * CHOOSE(CONTROL!$C$9, $D$9, 100%, $F$9) + CHOOSE(CONTROL!$C$27, 0.0021, 0)</f>
        <v>77.562899999999999</v>
      </c>
      <c r="C785" s="10">
        <f>77.1285 * CHOOSE(CONTROL!$C$9, $D$9, 100%, $F$9) + CHOOSE(CONTROL!$C$27, 0.0021, 0)</f>
        <v>77.130600000000001</v>
      </c>
      <c r="D785" s="10">
        <f>77.1285 * CHOOSE(CONTROL!$C$9, $D$9, 100%, $F$9) + CHOOSE(CONTROL!$C$27, 0.0021, 0)</f>
        <v>77.130600000000001</v>
      </c>
      <c r="E785" s="10">
        <f>76.9919 * CHOOSE(CONTROL!$C$9, $D$9, 100%, $F$9) + CHOOSE(CONTROL!$C$27, 0.0021, 0)</f>
        <v>76.994</v>
      </c>
      <c r="F785" s="10">
        <f>76.9919 * CHOOSE(CONTROL!$C$9, $D$9, 100%, $F$9) + CHOOSE(CONTROL!$C$27, 0.0021, 0)</f>
        <v>76.994</v>
      </c>
      <c r="G785" s="10">
        <f>77.2632 * CHOOSE(CONTROL!$C$9, $D$9, 100%, $F$9) + CHOOSE(CONTROL!$C$27, 0.0021, 0)</f>
        <v>77.265299999999996</v>
      </c>
      <c r="H785" s="10">
        <f>77.1285 * CHOOSE(CONTROL!$C$9, $D$9, 100%, $F$9) + CHOOSE(CONTROL!$C$27, 0.0021, 0)</f>
        <v>77.130600000000001</v>
      </c>
      <c r="I785" s="10">
        <f>77.1285 * CHOOSE(CONTROL!$C$9, $D$9, 100%, $F$9) + CHOOSE(CONTROL!$C$27, 0.0021, 0)</f>
        <v>77.130600000000001</v>
      </c>
      <c r="J785" s="10">
        <f>77.1285 * CHOOSE(CONTROL!$C$9, $D$9, 100%, $F$9) + CHOOSE(CONTROL!$C$27, 0.0021, 0)</f>
        <v>77.130600000000001</v>
      </c>
      <c r="K785" s="10">
        <f>77.1285 * CHOOSE(CONTROL!$C$9, $D$9, 100%, $F$9) + CHOOSE(CONTROL!$C$27, 0.0021, 0)</f>
        <v>77.130600000000001</v>
      </c>
      <c r="L785" s="10"/>
    </row>
    <row r="786" spans="1:12" ht="15.75" x14ac:dyDescent="0.25">
      <c r="A786" s="13">
        <v>64862</v>
      </c>
      <c r="B786" s="10">
        <f>79.0718 * CHOOSE(CONTROL!$C$9, $D$9, 100%, $F$9) + CHOOSE(CONTROL!$C$27, 0.0021, 0)</f>
        <v>79.073899999999995</v>
      </c>
      <c r="C786" s="10">
        <f>78.6396 * CHOOSE(CONTROL!$C$9, $D$9, 100%, $F$9) + CHOOSE(CONTROL!$C$27, 0.0021, 0)</f>
        <v>78.6417</v>
      </c>
      <c r="D786" s="10">
        <f>78.6396 * CHOOSE(CONTROL!$C$9, $D$9, 100%, $F$9) + CHOOSE(CONTROL!$C$27, 0.0021, 0)</f>
        <v>78.6417</v>
      </c>
      <c r="E786" s="10">
        <f>78.5029 * CHOOSE(CONTROL!$C$9, $D$9, 100%, $F$9) + CHOOSE(CONTROL!$C$27, 0.0021, 0)</f>
        <v>78.504999999999995</v>
      </c>
      <c r="F786" s="10">
        <f>78.5029 * CHOOSE(CONTROL!$C$9, $D$9, 100%, $F$9) + CHOOSE(CONTROL!$C$27, 0.0021, 0)</f>
        <v>78.504999999999995</v>
      </c>
      <c r="G786" s="10">
        <f>78.7743 * CHOOSE(CONTROL!$C$9, $D$9, 100%, $F$9) + CHOOSE(CONTROL!$C$27, 0.0021, 0)</f>
        <v>78.776399999999995</v>
      </c>
      <c r="H786" s="10">
        <f>78.6396 * CHOOSE(CONTROL!$C$9, $D$9, 100%, $F$9) + CHOOSE(CONTROL!$C$27, 0.0021, 0)</f>
        <v>78.6417</v>
      </c>
      <c r="I786" s="10">
        <f>78.6396 * CHOOSE(CONTROL!$C$9, $D$9, 100%, $F$9) + CHOOSE(CONTROL!$C$27, 0.0021, 0)</f>
        <v>78.6417</v>
      </c>
      <c r="J786" s="10">
        <f>78.6396 * CHOOSE(CONTROL!$C$9, $D$9, 100%, $F$9) + CHOOSE(CONTROL!$C$27, 0.0021, 0)</f>
        <v>78.6417</v>
      </c>
      <c r="K786" s="10">
        <f>78.6396 * CHOOSE(CONTROL!$C$9, $D$9, 100%, $F$9) + CHOOSE(CONTROL!$C$27, 0.0021, 0)</f>
        <v>78.6417</v>
      </c>
      <c r="L786" s="10"/>
    </row>
    <row r="787" spans="1:12" ht="15.75" x14ac:dyDescent="0.25">
      <c r="A787" s="13">
        <v>64893</v>
      </c>
      <c r="B787" s="10">
        <f>79.5331 * CHOOSE(CONTROL!$C$9, $D$9, 100%, $F$9) + CHOOSE(CONTROL!$C$27, 0.0021, 0)</f>
        <v>79.535200000000003</v>
      </c>
      <c r="C787" s="10">
        <f>79.1008 * CHOOSE(CONTROL!$C$9, $D$9, 100%, $F$9) + CHOOSE(CONTROL!$C$27, 0.0021, 0)</f>
        <v>79.102900000000005</v>
      </c>
      <c r="D787" s="10">
        <f>79.1008 * CHOOSE(CONTROL!$C$9, $D$9, 100%, $F$9) + CHOOSE(CONTROL!$C$27, 0.0021, 0)</f>
        <v>79.102900000000005</v>
      </c>
      <c r="E787" s="10">
        <f>78.9642 * CHOOSE(CONTROL!$C$9, $D$9, 100%, $F$9) + CHOOSE(CONTROL!$C$27, 0.0021, 0)</f>
        <v>78.966300000000004</v>
      </c>
      <c r="F787" s="10">
        <f>78.9642 * CHOOSE(CONTROL!$C$9, $D$9, 100%, $F$9) + CHOOSE(CONTROL!$C$27, 0.0021, 0)</f>
        <v>78.966300000000004</v>
      </c>
      <c r="G787" s="10">
        <f>79.2355 * CHOOSE(CONTROL!$C$9, $D$9, 100%, $F$9) + CHOOSE(CONTROL!$C$27, 0.0021, 0)</f>
        <v>79.2376</v>
      </c>
      <c r="H787" s="10">
        <f>79.1008 * CHOOSE(CONTROL!$C$9, $D$9, 100%, $F$9) + CHOOSE(CONTROL!$C$27, 0.0021, 0)</f>
        <v>79.102900000000005</v>
      </c>
      <c r="I787" s="10">
        <f>79.1008 * CHOOSE(CONTROL!$C$9, $D$9, 100%, $F$9) + CHOOSE(CONTROL!$C$27, 0.0021, 0)</f>
        <v>79.102900000000005</v>
      </c>
      <c r="J787" s="10">
        <f>79.1008 * CHOOSE(CONTROL!$C$9, $D$9, 100%, $F$9) + CHOOSE(CONTROL!$C$27, 0.0021, 0)</f>
        <v>79.102900000000005</v>
      </c>
      <c r="K787" s="10">
        <f>79.1008 * CHOOSE(CONTROL!$C$9, $D$9, 100%, $F$9) + CHOOSE(CONTROL!$C$27, 0.0021, 0)</f>
        <v>79.102900000000005</v>
      </c>
      <c r="L787" s="10"/>
    </row>
    <row r="788" spans="1:12" ht="15.75" x14ac:dyDescent="0.25">
      <c r="A788" s="13">
        <v>64923</v>
      </c>
      <c r="B788" s="10">
        <f>81.1038 * CHOOSE(CONTROL!$C$9, $D$9, 100%, $F$9) + CHOOSE(CONTROL!$C$27, 0.0021, 0)</f>
        <v>81.105900000000005</v>
      </c>
      <c r="C788" s="10">
        <f>80.6715 * CHOOSE(CONTROL!$C$9, $D$9, 100%, $F$9) + CHOOSE(CONTROL!$C$27, 0.0021, 0)</f>
        <v>80.673599999999993</v>
      </c>
      <c r="D788" s="10">
        <f>80.6715 * CHOOSE(CONTROL!$C$9, $D$9, 100%, $F$9) + CHOOSE(CONTROL!$C$27, 0.0021, 0)</f>
        <v>80.673599999999993</v>
      </c>
      <c r="E788" s="10">
        <f>80.5348 * CHOOSE(CONTROL!$C$9, $D$9, 100%, $F$9) + CHOOSE(CONTROL!$C$27, 0.0021, 0)</f>
        <v>80.536900000000003</v>
      </c>
      <c r="F788" s="10">
        <f>80.5348 * CHOOSE(CONTROL!$C$9, $D$9, 100%, $F$9) + CHOOSE(CONTROL!$C$27, 0.0021, 0)</f>
        <v>80.536900000000003</v>
      </c>
      <c r="G788" s="10">
        <f>80.8062 * CHOOSE(CONTROL!$C$9, $D$9, 100%, $F$9) + CHOOSE(CONTROL!$C$27, 0.0021, 0)</f>
        <v>80.808300000000003</v>
      </c>
      <c r="H788" s="10">
        <f>80.6715 * CHOOSE(CONTROL!$C$9, $D$9, 100%, $F$9) + CHOOSE(CONTROL!$C$27, 0.0021, 0)</f>
        <v>80.673599999999993</v>
      </c>
      <c r="I788" s="10">
        <f>80.6715 * CHOOSE(CONTROL!$C$9, $D$9, 100%, $F$9) + CHOOSE(CONTROL!$C$27, 0.0021, 0)</f>
        <v>80.673599999999993</v>
      </c>
      <c r="J788" s="10">
        <f>80.6715 * CHOOSE(CONTROL!$C$9, $D$9, 100%, $F$9) + CHOOSE(CONTROL!$C$27, 0.0021, 0)</f>
        <v>80.673599999999993</v>
      </c>
      <c r="K788" s="10">
        <f>80.6715 * CHOOSE(CONTROL!$C$9, $D$9, 100%, $F$9) + CHOOSE(CONTROL!$C$27, 0.0021, 0)</f>
        <v>80.673599999999993</v>
      </c>
      <c r="L788" s="10"/>
    </row>
    <row r="789" spans="1:12" ht="15.75" x14ac:dyDescent="0.25">
      <c r="A789" s="13">
        <v>64954</v>
      </c>
      <c r="B789" s="10">
        <f>83.092 * CHOOSE(CONTROL!$C$9, $D$9, 100%, $F$9) + CHOOSE(CONTROL!$C$27, 0.0021, 0)</f>
        <v>83.094099999999997</v>
      </c>
      <c r="C789" s="10">
        <f>82.6597 * CHOOSE(CONTROL!$C$9, $D$9, 100%, $F$9) + CHOOSE(CONTROL!$C$27, 0.0021, 0)</f>
        <v>82.661799999999999</v>
      </c>
      <c r="D789" s="10">
        <f>82.6597 * CHOOSE(CONTROL!$C$9, $D$9, 100%, $F$9) + CHOOSE(CONTROL!$C$27, 0.0021, 0)</f>
        <v>82.661799999999999</v>
      </c>
      <c r="E789" s="10">
        <f>82.5231 * CHOOSE(CONTROL!$C$9, $D$9, 100%, $F$9) + CHOOSE(CONTROL!$C$27, 0.0021, 0)</f>
        <v>82.525199999999998</v>
      </c>
      <c r="F789" s="10">
        <f>82.5231 * CHOOSE(CONTROL!$C$9, $D$9, 100%, $F$9) + CHOOSE(CONTROL!$C$27, 0.0021, 0)</f>
        <v>82.525199999999998</v>
      </c>
      <c r="G789" s="10">
        <f>82.7944 * CHOOSE(CONTROL!$C$9, $D$9, 100%, $F$9) + CHOOSE(CONTROL!$C$27, 0.0021, 0)</f>
        <v>82.796499999999995</v>
      </c>
      <c r="H789" s="10">
        <f>82.6597 * CHOOSE(CONTROL!$C$9, $D$9, 100%, $F$9) + CHOOSE(CONTROL!$C$27, 0.0021, 0)</f>
        <v>82.661799999999999</v>
      </c>
      <c r="I789" s="10">
        <f>82.6597 * CHOOSE(CONTROL!$C$9, $D$9, 100%, $F$9) + CHOOSE(CONTROL!$C$27, 0.0021, 0)</f>
        <v>82.661799999999999</v>
      </c>
      <c r="J789" s="10">
        <f>82.6597 * CHOOSE(CONTROL!$C$9, $D$9, 100%, $F$9) + CHOOSE(CONTROL!$C$27, 0.0021, 0)</f>
        <v>82.661799999999999</v>
      </c>
      <c r="K789" s="10">
        <f>82.6597 * CHOOSE(CONTROL!$C$9, $D$9, 100%, $F$9) + CHOOSE(CONTROL!$C$27, 0.0021, 0)</f>
        <v>82.661799999999999</v>
      </c>
      <c r="L789" s="10"/>
    </row>
    <row r="790" spans="1:12" ht="15.75" x14ac:dyDescent="0.25">
      <c r="A790" s="13">
        <v>64984</v>
      </c>
      <c r="B790" s="10">
        <f>83.2786 * CHOOSE(CONTROL!$C$9, $D$9, 100%, $F$9) + CHOOSE(CONTROL!$C$27, 0.0021, 0)</f>
        <v>83.280699999999996</v>
      </c>
      <c r="C790" s="10">
        <f>82.8464 * CHOOSE(CONTROL!$C$9, $D$9, 100%, $F$9) + CHOOSE(CONTROL!$C$27, 0.0021, 0)</f>
        <v>82.848500000000001</v>
      </c>
      <c r="D790" s="10">
        <f>82.8464 * CHOOSE(CONTROL!$C$9, $D$9, 100%, $F$9) + CHOOSE(CONTROL!$C$27, 0.0021, 0)</f>
        <v>82.848500000000001</v>
      </c>
      <c r="E790" s="10">
        <f>82.7097 * CHOOSE(CONTROL!$C$9, $D$9, 100%, $F$9) + CHOOSE(CONTROL!$C$27, 0.0021, 0)</f>
        <v>82.711799999999997</v>
      </c>
      <c r="F790" s="10">
        <f>82.7097 * CHOOSE(CONTROL!$C$9, $D$9, 100%, $F$9) + CHOOSE(CONTROL!$C$27, 0.0021, 0)</f>
        <v>82.711799999999997</v>
      </c>
      <c r="G790" s="10">
        <f>82.9811 * CHOOSE(CONTROL!$C$9, $D$9, 100%, $F$9) + CHOOSE(CONTROL!$C$27, 0.0021, 0)</f>
        <v>82.983199999999997</v>
      </c>
      <c r="H790" s="10">
        <f>82.8464 * CHOOSE(CONTROL!$C$9, $D$9, 100%, $F$9) + CHOOSE(CONTROL!$C$27, 0.0021, 0)</f>
        <v>82.848500000000001</v>
      </c>
      <c r="I790" s="10">
        <f>82.8464 * CHOOSE(CONTROL!$C$9, $D$9, 100%, $F$9) + CHOOSE(CONTROL!$C$27, 0.0021, 0)</f>
        <v>82.848500000000001</v>
      </c>
      <c r="J790" s="10">
        <f>82.8464 * CHOOSE(CONTROL!$C$9, $D$9, 100%, $F$9) + CHOOSE(CONTROL!$C$27, 0.0021, 0)</f>
        <v>82.848500000000001</v>
      </c>
      <c r="K790" s="10">
        <f>82.8464 * CHOOSE(CONTROL!$C$9, $D$9, 100%, $F$9) + CHOOSE(CONTROL!$C$27, 0.0021, 0)</f>
        <v>82.848500000000001</v>
      </c>
      <c r="L790" s="10"/>
    </row>
    <row r="791" spans="1:12" ht="15.75" x14ac:dyDescent="0.25">
      <c r="A791" s="13">
        <v>65015</v>
      </c>
      <c r="B791" s="10">
        <f>81.6907 * CHOOSE(CONTROL!$C$9, $D$9, 100%, $F$9) + CHOOSE(CONTROL!$C$27, 0.0021, 0)</f>
        <v>81.692800000000005</v>
      </c>
      <c r="C791" s="10">
        <f>81.2584 * CHOOSE(CONTROL!$C$9, $D$9, 100%, $F$9) + CHOOSE(CONTROL!$C$27, 0.0021, 0)</f>
        <v>81.260499999999993</v>
      </c>
      <c r="D791" s="10">
        <f>81.2584 * CHOOSE(CONTROL!$C$9, $D$9, 100%, $F$9) + CHOOSE(CONTROL!$C$27, 0.0021, 0)</f>
        <v>81.260499999999993</v>
      </c>
      <c r="E791" s="10">
        <f>81.1218 * CHOOSE(CONTROL!$C$9, $D$9, 100%, $F$9) + CHOOSE(CONTROL!$C$27, 0.0021, 0)</f>
        <v>81.123899999999992</v>
      </c>
      <c r="F791" s="10">
        <f>81.1218 * CHOOSE(CONTROL!$C$9, $D$9, 100%, $F$9) + CHOOSE(CONTROL!$C$27, 0.0021, 0)</f>
        <v>81.123899999999992</v>
      </c>
      <c r="G791" s="10">
        <f>81.3931 * CHOOSE(CONTROL!$C$9, $D$9, 100%, $F$9) + CHOOSE(CONTROL!$C$27, 0.0021, 0)</f>
        <v>81.395200000000003</v>
      </c>
      <c r="H791" s="10">
        <f>81.2584 * CHOOSE(CONTROL!$C$9, $D$9, 100%, $F$9) + CHOOSE(CONTROL!$C$27, 0.0021, 0)</f>
        <v>81.260499999999993</v>
      </c>
      <c r="I791" s="10">
        <f>81.2584 * CHOOSE(CONTROL!$C$9, $D$9, 100%, $F$9) + CHOOSE(CONTROL!$C$27, 0.0021, 0)</f>
        <v>81.260499999999993</v>
      </c>
      <c r="J791" s="10">
        <f>81.2584 * CHOOSE(CONTROL!$C$9, $D$9, 100%, $F$9) + CHOOSE(CONTROL!$C$27, 0.0021, 0)</f>
        <v>81.260499999999993</v>
      </c>
      <c r="K791" s="10">
        <f>81.2584 * CHOOSE(CONTROL!$C$9, $D$9, 100%, $F$9) + CHOOSE(CONTROL!$C$27, 0.0021, 0)</f>
        <v>81.260499999999993</v>
      </c>
      <c r="L791" s="10"/>
    </row>
    <row r="792" spans="1:12" ht="15.75" x14ac:dyDescent="0.25">
      <c r="A792" s="13">
        <v>65046</v>
      </c>
      <c r="B792" s="10">
        <f>80.6504 * CHOOSE(CONTROL!$C$9, $D$9, 100%, $F$9) + CHOOSE(CONTROL!$C$27, 0.0021, 0)</f>
        <v>80.652500000000003</v>
      </c>
      <c r="C792" s="10">
        <f>80.2181 * CHOOSE(CONTROL!$C$9, $D$9, 100%, $F$9) + CHOOSE(CONTROL!$C$27, 0.0021, 0)</f>
        <v>80.220200000000006</v>
      </c>
      <c r="D792" s="10">
        <f>80.2181 * CHOOSE(CONTROL!$C$9, $D$9, 100%, $F$9) + CHOOSE(CONTROL!$C$27, 0.0021, 0)</f>
        <v>80.220200000000006</v>
      </c>
      <c r="E792" s="10">
        <f>80.0815 * CHOOSE(CONTROL!$C$9, $D$9, 100%, $F$9) + CHOOSE(CONTROL!$C$27, 0.0021, 0)</f>
        <v>80.083600000000004</v>
      </c>
      <c r="F792" s="10">
        <f>80.0815 * CHOOSE(CONTROL!$C$9, $D$9, 100%, $F$9) + CHOOSE(CONTROL!$C$27, 0.0021, 0)</f>
        <v>80.083600000000004</v>
      </c>
      <c r="G792" s="10">
        <f>80.3528 * CHOOSE(CONTROL!$C$9, $D$9, 100%, $F$9) + CHOOSE(CONTROL!$C$27, 0.0021, 0)</f>
        <v>80.354900000000001</v>
      </c>
      <c r="H792" s="10">
        <f>80.2181 * CHOOSE(CONTROL!$C$9, $D$9, 100%, $F$9) + CHOOSE(CONTROL!$C$27, 0.0021, 0)</f>
        <v>80.220200000000006</v>
      </c>
      <c r="I792" s="10">
        <f>80.2181 * CHOOSE(CONTROL!$C$9, $D$9, 100%, $F$9) + CHOOSE(CONTROL!$C$27, 0.0021, 0)</f>
        <v>80.220200000000006</v>
      </c>
      <c r="J792" s="10">
        <f>80.2181 * CHOOSE(CONTROL!$C$9, $D$9, 100%, $F$9) + CHOOSE(CONTROL!$C$27, 0.0021, 0)</f>
        <v>80.220200000000006</v>
      </c>
      <c r="K792" s="10">
        <f>80.2181 * CHOOSE(CONTROL!$C$9, $D$9, 100%, $F$9) + CHOOSE(CONTROL!$C$27, 0.0021, 0)</f>
        <v>80.220200000000006</v>
      </c>
      <c r="L792" s="10"/>
    </row>
    <row r="793" spans="1:12" ht="15.75" x14ac:dyDescent="0.25">
      <c r="A793" s="13">
        <v>65074</v>
      </c>
      <c r="B793" s="10">
        <f>78.434 * CHOOSE(CONTROL!$C$9, $D$9, 100%, $F$9) + CHOOSE(CONTROL!$C$27, 0.0021, 0)</f>
        <v>78.436099999999996</v>
      </c>
      <c r="C793" s="10">
        <f>78.0017 * CHOOSE(CONTROL!$C$9, $D$9, 100%, $F$9) + CHOOSE(CONTROL!$C$27, 0.0021, 0)</f>
        <v>78.003799999999998</v>
      </c>
      <c r="D793" s="10">
        <f>78.0017 * CHOOSE(CONTROL!$C$9, $D$9, 100%, $F$9) + CHOOSE(CONTROL!$C$27, 0.0021, 0)</f>
        <v>78.003799999999998</v>
      </c>
      <c r="E793" s="10">
        <f>77.8651 * CHOOSE(CONTROL!$C$9, $D$9, 100%, $F$9) + CHOOSE(CONTROL!$C$27, 0.0021, 0)</f>
        <v>77.867199999999997</v>
      </c>
      <c r="F793" s="10">
        <f>77.8651 * CHOOSE(CONTROL!$C$9, $D$9, 100%, $F$9) + CHOOSE(CONTROL!$C$27, 0.0021, 0)</f>
        <v>77.867199999999997</v>
      </c>
      <c r="G793" s="10">
        <f>78.1365 * CHOOSE(CONTROL!$C$9, $D$9, 100%, $F$9) + CHOOSE(CONTROL!$C$27, 0.0021, 0)</f>
        <v>78.138599999999997</v>
      </c>
      <c r="H793" s="10">
        <f>78.0017 * CHOOSE(CONTROL!$C$9, $D$9, 100%, $F$9) + CHOOSE(CONTROL!$C$27, 0.0021, 0)</f>
        <v>78.003799999999998</v>
      </c>
      <c r="I793" s="10">
        <f>78.0017 * CHOOSE(CONTROL!$C$9, $D$9, 100%, $F$9) + CHOOSE(CONTROL!$C$27, 0.0021, 0)</f>
        <v>78.003799999999998</v>
      </c>
      <c r="J793" s="10">
        <f>78.0017 * CHOOSE(CONTROL!$C$9, $D$9, 100%, $F$9) + CHOOSE(CONTROL!$C$27, 0.0021, 0)</f>
        <v>78.003799999999998</v>
      </c>
      <c r="K793" s="10">
        <f>78.0017 * CHOOSE(CONTROL!$C$9, $D$9, 100%, $F$9) + CHOOSE(CONTROL!$C$27, 0.0021, 0)</f>
        <v>78.003799999999998</v>
      </c>
      <c r="L793" s="10"/>
    </row>
    <row r="794" spans="1:12" ht="15.75" x14ac:dyDescent="0.25">
      <c r="A794" s="13">
        <v>65105</v>
      </c>
      <c r="B794" s="10">
        <f>77.5191 * CHOOSE(CONTROL!$C$9, $D$9, 100%, $F$9) + CHOOSE(CONTROL!$C$27, 0.0021, 0)</f>
        <v>77.521199999999993</v>
      </c>
      <c r="C794" s="10">
        <f>77.0868 * CHOOSE(CONTROL!$C$9, $D$9, 100%, $F$9) + CHOOSE(CONTROL!$C$27, 0.0021, 0)</f>
        <v>77.088899999999995</v>
      </c>
      <c r="D794" s="10">
        <f>77.0868 * CHOOSE(CONTROL!$C$9, $D$9, 100%, $F$9) + CHOOSE(CONTROL!$C$27, 0.0021, 0)</f>
        <v>77.088899999999995</v>
      </c>
      <c r="E794" s="10">
        <f>76.9502 * CHOOSE(CONTROL!$C$9, $D$9, 100%, $F$9) + CHOOSE(CONTROL!$C$27, 0.0021, 0)</f>
        <v>76.952299999999994</v>
      </c>
      <c r="F794" s="10">
        <f>76.9502 * CHOOSE(CONTROL!$C$9, $D$9, 100%, $F$9) + CHOOSE(CONTROL!$C$27, 0.0021, 0)</f>
        <v>76.952299999999994</v>
      </c>
      <c r="G794" s="10">
        <f>77.2215 * CHOOSE(CONTROL!$C$9, $D$9, 100%, $F$9) + CHOOSE(CONTROL!$C$27, 0.0021, 0)</f>
        <v>77.223600000000005</v>
      </c>
      <c r="H794" s="10">
        <f>77.0868 * CHOOSE(CONTROL!$C$9, $D$9, 100%, $F$9) + CHOOSE(CONTROL!$C$27, 0.0021, 0)</f>
        <v>77.088899999999995</v>
      </c>
      <c r="I794" s="10">
        <f>77.0868 * CHOOSE(CONTROL!$C$9, $D$9, 100%, $F$9) + CHOOSE(CONTROL!$C$27, 0.0021, 0)</f>
        <v>77.088899999999995</v>
      </c>
      <c r="J794" s="10">
        <f>77.0868 * CHOOSE(CONTROL!$C$9, $D$9, 100%, $F$9) + CHOOSE(CONTROL!$C$27, 0.0021, 0)</f>
        <v>77.088899999999995</v>
      </c>
      <c r="K794" s="10">
        <f>77.0868 * CHOOSE(CONTROL!$C$9, $D$9, 100%, $F$9) + CHOOSE(CONTROL!$C$27, 0.0021, 0)</f>
        <v>77.088899999999995</v>
      </c>
      <c r="L794" s="10"/>
    </row>
    <row r="795" spans="1:12" ht="15.75" x14ac:dyDescent="0.25">
      <c r="A795" s="13">
        <v>65135</v>
      </c>
      <c r="B795" s="10">
        <f>76.4266 * CHOOSE(CONTROL!$C$9, $D$9, 100%, $F$9) + CHOOSE(CONTROL!$C$27, 0.0021, 0)</f>
        <v>76.428699999999992</v>
      </c>
      <c r="C795" s="10">
        <f>75.9944 * CHOOSE(CONTROL!$C$9, $D$9, 100%, $F$9) + CHOOSE(CONTROL!$C$27, 0.0021, 0)</f>
        <v>75.996499999999997</v>
      </c>
      <c r="D795" s="10">
        <f>75.9944 * CHOOSE(CONTROL!$C$9, $D$9, 100%, $F$9) + CHOOSE(CONTROL!$C$27, 0.0021, 0)</f>
        <v>75.996499999999997</v>
      </c>
      <c r="E795" s="10">
        <f>75.8577 * CHOOSE(CONTROL!$C$9, $D$9, 100%, $F$9) + CHOOSE(CONTROL!$C$27, 0.0021, 0)</f>
        <v>75.859799999999993</v>
      </c>
      <c r="F795" s="10">
        <f>75.8577 * CHOOSE(CONTROL!$C$9, $D$9, 100%, $F$9) + CHOOSE(CONTROL!$C$27, 0.0021, 0)</f>
        <v>75.859799999999993</v>
      </c>
      <c r="G795" s="10">
        <f>76.1291 * CHOOSE(CONTROL!$C$9, $D$9, 100%, $F$9) + CHOOSE(CONTROL!$C$27, 0.0021, 0)</f>
        <v>76.131199999999993</v>
      </c>
      <c r="H795" s="10">
        <f>75.9944 * CHOOSE(CONTROL!$C$9, $D$9, 100%, $F$9) + CHOOSE(CONTROL!$C$27, 0.0021, 0)</f>
        <v>75.996499999999997</v>
      </c>
      <c r="I795" s="10">
        <f>75.9944 * CHOOSE(CONTROL!$C$9, $D$9, 100%, $F$9) + CHOOSE(CONTROL!$C$27, 0.0021, 0)</f>
        <v>75.996499999999997</v>
      </c>
      <c r="J795" s="10">
        <f>75.9944 * CHOOSE(CONTROL!$C$9, $D$9, 100%, $F$9) + CHOOSE(CONTROL!$C$27, 0.0021, 0)</f>
        <v>75.996499999999997</v>
      </c>
      <c r="K795" s="10">
        <f>75.9944 * CHOOSE(CONTROL!$C$9, $D$9, 100%, $F$9) + CHOOSE(CONTROL!$C$27, 0.0021, 0)</f>
        <v>75.996499999999997</v>
      </c>
      <c r="L795" s="10"/>
    </row>
    <row r="796" spans="1:12" ht="15.75" x14ac:dyDescent="0.25">
      <c r="A796" s="13">
        <v>65166</v>
      </c>
      <c r="B796" s="10">
        <f>77.9835 * CHOOSE(CONTROL!$C$9, $D$9, 100%, $F$9) + CHOOSE(CONTROL!$C$27, 0.0021, 0)</f>
        <v>77.985600000000005</v>
      </c>
      <c r="C796" s="10">
        <f>77.5512 * CHOOSE(CONTROL!$C$9, $D$9, 100%, $F$9) + CHOOSE(CONTROL!$C$27, 0.0021, 0)</f>
        <v>77.553299999999993</v>
      </c>
      <c r="D796" s="10">
        <f>77.5512 * CHOOSE(CONTROL!$C$9, $D$9, 100%, $F$9) + CHOOSE(CONTROL!$C$27, 0.0021, 0)</f>
        <v>77.553299999999993</v>
      </c>
      <c r="E796" s="10">
        <f>77.4146 * CHOOSE(CONTROL!$C$9, $D$9, 100%, $F$9) + CHOOSE(CONTROL!$C$27, 0.0021, 0)</f>
        <v>77.416699999999992</v>
      </c>
      <c r="F796" s="10">
        <f>77.4146 * CHOOSE(CONTROL!$C$9, $D$9, 100%, $F$9) + CHOOSE(CONTROL!$C$27, 0.0021, 0)</f>
        <v>77.416699999999992</v>
      </c>
      <c r="G796" s="10">
        <f>77.6859 * CHOOSE(CONTROL!$C$9, $D$9, 100%, $F$9) + CHOOSE(CONTROL!$C$27, 0.0021, 0)</f>
        <v>77.688000000000002</v>
      </c>
      <c r="H796" s="10">
        <f>77.5512 * CHOOSE(CONTROL!$C$9, $D$9, 100%, $F$9) + CHOOSE(CONTROL!$C$27, 0.0021, 0)</f>
        <v>77.553299999999993</v>
      </c>
      <c r="I796" s="10">
        <f>77.5512 * CHOOSE(CONTROL!$C$9, $D$9, 100%, $F$9) + CHOOSE(CONTROL!$C$27, 0.0021, 0)</f>
        <v>77.553299999999993</v>
      </c>
      <c r="J796" s="10">
        <f>77.5512 * CHOOSE(CONTROL!$C$9, $D$9, 100%, $F$9) + CHOOSE(CONTROL!$C$27, 0.0021, 0)</f>
        <v>77.553299999999993</v>
      </c>
      <c r="K796" s="10">
        <f>77.5512 * CHOOSE(CONTROL!$C$9, $D$9, 100%, $F$9) + CHOOSE(CONTROL!$C$27, 0.0021, 0)</f>
        <v>77.553299999999993</v>
      </c>
      <c r="L796" s="10"/>
    </row>
    <row r="797" spans="1:12" ht="15.75" x14ac:dyDescent="0.25">
      <c r="A797" s="13">
        <v>65196</v>
      </c>
      <c r="B797" s="10">
        <f>78.916 * CHOOSE(CONTROL!$C$9, $D$9, 100%, $F$9) + CHOOSE(CONTROL!$C$27, 0.0021, 0)</f>
        <v>78.918099999999995</v>
      </c>
      <c r="C797" s="10">
        <f>78.4837 * CHOOSE(CONTROL!$C$9, $D$9, 100%, $F$9) + CHOOSE(CONTROL!$C$27, 0.0021, 0)</f>
        <v>78.485799999999998</v>
      </c>
      <c r="D797" s="10">
        <f>78.4837 * CHOOSE(CONTROL!$C$9, $D$9, 100%, $F$9) + CHOOSE(CONTROL!$C$27, 0.0021, 0)</f>
        <v>78.485799999999998</v>
      </c>
      <c r="E797" s="10">
        <f>78.3471 * CHOOSE(CONTROL!$C$9, $D$9, 100%, $F$9) + CHOOSE(CONTROL!$C$27, 0.0021, 0)</f>
        <v>78.349199999999996</v>
      </c>
      <c r="F797" s="10">
        <f>78.3471 * CHOOSE(CONTROL!$C$9, $D$9, 100%, $F$9) + CHOOSE(CONTROL!$C$27, 0.0021, 0)</f>
        <v>78.349199999999996</v>
      </c>
      <c r="G797" s="10">
        <f>78.6184 * CHOOSE(CONTROL!$C$9, $D$9, 100%, $F$9) + CHOOSE(CONTROL!$C$27, 0.0021, 0)</f>
        <v>78.620499999999993</v>
      </c>
      <c r="H797" s="10">
        <f>78.4837 * CHOOSE(CONTROL!$C$9, $D$9, 100%, $F$9) + CHOOSE(CONTROL!$C$27, 0.0021, 0)</f>
        <v>78.485799999999998</v>
      </c>
      <c r="I797" s="10">
        <f>78.4837 * CHOOSE(CONTROL!$C$9, $D$9, 100%, $F$9) + CHOOSE(CONTROL!$C$27, 0.0021, 0)</f>
        <v>78.485799999999998</v>
      </c>
      <c r="J797" s="10">
        <f>78.4837 * CHOOSE(CONTROL!$C$9, $D$9, 100%, $F$9) + CHOOSE(CONTROL!$C$27, 0.0021, 0)</f>
        <v>78.485799999999998</v>
      </c>
      <c r="K797" s="10">
        <f>78.4837 * CHOOSE(CONTROL!$C$9, $D$9, 100%, $F$9) + CHOOSE(CONTROL!$C$27, 0.0021, 0)</f>
        <v>78.485799999999998</v>
      </c>
      <c r="L797" s="10"/>
    </row>
    <row r="798" spans="1:12" ht="15.75" x14ac:dyDescent="0.25">
      <c r="A798" s="13">
        <v>65227</v>
      </c>
      <c r="B798" s="10">
        <f>80.4542 * CHOOSE(CONTROL!$C$9, $D$9, 100%, $F$9) + CHOOSE(CONTROL!$C$27, 0.0021, 0)</f>
        <v>80.456299999999999</v>
      </c>
      <c r="C798" s="10">
        <f>80.022 * CHOOSE(CONTROL!$C$9, $D$9, 100%, $F$9) + CHOOSE(CONTROL!$C$27, 0.0021, 0)</f>
        <v>80.024100000000004</v>
      </c>
      <c r="D798" s="10">
        <f>80.022 * CHOOSE(CONTROL!$C$9, $D$9, 100%, $F$9) + CHOOSE(CONTROL!$C$27, 0.0021, 0)</f>
        <v>80.024100000000004</v>
      </c>
      <c r="E798" s="10">
        <f>79.8853 * CHOOSE(CONTROL!$C$9, $D$9, 100%, $F$9) + CHOOSE(CONTROL!$C$27, 0.0021, 0)</f>
        <v>79.8874</v>
      </c>
      <c r="F798" s="10">
        <f>79.8853 * CHOOSE(CONTROL!$C$9, $D$9, 100%, $F$9) + CHOOSE(CONTROL!$C$27, 0.0021, 0)</f>
        <v>79.8874</v>
      </c>
      <c r="G798" s="10">
        <f>80.1567 * CHOOSE(CONTROL!$C$9, $D$9, 100%, $F$9) + CHOOSE(CONTROL!$C$27, 0.0021, 0)</f>
        <v>80.158799999999999</v>
      </c>
      <c r="H798" s="10">
        <f>80.022 * CHOOSE(CONTROL!$C$9, $D$9, 100%, $F$9) + CHOOSE(CONTROL!$C$27, 0.0021, 0)</f>
        <v>80.024100000000004</v>
      </c>
      <c r="I798" s="10">
        <f>80.022 * CHOOSE(CONTROL!$C$9, $D$9, 100%, $F$9) + CHOOSE(CONTROL!$C$27, 0.0021, 0)</f>
        <v>80.024100000000004</v>
      </c>
      <c r="J798" s="10">
        <f>80.022 * CHOOSE(CONTROL!$C$9, $D$9, 100%, $F$9) + CHOOSE(CONTROL!$C$27, 0.0021, 0)</f>
        <v>80.024100000000004</v>
      </c>
      <c r="K798" s="10">
        <f>80.022 * CHOOSE(CONTROL!$C$9, $D$9, 100%, $F$9) + CHOOSE(CONTROL!$C$27, 0.0021, 0)</f>
        <v>80.024100000000004</v>
      </c>
      <c r="L798" s="10"/>
    </row>
    <row r="799" spans="1:12" ht="15.75" x14ac:dyDescent="0.25">
      <c r="A799" s="13">
        <v>65258</v>
      </c>
      <c r="B799" s="10">
        <f>80.9238 * CHOOSE(CONTROL!$C$9, $D$9, 100%, $F$9) + CHOOSE(CONTROL!$C$27, 0.0021, 0)</f>
        <v>80.925899999999999</v>
      </c>
      <c r="C799" s="10">
        <f>80.4915 * CHOOSE(CONTROL!$C$9, $D$9, 100%, $F$9) + CHOOSE(CONTROL!$C$27, 0.0021, 0)</f>
        <v>80.493600000000001</v>
      </c>
      <c r="D799" s="10">
        <f>80.4915 * CHOOSE(CONTROL!$C$9, $D$9, 100%, $F$9) + CHOOSE(CONTROL!$C$27, 0.0021, 0)</f>
        <v>80.493600000000001</v>
      </c>
      <c r="E799" s="10">
        <f>80.3549 * CHOOSE(CONTROL!$C$9, $D$9, 100%, $F$9) + CHOOSE(CONTROL!$C$27, 0.0021, 0)</f>
        <v>80.356999999999999</v>
      </c>
      <c r="F799" s="10">
        <f>80.3549 * CHOOSE(CONTROL!$C$9, $D$9, 100%, $F$9) + CHOOSE(CONTROL!$C$27, 0.0021, 0)</f>
        <v>80.356999999999999</v>
      </c>
      <c r="G799" s="10">
        <f>80.6262 * CHOOSE(CONTROL!$C$9, $D$9, 100%, $F$9) + CHOOSE(CONTROL!$C$27, 0.0021, 0)</f>
        <v>80.628299999999996</v>
      </c>
      <c r="H799" s="10">
        <f>80.4915 * CHOOSE(CONTROL!$C$9, $D$9, 100%, $F$9) + CHOOSE(CONTROL!$C$27, 0.0021, 0)</f>
        <v>80.493600000000001</v>
      </c>
      <c r="I799" s="10">
        <f>80.4915 * CHOOSE(CONTROL!$C$9, $D$9, 100%, $F$9) + CHOOSE(CONTROL!$C$27, 0.0021, 0)</f>
        <v>80.493600000000001</v>
      </c>
      <c r="J799" s="10">
        <f>80.4915 * CHOOSE(CONTROL!$C$9, $D$9, 100%, $F$9) + CHOOSE(CONTROL!$C$27, 0.0021, 0)</f>
        <v>80.493600000000001</v>
      </c>
      <c r="K799" s="10">
        <f>80.4915 * CHOOSE(CONTROL!$C$9, $D$9, 100%, $F$9) + CHOOSE(CONTROL!$C$27, 0.0021, 0)</f>
        <v>80.493600000000001</v>
      </c>
      <c r="L799" s="10"/>
    </row>
    <row r="800" spans="1:12" ht="15.75" x14ac:dyDescent="0.25">
      <c r="A800" s="13">
        <v>65288</v>
      </c>
      <c r="B800" s="10">
        <f>82.5227 * CHOOSE(CONTROL!$C$9, $D$9, 100%, $F$9) + CHOOSE(CONTROL!$C$27, 0.0021, 0)</f>
        <v>82.524799999999999</v>
      </c>
      <c r="C800" s="10">
        <f>82.0905 * CHOOSE(CONTROL!$C$9, $D$9, 100%, $F$9) + CHOOSE(CONTROL!$C$27, 0.0021, 0)</f>
        <v>82.092600000000004</v>
      </c>
      <c r="D800" s="10">
        <f>82.0905 * CHOOSE(CONTROL!$C$9, $D$9, 100%, $F$9) + CHOOSE(CONTROL!$C$27, 0.0021, 0)</f>
        <v>82.092600000000004</v>
      </c>
      <c r="E800" s="10">
        <f>81.9538 * CHOOSE(CONTROL!$C$9, $D$9, 100%, $F$9) + CHOOSE(CONTROL!$C$27, 0.0021, 0)</f>
        <v>81.9559</v>
      </c>
      <c r="F800" s="10">
        <f>81.9538 * CHOOSE(CONTROL!$C$9, $D$9, 100%, $F$9) + CHOOSE(CONTROL!$C$27, 0.0021, 0)</f>
        <v>81.9559</v>
      </c>
      <c r="G800" s="10">
        <f>82.2252 * CHOOSE(CONTROL!$C$9, $D$9, 100%, $F$9) + CHOOSE(CONTROL!$C$27, 0.0021, 0)</f>
        <v>82.2273</v>
      </c>
      <c r="H800" s="10">
        <f>82.0905 * CHOOSE(CONTROL!$C$9, $D$9, 100%, $F$9) + CHOOSE(CONTROL!$C$27, 0.0021, 0)</f>
        <v>82.092600000000004</v>
      </c>
      <c r="I800" s="10">
        <f>82.0905 * CHOOSE(CONTROL!$C$9, $D$9, 100%, $F$9) + CHOOSE(CONTROL!$C$27, 0.0021, 0)</f>
        <v>82.092600000000004</v>
      </c>
      <c r="J800" s="10">
        <f>82.0905 * CHOOSE(CONTROL!$C$9, $D$9, 100%, $F$9) + CHOOSE(CONTROL!$C$27, 0.0021, 0)</f>
        <v>82.092600000000004</v>
      </c>
      <c r="K800" s="10">
        <f>82.0905 * CHOOSE(CONTROL!$C$9, $D$9, 100%, $F$9) + CHOOSE(CONTROL!$C$27, 0.0021, 0)</f>
        <v>82.092600000000004</v>
      </c>
      <c r="L800" s="10"/>
    </row>
    <row r="801" spans="1:12" ht="15.75" x14ac:dyDescent="0.25">
      <c r="A801" s="13">
        <v>65319</v>
      </c>
      <c r="B801" s="10">
        <f>84.5468 * CHOOSE(CONTROL!$C$9, $D$9, 100%, $F$9) + CHOOSE(CONTROL!$C$27, 0.0021, 0)</f>
        <v>84.548900000000003</v>
      </c>
      <c r="C801" s="10">
        <f>84.1145 * CHOOSE(CONTROL!$C$9, $D$9, 100%, $F$9) + CHOOSE(CONTROL!$C$27, 0.0021, 0)</f>
        <v>84.116600000000005</v>
      </c>
      <c r="D801" s="10">
        <f>84.1145 * CHOOSE(CONTROL!$C$9, $D$9, 100%, $F$9) + CHOOSE(CONTROL!$C$27, 0.0021, 0)</f>
        <v>84.116600000000005</v>
      </c>
      <c r="E801" s="10">
        <f>83.9778 * CHOOSE(CONTROL!$C$9, $D$9, 100%, $F$9) + CHOOSE(CONTROL!$C$27, 0.0021, 0)</f>
        <v>83.979900000000001</v>
      </c>
      <c r="F801" s="10">
        <f>83.9778 * CHOOSE(CONTROL!$C$9, $D$9, 100%, $F$9) + CHOOSE(CONTROL!$C$27, 0.0021, 0)</f>
        <v>83.979900000000001</v>
      </c>
      <c r="G801" s="10">
        <f>84.2492 * CHOOSE(CONTROL!$C$9, $D$9, 100%, $F$9) + CHOOSE(CONTROL!$C$27, 0.0021, 0)</f>
        <v>84.251300000000001</v>
      </c>
      <c r="H801" s="10">
        <f>84.1145 * CHOOSE(CONTROL!$C$9, $D$9, 100%, $F$9) + CHOOSE(CONTROL!$C$27, 0.0021, 0)</f>
        <v>84.116600000000005</v>
      </c>
      <c r="I801" s="10">
        <f>84.1145 * CHOOSE(CONTROL!$C$9, $D$9, 100%, $F$9) + CHOOSE(CONTROL!$C$27, 0.0021, 0)</f>
        <v>84.116600000000005</v>
      </c>
      <c r="J801" s="10">
        <f>84.1145 * CHOOSE(CONTROL!$C$9, $D$9, 100%, $F$9) + CHOOSE(CONTROL!$C$27, 0.0021, 0)</f>
        <v>84.116600000000005</v>
      </c>
      <c r="K801" s="10">
        <f>84.1145 * CHOOSE(CONTROL!$C$9, $D$9, 100%, $F$9) + CHOOSE(CONTROL!$C$27, 0.0021, 0)</f>
        <v>84.116600000000005</v>
      </c>
      <c r="L801" s="10"/>
    </row>
    <row r="802" spans="1:12" ht="15.75" x14ac:dyDescent="0.25">
      <c r="A802" s="13">
        <v>65349</v>
      </c>
      <c r="B802" s="10">
        <f>84.7368 * CHOOSE(CONTROL!$C$9, $D$9, 100%, $F$9) + CHOOSE(CONTROL!$C$27, 0.0021, 0)</f>
        <v>84.738900000000001</v>
      </c>
      <c r="C802" s="10">
        <f>84.3045 * CHOOSE(CONTROL!$C$9, $D$9, 100%, $F$9) + CHOOSE(CONTROL!$C$27, 0.0021, 0)</f>
        <v>84.306600000000003</v>
      </c>
      <c r="D802" s="10">
        <f>84.3045 * CHOOSE(CONTROL!$C$9, $D$9, 100%, $F$9) + CHOOSE(CONTROL!$C$27, 0.0021, 0)</f>
        <v>84.306600000000003</v>
      </c>
      <c r="E802" s="10">
        <f>84.1679 * CHOOSE(CONTROL!$C$9, $D$9, 100%, $F$9) + CHOOSE(CONTROL!$C$27, 0.0021, 0)</f>
        <v>84.17</v>
      </c>
      <c r="F802" s="10">
        <f>84.1679 * CHOOSE(CONTROL!$C$9, $D$9, 100%, $F$9) + CHOOSE(CONTROL!$C$27, 0.0021, 0)</f>
        <v>84.17</v>
      </c>
      <c r="G802" s="10">
        <f>84.4392 * CHOOSE(CONTROL!$C$9, $D$9, 100%, $F$9) + CHOOSE(CONTROL!$C$27, 0.0021, 0)</f>
        <v>84.441299999999998</v>
      </c>
      <c r="H802" s="10">
        <f>84.3045 * CHOOSE(CONTROL!$C$9, $D$9, 100%, $F$9) + CHOOSE(CONTROL!$C$27, 0.0021, 0)</f>
        <v>84.306600000000003</v>
      </c>
      <c r="I802" s="10">
        <f>84.3045 * CHOOSE(CONTROL!$C$9, $D$9, 100%, $F$9) + CHOOSE(CONTROL!$C$27, 0.0021, 0)</f>
        <v>84.306600000000003</v>
      </c>
      <c r="J802" s="10">
        <f>84.3045 * CHOOSE(CONTROL!$C$9, $D$9, 100%, $F$9) + CHOOSE(CONTROL!$C$27, 0.0021, 0)</f>
        <v>84.306600000000003</v>
      </c>
      <c r="K802" s="10">
        <f>84.3045 * CHOOSE(CONTROL!$C$9, $D$9, 100%, $F$9) + CHOOSE(CONTROL!$C$27, 0.0021, 0)</f>
        <v>84.306600000000003</v>
      </c>
      <c r="L802" s="10"/>
    </row>
    <row r="803" spans="1:12" ht="15.75" x14ac:dyDescent="0.25">
      <c r="A803" s="13">
        <v>65380</v>
      </c>
      <c r="B803" s="10">
        <f>83.1202 * CHOOSE(CONTROL!$C$9, $D$9, 100%, $F$9) + CHOOSE(CONTROL!$C$27, 0.0021, 0)</f>
        <v>83.122299999999996</v>
      </c>
      <c r="C803" s="10">
        <f>82.688 * CHOOSE(CONTROL!$C$9, $D$9, 100%, $F$9) + CHOOSE(CONTROL!$C$27, 0.0021, 0)</f>
        <v>82.690100000000001</v>
      </c>
      <c r="D803" s="10">
        <f>82.688 * CHOOSE(CONTROL!$C$9, $D$9, 100%, $F$9) + CHOOSE(CONTROL!$C$27, 0.0021, 0)</f>
        <v>82.690100000000001</v>
      </c>
      <c r="E803" s="10">
        <f>82.5513 * CHOOSE(CONTROL!$C$9, $D$9, 100%, $F$9) + CHOOSE(CONTROL!$C$27, 0.0021, 0)</f>
        <v>82.553399999999996</v>
      </c>
      <c r="F803" s="10">
        <f>82.5513 * CHOOSE(CONTROL!$C$9, $D$9, 100%, $F$9) + CHOOSE(CONTROL!$C$27, 0.0021, 0)</f>
        <v>82.553399999999996</v>
      </c>
      <c r="G803" s="10">
        <f>82.8227 * CHOOSE(CONTROL!$C$9, $D$9, 100%, $F$9) + CHOOSE(CONTROL!$C$27, 0.0021, 0)</f>
        <v>82.824799999999996</v>
      </c>
      <c r="H803" s="10">
        <f>82.688 * CHOOSE(CONTROL!$C$9, $D$9, 100%, $F$9) + CHOOSE(CONTROL!$C$27, 0.0021, 0)</f>
        <v>82.690100000000001</v>
      </c>
      <c r="I803" s="10">
        <f>82.688 * CHOOSE(CONTROL!$C$9, $D$9, 100%, $F$9) + CHOOSE(CONTROL!$C$27, 0.0021, 0)</f>
        <v>82.690100000000001</v>
      </c>
      <c r="J803" s="10">
        <f>82.688 * CHOOSE(CONTROL!$C$9, $D$9, 100%, $F$9) + CHOOSE(CONTROL!$C$27, 0.0021, 0)</f>
        <v>82.690100000000001</v>
      </c>
      <c r="K803" s="10">
        <f>82.688 * CHOOSE(CONTROL!$C$9, $D$9, 100%, $F$9) + CHOOSE(CONTROL!$C$27, 0.0021, 0)</f>
        <v>82.690100000000001</v>
      </c>
      <c r="L803" s="10"/>
    </row>
    <row r="804" spans="1:12" ht="15.75" x14ac:dyDescent="0.25">
      <c r="A804" s="13">
        <v>65411</v>
      </c>
      <c r="B804" s="10">
        <f>82.0612 * CHOOSE(CONTROL!$C$9, $D$9, 100%, $F$9) + CHOOSE(CONTROL!$C$27, 0.0021, 0)</f>
        <v>82.063299999999998</v>
      </c>
      <c r="C804" s="10">
        <f>81.6289 * CHOOSE(CONTROL!$C$9, $D$9, 100%, $F$9) + CHOOSE(CONTROL!$C$27, 0.0021, 0)</f>
        <v>81.631</v>
      </c>
      <c r="D804" s="10">
        <f>81.6289 * CHOOSE(CONTROL!$C$9, $D$9, 100%, $F$9) + CHOOSE(CONTROL!$C$27, 0.0021, 0)</f>
        <v>81.631</v>
      </c>
      <c r="E804" s="10">
        <f>81.4923 * CHOOSE(CONTROL!$C$9, $D$9, 100%, $F$9) + CHOOSE(CONTROL!$C$27, 0.0021, 0)</f>
        <v>81.494399999999999</v>
      </c>
      <c r="F804" s="10">
        <f>81.4923 * CHOOSE(CONTROL!$C$9, $D$9, 100%, $F$9) + CHOOSE(CONTROL!$C$27, 0.0021, 0)</f>
        <v>81.494399999999999</v>
      </c>
      <c r="G804" s="10">
        <f>81.7637 * CHOOSE(CONTROL!$C$9, $D$9, 100%, $F$9) + CHOOSE(CONTROL!$C$27, 0.0021, 0)</f>
        <v>81.765799999999999</v>
      </c>
      <c r="H804" s="10">
        <f>81.6289 * CHOOSE(CONTROL!$C$9, $D$9, 100%, $F$9) + CHOOSE(CONTROL!$C$27, 0.0021, 0)</f>
        <v>81.631</v>
      </c>
      <c r="I804" s="10">
        <f>81.6289 * CHOOSE(CONTROL!$C$9, $D$9, 100%, $F$9) + CHOOSE(CONTROL!$C$27, 0.0021, 0)</f>
        <v>81.631</v>
      </c>
      <c r="J804" s="10">
        <f>81.6289 * CHOOSE(CONTROL!$C$9, $D$9, 100%, $F$9) + CHOOSE(CONTROL!$C$27, 0.0021, 0)</f>
        <v>81.631</v>
      </c>
      <c r="K804" s="10">
        <f>81.6289 * CHOOSE(CONTROL!$C$9, $D$9, 100%, $F$9) + CHOOSE(CONTROL!$C$27, 0.0021, 0)</f>
        <v>81.631</v>
      </c>
      <c r="L804" s="10"/>
    </row>
    <row r="805" spans="1:12" ht="15.75" x14ac:dyDescent="0.25">
      <c r="A805" s="13">
        <v>65439</v>
      </c>
      <c r="B805" s="10">
        <f>79.8049 * CHOOSE(CONTROL!$C$9, $D$9, 100%, $F$9) + CHOOSE(CONTROL!$C$27, 0.0021, 0)</f>
        <v>79.807000000000002</v>
      </c>
      <c r="C805" s="10">
        <f>79.3727 * CHOOSE(CONTROL!$C$9, $D$9, 100%, $F$9) + CHOOSE(CONTROL!$C$27, 0.0021, 0)</f>
        <v>79.374799999999993</v>
      </c>
      <c r="D805" s="10">
        <f>79.3727 * CHOOSE(CONTROL!$C$9, $D$9, 100%, $F$9) + CHOOSE(CONTROL!$C$27, 0.0021, 0)</f>
        <v>79.374799999999993</v>
      </c>
      <c r="E805" s="10">
        <f>79.236 * CHOOSE(CONTROL!$C$9, $D$9, 100%, $F$9) + CHOOSE(CONTROL!$C$27, 0.0021, 0)</f>
        <v>79.238100000000003</v>
      </c>
      <c r="F805" s="10">
        <f>79.236 * CHOOSE(CONTROL!$C$9, $D$9, 100%, $F$9) + CHOOSE(CONTROL!$C$27, 0.0021, 0)</f>
        <v>79.238100000000003</v>
      </c>
      <c r="G805" s="10">
        <f>79.5074 * CHOOSE(CONTROL!$C$9, $D$9, 100%, $F$9) + CHOOSE(CONTROL!$C$27, 0.0021, 0)</f>
        <v>79.509500000000003</v>
      </c>
      <c r="H805" s="10">
        <f>79.3727 * CHOOSE(CONTROL!$C$9, $D$9, 100%, $F$9) + CHOOSE(CONTROL!$C$27, 0.0021, 0)</f>
        <v>79.374799999999993</v>
      </c>
      <c r="I805" s="10">
        <f>79.3727 * CHOOSE(CONTROL!$C$9, $D$9, 100%, $F$9) + CHOOSE(CONTROL!$C$27, 0.0021, 0)</f>
        <v>79.374799999999993</v>
      </c>
      <c r="J805" s="10">
        <f>79.3727 * CHOOSE(CONTROL!$C$9, $D$9, 100%, $F$9) + CHOOSE(CONTROL!$C$27, 0.0021, 0)</f>
        <v>79.374799999999993</v>
      </c>
      <c r="K805" s="10">
        <f>79.3727 * CHOOSE(CONTROL!$C$9, $D$9, 100%, $F$9) + CHOOSE(CONTROL!$C$27, 0.0021, 0)</f>
        <v>79.374799999999993</v>
      </c>
      <c r="L805" s="10"/>
    </row>
    <row r="806" spans="1:12" ht="15.75" x14ac:dyDescent="0.25">
      <c r="A806" s="13">
        <v>65470</v>
      </c>
      <c r="B806" s="10">
        <f>78.8735 * CHOOSE(CONTROL!$C$9, $D$9, 100%, $F$9) + CHOOSE(CONTROL!$C$27, 0.0021, 0)</f>
        <v>78.875600000000006</v>
      </c>
      <c r="C806" s="10">
        <f>78.4413 * CHOOSE(CONTROL!$C$9, $D$9, 100%, $F$9) + CHOOSE(CONTROL!$C$27, 0.0021, 0)</f>
        <v>78.443399999999997</v>
      </c>
      <c r="D806" s="10">
        <f>78.4413 * CHOOSE(CONTROL!$C$9, $D$9, 100%, $F$9) + CHOOSE(CONTROL!$C$27, 0.0021, 0)</f>
        <v>78.443399999999997</v>
      </c>
      <c r="E806" s="10">
        <f>78.3046 * CHOOSE(CONTROL!$C$9, $D$9, 100%, $F$9) + CHOOSE(CONTROL!$C$27, 0.0021, 0)</f>
        <v>78.306699999999992</v>
      </c>
      <c r="F806" s="10">
        <f>78.3046 * CHOOSE(CONTROL!$C$9, $D$9, 100%, $F$9) + CHOOSE(CONTROL!$C$27, 0.0021, 0)</f>
        <v>78.306699999999992</v>
      </c>
      <c r="G806" s="10">
        <f>78.576 * CHOOSE(CONTROL!$C$9, $D$9, 100%, $F$9) + CHOOSE(CONTROL!$C$27, 0.0021, 0)</f>
        <v>78.578099999999992</v>
      </c>
      <c r="H806" s="10">
        <f>78.4413 * CHOOSE(CONTROL!$C$9, $D$9, 100%, $F$9) + CHOOSE(CONTROL!$C$27, 0.0021, 0)</f>
        <v>78.443399999999997</v>
      </c>
      <c r="I806" s="10">
        <f>78.4413 * CHOOSE(CONTROL!$C$9, $D$9, 100%, $F$9) + CHOOSE(CONTROL!$C$27, 0.0021, 0)</f>
        <v>78.443399999999997</v>
      </c>
      <c r="J806" s="10">
        <f>78.4413 * CHOOSE(CONTROL!$C$9, $D$9, 100%, $F$9) + CHOOSE(CONTROL!$C$27, 0.0021, 0)</f>
        <v>78.443399999999997</v>
      </c>
      <c r="K806" s="10">
        <f>78.4413 * CHOOSE(CONTROL!$C$9, $D$9, 100%, $F$9) + CHOOSE(CONTROL!$C$27, 0.0021, 0)</f>
        <v>78.443399999999997</v>
      </c>
      <c r="L806" s="10"/>
    </row>
    <row r="807" spans="1:12" ht="15.75" x14ac:dyDescent="0.25">
      <c r="A807" s="13">
        <v>65500</v>
      </c>
      <c r="B807" s="10">
        <f>77.7614 * CHOOSE(CONTROL!$C$9, $D$9, 100%, $F$9) + CHOOSE(CONTROL!$C$27, 0.0021, 0)</f>
        <v>77.763499999999993</v>
      </c>
      <c r="C807" s="10">
        <f>77.3292 * CHOOSE(CONTROL!$C$9, $D$9, 100%, $F$9) + CHOOSE(CONTROL!$C$27, 0.0021, 0)</f>
        <v>77.331299999999999</v>
      </c>
      <c r="D807" s="10">
        <f>77.3292 * CHOOSE(CONTROL!$C$9, $D$9, 100%, $F$9) + CHOOSE(CONTROL!$C$27, 0.0021, 0)</f>
        <v>77.331299999999999</v>
      </c>
      <c r="E807" s="10">
        <f>77.1925 * CHOOSE(CONTROL!$C$9, $D$9, 100%, $F$9) + CHOOSE(CONTROL!$C$27, 0.0021, 0)</f>
        <v>77.194599999999994</v>
      </c>
      <c r="F807" s="10">
        <f>77.1925 * CHOOSE(CONTROL!$C$9, $D$9, 100%, $F$9) + CHOOSE(CONTROL!$C$27, 0.0021, 0)</f>
        <v>77.194599999999994</v>
      </c>
      <c r="G807" s="10">
        <f>77.4639 * CHOOSE(CONTROL!$C$9, $D$9, 100%, $F$9) + CHOOSE(CONTROL!$C$27, 0.0021, 0)</f>
        <v>77.465999999999994</v>
      </c>
      <c r="H807" s="10">
        <f>77.3292 * CHOOSE(CONTROL!$C$9, $D$9, 100%, $F$9) + CHOOSE(CONTROL!$C$27, 0.0021, 0)</f>
        <v>77.331299999999999</v>
      </c>
      <c r="I807" s="10">
        <f>77.3292 * CHOOSE(CONTROL!$C$9, $D$9, 100%, $F$9) + CHOOSE(CONTROL!$C$27, 0.0021, 0)</f>
        <v>77.331299999999999</v>
      </c>
      <c r="J807" s="10">
        <f>77.3292 * CHOOSE(CONTROL!$C$9, $D$9, 100%, $F$9) + CHOOSE(CONTROL!$C$27, 0.0021, 0)</f>
        <v>77.331299999999999</v>
      </c>
      <c r="K807" s="10">
        <f>77.3292 * CHOOSE(CONTROL!$C$9, $D$9, 100%, $F$9) + CHOOSE(CONTROL!$C$27, 0.0021, 0)</f>
        <v>77.331299999999999</v>
      </c>
      <c r="L807" s="10"/>
    </row>
    <row r="808" spans="1:12" ht="15.75" x14ac:dyDescent="0.25">
      <c r="A808" s="13">
        <v>65531</v>
      </c>
      <c r="B808" s="10">
        <f>79.3463 * CHOOSE(CONTROL!$C$9, $D$9, 100%, $F$9) + CHOOSE(CONTROL!$C$27, 0.0021, 0)</f>
        <v>79.348399999999998</v>
      </c>
      <c r="C808" s="10">
        <f>78.914 * CHOOSE(CONTROL!$C$9, $D$9, 100%, $F$9) + CHOOSE(CONTROL!$C$27, 0.0021, 0)</f>
        <v>78.9161</v>
      </c>
      <c r="D808" s="10">
        <f>78.914 * CHOOSE(CONTROL!$C$9, $D$9, 100%, $F$9) + CHOOSE(CONTROL!$C$27, 0.0021, 0)</f>
        <v>78.9161</v>
      </c>
      <c r="E808" s="10">
        <f>78.7774 * CHOOSE(CONTROL!$C$9, $D$9, 100%, $F$9) + CHOOSE(CONTROL!$C$27, 0.0021, 0)</f>
        <v>78.779499999999999</v>
      </c>
      <c r="F808" s="10">
        <f>78.7774 * CHOOSE(CONTROL!$C$9, $D$9, 100%, $F$9) + CHOOSE(CONTROL!$C$27, 0.0021, 0)</f>
        <v>78.779499999999999</v>
      </c>
      <c r="G808" s="10">
        <f>79.0488 * CHOOSE(CONTROL!$C$9, $D$9, 100%, $F$9) + CHOOSE(CONTROL!$C$27, 0.0021, 0)</f>
        <v>79.050899999999999</v>
      </c>
      <c r="H808" s="10">
        <f>78.914 * CHOOSE(CONTROL!$C$9, $D$9, 100%, $F$9) + CHOOSE(CONTROL!$C$27, 0.0021, 0)</f>
        <v>78.9161</v>
      </c>
      <c r="I808" s="10">
        <f>78.914 * CHOOSE(CONTROL!$C$9, $D$9, 100%, $F$9) + CHOOSE(CONTROL!$C$27, 0.0021, 0)</f>
        <v>78.9161</v>
      </c>
      <c r="J808" s="10">
        <f>78.914 * CHOOSE(CONTROL!$C$9, $D$9, 100%, $F$9) + CHOOSE(CONTROL!$C$27, 0.0021, 0)</f>
        <v>78.9161</v>
      </c>
      <c r="K808" s="10">
        <f>78.914 * CHOOSE(CONTROL!$C$9, $D$9, 100%, $F$9) + CHOOSE(CONTROL!$C$27, 0.0021, 0)</f>
        <v>78.9161</v>
      </c>
      <c r="L808" s="10"/>
    </row>
    <row r="809" spans="1:12" ht="15.75" x14ac:dyDescent="0.25">
      <c r="A809" s="13">
        <v>65561</v>
      </c>
      <c r="B809" s="10">
        <f>80.2956 * CHOOSE(CONTROL!$C$9, $D$9, 100%, $F$9) + CHOOSE(CONTROL!$C$27, 0.0021, 0)</f>
        <v>80.297699999999992</v>
      </c>
      <c r="C809" s="10">
        <f>79.8633 * CHOOSE(CONTROL!$C$9, $D$9, 100%, $F$9) + CHOOSE(CONTROL!$C$27, 0.0021, 0)</f>
        <v>79.865399999999994</v>
      </c>
      <c r="D809" s="10">
        <f>79.8633 * CHOOSE(CONTROL!$C$9, $D$9, 100%, $F$9) + CHOOSE(CONTROL!$C$27, 0.0021, 0)</f>
        <v>79.865399999999994</v>
      </c>
      <c r="E809" s="10">
        <f>79.7267 * CHOOSE(CONTROL!$C$9, $D$9, 100%, $F$9) + CHOOSE(CONTROL!$C$27, 0.0021, 0)</f>
        <v>79.728799999999993</v>
      </c>
      <c r="F809" s="10">
        <f>79.7267 * CHOOSE(CONTROL!$C$9, $D$9, 100%, $F$9) + CHOOSE(CONTROL!$C$27, 0.0021, 0)</f>
        <v>79.728799999999993</v>
      </c>
      <c r="G809" s="10">
        <f>79.998 * CHOOSE(CONTROL!$C$9, $D$9, 100%, $F$9) + CHOOSE(CONTROL!$C$27, 0.0021, 0)</f>
        <v>80.000100000000003</v>
      </c>
      <c r="H809" s="10">
        <f>79.8633 * CHOOSE(CONTROL!$C$9, $D$9, 100%, $F$9) + CHOOSE(CONTROL!$C$27, 0.0021, 0)</f>
        <v>79.865399999999994</v>
      </c>
      <c r="I809" s="10">
        <f>79.8633 * CHOOSE(CONTROL!$C$9, $D$9, 100%, $F$9) + CHOOSE(CONTROL!$C$27, 0.0021, 0)</f>
        <v>79.865399999999994</v>
      </c>
      <c r="J809" s="10">
        <f>79.8633 * CHOOSE(CONTROL!$C$9, $D$9, 100%, $F$9) + CHOOSE(CONTROL!$C$27, 0.0021, 0)</f>
        <v>79.865399999999994</v>
      </c>
      <c r="K809" s="10">
        <f>79.8633 * CHOOSE(CONTROL!$C$9, $D$9, 100%, $F$9) + CHOOSE(CONTROL!$C$27, 0.0021, 0)</f>
        <v>79.865399999999994</v>
      </c>
      <c r="L809" s="10"/>
    </row>
    <row r="810" spans="1:12" ht="15.75" x14ac:dyDescent="0.25">
      <c r="A810" s="13">
        <v>65592</v>
      </c>
      <c r="B810" s="10">
        <f>81.8615 * CHOOSE(CONTROL!$C$9, $D$9, 100%, $F$9) + CHOOSE(CONTROL!$C$27, 0.0021, 0)</f>
        <v>81.863600000000005</v>
      </c>
      <c r="C810" s="10">
        <f>81.4293 * CHOOSE(CONTROL!$C$9, $D$9, 100%, $F$9) + CHOOSE(CONTROL!$C$27, 0.0021, 0)</f>
        <v>81.431399999999996</v>
      </c>
      <c r="D810" s="10">
        <f>81.4293 * CHOOSE(CONTROL!$C$9, $D$9, 100%, $F$9) + CHOOSE(CONTROL!$C$27, 0.0021, 0)</f>
        <v>81.431399999999996</v>
      </c>
      <c r="E810" s="10">
        <f>81.2926 * CHOOSE(CONTROL!$C$9, $D$9, 100%, $F$9) + CHOOSE(CONTROL!$C$27, 0.0021, 0)</f>
        <v>81.294699999999992</v>
      </c>
      <c r="F810" s="10">
        <f>81.2926 * CHOOSE(CONTROL!$C$9, $D$9, 100%, $F$9) + CHOOSE(CONTROL!$C$27, 0.0021, 0)</f>
        <v>81.294699999999992</v>
      </c>
      <c r="G810" s="10">
        <f>81.564 * CHOOSE(CONTROL!$C$9, $D$9, 100%, $F$9) + CHOOSE(CONTROL!$C$27, 0.0021, 0)</f>
        <v>81.566099999999992</v>
      </c>
      <c r="H810" s="10">
        <f>81.4293 * CHOOSE(CONTROL!$C$9, $D$9, 100%, $F$9) + CHOOSE(CONTROL!$C$27, 0.0021, 0)</f>
        <v>81.431399999999996</v>
      </c>
      <c r="I810" s="10">
        <f>81.4293 * CHOOSE(CONTROL!$C$9, $D$9, 100%, $F$9) + CHOOSE(CONTROL!$C$27, 0.0021, 0)</f>
        <v>81.431399999999996</v>
      </c>
      <c r="J810" s="10">
        <f>81.4293 * CHOOSE(CONTROL!$C$9, $D$9, 100%, $F$9) + CHOOSE(CONTROL!$C$27, 0.0021, 0)</f>
        <v>81.431399999999996</v>
      </c>
      <c r="K810" s="10">
        <f>81.4293 * CHOOSE(CONTROL!$C$9, $D$9, 100%, $F$9) + CHOOSE(CONTROL!$C$27, 0.0021, 0)</f>
        <v>81.431399999999996</v>
      </c>
      <c r="L810" s="10"/>
    </row>
    <row r="811" spans="1:12" ht="15.75" x14ac:dyDescent="0.25">
      <c r="A811" s="13">
        <v>65623</v>
      </c>
      <c r="B811" s="10">
        <f>82.3395 * CHOOSE(CONTROL!$C$9, $D$9, 100%, $F$9) + CHOOSE(CONTROL!$C$27, 0.0021, 0)</f>
        <v>82.3416</v>
      </c>
      <c r="C811" s="10">
        <f>81.9073 * CHOOSE(CONTROL!$C$9, $D$9, 100%, $F$9) + CHOOSE(CONTROL!$C$27, 0.0021, 0)</f>
        <v>81.909400000000005</v>
      </c>
      <c r="D811" s="10">
        <f>81.9073 * CHOOSE(CONTROL!$C$9, $D$9, 100%, $F$9) + CHOOSE(CONTROL!$C$27, 0.0021, 0)</f>
        <v>81.909400000000005</v>
      </c>
      <c r="E811" s="10">
        <f>81.7706 * CHOOSE(CONTROL!$C$9, $D$9, 100%, $F$9) + CHOOSE(CONTROL!$C$27, 0.0021, 0)</f>
        <v>81.7727</v>
      </c>
      <c r="F811" s="10">
        <f>81.7706 * CHOOSE(CONTROL!$C$9, $D$9, 100%, $F$9) + CHOOSE(CONTROL!$C$27, 0.0021, 0)</f>
        <v>81.7727</v>
      </c>
      <c r="G811" s="10">
        <f>82.042 * CHOOSE(CONTROL!$C$9, $D$9, 100%, $F$9) + CHOOSE(CONTROL!$C$27, 0.0021, 0)</f>
        <v>82.0441</v>
      </c>
      <c r="H811" s="10">
        <f>81.9073 * CHOOSE(CONTROL!$C$9, $D$9, 100%, $F$9) + CHOOSE(CONTROL!$C$27, 0.0021, 0)</f>
        <v>81.909400000000005</v>
      </c>
      <c r="I811" s="10">
        <f>81.9073 * CHOOSE(CONTROL!$C$9, $D$9, 100%, $F$9) + CHOOSE(CONTROL!$C$27, 0.0021, 0)</f>
        <v>81.909400000000005</v>
      </c>
      <c r="J811" s="10">
        <f>81.9073 * CHOOSE(CONTROL!$C$9, $D$9, 100%, $F$9) + CHOOSE(CONTROL!$C$27, 0.0021, 0)</f>
        <v>81.909400000000005</v>
      </c>
      <c r="K811" s="10">
        <f>81.9073 * CHOOSE(CONTROL!$C$9, $D$9, 100%, $F$9) + CHOOSE(CONTROL!$C$27, 0.0021, 0)</f>
        <v>81.909400000000005</v>
      </c>
      <c r="L811" s="10"/>
    </row>
    <row r="812" spans="1:12" ht="15.75" x14ac:dyDescent="0.25">
      <c r="A812" s="13">
        <v>65653</v>
      </c>
      <c r="B812" s="10">
        <f>83.9673 * CHOOSE(CONTROL!$C$9, $D$9, 100%, $F$9) + CHOOSE(CONTROL!$C$27, 0.0021, 0)</f>
        <v>83.969399999999993</v>
      </c>
      <c r="C812" s="10">
        <f>83.535 * CHOOSE(CONTROL!$C$9, $D$9, 100%, $F$9) + CHOOSE(CONTROL!$C$27, 0.0021, 0)</f>
        <v>83.537099999999995</v>
      </c>
      <c r="D812" s="10">
        <f>83.535 * CHOOSE(CONTROL!$C$9, $D$9, 100%, $F$9) + CHOOSE(CONTROL!$C$27, 0.0021, 0)</f>
        <v>83.537099999999995</v>
      </c>
      <c r="E812" s="10">
        <f>83.3984 * CHOOSE(CONTROL!$C$9, $D$9, 100%, $F$9) + CHOOSE(CONTROL!$C$27, 0.0021, 0)</f>
        <v>83.400499999999994</v>
      </c>
      <c r="F812" s="10">
        <f>83.3984 * CHOOSE(CONTROL!$C$9, $D$9, 100%, $F$9) + CHOOSE(CONTROL!$C$27, 0.0021, 0)</f>
        <v>83.400499999999994</v>
      </c>
      <c r="G812" s="10">
        <f>83.6697 * CHOOSE(CONTROL!$C$9, $D$9, 100%, $F$9) + CHOOSE(CONTROL!$C$27, 0.0021, 0)</f>
        <v>83.671800000000005</v>
      </c>
      <c r="H812" s="10">
        <f>83.535 * CHOOSE(CONTROL!$C$9, $D$9, 100%, $F$9) + CHOOSE(CONTROL!$C$27, 0.0021, 0)</f>
        <v>83.537099999999995</v>
      </c>
      <c r="I812" s="10">
        <f>83.535 * CHOOSE(CONTROL!$C$9, $D$9, 100%, $F$9) + CHOOSE(CONTROL!$C$27, 0.0021, 0)</f>
        <v>83.537099999999995</v>
      </c>
      <c r="J812" s="10">
        <f>83.535 * CHOOSE(CONTROL!$C$9, $D$9, 100%, $F$9) + CHOOSE(CONTROL!$C$27, 0.0021, 0)</f>
        <v>83.537099999999995</v>
      </c>
      <c r="K812" s="10">
        <f>83.535 * CHOOSE(CONTROL!$C$9, $D$9, 100%, $F$9) + CHOOSE(CONTROL!$C$27, 0.0021, 0)</f>
        <v>83.537099999999995</v>
      </c>
      <c r="L812" s="10"/>
    </row>
    <row r="813" spans="1:12" ht="15.75" x14ac:dyDescent="0.25">
      <c r="A813" s="13">
        <v>65684</v>
      </c>
      <c r="B813" s="10">
        <f>86.0277 * CHOOSE(CONTROL!$C$9, $D$9, 100%, $F$9) + CHOOSE(CONTROL!$C$27, 0.0021, 0)</f>
        <v>86.029799999999994</v>
      </c>
      <c r="C813" s="10">
        <f>85.5955 * CHOOSE(CONTROL!$C$9, $D$9, 100%, $F$9) + CHOOSE(CONTROL!$C$27, 0.0021, 0)</f>
        <v>85.5976</v>
      </c>
      <c r="D813" s="10">
        <f>85.5955 * CHOOSE(CONTROL!$C$9, $D$9, 100%, $F$9) + CHOOSE(CONTROL!$C$27, 0.0021, 0)</f>
        <v>85.5976</v>
      </c>
      <c r="E813" s="10">
        <f>85.4588 * CHOOSE(CONTROL!$C$9, $D$9, 100%, $F$9) + CHOOSE(CONTROL!$C$27, 0.0021, 0)</f>
        <v>85.460899999999995</v>
      </c>
      <c r="F813" s="10">
        <f>85.4588 * CHOOSE(CONTROL!$C$9, $D$9, 100%, $F$9) + CHOOSE(CONTROL!$C$27, 0.0021, 0)</f>
        <v>85.460899999999995</v>
      </c>
      <c r="G813" s="10">
        <f>85.7302 * CHOOSE(CONTROL!$C$9, $D$9, 100%, $F$9) + CHOOSE(CONTROL!$C$27, 0.0021, 0)</f>
        <v>85.732299999999995</v>
      </c>
      <c r="H813" s="10">
        <f>85.5955 * CHOOSE(CONTROL!$C$9, $D$9, 100%, $F$9) + CHOOSE(CONTROL!$C$27, 0.0021, 0)</f>
        <v>85.5976</v>
      </c>
      <c r="I813" s="10">
        <f>85.5955 * CHOOSE(CONTROL!$C$9, $D$9, 100%, $F$9) + CHOOSE(CONTROL!$C$27, 0.0021, 0)</f>
        <v>85.5976</v>
      </c>
      <c r="J813" s="10">
        <f>85.5955 * CHOOSE(CONTROL!$C$9, $D$9, 100%, $F$9) + CHOOSE(CONTROL!$C$27, 0.0021, 0)</f>
        <v>85.5976</v>
      </c>
      <c r="K813" s="10">
        <f>85.5955 * CHOOSE(CONTROL!$C$9, $D$9, 100%, $F$9) + CHOOSE(CONTROL!$C$27, 0.0021, 0)</f>
        <v>85.5976</v>
      </c>
      <c r="L813" s="10"/>
    </row>
    <row r="814" spans="1:12" ht="15.75" x14ac:dyDescent="0.25">
      <c r="A814" s="13">
        <v>65714</v>
      </c>
      <c r="B814" s="10">
        <f>86.2212 * CHOOSE(CONTROL!$C$9, $D$9, 100%, $F$9) + CHOOSE(CONTROL!$C$27, 0.0021, 0)</f>
        <v>86.223299999999995</v>
      </c>
      <c r="C814" s="10">
        <f>85.7889 * CHOOSE(CONTROL!$C$9, $D$9, 100%, $F$9) + CHOOSE(CONTROL!$C$27, 0.0021, 0)</f>
        <v>85.790999999999997</v>
      </c>
      <c r="D814" s="10">
        <f>85.7889 * CHOOSE(CONTROL!$C$9, $D$9, 100%, $F$9) + CHOOSE(CONTROL!$C$27, 0.0021, 0)</f>
        <v>85.790999999999997</v>
      </c>
      <c r="E814" s="10">
        <f>85.6523 * CHOOSE(CONTROL!$C$9, $D$9, 100%, $F$9) + CHOOSE(CONTROL!$C$27, 0.0021, 0)</f>
        <v>85.654399999999995</v>
      </c>
      <c r="F814" s="10">
        <f>85.6523 * CHOOSE(CONTROL!$C$9, $D$9, 100%, $F$9) + CHOOSE(CONTROL!$C$27, 0.0021, 0)</f>
        <v>85.654399999999995</v>
      </c>
      <c r="G814" s="10">
        <f>85.9236 * CHOOSE(CONTROL!$C$9, $D$9, 100%, $F$9) + CHOOSE(CONTROL!$C$27, 0.0021, 0)</f>
        <v>85.925699999999992</v>
      </c>
      <c r="H814" s="10">
        <f>85.7889 * CHOOSE(CONTROL!$C$9, $D$9, 100%, $F$9) + CHOOSE(CONTROL!$C$27, 0.0021, 0)</f>
        <v>85.790999999999997</v>
      </c>
      <c r="I814" s="10">
        <f>85.7889 * CHOOSE(CONTROL!$C$9, $D$9, 100%, $F$9) + CHOOSE(CONTROL!$C$27, 0.0021, 0)</f>
        <v>85.790999999999997</v>
      </c>
      <c r="J814" s="10">
        <f>85.7889 * CHOOSE(CONTROL!$C$9, $D$9, 100%, $F$9) + CHOOSE(CONTROL!$C$27, 0.0021, 0)</f>
        <v>85.790999999999997</v>
      </c>
      <c r="K814" s="10">
        <f>85.7889 * CHOOSE(CONTROL!$C$9, $D$9, 100%, $F$9) + CHOOSE(CONTROL!$C$27, 0.0021, 0)</f>
        <v>85.790999999999997</v>
      </c>
      <c r="L814" s="10"/>
    </row>
    <row r="815" spans="1:12" ht="15.75" x14ac:dyDescent="0.25">
      <c r="A815" s="13">
        <v>65745</v>
      </c>
      <c r="B815" s="10">
        <f>84.5755 * CHOOSE(CONTROL!$C$9, $D$9, 100%, $F$9) + CHOOSE(CONTROL!$C$27, 0.0021, 0)</f>
        <v>84.577600000000004</v>
      </c>
      <c r="C815" s="10">
        <f>84.1433 * CHOOSE(CONTROL!$C$9, $D$9, 100%, $F$9) + CHOOSE(CONTROL!$C$27, 0.0021, 0)</f>
        <v>84.145399999999995</v>
      </c>
      <c r="D815" s="10">
        <f>84.1433 * CHOOSE(CONTROL!$C$9, $D$9, 100%, $F$9) + CHOOSE(CONTROL!$C$27, 0.0021, 0)</f>
        <v>84.145399999999995</v>
      </c>
      <c r="E815" s="10">
        <f>84.0066 * CHOOSE(CONTROL!$C$9, $D$9, 100%, $F$9) + CHOOSE(CONTROL!$C$27, 0.0021, 0)</f>
        <v>84.008700000000005</v>
      </c>
      <c r="F815" s="10">
        <f>84.0066 * CHOOSE(CONTROL!$C$9, $D$9, 100%, $F$9) + CHOOSE(CONTROL!$C$27, 0.0021, 0)</f>
        <v>84.008700000000005</v>
      </c>
      <c r="G815" s="10">
        <f>84.278 * CHOOSE(CONTROL!$C$9, $D$9, 100%, $F$9) + CHOOSE(CONTROL!$C$27, 0.0021, 0)</f>
        <v>84.280100000000004</v>
      </c>
      <c r="H815" s="10">
        <f>84.1433 * CHOOSE(CONTROL!$C$9, $D$9, 100%, $F$9) + CHOOSE(CONTROL!$C$27, 0.0021, 0)</f>
        <v>84.145399999999995</v>
      </c>
      <c r="I815" s="10">
        <f>84.1433 * CHOOSE(CONTROL!$C$9, $D$9, 100%, $F$9) + CHOOSE(CONTROL!$C$27, 0.0021, 0)</f>
        <v>84.145399999999995</v>
      </c>
      <c r="J815" s="10">
        <f>84.1433 * CHOOSE(CONTROL!$C$9, $D$9, 100%, $F$9) + CHOOSE(CONTROL!$C$27, 0.0021, 0)</f>
        <v>84.145399999999995</v>
      </c>
      <c r="K815" s="10">
        <f>84.1433 * CHOOSE(CONTROL!$C$9, $D$9, 100%, $F$9) + CHOOSE(CONTROL!$C$27, 0.0021, 0)</f>
        <v>84.145399999999995</v>
      </c>
      <c r="L815" s="10"/>
    </row>
    <row r="816" spans="1:12" ht="15.75" x14ac:dyDescent="0.25">
      <c r="A816" s="13">
        <v>65776</v>
      </c>
      <c r="B816" s="10">
        <f>83.4974 * CHOOSE(CONTROL!$C$9, $D$9, 100%, $F$9) + CHOOSE(CONTROL!$C$27, 0.0021, 0)</f>
        <v>83.499499999999998</v>
      </c>
      <c r="C816" s="10">
        <f>83.0652 * CHOOSE(CONTROL!$C$9, $D$9, 100%, $F$9) + CHOOSE(CONTROL!$C$27, 0.0021, 0)</f>
        <v>83.067300000000003</v>
      </c>
      <c r="D816" s="10">
        <f>83.0652 * CHOOSE(CONTROL!$C$9, $D$9, 100%, $F$9) + CHOOSE(CONTROL!$C$27, 0.0021, 0)</f>
        <v>83.067300000000003</v>
      </c>
      <c r="E816" s="10">
        <f>82.9285 * CHOOSE(CONTROL!$C$9, $D$9, 100%, $F$9) + CHOOSE(CONTROL!$C$27, 0.0021, 0)</f>
        <v>82.930599999999998</v>
      </c>
      <c r="F816" s="10">
        <f>82.9285 * CHOOSE(CONTROL!$C$9, $D$9, 100%, $F$9) + CHOOSE(CONTROL!$C$27, 0.0021, 0)</f>
        <v>82.930599999999998</v>
      </c>
      <c r="G816" s="10">
        <f>83.1999 * CHOOSE(CONTROL!$C$9, $D$9, 100%, $F$9) + CHOOSE(CONTROL!$C$27, 0.0021, 0)</f>
        <v>83.201999999999998</v>
      </c>
      <c r="H816" s="10">
        <f>83.0652 * CHOOSE(CONTROL!$C$9, $D$9, 100%, $F$9) + CHOOSE(CONTROL!$C$27, 0.0021, 0)</f>
        <v>83.067300000000003</v>
      </c>
      <c r="I816" s="10">
        <f>83.0652 * CHOOSE(CONTROL!$C$9, $D$9, 100%, $F$9) + CHOOSE(CONTROL!$C$27, 0.0021, 0)</f>
        <v>83.067300000000003</v>
      </c>
      <c r="J816" s="10">
        <f>83.0652 * CHOOSE(CONTROL!$C$9, $D$9, 100%, $F$9) + CHOOSE(CONTROL!$C$27, 0.0021, 0)</f>
        <v>83.067300000000003</v>
      </c>
      <c r="K816" s="10">
        <f>83.0652 * CHOOSE(CONTROL!$C$9, $D$9, 100%, $F$9) + CHOOSE(CONTROL!$C$27, 0.0021, 0)</f>
        <v>83.067300000000003</v>
      </c>
      <c r="L816" s="10"/>
    </row>
    <row r="817" spans="1:12" ht="15.75" x14ac:dyDescent="0.25">
      <c r="A817" s="13">
        <v>65805</v>
      </c>
      <c r="B817" s="10">
        <f>81.2005 * CHOOSE(CONTROL!$C$9, $D$9, 100%, $F$9) + CHOOSE(CONTROL!$C$27, 0.0021, 0)</f>
        <v>81.202600000000004</v>
      </c>
      <c r="C817" s="10">
        <f>80.7683 * CHOOSE(CONTROL!$C$9, $D$9, 100%, $F$9) + CHOOSE(CONTROL!$C$27, 0.0021, 0)</f>
        <v>80.770399999999995</v>
      </c>
      <c r="D817" s="10">
        <f>80.7683 * CHOOSE(CONTROL!$C$9, $D$9, 100%, $F$9) + CHOOSE(CONTROL!$C$27, 0.0021, 0)</f>
        <v>80.770399999999995</v>
      </c>
      <c r="E817" s="10">
        <f>80.6316 * CHOOSE(CONTROL!$C$9, $D$9, 100%, $F$9) + CHOOSE(CONTROL!$C$27, 0.0021, 0)</f>
        <v>80.633700000000005</v>
      </c>
      <c r="F817" s="10">
        <f>80.6316 * CHOOSE(CONTROL!$C$9, $D$9, 100%, $F$9) + CHOOSE(CONTROL!$C$27, 0.0021, 0)</f>
        <v>80.633700000000005</v>
      </c>
      <c r="G817" s="10">
        <f>80.903 * CHOOSE(CONTROL!$C$9, $D$9, 100%, $F$9) + CHOOSE(CONTROL!$C$27, 0.0021, 0)</f>
        <v>80.905100000000004</v>
      </c>
      <c r="H817" s="10">
        <f>80.7683 * CHOOSE(CONTROL!$C$9, $D$9, 100%, $F$9) + CHOOSE(CONTROL!$C$27, 0.0021, 0)</f>
        <v>80.770399999999995</v>
      </c>
      <c r="I817" s="10">
        <f>80.7683 * CHOOSE(CONTROL!$C$9, $D$9, 100%, $F$9) + CHOOSE(CONTROL!$C$27, 0.0021, 0)</f>
        <v>80.770399999999995</v>
      </c>
      <c r="J817" s="10">
        <f>80.7683 * CHOOSE(CONTROL!$C$9, $D$9, 100%, $F$9) + CHOOSE(CONTROL!$C$27, 0.0021, 0)</f>
        <v>80.770399999999995</v>
      </c>
      <c r="K817" s="10">
        <f>80.7683 * CHOOSE(CONTROL!$C$9, $D$9, 100%, $F$9) + CHOOSE(CONTROL!$C$27, 0.0021, 0)</f>
        <v>80.770399999999995</v>
      </c>
      <c r="L817" s="10"/>
    </row>
    <row r="818" spans="1:12" ht="15.75" x14ac:dyDescent="0.25">
      <c r="A818" s="13">
        <v>65836</v>
      </c>
      <c r="B818" s="10">
        <f>80.2523 * CHOOSE(CONTROL!$C$9, $D$9, 100%, $F$9) + CHOOSE(CONTROL!$C$27, 0.0021, 0)</f>
        <v>80.254400000000004</v>
      </c>
      <c r="C818" s="10">
        <f>79.8201 * CHOOSE(CONTROL!$C$9, $D$9, 100%, $F$9) + CHOOSE(CONTROL!$C$27, 0.0021, 0)</f>
        <v>79.822199999999995</v>
      </c>
      <c r="D818" s="10">
        <f>79.8201 * CHOOSE(CONTROL!$C$9, $D$9, 100%, $F$9) + CHOOSE(CONTROL!$C$27, 0.0021, 0)</f>
        <v>79.822199999999995</v>
      </c>
      <c r="E818" s="10">
        <f>79.6834 * CHOOSE(CONTROL!$C$9, $D$9, 100%, $F$9) + CHOOSE(CONTROL!$C$27, 0.0021, 0)</f>
        <v>79.685500000000005</v>
      </c>
      <c r="F818" s="10">
        <f>79.6834 * CHOOSE(CONTROL!$C$9, $D$9, 100%, $F$9) + CHOOSE(CONTROL!$C$27, 0.0021, 0)</f>
        <v>79.685500000000005</v>
      </c>
      <c r="G818" s="10">
        <f>79.9548 * CHOOSE(CONTROL!$C$9, $D$9, 100%, $F$9) + CHOOSE(CONTROL!$C$27, 0.0021, 0)</f>
        <v>79.956900000000005</v>
      </c>
      <c r="H818" s="10">
        <f>79.8201 * CHOOSE(CONTROL!$C$9, $D$9, 100%, $F$9) + CHOOSE(CONTROL!$C$27, 0.0021, 0)</f>
        <v>79.822199999999995</v>
      </c>
      <c r="I818" s="10">
        <f>79.8201 * CHOOSE(CONTROL!$C$9, $D$9, 100%, $F$9) + CHOOSE(CONTROL!$C$27, 0.0021, 0)</f>
        <v>79.822199999999995</v>
      </c>
      <c r="J818" s="10">
        <f>79.8201 * CHOOSE(CONTROL!$C$9, $D$9, 100%, $F$9) + CHOOSE(CONTROL!$C$27, 0.0021, 0)</f>
        <v>79.822199999999995</v>
      </c>
      <c r="K818" s="10">
        <f>79.8201 * CHOOSE(CONTROL!$C$9, $D$9, 100%, $F$9) + CHOOSE(CONTROL!$C$27, 0.0021, 0)</f>
        <v>79.822199999999995</v>
      </c>
      <c r="L818" s="10"/>
    </row>
    <row r="819" spans="1:12" ht="15.75" x14ac:dyDescent="0.25">
      <c r="A819" s="13">
        <v>65866</v>
      </c>
      <c r="B819" s="10">
        <f>79.1202 * CHOOSE(CONTROL!$C$9, $D$9, 100%, $F$9) + CHOOSE(CONTROL!$C$27, 0.0021, 0)</f>
        <v>79.122299999999996</v>
      </c>
      <c r="C819" s="10">
        <f>78.688 * CHOOSE(CONTROL!$C$9, $D$9, 100%, $F$9) + CHOOSE(CONTROL!$C$27, 0.0021, 0)</f>
        <v>78.690100000000001</v>
      </c>
      <c r="D819" s="10">
        <f>78.688 * CHOOSE(CONTROL!$C$9, $D$9, 100%, $F$9) + CHOOSE(CONTROL!$C$27, 0.0021, 0)</f>
        <v>78.690100000000001</v>
      </c>
      <c r="E819" s="10">
        <f>78.5513 * CHOOSE(CONTROL!$C$9, $D$9, 100%, $F$9) + CHOOSE(CONTROL!$C$27, 0.0021, 0)</f>
        <v>78.553399999999996</v>
      </c>
      <c r="F819" s="10">
        <f>78.5513 * CHOOSE(CONTROL!$C$9, $D$9, 100%, $F$9) + CHOOSE(CONTROL!$C$27, 0.0021, 0)</f>
        <v>78.553399999999996</v>
      </c>
      <c r="G819" s="10">
        <f>78.8227 * CHOOSE(CONTROL!$C$9, $D$9, 100%, $F$9) + CHOOSE(CONTROL!$C$27, 0.0021, 0)</f>
        <v>78.824799999999996</v>
      </c>
      <c r="H819" s="10">
        <f>78.688 * CHOOSE(CONTROL!$C$9, $D$9, 100%, $F$9) + CHOOSE(CONTROL!$C$27, 0.0021, 0)</f>
        <v>78.690100000000001</v>
      </c>
      <c r="I819" s="10">
        <f>78.688 * CHOOSE(CONTROL!$C$9, $D$9, 100%, $F$9) + CHOOSE(CONTROL!$C$27, 0.0021, 0)</f>
        <v>78.690100000000001</v>
      </c>
      <c r="J819" s="10">
        <f>78.688 * CHOOSE(CONTROL!$C$9, $D$9, 100%, $F$9) + CHOOSE(CONTROL!$C$27, 0.0021, 0)</f>
        <v>78.690100000000001</v>
      </c>
      <c r="K819" s="10">
        <f>78.688 * CHOOSE(CONTROL!$C$9, $D$9, 100%, $F$9) + CHOOSE(CONTROL!$C$27, 0.0021, 0)</f>
        <v>78.690100000000001</v>
      </c>
      <c r="L819" s="10"/>
    </row>
    <row r="820" spans="1:12" ht="15.75" x14ac:dyDescent="0.25">
      <c r="A820" s="13">
        <v>65897</v>
      </c>
      <c r="B820" s="10">
        <f>80.7336 * CHOOSE(CONTROL!$C$9, $D$9, 100%, $F$9) + CHOOSE(CONTROL!$C$27, 0.0021, 0)</f>
        <v>80.735699999999994</v>
      </c>
      <c r="C820" s="10">
        <f>80.3014 * CHOOSE(CONTROL!$C$9, $D$9, 100%, $F$9) + CHOOSE(CONTROL!$C$27, 0.0021, 0)</f>
        <v>80.3035</v>
      </c>
      <c r="D820" s="10">
        <f>80.3014 * CHOOSE(CONTROL!$C$9, $D$9, 100%, $F$9) + CHOOSE(CONTROL!$C$27, 0.0021, 0)</f>
        <v>80.3035</v>
      </c>
      <c r="E820" s="10">
        <f>80.1647 * CHOOSE(CONTROL!$C$9, $D$9, 100%, $F$9) + CHOOSE(CONTROL!$C$27, 0.0021, 0)</f>
        <v>80.166799999999995</v>
      </c>
      <c r="F820" s="10">
        <f>80.1647 * CHOOSE(CONTROL!$C$9, $D$9, 100%, $F$9) + CHOOSE(CONTROL!$C$27, 0.0021, 0)</f>
        <v>80.166799999999995</v>
      </c>
      <c r="G820" s="10">
        <f>80.4361 * CHOOSE(CONTROL!$C$9, $D$9, 100%, $F$9) + CHOOSE(CONTROL!$C$27, 0.0021, 0)</f>
        <v>80.438199999999995</v>
      </c>
      <c r="H820" s="10">
        <f>80.3014 * CHOOSE(CONTROL!$C$9, $D$9, 100%, $F$9) + CHOOSE(CONTROL!$C$27, 0.0021, 0)</f>
        <v>80.3035</v>
      </c>
      <c r="I820" s="10">
        <f>80.3014 * CHOOSE(CONTROL!$C$9, $D$9, 100%, $F$9) + CHOOSE(CONTROL!$C$27, 0.0021, 0)</f>
        <v>80.3035</v>
      </c>
      <c r="J820" s="10">
        <f>80.3014 * CHOOSE(CONTROL!$C$9, $D$9, 100%, $F$9) + CHOOSE(CONTROL!$C$27, 0.0021, 0)</f>
        <v>80.3035</v>
      </c>
      <c r="K820" s="10">
        <f>80.3014 * CHOOSE(CONTROL!$C$9, $D$9, 100%, $F$9) + CHOOSE(CONTROL!$C$27, 0.0021, 0)</f>
        <v>80.3035</v>
      </c>
      <c r="L820" s="10"/>
    </row>
    <row r="821" spans="1:12" ht="15.75" x14ac:dyDescent="0.25">
      <c r="A821" s="13">
        <v>65927</v>
      </c>
      <c r="B821" s="10">
        <f>81.7 * CHOOSE(CONTROL!$C$9, $D$9, 100%, $F$9) + CHOOSE(CONTROL!$C$27, 0.0021, 0)</f>
        <v>81.702100000000002</v>
      </c>
      <c r="C821" s="10">
        <f>81.2678 * CHOOSE(CONTROL!$C$9, $D$9, 100%, $F$9) + CHOOSE(CONTROL!$C$27, 0.0021, 0)</f>
        <v>81.269899999999993</v>
      </c>
      <c r="D821" s="10">
        <f>81.2678 * CHOOSE(CONTROL!$C$9, $D$9, 100%, $F$9) + CHOOSE(CONTROL!$C$27, 0.0021, 0)</f>
        <v>81.269899999999993</v>
      </c>
      <c r="E821" s="10">
        <f>81.1311 * CHOOSE(CONTROL!$C$9, $D$9, 100%, $F$9) + CHOOSE(CONTROL!$C$27, 0.0021, 0)</f>
        <v>81.133200000000002</v>
      </c>
      <c r="F821" s="10">
        <f>81.1311 * CHOOSE(CONTROL!$C$9, $D$9, 100%, $F$9) + CHOOSE(CONTROL!$C$27, 0.0021, 0)</f>
        <v>81.133200000000002</v>
      </c>
      <c r="G821" s="10">
        <f>81.4025 * CHOOSE(CONTROL!$C$9, $D$9, 100%, $F$9) + CHOOSE(CONTROL!$C$27, 0.0021, 0)</f>
        <v>81.404600000000002</v>
      </c>
      <c r="H821" s="10">
        <f>81.2678 * CHOOSE(CONTROL!$C$9, $D$9, 100%, $F$9) + CHOOSE(CONTROL!$C$27, 0.0021, 0)</f>
        <v>81.269899999999993</v>
      </c>
      <c r="I821" s="10">
        <f>81.2678 * CHOOSE(CONTROL!$C$9, $D$9, 100%, $F$9) + CHOOSE(CONTROL!$C$27, 0.0021, 0)</f>
        <v>81.269899999999993</v>
      </c>
      <c r="J821" s="10">
        <f>81.2678 * CHOOSE(CONTROL!$C$9, $D$9, 100%, $F$9) + CHOOSE(CONTROL!$C$27, 0.0021, 0)</f>
        <v>81.269899999999993</v>
      </c>
      <c r="K821" s="10">
        <f>81.2678 * CHOOSE(CONTROL!$C$9, $D$9, 100%, $F$9) + CHOOSE(CONTROL!$C$27, 0.0021, 0)</f>
        <v>81.269899999999993</v>
      </c>
      <c r="L821" s="10"/>
    </row>
    <row r="822" spans="1:12" ht="15.75" x14ac:dyDescent="0.25">
      <c r="A822" s="13">
        <v>65958</v>
      </c>
      <c r="B822" s="10">
        <f>83.2942 * CHOOSE(CONTROL!$C$9, $D$9, 100%, $F$9) + CHOOSE(CONTROL!$C$27, 0.0021, 0)</f>
        <v>83.296300000000002</v>
      </c>
      <c r="C822" s="10">
        <f>82.8619 * CHOOSE(CONTROL!$C$9, $D$9, 100%, $F$9) + CHOOSE(CONTROL!$C$27, 0.0021, 0)</f>
        <v>82.864000000000004</v>
      </c>
      <c r="D822" s="10">
        <f>82.8619 * CHOOSE(CONTROL!$C$9, $D$9, 100%, $F$9) + CHOOSE(CONTROL!$C$27, 0.0021, 0)</f>
        <v>82.864000000000004</v>
      </c>
      <c r="E822" s="10">
        <f>82.7253 * CHOOSE(CONTROL!$C$9, $D$9, 100%, $F$9) + CHOOSE(CONTROL!$C$27, 0.0021, 0)</f>
        <v>82.727400000000003</v>
      </c>
      <c r="F822" s="10">
        <f>82.7253 * CHOOSE(CONTROL!$C$9, $D$9, 100%, $F$9) + CHOOSE(CONTROL!$C$27, 0.0021, 0)</f>
        <v>82.727400000000003</v>
      </c>
      <c r="G822" s="10">
        <f>82.9966 * CHOOSE(CONTROL!$C$9, $D$9, 100%, $F$9) + CHOOSE(CONTROL!$C$27, 0.0021, 0)</f>
        <v>82.998699999999999</v>
      </c>
      <c r="H822" s="10">
        <f>82.8619 * CHOOSE(CONTROL!$C$9, $D$9, 100%, $F$9) + CHOOSE(CONTROL!$C$27, 0.0021, 0)</f>
        <v>82.864000000000004</v>
      </c>
      <c r="I822" s="10">
        <f>82.8619 * CHOOSE(CONTROL!$C$9, $D$9, 100%, $F$9) + CHOOSE(CONTROL!$C$27, 0.0021, 0)</f>
        <v>82.864000000000004</v>
      </c>
      <c r="J822" s="10">
        <f>82.8619 * CHOOSE(CONTROL!$C$9, $D$9, 100%, $F$9) + CHOOSE(CONTROL!$C$27, 0.0021, 0)</f>
        <v>82.864000000000004</v>
      </c>
      <c r="K822" s="10">
        <f>82.8619 * CHOOSE(CONTROL!$C$9, $D$9, 100%, $F$9) + CHOOSE(CONTROL!$C$27, 0.0021, 0)</f>
        <v>82.864000000000004</v>
      </c>
      <c r="L822" s="10"/>
    </row>
    <row r="823" spans="1:12" ht="15.75" x14ac:dyDescent="0.25">
      <c r="A823" s="13">
        <v>65989</v>
      </c>
      <c r="B823" s="10">
        <f>83.7808 * CHOOSE(CONTROL!$C$9, $D$9, 100%, $F$9) + CHOOSE(CONTROL!$C$27, 0.0021, 0)</f>
        <v>83.782899999999998</v>
      </c>
      <c r="C823" s="10">
        <f>83.3485 * CHOOSE(CONTROL!$C$9, $D$9, 100%, $F$9) + CHOOSE(CONTROL!$C$27, 0.0021, 0)</f>
        <v>83.3506</v>
      </c>
      <c r="D823" s="10">
        <f>83.3485 * CHOOSE(CONTROL!$C$9, $D$9, 100%, $F$9) + CHOOSE(CONTROL!$C$27, 0.0021, 0)</f>
        <v>83.3506</v>
      </c>
      <c r="E823" s="10">
        <f>83.2118 * CHOOSE(CONTROL!$C$9, $D$9, 100%, $F$9) + CHOOSE(CONTROL!$C$27, 0.0021, 0)</f>
        <v>83.213899999999995</v>
      </c>
      <c r="F823" s="10">
        <f>83.2118 * CHOOSE(CONTROL!$C$9, $D$9, 100%, $F$9) + CHOOSE(CONTROL!$C$27, 0.0021, 0)</f>
        <v>83.213899999999995</v>
      </c>
      <c r="G823" s="10">
        <f>83.4832 * CHOOSE(CONTROL!$C$9, $D$9, 100%, $F$9) + CHOOSE(CONTROL!$C$27, 0.0021, 0)</f>
        <v>83.485299999999995</v>
      </c>
      <c r="H823" s="10">
        <f>83.3485 * CHOOSE(CONTROL!$C$9, $D$9, 100%, $F$9) + CHOOSE(CONTROL!$C$27, 0.0021, 0)</f>
        <v>83.3506</v>
      </c>
      <c r="I823" s="10">
        <f>83.3485 * CHOOSE(CONTROL!$C$9, $D$9, 100%, $F$9) + CHOOSE(CONTROL!$C$27, 0.0021, 0)</f>
        <v>83.3506</v>
      </c>
      <c r="J823" s="10">
        <f>83.3485 * CHOOSE(CONTROL!$C$9, $D$9, 100%, $F$9) + CHOOSE(CONTROL!$C$27, 0.0021, 0)</f>
        <v>83.3506</v>
      </c>
      <c r="K823" s="10">
        <f>83.3485 * CHOOSE(CONTROL!$C$9, $D$9, 100%, $F$9) + CHOOSE(CONTROL!$C$27, 0.0021, 0)</f>
        <v>83.3506</v>
      </c>
      <c r="L823" s="10"/>
    </row>
    <row r="824" spans="1:12" ht="15.75" x14ac:dyDescent="0.25">
      <c r="A824" s="13">
        <v>66019</v>
      </c>
      <c r="B824" s="10">
        <f>85.4378 * CHOOSE(CONTROL!$C$9, $D$9, 100%, $F$9) + CHOOSE(CONTROL!$C$27, 0.0021, 0)</f>
        <v>85.439899999999994</v>
      </c>
      <c r="C824" s="10">
        <f>85.0056 * CHOOSE(CONTROL!$C$9, $D$9, 100%, $F$9) + CHOOSE(CONTROL!$C$27, 0.0021, 0)</f>
        <v>85.0077</v>
      </c>
      <c r="D824" s="10">
        <f>85.0056 * CHOOSE(CONTROL!$C$9, $D$9, 100%, $F$9) + CHOOSE(CONTROL!$C$27, 0.0021, 0)</f>
        <v>85.0077</v>
      </c>
      <c r="E824" s="10">
        <f>84.8689 * CHOOSE(CONTROL!$C$9, $D$9, 100%, $F$9) + CHOOSE(CONTROL!$C$27, 0.0021, 0)</f>
        <v>84.870999999999995</v>
      </c>
      <c r="F824" s="10">
        <f>84.8689 * CHOOSE(CONTROL!$C$9, $D$9, 100%, $F$9) + CHOOSE(CONTROL!$C$27, 0.0021, 0)</f>
        <v>84.870999999999995</v>
      </c>
      <c r="G824" s="10">
        <f>85.1403 * CHOOSE(CONTROL!$C$9, $D$9, 100%, $F$9) + CHOOSE(CONTROL!$C$27, 0.0021, 0)</f>
        <v>85.142399999999995</v>
      </c>
      <c r="H824" s="10">
        <f>85.0056 * CHOOSE(CONTROL!$C$9, $D$9, 100%, $F$9) + CHOOSE(CONTROL!$C$27, 0.0021, 0)</f>
        <v>85.0077</v>
      </c>
      <c r="I824" s="10">
        <f>85.0056 * CHOOSE(CONTROL!$C$9, $D$9, 100%, $F$9) + CHOOSE(CONTROL!$C$27, 0.0021, 0)</f>
        <v>85.0077</v>
      </c>
      <c r="J824" s="10">
        <f>85.0056 * CHOOSE(CONTROL!$C$9, $D$9, 100%, $F$9) + CHOOSE(CONTROL!$C$27, 0.0021, 0)</f>
        <v>85.0077</v>
      </c>
      <c r="K824" s="10">
        <f>85.0056 * CHOOSE(CONTROL!$C$9, $D$9, 100%, $F$9) + CHOOSE(CONTROL!$C$27, 0.0021, 0)</f>
        <v>85.0077</v>
      </c>
      <c r="L824" s="10"/>
    </row>
    <row r="825" spans="1:12" ht="15.75" x14ac:dyDescent="0.25">
      <c r="A825" s="13">
        <v>66050</v>
      </c>
      <c r="B825" s="10">
        <f>87.5354 * CHOOSE(CONTROL!$C$9, $D$9, 100%, $F$9) + CHOOSE(CONTROL!$C$27, 0.0021, 0)</f>
        <v>87.537499999999994</v>
      </c>
      <c r="C825" s="10">
        <f>87.1031 * CHOOSE(CONTROL!$C$9, $D$9, 100%, $F$9) + CHOOSE(CONTROL!$C$27, 0.0021, 0)</f>
        <v>87.105199999999996</v>
      </c>
      <c r="D825" s="10">
        <f>87.1031 * CHOOSE(CONTROL!$C$9, $D$9, 100%, $F$9) + CHOOSE(CONTROL!$C$27, 0.0021, 0)</f>
        <v>87.105199999999996</v>
      </c>
      <c r="E825" s="10">
        <f>86.9665 * CHOOSE(CONTROL!$C$9, $D$9, 100%, $F$9) + CHOOSE(CONTROL!$C$27, 0.0021, 0)</f>
        <v>86.968599999999995</v>
      </c>
      <c r="F825" s="10">
        <f>86.9665 * CHOOSE(CONTROL!$C$9, $D$9, 100%, $F$9) + CHOOSE(CONTROL!$C$27, 0.0021, 0)</f>
        <v>86.968599999999995</v>
      </c>
      <c r="G825" s="10">
        <f>87.2378 * CHOOSE(CONTROL!$C$9, $D$9, 100%, $F$9) + CHOOSE(CONTROL!$C$27, 0.0021, 0)</f>
        <v>87.239899999999992</v>
      </c>
      <c r="H825" s="10">
        <f>87.1031 * CHOOSE(CONTROL!$C$9, $D$9, 100%, $F$9) + CHOOSE(CONTROL!$C$27, 0.0021, 0)</f>
        <v>87.105199999999996</v>
      </c>
      <c r="I825" s="10">
        <f>87.1031 * CHOOSE(CONTROL!$C$9, $D$9, 100%, $F$9) + CHOOSE(CONTROL!$C$27, 0.0021, 0)</f>
        <v>87.105199999999996</v>
      </c>
      <c r="J825" s="10">
        <f>87.1031 * CHOOSE(CONTROL!$C$9, $D$9, 100%, $F$9) + CHOOSE(CONTROL!$C$27, 0.0021, 0)</f>
        <v>87.105199999999996</v>
      </c>
      <c r="K825" s="10">
        <f>87.1031 * CHOOSE(CONTROL!$C$9, $D$9, 100%, $F$9) + CHOOSE(CONTROL!$C$27, 0.0021, 0)</f>
        <v>87.105199999999996</v>
      </c>
      <c r="L825" s="10"/>
    </row>
    <row r="826" spans="1:12" ht="15.75" x14ac:dyDescent="0.25">
      <c r="A826" s="13">
        <v>66080</v>
      </c>
      <c r="B826" s="10">
        <f>87.7323 * CHOOSE(CONTROL!$C$9, $D$9, 100%, $F$9) + CHOOSE(CONTROL!$C$27, 0.0021, 0)</f>
        <v>87.734399999999994</v>
      </c>
      <c r="C826" s="10">
        <f>87.3 * CHOOSE(CONTROL!$C$9, $D$9, 100%, $F$9) + CHOOSE(CONTROL!$C$27, 0.0021, 0)</f>
        <v>87.302099999999996</v>
      </c>
      <c r="D826" s="10">
        <f>87.3 * CHOOSE(CONTROL!$C$9, $D$9, 100%, $F$9) + CHOOSE(CONTROL!$C$27, 0.0021, 0)</f>
        <v>87.302099999999996</v>
      </c>
      <c r="E826" s="10">
        <f>87.1634 * CHOOSE(CONTROL!$C$9, $D$9, 100%, $F$9) + CHOOSE(CONTROL!$C$27, 0.0021, 0)</f>
        <v>87.165499999999994</v>
      </c>
      <c r="F826" s="10">
        <f>87.1634 * CHOOSE(CONTROL!$C$9, $D$9, 100%, $F$9) + CHOOSE(CONTROL!$C$27, 0.0021, 0)</f>
        <v>87.165499999999994</v>
      </c>
      <c r="G826" s="10">
        <f>87.4348 * CHOOSE(CONTROL!$C$9, $D$9, 100%, $F$9) + CHOOSE(CONTROL!$C$27, 0.0021, 0)</f>
        <v>87.436899999999994</v>
      </c>
      <c r="H826" s="10">
        <f>87.3 * CHOOSE(CONTROL!$C$9, $D$9, 100%, $F$9) + CHOOSE(CONTROL!$C$27, 0.0021, 0)</f>
        <v>87.302099999999996</v>
      </c>
      <c r="I826" s="10">
        <f>87.3 * CHOOSE(CONTROL!$C$9, $D$9, 100%, $F$9) + CHOOSE(CONTROL!$C$27, 0.0021, 0)</f>
        <v>87.302099999999996</v>
      </c>
      <c r="J826" s="10">
        <f>87.3 * CHOOSE(CONTROL!$C$9, $D$9, 100%, $F$9) + CHOOSE(CONTROL!$C$27, 0.0021, 0)</f>
        <v>87.302099999999996</v>
      </c>
      <c r="K826" s="10">
        <f>87.3 * CHOOSE(CONTROL!$C$9, $D$9, 100%, $F$9) + CHOOSE(CONTROL!$C$27, 0.0021, 0)</f>
        <v>87.302099999999996</v>
      </c>
      <c r="L826" s="10"/>
    </row>
    <row r="827" spans="1:12" ht="15.75" x14ac:dyDescent="0.25">
      <c r="A827" s="13">
        <v>66111</v>
      </c>
      <c r="B827" s="10">
        <f>86.057 * CHOOSE(CONTROL!$C$9, $D$9, 100%, $F$9) + CHOOSE(CONTROL!$C$27, 0.0021, 0)</f>
        <v>86.059100000000001</v>
      </c>
      <c r="C827" s="10">
        <f>85.6248 * CHOOSE(CONTROL!$C$9, $D$9, 100%, $F$9) + CHOOSE(CONTROL!$C$27, 0.0021, 0)</f>
        <v>85.626899999999992</v>
      </c>
      <c r="D827" s="10">
        <f>85.6248 * CHOOSE(CONTROL!$C$9, $D$9, 100%, $F$9) + CHOOSE(CONTROL!$C$27, 0.0021, 0)</f>
        <v>85.626899999999992</v>
      </c>
      <c r="E827" s="10">
        <f>85.4881 * CHOOSE(CONTROL!$C$9, $D$9, 100%, $F$9) + CHOOSE(CONTROL!$C$27, 0.0021, 0)</f>
        <v>85.490200000000002</v>
      </c>
      <c r="F827" s="10">
        <f>85.4881 * CHOOSE(CONTROL!$C$9, $D$9, 100%, $F$9) + CHOOSE(CONTROL!$C$27, 0.0021, 0)</f>
        <v>85.490200000000002</v>
      </c>
      <c r="G827" s="10">
        <f>85.7595 * CHOOSE(CONTROL!$C$9, $D$9, 100%, $F$9) + CHOOSE(CONTROL!$C$27, 0.0021, 0)</f>
        <v>85.761600000000001</v>
      </c>
      <c r="H827" s="10">
        <f>85.6248 * CHOOSE(CONTROL!$C$9, $D$9, 100%, $F$9) + CHOOSE(CONTROL!$C$27, 0.0021, 0)</f>
        <v>85.626899999999992</v>
      </c>
      <c r="I827" s="10">
        <f>85.6248 * CHOOSE(CONTROL!$C$9, $D$9, 100%, $F$9) + CHOOSE(CONTROL!$C$27, 0.0021, 0)</f>
        <v>85.626899999999992</v>
      </c>
      <c r="J827" s="10">
        <f>85.6248 * CHOOSE(CONTROL!$C$9, $D$9, 100%, $F$9) + CHOOSE(CONTROL!$C$27, 0.0021, 0)</f>
        <v>85.626899999999992</v>
      </c>
      <c r="K827" s="10">
        <f>85.6248 * CHOOSE(CONTROL!$C$9, $D$9, 100%, $F$9) + CHOOSE(CONTROL!$C$27, 0.0021, 0)</f>
        <v>85.626899999999992</v>
      </c>
      <c r="L827" s="10"/>
    </row>
    <row r="828" spans="1:12" ht="15.75" x14ac:dyDescent="0.25">
      <c r="A828" s="13">
        <v>66142</v>
      </c>
      <c r="B828" s="10">
        <f>84.9595 * CHOOSE(CONTROL!$C$9, $D$9, 100%, $F$9) + CHOOSE(CONTROL!$C$27, 0.0021, 0)</f>
        <v>84.961600000000004</v>
      </c>
      <c r="C828" s="10">
        <f>84.5273 * CHOOSE(CONTROL!$C$9, $D$9, 100%, $F$9) + CHOOSE(CONTROL!$C$27, 0.0021, 0)</f>
        <v>84.529399999999995</v>
      </c>
      <c r="D828" s="10">
        <f>84.5273 * CHOOSE(CONTROL!$C$9, $D$9, 100%, $F$9) + CHOOSE(CONTROL!$C$27, 0.0021, 0)</f>
        <v>84.529399999999995</v>
      </c>
      <c r="E828" s="10">
        <f>84.3906 * CHOOSE(CONTROL!$C$9, $D$9, 100%, $F$9) + CHOOSE(CONTROL!$C$27, 0.0021, 0)</f>
        <v>84.392700000000005</v>
      </c>
      <c r="F828" s="10">
        <f>84.3906 * CHOOSE(CONTROL!$C$9, $D$9, 100%, $F$9) + CHOOSE(CONTROL!$C$27, 0.0021, 0)</f>
        <v>84.392700000000005</v>
      </c>
      <c r="G828" s="10">
        <f>84.662 * CHOOSE(CONTROL!$C$9, $D$9, 100%, $F$9) + CHOOSE(CONTROL!$C$27, 0.0021, 0)</f>
        <v>84.664100000000005</v>
      </c>
      <c r="H828" s="10">
        <f>84.5273 * CHOOSE(CONTROL!$C$9, $D$9, 100%, $F$9) + CHOOSE(CONTROL!$C$27, 0.0021, 0)</f>
        <v>84.529399999999995</v>
      </c>
      <c r="I828" s="10">
        <f>84.5273 * CHOOSE(CONTROL!$C$9, $D$9, 100%, $F$9) + CHOOSE(CONTROL!$C$27, 0.0021, 0)</f>
        <v>84.529399999999995</v>
      </c>
      <c r="J828" s="10">
        <f>84.5273 * CHOOSE(CONTROL!$C$9, $D$9, 100%, $F$9) + CHOOSE(CONTROL!$C$27, 0.0021, 0)</f>
        <v>84.529399999999995</v>
      </c>
      <c r="K828" s="10">
        <f>84.5273 * CHOOSE(CONTROL!$C$9, $D$9, 100%, $F$9) + CHOOSE(CONTROL!$C$27, 0.0021, 0)</f>
        <v>84.529399999999995</v>
      </c>
      <c r="L828" s="10"/>
    </row>
    <row r="829" spans="1:12" ht="15.75" x14ac:dyDescent="0.25">
      <c r="A829" s="13">
        <v>66170</v>
      </c>
      <c r="B829" s="10">
        <f>82.6212 * CHOOSE(CONTROL!$C$9, $D$9, 100%, $F$9) + CHOOSE(CONTROL!$C$27, 0.0021, 0)</f>
        <v>82.6233</v>
      </c>
      <c r="C829" s="10">
        <f>82.189 * CHOOSE(CONTROL!$C$9, $D$9, 100%, $F$9) + CHOOSE(CONTROL!$C$27, 0.0021, 0)</f>
        <v>82.191099999999992</v>
      </c>
      <c r="D829" s="10">
        <f>82.189 * CHOOSE(CONTROL!$C$9, $D$9, 100%, $F$9) + CHOOSE(CONTROL!$C$27, 0.0021, 0)</f>
        <v>82.191099999999992</v>
      </c>
      <c r="E829" s="10">
        <f>82.0523 * CHOOSE(CONTROL!$C$9, $D$9, 100%, $F$9) + CHOOSE(CONTROL!$C$27, 0.0021, 0)</f>
        <v>82.054400000000001</v>
      </c>
      <c r="F829" s="10">
        <f>82.0523 * CHOOSE(CONTROL!$C$9, $D$9, 100%, $F$9) + CHOOSE(CONTROL!$C$27, 0.0021, 0)</f>
        <v>82.054400000000001</v>
      </c>
      <c r="G829" s="10">
        <f>82.3237 * CHOOSE(CONTROL!$C$9, $D$9, 100%, $F$9) + CHOOSE(CONTROL!$C$27, 0.0021, 0)</f>
        <v>82.325800000000001</v>
      </c>
      <c r="H829" s="10">
        <f>82.189 * CHOOSE(CONTROL!$C$9, $D$9, 100%, $F$9) + CHOOSE(CONTROL!$C$27, 0.0021, 0)</f>
        <v>82.191099999999992</v>
      </c>
      <c r="I829" s="10">
        <f>82.189 * CHOOSE(CONTROL!$C$9, $D$9, 100%, $F$9) + CHOOSE(CONTROL!$C$27, 0.0021, 0)</f>
        <v>82.191099999999992</v>
      </c>
      <c r="J829" s="10">
        <f>82.189 * CHOOSE(CONTROL!$C$9, $D$9, 100%, $F$9) + CHOOSE(CONTROL!$C$27, 0.0021, 0)</f>
        <v>82.191099999999992</v>
      </c>
      <c r="K829" s="10">
        <f>82.189 * CHOOSE(CONTROL!$C$9, $D$9, 100%, $F$9) + CHOOSE(CONTROL!$C$27, 0.0021, 0)</f>
        <v>82.191099999999992</v>
      </c>
      <c r="L829" s="10"/>
    </row>
    <row r="830" spans="1:12" ht="15.75" x14ac:dyDescent="0.25">
      <c r="A830" s="13">
        <v>66201</v>
      </c>
      <c r="B830" s="10">
        <f>81.656 * CHOOSE(CONTROL!$C$9, $D$9, 100%, $F$9) + CHOOSE(CONTROL!$C$27, 0.0021, 0)</f>
        <v>81.658100000000005</v>
      </c>
      <c r="C830" s="10">
        <f>81.2237 * CHOOSE(CONTROL!$C$9, $D$9, 100%, $F$9) + CHOOSE(CONTROL!$C$27, 0.0021, 0)</f>
        <v>81.225799999999992</v>
      </c>
      <c r="D830" s="10">
        <f>81.2237 * CHOOSE(CONTROL!$C$9, $D$9, 100%, $F$9) + CHOOSE(CONTROL!$C$27, 0.0021, 0)</f>
        <v>81.225799999999992</v>
      </c>
      <c r="E830" s="10">
        <f>81.0871 * CHOOSE(CONTROL!$C$9, $D$9, 100%, $F$9) + CHOOSE(CONTROL!$C$27, 0.0021, 0)</f>
        <v>81.089200000000005</v>
      </c>
      <c r="F830" s="10">
        <f>81.0871 * CHOOSE(CONTROL!$C$9, $D$9, 100%, $F$9) + CHOOSE(CONTROL!$C$27, 0.0021, 0)</f>
        <v>81.089200000000005</v>
      </c>
      <c r="G830" s="10">
        <f>81.3585 * CHOOSE(CONTROL!$C$9, $D$9, 100%, $F$9) + CHOOSE(CONTROL!$C$27, 0.0021, 0)</f>
        <v>81.360600000000005</v>
      </c>
      <c r="H830" s="10">
        <f>81.2237 * CHOOSE(CONTROL!$C$9, $D$9, 100%, $F$9) + CHOOSE(CONTROL!$C$27, 0.0021, 0)</f>
        <v>81.225799999999992</v>
      </c>
      <c r="I830" s="10">
        <f>81.2237 * CHOOSE(CONTROL!$C$9, $D$9, 100%, $F$9) + CHOOSE(CONTROL!$C$27, 0.0021, 0)</f>
        <v>81.225799999999992</v>
      </c>
      <c r="J830" s="10">
        <f>81.2237 * CHOOSE(CONTROL!$C$9, $D$9, 100%, $F$9) + CHOOSE(CONTROL!$C$27, 0.0021, 0)</f>
        <v>81.225799999999992</v>
      </c>
      <c r="K830" s="10">
        <f>81.2237 * CHOOSE(CONTROL!$C$9, $D$9, 100%, $F$9) + CHOOSE(CONTROL!$C$27, 0.0021, 0)</f>
        <v>81.225799999999992</v>
      </c>
      <c r="L830" s="10"/>
    </row>
    <row r="831" spans="1:12" ht="15.75" x14ac:dyDescent="0.25">
      <c r="A831" s="13">
        <v>66231</v>
      </c>
      <c r="B831" s="10">
        <f>80.5035 * CHOOSE(CONTROL!$C$9, $D$9, 100%, $F$9) + CHOOSE(CONTROL!$C$27, 0.0021, 0)</f>
        <v>80.505600000000001</v>
      </c>
      <c r="C831" s="10">
        <f>80.0712 * CHOOSE(CONTROL!$C$9, $D$9, 100%, $F$9) + CHOOSE(CONTROL!$C$27, 0.0021, 0)</f>
        <v>80.073300000000003</v>
      </c>
      <c r="D831" s="10">
        <f>80.0712 * CHOOSE(CONTROL!$C$9, $D$9, 100%, $F$9) + CHOOSE(CONTROL!$C$27, 0.0021, 0)</f>
        <v>80.073300000000003</v>
      </c>
      <c r="E831" s="10">
        <f>79.9346 * CHOOSE(CONTROL!$C$9, $D$9, 100%, $F$9) + CHOOSE(CONTROL!$C$27, 0.0021, 0)</f>
        <v>79.936700000000002</v>
      </c>
      <c r="F831" s="10">
        <f>79.9346 * CHOOSE(CONTROL!$C$9, $D$9, 100%, $F$9) + CHOOSE(CONTROL!$C$27, 0.0021, 0)</f>
        <v>79.936700000000002</v>
      </c>
      <c r="G831" s="10">
        <f>80.206 * CHOOSE(CONTROL!$C$9, $D$9, 100%, $F$9) + CHOOSE(CONTROL!$C$27, 0.0021, 0)</f>
        <v>80.208100000000002</v>
      </c>
      <c r="H831" s="10">
        <f>80.0712 * CHOOSE(CONTROL!$C$9, $D$9, 100%, $F$9) + CHOOSE(CONTROL!$C$27, 0.0021, 0)</f>
        <v>80.073300000000003</v>
      </c>
      <c r="I831" s="10">
        <f>80.0712 * CHOOSE(CONTROL!$C$9, $D$9, 100%, $F$9) + CHOOSE(CONTROL!$C$27, 0.0021, 0)</f>
        <v>80.073300000000003</v>
      </c>
      <c r="J831" s="10">
        <f>80.0712 * CHOOSE(CONTROL!$C$9, $D$9, 100%, $F$9) + CHOOSE(CONTROL!$C$27, 0.0021, 0)</f>
        <v>80.073300000000003</v>
      </c>
      <c r="K831" s="10">
        <f>80.0712 * CHOOSE(CONTROL!$C$9, $D$9, 100%, $F$9) + CHOOSE(CONTROL!$C$27, 0.0021, 0)</f>
        <v>80.073300000000003</v>
      </c>
      <c r="L831" s="10"/>
    </row>
    <row r="832" spans="1:12" ht="15.75" x14ac:dyDescent="0.25">
      <c r="A832" s="13">
        <v>66262</v>
      </c>
      <c r="B832" s="10">
        <f>82.146 * CHOOSE(CONTROL!$C$9, $D$9, 100%, $F$9) + CHOOSE(CONTROL!$C$27, 0.0021, 0)</f>
        <v>82.148099999999999</v>
      </c>
      <c r="C832" s="10">
        <f>81.7137 * CHOOSE(CONTROL!$C$9, $D$9, 100%, $F$9) + CHOOSE(CONTROL!$C$27, 0.0021, 0)</f>
        <v>81.715800000000002</v>
      </c>
      <c r="D832" s="10">
        <f>81.7137 * CHOOSE(CONTROL!$C$9, $D$9, 100%, $F$9) + CHOOSE(CONTROL!$C$27, 0.0021, 0)</f>
        <v>81.715800000000002</v>
      </c>
      <c r="E832" s="10">
        <f>81.577 * CHOOSE(CONTROL!$C$9, $D$9, 100%, $F$9) + CHOOSE(CONTROL!$C$27, 0.0021, 0)</f>
        <v>81.579099999999997</v>
      </c>
      <c r="F832" s="10">
        <f>81.577 * CHOOSE(CONTROL!$C$9, $D$9, 100%, $F$9) + CHOOSE(CONTROL!$C$27, 0.0021, 0)</f>
        <v>81.579099999999997</v>
      </c>
      <c r="G832" s="10">
        <f>81.8484 * CHOOSE(CONTROL!$C$9, $D$9, 100%, $F$9) + CHOOSE(CONTROL!$C$27, 0.0021, 0)</f>
        <v>81.850499999999997</v>
      </c>
      <c r="H832" s="10">
        <f>81.7137 * CHOOSE(CONTROL!$C$9, $D$9, 100%, $F$9) + CHOOSE(CONTROL!$C$27, 0.0021, 0)</f>
        <v>81.715800000000002</v>
      </c>
      <c r="I832" s="10">
        <f>81.7137 * CHOOSE(CONTROL!$C$9, $D$9, 100%, $F$9) + CHOOSE(CONTROL!$C$27, 0.0021, 0)</f>
        <v>81.715800000000002</v>
      </c>
      <c r="J832" s="10">
        <f>81.7137 * CHOOSE(CONTROL!$C$9, $D$9, 100%, $F$9) + CHOOSE(CONTROL!$C$27, 0.0021, 0)</f>
        <v>81.715800000000002</v>
      </c>
      <c r="K832" s="10">
        <f>81.7137 * CHOOSE(CONTROL!$C$9, $D$9, 100%, $F$9) + CHOOSE(CONTROL!$C$27, 0.0021, 0)</f>
        <v>81.715800000000002</v>
      </c>
      <c r="L832" s="10"/>
    </row>
    <row r="833" spans="1:12" ht="15.75" x14ac:dyDescent="0.25">
      <c r="A833" s="13">
        <v>66292</v>
      </c>
      <c r="B833" s="10">
        <f>83.1297 * CHOOSE(CONTROL!$C$9, $D$9, 100%, $F$9) + CHOOSE(CONTROL!$C$27, 0.0021, 0)</f>
        <v>83.131799999999998</v>
      </c>
      <c r="C833" s="10">
        <f>82.6975 * CHOOSE(CONTROL!$C$9, $D$9, 100%, $F$9) + CHOOSE(CONTROL!$C$27, 0.0021, 0)</f>
        <v>82.699600000000004</v>
      </c>
      <c r="D833" s="10">
        <f>82.6975 * CHOOSE(CONTROL!$C$9, $D$9, 100%, $F$9) + CHOOSE(CONTROL!$C$27, 0.0021, 0)</f>
        <v>82.699600000000004</v>
      </c>
      <c r="E833" s="10">
        <f>82.5608 * CHOOSE(CONTROL!$C$9, $D$9, 100%, $F$9) + CHOOSE(CONTROL!$C$27, 0.0021, 0)</f>
        <v>82.562899999999999</v>
      </c>
      <c r="F833" s="10">
        <f>82.5608 * CHOOSE(CONTROL!$C$9, $D$9, 100%, $F$9) + CHOOSE(CONTROL!$C$27, 0.0021, 0)</f>
        <v>82.562899999999999</v>
      </c>
      <c r="G833" s="10">
        <f>82.8322 * CHOOSE(CONTROL!$C$9, $D$9, 100%, $F$9) + CHOOSE(CONTROL!$C$27, 0.0021, 0)</f>
        <v>82.834299999999999</v>
      </c>
      <c r="H833" s="10">
        <f>82.6975 * CHOOSE(CONTROL!$C$9, $D$9, 100%, $F$9) + CHOOSE(CONTROL!$C$27, 0.0021, 0)</f>
        <v>82.699600000000004</v>
      </c>
      <c r="I833" s="10">
        <f>82.6975 * CHOOSE(CONTROL!$C$9, $D$9, 100%, $F$9) + CHOOSE(CONTROL!$C$27, 0.0021, 0)</f>
        <v>82.699600000000004</v>
      </c>
      <c r="J833" s="10">
        <f>82.6975 * CHOOSE(CONTROL!$C$9, $D$9, 100%, $F$9) + CHOOSE(CONTROL!$C$27, 0.0021, 0)</f>
        <v>82.699600000000004</v>
      </c>
      <c r="K833" s="10">
        <f>82.6975 * CHOOSE(CONTROL!$C$9, $D$9, 100%, $F$9) + CHOOSE(CONTROL!$C$27, 0.0021, 0)</f>
        <v>82.699600000000004</v>
      </c>
      <c r="L833" s="10"/>
    </row>
    <row r="834" spans="1:12" ht="15.75" x14ac:dyDescent="0.25">
      <c r="A834" s="13">
        <v>66323</v>
      </c>
      <c r="B834" s="10">
        <f>84.7526 * CHOOSE(CONTROL!$C$9, $D$9, 100%, $F$9) + CHOOSE(CONTROL!$C$27, 0.0021, 0)</f>
        <v>84.7547</v>
      </c>
      <c r="C834" s="10">
        <f>84.3203 * CHOOSE(CONTROL!$C$9, $D$9, 100%, $F$9) + CHOOSE(CONTROL!$C$27, 0.0021, 0)</f>
        <v>84.322400000000002</v>
      </c>
      <c r="D834" s="10">
        <f>84.3203 * CHOOSE(CONTROL!$C$9, $D$9, 100%, $F$9) + CHOOSE(CONTROL!$C$27, 0.0021, 0)</f>
        <v>84.322400000000002</v>
      </c>
      <c r="E834" s="10">
        <f>84.1837 * CHOOSE(CONTROL!$C$9, $D$9, 100%, $F$9) + CHOOSE(CONTROL!$C$27, 0.0021, 0)</f>
        <v>84.1858</v>
      </c>
      <c r="F834" s="10">
        <f>84.1837 * CHOOSE(CONTROL!$C$9, $D$9, 100%, $F$9) + CHOOSE(CONTROL!$C$27, 0.0021, 0)</f>
        <v>84.1858</v>
      </c>
      <c r="G834" s="10">
        <f>84.4551 * CHOOSE(CONTROL!$C$9, $D$9, 100%, $F$9) + CHOOSE(CONTROL!$C$27, 0.0021, 0)</f>
        <v>84.4572</v>
      </c>
      <c r="H834" s="10">
        <f>84.3203 * CHOOSE(CONTROL!$C$9, $D$9, 100%, $F$9) + CHOOSE(CONTROL!$C$27, 0.0021, 0)</f>
        <v>84.322400000000002</v>
      </c>
      <c r="I834" s="10">
        <f>84.3203 * CHOOSE(CONTROL!$C$9, $D$9, 100%, $F$9) + CHOOSE(CONTROL!$C$27, 0.0021, 0)</f>
        <v>84.322400000000002</v>
      </c>
      <c r="J834" s="10">
        <f>84.3203 * CHOOSE(CONTROL!$C$9, $D$9, 100%, $F$9) + CHOOSE(CONTROL!$C$27, 0.0021, 0)</f>
        <v>84.322400000000002</v>
      </c>
      <c r="K834" s="10">
        <f>84.3203 * CHOOSE(CONTROL!$C$9, $D$9, 100%, $F$9) + CHOOSE(CONTROL!$C$27, 0.0021, 0)</f>
        <v>84.322400000000002</v>
      </c>
      <c r="L834" s="10"/>
    </row>
    <row r="835" spans="1:12" ht="15.75" x14ac:dyDescent="0.25">
      <c r="A835" s="13">
        <v>66354</v>
      </c>
      <c r="B835" s="10">
        <f>85.2479 * CHOOSE(CONTROL!$C$9, $D$9, 100%, $F$9) + CHOOSE(CONTROL!$C$27, 0.0021, 0)</f>
        <v>85.25</v>
      </c>
      <c r="C835" s="10">
        <f>84.8157 * CHOOSE(CONTROL!$C$9, $D$9, 100%, $F$9) + CHOOSE(CONTROL!$C$27, 0.0021, 0)</f>
        <v>84.817800000000005</v>
      </c>
      <c r="D835" s="10">
        <f>84.8157 * CHOOSE(CONTROL!$C$9, $D$9, 100%, $F$9) + CHOOSE(CONTROL!$C$27, 0.0021, 0)</f>
        <v>84.817800000000005</v>
      </c>
      <c r="E835" s="10">
        <f>84.679 * CHOOSE(CONTROL!$C$9, $D$9, 100%, $F$9) + CHOOSE(CONTROL!$C$27, 0.0021, 0)</f>
        <v>84.681100000000001</v>
      </c>
      <c r="F835" s="10">
        <f>84.679 * CHOOSE(CONTROL!$C$9, $D$9, 100%, $F$9) + CHOOSE(CONTROL!$C$27, 0.0021, 0)</f>
        <v>84.681100000000001</v>
      </c>
      <c r="G835" s="10">
        <f>84.9504 * CHOOSE(CONTROL!$C$9, $D$9, 100%, $F$9) + CHOOSE(CONTROL!$C$27, 0.0021, 0)</f>
        <v>84.952500000000001</v>
      </c>
      <c r="H835" s="10">
        <f>84.8157 * CHOOSE(CONTROL!$C$9, $D$9, 100%, $F$9) + CHOOSE(CONTROL!$C$27, 0.0021, 0)</f>
        <v>84.817800000000005</v>
      </c>
      <c r="I835" s="10">
        <f>84.8157 * CHOOSE(CONTROL!$C$9, $D$9, 100%, $F$9) + CHOOSE(CONTROL!$C$27, 0.0021, 0)</f>
        <v>84.817800000000005</v>
      </c>
      <c r="J835" s="10">
        <f>84.8157 * CHOOSE(CONTROL!$C$9, $D$9, 100%, $F$9) + CHOOSE(CONTROL!$C$27, 0.0021, 0)</f>
        <v>84.817800000000005</v>
      </c>
      <c r="K835" s="10">
        <f>84.8157 * CHOOSE(CONTROL!$C$9, $D$9, 100%, $F$9) + CHOOSE(CONTROL!$C$27, 0.0021, 0)</f>
        <v>84.817800000000005</v>
      </c>
      <c r="L835" s="10"/>
    </row>
    <row r="836" spans="1:12" ht="15.75" x14ac:dyDescent="0.25">
      <c r="A836" s="13">
        <v>66384</v>
      </c>
      <c r="B836" s="10">
        <f>86.9348 * CHOOSE(CONTROL!$C$9, $D$9, 100%, $F$9) + CHOOSE(CONTROL!$C$27, 0.0021, 0)</f>
        <v>86.936899999999994</v>
      </c>
      <c r="C836" s="10">
        <f>86.5026 * CHOOSE(CONTROL!$C$9, $D$9, 100%, $F$9) + CHOOSE(CONTROL!$C$27, 0.0021, 0)</f>
        <v>86.5047</v>
      </c>
      <c r="D836" s="10">
        <f>86.5026 * CHOOSE(CONTROL!$C$9, $D$9, 100%, $F$9) + CHOOSE(CONTROL!$C$27, 0.0021, 0)</f>
        <v>86.5047</v>
      </c>
      <c r="E836" s="10">
        <f>86.3659 * CHOOSE(CONTROL!$C$9, $D$9, 100%, $F$9) + CHOOSE(CONTROL!$C$27, 0.0021, 0)</f>
        <v>86.367999999999995</v>
      </c>
      <c r="F836" s="10">
        <f>86.3659 * CHOOSE(CONTROL!$C$9, $D$9, 100%, $F$9) + CHOOSE(CONTROL!$C$27, 0.0021, 0)</f>
        <v>86.367999999999995</v>
      </c>
      <c r="G836" s="10">
        <f>86.6373 * CHOOSE(CONTROL!$C$9, $D$9, 100%, $F$9) + CHOOSE(CONTROL!$C$27, 0.0021, 0)</f>
        <v>86.639399999999995</v>
      </c>
      <c r="H836" s="10">
        <f>86.5026 * CHOOSE(CONTROL!$C$9, $D$9, 100%, $F$9) + CHOOSE(CONTROL!$C$27, 0.0021, 0)</f>
        <v>86.5047</v>
      </c>
      <c r="I836" s="10">
        <f>86.5026 * CHOOSE(CONTROL!$C$9, $D$9, 100%, $F$9) + CHOOSE(CONTROL!$C$27, 0.0021, 0)</f>
        <v>86.5047</v>
      </c>
      <c r="J836" s="10">
        <f>86.5026 * CHOOSE(CONTROL!$C$9, $D$9, 100%, $F$9) + CHOOSE(CONTROL!$C$27, 0.0021, 0)</f>
        <v>86.5047</v>
      </c>
      <c r="K836" s="10">
        <f>86.5026 * CHOOSE(CONTROL!$C$9, $D$9, 100%, $F$9) + CHOOSE(CONTROL!$C$27, 0.0021, 0)</f>
        <v>86.5047</v>
      </c>
      <c r="L836" s="10"/>
    </row>
    <row r="837" spans="1:12" ht="15.75" x14ac:dyDescent="0.25">
      <c r="A837" s="13">
        <v>66415</v>
      </c>
      <c r="B837" s="10">
        <f>89.0702 * CHOOSE(CONTROL!$C$9, $D$9, 100%, $F$9) + CHOOSE(CONTROL!$C$27, 0.0021, 0)</f>
        <v>89.072299999999998</v>
      </c>
      <c r="C837" s="10">
        <f>88.6379 * CHOOSE(CONTROL!$C$9, $D$9, 100%, $F$9) + CHOOSE(CONTROL!$C$27, 0.0021, 0)</f>
        <v>88.64</v>
      </c>
      <c r="D837" s="10">
        <f>88.6379 * CHOOSE(CONTROL!$C$9, $D$9, 100%, $F$9) + CHOOSE(CONTROL!$C$27, 0.0021, 0)</f>
        <v>88.64</v>
      </c>
      <c r="E837" s="10">
        <f>88.5013 * CHOOSE(CONTROL!$C$9, $D$9, 100%, $F$9) + CHOOSE(CONTROL!$C$27, 0.0021, 0)</f>
        <v>88.503399999999999</v>
      </c>
      <c r="F837" s="10">
        <f>88.5013 * CHOOSE(CONTROL!$C$9, $D$9, 100%, $F$9) + CHOOSE(CONTROL!$C$27, 0.0021, 0)</f>
        <v>88.503399999999999</v>
      </c>
      <c r="G837" s="10">
        <f>88.7726 * CHOOSE(CONTROL!$C$9, $D$9, 100%, $F$9) + CHOOSE(CONTROL!$C$27, 0.0021, 0)</f>
        <v>88.774699999999996</v>
      </c>
      <c r="H837" s="10">
        <f>88.6379 * CHOOSE(CONTROL!$C$9, $D$9, 100%, $F$9) + CHOOSE(CONTROL!$C$27, 0.0021, 0)</f>
        <v>88.64</v>
      </c>
      <c r="I837" s="10">
        <f>88.6379 * CHOOSE(CONTROL!$C$9, $D$9, 100%, $F$9) + CHOOSE(CONTROL!$C$27, 0.0021, 0)</f>
        <v>88.64</v>
      </c>
      <c r="J837" s="10">
        <f>88.6379 * CHOOSE(CONTROL!$C$9, $D$9, 100%, $F$9) + CHOOSE(CONTROL!$C$27, 0.0021, 0)</f>
        <v>88.64</v>
      </c>
      <c r="K837" s="10">
        <f>88.6379 * CHOOSE(CONTROL!$C$9, $D$9, 100%, $F$9) + CHOOSE(CONTROL!$C$27, 0.0021, 0)</f>
        <v>88.64</v>
      </c>
      <c r="L837" s="10"/>
    </row>
    <row r="838" spans="1:12" ht="15.75" x14ac:dyDescent="0.25">
      <c r="A838" s="13">
        <v>66445</v>
      </c>
      <c r="B838" s="10">
        <f>89.2706 * CHOOSE(CONTROL!$C$9, $D$9, 100%, $F$9) + CHOOSE(CONTROL!$C$27, 0.0021, 0)</f>
        <v>89.2727</v>
      </c>
      <c r="C838" s="10">
        <f>88.8384 * CHOOSE(CONTROL!$C$9, $D$9, 100%, $F$9) + CHOOSE(CONTROL!$C$27, 0.0021, 0)</f>
        <v>88.840499999999992</v>
      </c>
      <c r="D838" s="10">
        <f>88.8384 * CHOOSE(CONTROL!$C$9, $D$9, 100%, $F$9) + CHOOSE(CONTROL!$C$27, 0.0021, 0)</f>
        <v>88.840499999999992</v>
      </c>
      <c r="E838" s="10">
        <f>88.7017 * CHOOSE(CONTROL!$C$9, $D$9, 100%, $F$9) + CHOOSE(CONTROL!$C$27, 0.0021, 0)</f>
        <v>88.703800000000001</v>
      </c>
      <c r="F838" s="10">
        <f>88.7017 * CHOOSE(CONTROL!$C$9, $D$9, 100%, $F$9) + CHOOSE(CONTROL!$C$27, 0.0021, 0)</f>
        <v>88.703800000000001</v>
      </c>
      <c r="G838" s="10">
        <f>88.9731 * CHOOSE(CONTROL!$C$9, $D$9, 100%, $F$9) + CHOOSE(CONTROL!$C$27, 0.0021, 0)</f>
        <v>88.975200000000001</v>
      </c>
      <c r="H838" s="10">
        <f>88.8384 * CHOOSE(CONTROL!$C$9, $D$9, 100%, $F$9) + CHOOSE(CONTROL!$C$27, 0.0021, 0)</f>
        <v>88.840499999999992</v>
      </c>
      <c r="I838" s="10">
        <f>88.8384 * CHOOSE(CONTROL!$C$9, $D$9, 100%, $F$9) + CHOOSE(CONTROL!$C$27, 0.0021, 0)</f>
        <v>88.840499999999992</v>
      </c>
      <c r="J838" s="10">
        <f>88.8384 * CHOOSE(CONTROL!$C$9, $D$9, 100%, $F$9) + CHOOSE(CONTROL!$C$27, 0.0021, 0)</f>
        <v>88.840499999999992</v>
      </c>
      <c r="K838" s="10">
        <f>88.8384 * CHOOSE(CONTROL!$C$9, $D$9, 100%, $F$9) + CHOOSE(CONTROL!$C$27, 0.0021, 0)</f>
        <v>88.840499999999992</v>
      </c>
      <c r="L838" s="10"/>
    </row>
    <row r="839" spans="1:12" ht="15.75" x14ac:dyDescent="0.25">
      <c r="A839" s="13">
        <v>66476</v>
      </c>
      <c r="B839" s="10">
        <f>87.5652 * CHOOSE(CONTROL!$C$9, $D$9, 100%, $F$9) + CHOOSE(CONTROL!$C$27, 0.0021, 0)</f>
        <v>87.567300000000003</v>
      </c>
      <c r="C839" s="10">
        <f>87.1329 * CHOOSE(CONTROL!$C$9, $D$9, 100%, $F$9) + CHOOSE(CONTROL!$C$27, 0.0021, 0)</f>
        <v>87.135000000000005</v>
      </c>
      <c r="D839" s="10">
        <f>87.1329 * CHOOSE(CONTROL!$C$9, $D$9, 100%, $F$9) + CHOOSE(CONTROL!$C$27, 0.0021, 0)</f>
        <v>87.135000000000005</v>
      </c>
      <c r="E839" s="10">
        <f>86.9963 * CHOOSE(CONTROL!$C$9, $D$9, 100%, $F$9) + CHOOSE(CONTROL!$C$27, 0.0021, 0)</f>
        <v>86.998400000000004</v>
      </c>
      <c r="F839" s="10">
        <f>86.9963 * CHOOSE(CONTROL!$C$9, $D$9, 100%, $F$9) + CHOOSE(CONTROL!$C$27, 0.0021, 0)</f>
        <v>86.998400000000004</v>
      </c>
      <c r="G839" s="10">
        <f>87.2676 * CHOOSE(CONTROL!$C$9, $D$9, 100%, $F$9) + CHOOSE(CONTROL!$C$27, 0.0021, 0)</f>
        <v>87.2697</v>
      </c>
      <c r="H839" s="10">
        <f>87.1329 * CHOOSE(CONTROL!$C$9, $D$9, 100%, $F$9) + CHOOSE(CONTROL!$C$27, 0.0021, 0)</f>
        <v>87.135000000000005</v>
      </c>
      <c r="I839" s="10">
        <f>87.1329 * CHOOSE(CONTROL!$C$9, $D$9, 100%, $F$9) + CHOOSE(CONTROL!$C$27, 0.0021, 0)</f>
        <v>87.135000000000005</v>
      </c>
      <c r="J839" s="10">
        <f>87.1329 * CHOOSE(CONTROL!$C$9, $D$9, 100%, $F$9) + CHOOSE(CONTROL!$C$27, 0.0021, 0)</f>
        <v>87.135000000000005</v>
      </c>
      <c r="K839" s="10">
        <f>87.1329 * CHOOSE(CONTROL!$C$9, $D$9, 100%, $F$9) + CHOOSE(CONTROL!$C$27, 0.0021, 0)</f>
        <v>87.135000000000005</v>
      </c>
      <c r="L839" s="10"/>
    </row>
    <row r="840" spans="1:12" ht="15.75" x14ac:dyDescent="0.25">
      <c r="A840" s="13">
        <v>66507</v>
      </c>
      <c r="B840" s="10">
        <f>86.4479 * CHOOSE(CONTROL!$C$9, $D$9, 100%, $F$9) + CHOOSE(CONTROL!$C$27, 0.0021, 0)</f>
        <v>86.45</v>
      </c>
      <c r="C840" s="10">
        <f>86.0157 * CHOOSE(CONTROL!$C$9, $D$9, 100%, $F$9) + CHOOSE(CONTROL!$C$27, 0.0021, 0)</f>
        <v>86.017799999999994</v>
      </c>
      <c r="D840" s="10">
        <f>86.0157 * CHOOSE(CONTROL!$C$9, $D$9, 100%, $F$9) + CHOOSE(CONTROL!$C$27, 0.0021, 0)</f>
        <v>86.017799999999994</v>
      </c>
      <c r="E840" s="10">
        <f>85.879 * CHOOSE(CONTROL!$C$9, $D$9, 100%, $F$9) + CHOOSE(CONTROL!$C$27, 0.0021, 0)</f>
        <v>85.881100000000004</v>
      </c>
      <c r="F840" s="10">
        <f>85.879 * CHOOSE(CONTROL!$C$9, $D$9, 100%, $F$9) + CHOOSE(CONTROL!$C$27, 0.0021, 0)</f>
        <v>85.881100000000004</v>
      </c>
      <c r="G840" s="10">
        <f>86.1504 * CHOOSE(CONTROL!$C$9, $D$9, 100%, $F$9) + CHOOSE(CONTROL!$C$27, 0.0021, 0)</f>
        <v>86.152500000000003</v>
      </c>
      <c r="H840" s="10">
        <f>86.0157 * CHOOSE(CONTROL!$C$9, $D$9, 100%, $F$9) + CHOOSE(CONTROL!$C$27, 0.0021, 0)</f>
        <v>86.017799999999994</v>
      </c>
      <c r="I840" s="10">
        <f>86.0157 * CHOOSE(CONTROL!$C$9, $D$9, 100%, $F$9) + CHOOSE(CONTROL!$C$27, 0.0021, 0)</f>
        <v>86.017799999999994</v>
      </c>
      <c r="J840" s="10">
        <f>86.0157 * CHOOSE(CONTROL!$C$9, $D$9, 100%, $F$9) + CHOOSE(CONTROL!$C$27, 0.0021, 0)</f>
        <v>86.017799999999994</v>
      </c>
      <c r="K840" s="10">
        <f>86.0157 * CHOOSE(CONTROL!$C$9, $D$9, 100%, $F$9) + CHOOSE(CONTROL!$C$27, 0.0021, 0)</f>
        <v>86.017799999999994</v>
      </c>
      <c r="L840" s="10"/>
    </row>
    <row r="841" spans="1:12" ht="15.75" x14ac:dyDescent="0.25">
      <c r="A841" s="13">
        <v>66535</v>
      </c>
      <c r="B841" s="10">
        <f>84.0675 * CHOOSE(CONTROL!$C$9, $D$9, 100%, $F$9) + CHOOSE(CONTROL!$C$27, 0.0021, 0)</f>
        <v>84.069599999999994</v>
      </c>
      <c r="C841" s="10">
        <f>83.6353 * CHOOSE(CONTROL!$C$9, $D$9, 100%, $F$9) + CHOOSE(CONTROL!$C$27, 0.0021, 0)</f>
        <v>83.6374</v>
      </c>
      <c r="D841" s="10">
        <f>83.6353 * CHOOSE(CONTROL!$C$9, $D$9, 100%, $F$9) + CHOOSE(CONTROL!$C$27, 0.0021, 0)</f>
        <v>83.6374</v>
      </c>
      <c r="E841" s="10">
        <f>83.4986 * CHOOSE(CONTROL!$C$9, $D$9, 100%, $F$9) + CHOOSE(CONTROL!$C$27, 0.0021, 0)</f>
        <v>83.500699999999995</v>
      </c>
      <c r="F841" s="10">
        <f>83.4986 * CHOOSE(CONTROL!$C$9, $D$9, 100%, $F$9) + CHOOSE(CONTROL!$C$27, 0.0021, 0)</f>
        <v>83.500699999999995</v>
      </c>
      <c r="G841" s="10">
        <f>83.77 * CHOOSE(CONTROL!$C$9, $D$9, 100%, $F$9) + CHOOSE(CONTROL!$C$27, 0.0021, 0)</f>
        <v>83.772099999999995</v>
      </c>
      <c r="H841" s="10">
        <f>83.6353 * CHOOSE(CONTROL!$C$9, $D$9, 100%, $F$9) + CHOOSE(CONTROL!$C$27, 0.0021, 0)</f>
        <v>83.6374</v>
      </c>
      <c r="I841" s="10">
        <f>83.6353 * CHOOSE(CONTROL!$C$9, $D$9, 100%, $F$9) + CHOOSE(CONTROL!$C$27, 0.0021, 0)</f>
        <v>83.6374</v>
      </c>
      <c r="J841" s="10">
        <f>83.6353 * CHOOSE(CONTROL!$C$9, $D$9, 100%, $F$9) + CHOOSE(CONTROL!$C$27, 0.0021, 0)</f>
        <v>83.6374</v>
      </c>
      <c r="K841" s="10">
        <f>83.6353 * CHOOSE(CONTROL!$C$9, $D$9, 100%, $F$9) + CHOOSE(CONTROL!$C$27, 0.0021, 0)</f>
        <v>83.6374</v>
      </c>
      <c r="L841" s="10"/>
    </row>
    <row r="842" spans="1:12" ht="15.75" x14ac:dyDescent="0.25">
      <c r="A842" s="13">
        <v>66566</v>
      </c>
      <c r="B842" s="10">
        <f>83.0849 * CHOOSE(CONTROL!$C$9, $D$9, 100%, $F$9) + CHOOSE(CONTROL!$C$27, 0.0021, 0)</f>
        <v>83.087000000000003</v>
      </c>
      <c r="C842" s="10">
        <f>82.6527 * CHOOSE(CONTROL!$C$9, $D$9, 100%, $F$9) + CHOOSE(CONTROL!$C$27, 0.0021, 0)</f>
        <v>82.654799999999994</v>
      </c>
      <c r="D842" s="10">
        <f>82.6527 * CHOOSE(CONTROL!$C$9, $D$9, 100%, $F$9) + CHOOSE(CONTROL!$C$27, 0.0021, 0)</f>
        <v>82.654799999999994</v>
      </c>
      <c r="E842" s="10">
        <f>82.516 * CHOOSE(CONTROL!$C$9, $D$9, 100%, $F$9) + CHOOSE(CONTROL!$C$27, 0.0021, 0)</f>
        <v>82.518100000000004</v>
      </c>
      <c r="F842" s="10">
        <f>82.516 * CHOOSE(CONTROL!$C$9, $D$9, 100%, $F$9) + CHOOSE(CONTROL!$C$27, 0.0021, 0)</f>
        <v>82.518100000000004</v>
      </c>
      <c r="G842" s="10">
        <f>82.7874 * CHOOSE(CONTROL!$C$9, $D$9, 100%, $F$9) + CHOOSE(CONTROL!$C$27, 0.0021, 0)</f>
        <v>82.789500000000004</v>
      </c>
      <c r="H842" s="10">
        <f>82.6527 * CHOOSE(CONTROL!$C$9, $D$9, 100%, $F$9) + CHOOSE(CONTROL!$C$27, 0.0021, 0)</f>
        <v>82.654799999999994</v>
      </c>
      <c r="I842" s="10">
        <f>82.6527 * CHOOSE(CONTROL!$C$9, $D$9, 100%, $F$9) + CHOOSE(CONTROL!$C$27, 0.0021, 0)</f>
        <v>82.654799999999994</v>
      </c>
      <c r="J842" s="10">
        <f>82.6527 * CHOOSE(CONTROL!$C$9, $D$9, 100%, $F$9) + CHOOSE(CONTROL!$C$27, 0.0021, 0)</f>
        <v>82.654799999999994</v>
      </c>
      <c r="K842" s="10">
        <f>82.6527 * CHOOSE(CONTROL!$C$9, $D$9, 100%, $F$9) + CHOOSE(CONTROL!$C$27, 0.0021, 0)</f>
        <v>82.654799999999994</v>
      </c>
      <c r="L842" s="10"/>
    </row>
    <row r="843" spans="1:12" ht="15.75" x14ac:dyDescent="0.25">
      <c r="A843" s="13">
        <v>66596</v>
      </c>
      <c r="B843" s="10">
        <f>81.9117 * CHOOSE(CONTROL!$C$9, $D$9, 100%, $F$9) + CHOOSE(CONTROL!$C$27, 0.0021, 0)</f>
        <v>81.913799999999995</v>
      </c>
      <c r="C843" s="10">
        <f>81.4794 * CHOOSE(CONTROL!$C$9, $D$9, 100%, $F$9) + CHOOSE(CONTROL!$C$27, 0.0021, 0)</f>
        <v>81.481499999999997</v>
      </c>
      <c r="D843" s="10">
        <f>81.4794 * CHOOSE(CONTROL!$C$9, $D$9, 100%, $F$9) + CHOOSE(CONTROL!$C$27, 0.0021, 0)</f>
        <v>81.481499999999997</v>
      </c>
      <c r="E843" s="10">
        <f>81.3428 * CHOOSE(CONTROL!$C$9, $D$9, 100%, $F$9) + CHOOSE(CONTROL!$C$27, 0.0021, 0)</f>
        <v>81.344899999999996</v>
      </c>
      <c r="F843" s="10">
        <f>81.3428 * CHOOSE(CONTROL!$C$9, $D$9, 100%, $F$9) + CHOOSE(CONTROL!$C$27, 0.0021, 0)</f>
        <v>81.344899999999996</v>
      </c>
      <c r="G843" s="10">
        <f>81.6141 * CHOOSE(CONTROL!$C$9, $D$9, 100%, $F$9) + CHOOSE(CONTROL!$C$27, 0.0021, 0)</f>
        <v>81.616199999999992</v>
      </c>
      <c r="H843" s="10">
        <f>81.4794 * CHOOSE(CONTROL!$C$9, $D$9, 100%, $F$9) + CHOOSE(CONTROL!$C$27, 0.0021, 0)</f>
        <v>81.481499999999997</v>
      </c>
      <c r="I843" s="10">
        <f>81.4794 * CHOOSE(CONTROL!$C$9, $D$9, 100%, $F$9) + CHOOSE(CONTROL!$C$27, 0.0021, 0)</f>
        <v>81.481499999999997</v>
      </c>
      <c r="J843" s="10">
        <f>81.4794 * CHOOSE(CONTROL!$C$9, $D$9, 100%, $F$9) + CHOOSE(CONTROL!$C$27, 0.0021, 0)</f>
        <v>81.481499999999997</v>
      </c>
      <c r="K843" s="10">
        <f>81.4794 * CHOOSE(CONTROL!$C$9, $D$9, 100%, $F$9) + CHOOSE(CONTROL!$C$27, 0.0021, 0)</f>
        <v>81.481499999999997</v>
      </c>
      <c r="L843" s="10"/>
    </row>
    <row r="844" spans="1:12" ht="15.75" x14ac:dyDescent="0.25">
      <c r="A844" s="13">
        <v>66627</v>
      </c>
      <c r="B844" s="10">
        <f>83.5837 * CHOOSE(CONTROL!$C$9, $D$9, 100%, $F$9) + CHOOSE(CONTROL!$C$27, 0.0021, 0)</f>
        <v>83.585799999999992</v>
      </c>
      <c r="C844" s="10">
        <f>83.1515 * CHOOSE(CONTROL!$C$9, $D$9, 100%, $F$9) + CHOOSE(CONTROL!$C$27, 0.0021, 0)</f>
        <v>83.153599999999997</v>
      </c>
      <c r="D844" s="10">
        <f>83.1515 * CHOOSE(CONTROL!$C$9, $D$9, 100%, $F$9) + CHOOSE(CONTROL!$C$27, 0.0021, 0)</f>
        <v>83.153599999999997</v>
      </c>
      <c r="E844" s="10">
        <f>83.0148 * CHOOSE(CONTROL!$C$9, $D$9, 100%, $F$9) + CHOOSE(CONTROL!$C$27, 0.0021, 0)</f>
        <v>83.016899999999993</v>
      </c>
      <c r="F844" s="10">
        <f>83.0148 * CHOOSE(CONTROL!$C$9, $D$9, 100%, $F$9) + CHOOSE(CONTROL!$C$27, 0.0021, 0)</f>
        <v>83.016899999999993</v>
      </c>
      <c r="G844" s="10">
        <f>83.2862 * CHOOSE(CONTROL!$C$9, $D$9, 100%, $F$9) + CHOOSE(CONTROL!$C$27, 0.0021, 0)</f>
        <v>83.288299999999992</v>
      </c>
      <c r="H844" s="10">
        <f>83.1515 * CHOOSE(CONTROL!$C$9, $D$9, 100%, $F$9) + CHOOSE(CONTROL!$C$27, 0.0021, 0)</f>
        <v>83.153599999999997</v>
      </c>
      <c r="I844" s="10">
        <f>83.1515 * CHOOSE(CONTROL!$C$9, $D$9, 100%, $F$9) + CHOOSE(CONTROL!$C$27, 0.0021, 0)</f>
        <v>83.153599999999997</v>
      </c>
      <c r="J844" s="10">
        <f>83.1515 * CHOOSE(CONTROL!$C$9, $D$9, 100%, $F$9) + CHOOSE(CONTROL!$C$27, 0.0021, 0)</f>
        <v>83.153599999999997</v>
      </c>
      <c r="K844" s="10">
        <f>83.1515 * CHOOSE(CONTROL!$C$9, $D$9, 100%, $F$9) + CHOOSE(CONTROL!$C$27, 0.0021, 0)</f>
        <v>83.153599999999997</v>
      </c>
      <c r="L844" s="10"/>
    </row>
    <row r="845" spans="1:12" ht="15.75" x14ac:dyDescent="0.25">
      <c r="A845" s="13">
        <v>66657</v>
      </c>
      <c r="B845" s="10">
        <f>84.5852 * CHOOSE(CONTROL!$C$9, $D$9, 100%, $F$9) + CHOOSE(CONTROL!$C$27, 0.0021, 0)</f>
        <v>84.587299999999999</v>
      </c>
      <c r="C845" s="10">
        <f>84.1529 * CHOOSE(CONTROL!$C$9, $D$9, 100%, $F$9) + CHOOSE(CONTROL!$C$27, 0.0021, 0)</f>
        <v>84.155000000000001</v>
      </c>
      <c r="D845" s="10">
        <f>84.1529 * CHOOSE(CONTROL!$C$9, $D$9, 100%, $F$9) + CHOOSE(CONTROL!$C$27, 0.0021, 0)</f>
        <v>84.155000000000001</v>
      </c>
      <c r="E845" s="10">
        <f>84.0163 * CHOOSE(CONTROL!$C$9, $D$9, 100%, $F$9) + CHOOSE(CONTROL!$C$27, 0.0021, 0)</f>
        <v>84.0184</v>
      </c>
      <c r="F845" s="10">
        <f>84.0163 * CHOOSE(CONTROL!$C$9, $D$9, 100%, $F$9) + CHOOSE(CONTROL!$C$27, 0.0021, 0)</f>
        <v>84.0184</v>
      </c>
      <c r="G845" s="10">
        <f>84.2877 * CHOOSE(CONTROL!$C$9, $D$9, 100%, $F$9) + CHOOSE(CONTROL!$C$27, 0.0021, 0)</f>
        <v>84.2898</v>
      </c>
      <c r="H845" s="10">
        <f>84.1529 * CHOOSE(CONTROL!$C$9, $D$9, 100%, $F$9) + CHOOSE(CONTROL!$C$27, 0.0021, 0)</f>
        <v>84.155000000000001</v>
      </c>
      <c r="I845" s="10">
        <f>84.1529 * CHOOSE(CONTROL!$C$9, $D$9, 100%, $F$9) + CHOOSE(CONTROL!$C$27, 0.0021, 0)</f>
        <v>84.155000000000001</v>
      </c>
      <c r="J845" s="10">
        <f>84.1529 * CHOOSE(CONTROL!$C$9, $D$9, 100%, $F$9) + CHOOSE(CONTROL!$C$27, 0.0021, 0)</f>
        <v>84.155000000000001</v>
      </c>
      <c r="K845" s="10">
        <f>84.1529 * CHOOSE(CONTROL!$C$9, $D$9, 100%, $F$9) + CHOOSE(CONTROL!$C$27, 0.0021, 0)</f>
        <v>84.155000000000001</v>
      </c>
      <c r="L845" s="10"/>
    </row>
    <row r="846" spans="1:12" ht="15.75" x14ac:dyDescent="0.25">
      <c r="A846" s="13">
        <v>66688</v>
      </c>
      <c r="B846" s="10">
        <f>86.2373 * CHOOSE(CONTROL!$C$9, $D$9, 100%, $F$9) + CHOOSE(CONTROL!$C$27, 0.0021, 0)</f>
        <v>86.239400000000003</v>
      </c>
      <c r="C846" s="10">
        <f>85.805 * CHOOSE(CONTROL!$C$9, $D$9, 100%, $F$9) + CHOOSE(CONTROL!$C$27, 0.0021, 0)</f>
        <v>85.807100000000005</v>
      </c>
      <c r="D846" s="10">
        <f>85.805 * CHOOSE(CONTROL!$C$9, $D$9, 100%, $F$9) + CHOOSE(CONTROL!$C$27, 0.0021, 0)</f>
        <v>85.807100000000005</v>
      </c>
      <c r="E846" s="10">
        <f>85.6684 * CHOOSE(CONTROL!$C$9, $D$9, 100%, $F$9) + CHOOSE(CONTROL!$C$27, 0.0021, 0)</f>
        <v>85.670500000000004</v>
      </c>
      <c r="F846" s="10">
        <f>85.6684 * CHOOSE(CONTROL!$C$9, $D$9, 100%, $F$9) + CHOOSE(CONTROL!$C$27, 0.0021, 0)</f>
        <v>85.670500000000004</v>
      </c>
      <c r="G846" s="10">
        <f>85.9397 * CHOOSE(CONTROL!$C$9, $D$9, 100%, $F$9) + CHOOSE(CONTROL!$C$27, 0.0021, 0)</f>
        <v>85.941800000000001</v>
      </c>
      <c r="H846" s="10">
        <f>85.805 * CHOOSE(CONTROL!$C$9, $D$9, 100%, $F$9) + CHOOSE(CONTROL!$C$27, 0.0021, 0)</f>
        <v>85.807100000000005</v>
      </c>
      <c r="I846" s="10">
        <f>85.805 * CHOOSE(CONTROL!$C$9, $D$9, 100%, $F$9) + CHOOSE(CONTROL!$C$27, 0.0021, 0)</f>
        <v>85.807100000000005</v>
      </c>
      <c r="J846" s="10">
        <f>85.805 * CHOOSE(CONTROL!$C$9, $D$9, 100%, $F$9) + CHOOSE(CONTROL!$C$27, 0.0021, 0)</f>
        <v>85.807100000000005</v>
      </c>
      <c r="K846" s="10">
        <f>85.805 * CHOOSE(CONTROL!$C$9, $D$9, 100%, $F$9) + CHOOSE(CONTROL!$C$27, 0.0021, 0)</f>
        <v>85.807100000000005</v>
      </c>
      <c r="L846" s="10"/>
    </row>
    <row r="847" spans="1:12" ht="15.75" x14ac:dyDescent="0.25">
      <c r="A847" s="13">
        <v>66719</v>
      </c>
      <c r="B847" s="10">
        <f>86.7415 * CHOOSE(CONTROL!$C$9, $D$9, 100%, $F$9) + CHOOSE(CONTROL!$C$27, 0.0021, 0)</f>
        <v>86.743600000000001</v>
      </c>
      <c r="C847" s="10">
        <f>86.3093 * CHOOSE(CONTROL!$C$9, $D$9, 100%, $F$9) + CHOOSE(CONTROL!$C$27, 0.0021, 0)</f>
        <v>86.311399999999992</v>
      </c>
      <c r="D847" s="10">
        <f>86.3093 * CHOOSE(CONTROL!$C$9, $D$9, 100%, $F$9) + CHOOSE(CONTROL!$C$27, 0.0021, 0)</f>
        <v>86.311399999999992</v>
      </c>
      <c r="E847" s="10">
        <f>86.1726 * CHOOSE(CONTROL!$C$9, $D$9, 100%, $F$9) + CHOOSE(CONTROL!$C$27, 0.0021, 0)</f>
        <v>86.174700000000001</v>
      </c>
      <c r="F847" s="10">
        <f>86.1726 * CHOOSE(CONTROL!$C$9, $D$9, 100%, $F$9) + CHOOSE(CONTROL!$C$27, 0.0021, 0)</f>
        <v>86.174700000000001</v>
      </c>
      <c r="G847" s="10">
        <f>86.444 * CHOOSE(CONTROL!$C$9, $D$9, 100%, $F$9) + CHOOSE(CONTROL!$C$27, 0.0021, 0)</f>
        <v>86.446100000000001</v>
      </c>
      <c r="H847" s="10">
        <f>86.3093 * CHOOSE(CONTROL!$C$9, $D$9, 100%, $F$9) + CHOOSE(CONTROL!$C$27, 0.0021, 0)</f>
        <v>86.311399999999992</v>
      </c>
      <c r="I847" s="10">
        <f>86.3093 * CHOOSE(CONTROL!$C$9, $D$9, 100%, $F$9) + CHOOSE(CONTROL!$C$27, 0.0021, 0)</f>
        <v>86.311399999999992</v>
      </c>
      <c r="J847" s="10">
        <f>86.3093 * CHOOSE(CONTROL!$C$9, $D$9, 100%, $F$9) + CHOOSE(CONTROL!$C$27, 0.0021, 0)</f>
        <v>86.311399999999992</v>
      </c>
      <c r="K847" s="10">
        <f>86.3093 * CHOOSE(CONTROL!$C$9, $D$9, 100%, $F$9) + CHOOSE(CONTROL!$C$27, 0.0021, 0)</f>
        <v>86.311399999999992</v>
      </c>
      <c r="L847" s="10"/>
    </row>
    <row r="848" spans="1:12" ht="15.75" x14ac:dyDescent="0.25">
      <c r="A848" s="13">
        <v>66749</v>
      </c>
      <c r="B848" s="10">
        <f>88.4588 * CHOOSE(CONTROL!$C$9, $D$9, 100%, $F$9) + CHOOSE(CONTROL!$C$27, 0.0021, 0)</f>
        <v>88.460899999999995</v>
      </c>
      <c r="C848" s="10">
        <f>88.0266 * CHOOSE(CONTROL!$C$9, $D$9, 100%, $F$9) + CHOOSE(CONTROL!$C$27, 0.0021, 0)</f>
        <v>88.028700000000001</v>
      </c>
      <c r="D848" s="10">
        <f>88.0266 * CHOOSE(CONTROL!$C$9, $D$9, 100%, $F$9) + CHOOSE(CONTROL!$C$27, 0.0021, 0)</f>
        <v>88.028700000000001</v>
      </c>
      <c r="E848" s="10">
        <f>87.8899 * CHOOSE(CONTROL!$C$9, $D$9, 100%, $F$9) + CHOOSE(CONTROL!$C$27, 0.0021, 0)</f>
        <v>87.891999999999996</v>
      </c>
      <c r="F848" s="10">
        <f>87.8899 * CHOOSE(CONTROL!$C$9, $D$9, 100%, $F$9) + CHOOSE(CONTROL!$C$27, 0.0021, 0)</f>
        <v>87.891999999999996</v>
      </c>
      <c r="G848" s="10">
        <f>88.1613 * CHOOSE(CONTROL!$C$9, $D$9, 100%, $F$9) + CHOOSE(CONTROL!$C$27, 0.0021, 0)</f>
        <v>88.163399999999996</v>
      </c>
      <c r="H848" s="10">
        <f>88.0266 * CHOOSE(CONTROL!$C$9, $D$9, 100%, $F$9) + CHOOSE(CONTROL!$C$27, 0.0021, 0)</f>
        <v>88.028700000000001</v>
      </c>
      <c r="I848" s="10">
        <f>88.0266 * CHOOSE(CONTROL!$C$9, $D$9, 100%, $F$9) + CHOOSE(CONTROL!$C$27, 0.0021, 0)</f>
        <v>88.028700000000001</v>
      </c>
      <c r="J848" s="10">
        <f>88.0266 * CHOOSE(CONTROL!$C$9, $D$9, 100%, $F$9) + CHOOSE(CONTROL!$C$27, 0.0021, 0)</f>
        <v>88.028700000000001</v>
      </c>
      <c r="K848" s="10">
        <f>88.0266 * CHOOSE(CONTROL!$C$9, $D$9, 100%, $F$9) + CHOOSE(CONTROL!$C$27, 0.0021, 0)</f>
        <v>88.028700000000001</v>
      </c>
      <c r="L848" s="10"/>
    </row>
    <row r="849" spans="1:12" ht="15.75" x14ac:dyDescent="0.25">
      <c r="A849" s="13">
        <v>66780</v>
      </c>
      <c r="B849" s="10">
        <f>90.6326 * CHOOSE(CONTROL!$C$9, $D$9, 100%, $F$9) + CHOOSE(CONTROL!$C$27, 0.0021, 0)</f>
        <v>90.634699999999995</v>
      </c>
      <c r="C849" s="10">
        <f>90.2003 * CHOOSE(CONTROL!$C$9, $D$9, 100%, $F$9) + CHOOSE(CONTROL!$C$27, 0.0021, 0)</f>
        <v>90.202399999999997</v>
      </c>
      <c r="D849" s="10">
        <f>90.2003 * CHOOSE(CONTROL!$C$9, $D$9, 100%, $F$9) + CHOOSE(CONTROL!$C$27, 0.0021, 0)</f>
        <v>90.202399999999997</v>
      </c>
      <c r="E849" s="10">
        <f>90.0637 * CHOOSE(CONTROL!$C$9, $D$9, 100%, $F$9) + CHOOSE(CONTROL!$C$27, 0.0021, 0)</f>
        <v>90.065799999999996</v>
      </c>
      <c r="F849" s="10">
        <f>90.0637 * CHOOSE(CONTROL!$C$9, $D$9, 100%, $F$9) + CHOOSE(CONTROL!$C$27, 0.0021, 0)</f>
        <v>90.065799999999996</v>
      </c>
      <c r="G849" s="10">
        <f>90.3351 * CHOOSE(CONTROL!$C$9, $D$9, 100%, $F$9) + CHOOSE(CONTROL!$C$27, 0.0021, 0)</f>
        <v>90.337199999999996</v>
      </c>
      <c r="H849" s="10">
        <f>90.2003 * CHOOSE(CONTROL!$C$9, $D$9, 100%, $F$9) + CHOOSE(CONTROL!$C$27, 0.0021, 0)</f>
        <v>90.202399999999997</v>
      </c>
      <c r="I849" s="10">
        <f>90.2003 * CHOOSE(CONTROL!$C$9, $D$9, 100%, $F$9) + CHOOSE(CONTROL!$C$27, 0.0021, 0)</f>
        <v>90.202399999999997</v>
      </c>
      <c r="J849" s="10">
        <f>90.2003 * CHOOSE(CONTROL!$C$9, $D$9, 100%, $F$9) + CHOOSE(CONTROL!$C$27, 0.0021, 0)</f>
        <v>90.202399999999997</v>
      </c>
      <c r="K849" s="10">
        <f>90.2003 * CHOOSE(CONTROL!$C$9, $D$9, 100%, $F$9) + CHOOSE(CONTROL!$C$27, 0.0021, 0)</f>
        <v>90.202399999999997</v>
      </c>
      <c r="L849" s="10"/>
    </row>
    <row r="850" spans="1:12" ht="15.75" x14ac:dyDescent="0.25">
      <c r="A850" s="13">
        <v>66810</v>
      </c>
      <c r="B850" s="10">
        <f>90.8366 * CHOOSE(CONTROL!$C$9, $D$9, 100%, $F$9) + CHOOSE(CONTROL!$C$27, 0.0021, 0)</f>
        <v>90.838700000000003</v>
      </c>
      <c r="C850" s="10">
        <f>90.4044 * CHOOSE(CONTROL!$C$9, $D$9, 100%, $F$9) + CHOOSE(CONTROL!$C$27, 0.0021, 0)</f>
        <v>90.406499999999994</v>
      </c>
      <c r="D850" s="10">
        <f>90.4044 * CHOOSE(CONTROL!$C$9, $D$9, 100%, $F$9) + CHOOSE(CONTROL!$C$27, 0.0021, 0)</f>
        <v>90.406499999999994</v>
      </c>
      <c r="E850" s="10">
        <f>90.2677 * CHOOSE(CONTROL!$C$9, $D$9, 100%, $F$9) + CHOOSE(CONTROL!$C$27, 0.0021, 0)</f>
        <v>90.269800000000004</v>
      </c>
      <c r="F850" s="10">
        <f>90.2677 * CHOOSE(CONTROL!$C$9, $D$9, 100%, $F$9) + CHOOSE(CONTROL!$C$27, 0.0021, 0)</f>
        <v>90.269800000000004</v>
      </c>
      <c r="G850" s="10">
        <f>90.5391 * CHOOSE(CONTROL!$C$9, $D$9, 100%, $F$9) + CHOOSE(CONTROL!$C$27, 0.0021, 0)</f>
        <v>90.541200000000003</v>
      </c>
      <c r="H850" s="10">
        <f>90.4044 * CHOOSE(CONTROL!$C$9, $D$9, 100%, $F$9) + CHOOSE(CONTROL!$C$27, 0.0021, 0)</f>
        <v>90.406499999999994</v>
      </c>
      <c r="I850" s="10">
        <f>90.4044 * CHOOSE(CONTROL!$C$9, $D$9, 100%, $F$9) + CHOOSE(CONTROL!$C$27, 0.0021, 0)</f>
        <v>90.406499999999994</v>
      </c>
      <c r="J850" s="10">
        <f>90.4044 * CHOOSE(CONTROL!$C$9, $D$9, 100%, $F$9) + CHOOSE(CONTROL!$C$27, 0.0021, 0)</f>
        <v>90.406499999999994</v>
      </c>
      <c r="K850" s="10">
        <f>90.4044 * CHOOSE(CONTROL!$C$9, $D$9, 100%, $F$9) + CHOOSE(CONTROL!$C$27, 0.0021, 0)</f>
        <v>90.406499999999994</v>
      </c>
      <c r="L850" s="10"/>
    </row>
    <row r="851" spans="1:12" ht="15.75" x14ac:dyDescent="0.25">
      <c r="A851" s="13">
        <v>66841</v>
      </c>
      <c r="B851" s="10">
        <f>89.1005 * CHOOSE(CONTROL!$C$9, $D$9, 100%, $F$9) + CHOOSE(CONTROL!$C$27, 0.0021, 0)</f>
        <v>89.102599999999995</v>
      </c>
      <c r="C851" s="10">
        <f>88.6683 * CHOOSE(CONTROL!$C$9, $D$9, 100%, $F$9) + CHOOSE(CONTROL!$C$27, 0.0021, 0)</f>
        <v>88.670400000000001</v>
      </c>
      <c r="D851" s="10">
        <f>88.6683 * CHOOSE(CONTROL!$C$9, $D$9, 100%, $F$9) + CHOOSE(CONTROL!$C$27, 0.0021, 0)</f>
        <v>88.670400000000001</v>
      </c>
      <c r="E851" s="10">
        <f>88.5316 * CHOOSE(CONTROL!$C$9, $D$9, 100%, $F$9) + CHOOSE(CONTROL!$C$27, 0.0021, 0)</f>
        <v>88.533699999999996</v>
      </c>
      <c r="F851" s="10">
        <f>88.5316 * CHOOSE(CONTROL!$C$9, $D$9, 100%, $F$9) + CHOOSE(CONTROL!$C$27, 0.0021, 0)</f>
        <v>88.533699999999996</v>
      </c>
      <c r="G851" s="10">
        <f>88.803 * CHOOSE(CONTROL!$C$9, $D$9, 100%, $F$9) + CHOOSE(CONTROL!$C$27, 0.0021, 0)</f>
        <v>88.805099999999996</v>
      </c>
      <c r="H851" s="10">
        <f>88.6683 * CHOOSE(CONTROL!$C$9, $D$9, 100%, $F$9) + CHOOSE(CONTROL!$C$27, 0.0021, 0)</f>
        <v>88.670400000000001</v>
      </c>
      <c r="I851" s="10">
        <f>88.6683 * CHOOSE(CONTROL!$C$9, $D$9, 100%, $F$9) + CHOOSE(CONTROL!$C$27, 0.0021, 0)</f>
        <v>88.670400000000001</v>
      </c>
      <c r="J851" s="10">
        <f>88.6683 * CHOOSE(CONTROL!$C$9, $D$9, 100%, $F$9) + CHOOSE(CONTROL!$C$27, 0.0021, 0)</f>
        <v>88.670400000000001</v>
      </c>
      <c r="K851" s="10">
        <f>88.6683 * CHOOSE(CONTROL!$C$9, $D$9, 100%, $F$9) + CHOOSE(CONTROL!$C$27, 0.0021, 0)</f>
        <v>88.670400000000001</v>
      </c>
      <c r="L851" s="10"/>
    </row>
    <row r="852" spans="1:12" ht="15.75" x14ac:dyDescent="0.25">
      <c r="A852" s="13">
        <v>66872</v>
      </c>
      <c r="B852" s="10">
        <f>87.9631 * CHOOSE(CONTROL!$C$9, $D$9, 100%, $F$9) + CHOOSE(CONTROL!$C$27, 0.0021, 0)</f>
        <v>87.965199999999996</v>
      </c>
      <c r="C852" s="10">
        <f>87.5309 * CHOOSE(CONTROL!$C$9, $D$9, 100%, $F$9) + CHOOSE(CONTROL!$C$27, 0.0021, 0)</f>
        <v>87.533000000000001</v>
      </c>
      <c r="D852" s="10">
        <f>87.5309 * CHOOSE(CONTROL!$C$9, $D$9, 100%, $F$9) + CHOOSE(CONTROL!$C$27, 0.0021, 0)</f>
        <v>87.533000000000001</v>
      </c>
      <c r="E852" s="10">
        <f>87.3942 * CHOOSE(CONTROL!$C$9, $D$9, 100%, $F$9) + CHOOSE(CONTROL!$C$27, 0.0021, 0)</f>
        <v>87.396299999999997</v>
      </c>
      <c r="F852" s="10">
        <f>87.3942 * CHOOSE(CONTROL!$C$9, $D$9, 100%, $F$9) + CHOOSE(CONTROL!$C$27, 0.0021, 0)</f>
        <v>87.396299999999997</v>
      </c>
      <c r="G852" s="10">
        <f>87.6656 * CHOOSE(CONTROL!$C$9, $D$9, 100%, $F$9) + CHOOSE(CONTROL!$C$27, 0.0021, 0)</f>
        <v>87.667699999999996</v>
      </c>
      <c r="H852" s="10">
        <f>87.5309 * CHOOSE(CONTROL!$C$9, $D$9, 100%, $F$9) + CHOOSE(CONTROL!$C$27, 0.0021, 0)</f>
        <v>87.533000000000001</v>
      </c>
      <c r="I852" s="10">
        <f>87.5309 * CHOOSE(CONTROL!$C$9, $D$9, 100%, $F$9) + CHOOSE(CONTROL!$C$27, 0.0021, 0)</f>
        <v>87.533000000000001</v>
      </c>
      <c r="J852" s="10">
        <f>87.5309 * CHOOSE(CONTROL!$C$9, $D$9, 100%, $F$9) + CHOOSE(CONTROL!$C$27, 0.0021, 0)</f>
        <v>87.533000000000001</v>
      </c>
      <c r="K852" s="10">
        <f>87.5309 * CHOOSE(CONTROL!$C$9, $D$9, 100%, $F$9) + CHOOSE(CONTROL!$C$27, 0.0021, 0)</f>
        <v>87.533000000000001</v>
      </c>
      <c r="L852" s="10"/>
    </row>
    <row r="853" spans="1:12" ht="15.75" x14ac:dyDescent="0.25">
      <c r="A853" s="13">
        <v>66900</v>
      </c>
      <c r="B853" s="10">
        <f>85.5399 * CHOOSE(CONTROL!$C$9, $D$9, 100%, $F$9) + CHOOSE(CONTROL!$C$27, 0.0021, 0)</f>
        <v>85.542000000000002</v>
      </c>
      <c r="C853" s="10">
        <f>85.1076 * CHOOSE(CONTROL!$C$9, $D$9, 100%, $F$9) + CHOOSE(CONTROL!$C$27, 0.0021, 0)</f>
        <v>85.109700000000004</v>
      </c>
      <c r="D853" s="10">
        <f>85.1076 * CHOOSE(CONTROL!$C$9, $D$9, 100%, $F$9) + CHOOSE(CONTROL!$C$27, 0.0021, 0)</f>
        <v>85.109700000000004</v>
      </c>
      <c r="E853" s="10">
        <f>84.971 * CHOOSE(CONTROL!$C$9, $D$9, 100%, $F$9) + CHOOSE(CONTROL!$C$27, 0.0021, 0)</f>
        <v>84.973100000000002</v>
      </c>
      <c r="F853" s="10">
        <f>84.971 * CHOOSE(CONTROL!$C$9, $D$9, 100%, $F$9) + CHOOSE(CONTROL!$C$27, 0.0021, 0)</f>
        <v>84.973100000000002</v>
      </c>
      <c r="G853" s="10">
        <f>85.2424 * CHOOSE(CONTROL!$C$9, $D$9, 100%, $F$9) + CHOOSE(CONTROL!$C$27, 0.0021, 0)</f>
        <v>85.244500000000002</v>
      </c>
      <c r="H853" s="10">
        <f>85.1076 * CHOOSE(CONTROL!$C$9, $D$9, 100%, $F$9) + CHOOSE(CONTROL!$C$27, 0.0021, 0)</f>
        <v>85.109700000000004</v>
      </c>
      <c r="I853" s="10">
        <f>85.1076 * CHOOSE(CONTROL!$C$9, $D$9, 100%, $F$9) + CHOOSE(CONTROL!$C$27, 0.0021, 0)</f>
        <v>85.109700000000004</v>
      </c>
      <c r="J853" s="10">
        <f>85.1076 * CHOOSE(CONTROL!$C$9, $D$9, 100%, $F$9) + CHOOSE(CONTROL!$C$27, 0.0021, 0)</f>
        <v>85.109700000000004</v>
      </c>
      <c r="K853" s="10">
        <f>85.1076 * CHOOSE(CONTROL!$C$9, $D$9, 100%, $F$9) + CHOOSE(CONTROL!$C$27, 0.0021, 0)</f>
        <v>85.109700000000004</v>
      </c>
      <c r="L853" s="10"/>
    </row>
    <row r="854" spans="1:12" ht="15.75" x14ac:dyDescent="0.25">
      <c r="A854" s="13">
        <v>66931</v>
      </c>
      <c r="B854" s="10">
        <f>84.5396 * CHOOSE(CONTROL!$C$9, $D$9, 100%, $F$9) + CHOOSE(CONTROL!$C$27, 0.0021, 0)</f>
        <v>84.541699999999992</v>
      </c>
      <c r="C854" s="10">
        <f>84.1073 * CHOOSE(CONTROL!$C$9, $D$9, 100%, $F$9) + CHOOSE(CONTROL!$C$27, 0.0021, 0)</f>
        <v>84.109399999999994</v>
      </c>
      <c r="D854" s="10">
        <f>84.1073 * CHOOSE(CONTROL!$C$9, $D$9, 100%, $F$9) + CHOOSE(CONTROL!$C$27, 0.0021, 0)</f>
        <v>84.109399999999994</v>
      </c>
      <c r="E854" s="10">
        <f>83.9707 * CHOOSE(CONTROL!$C$9, $D$9, 100%, $F$9) + CHOOSE(CONTROL!$C$27, 0.0021, 0)</f>
        <v>83.972799999999992</v>
      </c>
      <c r="F854" s="10">
        <f>83.9707 * CHOOSE(CONTROL!$C$9, $D$9, 100%, $F$9) + CHOOSE(CONTROL!$C$27, 0.0021, 0)</f>
        <v>83.972799999999992</v>
      </c>
      <c r="G854" s="10">
        <f>84.2421 * CHOOSE(CONTROL!$C$9, $D$9, 100%, $F$9) + CHOOSE(CONTROL!$C$27, 0.0021, 0)</f>
        <v>84.244199999999992</v>
      </c>
      <c r="H854" s="10">
        <f>84.1073 * CHOOSE(CONTROL!$C$9, $D$9, 100%, $F$9) + CHOOSE(CONTROL!$C$27, 0.0021, 0)</f>
        <v>84.109399999999994</v>
      </c>
      <c r="I854" s="10">
        <f>84.1073 * CHOOSE(CONTROL!$C$9, $D$9, 100%, $F$9) + CHOOSE(CONTROL!$C$27, 0.0021, 0)</f>
        <v>84.109399999999994</v>
      </c>
      <c r="J854" s="10">
        <f>84.1073 * CHOOSE(CONTROL!$C$9, $D$9, 100%, $F$9) + CHOOSE(CONTROL!$C$27, 0.0021, 0)</f>
        <v>84.109399999999994</v>
      </c>
      <c r="K854" s="10">
        <f>84.1073 * CHOOSE(CONTROL!$C$9, $D$9, 100%, $F$9) + CHOOSE(CONTROL!$C$27, 0.0021, 0)</f>
        <v>84.109399999999994</v>
      </c>
      <c r="L854" s="10"/>
    </row>
    <row r="855" spans="1:12" ht="15.75" x14ac:dyDescent="0.25">
      <c r="A855" s="13">
        <v>66961</v>
      </c>
      <c r="B855" s="10">
        <f>83.3452 * CHOOSE(CONTROL!$C$9, $D$9, 100%, $F$9) + CHOOSE(CONTROL!$C$27, 0.0021, 0)</f>
        <v>83.347300000000004</v>
      </c>
      <c r="C855" s="10">
        <f>82.9129 * CHOOSE(CONTROL!$C$9, $D$9, 100%, $F$9) + CHOOSE(CONTROL!$C$27, 0.0021, 0)</f>
        <v>82.914999999999992</v>
      </c>
      <c r="D855" s="10">
        <f>82.9129 * CHOOSE(CONTROL!$C$9, $D$9, 100%, $F$9) + CHOOSE(CONTROL!$C$27, 0.0021, 0)</f>
        <v>82.914999999999992</v>
      </c>
      <c r="E855" s="10">
        <f>82.7763 * CHOOSE(CONTROL!$C$9, $D$9, 100%, $F$9) + CHOOSE(CONTROL!$C$27, 0.0021, 0)</f>
        <v>82.778400000000005</v>
      </c>
      <c r="F855" s="10">
        <f>82.7763 * CHOOSE(CONTROL!$C$9, $D$9, 100%, $F$9) + CHOOSE(CONTROL!$C$27, 0.0021, 0)</f>
        <v>82.778400000000005</v>
      </c>
      <c r="G855" s="10">
        <f>83.0477 * CHOOSE(CONTROL!$C$9, $D$9, 100%, $F$9) + CHOOSE(CONTROL!$C$27, 0.0021, 0)</f>
        <v>83.049800000000005</v>
      </c>
      <c r="H855" s="10">
        <f>82.9129 * CHOOSE(CONTROL!$C$9, $D$9, 100%, $F$9) + CHOOSE(CONTROL!$C$27, 0.0021, 0)</f>
        <v>82.914999999999992</v>
      </c>
      <c r="I855" s="10">
        <f>82.9129 * CHOOSE(CONTROL!$C$9, $D$9, 100%, $F$9) + CHOOSE(CONTROL!$C$27, 0.0021, 0)</f>
        <v>82.914999999999992</v>
      </c>
      <c r="J855" s="10">
        <f>82.9129 * CHOOSE(CONTROL!$C$9, $D$9, 100%, $F$9) + CHOOSE(CONTROL!$C$27, 0.0021, 0)</f>
        <v>82.914999999999992</v>
      </c>
      <c r="K855" s="10">
        <f>82.9129 * CHOOSE(CONTROL!$C$9, $D$9, 100%, $F$9) + CHOOSE(CONTROL!$C$27, 0.0021, 0)</f>
        <v>82.914999999999992</v>
      </c>
      <c r="L855" s="10"/>
    </row>
    <row r="856" spans="1:12" ht="15.75" x14ac:dyDescent="0.25">
      <c r="A856" s="13">
        <v>66992</v>
      </c>
      <c r="B856" s="10">
        <f>85.0473 * CHOOSE(CONTROL!$C$9, $D$9, 100%, $F$9) + CHOOSE(CONTROL!$C$27, 0.0021, 0)</f>
        <v>85.049400000000006</v>
      </c>
      <c r="C856" s="10">
        <f>84.6151 * CHOOSE(CONTROL!$C$9, $D$9, 100%, $F$9) + CHOOSE(CONTROL!$C$27, 0.0021, 0)</f>
        <v>84.617199999999997</v>
      </c>
      <c r="D856" s="10">
        <f>84.6151 * CHOOSE(CONTROL!$C$9, $D$9, 100%, $F$9) + CHOOSE(CONTROL!$C$27, 0.0021, 0)</f>
        <v>84.617199999999997</v>
      </c>
      <c r="E856" s="10">
        <f>84.4784 * CHOOSE(CONTROL!$C$9, $D$9, 100%, $F$9) + CHOOSE(CONTROL!$C$27, 0.0021, 0)</f>
        <v>84.480499999999992</v>
      </c>
      <c r="F856" s="10">
        <f>84.4784 * CHOOSE(CONTROL!$C$9, $D$9, 100%, $F$9) + CHOOSE(CONTROL!$C$27, 0.0021, 0)</f>
        <v>84.480499999999992</v>
      </c>
      <c r="G856" s="10">
        <f>84.7498 * CHOOSE(CONTROL!$C$9, $D$9, 100%, $F$9) + CHOOSE(CONTROL!$C$27, 0.0021, 0)</f>
        <v>84.751899999999992</v>
      </c>
      <c r="H856" s="10">
        <f>84.6151 * CHOOSE(CONTROL!$C$9, $D$9, 100%, $F$9) + CHOOSE(CONTROL!$C$27, 0.0021, 0)</f>
        <v>84.617199999999997</v>
      </c>
      <c r="I856" s="10">
        <f>84.6151 * CHOOSE(CONTROL!$C$9, $D$9, 100%, $F$9) + CHOOSE(CONTROL!$C$27, 0.0021, 0)</f>
        <v>84.617199999999997</v>
      </c>
      <c r="J856" s="10">
        <f>84.6151 * CHOOSE(CONTROL!$C$9, $D$9, 100%, $F$9) + CHOOSE(CONTROL!$C$27, 0.0021, 0)</f>
        <v>84.617199999999997</v>
      </c>
      <c r="K856" s="10">
        <f>84.6151 * CHOOSE(CONTROL!$C$9, $D$9, 100%, $F$9) + CHOOSE(CONTROL!$C$27, 0.0021, 0)</f>
        <v>84.617199999999997</v>
      </c>
      <c r="L856" s="10"/>
    </row>
    <row r="857" spans="1:12" ht="15.75" x14ac:dyDescent="0.25">
      <c r="A857" s="13">
        <v>67022</v>
      </c>
      <c r="B857" s="10">
        <f>86.0669 * CHOOSE(CONTROL!$C$9, $D$9, 100%, $F$9) + CHOOSE(CONTROL!$C$27, 0.0021, 0)</f>
        <v>86.069000000000003</v>
      </c>
      <c r="C857" s="10">
        <f>85.6346 * CHOOSE(CONTROL!$C$9, $D$9, 100%, $F$9) + CHOOSE(CONTROL!$C$27, 0.0021, 0)</f>
        <v>85.636700000000005</v>
      </c>
      <c r="D857" s="10">
        <f>85.6346 * CHOOSE(CONTROL!$C$9, $D$9, 100%, $F$9) + CHOOSE(CONTROL!$C$27, 0.0021, 0)</f>
        <v>85.636700000000005</v>
      </c>
      <c r="E857" s="10">
        <f>85.498 * CHOOSE(CONTROL!$C$9, $D$9, 100%, $F$9) + CHOOSE(CONTROL!$C$27, 0.0021, 0)</f>
        <v>85.500100000000003</v>
      </c>
      <c r="F857" s="10">
        <f>85.498 * CHOOSE(CONTROL!$C$9, $D$9, 100%, $F$9) + CHOOSE(CONTROL!$C$27, 0.0021, 0)</f>
        <v>85.500100000000003</v>
      </c>
      <c r="G857" s="10">
        <f>85.7693 * CHOOSE(CONTROL!$C$9, $D$9, 100%, $F$9) + CHOOSE(CONTROL!$C$27, 0.0021, 0)</f>
        <v>85.7714</v>
      </c>
      <c r="H857" s="10">
        <f>85.6346 * CHOOSE(CONTROL!$C$9, $D$9, 100%, $F$9) + CHOOSE(CONTROL!$C$27, 0.0021, 0)</f>
        <v>85.636700000000005</v>
      </c>
      <c r="I857" s="10">
        <f>85.6346 * CHOOSE(CONTROL!$C$9, $D$9, 100%, $F$9) + CHOOSE(CONTROL!$C$27, 0.0021, 0)</f>
        <v>85.636700000000005</v>
      </c>
      <c r="J857" s="10">
        <f>85.6346 * CHOOSE(CONTROL!$C$9, $D$9, 100%, $F$9) + CHOOSE(CONTROL!$C$27, 0.0021, 0)</f>
        <v>85.636700000000005</v>
      </c>
      <c r="K857" s="10">
        <f>85.6346 * CHOOSE(CONTROL!$C$9, $D$9, 100%, $F$9) + CHOOSE(CONTROL!$C$27, 0.0021, 0)</f>
        <v>85.636700000000005</v>
      </c>
      <c r="L857" s="10"/>
    </row>
    <row r="858" spans="1:12" ht="15.75" x14ac:dyDescent="0.25">
      <c r="A858" s="13">
        <v>67053</v>
      </c>
      <c r="B858" s="10">
        <f>87.7487 * CHOOSE(CONTROL!$C$9, $D$9, 100%, $F$9) + CHOOSE(CONTROL!$C$27, 0.0021, 0)</f>
        <v>87.750799999999998</v>
      </c>
      <c r="C858" s="10">
        <f>87.3164 * CHOOSE(CONTROL!$C$9, $D$9, 100%, $F$9) + CHOOSE(CONTROL!$C$27, 0.0021, 0)</f>
        <v>87.3185</v>
      </c>
      <c r="D858" s="10">
        <f>87.3164 * CHOOSE(CONTROL!$C$9, $D$9, 100%, $F$9) + CHOOSE(CONTROL!$C$27, 0.0021, 0)</f>
        <v>87.3185</v>
      </c>
      <c r="E858" s="10">
        <f>87.1798 * CHOOSE(CONTROL!$C$9, $D$9, 100%, $F$9) + CHOOSE(CONTROL!$C$27, 0.0021, 0)</f>
        <v>87.181899999999999</v>
      </c>
      <c r="F858" s="10">
        <f>87.1798 * CHOOSE(CONTROL!$C$9, $D$9, 100%, $F$9) + CHOOSE(CONTROL!$C$27, 0.0021, 0)</f>
        <v>87.181899999999999</v>
      </c>
      <c r="G858" s="10">
        <f>87.4512 * CHOOSE(CONTROL!$C$9, $D$9, 100%, $F$9) + CHOOSE(CONTROL!$C$27, 0.0021, 0)</f>
        <v>87.453299999999999</v>
      </c>
      <c r="H858" s="10">
        <f>87.3164 * CHOOSE(CONTROL!$C$9, $D$9, 100%, $F$9) + CHOOSE(CONTROL!$C$27, 0.0021, 0)</f>
        <v>87.3185</v>
      </c>
      <c r="I858" s="10">
        <f>87.3164 * CHOOSE(CONTROL!$C$9, $D$9, 100%, $F$9) + CHOOSE(CONTROL!$C$27, 0.0021, 0)</f>
        <v>87.3185</v>
      </c>
      <c r="J858" s="10">
        <f>87.3164 * CHOOSE(CONTROL!$C$9, $D$9, 100%, $F$9) + CHOOSE(CONTROL!$C$27, 0.0021, 0)</f>
        <v>87.3185</v>
      </c>
      <c r="K858" s="10">
        <f>87.3164 * CHOOSE(CONTROL!$C$9, $D$9, 100%, $F$9) + CHOOSE(CONTROL!$C$27, 0.0021, 0)</f>
        <v>87.3185</v>
      </c>
      <c r="L858" s="10"/>
    </row>
    <row r="859" spans="1:12" ht="15.75" x14ac:dyDescent="0.25">
      <c r="A859" s="13">
        <v>67084</v>
      </c>
      <c r="B859" s="10">
        <f>88.262 * CHOOSE(CONTROL!$C$9, $D$9, 100%, $F$9) + CHOOSE(CONTROL!$C$27, 0.0021, 0)</f>
        <v>88.264099999999999</v>
      </c>
      <c r="C859" s="10">
        <f>87.8298 * CHOOSE(CONTROL!$C$9, $D$9, 100%, $F$9) + CHOOSE(CONTROL!$C$27, 0.0021, 0)</f>
        <v>87.831900000000005</v>
      </c>
      <c r="D859" s="10">
        <f>87.8298 * CHOOSE(CONTROL!$C$9, $D$9, 100%, $F$9) + CHOOSE(CONTROL!$C$27, 0.0021, 0)</f>
        <v>87.831900000000005</v>
      </c>
      <c r="E859" s="10">
        <f>87.6931 * CHOOSE(CONTROL!$C$9, $D$9, 100%, $F$9) + CHOOSE(CONTROL!$C$27, 0.0021, 0)</f>
        <v>87.6952</v>
      </c>
      <c r="F859" s="10">
        <f>87.6931 * CHOOSE(CONTROL!$C$9, $D$9, 100%, $F$9) + CHOOSE(CONTROL!$C$27, 0.0021, 0)</f>
        <v>87.6952</v>
      </c>
      <c r="G859" s="10">
        <f>87.9645 * CHOOSE(CONTROL!$C$9, $D$9, 100%, $F$9) + CHOOSE(CONTROL!$C$27, 0.0021, 0)</f>
        <v>87.9666</v>
      </c>
      <c r="H859" s="10">
        <f>87.8298 * CHOOSE(CONTROL!$C$9, $D$9, 100%, $F$9) + CHOOSE(CONTROL!$C$27, 0.0021, 0)</f>
        <v>87.831900000000005</v>
      </c>
      <c r="I859" s="10">
        <f>87.8298 * CHOOSE(CONTROL!$C$9, $D$9, 100%, $F$9) + CHOOSE(CONTROL!$C$27, 0.0021, 0)</f>
        <v>87.831900000000005</v>
      </c>
      <c r="J859" s="10">
        <f>87.8298 * CHOOSE(CONTROL!$C$9, $D$9, 100%, $F$9) + CHOOSE(CONTROL!$C$27, 0.0021, 0)</f>
        <v>87.831900000000005</v>
      </c>
      <c r="K859" s="10">
        <f>87.8298 * CHOOSE(CONTROL!$C$9, $D$9, 100%, $F$9) + CHOOSE(CONTROL!$C$27, 0.0021, 0)</f>
        <v>87.831900000000005</v>
      </c>
      <c r="L859" s="10"/>
    </row>
    <row r="860" spans="1:12" ht="15.75" x14ac:dyDescent="0.25">
      <c r="A860" s="13">
        <v>67114</v>
      </c>
      <c r="B860" s="10">
        <f>90.0102 * CHOOSE(CONTROL!$C$9, $D$9, 100%, $F$9) + CHOOSE(CONTROL!$C$27, 0.0021, 0)</f>
        <v>90.012299999999996</v>
      </c>
      <c r="C860" s="10">
        <f>89.578 * CHOOSE(CONTROL!$C$9, $D$9, 100%, $F$9) + CHOOSE(CONTROL!$C$27, 0.0021, 0)</f>
        <v>89.580100000000002</v>
      </c>
      <c r="D860" s="10">
        <f>89.578 * CHOOSE(CONTROL!$C$9, $D$9, 100%, $F$9) + CHOOSE(CONTROL!$C$27, 0.0021, 0)</f>
        <v>89.580100000000002</v>
      </c>
      <c r="E860" s="10">
        <f>89.4413 * CHOOSE(CONTROL!$C$9, $D$9, 100%, $F$9) + CHOOSE(CONTROL!$C$27, 0.0021, 0)</f>
        <v>89.443399999999997</v>
      </c>
      <c r="F860" s="10">
        <f>89.4413 * CHOOSE(CONTROL!$C$9, $D$9, 100%, $F$9) + CHOOSE(CONTROL!$C$27, 0.0021, 0)</f>
        <v>89.443399999999997</v>
      </c>
      <c r="G860" s="10">
        <f>89.7127 * CHOOSE(CONTROL!$C$9, $D$9, 100%, $F$9) + CHOOSE(CONTROL!$C$27, 0.0021, 0)</f>
        <v>89.714799999999997</v>
      </c>
      <c r="H860" s="10">
        <f>89.578 * CHOOSE(CONTROL!$C$9, $D$9, 100%, $F$9) + CHOOSE(CONTROL!$C$27, 0.0021, 0)</f>
        <v>89.580100000000002</v>
      </c>
      <c r="I860" s="10">
        <f>89.578 * CHOOSE(CONTROL!$C$9, $D$9, 100%, $F$9) + CHOOSE(CONTROL!$C$27, 0.0021, 0)</f>
        <v>89.580100000000002</v>
      </c>
      <c r="J860" s="10">
        <f>89.578 * CHOOSE(CONTROL!$C$9, $D$9, 100%, $F$9) + CHOOSE(CONTROL!$C$27, 0.0021, 0)</f>
        <v>89.580100000000002</v>
      </c>
      <c r="K860" s="10">
        <f>89.578 * CHOOSE(CONTROL!$C$9, $D$9, 100%, $F$9) + CHOOSE(CONTROL!$C$27, 0.0021, 0)</f>
        <v>89.580100000000002</v>
      </c>
      <c r="L860" s="10"/>
    </row>
    <row r="861" spans="1:12" ht="15.75" x14ac:dyDescent="0.25">
      <c r="A861" s="13">
        <v>67145</v>
      </c>
      <c r="B861" s="10">
        <f>92.2231 * CHOOSE(CONTROL!$C$9, $D$9, 100%, $F$9) + CHOOSE(CONTROL!$C$27, 0.0021, 0)</f>
        <v>92.225200000000001</v>
      </c>
      <c r="C861" s="10">
        <f>91.7909 * CHOOSE(CONTROL!$C$9, $D$9, 100%, $F$9) + CHOOSE(CONTROL!$C$27, 0.0021, 0)</f>
        <v>91.792999999999992</v>
      </c>
      <c r="D861" s="10">
        <f>91.7909 * CHOOSE(CONTROL!$C$9, $D$9, 100%, $F$9) + CHOOSE(CONTROL!$C$27, 0.0021, 0)</f>
        <v>91.792999999999992</v>
      </c>
      <c r="E861" s="10">
        <f>91.6542 * CHOOSE(CONTROL!$C$9, $D$9, 100%, $F$9) + CHOOSE(CONTROL!$C$27, 0.0021, 0)</f>
        <v>91.656300000000002</v>
      </c>
      <c r="F861" s="10">
        <f>91.6542 * CHOOSE(CONTROL!$C$9, $D$9, 100%, $F$9) + CHOOSE(CONTROL!$C$27, 0.0021, 0)</f>
        <v>91.656300000000002</v>
      </c>
      <c r="G861" s="10">
        <f>91.9256 * CHOOSE(CONTROL!$C$9, $D$9, 100%, $F$9) + CHOOSE(CONTROL!$C$27, 0.0021, 0)</f>
        <v>91.927700000000002</v>
      </c>
      <c r="H861" s="10">
        <f>91.7909 * CHOOSE(CONTROL!$C$9, $D$9, 100%, $F$9) + CHOOSE(CONTROL!$C$27, 0.0021, 0)</f>
        <v>91.792999999999992</v>
      </c>
      <c r="I861" s="10">
        <f>91.7909 * CHOOSE(CONTROL!$C$9, $D$9, 100%, $F$9) + CHOOSE(CONTROL!$C$27, 0.0021, 0)</f>
        <v>91.792999999999992</v>
      </c>
      <c r="J861" s="10">
        <f>91.7909 * CHOOSE(CONTROL!$C$9, $D$9, 100%, $F$9) + CHOOSE(CONTROL!$C$27, 0.0021, 0)</f>
        <v>91.792999999999992</v>
      </c>
      <c r="K861" s="10">
        <f>91.7909 * CHOOSE(CONTROL!$C$9, $D$9, 100%, $F$9) + CHOOSE(CONTROL!$C$27, 0.0021, 0)</f>
        <v>91.792999999999992</v>
      </c>
      <c r="L861" s="10"/>
    </row>
    <row r="862" spans="1:12" ht="15.75" x14ac:dyDescent="0.25">
      <c r="A862" s="13">
        <v>67175</v>
      </c>
      <c r="B862" s="10">
        <f>92.4309 * CHOOSE(CONTROL!$C$9, $D$9, 100%, $F$9) + CHOOSE(CONTROL!$C$27, 0.0021, 0)</f>
        <v>92.432999999999993</v>
      </c>
      <c r="C862" s="10">
        <f>91.9986 * CHOOSE(CONTROL!$C$9, $D$9, 100%, $F$9) + CHOOSE(CONTROL!$C$27, 0.0021, 0)</f>
        <v>92.000699999999995</v>
      </c>
      <c r="D862" s="10">
        <f>91.9986 * CHOOSE(CONTROL!$C$9, $D$9, 100%, $F$9) + CHOOSE(CONTROL!$C$27, 0.0021, 0)</f>
        <v>92.000699999999995</v>
      </c>
      <c r="E862" s="10">
        <f>91.862 * CHOOSE(CONTROL!$C$9, $D$9, 100%, $F$9) + CHOOSE(CONTROL!$C$27, 0.0021, 0)</f>
        <v>91.864099999999993</v>
      </c>
      <c r="F862" s="10">
        <f>91.862 * CHOOSE(CONTROL!$C$9, $D$9, 100%, $F$9) + CHOOSE(CONTROL!$C$27, 0.0021, 0)</f>
        <v>91.864099999999993</v>
      </c>
      <c r="G862" s="10">
        <f>92.1333 * CHOOSE(CONTROL!$C$9, $D$9, 100%, $F$9) + CHOOSE(CONTROL!$C$27, 0.0021, 0)</f>
        <v>92.135400000000004</v>
      </c>
      <c r="H862" s="10">
        <f>91.9986 * CHOOSE(CONTROL!$C$9, $D$9, 100%, $F$9) + CHOOSE(CONTROL!$C$27, 0.0021, 0)</f>
        <v>92.000699999999995</v>
      </c>
      <c r="I862" s="10">
        <f>91.9986 * CHOOSE(CONTROL!$C$9, $D$9, 100%, $F$9) + CHOOSE(CONTROL!$C$27, 0.0021, 0)</f>
        <v>92.000699999999995</v>
      </c>
      <c r="J862" s="10">
        <f>91.9986 * CHOOSE(CONTROL!$C$9, $D$9, 100%, $F$9) + CHOOSE(CONTROL!$C$27, 0.0021, 0)</f>
        <v>92.000699999999995</v>
      </c>
      <c r="K862" s="10">
        <f>91.9986 * CHOOSE(CONTROL!$C$9, $D$9, 100%, $F$9) + CHOOSE(CONTROL!$C$27, 0.0021, 0)</f>
        <v>92.000699999999995</v>
      </c>
      <c r="L862" s="10"/>
    </row>
    <row r="863" spans="1:12" ht="15.75" x14ac:dyDescent="0.25">
      <c r="A863" s="13">
        <v>67206</v>
      </c>
      <c r="B863" s="10">
        <f>90.6635 * CHOOSE(CONTROL!$C$9, $D$9, 100%, $F$9) + CHOOSE(CONTROL!$C$27, 0.0021, 0)</f>
        <v>90.665599999999998</v>
      </c>
      <c r="C863" s="10">
        <f>90.2312 * CHOOSE(CONTROL!$C$9, $D$9, 100%, $F$9) + CHOOSE(CONTROL!$C$27, 0.0021, 0)</f>
        <v>90.2333</v>
      </c>
      <c r="D863" s="10">
        <f>90.2312 * CHOOSE(CONTROL!$C$9, $D$9, 100%, $F$9) + CHOOSE(CONTROL!$C$27, 0.0021, 0)</f>
        <v>90.2333</v>
      </c>
      <c r="E863" s="10">
        <f>90.0946 * CHOOSE(CONTROL!$C$9, $D$9, 100%, $F$9) + CHOOSE(CONTROL!$C$27, 0.0021, 0)</f>
        <v>90.096699999999998</v>
      </c>
      <c r="F863" s="10">
        <f>90.0946 * CHOOSE(CONTROL!$C$9, $D$9, 100%, $F$9) + CHOOSE(CONTROL!$C$27, 0.0021, 0)</f>
        <v>90.096699999999998</v>
      </c>
      <c r="G863" s="10">
        <f>90.3659 * CHOOSE(CONTROL!$C$9, $D$9, 100%, $F$9) + CHOOSE(CONTROL!$C$27, 0.0021, 0)</f>
        <v>90.367999999999995</v>
      </c>
      <c r="H863" s="10">
        <f>90.2312 * CHOOSE(CONTROL!$C$9, $D$9, 100%, $F$9) + CHOOSE(CONTROL!$C$27, 0.0021, 0)</f>
        <v>90.2333</v>
      </c>
      <c r="I863" s="10">
        <f>90.2312 * CHOOSE(CONTROL!$C$9, $D$9, 100%, $F$9) + CHOOSE(CONTROL!$C$27, 0.0021, 0)</f>
        <v>90.2333</v>
      </c>
      <c r="J863" s="10">
        <f>90.2312 * CHOOSE(CONTROL!$C$9, $D$9, 100%, $F$9) + CHOOSE(CONTROL!$C$27, 0.0021, 0)</f>
        <v>90.2333</v>
      </c>
      <c r="K863" s="10">
        <f>90.2312 * CHOOSE(CONTROL!$C$9, $D$9, 100%, $F$9) + CHOOSE(CONTROL!$C$27, 0.0021, 0)</f>
        <v>90.2333</v>
      </c>
      <c r="L863" s="10"/>
    </row>
    <row r="864" spans="1:12" ht="15.75" x14ac:dyDescent="0.25">
      <c r="A864" s="13">
        <v>67237</v>
      </c>
      <c r="B864" s="10">
        <f>89.5056 * CHOOSE(CONTROL!$C$9, $D$9, 100%, $F$9) + CHOOSE(CONTROL!$C$27, 0.0021, 0)</f>
        <v>89.5077</v>
      </c>
      <c r="C864" s="10">
        <f>89.0734 * CHOOSE(CONTROL!$C$9, $D$9, 100%, $F$9) + CHOOSE(CONTROL!$C$27, 0.0021, 0)</f>
        <v>89.075500000000005</v>
      </c>
      <c r="D864" s="10">
        <f>89.0734 * CHOOSE(CONTROL!$C$9, $D$9, 100%, $F$9) + CHOOSE(CONTROL!$C$27, 0.0021, 0)</f>
        <v>89.075500000000005</v>
      </c>
      <c r="E864" s="10">
        <f>88.9367 * CHOOSE(CONTROL!$C$9, $D$9, 100%, $F$9) + CHOOSE(CONTROL!$C$27, 0.0021, 0)</f>
        <v>88.938800000000001</v>
      </c>
      <c r="F864" s="10">
        <f>88.9367 * CHOOSE(CONTROL!$C$9, $D$9, 100%, $F$9) + CHOOSE(CONTROL!$C$27, 0.0021, 0)</f>
        <v>88.938800000000001</v>
      </c>
      <c r="G864" s="10">
        <f>89.2081 * CHOOSE(CONTROL!$C$9, $D$9, 100%, $F$9) + CHOOSE(CONTROL!$C$27, 0.0021, 0)</f>
        <v>89.2102</v>
      </c>
      <c r="H864" s="10">
        <f>89.0734 * CHOOSE(CONTROL!$C$9, $D$9, 100%, $F$9) + CHOOSE(CONTROL!$C$27, 0.0021, 0)</f>
        <v>89.075500000000005</v>
      </c>
      <c r="I864" s="10">
        <f>89.0734 * CHOOSE(CONTROL!$C$9, $D$9, 100%, $F$9) + CHOOSE(CONTROL!$C$27, 0.0021, 0)</f>
        <v>89.075500000000005</v>
      </c>
      <c r="J864" s="10">
        <f>89.0734 * CHOOSE(CONTROL!$C$9, $D$9, 100%, $F$9) + CHOOSE(CONTROL!$C$27, 0.0021, 0)</f>
        <v>89.075500000000005</v>
      </c>
      <c r="K864" s="10">
        <f>89.0734 * CHOOSE(CONTROL!$C$9, $D$9, 100%, $F$9) + CHOOSE(CONTROL!$C$27, 0.0021, 0)</f>
        <v>89.075500000000005</v>
      </c>
      <c r="L864" s="10"/>
    </row>
    <row r="865" spans="1:12" ht="15.75" x14ac:dyDescent="0.25">
      <c r="A865" s="13">
        <v>67266</v>
      </c>
      <c r="B865" s="10">
        <f>87.0387 * CHOOSE(CONTROL!$C$9, $D$9, 100%, $F$9) + CHOOSE(CONTROL!$C$27, 0.0021, 0)</f>
        <v>87.040800000000004</v>
      </c>
      <c r="C865" s="10">
        <f>86.6065 * CHOOSE(CONTROL!$C$9, $D$9, 100%, $F$9) + CHOOSE(CONTROL!$C$27, 0.0021, 0)</f>
        <v>86.608599999999996</v>
      </c>
      <c r="D865" s="10">
        <f>86.6065 * CHOOSE(CONTROL!$C$9, $D$9, 100%, $F$9) + CHOOSE(CONTROL!$C$27, 0.0021, 0)</f>
        <v>86.608599999999996</v>
      </c>
      <c r="E865" s="10">
        <f>86.4698 * CHOOSE(CONTROL!$C$9, $D$9, 100%, $F$9) + CHOOSE(CONTROL!$C$27, 0.0021, 0)</f>
        <v>86.471900000000005</v>
      </c>
      <c r="F865" s="10">
        <f>86.4698 * CHOOSE(CONTROL!$C$9, $D$9, 100%, $F$9) + CHOOSE(CONTROL!$C$27, 0.0021, 0)</f>
        <v>86.471900000000005</v>
      </c>
      <c r="G865" s="10">
        <f>86.7412 * CHOOSE(CONTROL!$C$9, $D$9, 100%, $F$9) + CHOOSE(CONTROL!$C$27, 0.0021, 0)</f>
        <v>86.743300000000005</v>
      </c>
      <c r="H865" s="10">
        <f>86.6065 * CHOOSE(CONTROL!$C$9, $D$9, 100%, $F$9) + CHOOSE(CONTROL!$C$27, 0.0021, 0)</f>
        <v>86.608599999999996</v>
      </c>
      <c r="I865" s="10">
        <f>86.6065 * CHOOSE(CONTROL!$C$9, $D$9, 100%, $F$9) + CHOOSE(CONTROL!$C$27, 0.0021, 0)</f>
        <v>86.608599999999996</v>
      </c>
      <c r="J865" s="10">
        <f>86.6065 * CHOOSE(CONTROL!$C$9, $D$9, 100%, $F$9) + CHOOSE(CONTROL!$C$27, 0.0021, 0)</f>
        <v>86.608599999999996</v>
      </c>
      <c r="K865" s="10">
        <f>86.6065 * CHOOSE(CONTROL!$C$9, $D$9, 100%, $F$9) + CHOOSE(CONTROL!$C$27, 0.0021, 0)</f>
        <v>86.608599999999996</v>
      </c>
      <c r="L865" s="10"/>
    </row>
    <row r="866" spans="1:12" ht="15.75" x14ac:dyDescent="0.25">
      <c r="A866" s="13">
        <v>67297</v>
      </c>
      <c r="B866" s="10">
        <f>86.0204 * CHOOSE(CONTROL!$C$9, $D$9, 100%, $F$9) + CHOOSE(CONTROL!$C$27, 0.0021, 0)</f>
        <v>86.022499999999994</v>
      </c>
      <c r="C866" s="10">
        <f>85.5882 * CHOOSE(CONTROL!$C$9, $D$9, 100%, $F$9) + CHOOSE(CONTROL!$C$27, 0.0021, 0)</f>
        <v>85.590299999999999</v>
      </c>
      <c r="D866" s="10">
        <f>85.5882 * CHOOSE(CONTROL!$C$9, $D$9, 100%, $F$9) + CHOOSE(CONTROL!$C$27, 0.0021, 0)</f>
        <v>85.590299999999999</v>
      </c>
      <c r="E866" s="10">
        <f>85.4515 * CHOOSE(CONTROL!$C$9, $D$9, 100%, $F$9) + CHOOSE(CONTROL!$C$27, 0.0021, 0)</f>
        <v>85.453599999999994</v>
      </c>
      <c r="F866" s="10">
        <f>85.4515 * CHOOSE(CONTROL!$C$9, $D$9, 100%, $F$9) + CHOOSE(CONTROL!$C$27, 0.0021, 0)</f>
        <v>85.453599999999994</v>
      </c>
      <c r="G866" s="10">
        <f>85.7229 * CHOOSE(CONTROL!$C$9, $D$9, 100%, $F$9) + CHOOSE(CONTROL!$C$27, 0.0021, 0)</f>
        <v>85.724999999999994</v>
      </c>
      <c r="H866" s="10">
        <f>85.5882 * CHOOSE(CONTROL!$C$9, $D$9, 100%, $F$9) + CHOOSE(CONTROL!$C$27, 0.0021, 0)</f>
        <v>85.590299999999999</v>
      </c>
      <c r="I866" s="10">
        <f>85.5882 * CHOOSE(CONTROL!$C$9, $D$9, 100%, $F$9) + CHOOSE(CONTROL!$C$27, 0.0021, 0)</f>
        <v>85.590299999999999</v>
      </c>
      <c r="J866" s="10">
        <f>85.5882 * CHOOSE(CONTROL!$C$9, $D$9, 100%, $F$9) + CHOOSE(CONTROL!$C$27, 0.0021, 0)</f>
        <v>85.590299999999999</v>
      </c>
      <c r="K866" s="10">
        <f>85.5882 * CHOOSE(CONTROL!$C$9, $D$9, 100%, $F$9) + CHOOSE(CONTROL!$C$27, 0.0021, 0)</f>
        <v>85.590299999999999</v>
      </c>
      <c r="L866" s="10"/>
    </row>
    <row r="867" spans="1:12" ht="15.75" x14ac:dyDescent="0.25">
      <c r="A867" s="13">
        <v>67327</v>
      </c>
      <c r="B867" s="10">
        <f>84.8045 * CHOOSE(CONTROL!$C$9, $D$9, 100%, $F$9) + CHOOSE(CONTROL!$C$27, 0.0021, 0)</f>
        <v>84.806600000000003</v>
      </c>
      <c r="C867" s="10">
        <f>84.3723 * CHOOSE(CONTROL!$C$9, $D$9, 100%, $F$9) + CHOOSE(CONTROL!$C$27, 0.0021, 0)</f>
        <v>84.374399999999994</v>
      </c>
      <c r="D867" s="10">
        <f>84.3723 * CHOOSE(CONTROL!$C$9, $D$9, 100%, $F$9) + CHOOSE(CONTROL!$C$27, 0.0021, 0)</f>
        <v>84.374399999999994</v>
      </c>
      <c r="E867" s="10">
        <f>84.2356 * CHOOSE(CONTROL!$C$9, $D$9, 100%, $F$9) + CHOOSE(CONTROL!$C$27, 0.0021, 0)</f>
        <v>84.237700000000004</v>
      </c>
      <c r="F867" s="10">
        <f>84.2356 * CHOOSE(CONTROL!$C$9, $D$9, 100%, $F$9) + CHOOSE(CONTROL!$C$27, 0.0021, 0)</f>
        <v>84.237700000000004</v>
      </c>
      <c r="G867" s="10">
        <f>84.507 * CHOOSE(CONTROL!$C$9, $D$9, 100%, $F$9) + CHOOSE(CONTROL!$C$27, 0.0021, 0)</f>
        <v>84.509100000000004</v>
      </c>
      <c r="H867" s="10">
        <f>84.3723 * CHOOSE(CONTROL!$C$9, $D$9, 100%, $F$9) + CHOOSE(CONTROL!$C$27, 0.0021, 0)</f>
        <v>84.374399999999994</v>
      </c>
      <c r="I867" s="10">
        <f>84.3723 * CHOOSE(CONTROL!$C$9, $D$9, 100%, $F$9) + CHOOSE(CONTROL!$C$27, 0.0021, 0)</f>
        <v>84.374399999999994</v>
      </c>
      <c r="J867" s="10">
        <f>84.3723 * CHOOSE(CONTROL!$C$9, $D$9, 100%, $F$9) + CHOOSE(CONTROL!$C$27, 0.0021, 0)</f>
        <v>84.374399999999994</v>
      </c>
      <c r="K867" s="10">
        <f>84.3723 * CHOOSE(CONTROL!$C$9, $D$9, 100%, $F$9) + CHOOSE(CONTROL!$C$27, 0.0021, 0)</f>
        <v>84.374399999999994</v>
      </c>
      <c r="L867" s="10"/>
    </row>
    <row r="868" spans="1:12" ht="15.75" x14ac:dyDescent="0.25">
      <c r="A868" s="13">
        <v>67358</v>
      </c>
      <c r="B868" s="10">
        <f>86.5373 * CHOOSE(CONTROL!$C$9, $D$9, 100%, $F$9) + CHOOSE(CONTROL!$C$27, 0.0021, 0)</f>
        <v>86.539400000000001</v>
      </c>
      <c r="C868" s="10">
        <f>86.1051 * CHOOSE(CONTROL!$C$9, $D$9, 100%, $F$9) + CHOOSE(CONTROL!$C$27, 0.0021, 0)</f>
        <v>86.107199999999992</v>
      </c>
      <c r="D868" s="10">
        <f>86.1051 * CHOOSE(CONTROL!$C$9, $D$9, 100%, $F$9) + CHOOSE(CONTROL!$C$27, 0.0021, 0)</f>
        <v>86.107199999999992</v>
      </c>
      <c r="E868" s="10">
        <f>85.9684 * CHOOSE(CONTROL!$C$9, $D$9, 100%, $F$9) + CHOOSE(CONTROL!$C$27, 0.0021, 0)</f>
        <v>85.970500000000001</v>
      </c>
      <c r="F868" s="10">
        <f>85.9684 * CHOOSE(CONTROL!$C$9, $D$9, 100%, $F$9) + CHOOSE(CONTROL!$C$27, 0.0021, 0)</f>
        <v>85.970500000000001</v>
      </c>
      <c r="G868" s="10">
        <f>86.2398 * CHOOSE(CONTROL!$C$9, $D$9, 100%, $F$9) + CHOOSE(CONTROL!$C$27, 0.0021, 0)</f>
        <v>86.241900000000001</v>
      </c>
      <c r="H868" s="10">
        <f>86.1051 * CHOOSE(CONTROL!$C$9, $D$9, 100%, $F$9) + CHOOSE(CONTROL!$C$27, 0.0021, 0)</f>
        <v>86.107199999999992</v>
      </c>
      <c r="I868" s="10">
        <f>86.1051 * CHOOSE(CONTROL!$C$9, $D$9, 100%, $F$9) + CHOOSE(CONTROL!$C$27, 0.0021, 0)</f>
        <v>86.107199999999992</v>
      </c>
      <c r="J868" s="10">
        <f>86.1051 * CHOOSE(CONTROL!$C$9, $D$9, 100%, $F$9) + CHOOSE(CONTROL!$C$27, 0.0021, 0)</f>
        <v>86.107199999999992</v>
      </c>
      <c r="K868" s="10">
        <f>86.1051 * CHOOSE(CONTROL!$C$9, $D$9, 100%, $F$9) + CHOOSE(CONTROL!$C$27, 0.0021, 0)</f>
        <v>86.107199999999992</v>
      </c>
      <c r="L868" s="10"/>
    </row>
    <row r="869" spans="1:12" ht="15.75" x14ac:dyDescent="0.25">
      <c r="A869" s="13">
        <v>67388</v>
      </c>
      <c r="B869" s="10">
        <f>87.5752 * CHOOSE(CONTROL!$C$9, $D$9, 100%, $F$9) + CHOOSE(CONTROL!$C$27, 0.0021, 0)</f>
        <v>87.577299999999994</v>
      </c>
      <c r="C869" s="10">
        <f>87.143 * CHOOSE(CONTROL!$C$9, $D$9, 100%, $F$9) + CHOOSE(CONTROL!$C$27, 0.0021, 0)</f>
        <v>87.145099999999999</v>
      </c>
      <c r="D869" s="10">
        <f>87.143 * CHOOSE(CONTROL!$C$9, $D$9, 100%, $F$9) + CHOOSE(CONTROL!$C$27, 0.0021, 0)</f>
        <v>87.145099999999999</v>
      </c>
      <c r="E869" s="10">
        <f>87.0063 * CHOOSE(CONTROL!$C$9, $D$9, 100%, $F$9) + CHOOSE(CONTROL!$C$27, 0.0021, 0)</f>
        <v>87.008399999999995</v>
      </c>
      <c r="F869" s="10">
        <f>87.0063 * CHOOSE(CONTROL!$C$9, $D$9, 100%, $F$9) + CHOOSE(CONTROL!$C$27, 0.0021, 0)</f>
        <v>87.008399999999995</v>
      </c>
      <c r="G869" s="10">
        <f>87.2777 * CHOOSE(CONTROL!$C$9, $D$9, 100%, $F$9) + CHOOSE(CONTROL!$C$27, 0.0021, 0)</f>
        <v>87.279799999999994</v>
      </c>
      <c r="H869" s="10">
        <f>87.143 * CHOOSE(CONTROL!$C$9, $D$9, 100%, $F$9) + CHOOSE(CONTROL!$C$27, 0.0021, 0)</f>
        <v>87.145099999999999</v>
      </c>
      <c r="I869" s="10">
        <f>87.143 * CHOOSE(CONTROL!$C$9, $D$9, 100%, $F$9) + CHOOSE(CONTROL!$C$27, 0.0021, 0)</f>
        <v>87.145099999999999</v>
      </c>
      <c r="J869" s="10">
        <f>87.143 * CHOOSE(CONTROL!$C$9, $D$9, 100%, $F$9) + CHOOSE(CONTROL!$C$27, 0.0021, 0)</f>
        <v>87.145099999999999</v>
      </c>
      <c r="K869" s="10">
        <f>87.143 * CHOOSE(CONTROL!$C$9, $D$9, 100%, $F$9) + CHOOSE(CONTROL!$C$27, 0.0021, 0)</f>
        <v>87.145099999999999</v>
      </c>
      <c r="L869" s="10"/>
    </row>
    <row r="870" spans="1:12" ht="15.75" x14ac:dyDescent="0.25">
      <c r="A870" s="13">
        <v>67419</v>
      </c>
      <c r="B870" s="10">
        <f>89.2873 * CHOOSE(CONTROL!$C$9, $D$9, 100%, $F$9) + CHOOSE(CONTROL!$C$27, 0.0021, 0)</f>
        <v>89.289400000000001</v>
      </c>
      <c r="C870" s="10">
        <f>88.8551 * CHOOSE(CONTROL!$C$9, $D$9, 100%, $F$9) + CHOOSE(CONTROL!$C$27, 0.0021, 0)</f>
        <v>88.857199999999992</v>
      </c>
      <c r="D870" s="10">
        <f>88.8551 * CHOOSE(CONTROL!$C$9, $D$9, 100%, $F$9) + CHOOSE(CONTROL!$C$27, 0.0021, 0)</f>
        <v>88.857199999999992</v>
      </c>
      <c r="E870" s="10">
        <f>88.7184 * CHOOSE(CONTROL!$C$9, $D$9, 100%, $F$9) + CHOOSE(CONTROL!$C$27, 0.0021, 0)</f>
        <v>88.720500000000001</v>
      </c>
      <c r="F870" s="10">
        <f>88.7184 * CHOOSE(CONTROL!$C$9, $D$9, 100%, $F$9) + CHOOSE(CONTROL!$C$27, 0.0021, 0)</f>
        <v>88.720500000000001</v>
      </c>
      <c r="G870" s="10">
        <f>88.9898 * CHOOSE(CONTROL!$C$9, $D$9, 100%, $F$9) + CHOOSE(CONTROL!$C$27, 0.0021, 0)</f>
        <v>88.991900000000001</v>
      </c>
      <c r="H870" s="10">
        <f>88.8551 * CHOOSE(CONTROL!$C$9, $D$9, 100%, $F$9) + CHOOSE(CONTROL!$C$27, 0.0021, 0)</f>
        <v>88.857199999999992</v>
      </c>
      <c r="I870" s="10">
        <f>88.8551 * CHOOSE(CONTROL!$C$9, $D$9, 100%, $F$9) + CHOOSE(CONTROL!$C$27, 0.0021, 0)</f>
        <v>88.857199999999992</v>
      </c>
      <c r="J870" s="10">
        <f>88.8551 * CHOOSE(CONTROL!$C$9, $D$9, 100%, $F$9) + CHOOSE(CONTROL!$C$27, 0.0021, 0)</f>
        <v>88.857199999999992</v>
      </c>
      <c r="K870" s="10">
        <f>88.8551 * CHOOSE(CONTROL!$C$9, $D$9, 100%, $F$9) + CHOOSE(CONTROL!$C$27, 0.0021, 0)</f>
        <v>88.857199999999992</v>
      </c>
      <c r="L870" s="10"/>
    </row>
    <row r="871" spans="1:12" ht="15.75" x14ac:dyDescent="0.25">
      <c r="A871" s="13">
        <v>67450</v>
      </c>
      <c r="B871" s="10">
        <f>89.8099 * CHOOSE(CONTROL!$C$9, $D$9, 100%, $F$9) + CHOOSE(CONTROL!$C$27, 0.0021, 0)</f>
        <v>89.811999999999998</v>
      </c>
      <c r="C871" s="10">
        <f>89.3777 * CHOOSE(CONTROL!$C$9, $D$9, 100%, $F$9) + CHOOSE(CONTROL!$C$27, 0.0021, 0)</f>
        <v>89.379800000000003</v>
      </c>
      <c r="D871" s="10">
        <f>89.3777 * CHOOSE(CONTROL!$C$9, $D$9, 100%, $F$9) + CHOOSE(CONTROL!$C$27, 0.0021, 0)</f>
        <v>89.379800000000003</v>
      </c>
      <c r="E871" s="10">
        <f>89.241 * CHOOSE(CONTROL!$C$9, $D$9, 100%, $F$9) + CHOOSE(CONTROL!$C$27, 0.0021, 0)</f>
        <v>89.243099999999998</v>
      </c>
      <c r="F871" s="10">
        <f>89.241 * CHOOSE(CONTROL!$C$9, $D$9, 100%, $F$9) + CHOOSE(CONTROL!$C$27, 0.0021, 0)</f>
        <v>89.243099999999998</v>
      </c>
      <c r="G871" s="10">
        <f>89.5124 * CHOOSE(CONTROL!$C$9, $D$9, 100%, $F$9) + CHOOSE(CONTROL!$C$27, 0.0021, 0)</f>
        <v>89.514499999999998</v>
      </c>
      <c r="H871" s="10">
        <f>89.3777 * CHOOSE(CONTROL!$C$9, $D$9, 100%, $F$9) + CHOOSE(CONTROL!$C$27, 0.0021, 0)</f>
        <v>89.379800000000003</v>
      </c>
      <c r="I871" s="10">
        <f>89.3777 * CHOOSE(CONTROL!$C$9, $D$9, 100%, $F$9) + CHOOSE(CONTROL!$C$27, 0.0021, 0)</f>
        <v>89.379800000000003</v>
      </c>
      <c r="J871" s="10">
        <f>89.3777 * CHOOSE(CONTROL!$C$9, $D$9, 100%, $F$9) + CHOOSE(CONTROL!$C$27, 0.0021, 0)</f>
        <v>89.379800000000003</v>
      </c>
      <c r="K871" s="10">
        <f>89.3777 * CHOOSE(CONTROL!$C$9, $D$9, 100%, $F$9) + CHOOSE(CONTROL!$C$27, 0.0021, 0)</f>
        <v>89.379800000000003</v>
      </c>
      <c r="L871" s="10"/>
    </row>
    <row r="872" spans="1:12" ht="15.75" x14ac:dyDescent="0.25">
      <c r="A872" s="13">
        <v>67480</v>
      </c>
      <c r="B872" s="10">
        <f>91.5896 * CHOOSE(CONTROL!$C$9, $D$9, 100%, $F$9) + CHOOSE(CONTROL!$C$27, 0.0021, 0)</f>
        <v>91.591700000000003</v>
      </c>
      <c r="C872" s="10">
        <f>91.1573 * CHOOSE(CONTROL!$C$9, $D$9, 100%, $F$9) + CHOOSE(CONTROL!$C$27, 0.0021, 0)</f>
        <v>91.159400000000005</v>
      </c>
      <c r="D872" s="10">
        <f>91.1573 * CHOOSE(CONTROL!$C$9, $D$9, 100%, $F$9) + CHOOSE(CONTROL!$C$27, 0.0021, 0)</f>
        <v>91.159400000000005</v>
      </c>
      <c r="E872" s="10">
        <f>91.0207 * CHOOSE(CONTROL!$C$9, $D$9, 100%, $F$9) + CHOOSE(CONTROL!$C$27, 0.0021, 0)</f>
        <v>91.022800000000004</v>
      </c>
      <c r="F872" s="10">
        <f>91.0207 * CHOOSE(CONTROL!$C$9, $D$9, 100%, $F$9) + CHOOSE(CONTROL!$C$27, 0.0021, 0)</f>
        <v>91.022800000000004</v>
      </c>
      <c r="G872" s="10">
        <f>91.292 * CHOOSE(CONTROL!$C$9, $D$9, 100%, $F$9) + CHOOSE(CONTROL!$C$27, 0.0021, 0)</f>
        <v>91.2941</v>
      </c>
      <c r="H872" s="10">
        <f>91.1573 * CHOOSE(CONTROL!$C$9, $D$9, 100%, $F$9) + CHOOSE(CONTROL!$C$27, 0.0021, 0)</f>
        <v>91.159400000000005</v>
      </c>
      <c r="I872" s="10">
        <f>91.1573 * CHOOSE(CONTROL!$C$9, $D$9, 100%, $F$9) + CHOOSE(CONTROL!$C$27, 0.0021, 0)</f>
        <v>91.159400000000005</v>
      </c>
      <c r="J872" s="10">
        <f>91.1573 * CHOOSE(CONTROL!$C$9, $D$9, 100%, $F$9) + CHOOSE(CONTROL!$C$27, 0.0021, 0)</f>
        <v>91.159400000000005</v>
      </c>
      <c r="K872" s="10">
        <f>91.1573 * CHOOSE(CONTROL!$C$9, $D$9, 100%, $F$9) + CHOOSE(CONTROL!$C$27, 0.0021, 0)</f>
        <v>91.159400000000005</v>
      </c>
      <c r="L872" s="10"/>
    </row>
    <row r="873" spans="1:12" ht="15.75" x14ac:dyDescent="0.25">
      <c r="A873" s="13">
        <v>67511</v>
      </c>
      <c r="B873" s="10">
        <f>93.8423 * CHOOSE(CONTROL!$C$9, $D$9, 100%, $F$9) + CHOOSE(CONTROL!$C$27, 0.0021, 0)</f>
        <v>93.844399999999993</v>
      </c>
      <c r="C873" s="10">
        <f>93.4101 * CHOOSE(CONTROL!$C$9, $D$9, 100%, $F$9) + CHOOSE(CONTROL!$C$27, 0.0021, 0)</f>
        <v>93.412199999999999</v>
      </c>
      <c r="D873" s="10">
        <f>93.4101 * CHOOSE(CONTROL!$C$9, $D$9, 100%, $F$9) + CHOOSE(CONTROL!$C$27, 0.0021, 0)</f>
        <v>93.412199999999999</v>
      </c>
      <c r="E873" s="10">
        <f>93.2734 * CHOOSE(CONTROL!$C$9, $D$9, 100%, $F$9) + CHOOSE(CONTROL!$C$27, 0.0021, 0)</f>
        <v>93.275499999999994</v>
      </c>
      <c r="F873" s="10">
        <f>93.2734 * CHOOSE(CONTROL!$C$9, $D$9, 100%, $F$9) + CHOOSE(CONTROL!$C$27, 0.0021, 0)</f>
        <v>93.275499999999994</v>
      </c>
      <c r="G873" s="10">
        <f>93.5448 * CHOOSE(CONTROL!$C$9, $D$9, 100%, $F$9) + CHOOSE(CONTROL!$C$27, 0.0021, 0)</f>
        <v>93.546899999999994</v>
      </c>
      <c r="H873" s="10">
        <f>93.4101 * CHOOSE(CONTROL!$C$9, $D$9, 100%, $F$9) + CHOOSE(CONTROL!$C$27, 0.0021, 0)</f>
        <v>93.412199999999999</v>
      </c>
      <c r="I873" s="10">
        <f>93.4101 * CHOOSE(CONTROL!$C$9, $D$9, 100%, $F$9) + CHOOSE(CONTROL!$C$27, 0.0021, 0)</f>
        <v>93.412199999999999</v>
      </c>
      <c r="J873" s="10">
        <f>93.4101 * CHOOSE(CONTROL!$C$9, $D$9, 100%, $F$9) + CHOOSE(CONTROL!$C$27, 0.0021, 0)</f>
        <v>93.412199999999999</v>
      </c>
      <c r="K873" s="10">
        <f>93.4101 * CHOOSE(CONTROL!$C$9, $D$9, 100%, $F$9) + CHOOSE(CONTROL!$C$27, 0.0021, 0)</f>
        <v>93.412199999999999</v>
      </c>
      <c r="L873" s="10"/>
    </row>
    <row r="874" spans="1:12" ht="15.75" x14ac:dyDescent="0.25">
      <c r="A874" s="13">
        <v>67541</v>
      </c>
      <c r="B874" s="10">
        <f>94.0538 * CHOOSE(CONTROL!$C$9, $D$9, 100%, $F$9) + CHOOSE(CONTROL!$C$27, 0.0021, 0)</f>
        <v>94.055899999999994</v>
      </c>
      <c r="C874" s="10">
        <f>93.6216 * CHOOSE(CONTROL!$C$9, $D$9, 100%, $F$9) + CHOOSE(CONTROL!$C$27, 0.0021, 0)</f>
        <v>93.623699999999999</v>
      </c>
      <c r="D874" s="10">
        <f>93.6216 * CHOOSE(CONTROL!$C$9, $D$9, 100%, $F$9) + CHOOSE(CONTROL!$C$27, 0.0021, 0)</f>
        <v>93.623699999999999</v>
      </c>
      <c r="E874" s="10">
        <f>93.4849 * CHOOSE(CONTROL!$C$9, $D$9, 100%, $F$9) + CHOOSE(CONTROL!$C$27, 0.0021, 0)</f>
        <v>93.486999999999995</v>
      </c>
      <c r="F874" s="10">
        <f>93.4849 * CHOOSE(CONTROL!$C$9, $D$9, 100%, $F$9) + CHOOSE(CONTROL!$C$27, 0.0021, 0)</f>
        <v>93.486999999999995</v>
      </c>
      <c r="G874" s="10">
        <f>93.7563 * CHOOSE(CONTROL!$C$9, $D$9, 100%, $F$9) + CHOOSE(CONTROL!$C$27, 0.0021, 0)</f>
        <v>93.758399999999995</v>
      </c>
      <c r="H874" s="10">
        <f>93.6216 * CHOOSE(CONTROL!$C$9, $D$9, 100%, $F$9) + CHOOSE(CONTROL!$C$27, 0.0021, 0)</f>
        <v>93.623699999999999</v>
      </c>
      <c r="I874" s="10">
        <f>93.6216 * CHOOSE(CONTROL!$C$9, $D$9, 100%, $F$9) + CHOOSE(CONTROL!$C$27, 0.0021, 0)</f>
        <v>93.623699999999999</v>
      </c>
      <c r="J874" s="10">
        <f>93.6216 * CHOOSE(CONTROL!$C$9, $D$9, 100%, $F$9) + CHOOSE(CONTROL!$C$27, 0.0021, 0)</f>
        <v>93.623699999999999</v>
      </c>
      <c r="K874" s="10">
        <f>93.6216 * CHOOSE(CONTROL!$C$9, $D$9, 100%, $F$9) + CHOOSE(CONTROL!$C$27, 0.0021, 0)</f>
        <v>93.623699999999999</v>
      </c>
      <c r="L874" s="10"/>
    </row>
    <row r="875" spans="1:12" ht="15.75" x14ac:dyDescent="0.25">
      <c r="A875" s="13">
        <v>67572</v>
      </c>
      <c r="B875" s="10">
        <f>92.2546 * CHOOSE(CONTROL!$C$9, $D$9, 100%, $F$9) + CHOOSE(CONTROL!$C$27, 0.0021, 0)</f>
        <v>92.256699999999995</v>
      </c>
      <c r="C875" s="10">
        <f>91.8223 * CHOOSE(CONTROL!$C$9, $D$9, 100%, $F$9) + CHOOSE(CONTROL!$C$27, 0.0021, 0)</f>
        <v>91.824399999999997</v>
      </c>
      <c r="D875" s="10">
        <f>91.8223 * CHOOSE(CONTROL!$C$9, $D$9, 100%, $F$9) + CHOOSE(CONTROL!$C$27, 0.0021, 0)</f>
        <v>91.824399999999997</v>
      </c>
      <c r="E875" s="10">
        <f>91.6857 * CHOOSE(CONTROL!$C$9, $D$9, 100%, $F$9) + CHOOSE(CONTROL!$C$27, 0.0021, 0)</f>
        <v>91.687799999999996</v>
      </c>
      <c r="F875" s="10">
        <f>91.6857 * CHOOSE(CONTROL!$C$9, $D$9, 100%, $F$9) + CHOOSE(CONTROL!$C$27, 0.0021, 0)</f>
        <v>91.687799999999996</v>
      </c>
      <c r="G875" s="10">
        <f>91.957 * CHOOSE(CONTROL!$C$9, $D$9, 100%, $F$9) + CHOOSE(CONTROL!$C$27, 0.0021, 0)</f>
        <v>91.959099999999992</v>
      </c>
      <c r="H875" s="10">
        <f>91.8223 * CHOOSE(CONTROL!$C$9, $D$9, 100%, $F$9) + CHOOSE(CONTROL!$C$27, 0.0021, 0)</f>
        <v>91.824399999999997</v>
      </c>
      <c r="I875" s="10">
        <f>91.8223 * CHOOSE(CONTROL!$C$9, $D$9, 100%, $F$9) + CHOOSE(CONTROL!$C$27, 0.0021, 0)</f>
        <v>91.824399999999997</v>
      </c>
      <c r="J875" s="10">
        <f>91.8223 * CHOOSE(CONTROL!$C$9, $D$9, 100%, $F$9) + CHOOSE(CONTROL!$C$27, 0.0021, 0)</f>
        <v>91.824399999999997</v>
      </c>
      <c r="K875" s="10">
        <f>91.8223 * CHOOSE(CONTROL!$C$9, $D$9, 100%, $F$9) + CHOOSE(CONTROL!$C$27, 0.0021, 0)</f>
        <v>91.824399999999997</v>
      </c>
      <c r="L875" s="10"/>
    </row>
    <row r="876" spans="1:12" ht="15.75" x14ac:dyDescent="0.25">
      <c r="A876" s="13">
        <v>67603</v>
      </c>
      <c r="B876" s="10">
        <f>91.0759 * CHOOSE(CONTROL!$C$9, $D$9, 100%, $F$9) + CHOOSE(CONTROL!$C$27, 0.0021, 0)</f>
        <v>91.078000000000003</v>
      </c>
      <c r="C876" s="10">
        <f>90.6436 * CHOOSE(CONTROL!$C$9, $D$9, 100%, $F$9) + CHOOSE(CONTROL!$C$27, 0.0021, 0)</f>
        <v>90.645700000000005</v>
      </c>
      <c r="D876" s="10">
        <f>90.6436 * CHOOSE(CONTROL!$C$9, $D$9, 100%, $F$9) + CHOOSE(CONTROL!$C$27, 0.0021, 0)</f>
        <v>90.645700000000005</v>
      </c>
      <c r="E876" s="10">
        <f>90.507 * CHOOSE(CONTROL!$C$9, $D$9, 100%, $F$9) + CHOOSE(CONTROL!$C$27, 0.0021, 0)</f>
        <v>90.509100000000004</v>
      </c>
      <c r="F876" s="10">
        <f>90.507 * CHOOSE(CONTROL!$C$9, $D$9, 100%, $F$9) + CHOOSE(CONTROL!$C$27, 0.0021, 0)</f>
        <v>90.509100000000004</v>
      </c>
      <c r="G876" s="10">
        <f>90.7783 * CHOOSE(CONTROL!$C$9, $D$9, 100%, $F$9) + CHOOSE(CONTROL!$C$27, 0.0021, 0)</f>
        <v>90.7804</v>
      </c>
      <c r="H876" s="10">
        <f>90.6436 * CHOOSE(CONTROL!$C$9, $D$9, 100%, $F$9) + CHOOSE(CONTROL!$C$27, 0.0021, 0)</f>
        <v>90.645700000000005</v>
      </c>
      <c r="I876" s="10">
        <f>90.6436 * CHOOSE(CONTROL!$C$9, $D$9, 100%, $F$9) + CHOOSE(CONTROL!$C$27, 0.0021, 0)</f>
        <v>90.645700000000005</v>
      </c>
      <c r="J876" s="10">
        <f>90.6436 * CHOOSE(CONTROL!$C$9, $D$9, 100%, $F$9) + CHOOSE(CONTROL!$C$27, 0.0021, 0)</f>
        <v>90.645700000000005</v>
      </c>
      <c r="K876" s="10">
        <f>90.6436 * CHOOSE(CONTROL!$C$9, $D$9, 100%, $F$9) + CHOOSE(CONTROL!$C$27, 0.0021, 0)</f>
        <v>90.645700000000005</v>
      </c>
      <c r="L876" s="10"/>
    </row>
    <row r="877" spans="1:12" ht="15.75" x14ac:dyDescent="0.25">
      <c r="A877" s="13">
        <v>67631</v>
      </c>
      <c r="B877" s="10">
        <f>88.5646 * CHOOSE(CONTROL!$C$9, $D$9, 100%, $F$9) + CHOOSE(CONTROL!$C$27, 0.0021, 0)</f>
        <v>88.566699999999997</v>
      </c>
      <c r="C877" s="10">
        <f>88.1323 * CHOOSE(CONTROL!$C$9, $D$9, 100%, $F$9) + CHOOSE(CONTROL!$C$27, 0.0021, 0)</f>
        <v>88.134399999999999</v>
      </c>
      <c r="D877" s="10">
        <f>88.1323 * CHOOSE(CONTROL!$C$9, $D$9, 100%, $F$9) + CHOOSE(CONTROL!$C$27, 0.0021, 0)</f>
        <v>88.134399999999999</v>
      </c>
      <c r="E877" s="10">
        <f>87.9957 * CHOOSE(CONTROL!$C$9, $D$9, 100%, $F$9) + CHOOSE(CONTROL!$C$27, 0.0021, 0)</f>
        <v>87.997799999999998</v>
      </c>
      <c r="F877" s="10">
        <f>87.9957 * CHOOSE(CONTROL!$C$9, $D$9, 100%, $F$9) + CHOOSE(CONTROL!$C$27, 0.0021, 0)</f>
        <v>87.997799999999998</v>
      </c>
      <c r="G877" s="10">
        <f>88.2671 * CHOOSE(CONTROL!$C$9, $D$9, 100%, $F$9) + CHOOSE(CONTROL!$C$27, 0.0021, 0)</f>
        <v>88.269199999999998</v>
      </c>
      <c r="H877" s="10">
        <f>88.1323 * CHOOSE(CONTROL!$C$9, $D$9, 100%, $F$9) + CHOOSE(CONTROL!$C$27, 0.0021, 0)</f>
        <v>88.134399999999999</v>
      </c>
      <c r="I877" s="10">
        <f>88.1323 * CHOOSE(CONTROL!$C$9, $D$9, 100%, $F$9) + CHOOSE(CONTROL!$C$27, 0.0021, 0)</f>
        <v>88.134399999999999</v>
      </c>
      <c r="J877" s="10">
        <f>88.1323 * CHOOSE(CONTROL!$C$9, $D$9, 100%, $F$9) + CHOOSE(CONTROL!$C$27, 0.0021, 0)</f>
        <v>88.134399999999999</v>
      </c>
      <c r="K877" s="10">
        <f>88.1323 * CHOOSE(CONTROL!$C$9, $D$9, 100%, $F$9) + CHOOSE(CONTROL!$C$27, 0.0021, 0)</f>
        <v>88.134399999999999</v>
      </c>
      <c r="L877" s="10"/>
    </row>
    <row r="878" spans="1:12" ht="15.75" x14ac:dyDescent="0.25">
      <c r="A878" s="13">
        <v>67662</v>
      </c>
      <c r="B878" s="10">
        <f>87.5279 * CHOOSE(CONTROL!$C$9, $D$9, 100%, $F$9) + CHOOSE(CONTROL!$C$27, 0.0021, 0)</f>
        <v>87.53</v>
      </c>
      <c r="C878" s="10">
        <f>87.0957 * CHOOSE(CONTROL!$C$9, $D$9, 100%, $F$9) + CHOOSE(CONTROL!$C$27, 0.0021, 0)</f>
        <v>87.097799999999992</v>
      </c>
      <c r="D878" s="10">
        <f>87.0957 * CHOOSE(CONTROL!$C$9, $D$9, 100%, $F$9) + CHOOSE(CONTROL!$C$27, 0.0021, 0)</f>
        <v>87.097799999999992</v>
      </c>
      <c r="E878" s="10">
        <f>86.959 * CHOOSE(CONTROL!$C$9, $D$9, 100%, $F$9) + CHOOSE(CONTROL!$C$27, 0.0021, 0)</f>
        <v>86.961100000000002</v>
      </c>
      <c r="F878" s="10">
        <f>86.959 * CHOOSE(CONTROL!$C$9, $D$9, 100%, $F$9) + CHOOSE(CONTROL!$C$27, 0.0021, 0)</f>
        <v>86.961100000000002</v>
      </c>
      <c r="G878" s="10">
        <f>87.2304 * CHOOSE(CONTROL!$C$9, $D$9, 100%, $F$9) + CHOOSE(CONTROL!$C$27, 0.0021, 0)</f>
        <v>87.232500000000002</v>
      </c>
      <c r="H878" s="10">
        <f>87.0957 * CHOOSE(CONTROL!$C$9, $D$9, 100%, $F$9) + CHOOSE(CONTROL!$C$27, 0.0021, 0)</f>
        <v>87.097799999999992</v>
      </c>
      <c r="I878" s="10">
        <f>87.0957 * CHOOSE(CONTROL!$C$9, $D$9, 100%, $F$9) + CHOOSE(CONTROL!$C$27, 0.0021, 0)</f>
        <v>87.097799999999992</v>
      </c>
      <c r="J878" s="10">
        <f>87.0957 * CHOOSE(CONTROL!$C$9, $D$9, 100%, $F$9) + CHOOSE(CONTROL!$C$27, 0.0021, 0)</f>
        <v>87.097799999999992</v>
      </c>
      <c r="K878" s="10">
        <f>87.0957 * CHOOSE(CONTROL!$C$9, $D$9, 100%, $F$9) + CHOOSE(CONTROL!$C$27, 0.0021, 0)</f>
        <v>87.097799999999992</v>
      </c>
      <c r="L878" s="10"/>
    </row>
    <row r="879" spans="1:12" ht="15.75" x14ac:dyDescent="0.25">
      <c r="A879" s="13">
        <v>67692</v>
      </c>
      <c r="B879" s="10">
        <f>86.2902 * CHOOSE(CONTROL!$C$9, $D$9, 100%, $F$9) + CHOOSE(CONTROL!$C$27, 0.0021, 0)</f>
        <v>86.292299999999997</v>
      </c>
      <c r="C879" s="10">
        <f>85.8579 * CHOOSE(CONTROL!$C$9, $D$9, 100%, $F$9) + CHOOSE(CONTROL!$C$27, 0.0021, 0)</f>
        <v>85.86</v>
      </c>
      <c r="D879" s="10">
        <f>85.8579 * CHOOSE(CONTROL!$C$9, $D$9, 100%, $F$9) + CHOOSE(CONTROL!$C$27, 0.0021, 0)</f>
        <v>85.86</v>
      </c>
      <c r="E879" s="10">
        <f>85.7212 * CHOOSE(CONTROL!$C$9, $D$9, 100%, $F$9) + CHOOSE(CONTROL!$C$27, 0.0021, 0)</f>
        <v>85.723299999999995</v>
      </c>
      <c r="F879" s="10">
        <f>85.7212 * CHOOSE(CONTROL!$C$9, $D$9, 100%, $F$9) + CHOOSE(CONTROL!$C$27, 0.0021, 0)</f>
        <v>85.723299999999995</v>
      </c>
      <c r="G879" s="10">
        <f>85.9926 * CHOOSE(CONTROL!$C$9, $D$9, 100%, $F$9) + CHOOSE(CONTROL!$C$27, 0.0021, 0)</f>
        <v>85.994699999999995</v>
      </c>
      <c r="H879" s="10">
        <f>85.8579 * CHOOSE(CONTROL!$C$9, $D$9, 100%, $F$9) + CHOOSE(CONTROL!$C$27, 0.0021, 0)</f>
        <v>85.86</v>
      </c>
      <c r="I879" s="10">
        <f>85.8579 * CHOOSE(CONTROL!$C$9, $D$9, 100%, $F$9) + CHOOSE(CONTROL!$C$27, 0.0021, 0)</f>
        <v>85.86</v>
      </c>
      <c r="J879" s="10">
        <f>85.8579 * CHOOSE(CONTROL!$C$9, $D$9, 100%, $F$9) + CHOOSE(CONTROL!$C$27, 0.0021, 0)</f>
        <v>85.86</v>
      </c>
      <c r="K879" s="10">
        <f>85.8579 * CHOOSE(CONTROL!$C$9, $D$9, 100%, $F$9) + CHOOSE(CONTROL!$C$27, 0.0021, 0)</f>
        <v>85.86</v>
      </c>
      <c r="L879" s="10"/>
    </row>
    <row r="880" spans="1:12" ht="15.75" x14ac:dyDescent="0.25">
      <c r="A880" s="13">
        <v>67723</v>
      </c>
      <c r="B880" s="10">
        <f>88.0541 * CHOOSE(CONTROL!$C$9, $D$9, 100%, $F$9) + CHOOSE(CONTROL!$C$27, 0.0021, 0)</f>
        <v>88.056200000000004</v>
      </c>
      <c r="C880" s="10">
        <f>87.6219 * CHOOSE(CONTROL!$C$9, $D$9, 100%, $F$9) + CHOOSE(CONTROL!$C$27, 0.0021, 0)</f>
        <v>87.623999999999995</v>
      </c>
      <c r="D880" s="10">
        <f>87.6219 * CHOOSE(CONTROL!$C$9, $D$9, 100%, $F$9) + CHOOSE(CONTROL!$C$27, 0.0021, 0)</f>
        <v>87.623999999999995</v>
      </c>
      <c r="E880" s="10">
        <f>87.4852 * CHOOSE(CONTROL!$C$9, $D$9, 100%, $F$9) + CHOOSE(CONTROL!$C$27, 0.0021, 0)</f>
        <v>87.487300000000005</v>
      </c>
      <c r="F880" s="10">
        <f>87.4852 * CHOOSE(CONTROL!$C$9, $D$9, 100%, $F$9) + CHOOSE(CONTROL!$C$27, 0.0021, 0)</f>
        <v>87.487300000000005</v>
      </c>
      <c r="G880" s="10">
        <f>87.7566 * CHOOSE(CONTROL!$C$9, $D$9, 100%, $F$9) + CHOOSE(CONTROL!$C$27, 0.0021, 0)</f>
        <v>87.758700000000005</v>
      </c>
      <c r="H880" s="10">
        <f>87.6219 * CHOOSE(CONTROL!$C$9, $D$9, 100%, $F$9) + CHOOSE(CONTROL!$C$27, 0.0021, 0)</f>
        <v>87.623999999999995</v>
      </c>
      <c r="I880" s="10">
        <f>87.6219 * CHOOSE(CONTROL!$C$9, $D$9, 100%, $F$9) + CHOOSE(CONTROL!$C$27, 0.0021, 0)</f>
        <v>87.623999999999995</v>
      </c>
      <c r="J880" s="10">
        <f>87.6219 * CHOOSE(CONTROL!$C$9, $D$9, 100%, $F$9) + CHOOSE(CONTROL!$C$27, 0.0021, 0)</f>
        <v>87.623999999999995</v>
      </c>
      <c r="K880" s="10">
        <f>87.6219 * CHOOSE(CONTROL!$C$9, $D$9, 100%, $F$9) + CHOOSE(CONTROL!$C$27, 0.0021, 0)</f>
        <v>87.623999999999995</v>
      </c>
      <c r="L880" s="10"/>
    </row>
    <row r="881" spans="1:12" ht="15.75" x14ac:dyDescent="0.25">
      <c r="A881" s="13">
        <v>67753</v>
      </c>
      <c r="B881" s="10">
        <f>89.1107 * CHOOSE(CONTROL!$C$9, $D$9, 100%, $F$9) + CHOOSE(CONTROL!$C$27, 0.0021, 0)</f>
        <v>89.112799999999993</v>
      </c>
      <c r="C881" s="10">
        <f>88.6785 * CHOOSE(CONTROL!$C$9, $D$9, 100%, $F$9) + CHOOSE(CONTROL!$C$27, 0.0021, 0)</f>
        <v>88.680599999999998</v>
      </c>
      <c r="D881" s="10">
        <f>88.6785 * CHOOSE(CONTROL!$C$9, $D$9, 100%, $F$9) + CHOOSE(CONTROL!$C$27, 0.0021, 0)</f>
        <v>88.680599999999998</v>
      </c>
      <c r="E881" s="10">
        <f>88.5418 * CHOOSE(CONTROL!$C$9, $D$9, 100%, $F$9) + CHOOSE(CONTROL!$C$27, 0.0021, 0)</f>
        <v>88.543899999999994</v>
      </c>
      <c r="F881" s="10">
        <f>88.5418 * CHOOSE(CONTROL!$C$9, $D$9, 100%, $F$9) + CHOOSE(CONTROL!$C$27, 0.0021, 0)</f>
        <v>88.543899999999994</v>
      </c>
      <c r="G881" s="10">
        <f>88.8132 * CHOOSE(CONTROL!$C$9, $D$9, 100%, $F$9) + CHOOSE(CONTROL!$C$27, 0.0021, 0)</f>
        <v>88.815299999999993</v>
      </c>
      <c r="H881" s="10">
        <f>88.6785 * CHOOSE(CONTROL!$C$9, $D$9, 100%, $F$9) + CHOOSE(CONTROL!$C$27, 0.0021, 0)</f>
        <v>88.680599999999998</v>
      </c>
      <c r="I881" s="10">
        <f>88.6785 * CHOOSE(CONTROL!$C$9, $D$9, 100%, $F$9) + CHOOSE(CONTROL!$C$27, 0.0021, 0)</f>
        <v>88.680599999999998</v>
      </c>
      <c r="J881" s="10">
        <f>88.6785 * CHOOSE(CONTROL!$C$9, $D$9, 100%, $F$9) + CHOOSE(CONTROL!$C$27, 0.0021, 0)</f>
        <v>88.680599999999998</v>
      </c>
      <c r="K881" s="10">
        <f>88.6785 * CHOOSE(CONTROL!$C$9, $D$9, 100%, $F$9) + CHOOSE(CONTROL!$C$27, 0.0021, 0)</f>
        <v>88.680599999999998</v>
      </c>
      <c r="L881" s="10"/>
    </row>
    <row r="882" spans="1:12" ht="15.75" x14ac:dyDescent="0.25">
      <c r="A882" s="13">
        <v>67784</v>
      </c>
      <c r="B882" s="10">
        <f>90.8536 * CHOOSE(CONTROL!$C$9, $D$9, 100%, $F$9) + CHOOSE(CONTROL!$C$27, 0.0021, 0)</f>
        <v>90.855699999999999</v>
      </c>
      <c r="C882" s="10">
        <f>90.4214 * CHOOSE(CONTROL!$C$9, $D$9, 100%, $F$9) + CHOOSE(CONTROL!$C$27, 0.0021, 0)</f>
        <v>90.423500000000004</v>
      </c>
      <c r="D882" s="10">
        <f>90.4214 * CHOOSE(CONTROL!$C$9, $D$9, 100%, $F$9) + CHOOSE(CONTROL!$C$27, 0.0021, 0)</f>
        <v>90.423500000000004</v>
      </c>
      <c r="E882" s="10">
        <f>90.2847 * CHOOSE(CONTROL!$C$9, $D$9, 100%, $F$9) + CHOOSE(CONTROL!$C$27, 0.0021, 0)</f>
        <v>90.286799999999999</v>
      </c>
      <c r="F882" s="10">
        <f>90.2847 * CHOOSE(CONTROL!$C$9, $D$9, 100%, $F$9) + CHOOSE(CONTROL!$C$27, 0.0021, 0)</f>
        <v>90.286799999999999</v>
      </c>
      <c r="G882" s="10">
        <f>90.5561 * CHOOSE(CONTROL!$C$9, $D$9, 100%, $F$9) + CHOOSE(CONTROL!$C$27, 0.0021, 0)</f>
        <v>90.558199999999999</v>
      </c>
      <c r="H882" s="10">
        <f>90.4214 * CHOOSE(CONTROL!$C$9, $D$9, 100%, $F$9) + CHOOSE(CONTROL!$C$27, 0.0021, 0)</f>
        <v>90.423500000000004</v>
      </c>
      <c r="I882" s="10">
        <f>90.4214 * CHOOSE(CONTROL!$C$9, $D$9, 100%, $F$9) + CHOOSE(CONTROL!$C$27, 0.0021, 0)</f>
        <v>90.423500000000004</v>
      </c>
      <c r="J882" s="10">
        <f>90.4214 * CHOOSE(CONTROL!$C$9, $D$9, 100%, $F$9) + CHOOSE(CONTROL!$C$27, 0.0021, 0)</f>
        <v>90.423500000000004</v>
      </c>
      <c r="K882" s="10">
        <f>90.4214 * CHOOSE(CONTROL!$C$9, $D$9, 100%, $F$9) + CHOOSE(CONTROL!$C$27, 0.0021, 0)</f>
        <v>90.423500000000004</v>
      </c>
      <c r="L882" s="10"/>
    </row>
    <row r="883" spans="1:12" ht="15.75" x14ac:dyDescent="0.25">
      <c r="A883" s="13">
        <v>67815</v>
      </c>
      <c r="B883" s="10">
        <f>91.3856 * CHOOSE(CONTROL!$C$9, $D$9, 100%, $F$9) + CHOOSE(CONTROL!$C$27, 0.0021, 0)</f>
        <v>91.387699999999995</v>
      </c>
      <c r="C883" s="10">
        <f>90.9534 * CHOOSE(CONTROL!$C$9, $D$9, 100%, $F$9) + CHOOSE(CONTROL!$C$27, 0.0021, 0)</f>
        <v>90.955500000000001</v>
      </c>
      <c r="D883" s="10">
        <f>90.9534 * CHOOSE(CONTROL!$C$9, $D$9, 100%, $F$9) + CHOOSE(CONTROL!$C$27, 0.0021, 0)</f>
        <v>90.955500000000001</v>
      </c>
      <c r="E883" s="10">
        <f>90.8167 * CHOOSE(CONTROL!$C$9, $D$9, 100%, $F$9) + CHOOSE(CONTROL!$C$27, 0.0021, 0)</f>
        <v>90.818799999999996</v>
      </c>
      <c r="F883" s="10">
        <f>90.8167 * CHOOSE(CONTROL!$C$9, $D$9, 100%, $F$9) + CHOOSE(CONTROL!$C$27, 0.0021, 0)</f>
        <v>90.818799999999996</v>
      </c>
      <c r="G883" s="10">
        <f>91.0881 * CHOOSE(CONTROL!$C$9, $D$9, 100%, $F$9) + CHOOSE(CONTROL!$C$27, 0.0021, 0)</f>
        <v>91.090199999999996</v>
      </c>
      <c r="H883" s="10">
        <f>90.9534 * CHOOSE(CONTROL!$C$9, $D$9, 100%, $F$9) + CHOOSE(CONTROL!$C$27, 0.0021, 0)</f>
        <v>90.955500000000001</v>
      </c>
      <c r="I883" s="10">
        <f>90.9534 * CHOOSE(CONTROL!$C$9, $D$9, 100%, $F$9) + CHOOSE(CONTROL!$C$27, 0.0021, 0)</f>
        <v>90.955500000000001</v>
      </c>
      <c r="J883" s="10">
        <f>90.9534 * CHOOSE(CONTROL!$C$9, $D$9, 100%, $F$9) + CHOOSE(CONTROL!$C$27, 0.0021, 0)</f>
        <v>90.955500000000001</v>
      </c>
      <c r="K883" s="10">
        <f>90.9534 * CHOOSE(CONTROL!$C$9, $D$9, 100%, $F$9) + CHOOSE(CONTROL!$C$27, 0.0021, 0)</f>
        <v>90.955500000000001</v>
      </c>
      <c r="L883" s="10"/>
    </row>
    <row r="884" spans="1:12" ht="15.75" x14ac:dyDescent="0.25">
      <c r="A884" s="13">
        <v>67845</v>
      </c>
      <c r="B884" s="10">
        <f>93.1974 * CHOOSE(CONTROL!$C$9, $D$9, 100%, $F$9) + CHOOSE(CONTROL!$C$27, 0.0021, 0)</f>
        <v>93.1995</v>
      </c>
      <c r="C884" s="10">
        <f>92.7651 * CHOOSE(CONTROL!$C$9, $D$9, 100%, $F$9) + CHOOSE(CONTROL!$C$27, 0.0021, 0)</f>
        <v>92.767200000000003</v>
      </c>
      <c r="D884" s="10">
        <f>92.7651 * CHOOSE(CONTROL!$C$9, $D$9, 100%, $F$9) + CHOOSE(CONTROL!$C$27, 0.0021, 0)</f>
        <v>92.767200000000003</v>
      </c>
      <c r="E884" s="10">
        <f>92.6284 * CHOOSE(CONTROL!$C$9, $D$9, 100%, $F$9) + CHOOSE(CONTROL!$C$27, 0.0021, 0)</f>
        <v>92.630499999999998</v>
      </c>
      <c r="F884" s="10">
        <f>92.6284 * CHOOSE(CONTROL!$C$9, $D$9, 100%, $F$9) + CHOOSE(CONTROL!$C$27, 0.0021, 0)</f>
        <v>92.630499999999998</v>
      </c>
      <c r="G884" s="10">
        <f>92.8998 * CHOOSE(CONTROL!$C$9, $D$9, 100%, $F$9) + CHOOSE(CONTROL!$C$27, 0.0021, 0)</f>
        <v>92.901899999999998</v>
      </c>
      <c r="H884" s="10">
        <f>92.7651 * CHOOSE(CONTROL!$C$9, $D$9, 100%, $F$9) + CHOOSE(CONTROL!$C$27, 0.0021, 0)</f>
        <v>92.767200000000003</v>
      </c>
      <c r="I884" s="10">
        <f>92.7651 * CHOOSE(CONTROL!$C$9, $D$9, 100%, $F$9) + CHOOSE(CONTROL!$C$27, 0.0021, 0)</f>
        <v>92.767200000000003</v>
      </c>
      <c r="J884" s="10">
        <f>92.7651 * CHOOSE(CONTROL!$C$9, $D$9, 100%, $F$9) + CHOOSE(CONTROL!$C$27, 0.0021, 0)</f>
        <v>92.767200000000003</v>
      </c>
      <c r="K884" s="10">
        <f>92.7651 * CHOOSE(CONTROL!$C$9, $D$9, 100%, $F$9) + CHOOSE(CONTROL!$C$27, 0.0021, 0)</f>
        <v>92.767200000000003</v>
      </c>
      <c r="L884" s="10"/>
    </row>
    <row r="885" spans="1:12" ht="15.75" x14ac:dyDescent="0.25">
      <c r="A885" s="13">
        <v>67876</v>
      </c>
      <c r="B885" s="10">
        <f>95.4907 * CHOOSE(CONTROL!$C$9, $D$9, 100%, $F$9) + CHOOSE(CONTROL!$C$27, 0.0021, 0)</f>
        <v>95.492800000000003</v>
      </c>
      <c r="C885" s="10">
        <f>95.0584 * CHOOSE(CONTROL!$C$9, $D$9, 100%, $F$9) + CHOOSE(CONTROL!$C$27, 0.0021, 0)</f>
        <v>95.060500000000005</v>
      </c>
      <c r="D885" s="10">
        <f>95.0584 * CHOOSE(CONTROL!$C$9, $D$9, 100%, $F$9) + CHOOSE(CONTROL!$C$27, 0.0021, 0)</f>
        <v>95.060500000000005</v>
      </c>
      <c r="E885" s="10">
        <f>94.9218 * CHOOSE(CONTROL!$C$9, $D$9, 100%, $F$9) + CHOOSE(CONTROL!$C$27, 0.0021, 0)</f>
        <v>94.923900000000003</v>
      </c>
      <c r="F885" s="10">
        <f>94.9218 * CHOOSE(CONTROL!$C$9, $D$9, 100%, $F$9) + CHOOSE(CONTROL!$C$27, 0.0021, 0)</f>
        <v>94.923900000000003</v>
      </c>
      <c r="G885" s="10">
        <f>95.1931 * CHOOSE(CONTROL!$C$9, $D$9, 100%, $F$9) + CHOOSE(CONTROL!$C$27, 0.0021, 0)</f>
        <v>95.1952</v>
      </c>
      <c r="H885" s="10">
        <f>95.0584 * CHOOSE(CONTROL!$C$9, $D$9, 100%, $F$9) + CHOOSE(CONTROL!$C$27, 0.0021, 0)</f>
        <v>95.060500000000005</v>
      </c>
      <c r="I885" s="10">
        <f>95.0584 * CHOOSE(CONTROL!$C$9, $D$9, 100%, $F$9) + CHOOSE(CONTROL!$C$27, 0.0021, 0)</f>
        <v>95.060500000000005</v>
      </c>
      <c r="J885" s="10">
        <f>95.0584 * CHOOSE(CONTROL!$C$9, $D$9, 100%, $F$9) + CHOOSE(CONTROL!$C$27, 0.0021, 0)</f>
        <v>95.060500000000005</v>
      </c>
      <c r="K885" s="10">
        <f>95.0584 * CHOOSE(CONTROL!$C$9, $D$9, 100%, $F$9) + CHOOSE(CONTROL!$C$27, 0.0021, 0)</f>
        <v>95.060500000000005</v>
      </c>
      <c r="L885" s="10"/>
    </row>
    <row r="886" spans="1:12" ht="15.75" x14ac:dyDescent="0.25">
      <c r="A886" s="13">
        <v>67906</v>
      </c>
      <c r="B886" s="10">
        <f>95.706 * CHOOSE(CONTROL!$C$9, $D$9, 100%, $F$9) + CHOOSE(CONTROL!$C$27, 0.0021, 0)</f>
        <v>95.708100000000002</v>
      </c>
      <c r="C886" s="10">
        <f>95.2737 * CHOOSE(CONTROL!$C$9, $D$9, 100%, $F$9) + CHOOSE(CONTROL!$C$27, 0.0021, 0)</f>
        <v>95.275800000000004</v>
      </c>
      <c r="D886" s="10">
        <f>95.2737 * CHOOSE(CONTROL!$C$9, $D$9, 100%, $F$9) + CHOOSE(CONTROL!$C$27, 0.0021, 0)</f>
        <v>95.275800000000004</v>
      </c>
      <c r="E886" s="10">
        <f>95.137 * CHOOSE(CONTROL!$C$9, $D$9, 100%, $F$9) + CHOOSE(CONTROL!$C$27, 0.0021, 0)</f>
        <v>95.139099999999999</v>
      </c>
      <c r="F886" s="10">
        <f>95.137 * CHOOSE(CONTROL!$C$9, $D$9, 100%, $F$9) + CHOOSE(CONTROL!$C$27, 0.0021, 0)</f>
        <v>95.139099999999999</v>
      </c>
      <c r="G886" s="10">
        <f>95.4084 * CHOOSE(CONTROL!$C$9, $D$9, 100%, $F$9) + CHOOSE(CONTROL!$C$27, 0.0021, 0)</f>
        <v>95.410499999999999</v>
      </c>
      <c r="H886" s="10">
        <f>95.2737 * CHOOSE(CONTROL!$C$9, $D$9, 100%, $F$9) + CHOOSE(CONTROL!$C$27, 0.0021, 0)</f>
        <v>95.275800000000004</v>
      </c>
      <c r="I886" s="10">
        <f>95.2737 * CHOOSE(CONTROL!$C$9, $D$9, 100%, $F$9) + CHOOSE(CONTROL!$C$27, 0.0021, 0)</f>
        <v>95.275800000000004</v>
      </c>
      <c r="J886" s="10">
        <f>95.2737 * CHOOSE(CONTROL!$C$9, $D$9, 100%, $F$9) + CHOOSE(CONTROL!$C$27, 0.0021, 0)</f>
        <v>95.275800000000004</v>
      </c>
      <c r="K886" s="10">
        <f>95.2737 * CHOOSE(CONTROL!$C$9, $D$9, 100%, $F$9) + CHOOSE(CONTROL!$C$27, 0.0021, 0)</f>
        <v>95.275800000000004</v>
      </c>
      <c r="L886" s="10"/>
    </row>
    <row r="887" spans="1:12" ht="15.75" x14ac:dyDescent="0.25">
      <c r="A887" s="13">
        <v>67937</v>
      </c>
      <c r="B887" s="10">
        <f>93.8743 * CHOOSE(CONTROL!$C$9, $D$9, 100%, $F$9) + CHOOSE(CONTROL!$C$27, 0.0021, 0)</f>
        <v>93.876400000000004</v>
      </c>
      <c r="C887" s="10">
        <f>93.4421 * CHOOSE(CONTROL!$C$9, $D$9, 100%, $F$9) + CHOOSE(CONTROL!$C$27, 0.0021, 0)</f>
        <v>93.444199999999995</v>
      </c>
      <c r="D887" s="10">
        <f>93.4421 * CHOOSE(CONTROL!$C$9, $D$9, 100%, $F$9) + CHOOSE(CONTROL!$C$27, 0.0021, 0)</f>
        <v>93.444199999999995</v>
      </c>
      <c r="E887" s="10">
        <f>93.3054 * CHOOSE(CONTROL!$C$9, $D$9, 100%, $F$9) + CHOOSE(CONTROL!$C$27, 0.0021, 0)</f>
        <v>93.307500000000005</v>
      </c>
      <c r="F887" s="10">
        <f>93.3054 * CHOOSE(CONTROL!$C$9, $D$9, 100%, $F$9) + CHOOSE(CONTROL!$C$27, 0.0021, 0)</f>
        <v>93.307500000000005</v>
      </c>
      <c r="G887" s="10">
        <f>93.5768 * CHOOSE(CONTROL!$C$9, $D$9, 100%, $F$9) + CHOOSE(CONTROL!$C$27, 0.0021, 0)</f>
        <v>93.578900000000004</v>
      </c>
      <c r="H887" s="10">
        <f>93.4421 * CHOOSE(CONTROL!$C$9, $D$9, 100%, $F$9) + CHOOSE(CONTROL!$C$27, 0.0021, 0)</f>
        <v>93.444199999999995</v>
      </c>
      <c r="I887" s="10">
        <f>93.4421 * CHOOSE(CONTROL!$C$9, $D$9, 100%, $F$9) + CHOOSE(CONTROL!$C$27, 0.0021, 0)</f>
        <v>93.444199999999995</v>
      </c>
      <c r="J887" s="10">
        <f>93.4421 * CHOOSE(CONTROL!$C$9, $D$9, 100%, $F$9) + CHOOSE(CONTROL!$C$27, 0.0021, 0)</f>
        <v>93.444199999999995</v>
      </c>
      <c r="K887" s="10">
        <f>93.4421 * CHOOSE(CONTROL!$C$9, $D$9, 100%, $F$9) + CHOOSE(CONTROL!$C$27, 0.0021, 0)</f>
        <v>93.444199999999995</v>
      </c>
      <c r="L887" s="10"/>
    </row>
    <row r="888" spans="1:12" ht="15.75" x14ac:dyDescent="0.25">
      <c r="A888" s="13">
        <v>67968</v>
      </c>
      <c r="B888" s="10">
        <f>92.6744 * CHOOSE(CONTROL!$C$9, $D$9, 100%, $F$9) + CHOOSE(CONTROL!$C$27, 0.0021, 0)</f>
        <v>92.676500000000004</v>
      </c>
      <c r="C888" s="10">
        <f>92.2422 * CHOOSE(CONTROL!$C$9, $D$9, 100%, $F$9) + CHOOSE(CONTROL!$C$27, 0.0021, 0)</f>
        <v>92.244299999999996</v>
      </c>
      <c r="D888" s="10">
        <f>92.2422 * CHOOSE(CONTROL!$C$9, $D$9, 100%, $F$9) + CHOOSE(CONTROL!$C$27, 0.0021, 0)</f>
        <v>92.244299999999996</v>
      </c>
      <c r="E888" s="10">
        <f>92.1055 * CHOOSE(CONTROL!$C$9, $D$9, 100%, $F$9) + CHOOSE(CONTROL!$C$27, 0.0021, 0)</f>
        <v>92.107600000000005</v>
      </c>
      <c r="F888" s="10">
        <f>92.1055 * CHOOSE(CONTROL!$C$9, $D$9, 100%, $F$9) + CHOOSE(CONTROL!$C$27, 0.0021, 0)</f>
        <v>92.107600000000005</v>
      </c>
      <c r="G888" s="10">
        <f>92.3769 * CHOOSE(CONTROL!$C$9, $D$9, 100%, $F$9) + CHOOSE(CONTROL!$C$27, 0.0021, 0)</f>
        <v>92.379000000000005</v>
      </c>
      <c r="H888" s="10">
        <f>92.2422 * CHOOSE(CONTROL!$C$9, $D$9, 100%, $F$9) + CHOOSE(CONTROL!$C$27, 0.0021, 0)</f>
        <v>92.244299999999996</v>
      </c>
      <c r="I888" s="10">
        <f>92.2422 * CHOOSE(CONTROL!$C$9, $D$9, 100%, $F$9) + CHOOSE(CONTROL!$C$27, 0.0021, 0)</f>
        <v>92.244299999999996</v>
      </c>
      <c r="J888" s="10">
        <f>92.2422 * CHOOSE(CONTROL!$C$9, $D$9, 100%, $F$9) + CHOOSE(CONTROL!$C$27, 0.0021, 0)</f>
        <v>92.244299999999996</v>
      </c>
      <c r="K888" s="10">
        <f>92.2422 * CHOOSE(CONTROL!$C$9, $D$9, 100%, $F$9) + CHOOSE(CONTROL!$C$27, 0.0021, 0)</f>
        <v>92.244299999999996</v>
      </c>
      <c r="L888" s="10"/>
    </row>
    <row r="889" spans="1:12" ht="15.75" x14ac:dyDescent="0.25">
      <c r="A889" s="13">
        <v>67996</v>
      </c>
      <c r="B889" s="10">
        <f>90.1179 * CHOOSE(CONTROL!$C$9, $D$9, 100%, $F$9) + CHOOSE(CONTROL!$C$27, 0.0021, 0)</f>
        <v>90.12</v>
      </c>
      <c r="C889" s="10">
        <f>89.6857 * CHOOSE(CONTROL!$C$9, $D$9, 100%, $F$9) + CHOOSE(CONTROL!$C$27, 0.0021, 0)</f>
        <v>89.687799999999996</v>
      </c>
      <c r="D889" s="10">
        <f>89.6857 * CHOOSE(CONTROL!$C$9, $D$9, 100%, $F$9) + CHOOSE(CONTROL!$C$27, 0.0021, 0)</f>
        <v>89.687799999999996</v>
      </c>
      <c r="E889" s="10">
        <f>89.549 * CHOOSE(CONTROL!$C$9, $D$9, 100%, $F$9) + CHOOSE(CONTROL!$C$27, 0.0021, 0)</f>
        <v>89.551100000000005</v>
      </c>
      <c r="F889" s="10">
        <f>89.549 * CHOOSE(CONTROL!$C$9, $D$9, 100%, $F$9) + CHOOSE(CONTROL!$C$27, 0.0021, 0)</f>
        <v>89.551100000000005</v>
      </c>
      <c r="G889" s="10">
        <f>89.8204 * CHOOSE(CONTROL!$C$9, $D$9, 100%, $F$9) + CHOOSE(CONTROL!$C$27, 0.0021, 0)</f>
        <v>89.822500000000005</v>
      </c>
      <c r="H889" s="10">
        <f>89.6857 * CHOOSE(CONTROL!$C$9, $D$9, 100%, $F$9) + CHOOSE(CONTROL!$C$27, 0.0021, 0)</f>
        <v>89.687799999999996</v>
      </c>
      <c r="I889" s="10">
        <f>89.6857 * CHOOSE(CONTROL!$C$9, $D$9, 100%, $F$9) + CHOOSE(CONTROL!$C$27, 0.0021, 0)</f>
        <v>89.687799999999996</v>
      </c>
      <c r="J889" s="10">
        <f>89.6857 * CHOOSE(CONTROL!$C$9, $D$9, 100%, $F$9) + CHOOSE(CONTROL!$C$27, 0.0021, 0)</f>
        <v>89.687799999999996</v>
      </c>
      <c r="K889" s="10">
        <f>89.6857 * CHOOSE(CONTROL!$C$9, $D$9, 100%, $F$9) + CHOOSE(CONTROL!$C$27, 0.0021, 0)</f>
        <v>89.687799999999996</v>
      </c>
      <c r="L889" s="10"/>
    </row>
    <row r="890" spans="1:12" ht="15.75" x14ac:dyDescent="0.25">
      <c r="A890" s="13">
        <v>68027</v>
      </c>
      <c r="B890" s="10">
        <f>89.0626 * CHOOSE(CONTROL!$C$9, $D$9, 100%, $F$9) + CHOOSE(CONTROL!$C$27, 0.0021, 0)</f>
        <v>89.064700000000002</v>
      </c>
      <c r="C890" s="10">
        <f>88.6303 * CHOOSE(CONTROL!$C$9, $D$9, 100%, $F$9) + CHOOSE(CONTROL!$C$27, 0.0021, 0)</f>
        <v>88.632400000000004</v>
      </c>
      <c r="D890" s="10">
        <f>88.6303 * CHOOSE(CONTROL!$C$9, $D$9, 100%, $F$9) + CHOOSE(CONTROL!$C$27, 0.0021, 0)</f>
        <v>88.632400000000004</v>
      </c>
      <c r="E890" s="10">
        <f>88.4937 * CHOOSE(CONTROL!$C$9, $D$9, 100%, $F$9) + CHOOSE(CONTROL!$C$27, 0.0021, 0)</f>
        <v>88.495800000000003</v>
      </c>
      <c r="F890" s="10">
        <f>88.4937 * CHOOSE(CONTROL!$C$9, $D$9, 100%, $F$9) + CHOOSE(CONTROL!$C$27, 0.0021, 0)</f>
        <v>88.495800000000003</v>
      </c>
      <c r="G890" s="10">
        <f>88.7651 * CHOOSE(CONTROL!$C$9, $D$9, 100%, $F$9) + CHOOSE(CONTROL!$C$27, 0.0021, 0)</f>
        <v>88.767200000000003</v>
      </c>
      <c r="H890" s="10">
        <f>88.6303 * CHOOSE(CONTROL!$C$9, $D$9, 100%, $F$9) + CHOOSE(CONTROL!$C$27, 0.0021, 0)</f>
        <v>88.632400000000004</v>
      </c>
      <c r="I890" s="10">
        <f>88.6303 * CHOOSE(CONTROL!$C$9, $D$9, 100%, $F$9) + CHOOSE(CONTROL!$C$27, 0.0021, 0)</f>
        <v>88.632400000000004</v>
      </c>
      <c r="J890" s="10">
        <f>88.6303 * CHOOSE(CONTROL!$C$9, $D$9, 100%, $F$9) + CHOOSE(CONTROL!$C$27, 0.0021, 0)</f>
        <v>88.632400000000004</v>
      </c>
      <c r="K890" s="10">
        <f>88.6303 * CHOOSE(CONTROL!$C$9, $D$9, 100%, $F$9) + CHOOSE(CONTROL!$C$27, 0.0021, 0)</f>
        <v>88.632400000000004</v>
      </c>
      <c r="L890" s="10"/>
    </row>
    <row r="891" spans="1:12" ht="15.75" x14ac:dyDescent="0.25">
      <c r="A891" s="13">
        <v>68057</v>
      </c>
      <c r="B891" s="10">
        <f>87.8025 * CHOOSE(CONTROL!$C$9, $D$9, 100%, $F$9) + CHOOSE(CONTROL!$C$27, 0.0021, 0)</f>
        <v>87.804599999999994</v>
      </c>
      <c r="C891" s="10">
        <f>87.3703 * CHOOSE(CONTROL!$C$9, $D$9, 100%, $F$9) + CHOOSE(CONTROL!$C$27, 0.0021, 0)</f>
        <v>87.372399999999999</v>
      </c>
      <c r="D891" s="10">
        <f>87.3703 * CHOOSE(CONTROL!$C$9, $D$9, 100%, $F$9) + CHOOSE(CONTROL!$C$27, 0.0021, 0)</f>
        <v>87.372399999999999</v>
      </c>
      <c r="E891" s="10">
        <f>87.2336 * CHOOSE(CONTROL!$C$9, $D$9, 100%, $F$9) + CHOOSE(CONTROL!$C$27, 0.0021, 0)</f>
        <v>87.235699999999994</v>
      </c>
      <c r="F891" s="10">
        <f>87.2336 * CHOOSE(CONTROL!$C$9, $D$9, 100%, $F$9) + CHOOSE(CONTROL!$C$27, 0.0021, 0)</f>
        <v>87.235699999999994</v>
      </c>
      <c r="G891" s="10">
        <f>87.505 * CHOOSE(CONTROL!$C$9, $D$9, 100%, $F$9) + CHOOSE(CONTROL!$C$27, 0.0021, 0)</f>
        <v>87.507099999999994</v>
      </c>
      <c r="H891" s="10">
        <f>87.3703 * CHOOSE(CONTROL!$C$9, $D$9, 100%, $F$9) + CHOOSE(CONTROL!$C$27, 0.0021, 0)</f>
        <v>87.372399999999999</v>
      </c>
      <c r="I891" s="10">
        <f>87.3703 * CHOOSE(CONTROL!$C$9, $D$9, 100%, $F$9) + CHOOSE(CONTROL!$C$27, 0.0021, 0)</f>
        <v>87.372399999999999</v>
      </c>
      <c r="J891" s="10">
        <f>87.3703 * CHOOSE(CONTROL!$C$9, $D$9, 100%, $F$9) + CHOOSE(CONTROL!$C$27, 0.0021, 0)</f>
        <v>87.372399999999999</v>
      </c>
      <c r="K891" s="10">
        <f>87.3703 * CHOOSE(CONTROL!$C$9, $D$9, 100%, $F$9) + CHOOSE(CONTROL!$C$27, 0.0021, 0)</f>
        <v>87.372399999999999</v>
      </c>
      <c r="L891" s="10"/>
    </row>
    <row r="892" spans="1:12" ht="15.75" x14ac:dyDescent="0.25">
      <c r="A892" s="13">
        <v>68088</v>
      </c>
      <c r="B892" s="10">
        <f>89.5983 * CHOOSE(CONTROL!$C$9, $D$9, 100%, $F$9) + CHOOSE(CONTROL!$C$27, 0.0021, 0)</f>
        <v>89.600399999999993</v>
      </c>
      <c r="C892" s="10">
        <f>89.166 * CHOOSE(CONTROL!$C$9, $D$9, 100%, $F$9) + CHOOSE(CONTROL!$C$27, 0.0021, 0)</f>
        <v>89.168099999999995</v>
      </c>
      <c r="D892" s="10">
        <f>89.166 * CHOOSE(CONTROL!$C$9, $D$9, 100%, $F$9) + CHOOSE(CONTROL!$C$27, 0.0021, 0)</f>
        <v>89.168099999999995</v>
      </c>
      <c r="E892" s="10">
        <f>89.0294 * CHOOSE(CONTROL!$C$9, $D$9, 100%, $F$9) + CHOOSE(CONTROL!$C$27, 0.0021, 0)</f>
        <v>89.031499999999994</v>
      </c>
      <c r="F892" s="10">
        <f>89.0294 * CHOOSE(CONTROL!$C$9, $D$9, 100%, $F$9) + CHOOSE(CONTROL!$C$27, 0.0021, 0)</f>
        <v>89.031499999999994</v>
      </c>
      <c r="G892" s="10">
        <f>89.3007 * CHOOSE(CONTROL!$C$9, $D$9, 100%, $F$9) + CHOOSE(CONTROL!$C$27, 0.0021, 0)</f>
        <v>89.302800000000005</v>
      </c>
      <c r="H892" s="10">
        <f>89.166 * CHOOSE(CONTROL!$C$9, $D$9, 100%, $F$9) + CHOOSE(CONTROL!$C$27, 0.0021, 0)</f>
        <v>89.168099999999995</v>
      </c>
      <c r="I892" s="10">
        <f>89.166 * CHOOSE(CONTROL!$C$9, $D$9, 100%, $F$9) + CHOOSE(CONTROL!$C$27, 0.0021, 0)</f>
        <v>89.168099999999995</v>
      </c>
      <c r="J892" s="10">
        <f>89.166 * CHOOSE(CONTROL!$C$9, $D$9, 100%, $F$9) + CHOOSE(CONTROL!$C$27, 0.0021, 0)</f>
        <v>89.168099999999995</v>
      </c>
      <c r="K892" s="10">
        <f>89.166 * CHOOSE(CONTROL!$C$9, $D$9, 100%, $F$9) + CHOOSE(CONTROL!$C$27, 0.0021, 0)</f>
        <v>89.168099999999995</v>
      </c>
      <c r="L892" s="10"/>
    </row>
    <row r="893" spans="1:12" ht="15.75" x14ac:dyDescent="0.25">
      <c r="A893" s="13">
        <v>68118</v>
      </c>
      <c r="B893" s="10">
        <f>90.6739 * CHOOSE(CONTROL!$C$9, $D$9, 100%, $F$9) + CHOOSE(CONTROL!$C$27, 0.0021, 0)</f>
        <v>90.676000000000002</v>
      </c>
      <c r="C893" s="10">
        <f>90.2416 * CHOOSE(CONTROL!$C$9, $D$9, 100%, $F$9) + CHOOSE(CONTROL!$C$27, 0.0021, 0)</f>
        <v>90.243700000000004</v>
      </c>
      <c r="D893" s="10">
        <f>90.2416 * CHOOSE(CONTROL!$C$9, $D$9, 100%, $F$9) + CHOOSE(CONTROL!$C$27, 0.0021, 0)</f>
        <v>90.243700000000004</v>
      </c>
      <c r="E893" s="10">
        <f>90.105 * CHOOSE(CONTROL!$C$9, $D$9, 100%, $F$9) + CHOOSE(CONTROL!$C$27, 0.0021, 0)</f>
        <v>90.107100000000003</v>
      </c>
      <c r="F893" s="10">
        <f>90.105 * CHOOSE(CONTROL!$C$9, $D$9, 100%, $F$9) + CHOOSE(CONTROL!$C$27, 0.0021, 0)</f>
        <v>90.107100000000003</v>
      </c>
      <c r="G893" s="10">
        <f>90.3763 * CHOOSE(CONTROL!$C$9, $D$9, 100%, $F$9) + CHOOSE(CONTROL!$C$27, 0.0021, 0)</f>
        <v>90.378399999999999</v>
      </c>
      <c r="H893" s="10">
        <f>90.2416 * CHOOSE(CONTROL!$C$9, $D$9, 100%, $F$9) + CHOOSE(CONTROL!$C$27, 0.0021, 0)</f>
        <v>90.243700000000004</v>
      </c>
      <c r="I893" s="10">
        <f>90.2416 * CHOOSE(CONTROL!$C$9, $D$9, 100%, $F$9) + CHOOSE(CONTROL!$C$27, 0.0021, 0)</f>
        <v>90.243700000000004</v>
      </c>
      <c r="J893" s="10">
        <f>90.2416 * CHOOSE(CONTROL!$C$9, $D$9, 100%, $F$9) + CHOOSE(CONTROL!$C$27, 0.0021, 0)</f>
        <v>90.243700000000004</v>
      </c>
      <c r="K893" s="10">
        <f>90.2416 * CHOOSE(CONTROL!$C$9, $D$9, 100%, $F$9) + CHOOSE(CONTROL!$C$27, 0.0021, 0)</f>
        <v>90.243700000000004</v>
      </c>
      <c r="L893" s="10"/>
    </row>
    <row r="894" spans="1:12" ht="15.75" x14ac:dyDescent="0.25">
      <c r="A894" s="13">
        <v>68149</v>
      </c>
      <c r="B894" s="10">
        <f>92.4482 * CHOOSE(CONTROL!$C$9, $D$9, 100%, $F$9) + CHOOSE(CONTROL!$C$27, 0.0021, 0)</f>
        <v>92.450299999999999</v>
      </c>
      <c r="C894" s="10">
        <f>92.0159 * CHOOSE(CONTROL!$C$9, $D$9, 100%, $F$9) + CHOOSE(CONTROL!$C$27, 0.0021, 0)</f>
        <v>92.018000000000001</v>
      </c>
      <c r="D894" s="10">
        <f>92.0159 * CHOOSE(CONTROL!$C$9, $D$9, 100%, $F$9) + CHOOSE(CONTROL!$C$27, 0.0021, 0)</f>
        <v>92.018000000000001</v>
      </c>
      <c r="E894" s="10">
        <f>91.8793 * CHOOSE(CONTROL!$C$9, $D$9, 100%, $F$9) + CHOOSE(CONTROL!$C$27, 0.0021, 0)</f>
        <v>91.881399999999999</v>
      </c>
      <c r="F894" s="10">
        <f>91.8793 * CHOOSE(CONTROL!$C$9, $D$9, 100%, $F$9) + CHOOSE(CONTROL!$C$27, 0.0021, 0)</f>
        <v>91.881399999999999</v>
      </c>
      <c r="G894" s="10">
        <f>92.1506 * CHOOSE(CONTROL!$C$9, $D$9, 100%, $F$9) + CHOOSE(CONTROL!$C$27, 0.0021, 0)</f>
        <v>92.152699999999996</v>
      </c>
      <c r="H894" s="10">
        <f>92.0159 * CHOOSE(CONTROL!$C$9, $D$9, 100%, $F$9) + CHOOSE(CONTROL!$C$27, 0.0021, 0)</f>
        <v>92.018000000000001</v>
      </c>
      <c r="I894" s="10">
        <f>92.0159 * CHOOSE(CONTROL!$C$9, $D$9, 100%, $F$9) + CHOOSE(CONTROL!$C$27, 0.0021, 0)</f>
        <v>92.018000000000001</v>
      </c>
      <c r="J894" s="10">
        <f>92.0159 * CHOOSE(CONTROL!$C$9, $D$9, 100%, $F$9) + CHOOSE(CONTROL!$C$27, 0.0021, 0)</f>
        <v>92.018000000000001</v>
      </c>
      <c r="K894" s="10">
        <f>92.0159 * CHOOSE(CONTROL!$C$9, $D$9, 100%, $F$9) + CHOOSE(CONTROL!$C$27, 0.0021, 0)</f>
        <v>92.018000000000001</v>
      </c>
      <c r="L894" s="10"/>
    </row>
    <row r="895" spans="1:12" ht="15.75" x14ac:dyDescent="0.25">
      <c r="A895" s="13">
        <v>68180</v>
      </c>
      <c r="B895" s="10">
        <f>92.9898 * CHOOSE(CONTROL!$C$9, $D$9, 100%, $F$9) + CHOOSE(CONTROL!$C$27, 0.0021, 0)</f>
        <v>92.991900000000001</v>
      </c>
      <c r="C895" s="10">
        <f>92.5575 * CHOOSE(CONTROL!$C$9, $D$9, 100%, $F$9) + CHOOSE(CONTROL!$C$27, 0.0021, 0)</f>
        <v>92.559600000000003</v>
      </c>
      <c r="D895" s="10">
        <f>92.5575 * CHOOSE(CONTROL!$C$9, $D$9, 100%, $F$9) + CHOOSE(CONTROL!$C$27, 0.0021, 0)</f>
        <v>92.559600000000003</v>
      </c>
      <c r="E895" s="10">
        <f>92.4208 * CHOOSE(CONTROL!$C$9, $D$9, 100%, $F$9) + CHOOSE(CONTROL!$C$27, 0.0021, 0)</f>
        <v>92.422899999999998</v>
      </c>
      <c r="F895" s="10">
        <f>92.4208 * CHOOSE(CONTROL!$C$9, $D$9, 100%, $F$9) + CHOOSE(CONTROL!$C$27, 0.0021, 0)</f>
        <v>92.422899999999998</v>
      </c>
      <c r="G895" s="10">
        <f>92.6922 * CHOOSE(CONTROL!$C$9, $D$9, 100%, $F$9) + CHOOSE(CONTROL!$C$27, 0.0021, 0)</f>
        <v>92.694299999999998</v>
      </c>
      <c r="H895" s="10">
        <f>92.5575 * CHOOSE(CONTROL!$C$9, $D$9, 100%, $F$9) + CHOOSE(CONTROL!$C$27, 0.0021, 0)</f>
        <v>92.559600000000003</v>
      </c>
      <c r="I895" s="10">
        <f>92.5575 * CHOOSE(CONTROL!$C$9, $D$9, 100%, $F$9) + CHOOSE(CONTROL!$C$27, 0.0021, 0)</f>
        <v>92.559600000000003</v>
      </c>
      <c r="J895" s="10">
        <f>92.5575 * CHOOSE(CONTROL!$C$9, $D$9, 100%, $F$9) + CHOOSE(CONTROL!$C$27, 0.0021, 0)</f>
        <v>92.559600000000003</v>
      </c>
      <c r="K895" s="10">
        <f>92.5575 * CHOOSE(CONTROL!$C$9, $D$9, 100%, $F$9) + CHOOSE(CONTROL!$C$27, 0.0021, 0)</f>
        <v>92.559600000000003</v>
      </c>
      <c r="L895" s="10"/>
    </row>
    <row r="896" spans="1:12" ht="15.75" x14ac:dyDescent="0.25">
      <c r="A896" s="13">
        <v>68210</v>
      </c>
      <c r="B896" s="10">
        <f>94.8341 * CHOOSE(CONTROL!$C$9, $D$9, 100%, $F$9) + CHOOSE(CONTROL!$C$27, 0.0021, 0)</f>
        <v>94.836200000000005</v>
      </c>
      <c r="C896" s="10">
        <f>94.4018 * CHOOSE(CONTROL!$C$9, $D$9, 100%, $F$9) + CHOOSE(CONTROL!$C$27, 0.0021, 0)</f>
        <v>94.403899999999993</v>
      </c>
      <c r="D896" s="10">
        <f>94.4018 * CHOOSE(CONTROL!$C$9, $D$9, 100%, $F$9) + CHOOSE(CONTROL!$C$27, 0.0021, 0)</f>
        <v>94.403899999999993</v>
      </c>
      <c r="E896" s="10">
        <f>94.2652 * CHOOSE(CONTROL!$C$9, $D$9, 100%, $F$9) + CHOOSE(CONTROL!$C$27, 0.0021, 0)</f>
        <v>94.267299999999992</v>
      </c>
      <c r="F896" s="10">
        <f>94.2652 * CHOOSE(CONTROL!$C$9, $D$9, 100%, $F$9) + CHOOSE(CONTROL!$C$27, 0.0021, 0)</f>
        <v>94.267299999999992</v>
      </c>
      <c r="G896" s="10">
        <f>94.5366 * CHOOSE(CONTROL!$C$9, $D$9, 100%, $F$9) + CHOOSE(CONTROL!$C$27, 0.0021, 0)</f>
        <v>94.538700000000006</v>
      </c>
      <c r="H896" s="10">
        <f>94.4018 * CHOOSE(CONTROL!$C$9, $D$9, 100%, $F$9) + CHOOSE(CONTROL!$C$27, 0.0021, 0)</f>
        <v>94.403899999999993</v>
      </c>
      <c r="I896" s="10">
        <f>94.4018 * CHOOSE(CONTROL!$C$9, $D$9, 100%, $F$9) + CHOOSE(CONTROL!$C$27, 0.0021, 0)</f>
        <v>94.403899999999993</v>
      </c>
      <c r="J896" s="10">
        <f>94.4018 * CHOOSE(CONTROL!$C$9, $D$9, 100%, $F$9) + CHOOSE(CONTROL!$C$27, 0.0021, 0)</f>
        <v>94.403899999999993</v>
      </c>
      <c r="K896" s="10">
        <f>94.4018 * CHOOSE(CONTROL!$C$9, $D$9, 100%, $F$9) + CHOOSE(CONTROL!$C$27, 0.0021, 0)</f>
        <v>94.403899999999993</v>
      </c>
      <c r="L896" s="10"/>
    </row>
    <row r="897" spans="1:12" ht="15.75" x14ac:dyDescent="0.25">
      <c r="A897" s="13">
        <v>68241</v>
      </c>
      <c r="B897" s="10">
        <f>97.1687 * CHOOSE(CONTROL!$C$9, $D$9, 100%, $F$9) + CHOOSE(CONTROL!$C$27, 0.0021, 0)</f>
        <v>97.1708</v>
      </c>
      <c r="C897" s="10">
        <f>96.7364 * CHOOSE(CONTROL!$C$9, $D$9, 100%, $F$9) + CHOOSE(CONTROL!$C$27, 0.0021, 0)</f>
        <v>96.738500000000002</v>
      </c>
      <c r="D897" s="10">
        <f>96.7364 * CHOOSE(CONTROL!$C$9, $D$9, 100%, $F$9) + CHOOSE(CONTROL!$C$27, 0.0021, 0)</f>
        <v>96.738500000000002</v>
      </c>
      <c r="E897" s="10">
        <f>96.5998 * CHOOSE(CONTROL!$C$9, $D$9, 100%, $F$9) + CHOOSE(CONTROL!$C$27, 0.0021, 0)</f>
        <v>96.601900000000001</v>
      </c>
      <c r="F897" s="10">
        <f>96.5998 * CHOOSE(CONTROL!$C$9, $D$9, 100%, $F$9) + CHOOSE(CONTROL!$C$27, 0.0021, 0)</f>
        <v>96.601900000000001</v>
      </c>
      <c r="G897" s="10">
        <f>96.8712 * CHOOSE(CONTROL!$C$9, $D$9, 100%, $F$9) + CHOOSE(CONTROL!$C$27, 0.0021, 0)</f>
        <v>96.8733</v>
      </c>
      <c r="H897" s="10">
        <f>96.7364 * CHOOSE(CONTROL!$C$9, $D$9, 100%, $F$9) + CHOOSE(CONTROL!$C$27, 0.0021, 0)</f>
        <v>96.738500000000002</v>
      </c>
      <c r="I897" s="10">
        <f>96.7364 * CHOOSE(CONTROL!$C$9, $D$9, 100%, $F$9) + CHOOSE(CONTROL!$C$27, 0.0021, 0)</f>
        <v>96.738500000000002</v>
      </c>
      <c r="J897" s="10">
        <f>96.7364 * CHOOSE(CONTROL!$C$9, $D$9, 100%, $F$9) + CHOOSE(CONTROL!$C$27, 0.0021, 0)</f>
        <v>96.738500000000002</v>
      </c>
      <c r="K897" s="10">
        <f>96.7364 * CHOOSE(CONTROL!$C$9, $D$9, 100%, $F$9) + CHOOSE(CONTROL!$C$27, 0.0021, 0)</f>
        <v>96.738500000000002</v>
      </c>
      <c r="L897" s="10"/>
    </row>
    <row r="898" spans="1:12" ht="15.75" x14ac:dyDescent="0.25">
      <c r="A898" s="13">
        <v>68271</v>
      </c>
      <c r="B898" s="10">
        <f>97.3879 * CHOOSE(CONTROL!$C$9, $D$9, 100%, $F$9) + CHOOSE(CONTROL!$C$27, 0.0021, 0)</f>
        <v>97.39</v>
      </c>
      <c r="C898" s="10">
        <f>96.9556 * CHOOSE(CONTROL!$C$9, $D$9, 100%, $F$9) + CHOOSE(CONTROL!$C$27, 0.0021, 0)</f>
        <v>96.957700000000003</v>
      </c>
      <c r="D898" s="10">
        <f>96.9556 * CHOOSE(CONTROL!$C$9, $D$9, 100%, $F$9) + CHOOSE(CONTROL!$C$27, 0.0021, 0)</f>
        <v>96.957700000000003</v>
      </c>
      <c r="E898" s="10">
        <f>96.8189 * CHOOSE(CONTROL!$C$9, $D$9, 100%, $F$9) + CHOOSE(CONTROL!$C$27, 0.0021, 0)</f>
        <v>96.820999999999998</v>
      </c>
      <c r="F898" s="10">
        <f>96.8189 * CHOOSE(CONTROL!$C$9, $D$9, 100%, $F$9) + CHOOSE(CONTROL!$C$27, 0.0021, 0)</f>
        <v>96.820999999999998</v>
      </c>
      <c r="G898" s="10">
        <f>97.0903 * CHOOSE(CONTROL!$C$9, $D$9, 100%, $F$9) + CHOOSE(CONTROL!$C$27, 0.0021, 0)</f>
        <v>97.092399999999998</v>
      </c>
      <c r="H898" s="10">
        <f>96.9556 * CHOOSE(CONTROL!$C$9, $D$9, 100%, $F$9) + CHOOSE(CONTROL!$C$27, 0.0021, 0)</f>
        <v>96.957700000000003</v>
      </c>
      <c r="I898" s="10">
        <f>96.9556 * CHOOSE(CONTROL!$C$9, $D$9, 100%, $F$9) + CHOOSE(CONTROL!$C$27, 0.0021, 0)</f>
        <v>96.957700000000003</v>
      </c>
      <c r="J898" s="10">
        <f>96.9556 * CHOOSE(CONTROL!$C$9, $D$9, 100%, $F$9) + CHOOSE(CONTROL!$C$27, 0.0021, 0)</f>
        <v>96.957700000000003</v>
      </c>
      <c r="K898" s="10">
        <f>96.9556 * CHOOSE(CONTROL!$C$9, $D$9, 100%, $F$9) + CHOOSE(CONTROL!$C$27, 0.0021, 0)</f>
        <v>96.957700000000003</v>
      </c>
      <c r="L898" s="10"/>
    </row>
    <row r="899" spans="1:12" ht="15.75" x14ac:dyDescent="0.25">
      <c r="A899" s="13">
        <v>68302</v>
      </c>
      <c r="B899" s="10">
        <f>95.5232 * CHOOSE(CONTROL!$C$9, $D$9, 100%, $F$9) + CHOOSE(CONTROL!$C$27, 0.0021, 0)</f>
        <v>95.525300000000001</v>
      </c>
      <c r="C899" s="10">
        <f>95.091 * CHOOSE(CONTROL!$C$9, $D$9, 100%, $F$9) + CHOOSE(CONTROL!$C$27, 0.0021, 0)</f>
        <v>95.093099999999993</v>
      </c>
      <c r="D899" s="10">
        <f>95.091 * CHOOSE(CONTROL!$C$9, $D$9, 100%, $F$9) + CHOOSE(CONTROL!$C$27, 0.0021, 0)</f>
        <v>95.093099999999993</v>
      </c>
      <c r="E899" s="10">
        <f>94.9543 * CHOOSE(CONTROL!$C$9, $D$9, 100%, $F$9) + CHOOSE(CONTROL!$C$27, 0.0021, 0)</f>
        <v>94.956400000000002</v>
      </c>
      <c r="F899" s="10">
        <f>94.9543 * CHOOSE(CONTROL!$C$9, $D$9, 100%, $F$9) + CHOOSE(CONTROL!$C$27, 0.0021, 0)</f>
        <v>94.956400000000002</v>
      </c>
      <c r="G899" s="10">
        <f>95.2257 * CHOOSE(CONTROL!$C$9, $D$9, 100%, $F$9) + CHOOSE(CONTROL!$C$27, 0.0021, 0)</f>
        <v>95.227800000000002</v>
      </c>
      <c r="H899" s="10">
        <f>95.091 * CHOOSE(CONTROL!$C$9, $D$9, 100%, $F$9) + CHOOSE(CONTROL!$C$27, 0.0021, 0)</f>
        <v>95.093099999999993</v>
      </c>
      <c r="I899" s="10">
        <f>95.091 * CHOOSE(CONTROL!$C$9, $D$9, 100%, $F$9) + CHOOSE(CONTROL!$C$27, 0.0021, 0)</f>
        <v>95.093099999999993</v>
      </c>
      <c r="J899" s="10">
        <f>95.091 * CHOOSE(CONTROL!$C$9, $D$9, 100%, $F$9) + CHOOSE(CONTROL!$C$27, 0.0021, 0)</f>
        <v>95.093099999999993</v>
      </c>
      <c r="K899" s="10">
        <f>95.091 * CHOOSE(CONTROL!$C$9, $D$9, 100%, $F$9) + CHOOSE(CONTROL!$C$27, 0.0021, 0)</f>
        <v>95.093099999999993</v>
      </c>
      <c r="L899" s="10"/>
    </row>
    <row r="900" spans="1:12" ht="15.75" x14ac:dyDescent="0.25">
      <c r="A900" s="13">
        <v>68333</v>
      </c>
      <c r="B900" s="10">
        <f>94.3017 * CHOOSE(CONTROL!$C$9, $D$9, 100%, $F$9) + CHOOSE(CONTROL!$C$27, 0.0021, 0)</f>
        <v>94.303799999999995</v>
      </c>
      <c r="C900" s="10">
        <f>93.8695 * CHOOSE(CONTROL!$C$9, $D$9, 100%, $F$9) + CHOOSE(CONTROL!$C$27, 0.0021, 0)</f>
        <v>93.871600000000001</v>
      </c>
      <c r="D900" s="10">
        <f>93.8695 * CHOOSE(CONTROL!$C$9, $D$9, 100%, $F$9) + CHOOSE(CONTROL!$C$27, 0.0021, 0)</f>
        <v>93.871600000000001</v>
      </c>
      <c r="E900" s="10">
        <f>93.7328 * CHOOSE(CONTROL!$C$9, $D$9, 100%, $F$9) + CHOOSE(CONTROL!$C$27, 0.0021, 0)</f>
        <v>93.734899999999996</v>
      </c>
      <c r="F900" s="10">
        <f>93.7328 * CHOOSE(CONTROL!$C$9, $D$9, 100%, $F$9) + CHOOSE(CONTROL!$C$27, 0.0021, 0)</f>
        <v>93.734899999999996</v>
      </c>
      <c r="G900" s="10">
        <f>94.0042 * CHOOSE(CONTROL!$C$9, $D$9, 100%, $F$9) + CHOOSE(CONTROL!$C$27, 0.0021, 0)</f>
        <v>94.006299999999996</v>
      </c>
      <c r="H900" s="10">
        <f>93.8695 * CHOOSE(CONTROL!$C$9, $D$9, 100%, $F$9) + CHOOSE(CONTROL!$C$27, 0.0021, 0)</f>
        <v>93.871600000000001</v>
      </c>
      <c r="I900" s="10">
        <f>93.8695 * CHOOSE(CONTROL!$C$9, $D$9, 100%, $F$9) + CHOOSE(CONTROL!$C$27, 0.0021, 0)</f>
        <v>93.871600000000001</v>
      </c>
      <c r="J900" s="10">
        <f>93.8695 * CHOOSE(CONTROL!$C$9, $D$9, 100%, $F$9) + CHOOSE(CONTROL!$C$27, 0.0021, 0)</f>
        <v>93.871600000000001</v>
      </c>
      <c r="K900" s="10">
        <f>93.8695 * CHOOSE(CONTROL!$C$9, $D$9, 100%, $F$9) + CHOOSE(CONTROL!$C$27, 0.0021, 0)</f>
        <v>93.871600000000001</v>
      </c>
      <c r="L900" s="10"/>
    </row>
    <row r="901" spans="1:12" ht="15.75" x14ac:dyDescent="0.25">
      <c r="A901" s="13">
        <v>68361</v>
      </c>
      <c r="B901" s="10">
        <f>91.6992 * CHOOSE(CONTROL!$C$9, $D$9, 100%, $F$9) + CHOOSE(CONTROL!$C$27, 0.0021, 0)</f>
        <v>91.701300000000003</v>
      </c>
      <c r="C901" s="10">
        <f>91.2669 * CHOOSE(CONTROL!$C$9, $D$9, 100%, $F$9) + CHOOSE(CONTROL!$C$27, 0.0021, 0)</f>
        <v>91.269000000000005</v>
      </c>
      <c r="D901" s="10">
        <f>91.2669 * CHOOSE(CONTROL!$C$9, $D$9, 100%, $F$9) + CHOOSE(CONTROL!$C$27, 0.0021, 0)</f>
        <v>91.269000000000005</v>
      </c>
      <c r="E901" s="10">
        <f>91.1303 * CHOOSE(CONTROL!$C$9, $D$9, 100%, $F$9) + CHOOSE(CONTROL!$C$27, 0.0021, 0)</f>
        <v>91.132400000000004</v>
      </c>
      <c r="F901" s="10">
        <f>91.1303 * CHOOSE(CONTROL!$C$9, $D$9, 100%, $F$9) + CHOOSE(CONTROL!$C$27, 0.0021, 0)</f>
        <v>91.132400000000004</v>
      </c>
      <c r="G901" s="10">
        <f>91.4017 * CHOOSE(CONTROL!$C$9, $D$9, 100%, $F$9) + CHOOSE(CONTROL!$C$27, 0.0021, 0)</f>
        <v>91.403800000000004</v>
      </c>
      <c r="H901" s="10">
        <f>91.2669 * CHOOSE(CONTROL!$C$9, $D$9, 100%, $F$9) + CHOOSE(CONTROL!$C$27, 0.0021, 0)</f>
        <v>91.269000000000005</v>
      </c>
      <c r="I901" s="10">
        <f>91.2669 * CHOOSE(CONTROL!$C$9, $D$9, 100%, $F$9) + CHOOSE(CONTROL!$C$27, 0.0021, 0)</f>
        <v>91.269000000000005</v>
      </c>
      <c r="J901" s="10">
        <f>91.2669 * CHOOSE(CONTROL!$C$9, $D$9, 100%, $F$9) + CHOOSE(CONTROL!$C$27, 0.0021, 0)</f>
        <v>91.269000000000005</v>
      </c>
      <c r="K901" s="10">
        <f>91.2669 * CHOOSE(CONTROL!$C$9, $D$9, 100%, $F$9) + CHOOSE(CONTROL!$C$27, 0.0021, 0)</f>
        <v>91.269000000000005</v>
      </c>
      <c r="L901" s="10"/>
    </row>
    <row r="902" spans="1:12" ht="15.75" x14ac:dyDescent="0.25">
      <c r="A902" s="13">
        <v>68392</v>
      </c>
      <c r="B902" s="10">
        <f>90.6249 * CHOOSE(CONTROL!$C$9, $D$9, 100%, $F$9) + CHOOSE(CONTROL!$C$27, 0.0021, 0)</f>
        <v>90.626999999999995</v>
      </c>
      <c r="C902" s="10">
        <f>90.1926 * CHOOSE(CONTROL!$C$9, $D$9, 100%, $F$9) + CHOOSE(CONTROL!$C$27, 0.0021, 0)</f>
        <v>90.194699999999997</v>
      </c>
      <c r="D902" s="10">
        <f>90.1926 * CHOOSE(CONTROL!$C$9, $D$9, 100%, $F$9) + CHOOSE(CONTROL!$C$27, 0.0021, 0)</f>
        <v>90.194699999999997</v>
      </c>
      <c r="E902" s="10">
        <f>90.056 * CHOOSE(CONTROL!$C$9, $D$9, 100%, $F$9) + CHOOSE(CONTROL!$C$27, 0.0021, 0)</f>
        <v>90.058099999999996</v>
      </c>
      <c r="F902" s="10">
        <f>90.056 * CHOOSE(CONTROL!$C$9, $D$9, 100%, $F$9) + CHOOSE(CONTROL!$C$27, 0.0021, 0)</f>
        <v>90.058099999999996</v>
      </c>
      <c r="G902" s="10">
        <f>90.3273 * CHOOSE(CONTROL!$C$9, $D$9, 100%, $F$9) + CHOOSE(CONTROL!$C$27, 0.0021, 0)</f>
        <v>90.329399999999993</v>
      </c>
      <c r="H902" s="10">
        <f>90.1926 * CHOOSE(CONTROL!$C$9, $D$9, 100%, $F$9) + CHOOSE(CONTROL!$C$27, 0.0021, 0)</f>
        <v>90.194699999999997</v>
      </c>
      <c r="I902" s="10">
        <f>90.1926 * CHOOSE(CONTROL!$C$9, $D$9, 100%, $F$9) + CHOOSE(CONTROL!$C$27, 0.0021, 0)</f>
        <v>90.194699999999997</v>
      </c>
      <c r="J902" s="10">
        <f>90.1926 * CHOOSE(CONTROL!$C$9, $D$9, 100%, $F$9) + CHOOSE(CONTROL!$C$27, 0.0021, 0)</f>
        <v>90.194699999999997</v>
      </c>
      <c r="K902" s="10">
        <f>90.1926 * CHOOSE(CONTROL!$C$9, $D$9, 100%, $F$9) + CHOOSE(CONTROL!$C$27, 0.0021, 0)</f>
        <v>90.194699999999997</v>
      </c>
      <c r="L902" s="10"/>
    </row>
    <row r="903" spans="1:12" ht="15.75" x14ac:dyDescent="0.25">
      <c r="A903" s="13">
        <v>68422</v>
      </c>
      <c r="B903" s="10">
        <f>89.3421 * CHOOSE(CONTROL!$C$9, $D$9, 100%, $F$9) + CHOOSE(CONTROL!$C$27, 0.0021, 0)</f>
        <v>89.344200000000001</v>
      </c>
      <c r="C903" s="10">
        <f>88.9099 * CHOOSE(CONTROL!$C$9, $D$9, 100%, $F$9) + CHOOSE(CONTROL!$C$27, 0.0021, 0)</f>
        <v>88.911999999999992</v>
      </c>
      <c r="D903" s="10">
        <f>88.9099 * CHOOSE(CONTROL!$C$9, $D$9, 100%, $F$9) + CHOOSE(CONTROL!$C$27, 0.0021, 0)</f>
        <v>88.911999999999992</v>
      </c>
      <c r="E903" s="10">
        <f>88.7732 * CHOOSE(CONTROL!$C$9, $D$9, 100%, $F$9) + CHOOSE(CONTROL!$C$27, 0.0021, 0)</f>
        <v>88.775300000000001</v>
      </c>
      <c r="F903" s="10">
        <f>88.7732 * CHOOSE(CONTROL!$C$9, $D$9, 100%, $F$9) + CHOOSE(CONTROL!$C$27, 0.0021, 0)</f>
        <v>88.775300000000001</v>
      </c>
      <c r="G903" s="10">
        <f>89.0446 * CHOOSE(CONTROL!$C$9, $D$9, 100%, $F$9) + CHOOSE(CONTROL!$C$27, 0.0021, 0)</f>
        <v>89.046700000000001</v>
      </c>
      <c r="H903" s="10">
        <f>88.9099 * CHOOSE(CONTROL!$C$9, $D$9, 100%, $F$9) + CHOOSE(CONTROL!$C$27, 0.0021, 0)</f>
        <v>88.911999999999992</v>
      </c>
      <c r="I903" s="10">
        <f>88.9099 * CHOOSE(CONTROL!$C$9, $D$9, 100%, $F$9) + CHOOSE(CONTROL!$C$27, 0.0021, 0)</f>
        <v>88.911999999999992</v>
      </c>
      <c r="J903" s="10">
        <f>88.9099 * CHOOSE(CONTROL!$C$9, $D$9, 100%, $F$9) + CHOOSE(CONTROL!$C$27, 0.0021, 0)</f>
        <v>88.911999999999992</v>
      </c>
      <c r="K903" s="10">
        <f>88.9099 * CHOOSE(CONTROL!$C$9, $D$9, 100%, $F$9) + CHOOSE(CONTROL!$C$27, 0.0021, 0)</f>
        <v>88.911999999999992</v>
      </c>
      <c r="L903" s="10"/>
    </row>
    <row r="904" spans="1:12" ht="15.75" x14ac:dyDescent="0.25">
      <c r="A904" s="13">
        <v>68453</v>
      </c>
      <c r="B904" s="10">
        <f>91.1702 * CHOOSE(CONTROL!$C$9, $D$9, 100%, $F$9) + CHOOSE(CONTROL!$C$27, 0.0021, 0)</f>
        <v>91.172299999999993</v>
      </c>
      <c r="C904" s="10">
        <f>90.738 * CHOOSE(CONTROL!$C$9, $D$9, 100%, $F$9) + CHOOSE(CONTROL!$C$27, 0.0021, 0)</f>
        <v>90.740099999999998</v>
      </c>
      <c r="D904" s="10">
        <f>90.738 * CHOOSE(CONTROL!$C$9, $D$9, 100%, $F$9) + CHOOSE(CONTROL!$C$27, 0.0021, 0)</f>
        <v>90.740099999999998</v>
      </c>
      <c r="E904" s="10">
        <f>90.6013 * CHOOSE(CONTROL!$C$9, $D$9, 100%, $F$9) + CHOOSE(CONTROL!$C$27, 0.0021, 0)</f>
        <v>90.603399999999993</v>
      </c>
      <c r="F904" s="10">
        <f>90.6013 * CHOOSE(CONTROL!$C$9, $D$9, 100%, $F$9) + CHOOSE(CONTROL!$C$27, 0.0021, 0)</f>
        <v>90.603399999999993</v>
      </c>
      <c r="G904" s="10">
        <f>90.8727 * CHOOSE(CONTROL!$C$9, $D$9, 100%, $F$9) + CHOOSE(CONTROL!$C$27, 0.0021, 0)</f>
        <v>90.874799999999993</v>
      </c>
      <c r="H904" s="10">
        <f>90.738 * CHOOSE(CONTROL!$C$9, $D$9, 100%, $F$9) + CHOOSE(CONTROL!$C$27, 0.0021, 0)</f>
        <v>90.740099999999998</v>
      </c>
      <c r="I904" s="10">
        <f>90.738 * CHOOSE(CONTROL!$C$9, $D$9, 100%, $F$9) + CHOOSE(CONTROL!$C$27, 0.0021, 0)</f>
        <v>90.740099999999998</v>
      </c>
      <c r="J904" s="10">
        <f>90.738 * CHOOSE(CONTROL!$C$9, $D$9, 100%, $F$9) + CHOOSE(CONTROL!$C$27, 0.0021, 0)</f>
        <v>90.740099999999998</v>
      </c>
      <c r="K904" s="10">
        <f>90.738 * CHOOSE(CONTROL!$C$9, $D$9, 100%, $F$9) + CHOOSE(CONTROL!$C$27, 0.0021, 0)</f>
        <v>90.740099999999998</v>
      </c>
      <c r="L904" s="10"/>
    </row>
    <row r="905" spans="1:12" ht="15.75" x14ac:dyDescent="0.25">
      <c r="A905" s="13">
        <v>68483</v>
      </c>
      <c r="B905" s="10">
        <f>92.2652 * CHOOSE(CONTROL!$C$9, $D$9, 100%, $F$9) + CHOOSE(CONTROL!$C$27, 0.0021, 0)</f>
        <v>92.267299999999992</v>
      </c>
      <c r="C905" s="10">
        <f>91.8329 * CHOOSE(CONTROL!$C$9, $D$9, 100%, $F$9) + CHOOSE(CONTROL!$C$27, 0.0021, 0)</f>
        <v>91.834999999999994</v>
      </c>
      <c r="D905" s="10">
        <f>91.8329 * CHOOSE(CONTROL!$C$9, $D$9, 100%, $F$9) + CHOOSE(CONTROL!$C$27, 0.0021, 0)</f>
        <v>91.834999999999994</v>
      </c>
      <c r="E905" s="10">
        <f>91.6962 * CHOOSE(CONTROL!$C$9, $D$9, 100%, $F$9) + CHOOSE(CONTROL!$C$27, 0.0021, 0)</f>
        <v>91.698300000000003</v>
      </c>
      <c r="F905" s="10">
        <f>91.6962 * CHOOSE(CONTROL!$C$9, $D$9, 100%, $F$9) + CHOOSE(CONTROL!$C$27, 0.0021, 0)</f>
        <v>91.698300000000003</v>
      </c>
      <c r="G905" s="10">
        <f>91.9676 * CHOOSE(CONTROL!$C$9, $D$9, 100%, $F$9) + CHOOSE(CONTROL!$C$27, 0.0021, 0)</f>
        <v>91.969700000000003</v>
      </c>
      <c r="H905" s="10">
        <f>91.8329 * CHOOSE(CONTROL!$C$9, $D$9, 100%, $F$9) + CHOOSE(CONTROL!$C$27, 0.0021, 0)</f>
        <v>91.834999999999994</v>
      </c>
      <c r="I905" s="10">
        <f>91.8329 * CHOOSE(CONTROL!$C$9, $D$9, 100%, $F$9) + CHOOSE(CONTROL!$C$27, 0.0021, 0)</f>
        <v>91.834999999999994</v>
      </c>
      <c r="J905" s="10">
        <f>91.8329 * CHOOSE(CONTROL!$C$9, $D$9, 100%, $F$9) + CHOOSE(CONTROL!$C$27, 0.0021, 0)</f>
        <v>91.834999999999994</v>
      </c>
      <c r="K905" s="10">
        <f>91.8329 * CHOOSE(CONTROL!$C$9, $D$9, 100%, $F$9) + CHOOSE(CONTROL!$C$27, 0.0021, 0)</f>
        <v>91.834999999999994</v>
      </c>
      <c r="L905" s="10"/>
    </row>
    <row r="906" spans="1:12" ht="15.75" x14ac:dyDescent="0.25">
      <c r="A906" s="13">
        <v>68514</v>
      </c>
      <c r="B906" s="10">
        <f>94.0714 * CHOOSE(CONTROL!$C$9, $D$9, 100%, $F$9) + CHOOSE(CONTROL!$C$27, 0.0021, 0)</f>
        <v>94.073499999999996</v>
      </c>
      <c r="C906" s="10">
        <f>93.6392 * CHOOSE(CONTROL!$C$9, $D$9, 100%, $F$9) + CHOOSE(CONTROL!$C$27, 0.0021, 0)</f>
        <v>93.641300000000001</v>
      </c>
      <c r="D906" s="10">
        <f>93.6392 * CHOOSE(CONTROL!$C$9, $D$9, 100%, $F$9) + CHOOSE(CONTROL!$C$27, 0.0021, 0)</f>
        <v>93.641300000000001</v>
      </c>
      <c r="E906" s="10">
        <f>93.5025 * CHOOSE(CONTROL!$C$9, $D$9, 100%, $F$9) + CHOOSE(CONTROL!$C$27, 0.0021, 0)</f>
        <v>93.504599999999996</v>
      </c>
      <c r="F906" s="10">
        <f>93.5025 * CHOOSE(CONTROL!$C$9, $D$9, 100%, $F$9) + CHOOSE(CONTROL!$C$27, 0.0021, 0)</f>
        <v>93.504599999999996</v>
      </c>
      <c r="G906" s="10">
        <f>93.7739 * CHOOSE(CONTROL!$C$9, $D$9, 100%, $F$9) + CHOOSE(CONTROL!$C$27, 0.0021, 0)</f>
        <v>93.775999999999996</v>
      </c>
      <c r="H906" s="10">
        <f>93.6392 * CHOOSE(CONTROL!$C$9, $D$9, 100%, $F$9) + CHOOSE(CONTROL!$C$27, 0.0021, 0)</f>
        <v>93.641300000000001</v>
      </c>
      <c r="I906" s="10">
        <f>93.6392 * CHOOSE(CONTROL!$C$9, $D$9, 100%, $F$9) + CHOOSE(CONTROL!$C$27, 0.0021, 0)</f>
        <v>93.641300000000001</v>
      </c>
      <c r="J906" s="10">
        <f>93.6392 * CHOOSE(CONTROL!$C$9, $D$9, 100%, $F$9) + CHOOSE(CONTROL!$C$27, 0.0021, 0)</f>
        <v>93.641300000000001</v>
      </c>
      <c r="K906" s="10">
        <f>93.6392 * CHOOSE(CONTROL!$C$9, $D$9, 100%, $F$9) + CHOOSE(CONTROL!$C$27, 0.0021, 0)</f>
        <v>93.641300000000001</v>
      </c>
      <c r="L906" s="10"/>
    </row>
    <row r="907" spans="1:12" ht="15.75" x14ac:dyDescent="0.25">
      <c r="A907" s="13">
        <v>68545</v>
      </c>
      <c r="B907" s="10">
        <f>94.6227 * CHOOSE(CONTROL!$C$9, $D$9, 100%, $F$9) + CHOOSE(CONTROL!$C$27, 0.0021, 0)</f>
        <v>94.624799999999993</v>
      </c>
      <c r="C907" s="10">
        <f>94.1905 * CHOOSE(CONTROL!$C$9, $D$9, 100%, $F$9) + CHOOSE(CONTROL!$C$27, 0.0021, 0)</f>
        <v>94.192599999999999</v>
      </c>
      <c r="D907" s="10">
        <f>94.1905 * CHOOSE(CONTROL!$C$9, $D$9, 100%, $F$9) + CHOOSE(CONTROL!$C$27, 0.0021, 0)</f>
        <v>94.192599999999999</v>
      </c>
      <c r="E907" s="10">
        <f>94.0538 * CHOOSE(CONTROL!$C$9, $D$9, 100%, $F$9) + CHOOSE(CONTROL!$C$27, 0.0021, 0)</f>
        <v>94.055899999999994</v>
      </c>
      <c r="F907" s="10">
        <f>94.0538 * CHOOSE(CONTROL!$C$9, $D$9, 100%, $F$9) + CHOOSE(CONTROL!$C$27, 0.0021, 0)</f>
        <v>94.055899999999994</v>
      </c>
      <c r="G907" s="10">
        <f>94.3252 * CHOOSE(CONTROL!$C$9, $D$9, 100%, $F$9) + CHOOSE(CONTROL!$C$27, 0.0021, 0)</f>
        <v>94.327299999999994</v>
      </c>
      <c r="H907" s="10">
        <f>94.1905 * CHOOSE(CONTROL!$C$9, $D$9, 100%, $F$9) + CHOOSE(CONTROL!$C$27, 0.0021, 0)</f>
        <v>94.192599999999999</v>
      </c>
      <c r="I907" s="10">
        <f>94.1905 * CHOOSE(CONTROL!$C$9, $D$9, 100%, $F$9) + CHOOSE(CONTROL!$C$27, 0.0021, 0)</f>
        <v>94.192599999999999</v>
      </c>
      <c r="J907" s="10">
        <f>94.1905 * CHOOSE(CONTROL!$C$9, $D$9, 100%, $F$9) + CHOOSE(CONTROL!$C$27, 0.0021, 0)</f>
        <v>94.192599999999999</v>
      </c>
      <c r="K907" s="10">
        <f>94.1905 * CHOOSE(CONTROL!$C$9, $D$9, 100%, $F$9) + CHOOSE(CONTROL!$C$27, 0.0021, 0)</f>
        <v>94.192599999999999</v>
      </c>
      <c r="L907" s="10"/>
    </row>
    <row r="908" spans="1:12" ht="15.75" x14ac:dyDescent="0.25">
      <c r="A908" s="13">
        <v>68575</v>
      </c>
      <c r="B908" s="10">
        <f>96.5003 * CHOOSE(CONTROL!$C$9, $D$9, 100%, $F$9) + CHOOSE(CONTROL!$C$27, 0.0021, 0)</f>
        <v>96.502399999999994</v>
      </c>
      <c r="C908" s="10">
        <f>96.068 * CHOOSE(CONTROL!$C$9, $D$9, 100%, $F$9) + CHOOSE(CONTROL!$C$27, 0.0021, 0)</f>
        <v>96.070099999999996</v>
      </c>
      <c r="D908" s="10">
        <f>96.068 * CHOOSE(CONTROL!$C$9, $D$9, 100%, $F$9) + CHOOSE(CONTROL!$C$27, 0.0021, 0)</f>
        <v>96.070099999999996</v>
      </c>
      <c r="E908" s="10">
        <f>95.9314 * CHOOSE(CONTROL!$C$9, $D$9, 100%, $F$9) + CHOOSE(CONTROL!$C$27, 0.0021, 0)</f>
        <v>95.933499999999995</v>
      </c>
      <c r="F908" s="10">
        <f>95.9314 * CHOOSE(CONTROL!$C$9, $D$9, 100%, $F$9) + CHOOSE(CONTROL!$C$27, 0.0021, 0)</f>
        <v>95.933499999999995</v>
      </c>
      <c r="G908" s="10">
        <f>96.2027 * CHOOSE(CONTROL!$C$9, $D$9, 100%, $F$9) + CHOOSE(CONTROL!$C$27, 0.0021, 0)</f>
        <v>96.204799999999992</v>
      </c>
      <c r="H908" s="10">
        <f>96.068 * CHOOSE(CONTROL!$C$9, $D$9, 100%, $F$9) + CHOOSE(CONTROL!$C$27, 0.0021, 0)</f>
        <v>96.070099999999996</v>
      </c>
      <c r="I908" s="10">
        <f>96.068 * CHOOSE(CONTROL!$C$9, $D$9, 100%, $F$9) + CHOOSE(CONTROL!$C$27, 0.0021, 0)</f>
        <v>96.070099999999996</v>
      </c>
      <c r="J908" s="10">
        <f>96.068 * CHOOSE(CONTROL!$C$9, $D$9, 100%, $F$9) + CHOOSE(CONTROL!$C$27, 0.0021, 0)</f>
        <v>96.070099999999996</v>
      </c>
      <c r="K908" s="10">
        <f>96.068 * CHOOSE(CONTROL!$C$9, $D$9, 100%, $F$9) + CHOOSE(CONTROL!$C$27, 0.0021, 0)</f>
        <v>96.070099999999996</v>
      </c>
      <c r="L908" s="10"/>
    </row>
    <row r="909" spans="1:12" ht="15.75" x14ac:dyDescent="0.25">
      <c r="A909" s="13">
        <v>68606</v>
      </c>
      <c r="B909" s="10">
        <f>98.8769 * CHOOSE(CONTROL!$C$9, $D$9, 100%, $F$9) + CHOOSE(CONTROL!$C$27, 0.0021, 0)</f>
        <v>98.879000000000005</v>
      </c>
      <c r="C909" s="10">
        <f>98.4447 * CHOOSE(CONTROL!$C$9, $D$9, 100%, $F$9) + CHOOSE(CONTROL!$C$27, 0.0021, 0)</f>
        <v>98.446799999999996</v>
      </c>
      <c r="D909" s="10">
        <f>98.4447 * CHOOSE(CONTROL!$C$9, $D$9, 100%, $F$9) + CHOOSE(CONTROL!$C$27, 0.0021, 0)</f>
        <v>98.446799999999996</v>
      </c>
      <c r="E909" s="10">
        <f>98.308 * CHOOSE(CONTROL!$C$9, $D$9, 100%, $F$9) + CHOOSE(CONTROL!$C$27, 0.0021, 0)</f>
        <v>98.310100000000006</v>
      </c>
      <c r="F909" s="10">
        <f>98.308 * CHOOSE(CONTROL!$C$9, $D$9, 100%, $F$9) + CHOOSE(CONTROL!$C$27, 0.0021, 0)</f>
        <v>98.310100000000006</v>
      </c>
      <c r="G909" s="10">
        <f>98.5794 * CHOOSE(CONTROL!$C$9, $D$9, 100%, $F$9) + CHOOSE(CONTROL!$C$27, 0.0021, 0)</f>
        <v>98.581500000000005</v>
      </c>
      <c r="H909" s="10">
        <f>98.4447 * CHOOSE(CONTROL!$C$9, $D$9, 100%, $F$9) + CHOOSE(CONTROL!$C$27, 0.0021, 0)</f>
        <v>98.446799999999996</v>
      </c>
      <c r="I909" s="10">
        <f>98.4447 * CHOOSE(CONTROL!$C$9, $D$9, 100%, $F$9) + CHOOSE(CONTROL!$C$27, 0.0021, 0)</f>
        <v>98.446799999999996</v>
      </c>
      <c r="J909" s="10">
        <f>98.4447 * CHOOSE(CONTROL!$C$9, $D$9, 100%, $F$9) + CHOOSE(CONTROL!$C$27, 0.0021, 0)</f>
        <v>98.446799999999996</v>
      </c>
      <c r="K909" s="10">
        <f>98.4447 * CHOOSE(CONTROL!$C$9, $D$9, 100%, $F$9) + CHOOSE(CONTROL!$C$27, 0.0021, 0)</f>
        <v>98.446799999999996</v>
      </c>
      <c r="L909" s="10"/>
    </row>
    <row r="910" spans="1:12" ht="15.75" x14ac:dyDescent="0.25">
      <c r="A910" s="13">
        <v>68636</v>
      </c>
      <c r="B910" s="10">
        <f>99.1 * CHOOSE(CONTROL!$C$9, $D$9, 100%, $F$9) + CHOOSE(CONTROL!$C$27, 0.0021, 0)</f>
        <v>99.102099999999993</v>
      </c>
      <c r="C910" s="10">
        <f>98.6678 * CHOOSE(CONTROL!$C$9, $D$9, 100%, $F$9) + CHOOSE(CONTROL!$C$27, 0.0021, 0)</f>
        <v>98.669899999999998</v>
      </c>
      <c r="D910" s="10">
        <f>98.6678 * CHOOSE(CONTROL!$C$9, $D$9, 100%, $F$9) + CHOOSE(CONTROL!$C$27, 0.0021, 0)</f>
        <v>98.669899999999998</v>
      </c>
      <c r="E910" s="10">
        <f>98.5311 * CHOOSE(CONTROL!$C$9, $D$9, 100%, $F$9) + CHOOSE(CONTROL!$C$27, 0.0021, 0)</f>
        <v>98.533199999999994</v>
      </c>
      <c r="F910" s="10">
        <f>98.5311 * CHOOSE(CONTROL!$C$9, $D$9, 100%, $F$9) + CHOOSE(CONTROL!$C$27, 0.0021, 0)</f>
        <v>98.533199999999994</v>
      </c>
      <c r="G910" s="10">
        <f>98.8025 * CHOOSE(CONTROL!$C$9, $D$9, 100%, $F$9) + CHOOSE(CONTROL!$C$27, 0.0021, 0)</f>
        <v>98.804599999999994</v>
      </c>
      <c r="H910" s="10">
        <f>98.6678 * CHOOSE(CONTROL!$C$9, $D$9, 100%, $F$9) + CHOOSE(CONTROL!$C$27, 0.0021, 0)</f>
        <v>98.669899999999998</v>
      </c>
      <c r="I910" s="10">
        <f>98.6678 * CHOOSE(CONTROL!$C$9, $D$9, 100%, $F$9) + CHOOSE(CONTROL!$C$27, 0.0021, 0)</f>
        <v>98.669899999999998</v>
      </c>
      <c r="J910" s="10">
        <f>98.6678 * CHOOSE(CONTROL!$C$9, $D$9, 100%, $F$9) + CHOOSE(CONTROL!$C$27, 0.0021, 0)</f>
        <v>98.669899999999998</v>
      </c>
      <c r="K910" s="10">
        <f>98.6678 * CHOOSE(CONTROL!$C$9, $D$9, 100%, $F$9) + CHOOSE(CONTROL!$C$27, 0.0021, 0)</f>
        <v>98.669899999999998</v>
      </c>
      <c r="L910" s="10"/>
    </row>
    <row r="911" spans="1:12" ht="15.75" x14ac:dyDescent="0.25">
      <c r="A911" s="13">
        <v>68667</v>
      </c>
      <c r="B911" s="10">
        <f>97.2019 * CHOOSE(CONTROL!$C$9, $D$9, 100%, $F$9) + CHOOSE(CONTROL!$C$27, 0.0021, 0)</f>
        <v>97.203999999999994</v>
      </c>
      <c r="C911" s="10">
        <f>96.7696 * CHOOSE(CONTROL!$C$9, $D$9, 100%, $F$9) + CHOOSE(CONTROL!$C$27, 0.0021, 0)</f>
        <v>96.771699999999996</v>
      </c>
      <c r="D911" s="10">
        <f>96.7696 * CHOOSE(CONTROL!$C$9, $D$9, 100%, $F$9) + CHOOSE(CONTROL!$C$27, 0.0021, 0)</f>
        <v>96.771699999999996</v>
      </c>
      <c r="E911" s="10">
        <f>96.633 * CHOOSE(CONTROL!$C$9, $D$9, 100%, $F$9) + CHOOSE(CONTROL!$C$27, 0.0021, 0)</f>
        <v>96.635099999999994</v>
      </c>
      <c r="F911" s="10">
        <f>96.633 * CHOOSE(CONTROL!$C$9, $D$9, 100%, $F$9) + CHOOSE(CONTROL!$C$27, 0.0021, 0)</f>
        <v>96.635099999999994</v>
      </c>
      <c r="G911" s="10">
        <f>96.9043 * CHOOSE(CONTROL!$C$9, $D$9, 100%, $F$9) + CHOOSE(CONTROL!$C$27, 0.0021, 0)</f>
        <v>96.906400000000005</v>
      </c>
      <c r="H911" s="10">
        <f>96.7696 * CHOOSE(CONTROL!$C$9, $D$9, 100%, $F$9) + CHOOSE(CONTROL!$C$27, 0.0021, 0)</f>
        <v>96.771699999999996</v>
      </c>
      <c r="I911" s="10">
        <f>96.7696 * CHOOSE(CONTROL!$C$9, $D$9, 100%, $F$9) + CHOOSE(CONTROL!$C$27, 0.0021, 0)</f>
        <v>96.771699999999996</v>
      </c>
      <c r="J911" s="10">
        <f>96.7696 * CHOOSE(CONTROL!$C$9, $D$9, 100%, $F$9) + CHOOSE(CONTROL!$C$27, 0.0021, 0)</f>
        <v>96.771699999999996</v>
      </c>
      <c r="K911" s="10">
        <f>96.7696 * CHOOSE(CONTROL!$C$9, $D$9, 100%, $F$9) + CHOOSE(CONTROL!$C$27, 0.0021, 0)</f>
        <v>96.771699999999996</v>
      </c>
      <c r="L911" s="10"/>
    </row>
    <row r="912" spans="1:12" ht="15.75" x14ac:dyDescent="0.25">
      <c r="A912" s="13">
        <v>68698</v>
      </c>
      <c r="B912" s="10">
        <f>95.9583 * CHOOSE(CONTROL!$C$9, $D$9, 100%, $F$9) + CHOOSE(CONTROL!$C$27, 0.0021, 0)</f>
        <v>95.960399999999993</v>
      </c>
      <c r="C912" s="10">
        <f>95.5261 * CHOOSE(CONTROL!$C$9, $D$9, 100%, $F$9) + CHOOSE(CONTROL!$C$27, 0.0021, 0)</f>
        <v>95.528199999999998</v>
      </c>
      <c r="D912" s="10">
        <f>95.5261 * CHOOSE(CONTROL!$C$9, $D$9, 100%, $F$9) + CHOOSE(CONTROL!$C$27, 0.0021, 0)</f>
        <v>95.528199999999998</v>
      </c>
      <c r="E912" s="10">
        <f>95.3894 * CHOOSE(CONTROL!$C$9, $D$9, 100%, $F$9) + CHOOSE(CONTROL!$C$27, 0.0021, 0)</f>
        <v>95.391499999999994</v>
      </c>
      <c r="F912" s="10">
        <f>95.3894 * CHOOSE(CONTROL!$C$9, $D$9, 100%, $F$9) + CHOOSE(CONTROL!$C$27, 0.0021, 0)</f>
        <v>95.391499999999994</v>
      </c>
      <c r="G912" s="10">
        <f>95.6608 * CHOOSE(CONTROL!$C$9, $D$9, 100%, $F$9) + CHOOSE(CONTROL!$C$27, 0.0021, 0)</f>
        <v>95.662899999999993</v>
      </c>
      <c r="H912" s="10">
        <f>95.5261 * CHOOSE(CONTROL!$C$9, $D$9, 100%, $F$9) + CHOOSE(CONTROL!$C$27, 0.0021, 0)</f>
        <v>95.528199999999998</v>
      </c>
      <c r="I912" s="10">
        <f>95.5261 * CHOOSE(CONTROL!$C$9, $D$9, 100%, $F$9) + CHOOSE(CONTROL!$C$27, 0.0021, 0)</f>
        <v>95.528199999999998</v>
      </c>
      <c r="J912" s="10">
        <f>95.5261 * CHOOSE(CONTROL!$C$9, $D$9, 100%, $F$9) + CHOOSE(CONTROL!$C$27, 0.0021, 0)</f>
        <v>95.528199999999998</v>
      </c>
      <c r="K912" s="10">
        <f>95.5261 * CHOOSE(CONTROL!$C$9, $D$9, 100%, $F$9) + CHOOSE(CONTROL!$C$27, 0.0021, 0)</f>
        <v>95.528199999999998</v>
      </c>
      <c r="L912" s="10"/>
    </row>
    <row r="913" spans="1:12" ht="15.75" x14ac:dyDescent="0.25">
      <c r="A913" s="13">
        <v>68727</v>
      </c>
      <c r="B913" s="10">
        <f>93.3089 * CHOOSE(CONTROL!$C$9, $D$9, 100%, $F$9) + CHOOSE(CONTROL!$C$27, 0.0021, 0)</f>
        <v>93.310999999999993</v>
      </c>
      <c r="C913" s="10">
        <f>92.8767 * CHOOSE(CONTROL!$C$9, $D$9, 100%, $F$9) + CHOOSE(CONTROL!$C$27, 0.0021, 0)</f>
        <v>92.878799999999998</v>
      </c>
      <c r="D913" s="10">
        <f>92.8767 * CHOOSE(CONTROL!$C$9, $D$9, 100%, $F$9) + CHOOSE(CONTROL!$C$27, 0.0021, 0)</f>
        <v>92.878799999999998</v>
      </c>
      <c r="E913" s="10">
        <f>92.74 * CHOOSE(CONTROL!$C$9, $D$9, 100%, $F$9) + CHOOSE(CONTROL!$C$27, 0.0021, 0)</f>
        <v>92.742099999999994</v>
      </c>
      <c r="F913" s="10">
        <f>92.74 * CHOOSE(CONTROL!$C$9, $D$9, 100%, $F$9) + CHOOSE(CONTROL!$C$27, 0.0021, 0)</f>
        <v>92.742099999999994</v>
      </c>
      <c r="G913" s="10">
        <f>93.0114 * CHOOSE(CONTROL!$C$9, $D$9, 100%, $F$9) + CHOOSE(CONTROL!$C$27, 0.0021, 0)</f>
        <v>93.013499999999993</v>
      </c>
      <c r="H913" s="10">
        <f>92.8767 * CHOOSE(CONTROL!$C$9, $D$9, 100%, $F$9) + CHOOSE(CONTROL!$C$27, 0.0021, 0)</f>
        <v>92.878799999999998</v>
      </c>
      <c r="I913" s="10">
        <f>92.8767 * CHOOSE(CONTROL!$C$9, $D$9, 100%, $F$9) + CHOOSE(CONTROL!$C$27, 0.0021, 0)</f>
        <v>92.878799999999998</v>
      </c>
      <c r="J913" s="10">
        <f>92.8767 * CHOOSE(CONTROL!$C$9, $D$9, 100%, $F$9) + CHOOSE(CONTROL!$C$27, 0.0021, 0)</f>
        <v>92.878799999999998</v>
      </c>
      <c r="K913" s="10">
        <f>92.8767 * CHOOSE(CONTROL!$C$9, $D$9, 100%, $F$9) + CHOOSE(CONTROL!$C$27, 0.0021, 0)</f>
        <v>92.878799999999998</v>
      </c>
      <c r="L913" s="10"/>
    </row>
    <row r="914" spans="1:12" ht="15.75" x14ac:dyDescent="0.25">
      <c r="A914" s="13">
        <v>68758</v>
      </c>
      <c r="B914" s="10">
        <f>92.2153 * CHOOSE(CONTROL!$C$9, $D$9, 100%, $F$9) + CHOOSE(CONTROL!$C$27, 0.0021, 0)</f>
        <v>92.217399999999998</v>
      </c>
      <c r="C914" s="10">
        <f>91.783 * CHOOSE(CONTROL!$C$9, $D$9, 100%, $F$9) + CHOOSE(CONTROL!$C$27, 0.0021, 0)</f>
        <v>91.7851</v>
      </c>
      <c r="D914" s="10">
        <f>91.783 * CHOOSE(CONTROL!$C$9, $D$9, 100%, $F$9) + CHOOSE(CONTROL!$C$27, 0.0021, 0)</f>
        <v>91.7851</v>
      </c>
      <c r="E914" s="10">
        <f>91.6464 * CHOOSE(CONTROL!$C$9, $D$9, 100%, $F$9) + CHOOSE(CONTROL!$C$27, 0.0021, 0)</f>
        <v>91.648499999999999</v>
      </c>
      <c r="F914" s="10">
        <f>91.6464 * CHOOSE(CONTROL!$C$9, $D$9, 100%, $F$9) + CHOOSE(CONTROL!$C$27, 0.0021, 0)</f>
        <v>91.648499999999999</v>
      </c>
      <c r="G914" s="10">
        <f>91.9178 * CHOOSE(CONTROL!$C$9, $D$9, 100%, $F$9) + CHOOSE(CONTROL!$C$27, 0.0021, 0)</f>
        <v>91.919899999999998</v>
      </c>
      <c r="H914" s="10">
        <f>91.783 * CHOOSE(CONTROL!$C$9, $D$9, 100%, $F$9) + CHOOSE(CONTROL!$C$27, 0.0021, 0)</f>
        <v>91.7851</v>
      </c>
      <c r="I914" s="10">
        <f>91.783 * CHOOSE(CONTROL!$C$9, $D$9, 100%, $F$9) + CHOOSE(CONTROL!$C$27, 0.0021, 0)</f>
        <v>91.7851</v>
      </c>
      <c r="J914" s="10">
        <f>91.783 * CHOOSE(CONTROL!$C$9, $D$9, 100%, $F$9) + CHOOSE(CONTROL!$C$27, 0.0021, 0)</f>
        <v>91.7851</v>
      </c>
      <c r="K914" s="10">
        <f>91.783 * CHOOSE(CONTROL!$C$9, $D$9, 100%, $F$9) + CHOOSE(CONTROL!$C$27, 0.0021, 0)</f>
        <v>91.7851</v>
      </c>
      <c r="L914" s="10"/>
    </row>
    <row r="915" spans="1:12" ht="15.75" x14ac:dyDescent="0.25">
      <c r="A915" s="13">
        <v>68788</v>
      </c>
      <c r="B915" s="10">
        <f>90.9094 * CHOOSE(CONTROL!$C$9, $D$9, 100%, $F$9) + CHOOSE(CONTROL!$C$27, 0.0021, 0)</f>
        <v>90.911500000000004</v>
      </c>
      <c r="C915" s="10">
        <f>90.4772 * CHOOSE(CONTROL!$C$9, $D$9, 100%, $F$9) + CHOOSE(CONTROL!$C$27, 0.0021, 0)</f>
        <v>90.479299999999995</v>
      </c>
      <c r="D915" s="10">
        <f>90.4772 * CHOOSE(CONTROL!$C$9, $D$9, 100%, $F$9) + CHOOSE(CONTROL!$C$27, 0.0021, 0)</f>
        <v>90.479299999999995</v>
      </c>
      <c r="E915" s="10">
        <f>90.3405 * CHOOSE(CONTROL!$C$9, $D$9, 100%, $F$9) + CHOOSE(CONTROL!$C$27, 0.0021, 0)</f>
        <v>90.342600000000004</v>
      </c>
      <c r="F915" s="10">
        <f>90.3405 * CHOOSE(CONTROL!$C$9, $D$9, 100%, $F$9) + CHOOSE(CONTROL!$C$27, 0.0021, 0)</f>
        <v>90.342600000000004</v>
      </c>
      <c r="G915" s="10">
        <f>90.6119 * CHOOSE(CONTROL!$C$9, $D$9, 100%, $F$9) + CHOOSE(CONTROL!$C$27, 0.0021, 0)</f>
        <v>90.614000000000004</v>
      </c>
      <c r="H915" s="10">
        <f>90.4772 * CHOOSE(CONTROL!$C$9, $D$9, 100%, $F$9) + CHOOSE(CONTROL!$C$27, 0.0021, 0)</f>
        <v>90.479299999999995</v>
      </c>
      <c r="I915" s="10">
        <f>90.4772 * CHOOSE(CONTROL!$C$9, $D$9, 100%, $F$9) + CHOOSE(CONTROL!$C$27, 0.0021, 0)</f>
        <v>90.479299999999995</v>
      </c>
      <c r="J915" s="10">
        <f>90.4772 * CHOOSE(CONTROL!$C$9, $D$9, 100%, $F$9) + CHOOSE(CONTROL!$C$27, 0.0021, 0)</f>
        <v>90.479299999999995</v>
      </c>
      <c r="K915" s="10">
        <f>90.4772 * CHOOSE(CONTROL!$C$9, $D$9, 100%, $F$9) + CHOOSE(CONTROL!$C$27, 0.0021, 0)</f>
        <v>90.479299999999995</v>
      </c>
      <c r="L915" s="10"/>
    </row>
    <row r="916" spans="1:12" ht="15.75" x14ac:dyDescent="0.25">
      <c r="A916" s="13">
        <v>68819</v>
      </c>
      <c r="B916" s="10">
        <f>92.7704 * CHOOSE(CONTROL!$C$9, $D$9, 100%, $F$9) + CHOOSE(CONTROL!$C$27, 0.0021, 0)</f>
        <v>92.772499999999994</v>
      </c>
      <c r="C916" s="10">
        <f>92.3382 * CHOOSE(CONTROL!$C$9, $D$9, 100%, $F$9) + CHOOSE(CONTROL!$C$27, 0.0021, 0)</f>
        <v>92.340299999999999</v>
      </c>
      <c r="D916" s="10">
        <f>92.3382 * CHOOSE(CONTROL!$C$9, $D$9, 100%, $F$9) + CHOOSE(CONTROL!$C$27, 0.0021, 0)</f>
        <v>92.340299999999999</v>
      </c>
      <c r="E916" s="10">
        <f>92.2015 * CHOOSE(CONTROL!$C$9, $D$9, 100%, $F$9) + CHOOSE(CONTROL!$C$27, 0.0021, 0)</f>
        <v>92.203599999999994</v>
      </c>
      <c r="F916" s="10">
        <f>92.2015 * CHOOSE(CONTROL!$C$9, $D$9, 100%, $F$9) + CHOOSE(CONTROL!$C$27, 0.0021, 0)</f>
        <v>92.203599999999994</v>
      </c>
      <c r="G916" s="10">
        <f>92.4729 * CHOOSE(CONTROL!$C$9, $D$9, 100%, $F$9) + CHOOSE(CONTROL!$C$27, 0.0021, 0)</f>
        <v>92.474999999999994</v>
      </c>
      <c r="H916" s="10">
        <f>92.3382 * CHOOSE(CONTROL!$C$9, $D$9, 100%, $F$9) + CHOOSE(CONTROL!$C$27, 0.0021, 0)</f>
        <v>92.340299999999999</v>
      </c>
      <c r="I916" s="10">
        <f>92.3382 * CHOOSE(CONTROL!$C$9, $D$9, 100%, $F$9) + CHOOSE(CONTROL!$C$27, 0.0021, 0)</f>
        <v>92.340299999999999</v>
      </c>
      <c r="J916" s="10">
        <f>92.3382 * CHOOSE(CONTROL!$C$9, $D$9, 100%, $F$9) + CHOOSE(CONTROL!$C$27, 0.0021, 0)</f>
        <v>92.340299999999999</v>
      </c>
      <c r="K916" s="10">
        <f>92.3382 * CHOOSE(CONTROL!$C$9, $D$9, 100%, $F$9) + CHOOSE(CONTROL!$C$27, 0.0021, 0)</f>
        <v>92.340299999999999</v>
      </c>
      <c r="L916" s="10"/>
    </row>
    <row r="917" spans="1:12" ht="15.75" x14ac:dyDescent="0.25">
      <c r="A917" s="13">
        <v>68849</v>
      </c>
      <c r="B917" s="10">
        <f>93.8851 * CHOOSE(CONTROL!$C$9, $D$9, 100%, $F$9) + CHOOSE(CONTROL!$C$27, 0.0021, 0)</f>
        <v>93.887199999999993</v>
      </c>
      <c r="C917" s="10">
        <f>93.4529 * CHOOSE(CONTROL!$C$9, $D$9, 100%, $F$9) + CHOOSE(CONTROL!$C$27, 0.0021, 0)</f>
        <v>93.454999999999998</v>
      </c>
      <c r="D917" s="10">
        <f>93.4529 * CHOOSE(CONTROL!$C$9, $D$9, 100%, $F$9) + CHOOSE(CONTROL!$C$27, 0.0021, 0)</f>
        <v>93.454999999999998</v>
      </c>
      <c r="E917" s="10">
        <f>93.3162 * CHOOSE(CONTROL!$C$9, $D$9, 100%, $F$9) + CHOOSE(CONTROL!$C$27, 0.0021, 0)</f>
        <v>93.318299999999994</v>
      </c>
      <c r="F917" s="10">
        <f>93.3162 * CHOOSE(CONTROL!$C$9, $D$9, 100%, $F$9) + CHOOSE(CONTROL!$C$27, 0.0021, 0)</f>
        <v>93.318299999999994</v>
      </c>
      <c r="G917" s="10">
        <f>93.5876 * CHOOSE(CONTROL!$C$9, $D$9, 100%, $F$9) + CHOOSE(CONTROL!$C$27, 0.0021, 0)</f>
        <v>93.589699999999993</v>
      </c>
      <c r="H917" s="10">
        <f>93.4529 * CHOOSE(CONTROL!$C$9, $D$9, 100%, $F$9) + CHOOSE(CONTROL!$C$27, 0.0021, 0)</f>
        <v>93.454999999999998</v>
      </c>
      <c r="I917" s="10">
        <f>93.4529 * CHOOSE(CONTROL!$C$9, $D$9, 100%, $F$9) + CHOOSE(CONTROL!$C$27, 0.0021, 0)</f>
        <v>93.454999999999998</v>
      </c>
      <c r="J917" s="10">
        <f>93.4529 * CHOOSE(CONTROL!$C$9, $D$9, 100%, $F$9) + CHOOSE(CONTROL!$C$27, 0.0021, 0)</f>
        <v>93.454999999999998</v>
      </c>
      <c r="K917" s="10">
        <f>93.4529 * CHOOSE(CONTROL!$C$9, $D$9, 100%, $F$9) + CHOOSE(CONTROL!$C$27, 0.0021, 0)</f>
        <v>93.454999999999998</v>
      </c>
      <c r="L917" s="10"/>
    </row>
    <row r="918" spans="1:12" ht="15.75" x14ac:dyDescent="0.25">
      <c r="A918" s="13">
        <v>68880</v>
      </c>
      <c r="B918" s="10">
        <f>95.7239 * CHOOSE(CONTROL!$C$9, $D$9, 100%, $F$9) + CHOOSE(CONTROL!$C$27, 0.0021, 0)</f>
        <v>95.725999999999999</v>
      </c>
      <c r="C918" s="10">
        <f>95.2916 * CHOOSE(CONTROL!$C$9, $D$9, 100%, $F$9) + CHOOSE(CONTROL!$C$27, 0.0021, 0)</f>
        <v>95.293700000000001</v>
      </c>
      <c r="D918" s="10">
        <f>95.2916 * CHOOSE(CONTROL!$C$9, $D$9, 100%, $F$9) + CHOOSE(CONTROL!$C$27, 0.0021, 0)</f>
        <v>95.293700000000001</v>
      </c>
      <c r="E918" s="10">
        <f>95.155 * CHOOSE(CONTROL!$C$9, $D$9, 100%, $F$9) + CHOOSE(CONTROL!$C$27, 0.0021, 0)</f>
        <v>95.1571</v>
      </c>
      <c r="F918" s="10">
        <f>95.155 * CHOOSE(CONTROL!$C$9, $D$9, 100%, $F$9) + CHOOSE(CONTROL!$C$27, 0.0021, 0)</f>
        <v>95.1571</v>
      </c>
      <c r="G918" s="10">
        <f>95.4264 * CHOOSE(CONTROL!$C$9, $D$9, 100%, $F$9) + CHOOSE(CONTROL!$C$27, 0.0021, 0)</f>
        <v>95.4285</v>
      </c>
      <c r="H918" s="10">
        <f>95.2916 * CHOOSE(CONTROL!$C$9, $D$9, 100%, $F$9) + CHOOSE(CONTROL!$C$27, 0.0021, 0)</f>
        <v>95.293700000000001</v>
      </c>
      <c r="I918" s="10">
        <f>95.2916 * CHOOSE(CONTROL!$C$9, $D$9, 100%, $F$9) + CHOOSE(CONTROL!$C$27, 0.0021, 0)</f>
        <v>95.293700000000001</v>
      </c>
      <c r="J918" s="10">
        <f>95.2916 * CHOOSE(CONTROL!$C$9, $D$9, 100%, $F$9) + CHOOSE(CONTROL!$C$27, 0.0021, 0)</f>
        <v>95.293700000000001</v>
      </c>
      <c r="K918" s="10">
        <f>95.2916 * CHOOSE(CONTROL!$C$9, $D$9, 100%, $F$9) + CHOOSE(CONTROL!$C$27, 0.0021, 0)</f>
        <v>95.293700000000001</v>
      </c>
      <c r="L918" s="10"/>
    </row>
    <row r="919" spans="1:12" ht="15.75" x14ac:dyDescent="0.25">
      <c r="A919" s="13">
        <v>68911</v>
      </c>
      <c r="B919" s="10">
        <f>96.2851 * CHOOSE(CONTROL!$C$9, $D$9, 100%, $F$9) + CHOOSE(CONTROL!$C$27, 0.0021, 0)</f>
        <v>96.287199999999999</v>
      </c>
      <c r="C919" s="10">
        <f>95.8529 * CHOOSE(CONTROL!$C$9, $D$9, 100%, $F$9) + CHOOSE(CONTROL!$C$27, 0.0021, 0)</f>
        <v>95.855000000000004</v>
      </c>
      <c r="D919" s="10">
        <f>95.8529 * CHOOSE(CONTROL!$C$9, $D$9, 100%, $F$9) + CHOOSE(CONTROL!$C$27, 0.0021, 0)</f>
        <v>95.855000000000004</v>
      </c>
      <c r="E919" s="10">
        <f>95.7162 * CHOOSE(CONTROL!$C$9, $D$9, 100%, $F$9) + CHOOSE(CONTROL!$C$27, 0.0021, 0)</f>
        <v>95.718299999999999</v>
      </c>
      <c r="F919" s="10">
        <f>95.7162 * CHOOSE(CONTROL!$C$9, $D$9, 100%, $F$9) + CHOOSE(CONTROL!$C$27, 0.0021, 0)</f>
        <v>95.718299999999999</v>
      </c>
      <c r="G919" s="10">
        <f>95.9876 * CHOOSE(CONTROL!$C$9, $D$9, 100%, $F$9) + CHOOSE(CONTROL!$C$27, 0.0021, 0)</f>
        <v>95.989699999999999</v>
      </c>
      <c r="H919" s="10">
        <f>95.8529 * CHOOSE(CONTROL!$C$9, $D$9, 100%, $F$9) + CHOOSE(CONTROL!$C$27, 0.0021, 0)</f>
        <v>95.855000000000004</v>
      </c>
      <c r="I919" s="10">
        <f>95.8529 * CHOOSE(CONTROL!$C$9, $D$9, 100%, $F$9) + CHOOSE(CONTROL!$C$27, 0.0021, 0)</f>
        <v>95.855000000000004</v>
      </c>
      <c r="J919" s="10">
        <f>95.8529 * CHOOSE(CONTROL!$C$9, $D$9, 100%, $F$9) + CHOOSE(CONTROL!$C$27, 0.0021, 0)</f>
        <v>95.855000000000004</v>
      </c>
      <c r="K919" s="10">
        <f>95.8529 * CHOOSE(CONTROL!$C$9, $D$9, 100%, $F$9) + CHOOSE(CONTROL!$C$27, 0.0021, 0)</f>
        <v>95.855000000000004</v>
      </c>
      <c r="L919" s="10"/>
    </row>
    <row r="920" spans="1:12" ht="15.75" x14ac:dyDescent="0.25">
      <c r="A920" s="13">
        <v>68941</v>
      </c>
      <c r="B920" s="10">
        <f>98.1965 * CHOOSE(CONTROL!$C$9, $D$9, 100%, $F$9) + CHOOSE(CONTROL!$C$27, 0.0021, 0)</f>
        <v>98.198599999999999</v>
      </c>
      <c r="C920" s="10">
        <f>97.7642 * CHOOSE(CONTROL!$C$9, $D$9, 100%, $F$9) + CHOOSE(CONTROL!$C$27, 0.0021, 0)</f>
        <v>97.766300000000001</v>
      </c>
      <c r="D920" s="10">
        <f>97.7642 * CHOOSE(CONTROL!$C$9, $D$9, 100%, $F$9) + CHOOSE(CONTROL!$C$27, 0.0021, 0)</f>
        <v>97.766300000000001</v>
      </c>
      <c r="E920" s="10">
        <f>97.6276 * CHOOSE(CONTROL!$C$9, $D$9, 100%, $F$9) + CHOOSE(CONTROL!$C$27, 0.0021, 0)</f>
        <v>97.6297</v>
      </c>
      <c r="F920" s="10">
        <f>97.6276 * CHOOSE(CONTROL!$C$9, $D$9, 100%, $F$9) + CHOOSE(CONTROL!$C$27, 0.0021, 0)</f>
        <v>97.6297</v>
      </c>
      <c r="G920" s="10">
        <f>97.8989 * CHOOSE(CONTROL!$C$9, $D$9, 100%, $F$9) + CHOOSE(CONTROL!$C$27, 0.0021, 0)</f>
        <v>97.900999999999996</v>
      </c>
      <c r="H920" s="10">
        <f>97.7642 * CHOOSE(CONTROL!$C$9, $D$9, 100%, $F$9) + CHOOSE(CONTROL!$C$27, 0.0021, 0)</f>
        <v>97.766300000000001</v>
      </c>
      <c r="I920" s="10">
        <f>97.7642 * CHOOSE(CONTROL!$C$9, $D$9, 100%, $F$9) + CHOOSE(CONTROL!$C$27, 0.0021, 0)</f>
        <v>97.766300000000001</v>
      </c>
      <c r="J920" s="10">
        <f>97.7642 * CHOOSE(CONTROL!$C$9, $D$9, 100%, $F$9) + CHOOSE(CONTROL!$C$27, 0.0021, 0)</f>
        <v>97.766300000000001</v>
      </c>
      <c r="K920" s="10">
        <f>97.7642 * CHOOSE(CONTROL!$C$9, $D$9, 100%, $F$9) + CHOOSE(CONTROL!$C$27, 0.0021, 0)</f>
        <v>97.766300000000001</v>
      </c>
      <c r="L920" s="10"/>
    </row>
    <row r="921" spans="1:12" ht="15.75" x14ac:dyDescent="0.25">
      <c r="A921" s="13">
        <v>68972</v>
      </c>
      <c r="B921" s="10">
        <f>100.6159 * CHOOSE(CONTROL!$C$9, $D$9, 100%, $F$9) + CHOOSE(CONTROL!$C$27, 0.0021, 0)</f>
        <v>100.61799999999999</v>
      </c>
      <c r="C921" s="10">
        <f>100.1837 * CHOOSE(CONTROL!$C$9, $D$9, 100%, $F$9) + CHOOSE(CONTROL!$C$27, 0.0021, 0)</f>
        <v>100.1858</v>
      </c>
      <c r="D921" s="10">
        <f>100.1837 * CHOOSE(CONTROL!$C$9, $D$9, 100%, $F$9) + CHOOSE(CONTROL!$C$27, 0.0021, 0)</f>
        <v>100.1858</v>
      </c>
      <c r="E921" s="10">
        <f>100.047 * CHOOSE(CONTROL!$C$9, $D$9, 100%, $F$9) + CHOOSE(CONTROL!$C$27, 0.0021, 0)</f>
        <v>100.0491</v>
      </c>
      <c r="F921" s="10">
        <f>100.047 * CHOOSE(CONTROL!$C$9, $D$9, 100%, $F$9) + CHOOSE(CONTROL!$C$27, 0.0021, 0)</f>
        <v>100.0491</v>
      </c>
      <c r="G921" s="10">
        <f>100.3184 * CHOOSE(CONTROL!$C$9, $D$9, 100%, $F$9) + CHOOSE(CONTROL!$C$27, 0.0021, 0)</f>
        <v>100.3205</v>
      </c>
      <c r="H921" s="10">
        <f>100.1837 * CHOOSE(CONTROL!$C$9, $D$9, 100%, $F$9) + CHOOSE(CONTROL!$C$27, 0.0021, 0)</f>
        <v>100.1858</v>
      </c>
      <c r="I921" s="10">
        <f>100.1837 * CHOOSE(CONTROL!$C$9, $D$9, 100%, $F$9) + CHOOSE(CONTROL!$C$27, 0.0021, 0)</f>
        <v>100.1858</v>
      </c>
      <c r="J921" s="10">
        <f>100.1837 * CHOOSE(CONTROL!$C$9, $D$9, 100%, $F$9) + CHOOSE(CONTROL!$C$27, 0.0021, 0)</f>
        <v>100.1858</v>
      </c>
      <c r="K921" s="10">
        <f>100.1837 * CHOOSE(CONTROL!$C$9, $D$9, 100%, $F$9) + CHOOSE(CONTROL!$C$27, 0.0021, 0)</f>
        <v>100.1858</v>
      </c>
      <c r="L921" s="10"/>
    </row>
    <row r="922" spans="1:12" ht="15.75" x14ac:dyDescent="0.25">
      <c r="A922" s="13">
        <v>69002</v>
      </c>
      <c r="B922" s="10">
        <f>100.843 * CHOOSE(CONTROL!$C$9, $D$9, 100%, $F$9) + CHOOSE(CONTROL!$C$27, 0.0021, 0)</f>
        <v>100.8451</v>
      </c>
      <c r="C922" s="10">
        <f>100.4108 * CHOOSE(CONTROL!$C$9, $D$9, 100%, $F$9) + CHOOSE(CONTROL!$C$27, 0.0021, 0)</f>
        <v>100.41289999999999</v>
      </c>
      <c r="D922" s="10">
        <f>100.4108 * CHOOSE(CONTROL!$C$9, $D$9, 100%, $F$9) + CHOOSE(CONTROL!$C$27, 0.0021, 0)</f>
        <v>100.41289999999999</v>
      </c>
      <c r="E922" s="10">
        <f>100.2741 * CHOOSE(CONTROL!$C$9, $D$9, 100%, $F$9) + CHOOSE(CONTROL!$C$27, 0.0021, 0)</f>
        <v>100.2762</v>
      </c>
      <c r="F922" s="10">
        <f>100.2741 * CHOOSE(CONTROL!$C$9, $D$9, 100%, $F$9) + CHOOSE(CONTROL!$C$27, 0.0021, 0)</f>
        <v>100.2762</v>
      </c>
      <c r="G922" s="10">
        <f>100.5455 * CHOOSE(CONTROL!$C$9, $D$9, 100%, $F$9) + CHOOSE(CONTROL!$C$27, 0.0021, 0)</f>
        <v>100.5476</v>
      </c>
      <c r="H922" s="10">
        <f>100.4108 * CHOOSE(CONTROL!$C$9, $D$9, 100%, $F$9) + CHOOSE(CONTROL!$C$27, 0.0021, 0)</f>
        <v>100.41289999999999</v>
      </c>
      <c r="I922" s="10">
        <f>100.4108 * CHOOSE(CONTROL!$C$9, $D$9, 100%, $F$9) + CHOOSE(CONTROL!$C$27, 0.0021, 0)</f>
        <v>100.41289999999999</v>
      </c>
      <c r="J922" s="10">
        <f>100.4108 * CHOOSE(CONTROL!$C$9, $D$9, 100%, $F$9) + CHOOSE(CONTROL!$C$27, 0.0021, 0)</f>
        <v>100.41289999999999</v>
      </c>
      <c r="K922" s="10">
        <f>100.4108 * CHOOSE(CONTROL!$C$9, $D$9, 100%, $F$9) + CHOOSE(CONTROL!$C$27, 0.0021, 0)</f>
        <v>100.41289999999999</v>
      </c>
      <c r="L922" s="10"/>
    </row>
    <row r="923" spans="1:12" ht="15.75" x14ac:dyDescent="0.25">
      <c r="A923" s="13">
        <v>69033</v>
      </c>
      <c r="B923" s="10">
        <f>98.9107 * CHOOSE(CONTROL!$C$9, $D$9, 100%, $F$9) + CHOOSE(CONTROL!$C$27, 0.0021, 0)</f>
        <v>98.912800000000004</v>
      </c>
      <c r="C923" s="10">
        <f>98.4784 * CHOOSE(CONTROL!$C$9, $D$9, 100%, $F$9) + CHOOSE(CONTROL!$C$27, 0.0021, 0)</f>
        <v>98.480499999999992</v>
      </c>
      <c r="D923" s="10">
        <f>98.4784 * CHOOSE(CONTROL!$C$9, $D$9, 100%, $F$9) + CHOOSE(CONTROL!$C$27, 0.0021, 0)</f>
        <v>98.480499999999992</v>
      </c>
      <c r="E923" s="10">
        <f>98.3418 * CHOOSE(CONTROL!$C$9, $D$9, 100%, $F$9) + CHOOSE(CONTROL!$C$27, 0.0021, 0)</f>
        <v>98.343900000000005</v>
      </c>
      <c r="F923" s="10">
        <f>98.3418 * CHOOSE(CONTROL!$C$9, $D$9, 100%, $F$9) + CHOOSE(CONTROL!$C$27, 0.0021, 0)</f>
        <v>98.343900000000005</v>
      </c>
      <c r="G923" s="10">
        <f>98.6132 * CHOOSE(CONTROL!$C$9, $D$9, 100%, $F$9) + CHOOSE(CONTROL!$C$27, 0.0021, 0)</f>
        <v>98.615300000000005</v>
      </c>
      <c r="H923" s="10">
        <f>98.4784 * CHOOSE(CONTROL!$C$9, $D$9, 100%, $F$9) + CHOOSE(CONTROL!$C$27, 0.0021, 0)</f>
        <v>98.480499999999992</v>
      </c>
      <c r="I923" s="10">
        <f>98.4784 * CHOOSE(CONTROL!$C$9, $D$9, 100%, $F$9) + CHOOSE(CONTROL!$C$27, 0.0021, 0)</f>
        <v>98.480499999999992</v>
      </c>
      <c r="J923" s="10">
        <f>98.4784 * CHOOSE(CONTROL!$C$9, $D$9, 100%, $F$9) + CHOOSE(CONTROL!$C$27, 0.0021, 0)</f>
        <v>98.480499999999992</v>
      </c>
      <c r="K923" s="10">
        <f>98.4784 * CHOOSE(CONTROL!$C$9, $D$9, 100%, $F$9) + CHOOSE(CONTROL!$C$27, 0.0021, 0)</f>
        <v>98.480499999999992</v>
      </c>
      <c r="L923" s="10"/>
    </row>
    <row r="924" spans="1:12" ht="15.75" x14ac:dyDescent="0.25">
      <c r="A924" s="13">
        <v>69064</v>
      </c>
      <c r="B924" s="10">
        <f>97.6448 * CHOOSE(CONTROL!$C$9, $D$9, 100%, $F$9) + CHOOSE(CONTROL!$C$27, 0.0021, 0)</f>
        <v>97.646900000000002</v>
      </c>
      <c r="C924" s="10">
        <f>97.2125 * CHOOSE(CONTROL!$C$9, $D$9, 100%, $F$9) + CHOOSE(CONTROL!$C$27, 0.0021, 0)</f>
        <v>97.214600000000004</v>
      </c>
      <c r="D924" s="10">
        <f>97.2125 * CHOOSE(CONTROL!$C$9, $D$9, 100%, $F$9) + CHOOSE(CONTROL!$C$27, 0.0021, 0)</f>
        <v>97.214600000000004</v>
      </c>
      <c r="E924" s="10">
        <f>97.0759 * CHOOSE(CONTROL!$C$9, $D$9, 100%, $F$9) + CHOOSE(CONTROL!$C$27, 0.0021, 0)</f>
        <v>97.078000000000003</v>
      </c>
      <c r="F924" s="10">
        <f>97.0759 * CHOOSE(CONTROL!$C$9, $D$9, 100%, $F$9) + CHOOSE(CONTROL!$C$27, 0.0021, 0)</f>
        <v>97.078000000000003</v>
      </c>
      <c r="G924" s="10">
        <f>97.3472 * CHOOSE(CONTROL!$C$9, $D$9, 100%, $F$9) + CHOOSE(CONTROL!$C$27, 0.0021, 0)</f>
        <v>97.349299999999999</v>
      </c>
      <c r="H924" s="10">
        <f>97.2125 * CHOOSE(CONTROL!$C$9, $D$9, 100%, $F$9) + CHOOSE(CONTROL!$C$27, 0.0021, 0)</f>
        <v>97.214600000000004</v>
      </c>
      <c r="I924" s="10">
        <f>97.2125 * CHOOSE(CONTROL!$C$9, $D$9, 100%, $F$9) + CHOOSE(CONTROL!$C$27, 0.0021, 0)</f>
        <v>97.214600000000004</v>
      </c>
      <c r="J924" s="10">
        <f>97.2125 * CHOOSE(CONTROL!$C$9, $D$9, 100%, $F$9) + CHOOSE(CONTROL!$C$27, 0.0021, 0)</f>
        <v>97.214600000000004</v>
      </c>
      <c r="K924" s="10">
        <f>97.2125 * CHOOSE(CONTROL!$C$9, $D$9, 100%, $F$9) + CHOOSE(CONTROL!$C$27, 0.0021, 0)</f>
        <v>97.214600000000004</v>
      </c>
      <c r="L924" s="10"/>
    </row>
    <row r="925" spans="1:12" ht="15.75" x14ac:dyDescent="0.25">
      <c r="A925" s="13">
        <v>69092</v>
      </c>
      <c r="B925" s="10">
        <f>94.9477 * CHOOSE(CONTROL!$C$9, $D$9, 100%, $F$9) + CHOOSE(CONTROL!$C$27, 0.0021, 0)</f>
        <v>94.949799999999996</v>
      </c>
      <c r="C925" s="10">
        <f>94.5154 * CHOOSE(CONTROL!$C$9, $D$9, 100%, $F$9) + CHOOSE(CONTROL!$C$27, 0.0021, 0)</f>
        <v>94.517499999999998</v>
      </c>
      <c r="D925" s="10">
        <f>94.5154 * CHOOSE(CONTROL!$C$9, $D$9, 100%, $F$9) + CHOOSE(CONTROL!$C$27, 0.0021, 0)</f>
        <v>94.517499999999998</v>
      </c>
      <c r="E925" s="10">
        <f>94.3788 * CHOOSE(CONTROL!$C$9, $D$9, 100%, $F$9) + CHOOSE(CONTROL!$C$27, 0.0021, 0)</f>
        <v>94.380899999999997</v>
      </c>
      <c r="F925" s="10">
        <f>94.3788 * CHOOSE(CONTROL!$C$9, $D$9, 100%, $F$9) + CHOOSE(CONTROL!$C$27, 0.0021, 0)</f>
        <v>94.380899999999997</v>
      </c>
      <c r="G925" s="10">
        <f>94.6502 * CHOOSE(CONTROL!$C$9, $D$9, 100%, $F$9) + CHOOSE(CONTROL!$C$27, 0.0021, 0)</f>
        <v>94.652299999999997</v>
      </c>
      <c r="H925" s="10">
        <f>94.5154 * CHOOSE(CONTROL!$C$9, $D$9, 100%, $F$9) + CHOOSE(CONTROL!$C$27, 0.0021, 0)</f>
        <v>94.517499999999998</v>
      </c>
      <c r="I925" s="10">
        <f>94.5154 * CHOOSE(CONTROL!$C$9, $D$9, 100%, $F$9) + CHOOSE(CONTROL!$C$27, 0.0021, 0)</f>
        <v>94.517499999999998</v>
      </c>
      <c r="J925" s="10">
        <f>94.5154 * CHOOSE(CONTROL!$C$9, $D$9, 100%, $F$9) + CHOOSE(CONTROL!$C$27, 0.0021, 0)</f>
        <v>94.517499999999998</v>
      </c>
      <c r="K925" s="10">
        <f>94.5154 * CHOOSE(CONTROL!$C$9, $D$9, 100%, $F$9) + CHOOSE(CONTROL!$C$27, 0.0021, 0)</f>
        <v>94.517499999999998</v>
      </c>
      <c r="L925" s="10"/>
    </row>
    <row r="926" spans="1:12" ht="15.75" x14ac:dyDescent="0.25">
      <c r="A926" s="13">
        <v>69123</v>
      </c>
      <c r="B926" s="10">
        <f>93.8343 * CHOOSE(CONTROL!$C$9, $D$9, 100%, $F$9) + CHOOSE(CONTROL!$C$27, 0.0021, 0)</f>
        <v>93.836399999999998</v>
      </c>
      <c r="C926" s="10">
        <f>93.4021 * CHOOSE(CONTROL!$C$9, $D$9, 100%, $F$9) + CHOOSE(CONTROL!$C$27, 0.0021, 0)</f>
        <v>93.404200000000003</v>
      </c>
      <c r="D926" s="10">
        <f>93.4021 * CHOOSE(CONTROL!$C$9, $D$9, 100%, $F$9) + CHOOSE(CONTROL!$C$27, 0.0021, 0)</f>
        <v>93.404200000000003</v>
      </c>
      <c r="E926" s="10">
        <f>93.2654 * CHOOSE(CONTROL!$C$9, $D$9, 100%, $F$9) + CHOOSE(CONTROL!$C$27, 0.0021, 0)</f>
        <v>93.267499999999998</v>
      </c>
      <c r="F926" s="10">
        <f>93.2654 * CHOOSE(CONTROL!$C$9, $D$9, 100%, $F$9) + CHOOSE(CONTROL!$C$27, 0.0021, 0)</f>
        <v>93.267499999999998</v>
      </c>
      <c r="G926" s="10">
        <f>93.5368 * CHOOSE(CONTROL!$C$9, $D$9, 100%, $F$9) + CHOOSE(CONTROL!$C$27, 0.0021, 0)</f>
        <v>93.538899999999998</v>
      </c>
      <c r="H926" s="10">
        <f>93.4021 * CHOOSE(CONTROL!$C$9, $D$9, 100%, $F$9) + CHOOSE(CONTROL!$C$27, 0.0021, 0)</f>
        <v>93.404200000000003</v>
      </c>
      <c r="I926" s="10">
        <f>93.4021 * CHOOSE(CONTROL!$C$9, $D$9, 100%, $F$9) + CHOOSE(CONTROL!$C$27, 0.0021, 0)</f>
        <v>93.404200000000003</v>
      </c>
      <c r="J926" s="10">
        <f>93.4021 * CHOOSE(CONTROL!$C$9, $D$9, 100%, $F$9) + CHOOSE(CONTROL!$C$27, 0.0021, 0)</f>
        <v>93.404200000000003</v>
      </c>
      <c r="K926" s="10">
        <f>93.4021 * CHOOSE(CONTROL!$C$9, $D$9, 100%, $F$9) + CHOOSE(CONTROL!$C$27, 0.0021, 0)</f>
        <v>93.404200000000003</v>
      </c>
      <c r="L926" s="10"/>
    </row>
    <row r="927" spans="1:12" ht="15.75" x14ac:dyDescent="0.25">
      <c r="A927" s="13">
        <v>69153</v>
      </c>
      <c r="B927" s="10">
        <f>92.505 * CHOOSE(CONTROL!$C$9, $D$9, 100%, $F$9) + CHOOSE(CONTROL!$C$27, 0.0021, 0)</f>
        <v>92.507099999999994</v>
      </c>
      <c r="C927" s="10">
        <f>92.0727 * CHOOSE(CONTROL!$C$9, $D$9, 100%, $F$9) + CHOOSE(CONTROL!$C$27, 0.0021, 0)</f>
        <v>92.074799999999996</v>
      </c>
      <c r="D927" s="10">
        <f>92.0727 * CHOOSE(CONTROL!$C$9, $D$9, 100%, $F$9) + CHOOSE(CONTROL!$C$27, 0.0021, 0)</f>
        <v>92.074799999999996</v>
      </c>
      <c r="E927" s="10">
        <f>91.9361 * CHOOSE(CONTROL!$C$9, $D$9, 100%, $F$9) + CHOOSE(CONTROL!$C$27, 0.0021, 0)</f>
        <v>91.938199999999995</v>
      </c>
      <c r="F927" s="10">
        <f>91.9361 * CHOOSE(CONTROL!$C$9, $D$9, 100%, $F$9) + CHOOSE(CONTROL!$C$27, 0.0021, 0)</f>
        <v>91.938199999999995</v>
      </c>
      <c r="G927" s="10">
        <f>92.2074 * CHOOSE(CONTROL!$C$9, $D$9, 100%, $F$9) + CHOOSE(CONTROL!$C$27, 0.0021, 0)</f>
        <v>92.209500000000006</v>
      </c>
      <c r="H927" s="10">
        <f>92.0727 * CHOOSE(CONTROL!$C$9, $D$9, 100%, $F$9) + CHOOSE(CONTROL!$C$27, 0.0021, 0)</f>
        <v>92.074799999999996</v>
      </c>
      <c r="I927" s="10">
        <f>92.0727 * CHOOSE(CONTROL!$C$9, $D$9, 100%, $F$9) + CHOOSE(CONTROL!$C$27, 0.0021, 0)</f>
        <v>92.074799999999996</v>
      </c>
      <c r="J927" s="10">
        <f>92.0727 * CHOOSE(CONTROL!$C$9, $D$9, 100%, $F$9) + CHOOSE(CONTROL!$C$27, 0.0021, 0)</f>
        <v>92.074799999999996</v>
      </c>
      <c r="K927" s="10">
        <f>92.0727 * CHOOSE(CONTROL!$C$9, $D$9, 100%, $F$9) + CHOOSE(CONTROL!$C$27, 0.0021, 0)</f>
        <v>92.074799999999996</v>
      </c>
      <c r="L927" s="10"/>
    </row>
    <row r="928" spans="1:12" ht="15.75" x14ac:dyDescent="0.25">
      <c r="A928" s="13">
        <v>69184</v>
      </c>
      <c r="B928" s="10">
        <f>94.3995 * CHOOSE(CONTROL!$C$9, $D$9, 100%, $F$9) + CHOOSE(CONTROL!$C$27, 0.0021, 0)</f>
        <v>94.401600000000002</v>
      </c>
      <c r="C928" s="10">
        <f>93.9672 * CHOOSE(CONTROL!$C$9, $D$9, 100%, $F$9) + CHOOSE(CONTROL!$C$27, 0.0021, 0)</f>
        <v>93.969300000000004</v>
      </c>
      <c r="D928" s="10">
        <f>93.9672 * CHOOSE(CONTROL!$C$9, $D$9, 100%, $F$9) + CHOOSE(CONTROL!$C$27, 0.0021, 0)</f>
        <v>93.969300000000004</v>
      </c>
      <c r="E928" s="10">
        <f>93.8306 * CHOOSE(CONTROL!$C$9, $D$9, 100%, $F$9) + CHOOSE(CONTROL!$C$27, 0.0021, 0)</f>
        <v>93.832700000000003</v>
      </c>
      <c r="F928" s="10">
        <f>93.8306 * CHOOSE(CONTROL!$C$9, $D$9, 100%, $F$9) + CHOOSE(CONTROL!$C$27, 0.0021, 0)</f>
        <v>93.832700000000003</v>
      </c>
      <c r="G928" s="10">
        <f>94.1019 * CHOOSE(CONTROL!$C$9, $D$9, 100%, $F$9) + CHOOSE(CONTROL!$C$27, 0.0021, 0)</f>
        <v>94.103999999999999</v>
      </c>
      <c r="H928" s="10">
        <f>93.9672 * CHOOSE(CONTROL!$C$9, $D$9, 100%, $F$9) + CHOOSE(CONTROL!$C$27, 0.0021, 0)</f>
        <v>93.969300000000004</v>
      </c>
      <c r="I928" s="10">
        <f>93.9672 * CHOOSE(CONTROL!$C$9, $D$9, 100%, $F$9) + CHOOSE(CONTROL!$C$27, 0.0021, 0)</f>
        <v>93.969300000000004</v>
      </c>
      <c r="J928" s="10">
        <f>93.9672 * CHOOSE(CONTROL!$C$9, $D$9, 100%, $F$9) + CHOOSE(CONTROL!$C$27, 0.0021, 0)</f>
        <v>93.969300000000004</v>
      </c>
      <c r="K928" s="10">
        <f>93.9672 * CHOOSE(CONTROL!$C$9, $D$9, 100%, $F$9) + CHOOSE(CONTROL!$C$27, 0.0021, 0)</f>
        <v>93.969300000000004</v>
      </c>
      <c r="L928" s="10"/>
    </row>
    <row r="929" spans="1:12" ht="15.75" x14ac:dyDescent="0.25">
      <c r="A929" s="13">
        <v>69214</v>
      </c>
      <c r="B929" s="10">
        <f>95.5342 * CHOOSE(CONTROL!$C$9, $D$9, 100%, $F$9) + CHOOSE(CONTROL!$C$27, 0.0021, 0)</f>
        <v>95.536299999999997</v>
      </c>
      <c r="C929" s="10">
        <f>95.102 * CHOOSE(CONTROL!$C$9, $D$9, 100%, $F$9) + CHOOSE(CONTROL!$C$27, 0.0021, 0)</f>
        <v>95.104100000000003</v>
      </c>
      <c r="D929" s="10">
        <f>95.102 * CHOOSE(CONTROL!$C$9, $D$9, 100%, $F$9) + CHOOSE(CONTROL!$C$27, 0.0021, 0)</f>
        <v>95.104100000000003</v>
      </c>
      <c r="E929" s="10">
        <f>94.9653 * CHOOSE(CONTROL!$C$9, $D$9, 100%, $F$9) + CHOOSE(CONTROL!$C$27, 0.0021, 0)</f>
        <v>94.967399999999998</v>
      </c>
      <c r="F929" s="10">
        <f>94.9653 * CHOOSE(CONTROL!$C$9, $D$9, 100%, $F$9) + CHOOSE(CONTROL!$C$27, 0.0021, 0)</f>
        <v>94.967399999999998</v>
      </c>
      <c r="G929" s="10">
        <f>95.2367 * CHOOSE(CONTROL!$C$9, $D$9, 100%, $F$9) + CHOOSE(CONTROL!$C$27, 0.0021, 0)</f>
        <v>95.238799999999998</v>
      </c>
      <c r="H929" s="10">
        <f>95.102 * CHOOSE(CONTROL!$C$9, $D$9, 100%, $F$9) + CHOOSE(CONTROL!$C$27, 0.0021, 0)</f>
        <v>95.104100000000003</v>
      </c>
      <c r="I929" s="10">
        <f>95.102 * CHOOSE(CONTROL!$C$9, $D$9, 100%, $F$9) + CHOOSE(CONTROL!$C$27, 0.0021, 0)</f>
        <v>95.104100000000003</v>
      </c>
      <c r="J929" s="10">
        <f>95.102 * CHOOSE(CONTROL!$C$9, $D$9, 100%, $F$9) + CHOOSE(CONTROL!$C$27, 0.0021, 0)</f>
        <v>95.104100000000003</v>
      </c>
      <c r="K929" s="10">
        <f>95.102 * CHOOSE(CONTROL!$C$9, $D$9, 100%, $F$9) + CHOOSE(CONTROL!$C$27, 0.0021, 0)</f>
        <v>95.104100000000003</v>
      </c>
      <c r="L929" s="10"/>
    </row>
    <row r="930" spans="1:12" ht="15.75" x14ac:dyDescent="0.25">
      <c r="A930" s="13">
        <v>69245</v>
      </c>
      <c r="B930" s="10">
        <f>97.4061 * CHOOSE(CONTROL!$C$9, $D$9, 100%, $F$9) + CHOOSE(CONTROL!$C$27, 0.0021, 0)</f>
        <v>97.408199999999994</v>
      </c>
      <c r="C930" s="10">
        <f>96.9739 * CHOOSE(CONTROL!$C$9, $D$9, 100%, $F$9) + CHOOSE(CONTROL!$C$27, 0.0021, 0)</f>
        <v>96.975999999999999</v>
      </c>
      <c r="D930" s="10">
        <f>96.9739 * CHOOSE(CONTROL!$C$9, $D$9, 100%, $F$9) + CHOOSE(CONTROL!$C$27, 0.0021, 0)</f>
        <v>96.975999999999999</v>
      </c>
      <c r="E930" s="10">
        <f>96.8372 * CHOOSE(CONTROL!$C$9, $D$9, 100%, $F$9) + CHOOSE(CONTROL!$C$27, 0.0021, 0)</f>
        <v>96.839299999999994</v>
      </c>
      <c r="F930" s="10">
        <f>96.8372 * CHOOSE(CONTROL!$C$9, $D$9, 100%, $F$9) + CHOOSE(CONTROL!$C$27, 0.0021, 0)</f>
        <v>96.839299999999994</v>
      </c>
      <c r="G930" s="10">
        <f>97.1086 * CHOOSE(CONTROL!$C$9, $D$9, 100%, $F$9) + CHOOSE(CONTROL!$C$27, 0.0021, 0)</f>
        <v>97.110699999999994</v>
      </c>
      <c r="H930" s="10">
        <f>96.9739 * CHOOSE(CONTROL!$C$9, $D$9, 100%, $F$9) + CHOOSE(CONTROL!$C$27, 0.0021, 0)</f>
        <v>96.975999999999999</v>
      </c>
      <c r="I930" s="10">
        <f>96.9739 * CHOOSE(CONTROL!$C$9, $D$9, 100%, $F$9) + CHOOSE(CONTROL!$C$27, 0.0021, 0)</f>
        <v>96.975999999999999</v>
      </c>
      <c r="J930" s="10">
        <f>96.9739 * CHOOSE(CONTROL!$C$9, $D$9, 100%, $F$9) + CHOOSE(CONTROL!$C$27, 0.0021, 0)</f>
        <v>96.975999999999999</v>
      </c>
      <c r="K930" s="10">
        <f>96.9739 * CHOOSE(CONTROL!$C$9, $D$9, 100%, $F$9) + CHOOSE(CONTROL!$C$27, 0.0021, 0)</f>
        <v>96.975999999999999</v>
      </c>
      <c r="L930" s="10"/>
    </row>
    <row r="931" spans="1:12" ht="15.75" x14ac:dyDescent="0.25">
      <c r="A931" s="13">
        <v>69276</v>
      </c>
      <c r="B931" s="10">
        <f>97.9775 * CHOOSE(CONTROL!$C$9, $D$9, 100%, $F$9) + CHOOSE(CONTROL!$C$27, 0.0021, 0)</f>
        <v>97.979600000000005</v>
      </c>
      <c r="C931" s="10">
        <f>97.5452 * CHOOSE(CONTROL!$C$9, $D$9, 100%, $F$9) + CHOOSE(CONTROL!$C$27, 0.0021, 0)</f>
        <v>97.547299999999993</v>
      </c>
      <c r="D931" s="10">
        <f>97.5452 * CHOOSE(CONTROL!$C$9, $D$9, 100%, $F$9) + CHOOSE(CONTROL!$C$27, 0.0021, 0)</f>
        <v>97.547299999999993</v>
      </c>
      <c r="E931" s="10">
        <f>97.4086 * CHOOSE(CONTROL!$C$9, $D$9, 100%, $F$9) + CHOOSE(CONTROL!$C$27, 0.0021, 0)</f>
        <v>97.410700000000006</v>
      </c>
      <c r="F931" s="10">
        <f>97.4086 * CHOOSE(CONTROL!$C$9, $D$9, 100%, $F$9) + CHOOSE(CONTROL!$C$27, 0.0021, 0)</f>
        <v>97.410700000000006</v>
      </c>
      <c r="G931" s="10">
        <f>97.6799 * CHOOSE(CONTROL!$C$9, $D$9, 100%, $F$9) + CHOOSE(CONTROL!$C$27, 0.0021, 0)</f>
        <v>97.682000000000002</v>
      </c>
      <c r="H931" s="10">
        <f>97.5452 * CHOOSE(CONTROL!$C$9, $D$9, 100%, $F$9) + CHOOSE(CONTROL!$C$27, 0.0021, 0)</f>
        <v>97.547299999999993</v>
      </c>
      <c r="I931" s="10">
        <f>97.5452 * CHOOSE(CONTROL!$C$9, $D$9, 100%, $F$9) + CHOOSE(CONTROL!$C$27, 0.0021, 0)</f>
        <v>97.547299999999993</v>
      </c>
      <c r="J931" s="10">
        <f>97.5452 * CHOOSE(CONTROL!$C$9, $D$9, 100%, $F$9) + CHOOSE(CONTROL!$C$27, 0.0021, 0)</f>
        <v>97.547299999999993</v>
      </c>
      <c r="K931" s="10">
        <f>97.5452 * CHOOSE(CONTROL!$C$9, $D$9, 100%, $F$9) + CHOOSE(CONTROL!$C$27, 0.0021, 0)</f>
        <v>97.547299999999993</v>
      </c>
      <c r="L931" s="10"/>
    </row>
    <row r="932" spans="1:12" ht="15.75" x14ac:dyDescent="0.25">
      <c r="A932" s="13">
        <v>69306</v>
      </c>
      <c r="B932" s="10">
        <f>99.9232 * CHOOSE(CONTROL!$C$9, $D$9, 100%, $F$9) + CHOOSE(CONTROL!$C$27, 0.0021, 0)</f>
        <v>99.925299999999993</v>
      </c>
      <c r="C932" s="10">
        <f>99.491 * CHOOSE(CONTROL!$C$9, $D$9, 100%, $F$9) + CHOOSE(CONTROL!$C$27, 0.0021, 0)</f>
        <v>99.493099999999998</v>
      </c>
      <c r="D932" s="10">
        <f>99.491 * CHOOSE(CONTROL!$C$9, $D$9, 100%, $F$9) + CHOOSE(CONTROL!$C$27, 0.0021, 0)</f>
        <v>99.493099999999998</v>
      </c>
      <c r="E932" s="10">
        <f>99.3543 * CHOOSE(CONTROL!$C$9, $D$9, 100%, $F$9) + CHOOSE(CONTROL!$C$27, 0.0021, 0)</f>
        <v>99.356399999999994</v>
      </c>
      <c r="F932" s="10">
        <f>99.3543 * CHOOSE(CONTROL!$C$9, $D$9, 100%, $F$9) + CHOOSE(CONTROL!$C$27, 0.0021, 0)</f>
        <v>99.356399999999994</v>
      </c>
      <c r="G932" s="10">
        <f>99.6257 * CHOOSE(CONTROL!$C$9, $D$9, 100%, $F$9) + CHOOSE(CONTROL!$C$27, 0.0021, 0)</f>
        <v>99.627799999999993</v>
      </c>
      <c r="H932" s="10">
        <f>99.491 * CHOOSE(CONTROL!$C$9, $D$9, 100%, $F$9) + CHOOSE(CONTROL!$C$27, 0.0021, 0)</f>
        <v>99.493099999999998</v>
      </c>
      <c r="I932" s="10">
        <f>99.491 * CHOOSE(CONTROL!$C$9, $D$9, 100%, $F$9) + CHOOSE(CONTROL!$C$27, 0.0021, 0)</f>
        <v>99.493099999999998</v>
      </c>
      <c r="J932" s="10">
        <f>99.491 * CHOOSE(CONTROL!$C$9, $D$9, 100%, $F$9) + CHOOSE(CONTROL!$C$27, 0.0021, 0)</f>
        <v>99.493099999999998</v>
      </c>
      <c r="K932" s="10">
        <f>99.491 * CHOOSE(CONTROL!$C$9, $D$9, 100%, $F$9) + CHOOSE(CONTROL!$C$27, 0.0021, 0)</f>
        <v>99.493099999999998</v>
      </c>
      <c r="L932" s="10"/>
    </row>
    <row r="933" spans="1:12" ht="15.75" x14ac:dyDescent="0.25">
      <c r="A933" s="13">
        <v>69337</v>
      </c>
      <c r="B933" s="10">
        <f>102.3862 * CHOOSE(CONTROL!$C$9, $D$9, 100%, $F$9) + CHOOSE(CONTROL!$C$27, 0.0021, 0)</f>
        <v>102.3883</v>
      </c>
      <c r="C933" s="10">
        <f>101.954 * CHOOSE(CONTROL!$C$9, $D$9, 100%, $F$9) + CHOOSE(CONTROL!$C$27, 0.0021, 0)</f>
        <v>101.95609999999999</v>
      </c>
      <c r="D933" s="10">
        <f>101.954 * CHOOSE(CONTROL!$C$9, $D$9, 100%, $F$9) + CHOOSE(CONTROL!$C$27, 0.0021, 0)</f>
        <v>101.95609999999999</v>
      </c>
      <c r="E933" s="10">
        <f>101.8173 * CHOOSE(CONTROL!$C$9, $D$9, 100%, $F$9) + CHOOSE(CONTROL!$C$27, 0.0021, 0)</f>
        <v>101.8194</v>
      </c>
      <c r="F933" s="10">
        <f>101.8173 * CHOOSE(CONTROL!$C$9, $D$9, 100%, $F$9) + CHOOSE(CONTROL!$C$27, 0.0021, 0)</f>
        <v>101.8194</v>
      </c>
      <c r="G933" s="10">
        <f>102.0887 * CHOOSE(CONTROL!$C$9, $D$9, 100%, $F$9) + CHOOSE(CONTROL!$C$27, 0.0021, 0)</f>
        <v>102.0908</v>
      </c>
      <c r="H933" s="10">
        <f>101.954 * CHOOSE(CONTROL!$C$9, $D$9, 100%, $F$9) + CHOOSE(CONTROL!$C$27, 0.0021, 0)</f>
        <v>101.95609999999999</v>
      </c>
      <c r="I933" s="10">
        <f>101.954 * CHOOSE(CONTROL!$C$9, $D$9, 100%, $F$9) + CHOOSE(CONTROL!$C$27, 0.0021, 0)</f>
        <v>101.95609999999999</v>
      </c>
      <c r="J933" s="10">
        <f>101.954 * CHOOSE(CONTROL!$C$9, $D$9, 100%, $F$9) + CHOOSE(CONTROL!$C$27, 0.0021, 0)</f>
        <v>101.95609999999999</v>
      </c>
      <c r="K933" s="10">
        <f>101.954 * CHOOSE(CONTROL!$C$9, $D$9, 100%, $F$9) + CHOOSE(CONTROL!$C$27, 0.0021, 0)</f>
        <v>101.95609999999999</v>
      </c>
      <c r="L933" s="10"/>
    </row>
    <row r="934" spans="1:12" ht="15.75" x14ac:dyDescent="0.25">
      <c r="A934" s="13">
        <v>69367</v>
      </c>
      <c r="B934" s="10">
        <f>102.6174 * CHOOSE(CONTROL!$C$9, $D$9, 100%, $F$9) + CHOOSE(CONTROL!$C$27, 0.0021, 0)</f>
        <v>102.6195</v>
      </c>
      <c r="C934" s="10">
        <f>102.1852 * CHOOSE(CONTROL!$C$9, $D$9, 100%, $F$9) + CHOOSE(CONTROL!$C$27, 0.0021, 0)</f>
        <v>102.18729999999999</v>
      </c>
      <c r="D934" s="10">
        <f>102.1852 * CHOOSE(CONTROL!$C$9, $D$9, 100%, $F$9) + CHOOSE(CONTROL!$C$27, 0.0021, 0)</f>
        <v>102.18729999999999</v>
      </c>
      <c r="E934" s="10">
        <f>102.0485 * CHOOSE(CONTROL!$C$9, $D$9, 100%, $F$9) + CHOOSE(CONTROL!$C$27, 0.0021, 0)</f>
        <v>102.0506</v>
      </c>
      <c r="F934" s="10">
        <f>102.0485 * CHOOSE(CONTROL!$C$9, $D$9, 100%, $F$9) + CHOOSE(CONTROL!$C$27, 0.0021, 0)</f>
        <v>102.0506</v>
      </c>
      <c r="G934" s="10">
        <f>102.3199 * CHOOSE(CONTROL!$C$9, $D$9, 100%, $F$9) + CHOOSE(CONTROL!$C$27, 0.0021, 0)</f>
        <v>102.322</v>
      </c>
      <c r="H934" s="10">
        <f>102.1852 * CHOOSE(CONTROL!$C$9, $D$9, 100%, $F$9) + CHOOSE(CONTROL!$C$27, 0.0021, 0)</f>
        <v>102.18729999999999</v>
      </c>
      <c r="I934" s="10">
        <f>102.1852 * CHOOSE(CONTROL!$C$9, $D$9, 100%, $F$9) + CHOOSE(CONTROL!$C$27, 0.0021, 0)</f>
        <v>102.18729999999999</v>
      </c>
      <c r="J934" s="10">
        <f>102.1852 * CHOOSE(CONTROL!$C$9, $D$9, 100%, $F$9) + CHOOSE(CONTROL!$C$27, 0.0021, 0)</f>
        <v>102.18729999999999</v>
      </c>
      <c r="K934" s="10">
        <f>102.1852 * CHOOSE(CONTROL!$C$9, $D$9, 100%, $F$9) + CHOOSE(CONTROL!$C$27, 0.0021, 0)</f>
        <v>102.18729999999999</v>
      </c>
      <c r="L934" s="10"/>
    </row>
    <row r="935" spans="1:12" ht="15.75" x14ac:dyDescent="0.25">
      <c r="A935" s="13">
        <v>69398</v>
      </c>
      <c r="B935" s="10">
        <f>100.6503 * CHOOSE(CONTROL!$C$9, $D$9, 100%, $F$9) + CHOOSE(CONTROL!$C$27, 0.0021, 0)</f>
        <v>100.6524</v>
      </c>
      <c r="C935" s="10">
        <f>100.218 * CHOOSE(CONTROL!$C$9, $D$9, 100%, $F$9) + CHOOSE(CONTROL!$C$27, 0.0021, 0)</f>
        <v>100.2201</v>
      </c>
      <c r="D935" s="10">
        <f>100.218 * CHOOSE(CONTROL!$C$9, $D$9, 100%, $F$9) + CHOOSE(CONTROL!$C$27, 0.0021, 0)</f>
        <v>100.2201</v>
      </c>
      <c r="E935" s="10">
        <f>100.0814 * CHOOSE(CONTROL!$C$9, $D$9, 100%, $F$9) + CHOOSE(CONTROL!$C$27, 0.0021, 0)</f>
        <v>100.0835</v>
      </c>
      <c r="F935" s="10">
        <f>100.0814 * CHOOSE(CONTROL!$C$9, $D$9, 100%, $F$9) + CHOOSE(CONTROL!$C$27, 0.0021, 0)</f>
        <v>100.0835</v>
      </c>
      <c r="G935" s="10">
        <f>100.3528 * CHOOSE(CONTROL!$C$9, $D$9, 100%, $F$9) + CHOOSE(CONTROL!$C$27, 0.0021, 0)</f>
        <v>100.3549</v>
      </c>
      <c r="H935" s="10">
        <f>100.218 * CHOOSE(CONTROL!$C$9, $D$9, 100%, $F$9) + CHOOSE(CONTROL!$C$27, 0.0021, 0)</f>
        <v>100.2201</v>
      </c>
      <c r="I935" s="10">
        <f>100.218 * CHOOSE(CONTROL!$C$9, $D$9, 100%, $F$9) + CHOOSE(CONTROL!$C$27, 0.0021, 0)</f>
        <v>100.2201</v>
      </c>
      <c r="J935" s="10">
        <f>100.218 * CHOOSE(CONTROL!$C$9, $D$9, 100%, $F$9) + CHOOSE(CONTROL!$C$27, 0.0021, 0)</f>
        <v>100.2201</v>
      </c>
      <c r="K935" s="10">
        <f>100.218 * CHOOSE(CONTROL!$C$9, $D$9, 100%, $F$9) + CHOOSE(CONTROL!$C$27, 0.0021, 0)</f>
        <v>100.2201</v>
      </c>
      <c r="L935" s="10"/>
    </row>
    <row r="936" spans="1:12" ht="15.75" x14ac:dyDescent="0.25">
      <c r="A936" s="13">
        <v>69429</v>
      </c>
      <c r="B936" s="10">
        <f>99.3616 * CHOOSE(CONTROL!$C$9, $D$9, 100%, $F$9) + CHOOSE(CONTROL!$C$27, 0.0021, 0)</f>
        <v>99.363699999999994</v>
      </c>
      <c r="C936" s="10">
        <f>98.9293 * CHOOSE(CONTROL!$C$9, $D$9, 100%, $F$9) + CHOOSE(CONTROL!$C$27, 0.0021, 0)</f>
        <v>98.931399999999996</v>
      </c>
      <c r="D936" s="10">
        <f>98.9293 * CHOOSE(CONTROL!$C$9, $D$9, 100%, $F$9) + CHOOSE(CONTROL!$C$27, 0.0021, 0)</f>
        <v>98.931399999999996</v>
      </c>
      <c r="E936" s="10">
        <f>98.7927 * CHOOSE(CONTROL!$C$9, $D$9, 100%, $F$9) + CHOOSE(CONTROL!$C$27, 0.0021, 0)</f>
        <v>98.794799999999995</v>
      </c>
      <c r="F936" s="10">
        <f>98.7927 * CHOOSE(CONTROL!$C$9, $D$9, 100%, $F$9) + CHOOSE(CONTROL!$C$27, 0.0021, 0)</f>
        <v>98.794799999999995</v>
      </c>
      <c r="G936" s="10">
        <f>99.064 * CHOOSE(CONTROL!$C$9, $D$9, 100%, $F$9) + CHOOSE(CONTROL!$C$27, 0.0021, 0)</f>
        <v>99.066099999999992</v>
      </c>
      <c r="H936" s="10">
        <f>98.9293 * CHOOSE(CONTROL!$C$9, $D$9, 100%, $F$9) + CHOOSE(CONTROL!$C$27, 0.0021, 0)</f>
        <v>98.931399999999996</v>
      </c>
      <c r="I936" s="10">
        <f>98.9293 * CHOOSE(CONTROL!$C$9, $D$9, 100%, $F$9) + CHOOSE(CONTROL!$C$27, 0.0021, 0)</f>
        <v>98.931399999999996</v>
      </c>
      <c r="J936" s="10">
        <f>98.9293 * CHOOSE(CONTROL!$C$9, $D$9, 100%, $F$9) + CHOOSE(CONTROL!$C$27, 0.0021, 0)</f>
        <v>98.931399999999996</v>
      </c>
      <c r="K936" s="10">
        <f>98.9293 * CHOOSE(CONTROL!$C$9, $D$9, 100%, $F$9) + CHOOSE(CONTROL!$C$27, 0.0021, 0)</f>
        <v>98.931399999999996</v>
      </c>
      <c r="L936" s="10"/>
    </row>
    <row r="937" spans="1:12" ht="15.75" x14ac:dyDescent="0.25">
      <c r="A937" s="13">
        <v>69457</v>
      </c>
      <c r="B937" s="10">
        <f>96.6159 * CHOOSE(CONTROL!$C$9, $D$9, 100%, $F$9) + CHOOSE(CONTROL!$C$27, 0.0021, 0)</f>
        <v>96.617999999999995</v>
      </c>
      <c r="C937" s="10">
        <f>96.1837 * CHOOSE(CONTROL!$C$9, $D$9, 100%, $F$9) + CHOOSE(CONTROL!$C$27, 0.0021, 0)</f>
        <v>96.1858</v>
      </c>
      <c r="D937" s="10">
        <f>96.1837 * CHOOSE(CONTROL!$C$9, $D$9, 100%, $F$9) + CHOOSE(CONTROL!$C$27, 0.0021, 0)</f>
        <v>96.1858</v>
      </c>
      <c r="E937" s="10">
        <f>96.047 * CHOOSE(CONTROL!$C$9, $D$9, 100%, $F$9) + CHOOSE(CONTROL!$C$27, 0.0021, 0)</f>
        <v>96.049099999999996</v>
      </c>
      <c r="F937" s="10">
        <f>96.047 * CHOOSE(CONTROL!$C$9, $D$9, 100%, $F$9) + CHOOSE(CONTROL!$C$27, 0.0021, 0)</f>
        <v>96.049099999999996</v>
      </c>
      <c r="G937" s="10">
        <f>96.3184 * CHOOSE(CONTROL!$C$9, $D$9, 100%, $F$9) + CHOOSE(CONTROL!$C$27, 0.0021, 0)</f>
        <v>96.320499999999996</v>
      </c>
      <c r="H937" s="10">
        <f>96.1837 * CHOOSE(CONTROL!$C$9, $D$9, 100%, $F$9) + CHOOSE(CONTROL!$C$27, 0.0021, 0)</f>
        <v>96.1858</v>
      </c>
      <c r="I937" s="10">
        <f>96.1837 * CHOOSE(CONTROL!$C$9, $D$9, 100%, $F$9) + CHOOSE(CONTROL!$C$27, 0.0021, 0)</f>
        <v>96.1858</v>
      </c>
      <c r="J937" s="10">
        <f>96.1837 * CHOOSE(CONTROL!$C$9, $D$9, 100%, $F$9) + CHOOSE(CONTROL!$C$27, 0.0021, 0)</f>
        <v>96.1858</v>
      </c>
      <c r="K937" s="10">
        <f>96.1837 * CHOOSE(CONTROL!$C$9, $D$9, 100%, $F$9) + CHOOSE(CONTROL!$C$27, 0.0021, 0)</f>
        <v>96.1858</v>
      </c>
      <c r="L937" s="10"/>
    </row>
    <row r="938" spans="1:12" ht="15.75" x14ac:dyDescent="0.25">
      <c r="A938" s="13">
        <v>69488</v>
      </c>
      <c r="B938" s="10">
        <f>95.4825 * CHOOSE(CONTROL!$C$9, $D$9, 100%, $F$9) + CHOOSE(CONTROL!$C$27, 0.0021, 0)</f>
        <v>95.4846</v>
      </c>
      <c r="C938" s="10">
        <f>95.0503 * CHOOSE(CONTROL!$C$9, $D$9, 100%, $F$9) + CHOOSE(CONTROL!$C$27, 0.0021, 0)</f>
        <v>95.052399999999992</v>
      </c>
      <c r="D938" s="10">
        <f>95.0503 * CHOOSE(CONTROL!$C$9, $D$9, 100%, $F$9) + CHOOSE(CONTROL!$C$27, 0.0021, 0)</f>
        <v>95.052399999999992</v>
      </c>
      <c r="E938" s="10">
        <f>94.9136 * CHOOSE(CONTROL!$C$9, $D$9, 100%, $F$9) + CHOOSE(CONTROL!$C$27, 0.0021, 0)</f>
        <v>94.915700000000001</v>
      </c>
      <c r="F938" s="10">
        <f>94.9136 * CHOOSE(CONTROL!$C$9, $D$9, 100%, $F$9) + CHOOSE(CONTROL!$C$27, 0.0021, 0)</f>
        <v>94.915700000000001</v>
      </c>
      <c r="G938" s="10">
        <f>95.185 * CHOOSE(CONTROL!$C$9, $D$9, 100%, $F$9) + CHOOSE(CONTROL!$C$27, 0.0021, 0)</f>
        <v>95.187100000000001</v>
      </c>
      <c r="H938" s="10">
        <f>95.0503 * CHOOSE(CONTROL!$C$9, $D$9, 100%, $F$9) + CHOOSE(CONTROL!$C$27, 0.0021, 0)</f>
        <v>95.052399999999992</v>
      </c>
      <c r="I938" s="10">
        <f>95.0503 * CHOOSE(CONTROL!$C$9, $D$9, 100%, $F$9) + CHOOSE(CONTROL!$C$27, 0.0021, 0)</f>
        <v>95.052399999999992</v>
      </c>
      <c r="J938" s="10">
        <f>95.0503 * CHOOSE(CONTROL!$C$9, $D$9, 100%, $F$9) + CHOOSE(CONTROL!$C$27, 0.0021, 0)</f>
        <v>95.052399999999992</v>
      </c>
      <c r="K938" s="10">
        <f>95.0503 * CHOOSE(CONTROL!$C$9, $D$9, 100%, $F$9) + CHOOSE(CONTROL!$C$27, 0.0021, 0)</f>
        <v>95.052399999999992</v>
      </c>
      <c r="L938" s="10"/>
    </row>
    <row r="939" spans="1:12" ht="15.75" x14ac:dyDescent="0.25">
      <c r="A939" s="13">
        <v>69518</v>
      </c>
      <c r="B939" s="10">
        <f>94.1292 * CHOOSE(CONTROL!$C$9, $D$9, 100%, $F$9) + CHOOSE(CONTROL!$C$27, 0.0021, 0)</f>
        <v>94.131299999999996</v>
      </c>
      <c r="C939" s="10">
        <f>93.697 * CHOOSE(CONTROL!$C$9, $D$9, 100%, $F$9) + CHOOSE(CONTROL!$C$27, 0.0021, 0)</f>
        <v>93.699100000000001</v>
      </c>
      <c r="D939" s="10">
        <f>93.697 * CHOOSE(CONTROL!$C$9, $D$9, 100%, $F$9) + CHOOSE(CONTROL!$C$27, 0.0021, 0)</f>
        <v>93.699100000000001</v>
      </c>
      <c r="E939" s="10">
        <f>93.5603 * CHOOSE(CONTROL!$C$9, $D$9, 100%, $F$9) + CHOOSE(CONTROL!$C$27, 0.0021, 0)</f>
        <v>93.562399999999997</v>
      </c>
      <c r="F939" s="10">
        <f>93.5603 * CHOOSE(CONTROL!$C$9, $D$9, 100%, $F$9) + CHOOSE(CONTROL!$C$27, 0.0021, 0)</f>
        <v>93.562399999999997</v>
      </c>
      <c r="G939" s="10">
        <f>93.8317 * CHOOSE(CONTROL!$C$9, $D$9, 100%, $F$9) + CHOOSE(CONTROL!$C$27, 0.0021, 0)</f>
        <v>93.833799999999997</v>
      </c>
      <c r="H939" s="10">
        <f>93.697 * CHOOSE(CONTROL!$C$9, $D$9, 100%, $F$9) + CHOOSE(CONTROL!$C$27, 0.0021, 0)</f>
        <v>93.699100000000001</v>
      </c>
      <c r="I939" s="10">
        <f>93.697 * CHOOSE(CONTROL!$C$9, $D$9, 100%, $F$9) + CHOOSE(CONTROL!$C$27, 0.0021, 0)</f>
        <v>93.699100000000001</v>
      </c>
      <c r="J939" s="10">
        <f>93.697 * CHOOSE(CONTROL!$C$9, $D$9, 100%, $F$9) + CHOOSE(CONTROL!$C$27, 0.0021, 0)</f>
        <v>93.699100000000001</v>
      </c>
      <c r="K939" s="10">
        <f>93.697 * CHOOSE(CONTROL!$C$9, $D$9, 100%, $F$9) + CHOOSE(CONTROL!$C$27, 0.0021, 0)</f>
        <v>93.699100000000001</v>
      </c>
      <c r="L939" s="10"/>
    </row>
    <row r="940" spans="1:12" ht="15.75" x14ac:dyDescent="0.25">
      <c r="A940" s="13">
        <v>69549</v>
      </c>
      <c r="B940" s="10">
        <f>96.0579 * CHOOSE(CONTROL!$C$9, $D$9, 100%, $F$9) + CHOOSE(CONTROL!$C$27, 0.0021, 0)</f>
        <v>96.06</v>
      </c>
      <c r="C940" s="10">
        <f>95.6256 * CHOOSE(CONTROL!$C$9, $D$9, 100%, $F$9) + CHOOSE(CONTROL!$C$27, 0.0021, 0)</f>
        <v>95.627700000000004</v>
      </c>
      <c r="D940" s="10">
        <f>95.6256 * CHOOSE(CONTROL!$C$9, $D$9, 100%, $F$9) + CHOOSE(CONTROL!$C$27, 0.0021, 0)</f>
        <v>95.627700000000004</v>
      </c>
      <c r="E940" s="10">
        <f>95.4889 * CHOOSE(CONTROL!$C$9, $D$9, 100%, $F$9) + CHOOSE(CONTROL!$C$27, 0.0021, 0)</f>
        <v>95.491</v>
      </c>
      <c r="F940" s="10">
        <f>95.4889 * CHOOSE(CONTROL!$C$9, $D$9, 100%, $F$9) + CHOOSE(CONTROL!$C$27, 0.0021, 0)</f>
        <v>95.491</v>
      </c>
      <c r="G940" s="10">
        <f>95.7603 * CHOOSE(CONTROL!$C$9, $D$9, 100%, $F$9) + CHOOSE(CONTROL!$C$27, 0.0021, 0)</f>
        <v>95.7624</v>
      </c>
      <c r="H940" s="10">
        <f>95.6256 * CHOOSE(CONTROL!$C$9, $D$9, 100%, $F$9) + CHOOSE(CONTROL!$C$27, 0.0021, 0)</f>
        <v>95.627700000000004</v>
      </c>
      <c r="I940" s="10">
        <f>95.6256 * CHOOSE(CONTROL!$C$9, $D$9, 100%, $F$9) + CHOOSE(CONTROL!$C$27, 0.0021, 0)</f>
        <v>95.627700000000004</v>
      </c>
      <c r="J940" s="10">
        <f>95.6256 * CHOOSE(CONTROL!$C$9, $D$9, 100%, $F$9) + CHOOSE(CONTROL!$C$27, 0.0021, 0)</f>
        <v>95.627700000000004</v>
      </c>
      <c r="K940" s="10">
        <f>95.6256 * CHOOSE(CONTROL!$C$9, $D$9, 100%, $F$9) + CHOOSE(CONTROL!$C$27, 0.0021, 0)</f>
        <v>95.627700000000004</v>
      </c>
      <c r="L940" s="10"/>
    </row>
    <row r="941" spans="1:12" ht="15.75" x14ac:dyDescent="0.25">
      <c r="A941" s="13">
        <v>69579</v>
      </c>
      <c r="B941" s="10">
        <f>97.213 * CHOOSE(CONTROL!$C$9, $D$9, 100%, $F$9) + CHOOSE(CONTROL!$C$27, 0.0021, 0)</f>
        <v>97.215099999999993</v>
      </c>
      <c r="C941" s="10">
        <f>96.7808 * CHOOSE(CONTROL!$C$9, $D$9, 100%, $F$9) + CHOOSE(CONTROL!$C$27, 0.0021, 0)</f>
        <v>96.782899999999998</v>
      </c>
      <c r="D941" s="10">
        <f>96.7808 * CHOOSE(CONTROL!$C$9, $D$9, 100%, $F$9) + CHOOSE(CONTROL!$C$27, 0.0021, 0)</f>
        <v>96.782899999999998</v>
      </c>
      <c r="E941" s="10">
        <f>96.6441 * CHOOSE(CONTROL!$C$9, $D$9, 100%, $F$9) + CHOOSE(CONTROL!$C$27, 0.0021, 0)</f>
        <v>96.646199999999993</v>
      </c>
      <c r="F941" s="10">
        <f>96.6441 * CHOOSE(CONTROL!$C$9, $D$9, 100%, $F$9) + CHOOSE(CONTROL!$C$27, 0.0021, 0)</f>
        <v>96.646199999999993</v>
      </c>
      <c r="G941" s="10">
        <f>96.9155 * CHOOSE(CONTROL!$C$9, $D$9, 100%, $F$9) + CHOOSE(CONTROL!$C$27, 0.0021, 0)</f>
        <v>96.917599999999993</v>
      </c>
      <c r="H941" s="10">
        <f>96.7808 * CHOOSE(CONTROL!$C$9, $D$9, 100%, $F$9) + CHOOSE(CONTROL!$C$27, 0.0021, 0)</f>
        <v>96.782899999999998</v>
      </c>
      <c r="I941" s="10">
        <f>96.7808 * CHOOSE(CONTROL!$C$9, $D$9, 100%, $F$9) + CHOOSE(CONTROL!$C$27, 0.0021, 0)</f>
        <v>96.782899999999998</v>
      </c>
      <c r="J941" s="10">
        <f>96.7808 * CHOOSE(CONTROL!$C$9, $D$9, 100%, $F$9) + CHOOSE(CONTROL!$C$27, 0.0021, 0)</f>
        <v>96.782899999999998</v>
      </c>
      <c r="K941" s="10">
        <f>96.7808 * CHOOSE(CONTROL!$C$9, $D$9, 100%, $F$9) + CHOOSE(CONTROL!$C$27, 0.0021, 0)</f>
        <v>96.782899999999998</v>
      </c>
      <c r="L941" s="10"/>
    </row>
    <row r="942" spans="1:12" ht="15.75" x14ac:dyDescent="0.25">
      <c r="A942" s="13">
        <v>69610</v>
      </c>
      <c r="B942" s="10">
        <f>99.1186 * CHOOSE(CONTROL!$C$9, $D$9, 100%, $F$9) + CHOOSE(CONTROL!$C$27, 0.0021, 0)</f>
        <v>99.120699999999999</v>
      </c>
      <c r="C942" s="10">
        <f>98.6864 * CHOOSE(CONTROL!$C$9, $D$9, 100%, $F$9) + CHOOSE(CONTROL!$C$27, 0.0021, 0)</f>
        <v>98.688500000000005</v>
      </c>
      <c r="D942" s="10">
        <f>98.6864 * CHOOSE(CONTROL!$C$9, $D$9, 100%, $F$9) + CHOOSE(CONTROL!$C$27, 0.0021, 0)</f>
        <v>98.688500000000005</v>
      </c>
      <c r="E942" s="10">
        <f>98.5497 * CHOOSE(CONTROL!$C$9, $D$9, 100%, $F$9) + CHOOSE(CONTROL!$C$27, 0.0021, 0)</f>
        <v>98.5518</v>
      </c>
      <c r="F942" s="10">
        <f>98.5497 * CHOOSE(CONTROL!$C$9, $D$9, 100%, $F$9) + CHOOSE(CONTROL!$C$27, 0.0021, 0)</f>
        <v>98.5518</v>
      </c>
      <c r="G942" s="10">
        <f>98.8211 * CHOOSE(CONTROL!$C$9, $D$9, 100%, $F$9) + CHOOSE(CONTROL!$C$27, 0.0021, 0)</f>
        <v>98.8232</v>
      </c>
      <c r="H942" s="10">
        <f>98.6864 * CHOOSE(CONTROL!$C$9, $D$9, 100%, $F$9) + CHOOSE(CONTROL!$C$27, 0.0021, 0)</f>
        <v>98.688500000000005</v>
      </c>
      <c r="I942" s="10">
        <f>98.6864 * CHOOSE(CONTROL!$C$9, $D$9, 100%, $F$9) + CHOOSE(CONTROL!$C$27, 0.0021, 0)</f>
        <v>98.688500000000005</v>
      </c>
      <c r="J942" s="10">
        <f>98.6864 * CHOOSE(CONTROL!$C$9, $D$9, 100%, $F$9) + CHOOSE(CONTROL!$C$27, 0.0021, 0)</f>
        <v>98.688500000000005</v>
      </c>
      <c r="K942" s="10">
        <f>98.6864 * CHOOSE(CONTROL!$C$9, $D$9, 100%, $F$9) + CHOOSE(CONTROL!$C$27, 0.0021, 0)</f>
        <v>98.688500000000005</v>
      </c>
      <c r="L942" s="10"/>
    </row>
    <row r="943" spans="1:12" ht="15.75" x14ac:dyDescent="0.25">
      <c r="A943" s="13">
        <v>69641</v>
      </c>
      <c r="B943" s="10">
        <f>99.7003 * CHOOSE(CONTROL!$C$9, $D$9, 100%, $F$9) + CHOOSE(CONTROL!$C$27, 0.0021, 0)</f>
        <v>99.702399999999997</v>
      </c>
      <c r="C943" s="10">
        <f>99.268 * CHOOSE(CONTROL!$C$9, $D$9, 100%, $F$9) + CHOOSE(CONTROL!$C$27, 0.0021, 0)</f>
        <v>99.270099999999999</v>
      </c>
      <c r="D943" s="10">
        <f>99.268 * CHOOSE(CONTROL!$C$9, $D$9, 100%, $F$9) + CHOOSE(CONTROL!$C$27, 0.0021, 0)</f>
        <v>99.270099999999999</v>
      </c>
      <c r="E943" s="10">
        <f>99.1313 * CHOOSE(CONTROL!$C$9, $D$9, 100%, $F$9) + CHOOSE(CONTROL!$C$27, 0.0021, 0)</f>
        <v>99.133399999999995</v>
      </c>
      <c r="F943" s="10">
        <f>99.1313 * CHOOSE(CONTROL!$C$9, $D$9, 100%, $F$9) + CHOOSE(CONTROL!$C$27, 0.0021, 0)</f>
        <v>99.133399999999995</v>
      </c>
      <c r="G943" s="10">
        <f>99.4027 * CHOOSE(CONTROL!$C$9, $D$9, 100%, $F$9) + CHOOSE(CONTROL!$C$27, 0.0021, 0)</f>
        <v>99.404799999999994</v>
      </c>
      <c r="H943" s="10">
        <f>99.268 * CHOOSE(CONTROL!$C$9, $D$9, 100%, $F$9) + CHOOSE(CONTROL!$C$27, 0.0021, 0)</f>
        <v>99.270099999999999</v>
      </c>
      <c r="I943" s="10">
        <f>99.268 * CHOOSE(CONTROL!$C$9, $D$9, 100%, $F$9) + CHOOSE(CONTROL!$C$27, 0.0021, 0)</f>
        <v>99.270099999999999</v>
      </c>
      <c r="J943" s="10">
        <f>99.268 * CHOOSE(CONTROL!$C$9, $D$9, 100%, $F$9) + CHOOSE(CONTROL!$C$27, 0.0021, 0)</f>
        <v>99.270099999999999</v>
      </c>
      <c r="K943" s="10">
        <f>99.268 * CHOOSE(CONTROL!$C$9, $D$9, 100%, $F$9) + CHOOSE(CONTROL!$C$27, 0.0021, 0)</f>
        <v>99.270099999999999</v>
      </c>
      <c r="L943" s="10"/>
    </row>
    <row r="944" spans="1:12" ht="15.75" x14ac:dyDescent="0.25">
      <c r="A944" s="13">
        <v>69671</v>
      </c>
      <c r="B944" s="10">
        <f>101.681 * CHOOSE(CONTROL!$C$9, $D$9, 100%, $F$9) + CHOOSE(CONTROL!$C$27, 0.0021, 0)</f>
        <v>101.6831</v>
      </c>
      <c r="C944" s="10">
        <f>101.2488 * CHOOSE(CONTROL!$C$9, $D$9, 100%, $F$9) + CHOOSE(CONTROL!$C$27, 0.0021, 0)</f>
        <v>101.2509</v>
      </c>
      <c r="D944" s="10">
        <f>101.2488 * CHOOSE(CONTROL!$C$9, $D$9, 100%, $F$9) + CHOOSE(CONTROL!$C$27, 0.0021, 0)</f>
        <v>101.2509</v>
      </c>
      <c r="E944" s="10">
        <f>101.1121 * CHOOSE(CONTROL!$C$9, $D$9, 100%, $F$9) + CHOOSE(CONTROL!$C$27, 0.0021, 0)</f>
        <v>101.1142</v>
      </c>
      <c r="F944" s="10">
        <f>101.1121 * CHOOSE(CONTROL!$C$9, $D$9, 100%, $F$9) + CHOOSE(CONTROL!$C$27, 0.0021, 0)</f>
        <v>101.1142</v>
      </c>
      <c r="G944" s="10">
        <f>101.3835 * CHOOSE(CONTROL!$C$9, $D$9, 100%, $F$9) + CHOOSE(CONTROL!$C$27, 0.0021, 0)</f>
        <v>101.3856</v>
      </c>
      <c r="H944" s="10">
        <f>101.2488 * CHOOSE(CONTROL!$C$9, $D$9, 100%, $F$9) + CHOOSE(CONTROL!$C$27, 0.0021, 0)</f>
        <v>101.2509</v>
      </c>
      <c r="I944" s="10">
        <f>101.2488 * CHOOSE(CONTROL!$C$9, $D$9, 100%, $F$9) + CHOOSE(CONTROL!$C$27, 0.0021, 0)</f>
        <v>101.2509</v>
      </c>
      <c r="J944" s="10">
        <f>101.2488 * CHOOSE(CONTROL!$C$9, $D$9, 100%, $F$9) + CHOOSE(CONTROL!$C$27, 0.0021, 0)</f>
        <v>101.2509</v>
      </c>
      <c r="K944" s="10">
        <f>101.2488 * CHOOSE(CONTROL!$C$9, $D$9, 100%, $F$9) + CHOOSE(CONTROL!$C$27, 0.0021, 0)</f>
        <v>101.2509</v>
      </c>
      <c r="L944" s="10"/>
    </row>
    <row r="945" spans="1:12" ht="15.75" x14ac:dyDescent="0.25">
      <c r="A945" s="13">
        <v>69702</v>
      </c>
      <c r="B945" s="10">
        <f>104.1884 * CHOOSE(CONTROL!$C$9, $D$9, 100%, $F$9) + CHOOSE(CONTROL!$C$27, 0.0021, 0)</f>
        <v>104.1905</v>
      </c>
      <c r="C945" s="10">
        <f>103.7561 * CHOOSE(CONTROL!$C$9, $D$9, 100%, $F$9) + CHOOSE(CONTROL!$C$27, 0.0021, 0)</f>
        <v>103.7582</v>
      </c>
      <c r="D945" s="10">
        <f>103.7561 * CHOOSE(CONTROL!$C$9, $D$9, 100%, $F$9) + CHOOSE(CONTROL!$C$27, 0.0021, 0)</f>
        <v>103.7582</v>
      </c>
      <c r="E945" s="10">
        <f>103.6195 * CHOOSE(CONTROL!$C$9, $D$9, 100%, $F$9) + CHOOSE(CONTROL!$C$27, 0.0021, 0)</f>
        <v>103.6216</v>
      </c>
      <c r="F945" s="10">
        <f>103.6195 * CHOOSE(CONTROL!$C$9, $D$9, 100%, $F$9) + CHOOSE(CONTROL!$C$27, 0.0021, 0)</f>
        <v>103.6216</v>
      </c>
      <c r="G945" s="10">
        <f>103.8908 * CHOOSE(CONTROL!$C$9, $D$9, 100%, $F$9) + CHOOSE(CONTROL!$C$27, 0.0021, 0)</f>
        <v>103.8929</v>
      </c>
      <c r="H945" s="10">
        <f>103.7561 * CHOOSE(CONTROL!$C$9, $D$9, 100%, $F$9) + CHOOSE(CONTROL!$C$27, 0.0021, 0)</f>
        <v>103.7582</v>
      </c>
      <c r="I945" s="10">
        <f>103.7561 * CHOOSE(CONTROL!$C$9, $D$9, 100%, $F$9) + CHOOSE(CONTROL!$C$27, 0.0021, 0)</f>
        <v>103.7582</v>
      </c>
      <c r="J945" s="10">
        <f>103.7561 * CHOOSE(CONTROL!$C$9, $D$9, 100%, $F$9) + CHOOSE(CONTROL!$C$27, 0.0021, 0)</f>
        <v>103.7582</v>
      </c>
      <c r="K945" s="10">
        <f>103.7561 * CHOOSE(CONTROL!$C$9, $D$9, 100%, $F$9) + CHOOSE(CONTROL!$C$27, 0.0021, 0)</f>
        <v>103.7582</v>
      </c>
      <c r="L945" s="10"/>
    </row>
    <row r="946" spans="1:12" ht="15.75" x14ac:dyDescent="0.25">
      <c r="A946" s="13">
        <v>69732</v>
      </c>
      <c r="B946" s="10">
        <f>104.4238 * CHOOSE(CONTROL!$C$9, $D$9, 100%, $F$9) + CHOOSE(CONTROL!$C$27, 0.0021, 0)</f>
        <v>104.4259</v>
      </c>
      <c r="C946" s="10">
        <f>103.9915 * CHOOSE(CONTROL!$C$9, $D$9, 100%, $F$9) + CHOOSE(CONTROL!$C$27, 0.0021, 0)</f>
        <v>103.9936</v>
      </c>
      <c r="D946" s="10">
        <f>103.9915 * CHOOSE(CONTROL!$C$9, $D$9, 100%, $F$9) + CHOOSE(CONTROL!$C$27, 0.0021, 0)</f>
        <v>103.9936</v>
      </c>
      <c r="E946" s="10">
        <f>103.8549 * CHOOSE(CONTROL!$C$9, $D$9, 100%, $F$9) + CHOOSE(CONTROL!$C$27, 0.0021, 0)</f>
        <v>103.857</v>
      </c>
      <c r="F946" s="10">
        <f>103.8549 * CHOOSE(CONTROL!$C$9, $D$9, 100%, $F$9) + CHOOSE(CONTROL!$C$27, 0.0021, 0)</f>
        <v>103.857</v>
      </c>
      <c r="G946" s="10">
        <f>104.1262 * CHOOSE(CONTROL!$C$9, $D$9, 100%, $F$9) + CHOOSE(CONTROL!$C$27, 0.0021, 0)</f>
        <v>104.1283</v>
      </c>
      <c r="H946" s="10">
        <f>103.9915 * CHOOSE(CONTROL!$C$9, $D$9, 100%, $F$9) + CHOOSE(CONTROL!$C$27, 0.0021, 0)</f>
        <v>103.9936</v>
      </c>
      <c r="I946" s="10">
        <f>103.9915 * CHOOSE(CONTROL!$C$9, $D$9, 100%, $F$9) + CHOOSE(CONTROL!$C$27, 0.0021, 0)</f>
        <v>103.9936</v>
      </c>
      <c r="J946" s="10">
        <f>103.9915 * CHOOSE(CONTROL!$C$9, $D$9, 100%, $F$9) + CHOOSE(CONTROL!$C$27, 0.0021, 0)</f>
        <v>103.9936</v>
      </c>
      <c r="K946" s="10">
        <f>103.9915 * CHOOSE(CONTROL!$C$9, $D$9, 100%, $F$9) + CHOOSE(CONTROL!$C$27, 0.0021, 0)</f>
        <v>103.9936</v>
      </c>
      <c r="L946" s="10"/>
    </row>
    <row r="947" spans="1:12" ht="15.75" x14ac:dyDescent="0.25">
      <c r="A947" s="13">
        <v>69763</v>
      </c>
      <c r="B947" s="10">
        <f>102.4212 * CHOOSE(CONTROL!$C$9, $D$9, 100%, $F$9) + CHOOSE(CONTROL!$C$27, 0.0021, 0)</f>
        <v>102.4233</v>
      </c>
      <c r="C947" s="10">
        <f>101.989 * CHOOSE(CONTROL!$C$9, $D$9, 100%, $F$9) + CHOOSE(CONTROL!$C$27, 0.0021, 0)</f>
        <v>101.9911</v>
      </c>
      <c r="D947" s="10">
        <f>101.989 * CHOOSE(CONTROL!$C$9, $D$9, 100%, $F$9) + CHOOSE(CONTROL!$C$27, 0.0021, 0)</f>
        <v>101.9911</v>
      </c>
      <c r="E947" s="10">
        <f>101.8523 * CHOOSE(CONTROL!$C$9, $D$9, 100%, $F$9) + CHOOSE(CONTROL!$C$27, 0.0021, 0)</f>
        <v>101.8544</v>
      </c>
      <c r="F947" s="10">
        <f>101.8523 * CHOOSE(CONTROL!$C$9, $D$9, 100%, $F$9) + CHOOSE(CONTROL!$C$27, 0.0021, 0)</f>
        <v>101.8544</v>
      </c>
      <c r="G947" s="10">
        <f>102.1237 * CHOOSE(CONTROL!$C$9, $D$9, 100%, $F$9) + CHOOSE(CONTROL!$C$27, 0.0021, 0)</f>
        <v>102.1258</v>
      </c>
      <c r="H947" s="10">
        <f>101.989 * CHOOSE(CONTROL!$C$9, $D$9, 100%, $F$9) + CHOOSE(CONTROL!$C$27, 0.0021, 0)</f>
        <v>101.9911</v>
      </c>
      <c r="I947" s="10">
        <f>101.989 * CHOOSE(CONTROL!$C$9, $D$9, 100%, $F$9) + CHOOSE(CONTROL!$C$27, 0.0021, 0)</f>
        <v>101.9911</v>
      </c>
      <c r="J947" s="10">
        <f>101.989 * CHOOSE(CONTROL!$C$9, $D$9, 100%, $F$9) + CHOOSE(CONTROL!$C$27, 0.0021, 0)</f>
        <v>101.9911</v>
      </c>
      <c r="K947" s="10">
        <f>101.989 * CHOOSE(CONTROL!$C$9, $D$9, 100%, $F$9) + CHOOSE(CONTROL!$C$27, 0.0021, 0)</f>
        <v>101.9911</v>
      </c>
      <c r="L947" s="10"/>
    </row>
    <row r="948" spans="1:12" ht="15.75" x14ac:dyDescent="0.25">
      <c r="A948" s="13">
        <v>69794</v>
      </c>
      <c r="B948" s="10">
        <f>101.1093 * CHOOSE(CONTROL!$C$9, $D$9, 100%, $F$9) + CHOOSE(CONTROL!$C$27, 0.0021, 0)</f>
        <v>101.1114</v>
      </c>
      <c r="C948" s="10">
        <f>100.677 * CHOOSE(CONTROL!$C$9, $D$9, 100%, $F$9) + CHOOSE(CONTROL!$C$27, 0.0021, 0)</f>
        <v>100.67910000000001</v>
      </c>
      <c r="D948" s="10">
        <f>100.677 * CHOOSE(CONTROL!$C$9, $D$9, 100%, $F$9) + CHOOSE(CONTROL!$C$27, 0.0021, 0)</f>
        <v>100.67910000000001</v>
      </c>
      <c r="E948" s="10">
        <f>100.5404 * CHOOSE(CONTROL!$C$9, $D$9, 100%, $F$9) + CHOOSE(CONTROL!$C$27, 0.0021, 0)</f>
        <v>100.5425</v>
      </c>
      <c r="F948" s="10">
        <f>100.5404 * CHOOSE(CONTROL!$C$9, $D$9, 100%, $F$9) + CHOOSE(CONTROL!$C$27, 0.0021, 0)</f>
        <v>100.5425</v>
      </c>
      <c r="G948" s="10">
        <f>100.8118 * CHOOSE(CONTROL!$C$9, $D$9, 100%, $F$9) + CHOOSE(CONTROL!$C$27, 0.0021, 0)</f>
        <v>100.8139</v>
      </c>
      <c r="H948" s="10">
        <f>100.677 * CHOOSE(CONTROL!$C$9, $D$9, 100%, $F$9) + CHOOSE(CONTROL!$C$27, 0.0021, 0)</f>
        <v>100.67910000000001</v>
      </c>
      <c r="I948" s="10">
        <f>100.677 * CHOOSE(CONTROL!$C$9, $D$9, 100%, $F$9) + CHOOSE(CONTROL!$C$27, 0.0021, 0)</f>
        <v>100.67910000000001</v>
      </c>
      <c r="J948" s="10">
        <f>100.677 * CHOOSE(CONTROL!$C$9, $D$9, 100%, $F$9) + CHOOSE(CONTROL!$C$27, 0.0021, 0)</f>
        <v>100.67910000000001</v>
      </c>
      <c r="K948" s="10">
        <f>100.677 * CHOOSE(CONTROL!$C$9, $D$9, 100%, $F$9) + CHOOSE(CONTROL!$C$27, 0.0021, 0)</f>
        <v>100.67910000000001</v>
      </c>
      <c r="L948" s="10"/>
    </row>
    <row r="949" spans="1:12" ht="15.75" x14ac:dyDescent="0.25">
      <c r="A949" s="13">
        <v>69822</v>
      </c>
      <c r="B949" s="10">
        <f>98.3142 * CHOOSE(CONTROL!$C$9, $D$9, 100%, $F$9) + CHOOSE(CONTROL!$C$27, 0.0021, 0)</f>
        <v>98.316299999999998</v>
      </c>
      <c r="C949" s="10">
        <f>97.882 * CHOOSE(CONTROL!$C$9, $D$9, 100%, $F$9) + CHOOSE(CONTROL!$C$27, 0.0021, 0)</f>
        <v>97.884100000000004</v>
      </c>
      <c r="D949" s="10">
        <f>97.882 * CHOOSE(CONTROL!$C$9, $D$9, 100%, $F$9) + CHOOSE(CONTROL!$C$27, 0.0021, 0)</f>
        <v>97.884100000000004</v>
      </c>
      <c r="E949" s="10">
        <f>97.7453 * CHOOSE(CONTROL!$C$9, $D$9, 100%, $F$9) + CHOOSE(CONTROL!$C$27, 0.0021, 0)</f>
        <v>97.747399999999999</v>
      </c>
      <c r="F949" s="10">
        <f>97.7453 * CHOOSE(CONTROL!$C$9, $D$9, 100%, $F$9) + CHOOSE(CONTROL!$C$27, 0.0021, 0)</f>
        <v>97.747399999999999</v>
      </c>
      <c r="G949" s="10">
        <f>98.0167 * CHOOSE(CONTROL!$C$9, $D$9, 100%, $F$9) + CHOOSE(CONTROL!$C$27, 0.0021, 0)</f>
        <v>98.018799999999999</v>
      </c>
      <c r="H949" s="10">
        <f>97.882 * CHOOSE(CONTROL!$C$9, $D$9, 100%, $F$9) + CHOOSE(CONTROL!$C$27, 0.0021, 0)</f>
        <v>97.884100000000004</v>
      </c>
      <c r="I949" s="10">
        <f>97.882 * CHOOSE(CONTROL!$C$9, $D$9, 100%, $F$9) + CHOOSE(CONTROL!$C$27, 0.0021, 0)</f>
        <v>97.884100000000004</v>
      </c>
      <c r="J949" s="10">
        <f>97.882 * CHOOSE(CONTROL!$C$9, $D$9, 100%, $F$9) + CHOOSE(CONTROL!$C$27, 0.0021, 0)</f>
        <v>97.884100000000004</v>
      </c>
      <c r="K949" s="10">
        <f>97.882 * CHOOSE(CONTROL!$C$9, $D$9, 100%, $F$9) + CHOOSE(CONTROL!$C$27, 0.0021, 0)</f>
        <v>97.884100000000004</v>
      </c>
      <c r="L949" s="10"/>
    </row>
    <row r="950" spans="1:12" ht="15.75" x14ac:dyDescent="0.25">
      <c r="A950" s="13">
        <v>69853</v>
      </c>
      <c r="B950" s="10">
        <f>97.1604 * CHOOSE(CONTROL!$C$9, $D$9, 100%, $F$9) + CHOOSE(CONTROL!$C$27, 0.0021, 0)</f>
        <v>97.162499999999994</v>
      </c>
      <c r="C950" s="10">
        <f>96.7282 * CHOOSE(CONTROL!$C$9, $D$9, 100%, $F$9) + CHOOSE(CONTROL!$C$27, 0.0021, 0)</f>
        <v>96.7303</v>
      </c>
      <c r="D950" s="10">
        <f>96.7282 * CHOOSE(CONTROL!$C$9, $D$9, 100%, $F$9) + CHOOSE(CONTROL!$C$27, 0.0021, 0)</f>
        <v>96.7303</v>
      </c>
      <c r="E950" s="10">
        <f>96.5915 * CHOOSE(CONTROL!$C$9, $D$9, 100%, $F$9) + CHOOSE(CONTROL!$C$27, 0.0021, 0)</f>
        <v>96.593599999999995</v>
      </c>
      <c r="F950" s="10">
        <f>96.5915 * CHOOSE(CONTROL!$C$9, $D$9, 100%, $F$9) + CHOOSE(CONTROL!$C$27, 0.0021, 0)</f>
        <v>96.593599999999995</v>
      </c>
      <c r="G950" s="10">
        <f>96.8629 * CHOOSE(CONTROL!$C$9, $D$9, 100%, $F$9) + CHOOSE(CONTROL!$C$27, 0.0021, 0)</f>
        <v>96.864999999999995</v>
      </c>
      <c r="H950" s="10">
        <f>96.7282 * CHOOSE(CONTROL!$C$9, $D$9, 100%, $F$9) + CHOOSE(CONTROL!$C$27, 0.0021, 0)</f>
        <v>96.7303</v>
      </c>
      <c r="I950" s="10">
        <f>96.7282 * CHOOSE(CONTROL!$C$9, $D$9, 100%, $F$9) + CHOOSE(CONTROL!$C$27, 0.0021, 0)</f>
        <v>96.7303</v>
      </c>
      <c r="J950" s="10">
        <f>96.7282 * CHOOSE(CONTROL!$C$9, $D$9, 100%, $F$9) + CHOOSE(CONTROL!$C$27, 0.0021, 0)</f>
        <v>96.7303</v>
      </c>
      <c r="K950" s="10">
        <f>96.7282 * CHOOSE(CONTROL!$C$9, $D$9, 100%, $F$9) + CHOOSE(CONTROL!$C$27, 0.0021, 0)</f>
        <v>96.7303</v>
      </c>
      <c r="L950" s="10"/>
    </row>
    <row r="951" spans="1:12" ht="15.75" x14ac:dyDescent="0.25">
      <c r="A951" s="13">
        <v>69883</v>
      </c>
      <c r="B951" s="10">
        <f>95.7827 * CHOOSE(CONTROL!$C$9, $D$9, 100%, $F$9) + CHOOSE(CONTROL!$C$27, 0.0021, 0)</f>
        <v>95.784800000000004</v>
      </c>
      <c r="C951" s="10">
        <f>95.3505 * CHOOSE(CONTROL!$C$9, $D$9, 100%, $F$9) + CHOOSE(CONTROL!$C$27, 0.0021, 0)</f>
        <v>95.352599999999995</v>
      </c>
      <c r="D951" s="10">
        <f>95.3505 * CHOOSE(CONTROL!$C$9, $D$9, 100%, $F$9) + CHOOSE(CONTROL!$C$27, 0.0021, 0)</f>
        <v>95.352599999999995</v>
      </c>
      <c r="E951" s="10">
        <f>95.2138 * CHOOSE(CONTROL!$C$9, $D$9, 100%, $F$9) + CHOOSE(CONTROL!$C$27, 0.0021, 0)</f>
        <v>95.215900000000005</v>
      </c>
      <c r="F951" s="10">
        <f>95.2138 * CHOOSE(CONTROL!$C$9, $D$9, 100%, $F$9) + CHOOSE(CONTROL!$C$27, 0.0021, 0)</f>
        <v>95.215900000000005</v>
      </c>
      <c r="G951" s="10">
        <f>95.4852 * CHOOSE(CONTROL!$C$9, $D$9, 100%, $F$9) + CHOOSE(CONTROL!$C$27, 0.0021, 0)</f>
        <v>95.487300000000005</v>
      </c>
      <c r="H951" s="10">
        <f>95.3505 * CHOOSE(CONTROL!$C$9, $D$9, 100%, $F$9) + CHOOSE(CONTROL!$C$27, 0.0021, 0)</f>
        <v>95.352599999999995</v>
      </c>
      <c r="I951" s="10">
        <f>95.3505 * CHOOSE(CONTROL!$C$9, $D$9, 100%, $F$9) + CHOOSE(CONTROL!$C$27, 0.0021, 0)</f>
        <v>95.352599999999995</v>
      </c>
      <c r="J951" s="10">
        <f>95.3505 * CHOOSE(CONTROL!$C$9, $D$9, 100%, $F$9) + CHOOSE(CONTROL!$C$27, 0.0021, 0)</f>
        <v>95.352599999999995</v>
      </c>
      <c r="K951" s="10">
        <f>95.3505 * CHOOSE(CONTROL!$C$9, $D$9, 100%, $F$9) + CHOOSE(CONTROL!$C$27, 0.0021, 0)</f>
        <v>95.352599999999995</v>
      </c>
      <c r="L951" s="10"/>
    </row>
    <row r="952" spans="1:12" ht="15.75" x14ac:dyDescent="0.25">
      <c r="A952" s="13">
        <v>69914</v>
      </c>
      <c r="B952" s="10">
        <f>97.7461 * CHOOSE(CONTROL!$C$9, $D$9, 100%, $F$9) + CHOOSE(CONTROL!$C$27, 0.0021, 0)</f>
        <v>97.748199999999997</v>
      </c>
      <c r="C952" s="10">
        <f>97.3138 * CHOOSE(CONTROL!$C$9, $D$9, 100%, $F$9) + CHOOSE(CONTROL!$C$27, 0.0021, 0)</f>
        <v>97.315899999999999</v>
      </c>
      <c r="D952" s="10">
        <f>97.3138 * CHOOSE(CONTROL!$C$9, $D$9, 100%, $F$9) + CHOOSE(CONTROL!$C$27, 0.0021, 0)</f>
        <v>97.315899999999999</v>
      </c>
      <c r="E952" s="10">
        <f>97.1772 * CHOOSE(CONTROL!$C$9, $D$9, 100%, $F$9) + CHOOSE(CONTROL!$C$27, 0.0021, 0)</f>
        <v>97.179299999999998</v>
      </c>
      <c r="F952" s="10">
        <f>97.1772 * CHOOSE(CONTROL!$C$9, $D$9, 100%, $F$9) + CHOOSE(CONTROL!$C$27, 0.0021, 0)</f>
        <v>97.179299999999998</v>
      </c>
      <c r="G952" s="10">
        <f>97.4486 * CHOOSE(CONTROL!$C$9, $D$9, 100%, $F$9) + CHOOSE(CONTROL!$C$27, 0.0021, 0)</f>
        <v>97.450699999999998</v>
      </c>
      <c r="H952" s="10">
        <f>97.3138 * CHOOSE(CONTROL!$C$9, $D$9, 100%, $F$9) + CHOOSE(CONTROL!$C$27, 0.0021, 0)</f>
        <v>97.315899999999999</v>
      </c>
      <c r="I952" s="10">
        <f>97.3138 * CHOOSE(CONTROL!$C$9, $D$9, 100%, $F$9) + CHOOSE(CONTROL!$C$27, 0.0021, 0)</f>
        <v>97.315899999999999</v>
      </c>
      <c r="J952" s="10">
        <f>97.3138 * CHOOSE(CONTROL!$C$9, $D$9, 100%, $F$9) + CHOOSE(CONTROL!$C$27, 0.0021, 0)</f>
        <v>97.315899999999999</v>
      </c>
      <c r="K952" s="10">
        <f>97.3138 * CHOOSE(CONTROL!$C$9, $D$9, 100%, $F$9) + CHOOSE(CONTROL!$C$27, 0.0021, 0)</f>
        <v>97.315899999999999</v>
      </c>
      <c r="L952" s="10"/>
    </row>
    <row r="953" spans="1:12" ht="15.75" x14ac:dyDescent="0.25">
      <c r="A953" s="13">
        <v>69944</v>
      </c>
      <c r="B953" s="10">
        <f>98.922 * CHOOSE(CONTROL!$C$9, $D$9, 100%, $F$9) + CHOOSE(CONTROL!$C$27, 0.0021, 0)</f>
        <v>98.924099999999996</v>
      </c>
      <c r="C953" s="10">
        <f>98.4898 * CHOOSE(CONTROL!$C$9, $D$9, 100%, $F$9) + CHOOSE(CONTROL!$C$27, 0.0021, 0)</f>
        <v>98.491900000000001</v>
      </c>
      <c r="D953" s="10">
        <f>98.4898 * CHOOSE(CONTROL!$C$9, $D$9, 100%, $F$9) + CHOOSE(CONTROL!$C$27, 0.0021, 0)</f>
        <v>98.491900000000001</v>
      </c>
      <c r="E953" s="10">
        <f>98.3531 * CHOOSE(CONTROL!$C$9, $D$9, 100%, $F$9) + CHOOSE(CONTROL!$C$27, 0.0021, 0)</f>
        <v>98.355199999999996</v>
      </c>
      <c r="F953" s="10">
        <f>98.3531 * CHOOSE(CONTROL!$C$9, $D$9, 100%, $F$9) + CHOOSE(CONTROL!$C$27, 0.0021, 0)</f>
        <v>98.355199999999996</v>
      </c>
      <c r="G953" s="10">
        <f>98.6245 * CHOOSE(CONTROL!$C$9, $D$9, 100%, $F$9) + CHOOSE(CONTROL!$C$27, 0.0021, 0)</f>
        <v>98.626599999999996</v>
      </c>
      <c r="H953" s="10">
        <f>98.4898 * CHOOSE(CONTROL!$C$9, $D$9, 100%, $F$9) + CHOOSE(CONTROL!$C$27, 0.0021, 0)</f>
        <v>98.491900000000001</v>
      </c>
      <c r="I953" s="10">
        <f>98.4898 * CHOOSE(CONTROL!$C$9, $D$9, 100%, $F$9) + CHOOSE(CONTROL!$C$27, 0.0021, 0)</f>
        <v>98.491900000000001</v>
      </c>
      <c r="J953" s="10">
        <f>98.4898 * CHOOSE(CONTROL!$C$9, $D$9, 100%, $F$9) + CHOOSE(CONTROL!$C$27, 0.0021, 0)</f>
        <v>98.491900000000001</v>
      </c>
      <c r="K953" s="10">
        <f>98.4898 * CHOOSE(CONTROL!$C$9, $D$9, 100%, $F$9) + CHOOSE(CONTROL!$C$27, 0.0021, 0)</f>
        <v>98.491900000000001</v>
      </c>
      <c r="L953" s="10"/>
    </row>
    <row r="954" spans="1:12" ht="15.75" x14ac:dyDescent="0.25">
      <c r="A954" s="13">
        <v>69975</v>
      </c>
      <c r="B954" s="10">
        <f>100.862 * CHOOSE(CONTROL!$C$9, $D$9, 100%, $F$9) + CHOOSE(CONTROL!$C$27, 0.0021, 0)</f>
        <v>100.86409999999999</v>
      </c>
      <c r="C954" s="10">
        <f>100.4297 * CHOOSE(CONTROL!$C$9, $D$9, 100%, $F$9) + CHOOSE(CONTROL!$C$27, 0.0021, 0)</f>
        <v>100.4318</v>
      </c>
      <c r="D954" s="10">
        <f>100.4297 * CHOOSE(CONTROL!$C$9, $D$9, 100%, $F$9) + CHOOSE(CONTROL!$C$27, 0.0021, 0)</f>
        <v>100.4318</v>
      </c>
      <c r="E954" s="10">
        <f>100.293 * CHOOSE(CONTROL!$C$9, $D$9, 100%, $F$9) + CHOOSE(CONTROL!$C$27, 0.0021, 0)</f>
        <v>100.29510000000001</v>
      </c>
      <c r="F954" s="10">
        <f>100.293 * CHOOSE(CONTROL!$C$9, $D$9, 100%, $F$9) + CHOOSE(CONTROL!$C$27, 0.0021, 0)</f>
        <v>100.29510000000001</v>
      </c>
      <c r="G954" s="10">
        <f>100.5644 * CHOOSE(CONTROL!$C$9, $D$9, 100%, $F$9) + CHOOSE(CONTROL!$C$27, 0.0021, 0)</f>
        <v>100.5665</v>
      </c>
      <c r="H954" s="10">
        <f>100.4297 * CHOOSE(CONTROL!$C$9, $D$9, 100%, $F$9) + CHOOSE(CONTROL!$C$27, 0.0021, 0)</f>
        <v>100.4318</v>
      </c>
      <c r="I954" s="10">
        <f>100.4297 * CHOOSE(CONTROL!$C$9, $D$9, 100%, $F$9) + CHOOSE(CONTROL!$C$27, 0.0021, 0)</f>
        <v>100.4318</v>
      </c>
      <c r="J954" s="10">
        <f>100.4297 * CHOOSE(CONTROL!$C$9, $D$9, 100%, $F$9) + CHOOSE(CONTROL!$C$27, 0.0021, 0)</f>
        <v>100.4318</v>
      </c>
      <c r="K954" s="10">
        <f>100.4297 * CHOOSE(CONTROL!$C$9, $D$9, 100%, $F$9) + CHOOSE(CONTROL!$C$27, 0.0021, 0)</f>
        <v>100.4318</v>
      </c>
      <c r="L954" s="10"/>
    </row>
    <row r="955" spans="1:12" ht="15.75" x14ac:dyDescent="0.25">
      <c r="A955" s="13">
        <v>70006</v>
      </c>
      <c r="B955" s="10">
        <f>101.4541 * CHOOSE(CONTROL!$C$9, $D$9, 100%, $F$9) + CHOOSE(CONTROL!$C$27, 0.0021, 0)</f>
        <v>101.4562</v>
      </c>
      <c r="C955" s="10">
        <f>101.0218 * CHOOSE(CONTROL!$C$9, $D$9, 100%, $F$9) + CHOOSE(CONTROL!$C$27, 0.0021, 0)</f>
        <v>101.0239</v>
      </c>
      <c r="D955" s="10">
        <f>101.0218 * CHOOSE(CONTROL!$C$9, $D$9, 100%, $F$9) + CHOOSE(CONTROL!$C$27, 0.0021, 0)</f>
        <v>101.0239</v>
      </c>
      <c r="E955" s="10">
        <f>100.8852 * CHOOSE(CONTROL!$C$9, $D$9, 100%, $F$9) + CHOOSE(CONTROL!$C$27, 0.0021, 0)</f>
        <v>100.8873</v>
      </c>
      <c r="F955" s="10">
        <f>100.8852 * CHOOSE(CONTROL!$C$9, $D$9, 100%, $F$9) + CHOOSE(CONTROL!$C$27, 0.0021, 0)</f>
        <v>100.8873</v>
      </c>
      <c r="G955" s="10">
        <f>101.1565 * CHOOSE(CONTROL!$C$9, $D$9, 100%, $F$9) + CHOOSE(CONTROL!$C$27, 0.0021, 0)</f>
        <v>101.15859999999999</v>
      </c>
      <c r="H955" s="10">
        <f>101.0218 * CHOOSE(CONTROL!$C$9, $D$9, 100%, $F$9) + CHOOSE(CONTROL!$C$27, 0.0021, 0)</f>
        <v>101.0239</v>
      </c>
      <c r="I955" s="10">
        <f>101.0218 * CHOOSE(CONTROL!$C$9, $D$9, 100%, $F$9) + CHOOSE(CONTROL!$C$27, 0.0021, 0)</f>
        <v>101.0239</v>
      </c>
      <c r="J955" s="10">
        <f>101.0218 * CHOOSE(CONTROL!$C$9, $D$9, 100%, $F$9) + CHOOSE(CONTROL!$C$27, 0.0021, 0)</f>
        <v>101.0239</v>
      </c>
      <c r="K955" s="10">
        <f>101.0218 * CHOOSE(CONTROL!$C$9, $D$9, 100%, $F$9) + CHOOSE(CONTROL!$C$27, 0.0021, 0)</f>
        <v>101.0239</v>
      </c>
      <c r="L955" s="10"/>
    </row>
    <row r="956" spans="1:12" ht="15.75" x14ac:dyDescent="0.25">
      <c r="A956" s="13">
        <v>70036</v>
      </c>
      <c r="B956" s="10">
        <f>103.4705 * CHOOSE(CONTROL!$C$9, $D$9, 100%, $F$9) + CHOOSE(CONTROL!$C$27, 0.0021, 0)</f>
        <v>103.4726</v>
      </c>
      <c r="C956" s="10">
        <f>103.0383 * CHOOSE(CONTROL!$C$9, $D$9, 100%, $F$9) + CHOOSE(CONTROL!$C$27, 0.0021, 0)</f>
        <v>103.04040000000001</v>
      </c>
      <c r="D956" s="10">
        <f>103.0383 * CHOOSE(CONTROL!$C$9, $D$9, 100%, $F$9) + CHOOSE(CONTROL!$C$27, 0.0021, 0)</f>
        <v>103.04040000000001</v>
      </c>
      <c r="E956" s="10">
        <f>102.9016 * CHOOSE(CONTROL!$C$9, $D$9, 100%, $F$9) + CHOOSE(CONTROL!$C$27, 0.0021, 0)</f>
        <v>102.9037</v>
      </c>
      <c r="F956" s="10">
        <f>102.9016 * CHOOSE(CONTROL!$C$9, $D$9, 100%, $F$9) + CHOOSE(CONTROL!$C$27, 0.0021, 0)</f>
        <v>102.9037</v>
      </c>
      <c r="G956" s="10">
        <f>103.173 * CHOOSE(CONTROL!$C$9, $D$9, 100%, $F$9) + CHOOSE(CONTROL!$C$27, 0.0021, 0)</f>
        <v>103.1751</v>
      </c>
      <c r="H956" s="10">
        <f>103.0383 * CHOOSE(CONTROL!$C$9, $D$9, 100%, $F$9) + CHOOSE(CONTROL!$C$27, 0.0021, 0)</f>
        <v>103.04040000000001</v>
      </c>
      <c r="I956" s="10">
        <f>103.0383 * CHOOSE(CONTROL!$C$9, $D$9, 100%, $F$9) + CHOOSE(CONTROL!$C$27, 0.0021, 0)</f>
        <v>103.04040000000001</v>
      </c>
      <c r="J956" s="10">
        <f>103.0383 * CHOOSE(CONTROL!$C$9, $D$9, 100%, $F$9) + CHOOSE(CONTROL!$C$27, 0.0021, 0)</f>
        <v>103.04040000000001</v>
      </c>
      <c r="K956" s="10">
        <f>103.0383 * CHOOSE(CONTROL!$C$9, $D$9, 100%, $F$9) + CHOOSE(CONTROL!$C$27, 0.0021, 0)</f>
        <v>103.04040000000001</v>
      </c>
      <c r="L956" s="10"/>
    </row>
    <row r="957" spans="1:12" ht="15.75" x14ac:dyDescent="0.25">
      <c r="A957" s="13">
        <v>70067</v>
      </c>
      <c r="B957" s="10">
        <f>106.023 * CHOOSE(CONTROL!$C$9, $D$9, 100%, $F$9) + CHOOSE(CONTROL!$C$27, 0.0021, 0)</f>
        <v>106.02509999999999</v>
      </c>
      <c r="C957" s="10">
        <f>105.5908 * CHOOSE(CONTROL!$C$9, $D$9, 100%, $F$9) + CHOOSE(CONTROL!$C$27, 0.0021, 0)</f>
        <v>105.5929</v>
      </c>
      <c r="D957" s="10">
        <f>105.5908 * CHOOSE(CONTROL!$C$9, $D$9, 100%, $F$9) + CHOOSE(CONTROL!$C$27, 0.0021, 0)</f>
        <v>105.5929</v>
      </c>
      <c r="E957" s="10">
        <f>105.4541 * CHOOSE(CONTROL!$C$9, $D$9, 100%, $F$9) + CHOOSE(CONTROL!$C$27, 0.0021, 0)</f>
        <v>105.4562</v>
      </c>
      <c r="F957" s="10">
        <f>105.4541 * CHOOSE(CONTROL!$C$9, $D$9, 100%, $F$9) + CHOOSE(CONTROL!$C$27, 0.0021, 0)</f>
        <v>105.4562</v>
      </c>
      <c r="G957" s="10">
        <f>105.7255 * CHOOSE(CONTROL!$C$9, $D$9, 100%, $F$9) + CHOOSE(CONTROL!$C$27, 0.0021, 0)</f>
        <v>105.7276</v>
      </c>
      <c r="H957" s="10">
        <f>105.5908 * CHOOSE(CONTROL!$C$9, $D$9, 100%, $F$9) + CHOOSE(CONTROL!$C$27, 0.0021, 0)</f>
        <v>105.5929</v>
      </c>
      <c r="I957" s="10">
        <f>105.5908 * CHOOSE(CONTROL!$C$9, $D$9, 100%, $F$9) + CHOOSE(CONTROL!$C$27, 0.0021, 0)</f>
        <v>105.5929</v>
      </c>
      <c r="J957" s="10">
        <f>105.5908 * CHOOSE(CONTROL!$C$9, $D$9, 100%, $F$9) + CHOOSE(CONTROL!$C$27, 0.0021, 0)</f>
        <v>105.5929</v>
      </c>
      <c r="K957" s="10">
        <f>105.5908 * CHOOSE(CONTROL!$C$9, $D$9, 100%, $F$9) + CHOOSE(CONTROL!$C$27, 0.0021, 0)</f>
        <v>105.5929</v>
      </c>
      <c r="L957" s="10"/>
    </row>
    <row r="958" spans="1:12" ht="15.75" x14ac:dyDescent="0.25">
      <c r="A958" s="13">
        <v>70097</v>
      </c>
      <c r="B958" s="10">
        <f>106.2626 * CHOOSE(CONTROL!$C$9, $D$9, 100%, $F$9) + CHOOSE(CONTROL!$C$27, 0.0021, 0)</f>
        <v>106.2647</v>
      </c>
      <c r="C958" s="10">
        <f>105.8304 * CHOOSE(CONTROL!$C$9, $D$9, 100%, $F$9) + CHOOSE(CONTROL!$C$27, 0.0021, 0)</f>
        <v>105.8325</v>
      </c>
      <c r="D958" s="10">
        <f>105.8304 * CHOOSE(CONTROL!$C$9, $D$9, 100%, $F$9) + CHOOSE(CONTROL!$C$27, 0.0021, 0)</f>
        <v>105.8325</v>
      </c>
      <c r="E958" s="10">
        <f>105.6937 * CHOOSE(CONTROL!$C$9, $D$9, 100%, $F$9) + CHOOSE(CONTROL!$C$27, 0.0021, 0)</f>
        <v>105.69580000000001</v>
      </c>
      <c r="F958" s="10">
        <f>105.6937 * CHOOSE(CONTROL!$C$9, $D$9, 100%, $F$9) + CHOOSE(CONTROL!$C$27, 0.0021, 0)</f>
        <v>105.69580000000001</v>
      </c>
      <c r="G958" s="10">
        <f>105.9651 * CHOOSE(CONTROL!$C$9, $D$9, 100%, $F$9) + CHOOSE(CONTROL!$C$27, 0.0021, 0)</f>
        <v>105.96720000000001</v>
      </c>
      <c r="H958" s="10">
        <f>105.8304 * CHOOSE(CONTROL!$C$9, $D$9, 100%, $F$9) + CHOOSE(CONTROL!$C$27, 0.0021, 0)</f>
        <v>105.8325</v>
      </c>
      <c r="I958" s="10">
        <f>105.8304 * CHOOSE(CONTROL!$C$9, $D$9, 100%, $F$9) + CHOOSE(CONTROL!$C$27, 0.0021, 0)</f>
        <v>105.8325</v>
      </c>
      <c r="J958" s="10">
        <f>105.8304 * CHOOSE(CONTROL!$C$9, $D$9, 100%, $F$9) + CHOOSE(CONTROL!$C$27, 0.0021, 0)</f>
        <v>105.8325</v>
      </c>
      <c r="K958" s="10">
        <f>105.8304 * CHOOSE(CONTROL!$C$9, $D$9, 100%, $F$9) + CHOOSE(CONTROL!$C$27, 0.0021, 0)</f>
        <v>105.8325</v>
      </c>
      <c r="L958" s="10"/>
    </row>
    <row r="959" spans="1:12" ht="15.75" x14ac:dyDescent="0.25">
      <c r="A959" s="13">
        <v>70128</v>
      </c>
      <c r="B959" s="10">
        <f>104.224 * CHOOSE(CONTROL!$C$9, $D$9, 100%, $F$9) + CHOOSE(CONTROL!$C$27, 0.0021, 0)</f>
        <v>104.2261</v>
      </c>
      <c r="C959" s="10">
        <f>103.7918 * CHOOSE(CONTROL!$C$9, $D$9, 100%, $F$9) + CHOOSE(CONTROL!$C$27, 0.0021, 0)</f>
        <v>103.79389999999999</v>
      </c>
      <c r="D959" s="10">
        <f>103.7918 * CHOOSE(CONTROL!$C$9, $D$9, 100%, $F$9) + CHOOSE(CONTROL!$C$27, 0.0021, 0)</f>
        <v>103.79389999999999</v>
      </c>
      <c r="E959" s="10">
        <f>103.6551 * CHOOSE(CONTROL!$C$9, $D$9, 100%, $F$9) + CHOOSE(CONTROL!$C$27, 0.0021, 0)</f>
        <v>103.6572</v>
      </c>
      <c r="F959" s="10">
        <f>103.6551 * CHOOSE(CONTROL!$C$9, $D$9, 100%, $F$9) + CHOOSE(CONTROL!$C$27, 0.0021, 0)</f>
        <v>103.6572</v>
      </c>
      <c r="G959" s="10">
        <f>103.9265 * CHOOSE(CONTROL!$C$9, $D$9, 100%, $F$9) + CHOOSE(CONTROL!$C$27, 0.0021, 0)</f>
        <v>103.9286</v>
      </c>
      <c r="H959" s="10">
        <f>103.7918 * CHOOSE(CONTROL!$C$9, $D$9, 100%, $F$9) + CHOOSE(CONTROL!$C$27, 0.0021, 0)</f>
        <v>103.79389999999999</v>
      </c>
      <c r="I959" s="10">
        <f>103.7918 * CHOOSE(CONTROL!$C$9, $D$9, 100%, $F$9) + CHOOSE(CONTROL!$C$27, 0.0021, 0)</f>
        <v>103.79389999999999</v>
      </c>
      <c r="J959" s="10">
        <f>103.7918 * CHOOSE(CONTROL!$C$9, $D$9, 100%, $F$9) + CHOOSE(CONTROL!$C$27, 0.0021, 0)</f>
        <v>103.79389999999999</v>
      </c>
      <c r="K959" s="10">
        <f>103.7918 * CHOOSE(CONTROL!$C$9, $D$9, 100%, $F$9) + CHOOSE(CONTROL!$C$27, 0.0021, 0)</f>
        <v>103.79389999999999</v>
      </c>
      <c r="L959" s="10"/>
    </row>
    <row r="960" spans="1:12" ht="15.75" x14ac:dyDescent="0.25">
      <c r="A960" s="13">
        <v>70159</v>
      </c>
      <c r="B960" s="10">
        <f>102.8885 * CHOOSE(CONTROL!$C$9, $D$9, 100%, $F$9) + CHOOSE(CONTROL!$C$27, 0.0021, 0)</f>
        <v>102.89059999999999</v>
      </c>
      <c r="C960" s="10">
        <f>102.4562 * CHOOSE(CONTROL!$C$9, $D$9, 100%, $F$9) + CHOOSE(CONTROL!$C$27, 0.0021, 0)</f>
        <v>102.45829999999999</v>
      </c>
      <c r="D960" s="10">
        <f>102.4562 * CHOOSE(CONTROL!$C$9, $D$9, 100%, $F$9) + CHOOSE(CONTROL!$C$27, 0.0021, 0)</f>
        <v>102.45829999999999</v>
      </c>
      <c r="E960" s="10">
        <f>102.3196 * CHOOSE(CONTROL!$C$9, $D$9, 100%, $F$9) + CHOOSE(CONTROL!$C$27, 0.0021, 0)</f>
        <v>102.32169999999999</v>
      </c>
      <c r="F960" s="10">
        <f>102.3196 * CHOOSE(CONTROL!$C$9, $D$9, 100%, $F$9) + CHOOSE(CONTROL!$C$27, 0.0021, 0)</f>
        <v>102.32169999999999</v>
      </c>
      <c r="G960" s="10">
        <f>102.5909 * CHOOSE(CONTROL!$C$9, $D$9, 100%, $F$9) + CHOOSE(CONTROL!$C$27, 0.0021, 0)</f>
        <v>102.593</v>
      </c>
      <c r="H960" s="10">
        <f>102.4562 * CHOOSE(CONTROL!$C$9, $D$9, 100%, $F$9) + CHOOSE(CONTROL!$C$27, 0.0021, 0)</f>
        <v>102.45829999999999</v>
      </c>
      <c r="I960" s="10">
        <f>102.4562 * CHOOSE(CONTROL!$C$9, $D$9, 100%, $F$9) + CHOOSE(CONTROL!$C$27, 0.0021, 0)</f>
        <v>102.45829999999999</v>
      </c>
      <c r="J960" s="10">
        <f>102.4562 * CHOOSE(CONTROL!$C$9, $D$9, 100%, $F$9) + CHOOSE(CONTROL!$C$27, 0.0021, 0)</f>
        <v>102.45829999999999</v>
      </c>
      <c r="K960" s="10">
        <f>102.4562 * CHOOSE(CONTROL!$C$9, $D$9, 100%, $F$9) + CHOOSE(CONTROL!$C$27, 0.0021, 0)</f>
        <v>102.45829999999999</v>
      </c>
      <c r="L960" s="10"/>
    </row>
    <row r="961" spans="1:12" ht="15.75" x14ac:dyDescent="0.25">
      <c r="A961" s="13">
        <v>70188</v>
      </c>
      <c r="B961" s="10">
        <f>100.0431 * CHOOSE(CONTROL!$C$9, $D$9, 100%, $F$9) + CHOOSE(CONTROL!$C$27, 0.0021, 0)</f>
        <v>100.04519999999999</v>
      </c>
      <c r="C961" s="10">
        <f>99.6108 * CHOOSE(CONTROL!$C$9, $D$9, 100%, $F$9) + CHOOSE(CONTROL!$C$27, 0.0021, 0)</f>
        <v>99.612899999999996</v>
      </c>
      <c r="D961" s="10">
        <f>99.6108 * CHOOSE(CONTROL!$C$9, $D$9, 100%, $F$9) + CHOOSE(CONTROL!$C$27, 0.0021, 0)</f>
        <v>99.612899999999996</v>
      </c>
      <c r="E961" s="10">
        <f>99.4742 * CHOOSE(CONTROL!$C$9, $D$9, 100%, $F$9) + CHOOSE(CONTROL!$C$27, 0.0021, 0)</f>
        <v>99.476299999999995</v>
      </c>
      <c r="F961" s="10">
        <f>99.4742 * CHOOSE(CONTROL!$C$9, $D$9, 100%, $F$9) + CHOOSE(CONTROL!$C$27, 0.0021, 0)</f>
        <v>99.476299999999995</v>
      </c>
      <c r="G961" s="10">
        <f>99.7455 * CHOOSE(CONTROL!$C$9, $D$9, 100%, $F$9) + CHOOSE(CONTROL!$C$27, 0.0021, 0)</f>
        <v>99.747600000000006</v>
      </c>
      <c r="H961" s="10">
        <f>99.6108 * CHOOSE(CONTROL!$C$9, $D$9, 100%, $F$9) + CHOOSE(CONTROL!$C$27, 0.0021, 0)</f>
        <v>99.612899999999996</v>
      </c>
      <c r="I961" s="10">
        <f>99.6108 * CHOOSE(CONTROL!$C$9, $D$9, 100%, $F$9) + CHOOSE(CONTROL!$C$27, 0.0021, 0)</f>
        <v>99.612899999999996</v>
      </c>
      <c r="J961" s="10">
        <f>99.6108 * CHOOSE(CONTROL!$C$9, $D$9, 100%, $F$9) + CHOOSE(CONTROL!$C$27, 0.0021, 0)</f>
        <v>99.612899999999996</v>
      </c>
      <c r="K961" s="10">
        <f>99.6108 * CHOOSE(CONTROL!$C$9, $D$9, 100%, $F$9) + CHOOSE(CONTROL!$C$27, 0.0021, 0)</f>
        <v>99.612899999999996</v>
      </c>
      <c r="L961" s="10"/>
    </row>
    <row r="962" spans="1:12" ht="15.75" x14ac:dyDescent="0.25">
      <c r="A962" s="13">
        <v>70219</v>
      </c>
      <c r="B962" s="10">
        <f>98.8685 * CHOOSE(CONTROL!$C$9, $D$9, 100%, $F$9) + CHOOSE(CONTROL!$C$27, 0.0021, 0)</f>
        <v>98.870599999999996</v>
      </c>
      <c r="C962" s="10">
        <f>98.4362 * CHOOSE(CONTROL!$C$9, $D$9, 100%, $F$9) + CHOOSE(CONTROL!$C$27, 0.0021, 0)</f>
        <v>98.438299999999998</v>
      </c>
      <c r="D962" s="10">
        <f>98.4362 * CHOOSE(CONTROL!$C$9, $D$9, 100%, $F$9) + CHOOSE(CONTROL!$C$27, 0.0021, 0)</f>
        <v>98.438299999999998</v>
      </c>
      <c r="E962" s="10">
        <f>98.2996 * CHOOSE(CONTROL!$C$9, $D$9, 100%, $F$9) + CHOOSE(CONTROL!$C$27, 0.0021, 0)</f>
        <v>98.301699999999997</v>
      </c>
      <c r="F962" s="10">
        <f>98.2996 * CHOOSE(CONTROL!$C$9, $D$9, 100%, $F$9) + CHOOSE(CONTROL!$C$27, 0.0021, 0)</f>
        <v>98.301699999999997</v>
      </c>
      <c r="G962" s="10">
        <f>98.571 * CHOOSE(CONTROL!$C$9, $D$9, 100%, $F$9) + CHOOSE(CONTROL!$C$27, 0.0021, 0)</f>
        <v>98.573099999999997</v>
      </c>
      <c r="H962" s="10">
        <f>98.4362 * CHOOSE(CONTROL!$C$9, $D$9, 100%, $F$9) + CHOOSE(CONTROL!$C$27, 0.0021, 0)</f>
        <v>98.438299999999998</v>
      </c>
      <c r="I962" s="10">
        <f>98.4362 * CHOOSE(CONTROL!$C$9, $D$9, 100%, $F$9) + CHOOSE(CONTROL!$C$27, 0.0021, 0)</f>
        <v>98.438299999999998</v>
      </c>
      <c r="J962" s="10">
        <f>98.4362 * CHOOSE(CONTROL!$C$9, $D$9, 100%, $F$9) + CHOOSE(CONTROL!$C$27, 0.0021, 0)</f>
        <v>98.438299999999998</v>
      </c>
      <c r="K962" s="10">
        <f>98.4362 * CHOOSE(CONTROL!$C$9, $D$9, 100%, $F$9) + CHOOSE(CONTROL!$C$27, 0.0021, 0)</f>
        <v>98.438299999999998</v>
      </c>
      <c r="L962" s="10"/>
    </row>
    <row r="963" spans="1:12" ht="15.75" x14ac:dyDescent="0.25">
      <c r="A963" s="13">
        <v>70249</v>
      </c>
      <c r="B963" s="10">
        <f>97.466 * CHOOSE(CONTROL!$C$9, $D$9, 100%, $F$9) + CHOOSE(CONTROL!$C$27, 0.0021, 0)</f>
        <v>97.468099999999993</v>
      </c>
      <c r="C963" s="10">
        <f>97.0338 * CHOOSE(CONTROL!$C$9, $D$9, 100%, $F$9) + CHOOSE(CONTROL!$C$27, 0.0021, 0)</f>
        <v>97.035899999999998</v>
      </c>
      <c r="D963" s="10">
        <f>97.0338 * CHOOSE(CONTROL!$C$9, $D$9, 100%, $F$9) + CHOOSE(CONTROL!$C$27, 0.0021, 0)</f>
        <v>97.035899999999998</v>
      </c>
      <c r="E963" s="10">
        <f>96.8971 * CHOOSE(CONTROL!$C$9, $D$9, 100%, $F$9) + CHOOSE(CONTROL!$C$27, 0.0021, 0)</f>
        <v>96.899199999999993</v>
      </c>
      <c r="F963" s="10">
        <f>96.8971 * CHOOSE(CONTROL!$C$9, $D$9, 100%, $F$9) + CHOOSE(CONTROL!$C$27, 0.0021, 0)</f>
        <v>96.899199999999993</v>
      </c>
      <c r="G963" s="10">
        <f>97.1685 * CHOOSE(CONTROL!$C$9, $D$9, 100%, $F$9) + CHOOSE(CONTROL!$C$27, 0.0021, 0)</f>
        <v>97.170599999999993</v>
      </c>
      <c r="H963" s="10">
        <f>97.0338 * CHOOSE(CONTROL!$C$9, $D$9, 100%, $F$9) + CHOOSE(CONTROL!$C$27, 0.0021, 0)</f>
        <v>97.035899999999998</v>
      </c>
      <c r="I963" s="10">
        <f>97.0338 * CHOOSE(CONTROL!$C$9, $D$9, 100%, $F$9) + CHOOSE(CONTROL!$C$27, 0.0021, 0)</f>
        <v>97.035899999999998</v>
      </c>
      <c r="J963" s="10">
        <f>97.0338 * CHOOSE(CONTROL!$C$9, $D$9, 100%, $F$9) + CHOOSE(CONTROL!$C$27, 0.0021, 0)</f>
        <v>97.035899999999998</v>
      </c>
      <c r="K963" s="10">
        <f>97.0338 * CHOOSE(CONTROL!$C$9, $D$9, 100%, $F$9) + CHOOSE(CONTROL!$C$27, 0.0021, 0)</f>
        <v>97.035899999999998</v>
      </c>
      <c r="L963" s="10"/>
    </row>
    <row r="964" spans="1:12" ht="15.75" x14ac:dyDescent="0.25">
      <c r="A964" s="13">
        <v>70280</v>
      </c>
      <c r="B964" s="10">
        <f>99.4647 * CHOOSE(CONTROL!$C$9, $D$9, 100%, $F$9) + CHOOSE(CONTROL!$C$27, 0.0021, 0)</f>
        <v>99.466799999999992</v>
      </c>
      <c r="C964" s="10">
        <f>99.0325 * CHOOSE(CONTROL!$C$9, $D$9, 100%, $F$9) + CHOOSE(CONTROL!$C$27, 0.0021, 0)</f>
        <v>99.034599999999998</v>
      </c>
      <c r="D964" s="10">
        <f>99.0325 * CHOOSE(CONTROL!$C$9, $D$9, 100%, $F$9) + CHOOSE(CONTROL!$C$27, 0.0021, 0)</f>
        <v>99.034599999999998</v>
      </c>
      <c r="E964" s="10">
        <f>98.8958 * CHOOSE(CONTROL!$C$9, $D$9, 100%, $F$9) + CHOOSE(CONTROL!$C$27, 0.0021, 0)</f>
        <v>98.897899999999993</v>
      </c>
      <c r="F964" s="10">
        <f>98.8958 * CHOOSE(CONTROL!$C$9, $D$9, 100%, $F$9) + CHOOSE(CONTROL!$C$27, 0.0021, 0)</f>
        <v>98.897899999999993</v>
      </c>
      <c r="G964" s="10">
        <f>99.1672 * CHOOSE(CONTROL!$C$9, $D$9, 100%, $F$9) + CHOOSE(CONTROL!$C$27, 0.0021, 0)</f>
        <v>99.169299999999993</v>
      </c>
      <c r="H964" s="10">
        <f>99.0325 * CHOOSE(CONTROL!$C$9, $D$9, 100%, $F$9) + CHOOSE(CONTROL!$C$27, 0.0021, 0)</f>
        <v>99.034599999999998</v>
      </c>
      <c r="I964" s="10">
        <f>99.0325 * CHOOSE(CONTROL!$C$9, $D$9, 100%, $F$9) + CHOOSE(CONTROL!$C$27, 0.0021, 0)</f>
        <v>99.034599999999998</v>
      </c>
      <c r="J964" s="10">
        <f>99.0325 * CHOOSE(CONTROL!$C$9, $D$9, 100%, $F$9) + CHOOSE(CONTROL!$C$27, 0.0021, 0)</f>
        <v>99.034599999999998</v>
      </c>
      <c r="K964" s="10">
        <f>99.0325 * CHOOSE(CONTROL!$C$9, $D$9, 100%, $F$9) + CHOOSE(CONTROL!$C$27, 0.0021, 0)</f>
        <v>99.034599999999998</v>
      </c>
      <c r="L964" s="10"/>
    </row>
    <row r="965" spans="1:12" ht="15.75" x14ac:dyDescent="0.25">
      <c r="A965" s="13">
        <v>70310</v>
      </c>
      <c r="B965" s="10">
        <f>100.6618 * CHOOSE(CONTROL!$C$9, $D$9, 100%, $F$9) + CHOOSE(CONTROL!$C$27, 0.0021, 0)</f>
        <v>100.6639</v>
      </c>
      <c r="C965" s="10">
        <f>100.2296 * CHOOSE(CONTROL!$C$9, $D$9, 100%, $F$9) + CHOOSE(CONTROL!$C$27, 0.0021, 0)</f>
        <v>100.2317</v>
      </c>
      <c r="D965" s="10">
        <f>100.2296 * CHOOSE(CONTROL!$C$9, $D$9, 100%, $F$9) + CHOOSE(CONTROL!$C$27, 0.0021, 0)</f>
        <v>100.2317</v>
      </c>
      <c r="E965" s="10">
        <f>100.0929 * CHOOSE(CONTROL!$C$9, $D$9, 100%, $F$9) + CHOOSE(CONTROL!$C$27, 0.0021, 0)</f>
        <v>100.095</v>
      </c>
      <c r="F965" s="10">
        <f>100.0929 * CHOOSE(CONTROL!$C$9, $D$9, 100%, $F$9) + CHOOSE(CONTROL!$C$27, 0.0021, 0)</f>
        <v>100.095</v>
      </c>
      <c r="G965" s="10">
        <f>100.3643 * CHOOSE(CONTROL!$C$9, $D$9, 100%, $F$9) + CHOOSE(CONTROL!$C$27, 0.0021, 0)</f>
        <v>100.3664</v>
      </c>
      <c r="H965" s="10">
        <f>100.2296 * CHOOSE(CONTROL!$C$9, $D$9, 100%, $F$9) + CHOOSE(CONTROL!$C$27, 0.0021, 0)</f>
        <v>100.2317</v>
      </c>
      <c r="I965" s="10">
        <f>100.2296 * CHOOSE(CONTROL!$C$9, $D$9, 100%, $F$9) + CHOOSE(CONTROL!$C$27, 0.0021, 0)</f>
        <v>100.2317</v>
      </c>
      <c r="J965" s="10">
        <f>100.2296 * CHOOSE(CONTROL!$C$9, $D$9, 100%, $F$9) + CHOOSE(CONTROL!$C$27, 0.0021, 0)</f>
        <v>100.2317</v>
      </c>
      <c r="K965" s="10">
        <f>100.2296 * CHOOSE(CONTROL!$C$9, $D$9, 100%, $F$9) + CHOOSE(CONTROL!$C$27, 0.0021, 0)</f>
        <v>100.2317</v>
      </c>
      <c r="L965" s="10"/>
    </row>
    <row r="966" spans="1:12" ht="15.75" x14ac:dyDescent="0.25">
      <c r="A966" s="13">
        <v>70341</v>
      </c>
      <c r="B966" s="10">
        <f>102.6367 * CHOOSE(CONTROL!$C$9, $D$9, 100%, $F$9) + CHOOSE(CONTROL!$C$27, 0.0021, 0)</f>
        <v>102.6388</v>
      </c>
      <c r="C966" s="10">
        <f>102.2044 * CHOOSE(CONTROL!$C$9, $D$9, 100%, $F$9) + CHOOSE(CONTROL!$C$27, 0.0021, 0)</f>
        <v>102.20650000000001</v>
      </c>
      <c r="D966" s="10">
        <f>102.2044 * CHOOSE(CONTROL!$C$9, $D$9, 100%, $F$9) + CHOOSE(CONTROL!$C$27, 0.0021, 0)</f>
        <v>102.20650000000001</v>
      </c>
      <c r="E966" s="10">
        <f>102.0678 * CHOOSE(CONTROL!$C$9, $D$9, 100%, $F$9) + CHOOSE(CONTROL!$C$27, 0.0021, 0)</f>
        <v>102.0699</v>
      </c>
      <c r="F966" s="10">
        <f>102.0678 * CHOOSE(CONTROL!$C$9, $D$9, 100%, $F$9) + CHOOSE(CONTROL!$C$27, 0.0021, 0)</f>
        <v>102.0699</v>
      </c>
      <c r="G966" s="10">
        <f>102.3391 * CHOOSE(CONTROL!$C$9, $D$9, 100%, $F$9) + CHOOSE(CONTROL!$C$27, 0.0021, 0)</f>
        <v>102.3412</v>
      </c>
      <c r="H966" s="10">
        <f>102.2044 * CHOOSE(CONTROL!$C$9, $D$9, 100%, $F$9) + CHOOSE(CONTROL!$C$27, 0.0021, 0)</f>
        <v>102.20650000000001</v>
      </c>
      <c r="I966" s="10">
        <f>102.2044 * CHOOSE(CONTROL!$C$9, $D$9, 100%, $F$9) + CHOOSE(CONTROL!$C$27, 0.0021, 0)</f>
        <v>102.20650000000001</v>
      </c>
      <c r="J966" s="10">
        <f>102.2044 * CHOOSE(CONTROL!$C$9, $D$9, 100%, $F$9) + CHOOSE(CONTROL!$C$27, 0.0021, 0)</f>
        <v>102.20650000000001</v>
      </c>
      <c r="K966" s="10">
        <f>102.2044 * CHOOSE(CONTROL!$C$9, $D$9, 100%, $F$9) + CHOOSE(CONTROL!$C$27, 0.0021, 0)</f>
        <v>102.20650000000001</v>
      </c>
      <c r="L966" s="10"/>
    </row>
    <row r="967" spans="1:12" ht="15.75" x14ac:dyDescent="0.25">
      <c r="A967" s="13">
        <v>70372</v>
      </c>
      <c r="B967" s="10">
        <f>103.2395 * CHOOSE(CONTROL!$C$9, $D$9, 100%, $F$9) + CHOOSE(CONTROL!$C$27, 0.0021, 0)</f>
        <v>103.24160000000001</v>
      </c>
      <c r="C967" s="10">
        <f>102.8072 * CHOOSE(CONTROL!$C$9, $D$9, 100%, $F$9) + CHOOSE(CONTROL!$C$27, 0.0021, 0)</f>
        <v>102.80929999999999</v>
      </c>
      <c r="D967" s="10">
        <f>102.8072 * CHOOSE(CONTROL!$C$9, $D$9, 100%, $F$9) + CHOOSE(CONTROL!$C$27, 0.0021, 0)</f>
        <v>102.80929999999999</v>
      </c>
      <c r="E967" s="10">
        <f>102.6706 * CHOOSE(CONTROL!$C$9, $D$9, 100%, $F$9) + CHOOSE(CONTROL!$C$27, 0.0021, 0)</f>
        <v>102.67269999999999</v>
      </c>
      <c r="F967" s="10">
        <f>102.6706 * CHOOSE(CONTROL!$C$9, $D$9, 100%, $F$9) + CHOOSE(CONTROL!$C$27, 0.0021, 0)</f>
        <v>102.67269999999999</v>
      </c>
      <c r="G967" s="10">
        <f>102.9419 * CHOOSE(CONTROL!$C$9, $D$9, 100%, $F$9) + CHOOSE(CONTROL!$C$27, 0.0021, 0)</f>
        <v>102.944</v>
      </c>
      <c r="H967" s="10">
        <f>102.8072 * CHOOSE(CONTROL!$C$9, $D$9, 100%, $F$9) + CHOOSE(CONTROL!$C$27, 0.0021, 0)</f>
        <v>102.80929999999999</v>
      </c>
      <c r="I967" s="10">
        <f>102.8072 * CHOOSE(CONTROL!$C$9, $D$9, 100%, $F$9) + CHOOSE(CONTROL!$C$27, 0.0021, 0)</f>
        <v>102.80929999999999</v>
      </c>
      <c r="J967" s="10">
        <f>102.8072 * CHOOSE(CONTROL!$C$9, $D$9, 100%, $F$9) + CHOOSE(CONTROL!$C$27, 0.0021, 0)</f>
        <v>102.80929999999999</v>
      </c>
      <c r="K967" s="10">
        <f>102.8072 * CHOOSE(CONTROL!$C$9, $D$9, 100%, $F$9) + CHOOSE(CONTROL!$C$27, 0.0021, 0)</f>
        <v>102.80929999999999</v>
      </c>
      <c r="L967" s="10"/>
    </row>
    <row r="968" spans="1:12" ht="15.75" x14ac:dyDescent="0.25">
      <c r="A968" s="13">
        <v>70402</v>
      </c>
      <c r="B968" s="10">
        <f>105.2922 * CHOOSE(CONTROL!$C$9, $D$9, 100%, $F$9) + CHOOSE(CONTROL!$C$27, 0.0021, 0)</f>
        <v>105.29429999999999</v>
      </c>
      <c r="C968" s="10">
        <f>104.86 * CHOOSE(CONTROL!$C$9, $D$9, 100%, $F$9) + CHOOSE(CONTROL!$C$27, 0.0021, 0)</f>
        <v>104.8621</v>
      </c>
      <c r="D968" s="10">
        <f>104.86 * CHOOSE(CONTROL!$C$9, $D$9, 100%, $F$9) + CHOOSE(CONTROL!$C$27, 0.0021, 0)</f>
        <v>104.8621</v>
      </c>
      <c r="E968" s="10">
        <f>104.7233 * CHOOSE(CONTROL!$C$9, $D$9, 100%, $F$9) + CHOOSE(CONTROL!$C$27, 0.0021, 0)</f>
        <v>104.72539999999999</v>
      </c>
      <c r="F968" s="10">
        <f>104.7233 * CHOOSE(CONTROL!$C$9, $D$9, 100%, $F$9) + CHOOSE(CONTROL!$C$27, 0.0021, 0)</f>
        <v>104.72539999999999</v>
      </c>
      <c r="G968" s="10">
        <f>104.9947 * CHOOSE(CONTROL!$C$9, $D$9, 100%, $F$9) + CHOOSE(CONTROL!$C$27, 0.0021, 0)</f>
        <v>104.99679999999999</v>
      </c>
      <c r="H968" s="10">
        <f>104.86 * CHOOSE(CONTROL!$C$9, $D$9, 100%, $F$9) + CHOOSE(CONTROL!$C$27, 0.0021, 0)</f>
        <v>104.8621</v>
      </c>
      <c r="I968" s="10">
        <f>104.86 * CHOOSE(CONTROL!$C$9, $D$9, 100%, $F$9) + CHOOSE(CONTROL!$C$27, 0.0021, 0)</f>
        <v>104.8621</v>
      </c>
      <c r="J968" s="10">
        <f>104.86 * CHOOSE(CONTROL!$C$9, $D$9, 100%, $F$9) + CHOOSE(CONTROL!$C$27, 0.0021, 0)</f>
        <v>104.8621</v>
      </c>
      <c r="K968" s="10">
        <f>104.86 * CHOOSE(CONTROL!$C$9, $D$9, 100%, $F$9) + CHOOSE(CONTROL!$C$27, 0.0021, 0)</f>
        <v>104.8621</v>
      </c>
      <c r="L968" s="10"/>
    </row>
    <row r="969" spans="1:12" ht="15.75" x14ac:dyDescent="0.25">
      <c r="A969" s="13">
        <v>70433</v>
      </c>
      <c r="B969" s="10">
        <f>107.8907 * CHOOSE(CONTROL!$C$9, $D$9, 100%, $F$9) + CHOOSE(CONTROL!$C$27, 0.0021, 0)</f>
        <v>107.89279999999999</v>
      </c>
      <c r="C969" s="10">
        <f>107.4584 * CHOOSE(CONTROL!$C$9, $D$9, 100%, $F$9) + CHOOSE(CONTROL!$C$27, 0.0021, 0)</f>
        <v>107.4605</v>
      </c>
      <c r="D969" s="10">
        <f>107.4584 * CHOOSE(CONTROL!$C$9, $D$9, 100%, $F$9) + CHOOSE(CONTROL!$C$27, 0.0021, 0)</f>
        <v>107.4605</v>
      </c>
      <c r="E969" s="10">
        <f>107.3217 * CHOOSE(CONTROL!$C$9, $D$9, 100%, $F$9) + CHOOSE(CONTROL!$C$27, 0.0021, 0)</f>
        <v>107.32380000000001</v>
      </c>
      <c r="F969" s="10">
        <f>107.3217 * CHOOSE(CONTROL!$C$9, $D$9, 100%, $F$9) + CHOOSE(CONTROL!$C$27, 0.0021, 0)</f>
        <v>107.32380000000001</v>
      </c>
      <c r="G969" s="10">
        <f>107.5931 * CHOOSE(CONTROL!$C$9, $D$9, 100%, $F$9) + CHOOSE(CONTROL!$C$27, 0.0021, 0)</f>
        <v>107.59520000000001</v>
      </c>
      <c r="H969" s="10">
        <f>107.4584 * CHOOSE(CONTROL!$C$9, $D$9, 100%, $F$9) + CHOOSE(CONTROL!$C$27, 0.0021, 0)</f>
        <v>107.4605</v>
      </c>
      <c r="I969" s="10">
        <f>107.4584 * CHOOSE(CONTROL!$C$9, $D$9, 100%, $F$9) + CHOOSE(CONTROL!$C$27, 0.0021, 0)</f>
        <v>107.4605</v>
      </c>
      <c r="J969" s="10">
        <f>107.4584 * CHOOSE(CONTROL!$C$9, $D$9, 100%, $F$9) + CHOOSE(CONTROL!$C$27, 0.0021, 0)</f>
        <v>107.4605</v>
      </c>
      <c r="K969" s="10">
        <f>107.4584 * CHOOSE(CONTROL!$C$9, $D$9, 100%, $F$9) + CHOOSE(CONTROL!$C$27, 0.0021, 0)</f>
        <v>107.4605</v>
      </c>
      <c r="L969" s="10"/>
    </row>
    <row r="970" spans="1:12" ht="15.75" x14ac:dyDescent="0.25">
      <c r="A970" s="13">
        <v>70463</v>
      </c>
      <c r="B970" s="10">
        <f>108.1346 * CHOOSE(CONTROL!$C$9, $D$9, 100%, $F$9) + CHOOSE(CONTROL!$C$27, 0.0021, 0)</f>
        <v>108.1367</v>
      </c>
      <c r="C970" s="10">
        <f>107.7023 * CHOOSE(CONTROL!$C$9, $D$9, 100%, $F$9) + CHOOSE(CONTROL!$C$27, 0.0021, 0)</f>
        <v>107.70439999999999</v>
      </c>
      <c r="D970" s="10">
        <f>107.7023 * CHOOSE(CONTROL!$C$9, $D$9, 100%, $F$9) + CHOOSE(CONTROL!$C$27, 0.0021, 0)</f>
        <v>107.70439999999999</v>
      </c>
      <c r="E970" s="10">
        <f>107.5657 * CHOOSE(CONTROL!$C$9, $D$9, 100%, $F$9) + CHOOSE(CONTROL!$C$27, 0.0021, 0)</f>
        <v>107.56780000000001</v>
      </c>
      <c r="F970" s="10">
        <f>107.5657 * CHOOSE(CONTROL!$C$9, $D$9, 100%, $F$9) + CHOOSE(CONTROL!$C$27, 0.0021, 0)</f>
        <v>107.56780000000001</v>
      </c>
      <c r="G970" s="10">
        <f>107.8371 * CHOOSE(CONTROL!$C$9, $D$9, 100%, $F$9) + CHOOSE(CONTROL!$C$27, 0.0021, 0)</f>
        <v>107.83920000000001</v>
      </c>
      <c r="H970" s="10">
        <f>107.7023 * CHOOSE(CONTROL!$C$9, $D$9, 100%, $F$9) + CHOOSE(CONTROL!$C$27, 0.0021, 0)</f>
        <v>107.70439999999999</v>
      </c>
      <c r="I970" s="10">
        <f>107.7023 * CHOOSE(CONTROL!$C$9, $D$9, 100%, $F$9) + CHOOSE(CONTROL!$C$27, 0.0021, 0)</f>
        <v>107.70439999999999</v>
      </c>
      <c r="J970" s="10">
        <f>107.7023 * CHOOSE(CONTROL!$C$9, $D$9, 100%, $F$9) + CHOOSE(CONTROL!$C$27, 0.0021, 0)</f>
        <v>107.70439999999999</v>
      </c>
      <c r="K970" s="10">
        <f>107.7023 * CHOOSE(CONTROL!$C$9, $D$9, 100%, $F$9) + CHOOSE(CONTROL!$C$27, 0.0021, 0)</f>
        <v>107.70439999999999</v>
      </c>
      <c r="L970" s="10"/>
    </row>
    <row r="971" spans="1:12" ht="15.75" x14ac:dyDescent="0.25">
      <c r="A971" s="13">
        <v>70494</v>
      </c>
      <c r="B971" s="10">
        <f>106.0593 * CHOOSE(CONTROL!$C$9, $D$9, 100%, $F$9) + CHOOSE(CONTROL!$C$27, 0.0021, 0)</f>
        <v>106.06139999999999</v>
      </c>
      <c r="C971" s="10">
        <f>105.627 * CHOOSE(CONTROL!$C$9, $D$9, 100%, $F$9) + CHOOSE(CONTROL!$C$27, 0.0021, 0)</f>
        <v>105.62909999999999</v>
      </c>
      <c r="D971" s="10">
        <f>105.627 * CHOOSE(CONTROL!$C$9, $D$9, 100%, $F$9) + CHOOSE(CONTROL!$C$27, 0.0021, 0)</f>
        <v>105.62909999999999</v>
      </c>
      <c r="E971" s="10">
        <f>105.4904 * CHOOSE(CONTROL!$C$9, $D$9, 100%, $F$9) + CHOOSE(CONTROL!$C$27, 0.0021, 0)</f>
        <v>105.49249999999999</v>
      </c>
      <c r="F971" s="10">
        <f>105.4904 * CHOOSE(CONTROL!$C$9, $D$9, 100%, $F$9) + CHOOSE(CONTROL!$C$27, 0.0021, 0)</f>
        <v>105.49249999999999</v>
      </c>
      <c r="G971" s="10">
        <f>105.7617 * CHOOSE(CONTROL!$C$9, $D$9, 100%, $F$9) + CHOOSE(CONTROL!$C$27, 0.0021, 0)</f>
        <v>105.7638</v>
      </c>
      <c r="H971" s="10">
        <f>105.627 * CHOOSE(CONTROL!$C$9, $D$9, 100%, $F$9) + CHOOSE(CONTROL!$C$27, 0.0021, 0)</f>
        <v>105.62909999999999</v>
      </c>
      <c r="I971" s="10">
        <f>105.627 * CHOOSE(CONTROL!$C$9, $D$9, 100%, $F$9) + CHOOSE(CONTROL!$C$27, 0.0021, 0)</f>
        <v>105.62909999999999</v>
      </c>
      <c r="J971" s="10">
        <f>105.627 * CHOOSE(CONTROL!$C$9, $D$9, 100%, $F$9) + CHOOSE(CONTROL!$C$27, 0.0021, 0)</f>
        <v>105.62909999999999</v>
      </c>
      <c r="K971" s="10">
        <f>105.627 * CHOOSE(CONTROL!$C$9, $D$9, 100%, $F$9) + CHOOSE(CONTROL!$C$27, 0.0021, 0)</f>
        <v>105.62909999999999</v>
      </c>
      <c r="L971" s="10"/>
    </row>
    <row r="972" spans="1:12" ht="15.75" x14ac:dyDescent="0.25">
      <c r="A972" s="13">
        <v>70525</v>
      </c>
      <c r="B972" s="10">
        <f>104.6997 * CHOOSE(CONTROL!$C$9, $D$9, 100%, $F$9) + CHOOSE(CONTROL!$C$27, 0.0021, 0)</f>
        <v>104.70180000000001</v>
      </c>
      <c r="C972" s="10">
        <f>104.2674 * CHOOSE(CONTROL!$C$9, $D$9, 100%, $F$9) + CHOOSE(CONTROL!$C$27, 0.0021, 0)</f>
        <v>104.26949999999999</v>
      </c>
      <c r="D972" s="10">
        <f>104.2674 * CHOOSE(CONTROL!$C$9, $D$9, 100%, $F$9) + CHOOSE(CONTROL!$C$27, 0.0021, 0)</f>
        <v>104.26949999999999</v>
      </c>
      <c r="E972" s="10">
        <f>104.1308 * CHOOSE(CONTROL!$C$9, $D$9, 100%, $F$9) + CHOOSE(CONTROL!$C$27, 0.0021, 0)</f>
        <v>104.13289999999999</v>
      </c>
      <c r="F972" s="10">
        <f>104.1308 * CHOOSE(CONTROL!$C$9, $D$9, 100%, $F$9) + CHOOSE(CONTROL!$C$27, 0.0021, 0)</f>
        <v>104.13289999999999</v>
      </c>
      <c r="G972" s="10">
        <f>104.4022 * CHOOSE(CONTROL!$C$9, $D$9, 100%, $F$9) + CHOOSE(CONTROL!$C$27, 0.0021, 0)</f>
        <v>104.40429999999999</v>
      </c>
      <c r="H972" s="10">
        <f>104.2674 * CHOOSE(CONTROL!$C$9, $D$9, 100%, $F$9) + CHOOSE(CONTROL!$C$27, 0.0021, 0)</f>
        <v>104.26949999999999</v>
      </c>
      <c r="I972" s="10">
        <f>104.2674 * CHOOSE(CONTROL!$C$9, $D$9, 100%, $F$9) + CHOOSE(CONTROL!$C$27, 0.0021, 0)</f>
        <v>104.26949999999999</v>
      </c>
      <c r="J972" s="10">
        <f>104.2674 * CHOOSE(CONTROL!$C$9, $D$9, 100%, $F$9) + CHOOSE(CONTROL!$C$27, 0.0021, 0)</f>
        <v>104.26949999999999</v>
      </c>
      <c r="K972" s="10">
        <f>104.2674 * CHOOSE(CONTROL!$C$9, $D$9, 100%, $F$9) + CHOOSE(CONTROL!$C$27, 0.0021, 0)</f>
        <v>104.26949999999999</v>
      </c>
      <c r="L972" s="10"/>
    </row>
    <row r="973" spans="1:12" ht="15.75" x14ac:dyDescent="0.25">
      <c r="A973" s="13">
        <v>70553</v>
      </c>
      <c r="B973" s="10">
        <f>101.8031 * CHOOSE(CONTROL!$C$9, $D$9, 100%, $F$9) + CHOOSE(CONTROL!$C$27, 0.0021, 0)</f>
        <v>101.8052</v>
      </c>
      <c r="C973" s="10">
        <f>101.3708 * CHOOSE(CONTROL!$C$9, $D$9, 100%, $F$9) + CHOOSE(CONTROL!$C$27, 0.0021, 0)</f>
        <v>101.3729</v>
      </c>
      <c r="D973" s="10">
        <f>101.3708 * CHOOSE(CONTROL!$C$9, $D$9, 100%, $F$9) + CHOOSE(CONTROL!$C$27, 0.0021, 0)</f>
        <v>101.3729</v>
      </c>
      <c r="E973" s="10">
        <f>101.2342 * CHOOSE(CONTROL!$C$9, $D$9, 100%, $F$9) + CHOOSE(CONTROL!$C$27, 0.0021, 0)</f>
        <v>101.2363</v>
      </c>
      <c r="F973" s="10">
        <f>101.2342 * CHOOSE(CONTROL!$C$9, $D$9, 100%, $F$9) + CHOOSE(CONTROL!$C$27, 0.0021, 0)</f>
        <v>101.2363</v>
      </c>
      <c r="G973" s="10">
        <f>101.5055 * CHOOSE(CONTROL!$C$9, $D$9, 100%, $F$9) + CHOOSE(CONTROL!$C$27, 0.0021, 0)</f>
        <v>101.5076</v>
      </c>
      <c r="H973" s="10">
        <f>101.3708 * CHOOSE(CONTROL!$C$9, $D$9, 100%, $F$9) + CHOOSE(CONTROL!$C$27, 0.0021, 0)</f>
        <v>101.3729</v>
      </c>
      <c r="I973" s="10">
        <f>101.3708 * CHOOSE(CONTROL!$C$9, $D$9, 100%, $F$9) + CHOOSE(CONTROL!$C$27, 0.0021, 0)</f>
        <v>101.3729</v>
      </c>
      <c r="J973" s="10">
        <f>101.3708 * CHOOSE(CONTROL!$C$9, $D$9, 100%, $F$9) + CHOOSE(CONTROL!$C$27, 0.0021, 0)</f>
        <v>101.3729</v>
      </c>
      <c r="K973" s="10">
        <f>101.3708 * CHOOSE(CONTROL!$C$9, $D$9, 100%, $F$9) + CHOOSE(CONTROL!$C$27, 0.0021, 0)</f>
        <v>101.3729</v>
      </c>
      <c r="L973" s="10"/>
    </row>
    <row r="974" spans="1:12" ht="15.75" x14ac:dyDescent="0.25">
      <c r="A974" s="13">
        <v>70584</v>
      </c>
      <c r="B974" s="10">
        <f>100.6073 * CHOOSE(CONTROL!$C$9, $D$9, 100%, $F$9) + CHOOSE(CONTROL!$C$27, 0.0021, 0)</f>
        <v>100.60939999999999</v>
      </c>
      <c r="C974" s="10">
        <f>100.1751 * CHOOSE(CONTROL!$C$9, $D$9, 100%, $F$9) + CHOOSE(CONTROL!$C$27, 0.0021, 0)</f>
        <v>100.1772</v>
      </c>
      <c r="D974" s="10">
        <f>100.1751 * CHOOSE(CONTROL!$C$9, $D$9, 100%, $F$9) + CHOOSE(CONTROL!$C$27, 0.0021, 0)</f>
        <v>100.1772</v>
      </c>
      <c r="E974" s="10">
        <f>100.0384 * CHOOSE(CONTROL!$C$9, $D$9, 100%, $F$9) + CHOOSE(CONTROL!$C$27, 0.0021, 0)</f>
        <v>100.04049999999999</v>
      </c>
      <c r="F974" s="10">
        <f>100.0384 * CHOOSE(CONTROL!$C$9, $D$9, 100%, $F$9) + CHOOSE(CONTROL!$C$27, 0.0021, 0)</f>
        <v>100.04049999999999</v>
      </c>
      <c r="G974" s="10">
        <f>100.3098 * CHOOSE(CONTROL!$C$9, $D$9, 100%, $F$9) + CHOOSE(CONTROL!$C$27, 0.0021, 0)</f>
        <v>100.31189999999999</v>
      </c>
      <c r="H974" s="10">
        <f>100.1751 * CHOOSE(CONTROL!$C$9, $D$9, 100%, $F$9) + CHOOSE(CONTROL!$C$27, 0.0021, 0)</f>
        <v>100.1772</v>
      </c>
      <c r="I974" s="10">
        <f>100.1751 * CHOOSE(CONTROL!$C$9, $D$9, 100%, $F$9) + CHOOSE(CONTROL!$C$27, 0.0021, 0)</f>
        <v>100.1772</v>
      </c>
      <c r="J974" s="10">
        <f>100.1751 * CHOOSE(CONTROL!$C$9, $D$9, 100%, $F$9) + CHOOSE(CONTROL!$C$27, 0.0021, 0)</f>
        <v>100.1772</v>
      </c>
      <c r="K974" s="10">
        <f>100.1751 * CHOOSE(CONTROL!$C$9, $D$9, 100%, $F$9) + CHOOSE(CONTROL!$C$27, 0.0021, 0)</f>
        <v>100.1772</v>
      </c>
      <c r="L974" s="10"/>
    </row>
    <row r="975" spans="1:12" ht="15.75" x14ac:dyDescent="0.25">
      <c r="A975" s="13">
        <v>70614</v>
      </c>
      <c r="B975" s="10">
        <f>99.1796 * CHOOSE(CONTROL!$C$9, $D$9, 100%, $F$9) + CHOOSE(CONTROL!$C$27, 0.0021, 0)</f>
        <v>99.181699999999992</v>
      </c>
      <c r="C975" s="10">
        <f>98.7474 * CHOOSE(CONTROL!$C$9, $D$9, 100%, $F$9) + CHOOSE(CONTROL!$C$27, 0.0021, 0)</f>
        <v>98.749499999999998</v>
      </c>
      <c r="D975" s="10">
        <f>98.7474 * CHOOSE(CONTROL!$C$9, $D$9, 100%, $F$9) + CHOOSE(CONTROL!$C$27, 0.0021, 0)</f>
        <v>98.749499999999998</v>
      </c>
      <c r="E975" s="10">
        <f>98.6107 * CHOOSE(CONTROL!$C$9, $D$9, 100%, $F$9) + CHOOSE(CONTROL!$C$27, 0.0021, 0)</f>
        <v>98.612799999999993</v>
      </c>
      <c r="F975" s="10">
        <f>98.6107 * CHOOSE(CONTROL!$C$9, $D$9, 100%, $F$9) + CHOOSE(CONTROL!$C$27, 0.0021, 0)</f>
        <v>98.612799999999993</v>
      </c>
      <c r="G975" s="10">
        <f>98.8821 * CHOOSE(CONTROL!$C$9, $D$9, 100%, $F$9) + CHOOSE(CONTROL!$C$27, 0.0021, 0)</f>
        <v>98.884199999999993</v>
      </c>
      <c r="H975" s="10">
        <f>98.7474 * CHOOSE(CONTROL!$C$9, $D$9, 100%, $F$9) + CHOOSE(CONTROL!$C$27, 0.0021, 0)</f>
        <v>98.749499999999998</v>
      </c>
      <c r="I975" s="10">
        <f>98.7474 * CHOOSE(CONTROL!$C$9, $D$9, 100%, $F$9) + CHOOSE(CONTROL!$C$27, 0.0021, 0)</f>
        <v>98.749499999999998</v>
      </c>
      <c r="J975" s="10">
        <f>98.7474 * CHOOSE(CONTROL!$C$9, $D$9, 100%, $F$9) + CHOOSE(CONTROL!$C$27, 0.0021, 0)</f>
        <v>98.749499999999998</v>
      </c>
      <c r="K975" s="10">
        <f>98.7474 * CHOOSE(CONTROL!$C$9, $D$9, 100%, $F$9) + CHOOSE(CONTROL!$C$27, 0.0021, 0)</f>
        <v>98.749499999999998</v>
      </c>
      <c r="L975" s="10"/>
    </row>
    <row r="976" spans="1:12" ht="15.75" x14ac:dyDescent="0.25">
      <c r="A976" s="13">
        <v>70645</v>
      </c>
      <c r="B976" s="10">
        <f>101.2143 * CHOOSE(CONTROL!$C$9, $D$9, 100%, $F$9) + CHOOSE(CONTROL!$C$27, 0.0021, 0)</f>
        <v>101.21639999999999</v>
      </c>
      <c r="C976" s="10">
        <f>100.782 * CHOOSE(CONTROL!$C$9, $D$9, 100%, $F$9) + CHOOSE(CONTROL!$C$27, 0.0021, 0)</f>
        <v>100.7841</v>
      </c>
      <c r="D976" s="10">
        <f>100.782 * CHOOSE(CONTROL!$C$9, $D$9, 100%, $F$9) + CHOOSE(CONTROL!$C$27, 0.0021, 0)</f>
        <v>100.7841</v>
      </c>
      <c r="E976" s="10">
        <f>100.6454 * CHOOSE(CONTROL!$C$9, $D$9, 100%, $F$9) + CHOOSE(CONTROL!$C$27, 0.0021, 0)</f>
        <v>100.64749999999999</v>
      </c>
      <c r="F976" s="10">
        <f>100.6454 * CHOOSE(CONTROL!$C$9, $D$9, 100%, $F$9) + CHOOSE(CONTROL!$C$27, 0.0021, 0)</f>
        <v>100.64749999999999</v>
      </c>
      <c r="G976" s="10">
        <f>100.9168 * CHOOSE(CONTROL!$C$9, $D$9, 100%, $F$9) + CHOOSE(CONTROL!$C$27, 0.0021, 0)</f>
        <v>100.91889999999999</v>
      </c>
      <c r="H976" s="10">
        <f>100.782 * CHOOSE(CONTROL!$C$9, $D$9, 100%, $F$9) + CHOOSE(CONTROL!$C$27, 0.0021, 0)</f>
        <v>100.7841</v>
      </c>
      <c r="I976" s="10">
        <f>100.782 * CHOOSE(CONTROL!$C$9, $D$9, 100%, $F$9) + CHOOSE(CONTROL!$C$27, 0.0021, 0)</f>
        <v>100.7841</v>
      </c>
      <c r="J976" s="10">
        <f>100.782 * CHOOSE(CONTROL!$C$9, $D$9, 100%, $F$9) + CHOOSE(CONTROL!$C$27, 0.0021, 0)</f>
        <v>100.7841</v>
      </c>
      <c r="K976" s="10">
        <f>100.782 * CHOOSE(CONTROL!$C$9, $D$9, 100%, $F$9) + CHOOSE(CONTROL!$C$27, 0.0021, 0)</f>
        <v>100.7841</v>
      </c>
      <c r="L976" s="10"/>
    </row>
    <row r="977" spans="1:12" ht="15.75" x14ac:dyDescent="0.25">
      <c r="A977" s="13">
        <v>70675</v>
      </c>
      <c r="B977" s="10">
        <f>102.433 * CHOOSE(CONTROL!$C$9, $D$9, 100%, $F$9) + CHOOSE(CONTROL!$C$27, 0.0021, 0)</f>
        <v>102.43510000000001</v>
      </c>
      <c r="C977" s="10">
        <f>102.0007 * CHOOSE(CONTROL!$C$9, $D$9, 100%, $F$9) + CHOOSE(CONTROL!$C$27, 0.0021, 0)</f>
        <v>102.00279999999999</v>
      </c>
      <c r="D977" s="10">
        <f>102.0007 * CHOOSE(CONTROL!$C$9, $D$9, 100%, $F$9) + CHOOSE(CONTROL!$C$27, 0.0021, 0)</f>
        <v>102.00279999999999</v>
      </c>
      <c r="E977" s="10">
        <f>101.8641 * CHOOSE(CONTROL!$C$9, $D$9, 100%, $F$9) + CHOOSE(CONTROL!$C$27, 0.0021, 0)</f>
        <v>101.86619999999999</v>
      </c>
      <c r="F977" s="10">
        <f>101.8641 * CHOOSE(CONTROL!$C$9, $D$9, 100%, $F$9) + CHOOSE(CONTROL!$C$27, 0.0021, 0)</f>
        <v>101.86619999999999</v>
      </c>
      <c r="G977" s="10">
        <f>102.1354 * CHOOSE(CONTROL!$C$9, $D$9, 100%, $F$9) + CHOOSE(CONTROL!$C$27, 0.0021, 0)</f>
        <v>102.1375</v>
      </c>
      <c r="H977" s="10">
        <f>102.0007 * CHOOSE(CONTROL!$C$9, $D$9, 100%, $F$9) + CHOOSE(CONTROL!$C$27, 0.0021, 0)</f>
        <v>102.00279999999999</v>
      </c>
      <c r="I977" s="10">
        <f>102.0007 * CHOOSE(CONTROL!$C$9, $D$9, 100%, $F$9) + CHOOSE(CONTROL!$C$27, 0.0021, 0)</f>
        <v>102.00279999999999</v>
      </c>
      <c r="J977" s="10">
        <f>102.0007 * CHOOSE(CONTROL!$C$9, $D$9, 100%, $F$9) + CHOOSE(CONTROL!$C$27, 0.0021, 0)</f>
        <v>102.00279999999999</v>
      </c>
      <c r="K977" s="10">
        <f>102.0007 * CHOOSE(CONTROL!$C$9, $D$9, 100%, $F$9) + CHOOSE(CONTROL!$C$27, 0.0021, 0)</f>
        <v>102.00279999999999</v>
      </c>
      <c r="L977" s="10"/>
    </row>
    <row r="978" spans="1:12" ht="15.75" x14ac:dyDescent="0.25">
      <c r="A978" s="13">
        <v>70706</v>
      </c>
      <c r="B978" s="10">
        <f>104.4434 * CHOOSE(CONTROL!$C$9, $D$9, 100%, $F$9) + CHOOSE(CONTROL!$C$27, 0.0021, 0)</f>
        <v>104.4455</v>
      </c>
      <c r="C978" s="10">
        <f>104.0111 * CHOOSE(CONTROL!$C$9, $D$9, 100%, $F$9) + CHOOSE(CONTROL!$C$27, 0.0021, 0)</f>
        <v>104.0132</v>
      </c>
      <c r="D978" s="10">
        <f>104.0111 * CHOOSE(CONTROL!$C$9, $D$9, 100%, $F$9) + CHOOSE(CONTROL!$C$27, 0.0021, 0)</f>
        <v>104.0132</v>
      </c>
      <c r="E978" s="10">
        <f>103.8745 * CHOOSE(CONTROL!$C$9, $D$9, 100%, $F$9) + CHOOSE(CONTROL!$C$27, 0.0021, 0)</f>
        <v>103.8766</v>
      </c>
      <c r="F978" s="10">
        <f>103.8745 * CHOOSE(CONTROL!$C$9, $D$9, 100%, $F$9) + CHOOSE(CONTROL!$C$27, 0.0021, 0)</f>
        <v>103.8766</v>
      </c>
      <c r="G978" s="10">
        <f>104.1458 * CHOOSE(CONTROL!$C$9, $D$9, 100%, $F$9) + CHOOSE(CONTROL!$C$27, 0.0021, 0)</f>
        <v>104.14789999999999</v>
      </c>
      <c r="H978" s="10">
        <f>104.0111 * CHOOSE(CONTROL!$C$9, $D$9, 100%, $F$9) + CHOOSE(CONTROL!$C$27, 0.0021, 0)</f>
        <v>104.0132</v>
      </c>
      <c r="I978" s="10">
        <f>104.0111 * CHOOSE(CONTROL!$C$9, $D$9, 100%, $F$9) + CHOOSE(CONTROL!$C$27, 0.0021, 0)</f>
        <v>104.0132</v>
      </c>
      <c r="J978" s="10">
        <f>104.0111 * CHOOSE(CONTROL!$C$9, $D$9, 100%, $F$9) + CHOOSE(CONTROL!$C$27, 0.0021, 0)</f>
        <v>104.0132</v>
      </c>
      <c r="K978" s="10">
        <f>104.0111 * CHOOSE(CONTROL!$C$9, $D$9, 100%, $F$9) + CHOOSE(CONTROL!$C$27, 0.0021, 0)</f>
        <v>104.0132</v>
      </c>
      <c r="L978" s="10"/>
    </row>
    <row r="979" spans="1:12" ht="15.75" x14ac:dyDescent="0.25">
      <c r="A979" s="13">
        <v>70737</v>
      </c>
      <c r="B979" s="10">
        <f>105.057 * CHOOSE(CONTROL!$C$9, $D$9, 100%, $F$9) + CHOOSE(CONTROL!$C$27, 0.0021, 0)</f>
        <v>105.0591</v>
      </c>
      <c r="C979" s="10">
        <f>104.6247 * CHOOSE(CONTROL!$C$9, $D$9, 100%, $F$9) + CHOOSE(CONTROL!$C$27, 0.0021, 0)</f>
        <v>104.6268</v>
      </c>
      <c r="D979" s="10">
        <f>104.6247 * CHOOSE(CONTROL!$C$9, $D$9, 100%, $F$9) + CHOOSE(CONTROL!$C$27, 0.0021, 0)</f>
        <v>104.6268</v>
      </c>
      <c r="E979" s="10">
        <f>104.4881 * CHOOSE(CONTROL!$C$9, $D$9, 100%, $F$9) + CHOOSE(CONTROL!$C$27, 0.0021, 0)</f>
        <v>104.4902</v>
      </c>
      <c r="F979" s="10">
        <f>104.4881 * CHOOSE(CONTROL!$C$9, $D$9, 100%, $F$9) + CHOOSE(CONTROL!$C$27, 0.0021, 0)</f>
        <v>104.4902</v>
      </c>
      <c r="G979" s="10">
        <f>104.7595 * CHOOSE(CONTROL!$C$9, $D$9, 100%, $F$9) + CHOOSE(CONTROL!$C$27, 0.0021, 0)</f>
        <v>104.7616</v>
      </c>
      <c r="H979" s="10">
        <f>104.6247 * CHOOSE(CONTROL!$C$9, $D$9, 100%, $F$9) + CHOOSE(CONTROL!$C$27, 0.0021, 0)</f>
        <v>104.6268</v>
      </c>
      <c r="I979" s="10">
        <f>104.6247 * CHOOSE(CONTROL!$C$9, $D$9, 100%, $F$9) + CHOOSE(CONTROL!$C$27, 0.0021, 0)</f>
        <v>104.6268</v>
      </c>
      <c r="J979" s="10">
        <f>104.6247 * CHOOSE(CONTROL!$C$9, $D$9, 100%, $F$9) + CHOOSE(CONTROL!$C$27, 0.0021, 0)</f>
        <v>104.6268</v>
      </c>
      <c r="K979" s="10">
        <f>104.6247 * CHOOSE(CONTROL!$C$9, $D$9, 100%, $F$9) + CHOOSE(CONTROL!$C$27, 0.0021, 0)</f>
        <v>104.6268</v>
      </c>
      <c r="L979" s="10"/>
    </row>
    <row r="980" spans="1:12" ht="15.75" x14ac:dyDescent="0.25">
      <c r="A980" s="13">
        <v>70767</v>
      </c>
      <c r="B980" s="10">
        <f>107.1467 * CHOOSE(CONTROL!$C$9, $D$9, 100%, $F$9) + CHOOSE(CONTROL!$C$27, 0.0021, 0)</f>
        <v>107.14879999999999</v>
      </c>
      <c r="C980" s="10">
        <f>106.7145 * CHOOSE(CONTROL!$C$9, $D$9, 100%, $F$9) + CHOOSE(CONTROL!$C$27, 0.0021, 0)</f>
        <v>106.7166</v>
      </c>
      <c r="D980" s="10">
        <f>106.7145 * CHOOSE(CONTROL!$C$9, $D$9, 100%, $F$9) + CHOOSE(CONTROL!$C$27, 0.0021, 0)</f>
        <v>106.7166</v>
      </c>
      <c r="E980" s="10">
        <f>106.5778 * CHOOSE(CONTROL!$C$9, $D$9, 100%, $F$9) + CHOOSE(CONTROL!$C$27, 0.0021, 0)</f>
        <v>106.57989999999999</v>
      </c>
      <c r="F980" s="10">
        <f>106.5778 * CHOOSE(CONTROL!$C$9, $D$9, 100%, $F$9) + CHOOSE(CONTROL!$C$27, 0.0021, 0)</f>
        <v>106.57989999999999</v>
      </c>
      <c r="G980" s="10">
        <f>106.8492 * CHOOSE(CONTROL!$C$9, $D$9, 100%, $F$9) + CHOOSE(CONTROL!$C$27, 0.0021, 0)</f>
        <v>106.85129999999999</v>
      </c>
      <c r="H980" s="10">
        <f>106.7145 * CHOOSE(CONTROL!$C$9, $D$9, 100%, $F$9) + CHOOSE(CONTROL!$C$27, 0.0021, 0)</f>
        <v>106.7166</v>
      </c>
      <c r="I980" s="10">
        <f>106.7145 * CHOOSE(CONTROL!$C$9, $D$9, 100%, $F$9) + CHOOSE(CONTROL!$C$27, 0.0021, 0)</f>
        <v>106.7166</v>
      </c>
      <c r="J980" s="10">
        <f>106.7145 * CHOOSE(CONTROL!$C$9, $D$9, 100%, $F$9) + CHOOSE(CONTROL!$C$27, 0.0021, 0)</f>
        <v>106.7166</v>
      </c>
      <c r="K980" s="10">
        <f>106.7145 * CHOOSE(CONTROL!$C$9, $D$9, 100%, $F$9) + CHOOSE(CONTROL!$C$27, 0.0021, 0)</f>
        <v>106.7166</v>
      </c>
      <c r="L980" s="10"/>
    </row>
    <row r="981" spans="1:12" ht="15.75" x14ac:dyDescent="0.25">
      <c r="A981" s="13">
        <v>70798</v>
      </c>
      <c r="B981" s="10">
        <f>109.7919 * CHOOSE(CONTROL!$C$9, $D$9, 100%, $F$9) + CHOOSE(CONTROL!$C$27, 0.0021, 0)</f>
        <v>109.794</v>
      </c>
      <c r="C981" s="10">
        <f>109.3597 * CHOOSE(CONTROL!$C$9, $D$9, 100%, $F$9) + CHOOSE(CONTROL!$C$27, 0.0021, 0)</f>
        <v>109.3618</v>
      </c>
      <c r="D981" s="10">
        <f>109.3597 * CHOOSE(CONTROL!$C$9, $D$9, 100%, $F$9) + CHOOSE(CONTROL!$C$27, 0.0021, 0)</f>
        <v>109.3618</v>
      </c>
      <c r="E981" s="10">
        <f>109.223 * CHOOSE(CONTROL!$C$9, $D$9, 100%, $F$9) + CHOOSE(CONTROL!$C$27, 0.0021, 0)</f>
        <v>109.2251</v>
      </c>
      <c r="F981" s="10">
        <f>109.223 * CHOOSE(CONTROL!$C$9, $D$9, 100%, $F$9) + CHOOSE(CONTROL!$C$27, 0.0021, 0)</f>
        <v>109.2251</v>
      </c>
      <c r="G981" s="10">
        <f>109.4944 * CHOOSE(CONTROL!$C$9, $D$9, 100%, $F$9) + CHOOSE(CONTROL!$C$27, 0.0021, 0)</f>
        <v>109.4965</v>
      </c>
      <c r="H981" s="10">
        <f>109.3597 * CHOOSE(CONTROL!$C$9, $D$9, 100%, $F$9) + CHOOSE(CONTROL!$C$27, 0.0021, 0)</f>
        <v>109.3618</v>
      </c>
      <c r="I981" s="10">
        <f>109.3597 * CHOOSE(CONTROL!$C$9, $D$9, 100%, $F$9) + CHOOSE(CONTROL!$C$27, 0.0021, 0)</f>
        <v>109.3618</v>
      </c>
      <c r="J981" s="10">
        <f>109.3597 * CHOOSE(CONTROL!$C$9, $D$9, 100%, $F$9) + CHOOSE(CONTROL!$C$27, 0.0021, 0)</f>
        <v>109.3618</v>
      </c>
      <c r="K981" s="10">
        <f>109.3597 * CHOOSE(CONTROL!$C$9, $D$9, 100%, $F$9) + CHOOSE(CONTROL!$C$27, 0.0021, 0)</f>
        <v>109.3618</v>
      </c>
      <c r="L981" s="10"/>
    </row>
    <row r="982" spans="1:12" ht="15.75" x14ac:dyDescent="0.25">
      <c r="A982" s="13">
        <v>70828</v>
      </c>
      <c r="B982" s="10">
        <f>110.0403 * CHOOSE(CONTROL!$C$9, $D$9, 100%, $F$9) + CHOOSE(CONTROL!$C$27, 0.0021, 0)</f>
        <v>110.0424</v>
      </c>
      <c r="C982" s="10">
        <f>109.608 * CHOOSE(CONTROL!$C$9, $D$9, 100%, $F$9) + CHOOSE(CONTROL!$C$27, 0.0021, 0)</f>
        <v>109.6101</v>
      </c>
      <c r="D982" s="10">
        <f>109.608 * CHOOSE(CONTROL!$C$9, $D$9, 100%, $F$9) + CHOOSE(CONTROL!$C$27, 0.0021, 0)</f>
        <v>109.6101</v>
      </c>
      <c r="E982" s="10">
        <f>109.4714 * CHOOSE(CONTROL!$C$9, $D$9, 100%, $F$9) + CHOOSE(CONTROL!$C$27, 0.0021, 0)</f>
        <v>109.4735</v>
      </c>
      <c r="F982" s="10">
        <f>109.4714 * CHOOSE(CONTROL!$C$9, $D$9, 100%, $F$9) + CHOOSE(CONTROL!$C$27, 0.0021, 0)</f>
        <v>109.4735</v>
      </c>
      <c r="G982" s="10">
        <f>109.7427 * CHOOSE(CONTROL!$C$9, $D$9, 100%, $F$9) + CHOOSE(CONTROL!$C$27, 0.0021, 0)</f>
        <v>109.7448</v>
      </c>
      <c r="H982" s="10">
        <f>109.608 * CHOOSE(CONTROL!$C$9, $D$9, 100%, $F$9) + CHOOSE(CONTROL!$C$27, 0.0021, 0)</f>
        <v>109.6101</v>
      </c>
      <c r="I982" s="10">
        <f>109.608 * CHOOSE(CONTROL!$C$9, $D$9, 100%, $F$9) + CHOOSE(CONTROL!$C$27, 0.0021, 0)</f>
        <v>109.6101</v>
      </c>
      <c r="J982" s="10">
        <f>109.608 * CHOOSE(CONTROL!$C$9, $D$9, 100%, $F$9) + CHOOSE(CONTROL!$C$27, 0.0021, 0)</f>
        <v>109.6101</v>
      </c>
      <c r="K982" s="10">
        <f>109.608 * CHOOSE(CONTROL!$C$9, $D$9, 100%, $F$9) + CHOOSE(CONTROL!$C$27, 0.0021, 0)</f>
        <v>109.6101</v>
      </c>
      <c r="L982" s="10"/>
    </row>
    <row r="983" spans="1:12" ht="15.75" x14ac:dyDescent="0.25">
      <c r="A983" s="13">
        <v>70859</v>
      </c>
      <c r="B983" s="10">
        <f>107.9276 * CHOOSE(CONTROL!$C$9, $D$9, 100%, $F$9) + CHOOSE(CONTROL!$C$27, 0.0021, 0)</f>
        <v>107.9297</v>
      </c>
      <c r="C983" s="10">
        <f>107.4953 * CHOOSE(CONTROL!$C$9, $D$9, 100%, $F$9) + CHOOSE(CONTROL!$C$27, 0.0021, 0)</f>
        <v>107.4974</v>
      </c>
      <c r="D983" s="10">
        <f>107.4953 * CHOOSE(CONTROL!$C$9, $D$9, 100%, $F$9) + CHOOSE(CONTROL!$C$27, 0.0021, 0)</f>
        <v>107.4974</v>
      </c>
      <c r="E983" s="10">
        <f>107.3587 * CHOOSE(CONTROL!$C$9, $D$9, 100%, $F$9) + CHOOSE(CONTROL!$C$27, 0.0021, 0)</f>
        <v>107.3608</v>
      </c>
      <c r="F983" s="10">
        <f>107.3587 * CHOOSE(CONTROL!$C$9, $D$9, 100%, $F$9) + CHOOSE(CONTROL!$C$27, 0.0021, 0)</f>
        <v>107.3608</v>
      </c>
      <c r="G983" s="10">
        <f>107.63 * CHOOSE(CONTROL!$C$9, $D$9, 100%, $F$9) + CHOOSE(CONTROL!$C$27, 0.0021, 0)</f>
        <v>107.63209999999999</v>
      </c>
      <c r="H983" s="10">
        <f>107.4953 * CHOOSE(CONTROL!$C$9, $D$9, 100%, $F$9) + CHOOSE(CONTROL!$C$27, 0.0021, 0)</f>
        <v>107.4974</v>
      </c>
      <c r="I983" s="10">
        <f>107.4953 * CHOOSE(CONTROL!$C$9, $D$9, 100%, $F$9) + CHOOSE(CONTROL!$C$27, 0.0021, 0)</f>
        <v>107.4974</v>
      </c>
      <c r="J983" s="10">
        <f>107.4953 * CHOOSE(CONTROL!$C$9, $D$9, 100%, $F$9) + CHOOSE(CONTROL!$C$27, 0.0021, 0)</f>
        <v>107.4974</v>
      </c>
      <c r="K983" s="10">
        <f>107.4953 * CHOOSE(CONTROL!$C$9, $D$9, 100%, $F$9) + CHOOSE(CONTROL!$C$27, 0.0021, 0)</f>
        <v>107.4974</v>
      </c>
      <c r="L983" s="10"/>
    </row>
    <row r="984" spans="1:12" ht="15.75" x14ac:dyDescent="0.25">
      <c r="A984" s="13">
        <v>70890</v>
      </c>
      <c r="B984" s="10">
        <f>106.5435 * CHOOSE(CONTROL!$C$9, $D$9, 100%, $F$9) + CHOOSE(CONTROL!$C$27, 0.0021, 0)</f>
        <v>106.54559999999999</v>
      </c>
      <c r="C984" s="10">
        <f>106.1113 * CHOOSE(CONTROL!$C$9, $D$9, 100%, $F$9) + CHOOSE(CONTROL!$C$27, 0.0021, 0)</f>
        <v>106.1134</v>
      </c>
      <c r="D984" s="10">
        <f>106.1113 * CHOOSE(CONTROL!$C$9, $D$9, 100%, $F$9) + CHOOSE(CONTROL!$C$27, 0.0021, 0)</f>
        <v>106.1134</v>
      </c>
      <c r="E984" s="10">
        <f>105.9746 * CHOOSE(CONTROL!$C$9, $D$9, 100%, $F$9) + CHOOSE(CONTROL!$C$27, 0.0021, 0)</f>
        <v>105.97669999999999</v>
      </c>
      <c r="F984" s="10">
        <f>105.9746 * CHOOSE(CONTROL!$C$9, $D$9, 100%, $F$9) + CHOOSE(CONTROL!$C$27, 0.0021, 0)</f>
        <v>105.97669999999999</v>
      </c>
      <c r="G984" s="10">
        <f>106.246 * CHOOSE(CONTROL!$C$9, $D$9, 100%, $F$9) + CHOOSE(CONTROL!$C$27, 0.0021, 0)</f>
        <v>106.24809999999999</v>
      </c>
      <c r="H984" s="10">
        <f>106.1113 * CHOOSE(CONTROL!$C$9, $D$9, 100%, $F$9) + CHOOSE(CONTROL!$C$27, 0.0021, 0)</f>
        <v>106.1134</v>
      </c>
      <c r="I984" s="10">
        <f>106.1113 * CHOOSE(CONTROL!$C$9, $D$9, 100%, $F$9) + CHOOSE(CONTROL!$C$27, 0.0021, 0)</f>
        <v>106.1134</v>
      </c>
      <c r="J984" s="10">
        <f>106.1113 * CHOOSE(CONTROL!$C$9, $D$9, 100%, $F$9) + CHOOSE(CONTROL!$C$27, 0.0021, 0)</f>
        <v>106.1134</v>
      </c>
      <c r="K984" s="10">
        <f>106.1113 * CHOOSE(CONTROL!$C$9, $D$9, 100%, $F$9) + CHOOSE(CONTROL!$C$27, 0.0021, 0)</f>
        <v>106.1134</v>
      </c>
      <c r="L984" s="10"/>
    </row>
    <row r="985" spans="1:12" ht="15.75" x14ac:dyDescent="0.25">
      <c r="A985" s="13">
        <v>70918</v>
      </c>
      <c r="B985" s="10">
        <f>103.5947 * CHOOSE(CONTROL!$C$9, $D$9, 100%, $F$9) + CHOOSE(CONTROL!$C$27, 0.0021, 0)</f>
        <v>103.5968</v>
      </c>
      <c r="C985" s="10">
        <f>103.1625 * CHOOSE(CONTROL!$C$9, $D$9, 100%, $F$9) + CHOOSE(CONTROL!$C$27, 0.0021, 0)</f>
        <v>103.16459999999999</v>
      </c>
      <c r="D985" s="10">
        <f>103.1625 * CHOOSE(CONTROL!$C$9, $D$9, 100%, $F$9) + CHOOSE(CONTROL!$C$27, 0.0021, 0)</f>
        <v>103.16459999999999</v>
      </c>
      <c r="E985" s="10">
        <f>103.0258 * CHOOSE(CONTROL!$C$9, $D$9, 100%, $F$9) + CHOOSE(CONTROL!$C$27, 0.0021, 0)</f>
        <v>103.0279</v>
      </c>
      <c r="F985" s="10">
        <f>103.0258 * CHOOSE(CONTROL!$C$9, $D$9, 100%, $F$9) + CHOOSE(CONTROL!$C$27, 0.0021, 0)</f>
        <v>103.0279</v>
      </c>
      <c r="G985" s="10">
        <f>103.2972 * CHOOSE(CONTROL!$C$9, $D$9, 100%, $F$9) + CHOOSE(CONTROL!$C$27, 0.0021, 0)</f>
        <v>103.2993</v>
      </c>
      <c r="H985" s="10">
        <f>103.1625 * CHOOSE(CONTROL!$C$9, $D$9, 100%, $F$9) + CHOOSE(CONTROL!$C$27, 0.0021, 0)</f>
        <v>103.16459999999999</v>
      </c>
      <c r="I985" s="10">
        <f>103.1625 * CHOOSE(CONTROL!$C$9, $D$9, 100%, $F$9) + CHOOSE(CONTROL!$C$27, 0.0021, 0)</f>
        <v>103.16459999999999</v>
      </c>
      <c r="J985" s="10">
        <f>103.1625 * CHOOSE(CONTROL!$C$9, $D$9, 100%, $F$9) + CHOOSE(CONTROL!$C$27, 0.0021, 0)</f>
        <v>103.16459999999999</v>
      </c>
      <c r="K985" s="10">
        <f>103.1625 * CHOOSE(CONTROL!$C$9, $D$9, 100%, $F$9) + CHOOSE(CONTROL!$C$27, 0.0021, 0)</f>
        <v>103.16459999999999</v>
      </c>
      <c r="L985" s="10"/>
    </row>
    <row r="986" spans="1:12" ht="15.75" x14ac:dyDescent="0.25">
      <c r="A986" s="13">
        <v>70949</v>
      </c>
      <c r="B986" s="10">
        <f>102.3775 * CHOOSE(CONTROL!$C$9, $D$9, 100%, $F$9) + CHOOSE(CONTROL!$C$27, 0.0021, 0)</f>
        <v>102.3796</v>
      </c>
      <c r="C986" s="10">
        <f>101.9452 * CHOOSE(CONTROL!$C$9, $D$9, 100%, $F$9) + CHOOSE(CONTROL!$C$27, 0.0021, 0)</f>
        <v>101.9473</v>
      </c>
      <c r="D986" s="10">
        <f>101.9452 * CHOOSE(CONTROL!$C$9, $D$9, 100%, $F$9) + CHOOSE(CONTROL!$C$27, 0.0021, 0)</f>
        <v>101.9473</v>
      </c>
      <c r="E986" s="10">
        <f>101.8086 * CHOOSE(CONTROL!$C$9, $D$9, 100%, $F$9) + CHOOSE(CONTROL!$C$27, 0.0021, 0)</f>
        <v>101.8107</v>
      </c>
      <c r="F986" s="10">
        <f>101.8086 * CHOOSE(CONTROL!$C$9, $D$9, 100%, $F$9) + CHOOSE(CONTROL!$C$27, 0.0021, 0)</f>
        <v>101.8107</v>
      </c>
      <c r="G986" s="10">
        <f>102.0799 * CHOOSE(CONTROL!$C$9, $D$9, 100%, $F$9) + CHOOSE(CONTROL!$C$27, 0.0021, 0)</f>
        <v>102.08199999999999</v>
      </c>
      <c r="H986" s="10">
        <f>101.9452 * CHOOSE(CONTROL!$C$9, $D$9, 100%, $F$9) + CHOOSE(CONTROL!$C$27, 0.0021, 0)</f>
        <v>101.9473</v>
      </c>
      <c r="I986" s="10">
        <f>101.9452 * CHOOSE(CONTROL!$C$9, $D$9, 100%, $F$9) + CHOOSE(CONTROL!$C$27, 0.0021, 0)</f>
        <v>101.9473</v>
      </c>
      <c r="J986" s="10">
        <f>101.9452 * CHOOSE(CONTROL!$C$9, $D$9, 100%, $F$9) + CHOOSE(CONTROL!$C$27, 0.0021, 0)</f>
        <v>101.9473</v>
      </c>
      <c r="K986" s="10">
        <f>101.9452 * CHOOSE(CONTROL!$C$9, $D$9, 100%, $F$9) + CHOOSE(CONTROL!$C$27, 0.0021, 0)</f>
        <v>101.9473</v>
      </c>
      <c r="L986" s="10"/>
    </row>
    <row r="987" spans="1:12" ht="15.75" x14ac:dyDescent="0.25">
      <c r="A987" s="13">
        <v>70979</v>
      </c>
      <c r="B987" s="10">
        <f>100.924 * CHOOSE(CONTROL!$C$9, $D$9, 100%, $F$9) + CHOOSE(CONTROL!$C$27, 0.0021, 0)</f>
        <v>100.92610000000001</v>
      </c>
      <c r="C987" s="10">
        <f>100.4918 * CHOOSE(CONTROL!$C$9, $D$9, 100%, $F$9) + CHOOSE(CONTROL!$C$27, 0.0021, 0)</f>
        <v>100.4939</v>
      </c>
      <c r="D987" s="10">
        <f>100.4918 * CHOOSE(CONTROL!$C$9, $D$9, 100%, $F$9) + CHOOSE(CONTROL!$C$27, 0.0021, 0)</f>
        <v>100.4939</v>
      </c>
      <c r="E987" s="10">
        <f>100.3551 * CHOOSE(CONTROL!$C$9, $D$9, 100%, $F$9) + CHOOSE(CONTROL!$C$27, 0.0021, 0)</f>
        <v>100.35719999999999</v>
      </c>
      <c r="F987" s="10">
        <f>100.3551 * CHOOSE(CONTROL!$C$9, $D$9, 100%, $F$9) + CHOOSE(CONTROL!$C$27, 0.0021, 0)</f>
        <v>100.35719999999999</v>
      </c>
      <c r="G987" s="10">
        <f>100.6265 * CHOOSE(CONTROL!$C$9, $D$9, 100%, $F$9) + CHOOSE(CONTROL!$C$27, 0.0021, 0)</f>
        <v>100.62859999999999</v>
      </c>
      <c r="H987" s="10">
        <f>100.4918 * CHOOSE(CONTROL!$C$9, $D$9, 100%, $F$9) + CHOOSE(CONTROL!$C$27, 0.0021, 0)</f>
        <v>100.4939</v>
      </c>
      <c r="I987" s="10">
        <f>100.4918 * CHOOSE(CONTROL!$C$9, $D$9, 100%, $F$9) + CHOOSE(CONTROL!$C$27, 0.0021, 0)</f>
        <v>100.4939</v>
      </c>
      <c r="J987" s="10">
        <f>100.4918 * CHOOSE(CONTROL!$C$9, $D$9, 100%, $F$9) + CHOOSE(CONTROL!$C$27, 0.0021, 0)</f>
        <v>100.4939</v>
      </c>
      <c r="K987" s="10">
        <f>100.4918 * CHOOSE(CONTROL!$C$9, $D$9, 100%, $F$9) + CHOOSE(CONTROL!$C$27, 0.0021, 0)</f>
        <v>100.4939</v>
      </c>
      <c r="L987" s="10"/>
    </row>
    <row r="988" spans="1:12" ht="15.75" x14ac:dyDescent="0.25">
      <c r="A988" s="13">
        <v>71010</v>
      </c>
      <c r="B988" s="10">
        <f>102.9954 * CHOOSE(CONTROL!$C$9, $D$9, 100%, $F$9) + CHOOSE(CONTROL!$C$27, 0.0021, 0)</f>
        <v>102.9975</v>
      </c>
      <c r="C988" s="10">
        <f>102.5631 * CHOOSE(CONTROL!$C$9, $D$9, 100%, $F$9) + CHOOSE(CONTROL!$C$27, 0.0021, 0)</f>
        <v>102.5652</v>
      </c>
      <c r="D988" s="10">
        <f>102.5631 * CHOOSE(CONTROL!$C$9, $D$9, 100%, $F$9) + CHOOSE(CONTROL!$C$27, 0.0021, 0)</f>
        <v>102.5652</v>
      </c>
      <c r="E988" s="10">
        <f>102.4265 * CHOOSE(CONTROL!$C$9, $D$9, 100%, $F$9) + CHOOSE(CONTROL!$C$27, 0.0021, 0)</f>
        <v>102.4286</v>
      </c>
      <c r="F988" s="10">
        <f>102.4265 * CHOOSE(CONTROL!$C$9, $D$9, 100%, $F$9) + CHOOSE(CONTROL!$C$27, 0.0021, 0)</f>
        <v>102.4286</v>
      </c>
      <c r="G988" s="10">
        <f>102.6978 * CHOOSE(CONTROL!$C$9, $D$9, 100%, $F$9) + CHOOSE(CONTROL!$C$27, 0.0021, 0)</f>
        <v>102.6999</v>
      </c>
      <c r="H988" s="10">
        <f>102.5631 * CHOOSE(CONTROL!$C$9, $D$9, 100%, $F$9) + CHOOSE(CONTROL!$C$27, 0.0021, 0)</f>
        <v>102.5652</v>
      </c>
      <c r="I988" s="10">
        <f>102.5631 * CHOOSE(CONTROL!$C$9, $D$9, 100%, $F$9) + CHOOSE(CONTROL!$C$27, 0.0021, 0)</f>
        <v>102.5652</v>
      </c>
      <c r="J988" s="10">
        <f>102.5631 * CHOOSE(CONTROL!$C$9, $D$9, 100%, $F$9) + CHOOSE(CONTROL!$C$27, 0.0021, 0)</f>
        <v>102.5652</v>
      </c>
      <c r="K988" s="10">
        <f>102.5631 * CHOOSE(CONTROL!$C$9, $D$9, 100%, $F$9) + CHOOSE(CONTROL!$C$27, 0.0021, 0)</f>
        <v>102.5652</v>
      </c>
      <c r="L988" s="10"/>
    </row>
    <row r="989" spans="1:12" ht="15.75" x14ac:dyDescent="0.25">
      <c r="A989" s="13">
        <v>71040</v>
      </c>
      <c r="B989" s="10">
        <f>104.236 * CHOOSE(CONTROL!$C$9, $D$9, 100%, $F$9) + CHOOSE(CONTROL!$C$27, 0.0021, 0)</f>
        <v>104.2381</v>
      </c>
      <c r="C989" s="10">
        <f>103.8037 * CHOOSE(CONTROL!$C$9, $D$9, 100%, $F$9) + CHOOSE(CONTROL!$C$27, 0.0021, 0)</f>
        <v>103.8058</v>
      </c>
      <c r="D989" s="10">
        <f>103.8037 * CHOOSE(CONTROL!$C$9, $D$9, 100%, $F$9) + CHOOSE(CONTROL!$C$27, 0.0021, 0)</f>
        <v>103.8058</v>
      </c>
      <c r="E989" s="10">
        <f>103.6671 * CHOOSE(CONTROL!$C$9, $D$9, 100%, $F$9) + CHOOSE(CONTROL!$C$27, 0.0021, 0)</f>
        <v>103.6692</v>
      </c>
      <c r="F989" s="10">
        <f>103.6671 * CHOOSE(CONTROL!$C$9, $D$9, 100%, $F$9) + CHOOSE(CONTROL!$C$27, 0.0021, 0)</f>
        <v>103.6692</v>
      </c>
      <c r="G989" s="10">
        <f>103.9385 * CHOOSE(CONTROL!$C$9, $D$9, 100%, $F$9) + CHOOSE(CONTROL!$C$27, 0.0021, 0)</f>
        <v>103.9406</v>
      </c>
      <c r="H989" s="10">
        <f>103.8037 * CHOOSE(CONTROL!$C$9, $D$9, 100%, $F$9) + CHOOSE(CONTROL!$C$27, 0.0021, 0)</f>
        <v>103.8058</v>
      </c>
      <c r="I989" s="10">
        <f>103.8037 * CHOOSE(CONTROL!$C$9, $D$9, 100%, $F$9) + CHOOSE(CONTROL!$C$27, 0.0021, 0)</f>
        <v>103.8058</v>
      </c>
      <c r="J989" s="10">
        <f>103.8037 * CHOOSE(CONTROL!$C$9, $D$9, 100%, $F$9) + CHOOSE(CONTROL!$C$27, 0.0021, 0)</f>
        <v>103.8058</v>
      </c>
      <c r="K989" s="10">
        <f>103.8037 * CHOOSE(CONTROL!$C$9, $D$9, 100%, $F$9) + CHOOSE(CONTROL!$C$27, 0.0021, 0)</f>
        <v>103.8058</v>
      </c>
      <c r="L989" s="10"/>
    </row>
    <row r="990" spans="1:12" ht="15.75" x14ac:dyDescent="0.25">
      <c r="A990" s="13">
        <v>71071</v>
      </c>
      <c r="B990" s="10">
        <f>106.2826 * CHOOSE(CONTROL!$C$9, $D$9, 100%, $F$9) + CHOOSE(CONTROL!$C$27, 0.0021, 0)</f>
        <v>106.2847</v>
      </c>
      <c r="C990" s="10">
        <f>105.8503 * CHOOSE(CONTROL!$C$9, $D$9, 100%, $F$9) + CHOOSE(CONTROL!$C$27, 0.0021, 0)</f>
        <v>105.8524</v>
      </c>
      <c r="D990" s="10">
        <f>105.8503 * CHOOSE(CONTROL!$C$9, $D$9, 100%, $F$9) + CHOOSE(CONTROL!$C$27, 0.0021, 0)</f>
        <v>105.8524</v>
      </c>
      <c r="E990" s="10">
        <f>105.7137 * CHOOSE(CONTROL!$C$9, $D$9, 100%, $F$9) + CHOOSE(CONTROL!$C$27, 0.0021, 0)</f>
        <v>105.7158</v>
      </c>
      <c r="F990" s="10">
        <f>105.7137 * CHOOSE(CONTROL!$C$9, $D$9, 100%, $F$9) + CHOOSE(CONTROL!$C$27, 0.0021, 0)</f>
        <v>105.7158</v>
      </c>
      <c r="G990" s="10">
        <f>105.985 * CHOOSE(CONTROL!$C$9, $D$9, 100%, $F$9) + CHOOSE(CONTROL!$C$27, 0.0021, 0)</f>
        <v>105.9871</v>
      </c>
      <c r="H990" s="10">
        <f>105.8503 * CHOOSE(CONTROL!$C$9, $D$9, 100%, $F$9) + CHOOSE(CONTROL!$C$27, 0.0021, 0)</f>
        <v>105.8524</v>
      </c>
      <c r="I990" s="10">
        <f>105.8503 * CHOOSE(CONTROL!$C$9, $D$9, 100%, $F$9) + CHOOSE(CONTROL!$C$27, 0.0021, 0)</f>
        <v>105.8524</v>
      </c>
      <c r="J990" s="10">
        <f>105.8503 * CHOOSE(CONTROL!$C$9, $D$9, 100%, $F$9) + CHOOSE(CONTROL!$C$27, 0.0021, 0)</f>
        <v>105.8524</v>
      </c>
      <c r="K990" s="10">
        <f>105.8503 * CHOOSE(CONTROL!$C$9, $D$9, 100%, $F$9) + CHOOSE(CONTROL!$C$27, 0.0021, 0)</f>
        <v>105.8524</v>
      </c>
      <c r="L990" s="10"/>
    </row>
    <row r="991" spans="1:12" ht="15.75" x14ac:dyDescent="0.25">
      <c r="A991" s="13">
        <v>71102</v>
      </c>
      <c r="B991" s="10">
        <f>106.9073 * CHOOSE(CONTROL!$C$9, $D$9, 100%, $F$9) + CHOOSE(CONTROL!$C$27, 0.0021, 0)</f>
        <v>106.90940000000001</v>
      </c>
      <c r="C991" s="10">
        <f>106.475 * CHOOSE(CONTROL!$C$9, $D$9, 100%, $F$9) + CHOOSE(CONTROL!$C$27, 0.0021, 0)</f>
        <v>106.47709999999999</v>
      </c>
      <c r="D991" s="10">
        <f>106.475 * CHOOSE(CONTROL!$C$9, $D$9, 100%, $F$9) + CHOOSE(CONTROL!$C$27, 0.0021, 0)</f>
        <v>106.47709999999999</v>
      </c>
      <c r="E991" s="10">
        <f>106.3384 * CHOOSE(CONTROL!$C$9, $D$9, 100%, $F$9) + CHOOSE(CONTROL!$C$27, 0.0021, 0)</f>
        <v>106.34049999999999</v>
      </c>
      <c r="F991" s="10">
        <f>106.3384 * CHOOSE(CONTROL!$C$9, $D$9, 100%, $F$9) + CHOOSE(CONTROL!$C$27, 0.0021, 0)</f>
        <v>106.34049999999999</v>
      </c>
      <c r="G991" s="10">
        <f>106.6097 * CHOOSE(CONTROL!$C$9, $D$9, 100%, $F$9) + CHOOSE(CONTROL!$C$27, 0.0021, 0)</f>
        <v>106.6118</v>
      </c>
      <c r="H991" s="10">
        <f>106.475 * CHOOSE(CONTROL!$C$9, $D$9, 100%, $F$9) + CHOOSE(CONTROL!$C$27, 0.0021, 0)</f>
        <v>106.47709999999999</v>
      </c>
      <c r="I991" s="10">
        <f>106.475 * CHOOSE(CONTROL!$C$9, $D$9, 100%, $F$9) + CHOOSE(CONTROL!$C$27, 0.0021, 0)</f>
        <v>106.47709999999999</v>
      </c>
      <c r="J991" s="10">
        <f>106.475 * CHOOSE(CONTROL!$C$9, $D$9, 100%, $F$9) + CHOOSE(CONTROL!$C$27, 0.0021, 0)</f>
        <v>106.47709999999999</v>
      </c>
      <c r="K991" s="10">
        <f>106.475 * CHOOSE(CONTROL!$C$9, $D$9, 100%, $F$9) + CHOOSE(CONTROL!$C$27, 0.0021, 0)</f>
        <v>106.47709999999999</v>
      </c>
      <c r="L991" s="10"/>
    </row>
    <row r="992" spans="1:12" ht="15.75" x14ac:dyDescent="0.25">
      <c r="A992" s="13">
        <v>71132</v>
      </c>
      <c r="B992" s="10">
        <f>109.0346 * CHOOSE(CONTROL!$C$9, $D$9, 100%, $F$9) + CHOOSE(CONTROL!$C$27, 0.0021, 0)</f>
        <v>109.0367</v>
      </c>
      <c r="C992" s="10">
        <f>108.6024 * CHOOSE(CONTROL!$C$9, $D$9, 100%, $F$9) + CHOOSE(CONTROL!$C$27, 0.0021, 0)</f>
        <v>108.6045</v>
      </c>
      <c r="D992" s="10">
        <f>108.6024 * CHOOSE(CONTROL!$C$9, $D$9, 100%, $F$9) + CHOOSE(CONTROL!$C$27, 0.0021, 0)</f>
        <v>108.6045</v>
      </c>
      <c r="E992" s="10">
        <f>108.4657 * CHOOSE(CONTROL!$C$9, $D$9, 100%, $F$9) + CHOOSE(CONTROL!$C$27, 0.0021, 0)</f>
        <v>108.4678</v>
      </c>
      <c r="F992" s="10">
        <f>108.4657 * CHOOSE(CONTROL!$C$9, $D$9, 100%, $F$9) + CHOOSE(CONTROL!$C$27, 0.0021, 0)</f>
        <v>108.4678</v>
      </c>
      <c r="G992" s="10">
        <f>108.7371 * CHOOSE(CONTROL!$C$9, $D$9, 100%, $F$9) + CHOOSE(CONTROL!$C$27, 0.0021, 0)</f>
        <v>108.7392</v>
      </c>
      <c r="H992" s="10">
        <f>108.6024 * CHOOSE(CONTROL!$C$9, $D$9, 100%, $F$9) + CHOOSE(CONTROL!$C$27, 0.0021, 0)</f>
        <v>108.6045</v>
      </c>
      <c r="I992" s="10">
        <f>108.6024 * CHOOSE(CONTROL!$C$9, $D$9, 100%, $F$9) + CHOOSE(CONTROL!$C$27, 0.0021, 0)</f>
        <v>108.6045</v>
      </c>
      <c r="J992" s="10">
        <f>108.6024 * CHOOSE(CONTROL!$C$9, $D$9, 100%, $F$9) + CHOOSE(CONTROL!$C$27, 0.0021, 0)</f>
        <v>108.6045</v>
      </c>
      <c r="K992" s="10">
        <f>108.6024 * CHOOSE(CONTROL!$C$9, $D$9, 100%, $F$9) + CHOOSE(CONTROL!$C$27, 0.0021, 0)</f>
        <v>108.6045</v>
      </c>
      <c r="L992" s="10"/>
    </row>
    <row r="993" spans="1:12" ht="15.75" x14ac:dyDescent="0.25">
      <c r="A993" s="13">
        <v>71163</v>
      </c>
      <c r="B993" s="10">
        <f>111.7274 * CHOOSE(CONTROL!$C$9, $D$9, 100%, $F$9) + CHOOSE(CONTROL!$C$27, 0.0021, 0)</f>
        <v>111.7295</v>
      </c>
      <c r="C993" s="10">
        <f>111.2952 * CHOOSE(CONTROL!$C$9, $D$9, 100%, $F$9) + CHOOSE(CONTROL!$C$27, 0.0021, 0)</f>
        <v>111.29729999999999</v>
      </c>
      <c r="D993" s="10">
        <f>111.2952 * CHOOSE(CONTROL!$C$9, $D$9, 100%, $F$9) + CHOOSE(CONTROL!$C$27, 0.0021, 0)</f>
        <v>111.29729999999999</v>
      </c>
      <c r="E993" s="10">
        <f>111.1585 * CHOOSE(CONTROL!$C$9, $D$9, 100%, $F$9) + CHOOSE(CONTROL!$C$27, 0.0021, 0)</f>
        <v>111.1606</v>
      </c>
      <c r="F993" s="10">
        <f>111.1585 * CHOOSE(CONTROL!$C$9, $D$9, 100%, $F$9) + CHOOSE(CONTROL!$C$27, 0.0021, 0)</f>
        <v>111.1606</v>
      </c>
      <c r="G993" s="10">
        <f>111.4299 * CHOOSE(CONTROL!$C$9, $D$9, 100%, $F$9) + CHOOSE(CONTROL!$C$27, 0.0021, 0)</f>
        <v>111.432</v>
      </c>
      <c r="H993" s="10">
        <f>111.2952 * CHOOSE(CONTROL!$C$9, $D$9, 100%, $F$9) + CHOOSE(CONTROL!$C$27, 0.0021, 0)</f>
        <v>111.29729999999999</v>
      </c>
      <c r="I993" s="10">
        <f>111.2952 * CHOOSE(CONTROL!$C$9, $D$9, 100%, $F$9) + CHOOSE(CONTROL!$C$27, 0.0021, 0)</f>
        <v>111.29729999999999</v>
      </c>
      <c r="J993" s="10">
        <f>111.2952 * CHOOSE(CONTROL!$C$9, $D$9, 100%, $F$9) + CHOOSE(CONTROL!$C$27, 0.0021, 0)</f>
        <v>111.29729999999999</v>
      </c>
      <c r="K993" s="10">
        <f>111.2952 * CHOOSE(CONTROL!$C$9, $D$9, 100%, $F$9) + CHOOSE(CONTROL!$C$27, 0.0021, 0)</f>
        <v>111.29729999999999</v>
      </c>
      <c r="L993" s="10"/>
    </row>
    <row r="994" spans="1:12" ht="15.75" x14ac:dyDescent="0.25">
      <c r="A994" s="13">
        <v>71193</v>
      </c>
      <c r="B994" s="10">
        <f>111.9802 * CHOOSE(CONTROL!$C$9, $D$9, 100%, $F$9) + CHOOSE(CONTROL!$C$27, 0.0021, 0)</f>
        <v>111.9823</v>
      </c>
      <c r="C994" s="10">
        <f>111.548 * CHOOSE(CONTROL!$C$9, $D$9, 100%, $F$9) + CHOOSE(CONTROL!$C$27, 0.0021, 0)</f>
        <v>111.5501</v>
      </c>
      <c r="D994" s="10">
        <f>111.548 * CHOOSE(CONTROL!$C$9, $D$9, 100%, $F$9) + CHOOSE(CONTROL!$C$27, 0.0021, 0)</f>
        <v>111.5501</v>
      </c>
      <c r="E994" s="10">
        <f>111.4113 * CHOOSE(CONTROL!$C$9, $D$9, 100%, $F$9) + CHOOSE(CONTROL!$C$27, 0.0021, 0)</f>
        <v>111.4134</v>
      </c>
      <c r="F994" s="10">
        <f>111.4113 * CHOOSE(CONTROL!$C$9, $D$9, 100%, $F$9) + CHOOSE(CONTROL!$C$27, 0.0021, 0)</f>
        <v>111.4134</v>
      </c>
      <c r="G994" s="10">
        <f>111.6827 * CHOOSE(CONTROL!$C$9, $D$9, 100%, $F$9) + CHOOSE(CONTROL!$C$27, 0.0021, 0)</f>
        <v>111.6848</v>
      </c>
      <c r="H994" s="10">
        <f>111.548 * CHOOSE(CONTROL!$C$9, $D$9, 100%, $F$9) + CHOOSE(CONTROL!$C$27, 0.0021, 0)</f>
        <v>111.5501</v>
      </c>
      <c r="I994" s="10">
        <f>111.548 * CHOOSE(CONTROL!$C$9, $D$9, 100%, $F$9) + CHOOSE(CONTROL!$C$27, 0.0021, 0)</f>
        <v>111.5501</v>
      </c>
      <c r="J994" s="10">
        <f>111.548 * CHOOSE(CONTROL!$C$9, $D$9, 100%, $F$9) + CHOOSE(CONTROL!$C$27, 0.0021, 0)</f>
        <v>111.5501</v>
      </c>
      <c r="K994" s="10">
        <f>111.548 * CHOOSE(CONTROL!$C$9, $D$9, 100%, $F$9) + CHOOSE(CONTROL!$C$27, 0.0021, 0)</f>
        <v>111.5501</v>
      </c>
      <c r="L994" s="10"/>
    </row>
    <row r="995" spans="1:12" ht="15.75" x14ac:dyDescent="0.25">
      <c r="A995" s="13">
        <v>71224</v>
      </c>
      <c r="B995" s="10">
        <f>109.8295 * CHOOSE(CONTROL!$C$9, $D$9, 100%, $F$9) + CHOOSE(CONTROL!$C$27, 0.0021, 0)</f>
        <v>109.83159999999999</v>
      </c>
      <c r="C995" s="10">
        <f>109.3973 * CHOOSE(CONTROL!$C$9, $D$9, 100%, $F$9) + CHOOSE(CONTROL!$C$27, 0.0021, 0)</f>
        <v>109.3994</v>
      </c>
      <c r="D995" s="10">
        <f>109.3973 * CHOOSE(CONTROL!$C$9, $D$9, 100%, $F$9) + CHOOSE(CONTROL!$C$27, 0.0021, 0)</f>
        <v>109.3994</v>
      </c>
      <c r="E995" s="10">
        <f>109.2606 * CHOOSE(CONTROL!$C$9, $D$9, 100%, $F$9) + CHOOSE(CONTROL!$C$27, 0.0021, 0)</f>
        <v>109.2627</v>
      </c>
      <c r="F995" s="10">
        <f>109.2606 * CHOOSE(CONTROL!$C$9, $D$9, 100%, $F$9) + CHOOSE(CONTROL!$C$27, 0.0021, 0)</f>
        <v>109.2627</v>
      </c>
      <c r="G995" s="10">
        <f>109.532 * CHOOSE(CONTROL!$C$9, $D$9, 100%, $F$9) + CHOOSE(CONTROL!$C$27, 0.0021, 0)</f>
        <v>109.5341</v>
      </c>
      <c r="H995" s="10">
        <f>109.3973 * CHOOSE(CONTROL!$C$9, $D$9, 100%, $F$9) + CHOOSE(CONTROL!$C$27, 0.0021, 0)</f>
        <v>109.3994</v>
      </c>
      <c r="I995" s="10">
        <f>109.3973 * CHOOSE(CONTROL!$C$9, $D$9, 100%, $F$9) + CHOOSE(CONTROL!$C$27, 0.0021, 0)</f>
        <v>109.3994</v>
      </c>
      <c r="J995" s="10">
        <f>109.3973 * CHOOSE(CONTROL!$C$9, $D$9, 100%, $F$9) + CHOOSE(CONTROL!$C$27, 0.0021, 0)</f>
        <v>109.3994</v>
      </c>
      <c r="K995" s="10">
        <f>109.3973 * CHOOSE(CONTROL!$C$9, $D$9, 100%, $F$9) + CHOOSE(CONTROL!$C$27, 0.0021, 0)</f>
        <v>109.3994</v>
      </c>
      <c r="L995" s="10"/>
    </row>
    <row r="996" spans="1:12" ht="15.75" x14ac:dyDescent="0.25">
      <c r="A996" s="13">
        <v>71255</v>
      </c>
      <c r="B996" s="10">
        <f>108.4205 * CHOOSE(CONTROL!$C$9, $D$9, 100%, $F$9) + CHOOSE(CONTROL!$C$27, 0.0021, 0)</f>
        <v>108.4226</v>
      </c>
      <c r="C996" s="10">
        <f>107.9883 * CHOOSE(CONTROL!$C$9, $D$9, 100%, $F$9) + CHOOSE(CONTROL!$C$27, 0.0021, 0)</f>
        <v>107.99039999999999</v>
      </c>
      <c r="D996" s="10">
        <f>107.9883 * CHOOSE(CONTROL!$C$9, $D$9, 100%, $F$9) + CHOOSE(CONTROL!$C$27, 0.0021, 0)</f>
        <v>107.99039999999999</v>
      </c>
      <c r="E996" s="10">
        <f>107.8516 * CHOOSE(CONTROL!$C$9, $D$9, 100%, $F$9) + CHOOSE(CONTROL!$C$27, 0.0021, 0)</f>
        <v>107.8537</v>
      </c>
      <c r="F996" s="10">
        <f>107.8516 * CHOOSE(CONTROL!$C$9, $D$9, 100%, $F$9) + CHOOSE(CONTROL!$C$27, 0.0021, 0)</f>
        <v>107.8537</v>
      </c>
      <c r="G996" s="10">
        <f>108.123 * CHOOSE(CONTROL!$C$9, $D$9, 100%, $F$9) + CHOOSE(CONTROL!$C$27, 0.0021, 0)</f>
        <v>108.1251</v>
      </c>
      <c r="H996" s="10">
        <f>107.9883 * CHOOSE(CONTROL!$C$9, $D$9, 100%, $F$9) + CHOOSE(CONTROL!$C$27, 0.0021, 0)</f>
        <v>107.99039999999999</v>
      </c>
      <c r="I996" s="10">
        <f>107.9883 * CHOOSE(CONTROL!$C$9, $D$9, 100%, $F$9) + CHOOSE(CONTROL!$C$27, 0.0021, 0)</f>
        <v>107.99039999999999</v>
      </c>
      <c r="J996" s="10">
        <f>107.9883 * CHOOSE(CONTROL!$C$9, $D$9, 100%, $F$9) + CHOOSE(CONTROL!$C$27, 0.0021, 0)</f>
        <v>107.99039999999999</v>
      </c>
      <c r="K996" s="10">
        <f>107.9883 * CHOOSE(CONTROL!$C$9, $D$9, 100%, $F$9) + CHOOSE(CONTROL!$C$27, 0.0021, 0)</f>
        <v>107.99039999999999</v>
      </c>
      <c r="L996" s="10"/>
    </row>
    <row r="997" spans="1:12" ht="15.75" x14ac:dyDescent="0.25">
      <c r="A997" s="13">
        <v>71283</v>
      </c>
      <c r="B997" s="10">
        <f>105.4187 * CHOOSE(CONTROL!$C$9, $D$9, 100%, $F$9) + CHOOSE(CONTROL!$C$27, 0.0021, 0)</f>
        <v>105.4208</v>
      </c>
      <c r="C997" s="10">
        <f>104.9864 * CHOOSE(CONTROL!$C$9, $D$9, 100%, $F$9) + CHOOSE(CONTROL!$C$27, 0.0021, 0)</f>
        <v>104.9885</v>
      </c>
      <c r="D997" s="10">
        <f>104.9864 * CHOOSE(CONTROL!$C$9, $D$9, 100%, $F$9) + CHOOSE(CONTROL!$C$27, 0.0021, 0)</f>
        <v>104.9885</v>
      </c>
      <c r="E997" s="10">
        <f>104.8498 * CHOOSE(CONTROL!$C$9, $D$9, 100%, $F$9) + CHOOSE(CONTROL!$C$27, 0.0021, 0)</f>
        <v>104.8519</v>
      </c>
      <c r="F997" s="10">
        <f>104.8498 * CHOOSE(CONTROL!$C$9, $D$9, 100%, $F$9) + CHOOSE(CONTROL!$C$27, 0.0021, 0)</f>
        <v>104.8519</v>
      </c>
      <c r="G997" s="10">
        <f>105.1211 * CHOOSE(CONTROL!$C$9, $D$9, 100%, $F$9) + CHOOSE(CONTROL!$C$27, 0.0021, 0)</f>
        <v>105.1232</v>
      </c>
      <c r="H997" s="10">
        <f>104.9864 * CHOOSE(CONTROL!$C$9, $D$9, 100%, $F$9) + CHOOSE(CONTROL!$C$27, 0.0021, 0)</f>
        <v>104.9885</v>
      </c>
      <c r="I997" s="10">
        <f>104.9864 * CHOOSE(CONTROL!$C$9, $D$9, 100%, $F$9) + CHOOSE(CONTROL!$C$27, 0.0021, 0)</f>
        <v>104.9885</v>
      </c>
      <c r="J997" s="10">
        <f>104.9864 * CHOOSE(CONTROL!$C$9, $D$9, 100%, $F$9) + CHOOSE(CONTROL!$C$27, 0.0021, 0)</f>
        <v>104.9885</v>
      </c>
      <c r="K997" s="10">
        <f>104.9864 * CHOOSE(CONTROL!$C$9, $D$9, 100%, $F$9) + CHOOSE(CONTROL!$C$27, 0.0021, 0)</f>
        <v>104.9885</v>
      </c>
      <c r="L997" s="10"/>
    </row>
    <row r="998" spans="1:12" ht="15.75" x14ac:dyDescent="0.25">
      <c r="A998" s="13">
        <v>71314</v>
      </c>
      <c r="B998" s="10">
        <f>104.1795 * CHOOSE(CONTROL!$C$9, $D$9, 100%, $F$9) + CHOOSE(CONTROL!$C$27, 0.0021, 0)</f>
        <v>104.1816</v>
      </c>
      <c r="C998" s="10">
        <f>103.7472 * CHOOSE(CONTROL!$C$9, $D$9, 100%, $F$9) + CHOOSE(CONTROL!$C$27, 0.0021, 0)</f>
        <v>103.74930000000001</v>
      </c>
      <c r="D998" s="10">
        <f>103.7472 * CHOOSE(CONTROL!$C$9, $D$9, 100%, $F$9) + CHOOSE(CONTROL!$C$27, 0.0021, 0)</f>
        <v>103.74930000000001</v>
      </c>
      <c r="E998" s="10">
        <f>103.6106 * CHOOSE(CONTROL!$C$9, $D$9, 100%, $F$9) + CHOOSE(CONTROL!$C$27, 0.0021, 0)</f>
        <v>103.6127</v>
      </c>
      <c r="F998" s="10">
        <f>103.6106 * CHOOSE(CONTROL!$C$9, $D$9, 100%, $F$9) + CHOOSE(CONTROL!$C$27, 0.0021, 0)</f>
        <v>103.6127</v>
      </c>
      <c r="G998" s="10">
        <f>103.882 * CHOOSE(CONTROL!$C$9, $D$9, 100%, $F$9) + CHOOSE(CONTROL!$C$27, 0.0021, 0)</f>
        <v>103.8841</v>
      </c>
      <c r="H998" s="10">
        <f>103.7472 * CHOOSE(CONTROL!$C$9, $D$9, 100%, $F$9) + CHOOSE(CONTROL!$C$27, 0.0021, 0)</f>
        <v>103.74930000000001</v>
      </c>
      <c r="I998" s="10">
        <f>103.7472 * CHOOSE(CONTROL!$C$9, $D$9, 100%, $F$9) + CHOOSE(CONTROL!$C$27, 0.0021, 0)</f>
        <v>103.74930000000001</v>
      </c>
      <c r="J998" s="10">
        <f>103.7472 * CHOOSE(CONTROL!$C$9, $D$9, 100%, $F$9) + CHOOSE(CONTROL!$C$27, 0.0021, 0)</f>
        <v>103.74930000000001</v>
      </c>
      <c r="K998" s="10">
        <f>103.7472 * CHOOSE(CONTROL!$C$9, $D$9, 100%, $F$9) + CHOOSE(CONTROL!$C$27, 0.0021, 0)</f>
        <v>103.74930000000001</v>
      </c>
      <c r="L998" s="10"/>
    </row>
    <row r="999" spans="1:12" ht="15.75" x14ac:dyDescent="0.25">
      <c r="A999" s="13">
        <v>71344</v>
      </c>
      <c r="B999" s="10">
        <f>102.6999 * CHOOSE(CONTROL!$C$9, $D$9, 100%, $F$9) + CHOOSE(CONTROL!$C$27, 0.0021, 0)</f>
        <v>102.702</v>
      </c>
      <c r="C999" s="10">
        <f>102.2676 * CHOOSE(CONTROL!$C$9, $D$9, 100%, $F$9) + CHOOSE(CONTROL!$C$27, 0.0021, 0)</f>
        <v>102.2697</v>
      </c>
      <c r="D999" s="10">
        <f>102.2676 * CHOOSE(CONTROL!$C$9, $D$9, 100%, $F$9) + CHOOSE(CONTROL!$C$27, 0.0021, 0)</f>
        <v>102.2697</v>
      </c>
      <c r="E999" s="10">
        <f>102.131 * CHOOSE(CONTROL!$C$9, $D$9, 100%, $F$9) + CHOOSE(CONTROL!$C$27, 0.0021, 0)</f>
        <v>102.1331</v>
      </c>
      <c r="F999" s="10">
        <f>102.131 * CHOOSE(CONTROL!$C$9, $D$9, 100%, $F$9) + CHOOSE(CONTROL!$C$27, 0.0021, 0)</f>
        <v>102.1331</v>
      </c>
      <c r="G999" s="10">
        <f>102.4024 * CHOOSE(CONTROL!$C$9, $D$9, 100%, $F$9) + CHOOSE(CONTROL!$C$27, 0.0021, 0)</f>
        <v>102.4045</v>
      </c>
      <c r="H999" s="10">
        <f>102.2676 * CHOOSE(CONTROL!$C$9, $D$9, 100%, $F$9) + CHOOSE(CONTROL!$C$27, 0.0021, 0)</f>
        <v>102.2697</v>
      </c>
      <c r="I999" s="10">
        <f>102.2676 * CHOOSE(CONTROL!$C$9, $D$9, 100%, $F$9) + CHOOSE(CONTROL!$C$27, 0.0021, 0)</f>
        <v>102.2697</v>
      </c>
      <c r="J999" s="10">
        <f>102.2676 * CHOOSE(CONTROL!$C$9, $D$9, 100%, $F$9) + CHOOSE(CONTROL!$C$27, 0.0021, 0)</f>
        <v>102.2697</v>
      </c>
      <c r="K999" s="10">
        <f>102.2676 * CHOOSE(CONTROL!$C$9, $D$9, 100%, $F$9) + CHOOSE(CONTROL!$C$27, 0.0021, 0)</f>
        <v>102.2697</v>
      </c>
      <c r="L999" s="10"/>
    </row>
    <row r="1000" spans="1:12" ht="15.75" x14ac:dyDescent="0.25">
      <c r="A1000" s="13">
        <v>71375</v>
      </c>
      <c r="B1000" s="10">
        <f>104.8085 * CHOOSE(CONTROL!$C$9, $D$9, 100%, $F$9) + CHOOSE(CONTROL!$C$27, 0.0021, 0)</f>
        <v>104.81059999999999</v>
      </c>
      <c r="C1000" s="10">
        <f>104.3763 * CHOOSE(CONTROL!$C$9, $D$9, 100%, $F$9) + CHOOSE(CONTROL!$C$27, 0.0021, 0)</f>
        <v>104.3784</v>
      </c>
      <c r="D1000" s="10">
        <f>104.3763 * CHOOSE(CONTROL!$C$9, $D$9, 100%, $F$9) + CHOOSE(CONTROL!$C$27, 0.0021, 0)</f>
        <v>104.3784</v>
      </c>
      <c r="E1000" s="10">
        <f>104.2396 * CHOOSE(CONTROL!$C$9, $D$9, 100%, $F$9) + CHOOSE(CONTROL!$C$27, 0.0021, 0)</f>
        <v>104.24169999999999</v>
      </c>
      <c r="F1000" s="10">
        <f>104.2396 * CHOOSE(CONTROL!$C$9, $D$9, 100%, $F$9) + CHOOSE(CONTROL!$C$27, 0.0021, 0)</f>
        <v>104.24169999999999</v>
      </c>
      <c r="G1000" s="10">
        <f>104.511 * CHOOSE(CONTROL!$C$9, $D$9, 100%, $F$9) + CHOOSE(CONTROL!$C$27, 0.0021, 0)</f>
        <v>104.51309999999999</v>
      </c>
      <c r="H1000" s="10">
        <f>104.3763 * CHOOSE(CONTROL!$C$9, $D$9, 100%, $F$9) + CHOOSE(CONTROL!$C$27, 0.0021, 0)</f>
        <v>104.3784</v>
      </c>
      <c r="I1000" s="10">
        <f>104.3763 * CHOOSE(CONTROL!$C$9, $D$9, 100%, $F$9) + CHOOSE(CONTROL!$C$27, 0.0021, 0)</f>
        <v>104.3784</v>
      </c>
      <c r="J1000" s="10">
        <f>104.3763 * CHOOSE(CONTROL!$C$9, $D$9, 100%, $F$9) + CHOOSE(CONTROL!$C$27, 0.0021, 0)</f>
        <v>104.3784</v>
      </c>
      <c r="K1000" s="10">
        <f>104.3763 * CHOOSE(CONTROL!$C$9, $D$9, 100%, $F$9) + CHOOSE(CONTROL!$C$27, 0.0021, 0)</f>
        <v>104.3784</v>
      </c>
      <c r="L1000" s="10"/>
    </row>
    <row r="1001" spans="1:12" ht="15.75" x14ac:dyDescent="0.25">
      <c r="A1001" s="13">
        <v>71405</v>
      </c>
      <c r="B1001" s="10">
        <f>106.0715 * CHOOSE(CONTROL!$C$9, $D$9, 100%, $F$9) + CHOOSE(CONTROL!$C$27, 0.0021, 0)</f>
        <v>106.0736</v>
      </c>
      <c r="C1001" s="10">
        <f>105.6392 * CHOOSE(CONTROL!$C$9, $D$9, 100%, $F$9) + CHOOSE(CONTROL!$C$27, 0.0021, 0)</f>
        <v>105.6413</v>
      </c>
      <c r="D1001" s="10">
        <f>105.6392 * CHOOSE(CONTROL!$C$9, $D$9, 100%, $F$9) + CHOOSE(CONTROL!$C$27, 0.0021, 0)</f>
        <v>105.6413</v>
      </c>
      <c r="E1001" s="10">
        <f>105.5026 * CHOOSE(CONTROL!$C$9, $D$9, 100%, $F$9) + CHOOSE(CONTROL!$C$27, 0.0021, 0)</f>
        <v>105.5047</v>
      </c>
      <c r="F1001" s="10">
        <f>105.5026 * CHOOSE(CONTROL!$C$9, $D$9, 100%, $F$9) + CHOOSE(CONTROL!$C$27, 0.0021, 0)</f>
        <v>105.5047</v>
      </c>
      <c r="G1001" s="10">
        <f>105.7739 * CHOOSE(CONTROL!$C$9, $D$9, 100%, $F$9) + CHOOSE(CONTROL!$C$27, 0.0021, 0)</f>
        <v>105.776</v>
      </c>
      <c r="H1001" s="10">
        <f>105.6392 * CHOOSE(CONTROL!$C$9, $D$9, 100%, $F$9) + CHOOSE(CONTROL!$C$27, 0.0021, 0)</f>
        <v>105.6413</v>
      </c>
      <c r="I1001" s="10">
        <f>105.6392 * CHOOSE(CONTROL!$C$9, $D$9, 100%, $F$9) + CHOOSE(CONTROL!$C$27, 0.0021, 0)</f>
        <v>105.6413</v>
      </c>
      <c r="J1001" s="10">
        <f>105.6392 * CHOOSE(CONTROL!$C$9, $D$9, 100%, $F$9) + CHOOSE(CONTROL!$C$27, 0.0021, 0)</f>
        <v>105.6413</v>
      </c>
      <c r="K1001" s="10">
        <f>105.6392 * CHOOSE(CONTROL!$C$9, $D$9, 100%, $F$9) + CHOOSE(CONTROL!$C$27, 0.0021, 0)</f>
        <v>105.6413</v>
      </c>
      <c r="L1001" s="10"/>
    </row>
    <row r="1002" spans="1:12" ht="15.75" x14ac:dyDescent="0.25">
      <c r="A1002" s="13">
        <v>71436</v>
      </c>
      <c r="B1002" s="10">
        <f>108.1549 * CHOOSE(CONTROL!$C$9, $D$9, 100%, $F$9) + CHOOSE(CONTROL!$C$27, 0.0021, 0)</f>
        <v>108.157</v>
      </c>
      <c r="C1002" s="10">
        <f>107.7227 * CHOOSE(CONTROL!$C$9, $D$9, 100%, $F$9) + CHOOSE(CONTROL!$C$27, 0.0021, 0)</f>
        <v>107.7248</v>
      </c>
      <c r="D1002" s="10">
        <f>107.7227 * CHOOSE(CONTROL!$C$9, $D$9, 100%, $F$9) + CHOOSE(CONTROL!$C$27, 0.0021, 0)</f>
        <v>107.7248</v>
      </c>
      <c r="E1002" s="10">
        <f>107.586 * CHOOSE(CONTROL!$C$9, $D$9, 100%, $F$9) + CHOOSE(CONTROL!$C$27, 0.0021, 0)</f>
        <v>107.5881</v>
      </c>
      <c r="F1002" s="10">
        <f>107.586 * CHOOSE(CONTROL!$C$9, $D$9, 100%, $F$9) + CHOOSE(CONTROL!$C$27, 0.0021, 0)</f>
        <v>107.5881</v>
      </c>
      <c r="G1002" s="10">
        <f>107.8574 * CHOOSE(CONTROL!$C$9, $D$9, 100%, $F$9) + CHOOSE(CONTROL!$C$27, 0.0021, 0)</f>
        <v>107.8595</v>
      </c>
      <c r="H1002" s="10">
        <f>107.7227 * CHOOSE(CONTROL!$C$9, $D$9, 100%, $F$9) + CHOOSE(CONTROL!$C$27, 0.0021, 0)</f>
        <v>107.7248</v>
      </c>
      <c r="I1002" s="10">
        <f>107.7227 * CHOOSE(CONTROL!$C$9, $D$9, 100%, $F$9) + CHOOSE(CONTROL!$C$27, 0.0021, 0)</f>
        <v>107.7248</v>
      </c>
      <c r="J1002" s="10">
        <f>107.7227 * CHOOSE(CONTROL!$C$9, $D$9, 100%, $F$9) + CHOOSE(CONTROL!$C$27, 0.0021, 0)</f>
        <v>107.7248</v>
      </c>
      <c r="K1002" s="10">
        <f>107.7227 * CHOOSE(CONTROL!$C$9, $D$9, 100%, $F$9) + CHOOSE(CONTROL!$C$27, 0.0021, 0)</f>
        <v>107.7248</v>
      </c>
      <c r="L1002" s="10"/>
    </row>
    <row r="1003" spans="1:12" ht="15.75" x14ac:dyDescent="0.25">
      <c r="A1003" s="13">
        <v>71467</v>
      </c>
      <c r="B1003" s="10">
        <f>108.7908 * CHOOSE(CONTROL!$C$9, $D$9, 100%, $F$9) + CHOOSE(CONTROL!$C$27, 0.0021, 0)</f>
        <v>108.7929</v>
      </c>
      <c r="C1003" s="10">
        <f>108.3586 * CHOOSE(CONTROL!$C$9, $D$9, 100%, $F$9) + CHOOSE(CONTROL!$C$27, 0.0021, 0)</f>
        <v>108.36069999999999</v>
      </c>
      <c r="D1003" s="10">
        <f>108.3586 * CHOOSE(CONTROL!$C$9, $D$9, 100%, $F$9) + CHOOSE(CONTROL!$C$27, 0.0021, 0)</f>
        <v>108.36069999999999</v>
      </c>
      <c r="E1003" s="10">
        <f>108.2219 * CHOOSE(CONTROL!$C$9, $D$9, 100%, $F$9) + CHOOSE(CONTROL!$C$27, 0.0021, 0)</f>
        <v>108.224</v>
      </c>
      <c r="F1003" s="10">
        <f>108.2219 * CHOOSE(CONTROL!$C$9, $D$9, 100%, $F$9) + CHOOSE(CONTROL!$C$27, 0.0021, 0)</f>
        <v>108.224</v>
      </c>
      <c r="G1003" s="10">
        <f>108.4933 * CHOOSE(CONTROL!$C$9, $D$9, 100%, $F$9) + CHOOSE(CONTROL!$C$27, 0.0021, 0)</f>
        <v>108.4954</v>
      </c>
      <c r="H1003" s="10">
        <f>108.3586 * CHOOSE(CONTROL!$C$9, $D$9, 100%, $F$9) + CHOOSE(CONTROL!$C$27, 0.0021, 0)</f>
        <v>108.36069999999999</v>
      </c>
      <c r="I1003" s="10">
        <f>108.3586 * CHOOSE(CONTROL!$C$9, $D$9, 100%, $F$9) + CHOOSE(CONTROL!$C$27, 0.0021, 0)</f>
        <v>108.36069999999999</v>
      </c>
      <c r="J1003" s="10">
        <f>108.3586 * CHOOSE(CONTROL!$C$9, $D$9, 100%, $F$9) + CHOOSE(CONTROL!$C$27, 0.0021, 0)</f>
        <v>108.36069999999999</v>
      </c>
      <c r="K1003" s="10">
        <f>108.3586 * CHOOSE(CONTROL!$C$9, $D$9, 100%, $F$9) + CHOOSE(CONTROL!$C$27, 0.0021, 0)</f>
        <v>108.36069999999999</v>
      </c>
      <c r="L1003" s="10"/>
    </row>
    <row r="1004" spans="1:12" ht="15.75" x14ac:dyDescent="0.25">
      <c r="A1004" s="13">
        <v>71497</v>
      </c>
      <c r="B1004" s="10">
        <f>110.9565 * CHOOSE(CONTROL!$C$9, $D$9, 100%, $F$9) + CHOOSE(CONTROL!$C$27, 0.0021, 0)</f>
        <v>110.9586</v>
      </c>
      <c r="C1004" s="10">
        <f>110.5242 * CHOOSE(CONTROL!$C$9, $D$9, 100%, $F$9) + CHOOSE(CONTROL!$C$27, 0.0021, 0)</f>
        <v>110.52629999999999</v>
      </c>
      <c r="D1004" s="10">
        <f>110.5242 * CHOOSE(CONTROL!$C$9, $D$9, 100%, $F$9) + CHOOSE(CONTROL!$C$27, 0.0021, 0)</f>
        <v>110.52629999999999</v>
      </c>
      <c r="E1004" s="10">
        <f>110.3876 * CHOOSE(CONTROL!$C$9, $D$9, 100%, $F$9) + CHOOSE(CONTROL!$C$27, 0.0021, 0)</f>
        <v>110.3897</v>
      </c>
      <c r="F1004" s="10">
        <f>110.3876 * CHOOSE(CONTROL!$C$9, $D$9, 100%, $F$9) + CHOOSE(CONTROL!$C$27, 0.0021, 0)</f>
        <v>110.3897</v>
      </c>
      <c r="G1004" s="10">
        <f>110.6589 * CHOOSE(CONTROL!$C$9, $D$9, 100%, $F$9) + CHOOSE(CONTROL!$C$27, 0.0021, 0)</f>
        <v>110.661</v>
      </c>
      <c r="H1004" s="10">
        <f>110.5242 * CHOOSE(CONTROL!$C$9, $D$9, 100%, $F$9) + CHOOSE(CONTROL!$C$27, 0.0021, 0)</f>
        <v>110.52629999999999</v>
      </c>
      <c r="I1004" s="10">
        <f>110.5242 * CHOOSE(CONTROL!$C$9, $D$9, 100%, $F$9) + CHOOSE(CONTROL!$C$27, 0.0021, 0)</f>
        <v>110.52629999999999</v>
      </c>
      <c r="J1004" s="10">
        <f>110.5242 * CHOOSE(CONTROL!$C$9, $D$9, 100%, $F$9) + CHOOSE(CONTROL!$C$27, 0.0021, 0)</f>
        <v>110.52629999999999</v>
      </c>
      <c r="K1004" s="10">
        <f>110.5242 * CHOOSE(CONTROL!$C$9, $D$9, 100%, $F$9) + CHOOSE(CONTROL!$C$27, 0.0021, 0)</f>
        <v>110.52629999999999</v>
      </c>
      <c r="L1004" s="10"/>
    </row>
    <row r="1005" spans="1:12" ht="15.75" x14ac:dyDescent="0.25">
      <c r="A1005" s="13">
        <v>71528</v>
      </c>
      <c r="B1005" s="10">
        <f>113.6978 * CHOOSE(CONTROL!$C$9, $D$9, 100%, $F$9) + CHOOSE(CONTROL!$C$27, 0.0021, 0)</f>
        <v>113.6999</v>
      </c>
      <c r="C1005" s="10">
        <f>113.2656 * CHOOSE(CONTROL!$C$9, $D$9, 100%, $F$9) + CHOOSE(CONTROL!$C$27, 0.0021, 0)</f>
        <v>113.2677</v>
      </c>
      <c r="D1005" s="10">
        <f>113.2656 * CHOOSE(CONTROL!$C$9, $D$9, 100%, $F$9) + CHOOSE(CONTROL!$C$27, 0.0021, 0)</f>
        <v>113.2677</v>
      </c>
      <c r="E1005" s="10">
        <f>113.1289 * CHOOSE(CONTROL!$C$9, $D$9, 100%, $F$9) + CHOOSE(CONTROL!$C$27, 0.0021, 0)</f>
        <v>113.131</v>
      </c>
      <c r="F1005" s="10">
        <f>113.1289 * CHOOSE(CONTROL!$C$9, $D$9, 100%, $F$9) + CHOOSE(CONTROL!$C$27, 0.0021, 0)</f>
        <v>113.131</v>
      </c>
      <c r="G1005" s="10">
        <f>113.4003 * CHOOSE(CONTROL!$C$9, $D$9, 100%, $F$9) + CHOOSE(CONTROL!$C$27, 0.0021, 0)</f>
        <v>113.4024</v>
      </c>
      <c r="H1005" s="10">
        <f>113.2656 * CHOOSE(CONTROL!$C$9, $D$9, 100%, $F$9) + CHOOSE(CONTROL!$C$27, 0.0021, 0)</f>
        <v>113.2677</v>
      </c>
      <c r="I1005" s="10">
        <f>113.2656 * CHOOSE(CONTROL!$C$9, $D$9, 100%, $F$9) + CHOOSE(CONTROL!$C$27, 0.0021, 0)</f>
        <v>113.2677</v>
      </c>
      <c r="J1005" s="10">
        <f>113.2656 * CHOOSE(CONTROL!$C$9, $D$9, 100%, $F$9) + CHOOSE(CONTROL!$C$27, 0.0021, 0)</f>
        <v>113.2677</v>
      </c>
      <c r="K1005" s="10">
        <f>113.2656 * CHOOSE(CONTROL!$C$9, $D$9, 100%, $F$9) + CHOOSE(CONTROL!$C$27, 0.0021, 0)</f>
        <v>113.2677</v>
      </c>
      <c r="L1005" s="10"/>
    </row>
    <row r="1006" spans="1:12" ht="15.75" x14ac:dyDescent="0.25">
      <c r="A1006" s="13">
        <v>71558</v>
      </c>
      <c r="B1006" s="10">
        <f>113.9552 * CHOOSE(CONTROL!$C$9, $D$9, 100%, $F$9) + CHOOSE(CONTROL!$C$27, 0.0021, 0)</f>
        <v>113.9573</v>
      </c>
      <c r="C1006" s="10">
        <f>113.5229 * CHOOSE(CONTROL!$C$9, $D$9, 100%, $F$9) + CHOOSE(CONTROL!$C$27, 0.0021, 0)</f>
        <v>113.52500000000001</v>
      </c>
      <c r="D1006" s="10">
        <f>113.5229 * CHOOSE(CONTROL!$C$9, $D$9, 100%, $F$9) + CHOOSE(CONTROL!$C$27, 0.0021, 0)</f>
        <v>113.52500000000001</v>
      </c>
      <c r="E1006" s="10">
        <f>113.3863 * CHOOSE(CONTROL!$C$9, $D$9, 100%, $F$9) + CHOOSE(CONTROL!$C$27, 0.0021, 0)</f>
        <v>113.3884</v>
      </c>
      <c r="F1006" s="10">
        <f>113.3863 * CHOOSE(CONTROL!$C$9, $D$9, 100%, $F$9) + CHOOSE(CONTROL!$C$27, 0.0021, 0)</f>
        <v>113.3884</v>
      </c>
      <c r="G1006" s="10">
        <f>113.6576 * CHOOSE(CONTROL!$C$9, $D$9, 100%, $F$9) + CHOOSE(CONTROL!$C$27, 0.0021, 0)</f>
        <v>113.6597</v>
      </c>
      <c r="H1006" s="10">
        <f>113.5229 * CHOOSE(CONTROL!$C$9, $D$9, 100%, $F$9) + CHOOSE(CONTROL!$C$27, 0.0021, 0)</f>
        <v>113.52500000000001</v>
      </c>
      <c r="I1006" s="10">
        <f>113.5229 * CHOOSE(CONTROL!$C$9, $D$9, 100%, $F$9) + CHOOSE(CONTROL!$C$27, 0.0021, 0)</f>
        <v>113.52500000000001</v>
      </c>
      <c r="J1006" s="10">
        <f>113.5229 * CHOOSE(CONTROL!$C$9, $D$9, 100%, $F$9) + CHOOSE(CONTROL!$C$27, 0.0021, 0)</f>
        <v>113.52500000000001</v>
      </c>
      <c r="K1006" s="10">
        <f>113.5229 * CHOOSE(CONTROL!$C$9, $D$9, 100%, $F$9) + CHOOSE(CONTROL!$C$27, 0.0021, 0)</f>
        <v>113.52500000000001</v>
      </c>
      <c r="L1006" s="10"/>
    </row>
    <row r="1007" spans="1:12" ht="15.75" x14ac:dyDescent="0.25">
      <c r="A1007" s="13">
        <v>71589</v>
      </c>
      <c r="B1007" s="10">
        <f>111.7657 * CHOOSE(CONTROL!$C$9, $D$9, 100%, $F$9) + CHOOSE(CONTROL!$C$27, 0.0021, 0)</f>
        <v>111.76779999999999</v>
      </c>
      <c r="C1007" s="10">
        <f>111.3335 * CHOOSE(CONTROL!$C$9, $D$9, 100%, $F$9) + CHOOSE(CONTROL!$C$27, 0.0021, 0)</f>
        <v>111.3356</v>
      </c>
      <c r="D1007" s="10">
        <f>111.3335 * CHOOSE(CONTROL!$C$9, $D$9, 100%, $F$9) + CHOOSE(CONTROL!$C$27, 0.0021, 0)</f>
        <v>111.3356</v>
      </c>
      <c r="E1007" s="10">
        <f>111.1968 * CHOOSE(CONTROL!$C$9, $D$9, 100%, $F$9) + CHOOSE(CONTROL!$C$27, 0.0021, 0)</f>
        <v>111.19889999999999</v>
      </c>
      <c r="F1007" s="10">
        <f>111.1968 * CHOOSE(CONTROL!$C$9, $D$9, 100%, $F$9) + CHOOSE(CONTROL!$C$27, 0.0021, 0)</f>
        <v>111.19889999999999</v>
      </c>
      <c r="G1007" s="10">
        <f>111.4682 * CHOOSE(CONTROL!$C$9, $D$9, 100%, $F$9) + CHOOSE(CONTROL!$C$27, 0.0021, 0)</f>
        <v>111.47029999999999</v>
      </c>
      <c r="H1007" s="10">
        <f>111.3335 * CHOOSE(CONTROL!$C$9, $D$9, 100%, $F$9) + CHOOSE(CONTROL!$C$27, 0.0021, 0)</f>
        <v>111.3356</v>
      </c>
      <c r="I1007" s="10">
        <f>111.3335 * CHOOSE(CONTROL!$C$9, $D$9, 100%, $F$9) + CHOOSE(CONTROL!$C$27, 0.0021, 0)</f>
        <v>111.3356</v>
      </c>
      <c r="J1007" s="10">
        <f>111.3335 * CHOOSE(CONTROL!$C$9, $D$9, 100%, $F$9) + CHOOSE(CONTROL!$C$27, 0.0021, 0)</f>
        <v>111.3356</v>
      </c>
      <c r="K1007" s="10">
        <f>111.3335 * CHOOSE(CONTROL!$C$9, $D$9, 100%, $F$9) + CHOOSE(CONTROL!$C$27, 0.0021, 0)</f>
        <v>111.3356</v>
      </c>
      <c r="L1007" s="10"/>
    </row>
    <row r="1008" spans="1:12" ht="15.75" x14ac:dyDescent="0.25">
      <c r="A1008" s="13">
        <v>71620</v>
      </c>
      <c r="B1008" s="10">
        <f>110.3314 * CHOOSE(CONTROL!$C$9, $D$9, 100%, $F$9) + CHOOSE(CONTROL!$C$27, 0.0021, 0)</f>
        <v>110.3335</v>
      </c>
      <c r="C1008" s="10">
        <f>109.8991 * CHOOSE(CONTROL!$C$9, $D$9, 100%, $F$9) + CHOOSE(CONTROL!$C$27, 0.0021, 0)</f>
        <v>109.9012</v>
      </c>
      <c r="D1008" s="10">
        <f>109.8991 * CHOOSE(CONTROL!$C$9, $D$9, 100%, $F$9) + CHOOSE(CONTROL!$C$27, 0.0021, 0)</f>
        <v>109.9012</v>
      </c>
      <c r="E1008" s="10">
        <f>109.7625 * CHOOSE(CONTROL!$C$9, $D$9, 100%, $F$9) + CHOOSE(CONTROL!$C$27, 0.0021, 0)</f>
        <v>109.7646</v>
      </c>
      <c r="F1008" s="10">
        <f>109.7625 * CHOOSE(CONTROL!$C$9, $D$9, 100%, $F$9) + CHOOSE(CONTROL!$C$27, 0.0021, 0)</f>
        <v>109.7646</v>
      </c>
      <c r="G1008" s="10">
        <f>110.0338 * CHOOSE(CONTROL!$C$9, $D$9, 100%, $F$9) + CHOOSE(CONTROL!$C$27, 0.0021, 0)</f>
        <v>110.0359</v>
      </c>
      <c r="H1008" s="10">
        <f>109.8991 * CHOOSE(CONTROL!$C$9, $D$9, 100%, $F$9) + CHOOSE(CONTROL!$C$27, 0.0021, 0)</f>
        <v>109.9012</v>
      </c>
      <c r="I1008" s="10">
        <f>109.8991 * CHOOSE(CONTROL!$C$9, $D$9, 100%, $F$9) + CHOOSE(CONTROL!$C$27, 0.0021, 0)</f>
        <v>109.9012</v>
      </c>
      <c r="J1008" s="10">
        <f>109.8991 * CHOOSE(CONTROL!$C$9, $D$9, 100%, $F$9) + CHOOSE(CONTROL!$C$27, 0.0021, 0)</f>
        <v>109.9012</v>
      </c>
      <c r="K1008" s="10">
        <f>109.8991 * CHOOSE(CONTROL!$C$9, $D$9, 100%, $F$9) + CHOOSE(CONTROL!$C$27, 0.0021, 0)</f>
        <v>109.9012</v>
      </c>
      <c r="L1008" s="10"/>
    </row>
    <row r="1009" spans="1:12" ht="15.75" x14ac:dyDescent="0.25">
      <c r="A1009" s="13">
        <v>71649</v>
      </c>
      <c r="B1009" s="10">
        <f>107.2754 * CHOOSE(CONTROL!$C$9, $D$9, 100%, $F$9) + CHOOSE(CONTROL!$C$27, 0.0021, 0)</f>
        <v>107.2775</v>
      </c>
      <c r="C1009" s="10">
        <f>106.8432 * CHOOSE(CONTROL!$C$9, $D$9, 100%, $F$9) + CHOOSE(CONTROL!$C$27, 0.0021, 0)</f>
        <v>106.84529999999999</v>
      </c>
      <c r="D1009" s="10">
        <f>106.8432 * CHOOSE(CONTROL!$C$9, $D$9, 100%, $F$9) + CHOOSE(CONTROL!$C$27, 0.0021, 0)</f>
        <v>106.84529999999999</v>
      </c>
      <c r="E1009" s="10">
        <f>106.7065 * CHOOSE(CONTROL!$C$9, $D$9, 100%, $F$9) + CHOOSE(CONTROL!$C$27, 0.0021, 0)</f>
        <v>106.7086</v>
      </c>
      <c r="F1009" s="10">
        <f>106.7065 * CHOOSE(CONTROL!$C$9, $D$9, 100%, $F$9) + CHOOSE(CONTROL!$C$27, 0.0021, 0)</f>
        <v>106.7086</v>
      </c>
      <c r="G1009" s="10">
        <f>106.9779 * CHOOSE(CONTROL!$C$9, $D$9, 100%, $F$9) + CHOOSE(CONTROL!$C$27, 0.0021, 0)</f>
        <v>106.98</v>
      </c>
      <c r="H1009" s="10">
        <f>106.8432 * CHOOSE(CONTROL!$C$9, $D$9, 100%, $F$9) + CHOOSE(CONTROL!$C$27, 0.0021, 0)</f>
        <v>106.84529999999999</v>
      </c>
      <c r="I1009" s="10">
        <f>106.8432 * CHOOSE(CONTROL!$C$9, $D$9, 100%, $F$9) + CHOOSE(CONTROL!$C$27, 0.0021, 0)</f>
        <v>106.84529999999999</v>
      </c>
      <c r="J1009" s="10">
        <f>106.8432 * CHOOSE(CONTROL!$C$9, $D$9, 100%, $F$9) + CHOOSE(CONTROL!$C$27, 0.0021, 0)</f>
        <v>106.84529999999999</v>
      </c>
      <c r="K1009" s="10">
        <f>106.8432 * CHOOSE(CONTROL!$C$9, $D$9, 100%, $F$9) + CHOOSE(CONTROL!$C$27, 0.0021, 0)</f>
        <v>106.84529999999999</v>
      </c>
      <c r="L1009" s="10"/>
    </row>
    <row r="1010" spans="1:12" ht="15.75" x14ac:dyDescent="0.25">
      <c r="A1010" s="13">
        <v>71680</v>
      </c>
      <c r="B1010" s="10">
        <f>106.014 * CHOOSE(CONTROL!$C$9, $D$9, 100%, $F$9) + CHOOSE(CONTROL!$C$27, 0.0021, 0)</f>
        <v>106.01609999999999</v>
      </c>
      <c r="C1010" s="10">
        <f>105.5817 * CHOOSE(CONTROL!$C$9, $D$9, 100%, $F$9) + CHOOSE(CONTROL!$C$27, 0.0021, 0)</f>
        <v>105.5838</v>
      </c>
      <c r="D1010" s="10">
        <f>105.5817 * CHOOSE(CONTROL!$C$9, $D$9, 100%, $F$9) + CHOOSE(CONTROL!$C$27, 0.0021, 0)</f>
        <v>105.5838</v>
      </c>
      <c r="E1010" s="10">
        <f>105.445 * CHOOSE(CONTROL!$C$9, $D$9, 100%, $F$9) + CHOOSE(CONTROL!$C$27, 0.0021, 0)</f>
        <v>105.44709999999999</v>
      </c>
      <c r="F1010" s="10">
        <f>105.445 * CHOOSE(CONTROL!$C$9, $D$9, 100%, $F$9) + CHOOSE(CONTROL!$C$27, 0.0021, 0)</f>
        <v>105.44709999999999</v>
      </c>
      <c r="G1010" s="10">
        <f>105.7164 * CHOOSE(CONTROL!$C$9, $D$9, 100%, $F$9) + CHOOSE(CONTROL!$C$27, 0.0021, 0)</f>
        <v>105.71849999999999</v>
      </c>
      <c r="H1010" s="10">
        <f>105.5817 * CHOOSE(CONTROL!$C$9, $D$9, 100%, $F$9) + CHOOSE(CONTROL!$C$27, 0.0021, 0)</f>
        <v>105.5838</v>
      </c>
      <c r="I1010" s="10">
        <f>105.5817 * CHOOSE(CONTROL!$C$9, $D$9, 100%, $F$9) + CHOOSE(CONTROL!$C$27, 0.0021, 0)</f>
        <v>105.5838</v>
      </c>
      <c r="J1010" s="10">
        <f>105.5817 * CHOOSE(CONTROL!$C$9, $D$9, 100%, $F$9) + CHOOSE(CONTROL!$C$27, 0.0021, 0)</f>
        <v>105.5838</v>
      </c>
      <c r="K1010" s="10">
        <f>105.5817 * CHOOSE(CONTROL!$C$9, $D$9, 100%, $F$9) + CHOOSE(CONTROL!$C$27, 0.0021, 0)</f>
        <v>105.5838</v>
      </c>
      <c r="L1010" s="10"/>
    </row>
    <row r="1011" spans="1:12" ht="15.75" x14ac:dyDescent="0.25">
      <c r="A1011" s="13">
        <v>71710</v>
      </c>
      <c r="B1011" s="10">
        <f>104.5077 * CHOOSE(CONTROL!$C$9, $D$9, 100%, $F$9) + CHOOSE(CONTROL!$C$27, 0.0021, 0)</f>
        <v>104.5098</v>
      </c>
      <c r="C1011" s="10">
        <f>104.0755 * CHOOSE(CONTROL!$C$9, $D$9, 100%, $F$9) + CHOOSE(CONTROL!$C$27, 0.0021, 0)</f>
        <v>104.0776</v>
      </c>
      <c r="D1011" s="10">
        <f>104.0755 * CHOOSE(CONTROL!$C$9, $D$9, 100%, $F$9) + CHOOSE(CONTROL!$C$27, 0.0021, 0)</f>
        <v>104.0776</v>
      </c>
      <c r="E1011" s="10">
        <f>103.9388 * CHOOSE(CONTROL!$C$9, $D$9, 100%, $F$9) + CHOOSE(CONTROL!$C$27, 0.0021, 0)</f>
        <v>103.9409</v>
      </c>
      <c r="F1011" s="10">
        <f>103.9388 * CHOOSE(CONTROL!$C$9, $D$9, 100%, $F$9) + CHOOSE(CONTROL!$C$27, 0.0021, 0)</f>
        <v>103.9409</v>
      </c>
      <c r="G1011" s="10">
        <f>104.2102 * CHOOSE(CONTROL!$C$9, $D$9, 100%, $F$9) + CHOOSE(CONTROL!$C$27, 0.0021, 0)</f>
        <v>104.2123</v>
      </c>
      <c r="H1011" s="10">
        <f>104.0755 * CHOOSE(CONTROL!$C$9, $D$9, 100%, $F$9) + CHOOSE(CONTROL!$C$27, 0.0021, 0)</f>
        <v>104.0776</v>
      </c>
      <c r="I1011" s="10">
        <f>104.0755 * CHOOSE(CONTROL!$C$9, $D$9, 100%, $F$9) + CHOOSE(CONTROL!$C$27, 0.0021, 0)</f>
        <v>104.0776</v>
      </c>
      <c r="J1011" s="10">
        <f>104.0755 * CHOOSE(CONTROL!$C$9, $D$9, 100%, $F$9) + CHOOSE(CONTROL!$C$27, 0.0021, 0)</f>
        <v>104.0776</v>
      </c>
      <c r="K1011" s="10">
        <f>104.0755 * CHOOSE(CONTROL!$C$9, $D$9, 100%, $F$9) + CHOOSE(CONTROL!$C$27, 0.0021, 0)</f>
        <v>104.0776</v>
      </c>
      <c r="L1011" s="10"/>
    </row>
    <row r="1012" spans="1:12" ht="15.75" x14ac:dyDescent="0.25">
      <c r="A1012" s="13">
        <v>71741</v>
      </c>
      <c r="B1012" s="10">
        <f>106.6543 * CHOOSE(CONTROL!$C$9, $D$9, 100%, $F$9) + CHOOSE(CONTROL!$C$27, 0.0021, 0)</f>
        <v>106.6564</v>
      </c>
      <c r="C1012" s="10">
        <f>106.222 * CHOOSE(CONTROL!$C$9, $D$9, 100%, $F$9) + CHOOSE(CONTROL!$C$27, 0.0021, 0)</f>
        <v>106.22409999999999</v>
      </c>
      <c r="D1012" s="10">
        <f>106.222 * CHOOSE(CONTROL!$C$9, $D$9, 100%, $F$9) + CHOOSE(CONTROL!$C$27, 0.0021, 0)</f>
        <v>106.22409999999999</v>
      </c>
      <c r="E1012" s="10">
        <f>106.0854 * CHOOSE(CONTROL!$C$9, $D$9, 100%, $F$9) + CHOOSE(CONTROL!$C$27, 0.0021, 0)</f>
        <v>106.08750000000001</v>
      </c>
      <c r="F1012" s="10">
        <f>106.0854 * CHOOSE(CONTROL!$C$9, $D$9, 100%, $F$9) + CHOOSE(CONTROL!$C$27, 0.0021, 0)</f>
        <v>106.08750000000001</v>
      </c>
      <c r="G1012" s="10">
        <f>106.3568 * CHOOSE(CONTROL!$C$9, $D$9, 100%, $F$9) + CHOOSE(CONTROL!$C$27, 0.0021, 0)</f>
        <v>106.35890000000001</v>
      </c>
      <c r="H1012" s="10">
        <f>106.222 * CHOOSE(CONTROL!$C$9, $D$9, 100%, $F$9) + CHOOSE(CONTROL!$C$27, 0.0021, 0)</f>
        <v>106.22409999999999</v>
      </c>
      <c r="I1012" s="10">
        <f>106.222 * CHOOSE(CONTROL!$C$9, $D$9, 100%, $F$9) + CHOOSE(CONTROL!$C$27, 0.0021, 0)</f>
        <v>106.22409999999999</v>
      </c>
      <c r="J1012" s="10">
        <f>106.222 * CHOOSE(CONTROL!$C$9, $D$9, 100%, $F$9) + CHOOSE(CONTROL!$C$27, 0.0021, 0)</f>
        <v>106.22409999999999</v>
      </c>
      <c r="K1012" s="10">
        <f>106.222 * CHOOSE(CONTROL!$C$9, $D$9, 100%, $F$9) + CHOOSE(CONTROL!$C$27, 0.0021, 0)</f>
        <v>106.22409999999999</v>
      </c>
      <c r="L1012" s="10"/>
    </row>
    <row r="1013" spans="1:12" ht="15.75" x14ac:dyDescent="0.25">
      <c r="A1013" s="13">
        <v>71771</v>
      </c>
      <c r="B1013" s="10">
        <f>107.94 * CHOOSE(CONTROL!$C$9, $D$9, 100%, $F$9) + CHOOSE(CONTROL!$C$27, 0.0021, 0)</f>
        <v>107.9421</v>
      </c>
      <c r="C1013" s="10">
        <f>107.5077 * CHOOSE(CONTROL!$C$9, $D$9, 100%, $F$9) + CHOOSE(CONTROL!$C$27, 0.0021, 0)</f>
        <v>107.5098</v>
      </c>
      <c r="D1013" s="10">
        <f>107.5077 * CHOOSE(CONTROL!$C$9, $D$9, 100%, $F$9) + CHOOSE(CONTROL!$C$27, 0.0021, 0)</f>
        <v>107.5098</v>
      </c>
      <c r="E1013" s="10">
        <f>107.3711 * CHOOSE(CONTROL!$C$9, $D$9, 100%, $F$9) + CHOOSE(CONTROL!$C$27, 0.0021, 0)</f>
        <v>107.3732</v>
      </c>
      <c r="F1013" s="10">
        <f>107.3711 * CHOOSE(CONTROL!$C$9, $D$9, 100%, $F$9) + CHOOSE(CONTROL!$C$27, 0.0021, 0)</f>
        <v>107.3732</v>
      </c>
      <c r="G1013" s="10">
        <f>107.6425 * CHOOSE(CONTROL!$C$9, $D$9, 100%, $F$9) + CHOOSE(CONTROL!$C$27, 0.0021, 0)</f>
        <v>107.6446</v>
      </c>
      <c r="H1013" s="10">
        <f>107.5077 * CHOOSE(CONTROL!$C$9, $D$9, 100%, $F$9) + CHOOSE(CONTROL!$C$27, 0.0021, 0)</f>
        <v>107.5098</v>
      </c>
      <c r="I1013" s="10">
        <f>107.5077 * CHOOSE(CONTROL!$C$9, $D$9, 100%, $F$9) + CHOOSE(CONTROL!$C$27, 0.0021, 0)</f>
        <v>107.5098</v>
      </c>
      <c r="J1013" s="10">
        <f>107.5077 * CHOOSE(CONTROL!$C$9, $D$9, 100%, $F$9) + CHOOSE(CONTROL!$C$27, 0.0021, 0)</f>
        <v>107.5098</v>
      </c>
      <c r="K1013" s="10">
        <f>107.5077 * CHOOSE(CONTROL!$C$9, $D$9, 100%, $F$9) + CHOOSE(CONTROL!$C$27, 0.0021, 0)</f>
        <v>107.5098</v>
      </c>
      <c r="L1013" s="10"/>
    </row>
    <row r="1014" spans="1:12" ht="15.75" x14ac:dyDescent="0.25">
      <c r="A1014" s="13">
        <v>71802</v>
      </c>
      <c r="B1014" s="10">
        <f>110.0609 * CHOOSE(CONTROL!$C$9, $D$9, 100%, $F$9) + CHOOSE(CONTROL!$C$27, 0.0021, 0)</f>
        <v>110.063</v>
      </c>
      <c r="C1014" s="10">
        <f>109.6287 * CHOOSE(CONTROL!$C$9, $D$9, 100%, $F$9) + CHOOSE(CONTROL!$C$27, 0.0021, 0)</f>
        <v>109.63079999999999</v>
      </c>
      <c r="D1014" s="10">
        <f>109.6287 * CHOOSE(CONTROL!$C$9, $D$9, 100%, $F$9) + CHOOSE(CONTROL!$C$27, 0.0021, 0)</f>
        <v>109.63079999999999</v>
      </c>
      <c r="E1014" s="10">
        <f>109.492 * CHOOSE(CONTROL!$C$9, $D$9, 100%, $F$9) + CHOOSE(CONTROL!$C$27, 0.0021, 0)</f>
        <v>109.4941</v>
      </c>
      <c r="F1014" s="10">
        <f>109.492 * CHOOSE(CONTROL!$C$9, $D$9, 100%, $F$9) + CHOOSE(CONTROL!$C$27, 0.0021, 0)</f>
        <v>109.4941</v>
      </c>
      <c r="G1014" s="10">
        <f>109.7634 * CHOOSE(CONTROL!$C$9, $D$9, 100%, $F$9) + CHOOSE(CONTROL!$C$27, 0.0021, 0)</f>
        <v>109.7655</v>
      </c>
      <c r="H1014" s="10">
        <f>109.6287 * CHOOSE(CONTROL!$C$9, $D$9, 100%, $F$9) + CHOOSE(CONTROL!$C$27, 0.0021, 0)</f>
        <v>109.63079999999999</v>
      </c>
      <c r="I1014" s="10">
        <f>109.6287 * CHOOSE(CONTROL!$C$9, $D$9, 100%, $F$9) + CHOOSE(CONTROL!$C$27, 0.0021, 0)</f>
        <v>109.63079999999999</v>
      </c>
      <c r="J1014" s="10">
        <f>109.6287 * CHOOSE(CONTROL!$C$9, $D$9, 100%, $F$9) + CHOOSE(CONTROL!$C$27, 0.0021, 0)</f>
        <v>109.63079999999999</v>
      </c>
      <c r="K1014" s="10">
        <f>109.6287 * CHOOSE(CONTROL!$C$9, $D$9, 100%, $F$9) + CHOOSE(CONTROL!$C$27, 0.0021, 0)</f>
        <v>109.63079999999999</v>
      </c>
      <c r="L1014" s="10"/>
    </row>
    <row r="1015" spans="1:12" ht="15.75" x14ac:dyDescent="0.25">
      <c r="A1015" s="13">
        <v>71833</v>
      </c>
      <c r="B1015" s="10">
        <f>110.7083 * CHOOSE(CONTROL!$C$9, $D$9, 100%, $F$9) + CHOOSE(CONTROL!$C$27, 0.0021, 0)</f>
        <v>110.71039999999999</v>
      </c>
      <c r="C1015" s="10">
        <f>110.2761 * CHOOSE(CONTROL!$C$9, $D$9, 100%, $F$9) + CHOOSE(CONTROL!$C$27, 0.0021, 0)</f>
        <v>110.2782</v>
      </c>
      <c r="D1015" s="10">
        <f>110.2761 * CHOOSE(CONTROL!$C$9, $D$9, 100%, $F$9) + CHOOSE(CONTROL!$C$27, 0.0021, 0)</f>
        <v>110.2782</v>
      </c>
      <c r="E1015" s="10">
        <f>110.1394 * CHOOSE(CONTROL!$C$9, $D$9, 100%, $F$9) + CHOOSE(CONTROL!$C$27, 0.0021, 0)</f>
        <v>110.14149999999999</v>
      </c>
      <c r="F1015" s="10">
        <f>110.1394 * CHOOSE(CONTROL!$C$9, $D$9, 100%, $F$9) + CHOOSE(CONTROL!$C$27, 0.0021, 0)</f>
        <v>110.14149999999999</v>
      </c>
      <c r="G1015" s="10">
        <f>110.4108 * CHOOSE(CONTROL!$C$9, $D$9, 100%, $F$9) + CHOOSE(CONTROL!$C$27, 0.0021, 0)</f>
        <v>110.41289999999999</v>
      </c>
      <c r="H1015" s="10">
        <f>110.2761 * CHOOSE(CONTROL!$C$9, $D$9, 100%, $F$9) + CHOOSE(CONTROL!$C$27, 0.0021, 0)</f>
        <v>110.2782</v>
      </c>
      <c r="I1015" s="10">
        <f>110.2761 * CHOOSE(CONTROL!$C$9, $D$9, 100%, $F$9) + CHOOSE(CONTROL!$C$27, 0.0021, 0)</f>
        <v>110.2782</v>
      </c>
      <c r="J1015" s="10">
        <f>110.2761 * CHOOSE(CONTROL!$C$9, $D$9, 100%, $F$9) + CHOOSE(CONTROL!$C$27, 0.0021, 0)</f>
        <v>110.2782</v>
      </c>
      <c r="K1015" s="10">
        <f>110.2761 * CHOOSE(CONTROL!$C$9, $D$9, 100%, $F$9) + CHOOSE(CONTROL!$C$27, 0.0021, 0)</f>
        <v>110.2782</v>
      </c>
      <c r="L1015" s="10"/>
    </row>
    <row r="1016" spans="1:12" ht="15.75" x14ac:dyDescent="0.25">
      <c r="A1016" s="13">
        <v>71863</v>
      </c>
      <c r="B1016" s="10">
        <f>112.913 * CHOOSE(CONTROL!$C$9, $D$9, 100%, $F$9) + CHOOSE(CONTROL!$C$27, 0.0021, 0)</f>
        <v>112.9151</v>
      </c>
      <c r="C1016" s="10">
        <f>112.4807 * CHOOSE(CONTROL!$C$9, $D$9, 100%, $F$9) + CHOOSE(CONTROL!$C$27, 0.0021, 0)</f>
        <v>112.4828</v>
      </c>
      <c r="D1016" s="10">
        <f>112.4807 * CHOOSE(CONTROL!$C$9, $D$9, 100%, $F$9) + CHOOSE(CONTROL!$C$27, 0.0021, 0)</f>
        <v>112.4828</v>
      </c>
      <c r="E1016" s="10">
        <f>112.3441 * CHOOSE(CONTROL!$C$9, $D$9, 100%, $F$9) + CHOOSE(CONTROL!$C$27, 0.0021, 0)</f>
        <v>112.3462</v>
      </c>
      <c r="F1016" s="10">
        <f>112.3441 * CHOOSE(CONTROL!$C$9, $D$9, 100%, $F$9) + CHOOSE(CONTROL!$C$27, 0.0021, 0)</f>
        <v>112.3462</v>
      </c>
      <c r="G1016" s="10">
        <f>112.6154 * CHOOSE(CONTROL!$C$9, $D$9, 100%, $F$9) + CHOOSE(CONTROL!$C$27, 0.0021, 0)</f>
        <v>112.61749999999999</v>
      </c>
      <c r="H1016" s="10">
        <f>112.4807 * CHOOSE(CONTROL!$C$9, $D$9, 100%, $F$9) + CHOOSE(CONTROL!$C$27, 0.0021, 0)</f>
        <v>112.4828</v>
      </c>
      <c r="I1016" s="10">
        <f>112.4807 * CHOOSE(CONTROL!$C$9, $D$9, 100%, $F$9) + CHOOSE(CONTROL!$C$27, 0.0021, 0)</f>
        <v>112.4828</v>
      </c>
      <c r="J1016" s="10">
        <f>112.4807 * CHOOSE(CONTROL!$C$9, $D$9, 100%, $F$9) + CHOOSE(CONTROL!$C$27, 0.0021, 0)</f>
        <v>112.4828</v>
      </c>
      <c r="K1016" s="10">
        <f>112.4807 * CHOOSE(CONTROL!$C$9, $D$9, 100%, $F$9) + CHOOSE(CONTROL!$C$27, 0.0021, 0)</f>
        <v>112.4828</v>
      </c>
      <c r="L1016" s="10"/>
    </row>
    <row r="1017" spans="1:12" ht="15.75" x14ac:dyDescent="0.25">
      <c r="A1017" s="13">
        <v>71894</v>
      </c>
      <c r="B1017" s="10">
        <f>115.7036 * CHOOSE(CONTROL!$C$9, $D$9, 100%, $F$9) + CHOOSE(CONTROL!$C$27, 0.0021, 0)</f>
        <v>115.70569999999999</v>
      </c>
      <c r="C1017" s="10">
        <f>115.2714 * CHOOSE(CONTROL!$C$9, $D$9, 100%, $F$9) + CHOOSE(CONTROL!$C$27, 0.0021, 0)</f>
        <v>115.2735</v>
      </c>
      <c r="D1017" s="10">
        <f>115.2714 * CHOOSE(CONTROL!$C$9, $D$9, 100%, $F$9) + CHOOSE(CONTROL!$C$27, 0.0021, 0)</f>
        <v>115.2735</v>
      </c>
      <c r="E1017" s="10">
        <f>115.1347 * CHOOSE(CONTROL!$C$9, $D$9, 100%, $F$9) + CHOOSE(CONTROL!$C$27, 0.0021, 0)</f>
        <v>115.13679999999999</v>
      </c>
      <c r="F1017" s="10">
        <f>115.1347 * CHOOSE(CONTROL!$C$9, $D$9, 100%, $F$9) + CHOOSE(CONTROL!$C$27, 0.0021, 0)</f>
        <v>115.13679999999999</v>
      </c>
      <c r="G1017" s="10">
        <f>115.4061 * CHOOSE(CONTROL!$C$9, $D$9, 100%, $F$9) + CHOOSE(CONTROL!$C$27, 0.0021, 0)</f>
        <v>115.40819999999999</v>
      </c>
      <c r="H1017" s="10">
        <f>115.2714 * CHOOSE(CONTROL!$C$9, $D$9, 100%, $F$9) + CHOOSE(CONTROL!$C$27, 0.0021, 0)</f>
        <v>115.2735</v>
      </c>
      <c r="I1017" s="10">
        <f>115.2714 * CHOOSE(CONTROL!$C$9, $D$9, 100%, $F$9) + CHOOSE(CONTROL!$C$27, 0.0021, 0)</f>
        <v>115.2735</v>
      </c>
      <c r="J1017" s="10">
        <f>115.2714 * CHOOSE(CONTROL!$C$9, $D$9, 100%, $F$9) + CHOOSE(CONTROL!$C$27, 0.0021, 0)</f>
        <v>115.2735</v>
      </c>
      <c r="K1017" s="10">
        <f>115.2714 * CHOOSE(CONTROL!$C$9, $D$9, 100%, $F$9) + CHOOSE(CONTROL!$C$27, 0.0021, 0)</f>
        <v>115.2735</v>
      </c>
      <c r="L1017" s="10"/>
    </row>
    <row r="1018" spans="1:12" ht="15.75" x14ac:dyDescent="0.25">
      <c r="A1018" s="13">
        <v>71924</v>
      </c>
      <c r="B1018" s="10">
        <f>115.9656 * CHOOSE(CONTROL!$C$9, $D$9, 100%, $F$9) + CHOOSE(CONTROL!$C$27, 0.0021, 0)</f>
        <v>115.96769999999999</v>
      </c>
      <c r="C1018" s="10">
        <f>115.5334 * CHOOSE(CONTROL!$C$9, $D$9, 100%, $F$9) + CHOOSE(CONTROL!$C$27, 0.0021, 0)</f>
        <v>115.5355</v>
      </c>
      <c r="D1018" s="10">
        <f>115.5334 * CHOOSE(CONTROL!$C$9, $D$9, 100%, $F$9) + CHOOSE(CONTROL!$C$27, 0.0021, 0)</f>
        <v>115.5355</v>
      </c>
      <c r="E1018" s="10">
        <f>115.3967 * CHOOSE(CONTROL!$C$9, $D$9, 100%, $F$9) + CHOOSE(CONTROL!$C$27, 0.0021, 0)</f>
        <v>115.39879999999999</v>
      </c>
      <c r="F1018" s="10">
        <f>115.3967 * CHOOSE(CONTROL!$C$9, $D$9, 100%, $F$9) + CHOOSE(CONTROL!$C$27, 0.0021, 0)</f>
        <v>115.39879999999999</v>
      </c>
      <c r="G1018" s="10">
        <f>115.6681 * CHOOSE(CONTROL!$C$9, $D$9, 100%, $F$9) + CHOOSE(CONTROL!$C$27, 0.0021, 0)</f>
        <v>115.67019999999999</v>
      </c>
      <c r="H1018" s="10">
        <f>115.5334 * CHOOSE(CONTROL!$C$9, $D$9, 100%, $F$9) + CHOOSE(CONTROL!$C$27, 0.0021, 0)</f>
        <v>115.5355</v>
      </c>
      <c r="I1018" s="10">
        <f>115.5334 * CHOOSE(CONTROL!$C$9, $D$9, 100%, $F$9) + CHOOSE(CONTROL!$C$27, 0.0021, 0)</f>
        <v>115.5355</v>
      </c>
      <c r="J1018" s="10">
        <f>115.5334 * CHOOSE(CONTROL!$C$9, $D$9, 100%, $F$9) + CHOOSE(CONTROL!$C$27, 0.0021, 0)</f>
        <v>115.5355</v>
      </c>
      <c r="K1018" s="10">
        <f>115.5334 * CHOOSE(CONTROL!$C$9, $D$9, 100%, $F$9) + CHOOSE(CONTROL!$C$27, 0.0021, 0)</f>
        <v>115.5355</v>
      </c>
      <c r="L1018" s="10"/>
    </row>
    <row r="1019" spans="1:12" ht="15.75" x14ac:dyDescent="0.25">
      <c r="A1019" s="13">
        <v>71955</v>
      </c>
      <c r="B1019" s="10">
        <f>113.7368 * CHOOSE(CONTROL!$C$9, $D$9, 100%, $F$9) + CHOOSE(CONTROL!$C$27, 0.0021, 0)</f>
        <v>113.7389</v>
      </c>
      <c r="C1019" s="10">
        <f>113.3045 * CHOOSE(CONTROL!$C$9, $D$9, 100%, $F$9) + CHOOSE(CONTROL!$C$27, 0.0021, 0)</f>
        <v>113.3066</v>
      </c>
      <c r="D1019" s="10">
        <f>113.3045 * CHOOSE(CONTROL!$C$9, $D$9, 100%, $F$9) + CHOOSE(CONTROL!$C$27, 0.0021, 0)</f>
        <v>113.3066</v>
      </c>
      <c r="E1019" s="10">
        <f>113.1679 * CHOOSE(CONTROL!$C$9, $D$9, 100%, $F$9) + CHOOSE(CONTROL!$C$27, 0.0021, 0)</f>
        <v>113.17</v>
      </c>
      <c r="F1019" s="10">
        <f>113.1679 * CHOOSE(CONTROL!$C$9, $D$9, 100%, $F$9) + CHOOSE(CONTROL!$C$27, 0.0021, 0)</f>
        <v>113.17</v>
      </c>
      <c r="G1019" s="10">
        <f>113.4392 * CHOOSE(CONTROL!$C$9, $D$9, 100%, $F$9) + CHOOSE(CONTROL!$C$27, 0.0021, 0)</f>
        <v>113.4413</v>
      </c>
      <c r="H1019" s="10">
        <f>113.3045 * CHOOSE(CONTROL!$C$9, $D$9, 100%, $F$9) + CHOOSE(CONTROL!$C$27, 0.0021, 0)</f>
        <v>113.3066</v>
      </c>
      <c r="I1019" s="10">
        <f>113.3045 * CHOOSE(CONTROL!$C$9, $D$9, 100%, $F$9) + CHOOSE(CONTROL!$C$27, 0.0021, 0)</f>
        <v>113.3066</v>
      </c>
      <c r="J1019" s="10">
        <f>113.3045 * CHOOSE(CONTROL!$C$9, $D$9, 100%, $F$9) + CHOOSE(CONTROL!$C$27, 0.0021, 0)</f>
        <v>113.3066</v>
      </c>
      <c r="K1019" s="10">
        <f>113.3045 * CHOOSE(CONTROL!$C$9, $D$9, 100%, $F$9) + CHOOSE(CONTROL!$C$27, 0.0021, 0)</f>
        <v>113.3066</v>
      </c>
      <c r="L1019" s="10"/>
    </row>
    <row r="1020" spans="1:12" ht="15.75" x14ac:dyDescent="0.25">
      <c r="A1020" s="13">
        <v>71986</v>
      </c>
      <c r="B1020" s="10">
        <f>112.2766 * CHOOSE(CONTROL!$C$9, $D$9, 100%, $F$9) + CHOOSE(CONTROL!$C$27, 0.0021, 0)</f>
        <v>112.2787</v>
      </c>
      <c r="C1020" s="10">
        <f>111.8443 * CHOOSE(CONTROL!$C$9, $D$9, 100%, $F$9) + CHOOSE(CONTROL!$C$27, 0.0021, 0)</f>
        <v>111.8464</v>
      </c>
      <c r="D1020" s="10">
        <f>111.8443 * CHOOSE(CONTROL!$C$9, $D$9, 100%, $F$9) + CHOOSE(CONTROL!$C$27, 0.0021, 0)</f>
        <v>111.8464</v>
      </c>
      <c r="E1020" s="10">
        <f>111.7077 * CHOOSE(CONTROL!$C$9, $D$9, 100%, $F$9) + CHOOSE(CONTROL!$C$27, 0.0021, 0)</f>
        <v>111.7098</v>
      </c>
      <c r="F1020" s="10">
        <f>111.7077 * CHOOSE(CONTROL!$C$9, $D$9, 100%, $F$9) + CHOOSE(CONTROL!$C$27, 0.0021, 0)</f>
        <v>111.7098</v>
      </c>
      <c r="G1020" s="10">
        <f>111.9791 * CHOOSE(CONTROL!$C$9, $D$9, 100%, $F$9) + CHOOSE(CONTROL!$C$27, 0.0021, 0)</f>
        <v>111.9812</v>
      </c>
      <c r="H1020" s="10">
        <f>111.8443 * CHOOSE(CONTROL!$C$9, $D$9, 100%, $F$9) + CHOOSE(CONTROL!$C$27, 0.0021, 0)</f>
        <v>111.8464</v>
      </c>
      <c r="I1020" s="10">
        <f>111.8443 * CHOOSE(CONTROL!$C$9, $D$9, 100%, $F$9) + CHOOSE(CONTROL!$C$27, 0.0021, 0)</f>
        <v>111.8464</v>
      </c>
      <c r="J1020" s="10">
        <f>111.8443 * CHOOSE(CONTROL!$C$9, $D$9, 100%, $F$9) + CHOOSE(CONTROL!$C$27, 0.0021, 0)</f>
        <v>111.8464</v>
      </c>
      <c r="K1020" s="10">
        <f>111.8443 * CHOOSE(CONTROL!$C$9, $D$9, 100%, $F$9) + CHOOSE(CONTROL!$C$27, 0.0021, 0)</f>
        <v>111.8464</v>
      </c>
      <c r="L1020" s="10"/>
    </row>
    <row r="1021" spans="1:12" ht="15.75" x14ac:dyDescent="0.25">
      <c r="A1021" s="13">
        <v>72014</v>
      </c>
      <c r="B1021" s="10">
        <f>109.1656 * CHOOSE(CONTROL!$C$9, $D$9, 100%, $F$9) + CHOOSE(CONTROL!$C$27, 0.0021, 0)</f>
        <v>109.1677</v>
      </c>
      <c r="C1021" s="10">
        <f>108.7334 * CHOOSE(CONTROL!$C$9, $D$9, 100%, $F$9) + CHOOSE(CONTROL!$C$27, 0.0021, 0)</f>
        <v>108.7355</v>
      </c>
      <c r="D1021" s="10">
        <f>108.7334 * CHOOSE(CONTROL!$C$9, $D$9, 100%, $F$9) + CHOOSE(CONTROL!$C$27, 0.0021, 0)</f>
        <v>108.7355</v>
      </c>
      <c r="E1021" s="10">
        <f>108.5967 * CHOOSE(CONTROL!$C$9, $D$9, 100%, $F$9) + CHOOSE(CONTROL!$C$27, 0.0021, 0)</f>
        <v>108.5988</v>
      </c>
      <c r="F1021" s="10">
        <f>108.5967 * CHOOSE(CONTROL!$C$9, $D$9, 100%, $F$9) + CHOOSE(CONTROL!$C$27, 0.0021, 0)</f>
        <v>108.5988</v>
      </c>
      <c r="G1021" s="10">
        <f>108.8681 * CHOOSE(CONTROL!$C$9, $D$9, 100%, $F$9) + CHOOSE(CONTROL!$C$27, 0.0021, 0)</f>
        <v>108.8702</v>
      </c>
      <c r="H1021" s="10">
        <f>108.7334 * CHOOSE(CONTROL!$C$9, $D$9, 100%, $F$9) + CHOOSE(CONTROL!$C$27, 0.0021, 0)</f>
        <v>108.7355</v>
      </c>
      <c r="I1021" s="10">
        <f>108.7334 * CHOOSE(CONTROL!$C$9, $D$9, 100%, $F$9) + CHOOSE(CONTROL!$C$27, 0.0021, 0)</f>
        <v>108.7355</v>
      </c>
      <c r="J1021" s="10">
        <f>108.7334 * CHOOSE(CONTROL!$C$9, $D$9, 100%, $F$9) + CHOOSE(CONTROL!$C$27, 0.0021, 0)</f>
        <v>108.7355</v>
      </c>
      <c r="K1021" s="10">
        <f>108.7334 * CHOOSE(CONTROL!$C$9, $D$9, 100%, $F$9) + CHOOSE(CONTROL!$C$27, 0.0021, 0)</f>
        <v>108.7355</v>
      </c>
      <c r="L1021" s="10"/>
    </row>
    <row r="1022" spans="1:12" ht="15.75" x14ac:dyDescent="0.25">
      <c r="A1022" s="13">
        <v>72045</v>
      </c>
      <c r="B1022" s="10">
        <f>107.8814 * CHOOSE(CONTROL!$C$9, $D$9, 100%, $F$9) + CHOOSE(CONTROL!$C$27, 0.0021, 0)</f>
        <v>107.8835</v>
      </c>
      <c r="C1022" s="10">
        <f>107.4492 * CHOOSE(CONTROL!$C$9, $D$9, 100%, $F$9) + CHOOSE(CONTROL!$C$27, 0.0021, 0)</f>
        <v>107.4513</v>
      </c>
      <c r="D1022" s="10">
        <f>107.4492 * CHOOSE(CONTROL!$C$9, $D$9, 100%, $F$9) + CHOOSE(CONTROL!$C$27, 0.0021, 0)</f>
        <v>107.4513</v>
      </c>
      <c r="E1022" s="10">
        <f>107.3125 * CHOOSE(CONTROL!$C$9, $D$9, 100%, $F$9) + CHOOSE(CONTROL!$C$27, 0.0021, 0)</f>
        <v>107.3146</v>
      </c>
      <c r="F1022" s="10">
        <f>107.3125 * CHOOSE(CONTROL!$C$9, $D$9, 100%, $F$9) + CHOOSE(CONTROL!$C$27, 0.0021, 0)</f>
        <v>107.3146</v>
      </c>
      <c r="G1022" s="10">
        <f>107.5839 * CHOOSE(CONTROL!$C$9, $D$9, 100%, $F$9) + CHOOSE(CONTROL!$C$27, 0.0021, 0)</f>
        <v>107.586</v>
      </c>
      <c r="H1022" s="10">
        <f>107.4492 * CHOOSE(CONTROL!$C$9, $D$9, 100%, $F$9) + CHOOSE(CONTROL!$C$27, 0.0021, 0)</f>
        <v>107.4513</v>
      </c>
      <c r="I1022" s="10">
        <f>107.4492 * CHOOSE(CONTROL!$C$9, $D$9, 100%, $F$9) + CHOOSE(CONTROL!$C$27, 0.0021, 0)</f>
        <v>107.4513</v>
      </c>
      <c r="J1022" s="10">
        <f>107.4492 * CHOOSE(CONTROL!$C$9, $D$9, 100%, $F$9) + CHOOSE(CONTROL!$C$27, 0.0021, 0)</f>
        <v>107.4513</v>
      </c>
      <c r="K1022" s="10">
        <f>107.4492 * CHOOSE(CONTROL!$C$9, $D$9, 100%, $F$9) + CHOOSE(CONTROL!$C$27, 0.0021, 0)</f>
        <v>107.4513</v>
      </c>
      <c r="L1022" s="10"/>
    </row>
    <row r="1023" spans="1:12" ht="15.75" x14ac:dyDescent="0.25">
      <c r="A1023" s="13">
        <v>72075</v>
      </c>
      <c r="B1023" s="10">
        <f>106.3481 * CHOOSE(CONTROL!$C$9, $D$9, 100%, $F$9) + CHOOSE(CONTROL!$C$27, 0.0021, 0)</f>
        <v>106.3502</v>
      </c>
      <c r="C1023" s="10">
        <f>105.9158 * CHOOSE(CONTROL!$C$9, $D$9, 100%, $F$9) + CHOOSE(CONTROL!$C$27, 0.0021, 0)</f>
        <v>105.9179</v>
      </c>
      <c r="D1023" s="10">
        <f>105.9158 * CHOOSE(CONTROL!$C$9, $D$9, 100%, $F$9) + CHOOSE(CONTROL!$C$27, 0.0021, 0)</f>
        <v>105.9179</v>
      </c>
      <c r="E1023" s="10">
        <f>105.7792 * CHOOSE(CONTROL!$C$9, $D$9, 100%, $F$9) + CHOOSE(CONTROL!$C$27, 0.0021, 0)</f>
        <v>105.7813</v>
      </c>
      <c r="F1023" s="10">
        <f>105.7792 * CHOOSE(CONTROL!$C$9, $D$9, 100%, $F$9) + CHOOSE(CONTROL!$C$27, 0.0021, 0)</f>
        <v>105.7813</v>
      </c>
      <c r="G1023" s="10">
        <f>106.0506 * CHOOSE(CONTROL!$C$9, $D$9, 100%, $F$9) + CHOOSE(CONTROL!$C$27, 0.0021, 0)</f>
        <v>106.0527</v>
      </c>
      <c r="H1023" s="10">
        <f>105.9158 * CHOOSE(CONTROL!$C$9, $D$9, 100%, $F$9) + CHOOSE(CONTROL!$C$27, 0.0021, 0)</f>
        <v>105.9179</v>
      </c>
      <c r="I1023" s="10">
        <f>105.9158 * CHOOSE(CONTROL!$C$9, $D$9, 100%, $F$9) + CHOOSE(CONTROL!$C$27, 0.0021, 0)</f>
        <v>105.9179</v>
      </c>
      <c r="J1023" s="10">
        <f>105.9158 * CHOOSE(CONTROL!$C$9, $D$9, 100%, $F$9) + CHOOSE(CONTROL!$C$27, 0.0021, 0)</f>
        <v>105.9179</v>
      </c>
      <c r="K1023" s="10">
        <f>105.9158 * CHOOSE(CONTROL!$C$9, $D$9, 100%, $F$9) + CHOOSE(CONTROL!$C$27, 0.0021, 0)</f>
        <v>105.9179</v>
      </c>
      <c r="L1023" s="10"/>
    </row>
    <row r="1024" spans="1:12" ht="15.75" x14ac:dyDescent="0.25">
      <c r="A1024" s="13">
        <v>72106</v>
      </c>
      <c r="B1024" s="10">
        <f>108.5333 * CHOOSE(CONTROL!$C$9, $D$9, 100%, $F$9) + CHOOSE(CONTROL!$C$27, 0.0021, 0)</f>
        <v>108.5354</v>
      </c>
      <c r="C1024" s="10">
        <f>108.1011 * CHOOSE(CONTROL!$C$9, $D$9, 100%, $F$9) + CHOOSE(CONTROL!$C$27, 0.0021, 0)</f>
        <v>108.1032</v>
      </c>
      <c r="D1024" s="10">
        <f>108.1011 * CHOOSE(CONTROL!$C$9, $D$9, 100%, $F$9) + CHOOSE(CONTROL!$C$27, 0.0021, 0)</f>
        <v>108.1032</v>
      </c>
      <c r="E1024" s="10">
        <f>107.9644 * CHOOSE(CONTROL!$C$9, $D$9, 100%, $F$9) + CHOOSE(CONTROL!$C$27, 0.0021, 0)</f>
        <v>107.9665</v>
      </c>
      <c r="F1024" s="10">
        <f>107.9644 * CHOOSE(CONTROL!$C$9, $D$9, 100%, $F$9) + CHOOSE(CONTROL!$C$27, 0.0021, 0)</f>
        <v>107.9665</v>
      </c>
      <c r="G1024" s="10">
        <f>108.2358 * CHOOSE(CONTROL!$C$9, $D$9, 100%, $F$9) + CHOOSE(CONTROL!$C$27, 0.0021, 0)</f>
        <v>108.2379</v>
      </c>
      <c r="H1024" s="10">
        <f>108.1011 * CHOOSE(CONTROL!$C$9, $D$9, 100%, $F$9) + CHOOSE(CONTROL!$C$27, 0.0021, 0)</f>
        <v>108.1032</v>
      </c>
      <c r="I1024" s="10">
        <f>108.1011 * CHOOSE(CONTROL!$C$9, $D$9, 100%, $F$9) + CHOOSE(CONTROL!$C$27, 0.0021, 0)</f>
        <v>108.1032</v>
      </c>
      <c r="J1024" s="10">
        <f>108.1011 * CHOOSE(CONTROL!$C$9, $D$9, 100%, $F$9) + CHOOSE(CONTROL!$C$27, 0.0021, 0)</f>
        <v>108.1032</v>
      </c>
      <c r="K1024" s="10">
        <f>108.1011 * CHOOSE(CONTROL!$C$9, $D$9, 100%, $F$9) + CHOOSE(CONTROL!$C$27, 0.0021, 0)</f>
        <v>108.1032</v>
      </c>
      <c r="L1024" s="10"/>
    </row>
    <row r="1025" spans="1:12" ht="15.75" x14ac:dyDescent="0.25">
      <c r="A1025" s="13">
        <v>72136</v>
      </c>
      <c r="B1025" s="10">
        <f>109.8422 * CHOOSE(CONTROL!$C$9, $D$9, 100%, $F$9) + CHOOSE(CONTROL!$C$27, 0.0021, 0)</f>
        <v>109.8443</v>
      </c>
      <c r="C1025" s="10">
        <f>109.4099 * CHOOSE(CONTROL!$C$9, $D$9, 100%, $F$9) + CHOOSE(CONTROL!$C$27, 0.0021, 0)</f>
        <v>109.41199999999999</v>
      </c>
      <c r="D1025" s="10">
        <f>109.4099 * CHOOSE(CONTROL!$C$9, $D$9, 100%, $F$9) + CHOOSE(CONTROL!$C$27, 0.0021, 0)</f>
        <v>109.41199999999999</v>
      </c>
      <c r="E1025" s="10">
        <f>109.2733 * CHOOSE(CONTROL!$C$9, $D$9, 100%, $F$9) + CHOOSE(CONTROL!$C$27, 0.0021, 0)</f>
        <v>109.2754</v>
      </c>
      <c r="F1025" s="10">
        <f>109.2733 * CHOOSE(CONTROL!$C$9, $D$9, 100%, $F$9) + CHOOSE(CONTROL!$C$27, 0.0021, 0)</f>
        <v>109.2754</v>
      </c>
      <c r="G1025" s="10">
        <f>109.5446 * CHOOSE(CONTROL!$C$9, $D$9, 100%, $F$9) + CHOOSE(CONTROL!$C$27, 0.0021, 0)</f>
        <v>109.5467</v>
      </c>
      <c r="H1025" s="10">
        <f>109.4099 * CHOOSE(CONTROL!$C$9, $D$9, 100%, $F$9) + CHOOSE(CONTROL!$C$27, 0.0021, 0)</f>
        <v>109.41199999999999</v>
      </c>
      <c r="I1025" s="10">
        <f>109.4099 * CHOOSE(CONTROL!$C$9, $D$9, 100%, $F$9) + CHOOSE(CONTROL!$C$27, 0.0021, 0)</f>
        <v>109.41199999999999</v>
      </c>
      <c r="J1025" s="10">
        <f>109.4099 * CHOOSE(CONTROL!$C$9, $D$9, 100%, $F$9) + CHOOSE(CONTROL!$C$27, 0.0021, 0)</f>
        <v>109.41199999999999</v>
      </c>
      <c r="K1025" s="10">
        <f>109.4099 * CHOOSE(CONTROL!$C$9, $D$9, 100%, $F$9) + CHOOSE(CONTROL!$C$27, 0.0021, 0)</f>
        <v>109.41199999999999</v>
      </c>
      <c r="L1025" s="10"/>
    </row>
    <row r="1026" spans="1:12" ht="15.75" x14ac:dyDescent="0.25">
      <c r="A1026" s="13">
        <v>72167</v>
      </c>
      <c r="B1026" s="10">
        <f>112.0013 * CHOOSE(CONTROL!$C$9, $D$9, 100%, $F$9) + CHOOSE(CONTROL!$C$27, 0.0021, 0)</f>
        <v>112.0034</v>
      </c>
      <c r="C1026" s="10">
        <f>111.569 * CHOOSE(CONTROL!$C$9, $D$9, 100%, $F$9) + CHOOSE(CONTROL!$C$27, 0.0021, 0)</f>
        <v>111.5711</v>
      </c>
      <c r="D1026" s="10">
        <f>111.569 * CHOOSE(CONTROL!$C$9, $D$9, 100%, $F$9) + CHOOSE(CONTROL!$C$27, 0.0021, 0)</f>
        <v>111.5711</v>
      </c>
      <c r="E1026" s="10">
        <f>111.4324 * CHOOSE(CONTROL!$C$9, $D$9, 100%, $F$9) + CHOOSE(CONTROL!$C$27, 0.0021, 0)</f>
        <v>111.4345</v>
      </c>
      <c r="F1026" s="10">
        <f>111.4324 * CHOOSE(CONTROL!$C$9, $D$9, 100%, $F$9) + CHOOSE(CONTROL!$C$27, 0.0021, 0)</f>
        <v>111.4345</v>
      </c>
      <c r="G1026" s="10">
        <f>111.7038 * CHOOSE(CONTROL!$C$9, $D$9, 100%, $F$9) + CHOOSE(CONTROL!$C$27, 0.0021, 0)</f>
        <v>111.7059</v>
      </c>
      <c r="H1026" s="10">
        <f>111.569 * CHOOSE(CONTROL!$C$9, $D$9, 100%, $F$9) + CHOOSE(CONTROL!$C$27, 0.0021, 0)</f>
        <v>111.5711</v>
      </c>
      <c r="I1026" s="10">
        <f>111.569 * CHOOSE(CONTROL!$C$9, $D$9, 100%, $F$9) + CHOOSE(CONTROL!$C$27, 0.0021, 0)</f>
        <v>111.5711</v>
      </c>
      <c r="J1026" s="10">
        <f>111.569 * CHOOSE(CONTROL!$C$9, $D$9, 100%, $F$9) + CHOOSE(CONTROL!$C$27, 0.0021, 0)</f>
        <v>111.5711</v>
      </c>
      <c r="K1026" s="10">
        <f>111.569 * CHOOSE(CONTROL!$C$9, $D$9, 100%, $F$9) + CHOOSE(CONTROL!$C$27, 0.0021, 0)</f>
        <v>111.5711</v>
      </c>
      <c r="L1026" s="10"/>
    </row>
    <row r="1027" spans="1:12" ht="15.75" x14ac:dyDescent="0.25">
      <c r="A1027" s="13">
        <v>72198</v>
      </c>
      <c r="B1027" s="10">
        <f>112.6603 * CHOOSE(CONTROL!$C$9, $D$9, 100%, $F$9) + CHOOSE(CONTROL!$C$27, 0.0021, 0)</f>
        <v>112.66240000000001</v>
      </c>
      <c r="C1027" s="10">
        <f>112.2281 * CHOOSE(CONTROL!$C$9, $D$9, 100%, $F$9) + CHOOSE(CONTROL!$C$27, 0.0021, 0)</f>
        <v>112.2302</v>
      </c>
      <c r="D1027" s="10">
        <f>112.2281 * CHOOSE(CONTROL!$C$9, $D$9, 100%, $F$9) + CHOOSE(CONTROL!$C$27, 0.0021, 0)</f>
        <v>112.2302</v>
      </c>
      <c r="E1027" s="10">
        <f>112.0914 * CHOOSE(CONTROL!$C$9, $D$9, 100%, $F$9) + CHOOSE(CONTROL!$C$27, 0.0021, 0)</f>
        <v>112.09349999999999</v>
      </c>
      <c r="F1027" s="10">
        <f>112.0914 * CHOOSE(CONTROL!$C$9, $D$9, 100%, $F$9) + CHOOSE(CONTROL!$C$27, 0.0021, 0)</f>
        <v>112.09349999999999</v>
      </c>
      <c r="G1027" s="10">
        <f>112.3628 * CHOOSE(CONTROL!$C$9, $D$9, 100%, $F$9) + CHOOSE(CONTROL!$C$27, 0.0021, 0)</f>
        <v>112.36489999999999</v>
      </c>
      <c r="H1027" s="10">
        <f>112.2281 * CHOOSE(CONTROL!$C$9, $D$9, 100%, $F$9) + CHOOSE(CONTROL!$C$27, 0.0021, 0)</f>
        <v>112.2302</v>
      </c>
      <c r="I1027" s="10">
        <f>112.2281 * CHOOSE(CONTROL!$C$9, $D$9, 100%, $F$9) + CHOOSE(CONTROL!$C$27, 0.0021, 0)</f>
        <v>112.2302</v>
      </c>
      <c r="J1027" s="10">
        <f>112.2281 * CHOOSE(CONTROL!$C$9, $D$9, 100%, $F$9) + CHOOSE(CONTROL!$C$27, 0.0021, 0)</f>
        <v>112.2302</v>
      </c>
      <c r="K1027" s="10">
        <f>112.2281 * CHOOSE(CONTROL!$C$9, $D$9, 100%, $F$9) + CHOOSE(CONTROL!$C$27, 0.0021, 0)</f>
        <v>112.2302</v>
      </c>
      <c r="L1027" s="10"/>
    </row>
    <row r="1028" spans="1:12" ht="15.75" x14ac:dyDescent="0.25">
      <c r="A1028" s="13">
        <v>72228</v>
      </c>
      <c r="B1028" s="10">
        <f>114.9047 * CHOOSE(CONTROL!$C$9, $D$9, 100%, $F$9) + CHOOSE(CONTROL!$C$27, 0.0021, 0)</f>
        <v>114.9068</v>
      </c>
      <c r="C1028" s="10">
        <f>114.4724 * CHOOSE(CONTROL!$C$9, $D$9, 100%, $F$9) + CHOOSE(CONTROL!$C$27, 0.0021, 0)</f>
        <v>114.47449999999999</v>
      </c>
      <c r="D1028" s="10">
        <f>114.4724 * CHOOSE(CONTROL!$C$9, $D$9, 100%, $F$9) + CHOOSE(CONTROL!$C$27, 0.0021, 0)</f>
        <v>114.47449999999999</v>
      </c>
      <c r="E1028" s="10">
        <f>114.3358 * CHOOSE(CONTROL!$C$9, $D$9, 100%, $F$9) + CHOOSE(CONTROL!$C$27, 0.0021, 0)</f>
        <v>114.3379</v>
      </c>
      <c r="F1028" s="10">
        <f>114.3358 * CHOOSE(CONTROL!$C$9, $D$9, 100%, $F$9) + CHOOSE(CONTROL!$C$27, 0.0021, 0)</f>
        <v>114.3379</v>
      </c>
      <c r="G1028" s="10">
        <f>114.6071 * CHOOSE(CONTROL!$C$9, $D$9, 100%, $F$9) + CHOOSE(CONTROL!$C$27, 0.0021, 0)</f>
        <v>114.6092</v>
      </c>
      <c r="H1028" s="10">
        <f>114.4724 * CHOOSE(CONTROL!$C$9, $D$9, 100%, $F$9) + CHOOSE(CONTROL!$C$27, 0.0021, 0)</f>
        <v>114.47449999999999</v>
      </c>
      <c r="I1028" s="10">
        <f>114.4724 * CHOOSE(CONTROL!$C$9, $D$9, 100%, $F$9) + CHOOSE(CONTROL!$C$27, 0.0021, 0)</f>
        <v>114.47449999999999</v>
      </c>
      <c r="J1028" s="10">
        <f>114.4724 * CHOOSE(CONTROL!$C$9, $D$9, 100%, $F$9) + CHOOSE(CONTROL!$C$27, 0.0021, 0)</f>
        <v>114.47449999999999</v>
      </c>
      <c r="K1028" s="10">
        <f>114.4724 * CHOOSE(CONTROL!$C$9, $D$9, 100%, $F$9) + CHOOSE(CONTROL!$C$27, 0.0021, 0)</f>
        <v>114.47449999999999</v>
      </c>
      <c r="L1028" s="10"/>
    </row>
    <row r="1029" spans="1:12" ht="15.75" x14ac:dyDescent="0.25">
      <c r="A1029" s="13">
        <v>72259</v>
      </c>
      <c r="B1029" s="10">
        <f>117.7456 * CHOOSE(CONTROL!$C$9, $D$9, 100%, $F$9) + CHOOSE(CONTROL!$C$27, 0.0021, 0)</f>
        <v>117.74769999999999</v>
      </c>
      <c r="C1029" s="10">
        <f>117.3133 * CHOOSE(CONTROL!$C$9, $D$9, 100%, $F$9) + CHOOSE(CONTROL!$C$27, 0.0021, 0)</f>
        <v>117.3154</v>
      </c>
      <c r="D1029" s="10">
        <f>117.3133 * CHOOSE(CONTROL!$C$9, $D$9, 100%, $F$9) + CHOOSE(CONTROL!$C$27, 0.0021, 0)</f>
        <v>117.3154</v>
      </c>
      <c r="E1029" s="10">
        <f>117.1767 * CHOOSE(CONTROL!$C$9, $D$9, 100%, $F$9) + CHOOSE(CONTROL!$C$27, 0.0021, 0)</f>
        <v>117.1788</v>
      </c>
      <c r="F1029" s="10">
        <f>117.1767 * CHOOSE(CONTROL!$C$9, $D$9, 100%, $F$9) + CHOOSE(CONTROL!$C$27, 0.0021, 0)</f>
        <v>117.1788</v>
      </c>
      <c r="G1029" s="10">
        <f>117.4481 * CHOOSE(CONTROL!$C$9, $D$9, 100%, $F$9) + CHOOSE(CONTROL!$C$27, 0.0021, 0)</f>
        <v>117.4502</v>
      </c>
      <c r="H1029" s="10">
        <f>117.3133 * CHOOSE(CONTROL!$C$9, $D$9, 100%, $F$9) + CHOOSE(CONTROL!$C$27, 0.0021, 0)</f>
        <v>117.3154</v>
      </c>
      <c r="I1029" s="10">
        <f>117.3133 * CHOOSE(CONTROL!$C$9, $D$9, 100%, $F$9) + CHOOSE(CONTROL!$C$27, 0.0021, 0)</f>
        <v>117.3154</v>
      </c>
      <c r="J1029" s="10">
        <f>117.3133 * CHOOSE(CONTROL!$C$9, $D$9, 100%, $F$9) + CHOOSE(CONTROL!$C$27, 0.0021, 0)</f>
        <v>117.3154</v>
      </c>
      <c r="K1029" s="10">
        <f>117.3133 * CHOOSE(CONTROL!$C$9, $D$9, 100%, $F$9) + CHOOSE(CONTROL!$C$27, 0.0021, 0)</f>
        <v>117.3154</v>
      </c>
      <c r="L1029" s="10"/>
    </row>
    <row r="1030" spans="1:12" ht="15.75" x14ac:dyDescent="0.25">
      <c r="A1030" s="13">
        <v>72289</v>
      </c>
      <c r="B1030" s="10">
        <f>118.0123 * CHOOSE(CONTROL!$C$9, $D$9, 100%, $F$9) + CHOOSE(CONTROL!$C$27, 0.0021, 0)</f>
        <v>118.01439999999999</v>
      </c>
      <c r="C1030" s="10">
        <f>117.58 * CHOOSE(CONTROL!$C$9, $D$9, 100%, $F$9) + CHOOSE(CONTROL!$C$27, 0.0021, 0)</f>
        <v>117.5821</v>
      </c>
      <c r="D1030" s="10">
        <f>117.58 * CHOOSE(CONTROL!$C$9, $D$9, 100%, $F$9) + CHOOSE(CONTROL!$C$27, 0.0021, 0)</f>
        <v>117.5821</v>
      </c>
      <c r="E1030" s="10">
        <f>117.4434 * CHOOSE(CONTROL!$C$9, $D$9, 100%, $F$9) + CHOOSE(CONTROL!$C$27, 0.0021, 0)</f>
        <v>117.4455</v>
      </c>
      <c r="F1030" s="10">
        <f>117.4434 * CHOOSE(CONTROL!$C$9, $D$9, 100%, $F$9) + CHOOSE(CONTROL!$C$27, 0.0021, 0)</f>
        <v>117.4455</v>
      </c>
      <c r="G1030" s="10">
        <f>117.7148 * CHOOSE(CONTROL!$C$9, $D$9, 100%, $F$9) + CHOOSE(CONTROL!$C$27, 0.0021, 0)</f>
        <v>117.7169</v>
      </c>
      <c r="H1030" s="10">
        <f>117.58 * CHOOSE(CONTROL!$C$9, $D$9, 100%, $F$9) + CHOOSE(CONTROL!$C$27, 0.0021, 0)</f>
        <v>117.5821</v>
      </c>
      <c r="I1030" s="10">
        <f>117.58 * CHOOSE(CONTROL!$C$9, $D$9, 100%, $F$9) + CHOOSE(CONTROL!$C$27, 0.0021, 0)</f>
        <v>117.5821</v>
      </c>
      <c r="J1030" s="10">
        <f>117.58 * CHOOSE(CONTROL!$C$9, $D$9, 100%, $F$9) + CHOOSE(CONTROL!$C$27, 0.0021, 0)</f>
        <v>117.5821</v>
      </c>
      <c r="K1030" s="10">
        <f>117.58 * CHOOSE(CONTROL!$C$9, $D$9, 100%, $F$9) + CHOOSE(CONTROL!$C$27, 0.0021, 0)</f>
        <v>117.5821</v>
      </c>
      <c r="L1030" s="10"/>
    </row>
    <row r="1031" spans="1:12" ht="15.75" x14ac:dyDescent="0.25">
      <c r="A1031" s="13">
        <v>72320</v>
      </c>
      <c r="B1031" s="10">
        <f>115.7433 * CHOOSE(CONTROL!$C$9, $D$9, 100%, $F$9) + CHOOSE(CONTROL!$C$27, 0.0021, 0)</f>
        <v>115.7454</v>
      </c>
      <c r="C1031" s="10">
        <f>115.3111 * CHOOSE(CONTROL!$C$9, $D$9, 100%, $F$9) + CHOOSE(CONTROL!$C$27, 0.0021, 0)</f>
        <v>115.31319999999999</v>
      </c>
      <c r="D1031" s="10">
        <f>115.3111 * CHOOSE(CONTROL!$C$9, $D$9, 100%, $F$9) + CHOOSE(CONTROL!$C$27, 0.0021, 0)</f>
        <v>115.31319999999999</v>
      </c>
      <c r="E1031" s="10">
        <f>115.1744 * CHOOSE(CONTROL!$C$9, $D$9, 100%, $F$9) + CHOOSE(CONTROL!$C$27, 0.0021, 0)</f>
        <v>115.1765</v>
      </c>
      <c r="F1031" s="10">
        <f>115.1744 * CHOOSE(CONTROL!$C$9, $D$9, 100%, $F$9) + CHOOSE(CONTROL!$C$27, 0.0021, 0)</f>
        <v>115.1765</v>
      </c>
      <c r="G1031" s="10">
        <f>115.4458 * CHOOSE(CONTROL!$C$9, $D$9, 100%, $F$9) + CHOOSE(CONTROL!$C$27, 0.0021, 0)</f>
        <v>115.4479</v>
      </c>
      <c r="H1031" s="10">
        <f>115.3111 * CHOOSE(CONTROL!$C$9, $D$9, 100%, $F$9) + CHOOSE(CONTROL!$C$27, 0.0021, 0)</f>
        <v>115.31319999999999</v>
      </c>
      <c r="I1031" s="10">
        <f>115.3111 * CHOOSE(CONTROL!$C$9, $D$9, 100%, $F$9) + CHOOSE(CONTROL!$C$27, 0.0021, 0)</f>
        <v>115.31319999999999</v>
      </c>
      <c r="J1031" s="10">
        <f>115.3111 * CHOOSE(CONTROL!$C$9, $D$9, 100%, $F$9) + CHOOSE(CONTROL!$C$27, 0.0021, 0)</f>
        <v>115.31319999999999</v>
      </c>
      <c r="K1031" s="10">
        <f>115.3111 * CHOOSE(CONTROL!$C$9, $D$9, 100%, $F$9) + CHOOSE(CONTROL!$C$27, 0.0021, 0)</f>
        <v>115.31319999999999</v>
      </c>
      <c r="L1031" s="10"/>
    </row>
    <row r="1032" spans="1:12" ht="15.75" x14ac:dyDescent="0.25">
      <c r="A1032" s="13">
        <v>72351</v>
      </c>
      <c r="B1032" s="10">
        <f>114.2568 * CHOOSE(CONTROL!$C$9, $D$9, 100%, $F$9) + CHOOSE(CONTROL!$C$27, 0.0021, 0)</f>
        <v>114.2589</v>
      </c>
      <c r="C1032" s="10">
        <f>113.8246 * CHOOSE(CONTROL!$C$9, $D$9, 100%, $F$9) + CHOOSE(CONTROL!$C$27, 0.0021, 0)</f>
        <v>113.8267</v>
      </c>
      <c r="D1032" s="10">
        <f>113.8246 * CHOOSE(CONTROL!$C$9, $D$9, 100%, $F$9) + CHOOSE(CONTROL!$C$27, 0.0021, 0)</f>
        <v>113.8267</v>
      </c>
      <c r="E1032" s="10">
        <f>113.6879 * CHOOSE(CONTROL!$C$9, $D$9, 100%, $F$9) + CHOOSE(CONTROL!$C$27, 0.0021, 0)</f>
        <v>113.69</v>
      </c>
      <c r="F1032" s="10">
        <f>113.6879 * CHOOSE(CONTROL!$C$9, $D$9, 100%, $F$9) + CHOOSE(CONTROL!$C$27, 0.0021, 0)</f>
        <v>113.69</v>
      </c>
      <c r="G1032" s="10">
        <f>113.9593 * CHOOSE(CONTROL!$C$9, $D$9, 100%, $F$9) + CHOOSE(CONTROL!$C$27, 0.0021, 0)</f>
        <v>113.9614</v>
      </c>
      <c r="H1032" s="10">
        <f>113.8246 * CHOOSE(CONTROL!$C$9, $D$9, 100%, $F$9) + CHOOSE(CONTROL!$C$27, 0.0021, 0)</f>
        <v>113.8267</v>
      </c>
      <c r="I1032" s="10">
        <f>113.8246 * CHOOSE(CONTROL!$C$9, $D$9, 100%, $F$9) + CHOOSE(CONTROL!$C$27, 0.0021, 0)</f>
        <v>113.8267</v>
      </c>
      <c r="J1032" s="10">
        <f>113.8246 * CHOOSE(CONTROL!$C$9, $D$9, 100%, $F$9) + CHOOSE(CONTROL!$C$27, 0.0021, 0)</f>
        <v>113.8267</v>
      </c>
      <c r="K1032" s="10">
        <f>113.8246 * CHOOSE(CONTROL!$C$9, $D$9, 100%, $F$9) + CHOOSE(CONTROL!$C$27, 0.0021, 0)</f>
        <v>113.8267</v>
      </c>
      <c r="L1032" s="10"/>
    </row>
    <row r="1033" spans="1:12" ht="15.75" x14ac:dyDescent="0.25">
      <c r="A1033" s="13">
        <v>72379</v>
      </c>
      <c r="B1033" s="10">
        <f>111.0899 * CHOOSE(CONTROL!$C$9, $D$9, 100%, $F$9) + CHOOSE(CONTROL!$C$27, 0.0021, 0)</f>
        <v>111.092</v>
      </c>
      <c r="C1033" s="10">
        <f>110.6576 * CHOOSE(CONTROL!$C$9, $D$9, 100%, $F$9) + CHOOSE(CONTROL!$C$27, 0.0021, 0)</f>
        <v>110.6597</v>
      </c>
      <c r="D1033" s="10">
        <f>110.6576 * CHOOSE(CONTROL!$C$9, $D$9, 100%, $F$9) + CHOOSE(CONTROL!$C$27, 0.0021, 0)</f>
        <v>110.6597</v>
      </c>
      <c r="E1033" s="10">
        <f>110.521 * CHOOSE(CONTROL!$C$9, $D$9, 100%, $F$9) + CHOOSE(CONTROL!$C$27, 0.0021, 0)</f>
        <v>110.5231</v>
      </c>
      <c r="F1033" s="10">
        <f>110.521 * CHOOSE(CONTROL!$C$9, $D$9, 100%, $F$9) + CHOOSE(CONTROL!$C$27, 0.0021, 0)</f>
        <v>110.5231</v>
      </c>
      <c r="G1033" s="10">
        <f>110.7923 * CHOOSE(CONTROL!$C$9, $D$9, 100%, $F$9) + CHOOSE(CONTROL!$C$27, 0.0021, 0)</f>
        <v>110.7944</v>
      </c>
      <c r="H1033" s="10">
        <f>110.6576 * CHOOSE(CONTROL!$C$9, $D$9, 100%, $F$9) + CHOOSE(CONTROL!$C$27, 0.0021, 0)</f>
        <v>110.6597</v>
      </c>
      <c r="I1033" s="10">
        <f>110.6576 * CHOOSE(CONTROL!$C$9, $D$9, 100%, $F$9) + CHOOSE(CONTROL!$C$27, 0.0021, 0)</f>
        <v>110.6597</v>
      </c>
      <c r="J1033" s="10">
        <f>110.6576 * CHOOSE(CONTROL!$C$9, $D$9, 100%, $F$9) + CHOOSE(CONTROL!$C$27, 0.0021, 0)</f>
        <v>110.6597</v>
      </c>
      <c r="K1033" s="10">
        <f>110.6576 * CHOOSE(CONTROL!$C$9, $D$9, 100%, $F$9) + CHOOSE(CONTROL!$C$27, 0.0021, 0)</f>
        <v>110.6597</v>
      </c>
      <c r="L1033" s="10"/>
    </row>
    <row r="1034" spans="1:12" ht="15.75" x14ac:dyDescent="0.25">
      <c r="A1034" s="13">
        <v>72410</v>
      </c>
      <c r="B1034" s="10">
        <f>109.7826 * CHOOSE(CONTROL!$C$9, $D$9, 100%, $F$9) + CHOOSE(CONTROL!$C$27, 0.0021, 0)</f>
        <v>109.7847</v>
      </c>
      <c r="C1034" s="10">
        <f>109.3503 * CHOOSE(CONTROL!$C$9, $D$9, 100%, $F$9) + CHOOSE(CONTROL!$C$27, 0.0021, 0)</f>
        <v>109.3524</v>
      </c>
      <c r="D1034" s="10">
        <f>109.3503 * CHOOSE(CONTROL!$C$9, $D$9, 100%, $F$9) + CHOOSE(CONTROL!$C$27, 0.0021, 0)</f>
        <v>109.3524</v>
      </c>
      <c r="E1034" s="10">
        <f>109.2137 * CHOOSE(CONTROL!$C$9, $D$9, 100%, $F$9) + CHOOSE(CONTROL!$C$27, 0.0021, 0)</f>
        <v>109.2158</v>
      </c>
      <c r="F1034" s="10">
        <f>109.2137 * CHOOSE(CONTROL!$C$9, $D$9, 100%, $F$9) + CHOOSE(CONTROL!$C$27, 0.0021, 0)</f>
        <v>109.2158</v>
      </c>
      <c r="G1034" s="10">
        <f>109.485 * CHOOSE(CONTROL!$C$9, $D$9, 100%, $F$9) + CHOOSE(CONTROL!$C$27, 0.0021, 0)</f>
        <v>109.4871</v>
      </c>
      <c r="H1034" s="10">
        <f>109.3503 * CHOOSE(CONTROL!$C$9, $D$9, 100%, $F$9) + CHOOSE(CONTROL!$C$27, 0.0021, 0)</f>
        <v>109.3524</v>
      </c>
      <c r="I1034" s="10">
        <f>109.3503 * CHOOSE(CONTROL!$C$9, $D$9, 100%, $F$9) + CHOOSE(CONTROL!$C$27, 0.0021, 0)</f>
        <v>109.3524</v>
      </c>
      <c r="J1034" s="10">
        <f>109.3503 * CHOOSE(CONTROL!$C$9, $D$9, 100%, $F$9) + CHOOSE(CONTROL!$C$27, 0.0021, 0)</f>
        <v>109.3524</v>
      </c>
      <c r="K1034" s="10">
        <f>109.3503 * CHOOSE(CONTROL!$C$9, $D$9, 100%, $F$9) + CHOOSE(CONTROL!$C$27, 0.0021, 0)</f>
        <v>109.3524</v>
      </c>
      <c r="L1034" s="10"/>
    </row>
    <row r="1035" spans="1:12" ht="15.75" x14ac:dyDescent="0.25">
      <c r="A1035" s="13">
        <v>72440</v>
      </c>
      <c r="B1035" s="10">
        <f>108.2216 * CHOOSE(CONTROL!$C$9, $D$9, 100%, $F$9) + CHOOSE(CONTROL!$C$27, 0.0021, 0)</f>
        <v>108.22369999999999</v>
      </c>
      <c r="C1035" s="10">
        <f>107.7893 * CHOOSE(CONTROL!$C$9, $D$9, 100%, $F$9) + CHOOSE(CONTROL!$C$27, 0.0021, 0)</f>
        <v>107.7914</v>
      </c>
      <c r="D1035" s="10">
        <f>107.7893 * CHOOSE(CONTROL!$C$9, $D$9, 100%, $F$9) + CHOOSE(CONTROL!$C$27, 0.0021, 0)</f>
        <v>107.7914</v>
      </c>
      <c r="E1035" s="10">
        <f>107.6527 * CHOOSE(CONTROL!$C$9, $D$9, 100%, $F$9) + CHOOSE(CONTROL!$C$27, 0.0021, 0)</f>
        <v>107.65479999999999</v>
      </c>
      <c r="F1035" s="10">
        <f>107.6527 * CHOOSE(CONTROL!$C$9, $D$9, 100%, $F$9) + CHOOSE(CONTROL!$C$27, 0.0021, 0)</f>
        <v>107.65479999999999</v>
      </c>
      <c r="G1035" s="10">
        <f>107.9241 * CHOOSE(CONTROL!$C$9, $D$9, 100%, $F$9) + CHOOSE(CONTROL!$C$27, 0.0021, 0)</f>
        <v>107.92619999999999</v>
      </c>
      <c r="H1035" s="10">
        <f>107.7893 * CHOOSE(CONTROL!$C$9, $D$9, 100%, $F$9) + CHOOSE(CONTROL!$C$27, 0.0021, 0)</f>
        <v>107.7914</v>
      </c>
      <c r="I1035" s="10">
        <f>107.7893 * CHOOSE(CONTROL!$C$9, $D$9, 100%, $F$9) + CHOOSE(CONTROL!$C$27, 0.0021, 0)</f>
        <v>107.7914</v>
      </c>
      <c r="J1035" s="10">
        <f>107.7893 * CHOOSE(CONTROL!$C$9, $D$9, 100%, $F$9) + CHOOSE(CONTROL!$C$27, 0.0021, 0)</f>
        <v>107.7914</v>
      </c>
      <c r="K1035" s="10">
        <f>107.7893 * CHOOSE(CONTROL!$C$9, $D$9, 100%, $F$9) + CHOOSE(CONTROL!$C$27, 0.0021, 0)</f>
        <v>107.7914</v>
      </c>
      <c r="L1035" s="10"/>
    </row>
    <row r="1036" spans="1:12" ht="15.75" x14ac:dyDescent="0.25">
      <c r="A1036" s="13">
        <v>72471</v>
      </c>
      <c r="B1036" s="10">
        <f>110.4462 * CHOOSE(CONTROL!$C$9, $D$9, 100%, $F$9) + CHOOSE(CONTROL!$C$27, 0.0021, 0)</f>
        <v>110.4483</v>
      </c>
      <c r="C1036" s="10">
        <f>110.0139 * CHOOSE(CONTROL!$C$9, $D$9, 100%, $F$9) + CHOOSE(CONTROL!$C$27, 0.0021, 0)</f>
        <v>110.01600000000001</v>
      </c>
      <c r="D1036" s="10">
        <f>110.0139 * CHOOSE(CONTROL!$C$9, $D$9, 100%, $F$9) + CHOOSE(CONTROL!$C$27, 0.0021, 0)</f>
        <v>110.01600000000001</v>
      </c>
      <c r="E1036" s="10">
        <f>109.8773 * CHOOSE(CONTROL!$C$9, $D$9, 100%, $F$9) + CHOOSE(CONTROL!$C$27, 0.0021, 0)</f>
        <v>109.8794</v>
      </c>
      <c r="F1036" s="10">
        <f>109.8773 * CHOOSE(CONTROL!$C$9, $D$9, 100%, $F$9) + CHOOSE(CONTROL!$C$27, 0.0021, 0)</f>
        <v>109.8794</v>
      </c>
      <c r="G1036" s="10">
        <f>110.1486 * CHOOSE(CONTROL!$C$9, $D$9, 100%, $F$9) + CHOOSE(CONTROL!$C$27, 0.0021, 0)</f>
        <v>110.1507</v>
      </c>
      <c r="H1036" s="10">
        <f>110.0139 * CHOOSE(CONTROL!$C$9, $D$9, 100%, $F$9) + CHOOSE(CONTROL!$C$27, 0.0021, 0)</f>
        <v>110.01600000000001</v>
      </c>
      <c r="I1036" s="10">
        <f>110.0139 * CHOOSE(CONTROL!$C$9, $D$9, 100%, $F$9) + CHOOSE(CONTROL!$C$27, 0.0021, 0)</f>
        <v>110.01600000000001</v>
      </c>
      <c r="J1036" s="10">
        <f>110.0139 * CHOOSE(CONTROL!$C$9, $D$9, 100%, $F$9) + CHOOSE(CONTROL!$C$27, 0.0021, 0)</f>
        <v>110.01600000000001</v>
      </c>
      <c r="K1036" s="10">
        <f>110.0139 * CHOOSE(CONTROL!$C$9, $D$9, 100%, $F$9) + CHOOSE(CONTROL!$C$27, 0.0021, 0)</f>
        <v>110.01600000000001</v>
      </c>
      <c r="L1036" s="10"/>
    </row>
    <row r="1037" spans="1:12" ht="15.75" x14ac:dyDescent="0.25">
      <c r="A1037" s="13">
        <v>72501</v>
      </c>
      <c r="B1037" s="10">
        <f>111.7786 * CHOOSE(CONTROL!$C$9, $D$9, 100%, $F$9) + CHOOSE(CONTROL!$C$27, 0.0021, 0)</f>
        <v>111.7807</v>
      </c>
      <c r="C1037" s="10">
        <f>111.3463 * CHOOSE(CONTROL!$C$9, $D$9, 100%, $F$9) + CHOOSE(CONTROL!$C$27, 0.0021, 0)</f>
        <v>111.3484</v>
      </c>
      <c r="D1037" s="10">
        <f>111.3463 * CHOOSE(CONTROL!$C$9, $D$9, 100%, $F$9) + CHOOSE(CONTROL!$C$27, 0.0021, 0)</f>
        <v>111.3484</v>
      </c>
      <c r="E1037" s="10">
        <f>111.2097 * CHOOSE(CONTROL!$C$9, $D$9, 100%, $F$9) + CHOOSE(CONTROL!$C$27, 0.0021, 0)</f>
        <v>111.2118</v>
      </c>
      <c r="F1037" s="10">
        <f>111.2097 * CHOOSE(CONTROL!$C$9, $D$9, 100%, $F$9) + CHOOSE(CONTROL!$C$27, 0.0021, 0)</f>
        <v>111.2118</v>
      </c>
      <c r="G1037" s="10">
        <f>111.4811 * CHOOSE(CONTROL!$C$9, $D$9, 100%, $F$9) + CHOOSE(CONTROL!$C$27, 0.0021, 0)</f>
        <v>111.4832</v>
      </c>
      <c r="H1037" s="10">
        <f>111.3463 * CHOOSE(CONTROL!$C$9, $D$9, 100%, $F$9) + CHOOSE(CONTROL!$C$27, 0.0021, 0)</f>
        <v>111.3484</v>
      </c>
      <c r="I1037" s="10">
        <f>111.3463 * CHOOSE(CONTROL!$C$9, $D$9, 100%, $F$9) + CHOOSE(CONTROL!$C$27, 0.0021, 0)</f>
        <v>111.3484</v>
      </c>
      <c r="J1037" s="10">
        <f>111.3463 * CHOOSE(CONTROL!$C$9, $D$9, 100%, $F$9) + CHOOSE(CONTROL!$C$27, 0.0021, 0)</f>
        <v>111.3484</v>
      </c>
      <c r="K1037" s="10">
        <f>111.3463 * CHOOSE(CONTROL!$C$9, $D$9, 100%, $F$9) + CHOOSE(CONTROL!$C$27, 0.0021, 0)</f>
        <v>111.3484</v>
      </c>
      <c r="L1037" s="10"/>
    </row>
    <row r="1038" spans="1:12" ht="15.75" x14ac:dyDescent="0.25">
      <c r="A1038" s="13">
        <v>72532</v>
      </c>
      <c r="B1038" s="10">
        <f>113.9766 * CHOOSE(CONTROL!$C$9, $D$9, 100%, $F$9) + CHOOSE(CONTROL!$C$27, 0.0021, 0)</f>
        <v>113.9787</v>
      </c>
      <c r="C1038" s="10">
        <f>113.5443 * CHOOSE(CONTROL!$C$9, $D$9, 100%, $F$9) + CHOOSE(CONTROL!$C$27, 0.0021, 0)</f>
        <v>113.54640000000001</v>
      </c>
      <c r="D1038" s="10">
        <f>113.5443 * CHOOSE(CONTROL!$C$9, $D$9, 100%, $F$9) + CHOOSE(CONTROL!$C$27, 0.0021, 0)</f>
        <v>113.54640000000001</v>
      </c>
      <c r="E1038" s="10">
        <f>113.4077 * CHOOSE(CONTROL!$C$9, $D$9, 100%, $F$9) + CHOOSE(CONTROL!$C$27, 0.0021, 0)</f>
        <v>113.4098</v>
      </c>
      <c r="F1038" s="10">
        <f>113.4077 * CHOOSE(CONTROL!$C$9, $D$9, 100%, $F$9) + CHOOSE(CONTROL!$C$27, 0.0021, 0)</f>
        <v>113.4098</v>
      </c>
      <c r="G1038" s="10">
        <f>113.6791 * CHOOSE(CONTROL!$C$9, $D$9, 100%, $F$9) + CHOOSE(CONTROL!$C$27, 0.0021, 0)</f>
        <v>113.6812</v>
      </c>
      <c r="H1038" s="10">
        <f>113.5443 * CHOOSE(CONTROL!$C$9, $D$9, 100%, $F$9) + CHOOSE(CONTROL!$C$27, 0.0021, 0)</f>
        <v>113.54640000000001</v>
      </c>
      <c r="I1038" s="10">
        <f>113.5443 * CHOOSE(CONTROL!$C$9, $D$9, 100%, $F$9) + CHOOSE(CONTROL!$C$27, 0.0021, 0)</f>
        <v>113.54640000000001</v>
      </c>
      <c r="J1038" s="10">
        <f>113.5443 * CHOOSE(CONTROL!$C$9, $D$9, 100%, $F$9) + CHOOSE(CONTROL!$C$27, 0.0021, 0)</f>
        <v>113.54640000000001</v>
      </c>
      <c r="K1038" s="10">
        <f>113.5443 * CHOOSE(CONTROL!$C$9, $D$9, 100%, $F$9) + CHOOSE(CONTROL!$C$27, 0.0021, 0)</f>
        <v>113.54640000000001</v>
      </c>
      <c r="L1038" s="10"/>
    </row>
    <row r="1039" spans="1:12" ht="15.75" x14ac:dyDescent="0.25">
      <c r="A1039" s="13">
        <v>72563</v>
      </c>
      <c r="B1039" s="10">
        <f>114.6475 * CHOOSE(CONTROL!$C$9, $D$9, 100%, $F$9) + CHOOSE(CONTROL!$C$27, 0.0021, 0)</f>
        <v>114.64959999999999</v>
      </c>
      <c r="C1039" s="10">
        <f>114.2152 * CHOOSE(CONTROL!$C$9, $D$9, 100%, $F$9) + CHOOSE(CONTROL!$C$27, 0.0021, 0)</f>
        <v>114.21729999999999</v>
      </c>
      <c r="D1039" s="10">
        <f>114.2152 * CHOOSE(CONTROL!$C$9, $D$9, 100%, $F$9) + CHOOSE(CONTROL!$C$27, 0.0021, 0)</f>
        <v>114.21729999999999</v>
      </c>
      <c r="E1039" s="10">
        <f>114.0786 * CHOOSE(CONTROL!$C$9, $D$9, 100%, $F$9) + CHOOSE(CONTROL!$C$27, 0.0021, 0)</f>
        <v>114.08069999999999</v>
      </c>
      <c r="F1039" s="10">
        <f>114.0786 * CHOOSE(CONTROL!$C$9, $D$9, 100%, $F$9) + CHOOSE(CONTROL!$C$27, 0.0021, 0)</f>
        <v>114.08069999999999</v>
      </c>
      <c r="G1039" s="10">
        <f>114.35 * CHOOSE(CONTROL!$C$9, $D$9, 100%, $F$9) + CHOOSE(CONTROL!$C$27, 0.0021, 0)</f>
        <v>114.35209999999999</v>
      </c>
      <c r="H1039" s="10">
        <f>114.2152 * CHOOSE(CONTROL!$C$9, $D$9, 100%, $F$9) + CHOOSE(CONTROL!$C$27, 0.0021, 0)</f>
        <v>114.21729999999999</v>
      </c>
      <c r="I1039" s="10">
        <f>114.2152 * CHOOSE(CONTROL!$C$9, $D$9, 100%, $F$9) + CHOOSE(CONTROL!$C$27, 0.0021, 0)</f>
        <v>114.21729999999999</v>
      </c>
      <c r="J1039" s="10">
        <f>114.2152 * CHOOSE(CONTROL!$C$9, $D$9, 100%, $F$9) + CHOOSE(CONTROL!$C$27, 0.0021, 0)</f>
        <v>114.21729999999999</v>
      </c>
      <c r="K1039" s="10">
        <f>114.2152 * CHOOSE(CONTROL!$C$9, $D$9, 100%, $F$9) + CHOOSE(CONTROL!$C$27, 0.0021, 0)</f>
        <v>114.21729999999999</v>
      </c>
      <c r="L1039" s="10"/>
    </row>
    <row r="1040" spans="1:12" ht="15.75" x14ac:dyDescent="0.25">
      <c r="A1040" s="13">
        <v>72593</v>
      </c>
      <c r="B1040" s="10">
        <f>116.9322 * CHOOSE(CONTROL!$C$9, $D$9, 100%, $F$9) + CHOOSE(CONTROL!$C$27, 0.0021, 0)</f>
        <v>116.93429999999999</v>
      </c>
      <c r="C1040" s="10">
        <f>116.5 * CHOOSE(CONTROL!$C$9, $D$9, 100%, $F$9) + CHOOSE(CONTROL!$C$27, 0.0021, 0)</f>
        <v>116.5021</v>
      </c>
      <c r="D1040" s="10">
        <f>116.5 * CHOOSE(CONTROL!$C$9, $D$9, 100%, $F$9) + CHOOSE(CONTROL!$C$27, 0.0021, 0)</f>
        <v>116.5021</v>
      </c>
      <c r="E1040" s="10">
        <f>116.3633 * CHOOSE(CONTROL!$C$9, $D$9, 100%, $F$9) + CHOOSE(CONTROL!$C$27, 0.0021, 0)</f>
        <v>116.36539999999999</v>
      </c>
      <c r="F1040" s="10">
        <f>116.3633 * CHOOSE(CONTROL!$C$9, $D$9, 100%, $F$9) + CHOOSE(CONTROL!$C$27, 0.0021, 0)</f>
        <v>116.36539999999999</v>
      </c>
      <c r="G1040" s="10">
        <f>116.6347 * CHOOSE(CONTROL!$C$9, $D$9, 100%, $F$9) + CHOOSE(CONTROL!$C$27, 0.0021, 0)</f>
        <v>116.63679999999999</v>
      </c>
      <c r="H1040" s="10">
        <f>116.5 * CHOOSE(CONTROL!$C$9, $D$9, 100%, $F$9) + CHOOSE(CONTROL!$C$27, 0.0021, 0)</f>
        <v>116.5021</v>
      </c>
      <c r="I1040" s="10">
        <f>116.5 * CHOOSE(CONTROL!$C$9, $D$9, 100%, $F$9) + CHOOSE(CONTROL!$C$27, 0.0021, 0)</f>
        <v>116.5021</v>
      </c>
      <c r="J1040" s="10">
        <f>116.5 * CHOOSE(CONTROL!$C$9, $D$9, 100%, $F$9) + CHOOSE(CONTROL!$C$27, 0.0021, 0)</f>
        <v>116.5021</v>
      </c>
      <c r="K1040" s="10">
        <f>116.5 * CHOOSE(CONTROL!$C$9, $D$9, 100%, $F$9) + CHOOSE(CONTROL!$C$27, 0.0021, 0)</f>
        <v>116.5021</v>
      </c>
      <c r="L1040" s="10"/>
    </row>
    <row r="1041" spans="1:12" ht="15.75" x14ac:dyDescent="0.25">
      <c r="A1041" s="13">
        <v>72624</v>
      </c>
      <c r="B1041" s="10">
        <f>119.8243 * CHOOSE(CONTROL!$C$9, $D$9, 100%, $F$9) + CHOOSE(CONTROL!$C$27, 0.0021, 0)</f>
        <v>119.82639999999999</v>
      </c>
      <c r="C1041" s="10">
        <f>119.3921 * CHOOSE(CONTROL!$C$9, $D$9, 100%, $F$9) + CHOOSE(CONTROL!$C$27, 0.0021, 0)</f>
        <v>119.3942</v>
      </c>
      <c r="D1041" s="10">
        <f>119.3921 * CHOOSE(CONTROL!$C$9, $D$9, 100%, $F$9) + CHOOSE(CONTROL!$C$27, 0.0021, 0)</f>
        <v>119.3942</v>
      </c>
      <c r="E1041" s="10">
        <f>119.2554 * CHOOSE(CONTROL!$C$9, $D$9, 100%, $F$9) + CHOOSE(CONTROL!$C$27, 0.0021, 0)</f>
        <v>119.25749999999999</v>
      </c>
      <c r="F1041" s="10">
        <f>119.2554 * CHOOSE(CONTROL!$C$9, $D$9, 100%, $F$9) + CHOOSE(CONTROL!$C$27, 0.0021, 0)</f>
        <v>119.25749999999999</v>
      </c>
      <c r="G1041" s="10">
        <f>119.5268 * CHOOSE(CONTROL!$C$9, $D$9, 100%, $F$9) + CHOOSE(CONTROL!$C$27, 0.0021, 0)</f>
        <v>119.52889999999999</v>
      </c>
      <c r="H1041" s="10">
        <f>119.3921 * CHOOSE(CONTROL!$C$9, $D$9, 100%, $F$9) + CHOOSE(CONTROL!$C$27, 0.0021, 0)</f>
        <v>119.3942</v>
      </c>
      <c r="I1041" s="10">
        <f>119.3921 * CHOOSE(CONTROL!$C$9, $D$9, 100%, $F$9) + CHOOSE(CONTROL!$C$27, 0.0021, 0)</f>
        <v>119.3942</v>
      </c>
      <c r="J1041" s="10">
        <f>119.3921 * CHOOSE(CONTROL!$C$9, $D$9, 100%, $F$9) + CHOOSE(CONTROL!$C$27, 0.0021, 0)</f>
        <v>119.3942</v>
      </c>
      <c r="K1041" s="10">
        <f>119.3921 * CHOOSE(CONTROL!$C$9, $D$9, 100%, $F$9) + CHOOSE(CONTROL!$C$27, 0.0021, 0)</f>
        <v>119.3942</v>
      </c>
      <c r="L1041" s="10"/>
    </row>
    <row r="1042" spans="1:12" ht="15.75" x14ac:dyDescent="0.25">
      <c r="A1042" s="13">
        <v>72654</v>
      </c>
      <c r="B1042" s="10">
        <f>120.0958 * CHOOSE(CONTROL!$C$9, $D$9, 100%, $F$9) + CHOOSE(CONTROL!$C$27, 0.0021, 0)</f>
        <v>120.0979</v>
      </c>
      <c r="C1042" s="10">
        <f>119.6636 * CHOOSE(CONTROL!$C$9, $D$9, 100%, $F$9) + CHOOSE(CONTROL!$C$27, 0.0021, 0)</f>
        <v>119.6657</v>
      </c>
      <c r="D1042" s="10">
        <f>119.6636 * CHOOSE(CONTROL!$C$9, $D$9, 100%, $F$9) + CHOOSE(CONTROL!$C$27, 0.0021, 0)</f>
        <v>119.6657</v>
      </c>
      <c r="E1042" s="10">
        <f>119.5269 * CHOOSE(CONTROL!$C$9, $D$9, 100%, $F$9) + CHOOSE(CONTROL!$C$27, 0.0021, 0)</f>
        <v>119.529</v>
      </c>
      <c r="F1042" s="10">
        <f>119.5269 * CHOOSE(CONTROL!$C$9, $D$9, 100%, $F$9) + CHOOSE(CONTROL!$C$27, 0.0021, 0)</f>
        <v>119.529</v>
      </c>
      <c r="G1042" s="10">
        <f>119.7983 * CHOOSE(CONTROL!$C$9, $D$9, 100%, $F$9) + CHOOSE(CONTROL!$C$27, 0.0021, 0)</f>
        <v>119.8004</v>
      </c>
      <c r="H1042" s="10">
        <f>119.6636 * CHOOSE(CONTROL!$C$9, $D$9, 100%, $F$9) + CHOOSE(CONTROL!$C$27, 0.0021, 0)</f>
        <v>119.6657</v>
      </c>
      <c r="I1042" s="10">
        <f>119.6636 * CHOOSE(CONTROL!$C$9, $D$9, 100%, $F$9) + CHOOSE(CONTROL!$C$27, 0.0021, 0)</f>
        <v>119.6657</v>
      </c>
      <c r="J1042" s="10">
        <f>119.6636 * CHOOSE(CONTROL!$C$9, $D$9, 100%, $F$9) + CHOOSE(CONTROL!$C$27, 0.0021, 0)</f>
        <v>119.6657</v>
      </c>
      <c r="K1042" s="10">
        <f>119.6636 * CHOOSE(CONTROL!$C$9, $D$9, 100%, $F$9) + CHOOSE(CONTROL!$C$27, 0.0021, 0)</f>
        <v>119.6657</v>
      </c>
      <c r="L1042" s="10"/>
    </row>
    <row r="1043" spans="1:12" ht="15.75" x14ac:dyDescent="0.25">
      <c r="A1043" s="13">
        <v>72685</v>
      </c>
      <c r="B1043" s="10">
        <f>117.786 * CHOOSE(CONTROL!$C$9, $D$9, 100%, $F$9) + CHOOSE(CONTROL!$C$27, 0.0021, 0)</f>
        <v>117.7881</v>
      </c>
      <c r="C1043" s="10">
        <f>117.3537 * CHOOSE(CONTROL!$C$9, $D$9, 100%, $F$9) + CHOOSE(CONTROL!$C$27, 0.0021, 0)</f>
        <v>117.3558</v>
      </c>
      <c r="D1043" s="10">
        <f>117.3537 * CHOOSE(CONTROL!$C$9, $D$9, 100%, $F$9) + CHOOSE(CONTROL!$C$27, 0.0021, 0)</f>
        <v>117.3558</v>
      </c>
      <c r="E1043" s="10">
        <f>117.2171 * CHOOSE(CONTROL!$C$9, $D$9, 100%, $F$9) + CHOOSE(CONTROL!$C$27, 0.0021, 0)</f>
        <v>117.2192</v>
      </c>
      <c r="F1043" s="10">
        <f>117.2171 * CHOOSE(CONTROL!$C$9, $D$9, 100%, $F$9) + CHOOSE(CONTROL!$C$27, 0.0021, 0)</f>
        <v>117.2192</v>
      </c>
      <c r="G1043" s="10">
        <f>117.4884 * CHOOSE(CONTROL!$C$9, $D$9, 100%, $F$9) + CHOOSE(CONTROL!$C$27, 0.0021, 0)</f>
        <v>117.4905</v>
      </c>
      <c r="H1043" s="10">
        <f>117.3537 * CHOOSE(CONTROL!$C$9, $D$9, 100%, $F$9) + CHOOSE(CONTROL!$C$27, 0.0021, 0)</f>
        <v>117.3558</v>
      </c>
      <c r="I1043" s="10">
        <f>117.3537 * CHOOSE(CONTROL!$C$9, $D$9, 100%, $F$9) + CHOOSE(CONTROL!$C$27, 0.0021, 0)</f>
        <v>117.3558</v>
      </c>
      <c r="J1043" s="10">
        <f>117.3537 * CHOOSE(CONTROL!$C$9, $D$9, 100%, $F$9) + CHOOSE(CONTROL!$C$27, 0.0021, 0)</f>
        <v>117.3558</v>
      </c>
      <c r="K1043" s="10">
        <f>117.3537 * CHOOSE(CONTROL!$C$9, $D$9, 100%, $F$9) + CHOOSE(CONTROL!$C$27, 0.0021, 0)</f>
        <v>117.3558</v>
      </c>
      <c r="L1043" s="10"/>
    </row>
    <row r="1044" spans="1:12" ht="15.75" x14ac:dyDescent="0.25">
      <c r="A1044" s="13">
        <v>72716</v>
      </c>
      <c r="B1044" s="10">
        <f>116.2727 * CHOOSE(CONTROL!$C$9, $D$9, 100%, $F$9) + CHOOSE(CONTROL!$C$27, 0.0021, 0)</f>
        <v>116.2748</v>
      </c>
      <c r="C1044" s="10">
        <f>115.8405 * CHOOSE(CONTROL!$C$9, $D$9, 100%, $F$9) + CHOOSE(CONTROL!$C$27, 0.0021, 0)</f>
        <v>115.8426</v>
      </c>
      <c r="D1044" s="10">
        <f>115.8405 * CHOOSE(CONTROL!$C$9, $D$9, 100%, $F$9) + CHOOSE(CONTROL!$C$27, 0.0021, 0)</f>
        <v>115.8426</v>
      </c>
      <c r="E1044" s="10">
        <f>115.7038 * CHOOSE(CONTROL!$C$9, $D$9, 100%, $F$9) + CHOOSE(CONTROL!$C$27, 0.0021, 0)</f>
        <v>115.7059</v>
      </c>
      <c r="F1044" s="10">
        <f>115.7038 * CHOOSE(CONTROL!$C$9, $D$9, 100%, $F$9) + CHOOSE(CONTROL!$C$27, 0.0021, 0)</f>
        <v>115.7059</v>
      </c>
      <c r="G1044" s="10">
        <f>115.9752 * CHOOSE(CONTROL!$C$9, $D$9, 100%, $F$9) + CHOOSE(CONTROL!$C$27, 0.0021, 0)</f>
        <v>115.9773</v>
      </c>
      <c r="H1044" s="10">
        <f>115.8405 * CHOOSE(CONTROL!$C$9, $D$9, 100%, $F$9) + CHOOSE(CONTROL!$C$27, 0.0021, 0)</f>
        <v>115.8426</v>
      </c>
      <c r="I1044" s="10">
        <f>115.8405 * CHOOSE(CONTROL!$C$9, $D$9, 100%, $F$9) + CHOOSE(CONTROL!$C$27, 0.0021, 0)</f>
        <v>115.8426</v>
      </c>
      <c r="J1044" s="10">
        <f>115.8405 * CHOOSE(CONTROL!$C$9, $D$9, 100%, $F$9) + CHOOSE(CONTROL!$C$27, 0.0021, 0)</f>
        <v>115.8426</v>
      </c>
      <c r="K1044" s="10">
        <f>115.8405 * CHOOSE(CONTROL!$C$9, $D$9, 100%, $F$9) + CHOOSE(CONTROL!$C$27, 0.0021, 0)</f>
        <v>115.8426</v>
      </c>
      <c r="L1044" s="10"/>
    </row>
    <row r="1045" spans="1:12" ht="15.75" x14ac:dyDescent="0.25">
      <c r="A1045" s="13">
        <v>72744</v>
      </c>
      <c r="B1045" s="10">
        <f>113.0488 * CHOOSE(CONTROL!$C$9, $D$9, 100%, $F$9) + CHOOSE(CONTROL!$C$27, 0.0021, 0)</f>
        <v>113.0509</v>
      </c>
      <c r="C1045" s="10">
        <f>112.6165 * CHOOSE(CONTROL!$C$9, $D$9, 100%, $F$9) + CHOOSE(CONTROL!$C$27, 0.0021, 0)</f>
        <v>112.6186</v>
      </c>
      <c r="D1045" s="10">
        <f>112.6165 * CHOOSE(CONTROL!$C$9, $D$9, 100%, $F$9) + CHOOSE(CONTROL!$C$27, 0.0021, 0)</f>
        <v>112.6186</v>
      </c>
      <c r="E1045" s="10">
        <f>112.4799 * CHOOSE(CONTROL!$C$9, $D$9, 100%, $F$9) + CHOOSE(CONTROL!$C$27, 0.0021, 0)</f>
        <v>112.482</v>
      </c>
      <c r="F1045" s="10">
        <f>112.4799 * CHOOSE(CONTROL!$C$9, $D$9, 100%, $F$9) + CHOOSE(CONTROL!$C$27, 0.0021, 0)</f>
        <v>112.482</v>
      </c>
      <c r="G1045" s="10">
        <f>112.7512 * CHOOSE(CONTROL!$C$9, $D$9, 100%, $F$9) + CHOOSE(CONTROL!$C$27, 0.0021, 0)</f>
        <v>112.7533</v>
      </c>
      <c r="H1045" s="10">
        <f>112.6165 * CHOOSE(CONTROL!$C$9, $D$9, 100%, $F$9) + CHOOSE(CONTROL!$C$27, 0.0021, 0)</f>
        <v>112.6186</v>
      </c>
      <c r="I1045" s="10">
        <f>112.6165 * CHOOSE(CONTROL!$C$9, $D$9, 100%, $F$9) + CHOOSE(CONTROL!$C$27, 0.0021, 0)</f>
        <v>112.6186</v>
      </c>
      <c r="J1045" s="10">
        <f>112.6165 * CHOOSE(CONTROL!$C$9, $D$9, 100%, $F$9) + CHOOSE(CONTROL!$C$27, 0.0021, 0)</f>
        <v>112.6186</v>
      </c>
      <c r="K1045" s="10">
        <f>112.6165 * CHOOSE(CONTROL!$C$9, $D$9, 100%, $F$9) + CHOOSE(CONTROL!$C$27, 0.0021, 0)</f>
        <v>112.6186</v>
      </c>
      <c r="L1045" s="10"/>
    </row>
    <row r="1046" spans="1:12" ht="15.75" x14ac:dyDescent="0.25">
      <c r="A1046" s="13">
        <v>72775</v>
      </c>
      <c r="B1046" s="10">
        <f>111.7179 * CHOOSE(CONTROL!$C$9, $D$9, 100%, $F$9) + CHOOSE(CONTROL!$C$27, 0.0021, 0)</f>
        <v>111.72</v>
      </c>
      <c r="C1046" s="10">
        <f>111.2857 * CHOOSE(CONTROL!$C$9, $D$9, 100%, $F$9) + CHOOSE(CONTROL!$C$27, 0.0021, 0)</f>
        <v>111.2878</v>
      </c>
      <c r="D1046" s="10">
        <f>111.2857 * CHOOSE(CONTROL!$C$9, $D$9, 100%, $F$9) + CHOOSE(CONTROL!$C$27, 0.0021, 0)</f>
        <v>111.2878</v>
      </c>
      <c r="E1046" s="10">
        <f>111.149 * CHOOSE(CONTROL!$C$9, $D$9, 100%, $F$9) + CHOOSE(CONTROL!$C$27, 0.0021, 0)</f>
        <v>111.1511</v>
      </c>
      <c r="F1046" s="10">
        <f>111.149 * CHOOSE(CONTROL!$C$9, $D$9, 100%, $F$9) + CHOOSE(CONTROL!$C$27, 0.0021, 0)</f>
        <v>111.1511</v>
      </c>
      <c r="G1046" s="10">
        <f>111.4204 * CHOOSE(CONTROL!$C$9, $D$9, 100%, $F$9) + CHOOSE(CONTROL!$C$27, 0.0021, 0)</f>
        <v>111.4225</v>
      </c>
      <c r="H1046" s="10">
        <f>111.2857 * CHOOSE(CONTROL!$C$9, $D$9, 100%, $F$9) + CHOOSE(CONTROL!$C$27, 0.0021, 0)</f>
        <v>111.2878</v>
      </c>
      <c r="I1046" s="10">
        <f>111.2857 * CHOOSE(CONTROL!$C$9, $D$9, 100%, $F$9) + CHOOSE(CONTROL!$C$27, 0.0021, 0)</f>
        <v>111.2878</v>
      </c>
      <c r="J1046" s="10">
        <f>111.2857 * CHOOSE(CONTROL!$C$9, $D$9, 100%, $F$9) + CHOOSE(CONTROL!$C$27, 0.0021, 0)</f>
        <v>111.2878</v>
      </c>
      <c r="K1046" s="10">
        <f>111.2857 * CHOOSE(CONTROL!$C$9, $D$9, 100%, $F$9) + CHOOSE(CONTROL!$C$27, 0.0021, 0)</f>
        <v>111.2878</v>
      </c>
      <c r="L1046" s="10"/>
    </row>
    <row r="1047" spans="1:12" ht="15.75" x14ac:dyDescent="0.25">
      <c r="A1047" s="13">
        <v>72805</v>
      </c>
      <c r="B1047" s="10">
        <f>110.1288 * CHOOSE(CONTROL!$C$9, $D$9, 100%, $F$9) + CHOOSE(CONTROL!$C$27, 0.0021, 0)</f>
        <v>110.1309</v>
      </c>
      <c r="C1047" s="10">
        <f>109.6966 * CHOOSE(CONTROL!$C$9, $D$9, 100%, $F$9) + CHOOSE(CONTROL!$C$27, 0.0021, 0)</f>
        <v>109.6987</v>
      </c>
      <c r="D1047" s="10">
        <f>109.6966 * CHOOSE(CONTROL!$C$9, $D$9, 100%, $F$9) + CHOOSE(CONTROL!$C$27, 0.0021, 0)</f>
        <v>109.6987</v>
      </c>
      <c r="E1047" s="10">
        <f>109.5599 * CHOOSE(CONTROL!$C$9, $D$9, 100%, $F$9) + CHOOSE(CONTROL!$C$27, 0.0021, 0)</f>
        <v>109.562</v>
      </c>
      <c r="F1047" s="10">
        <f>109.5599 * CHOOSE(CONTROL!$C$9, $D$9, 100%, $F$9) + CHOOSE(CONTROL!$C$27, 0.0021, 0)</f>
        <v>109.562</v>
      </c>
      <c r="G1047" s="10">
        <f>109.8313 * CHOOSE(CONTROL!$C$9, $D$9, 100%, $F$9) + CHOOSE(CONTROL!$C$27, 0.0021, 0)</f>
        <v>109.8334</v>
      </c>
      <c r="H1047" s="10">
        <f>109.6966 * CHOOSE(CONTROL!$C$9, $D$9, 100%, $F$9) + CHOOSE(CONTROL!$C$27, 0.0021, 0)</f>
        <v>109.6987</v>
      </c>
      <c r="I1047" s="10">
        <f>109.6966 * CHOOSE(CONTROL!$C$9, $D$9, 100%, $F$9) + CHOOSE(CONTROL!$C$27, 0.0021, 0)</f>
        <v>109.6987</v>
      </c>
      <c r="J1047" s="10">
        <f>109.6966 * CHOOSE(CONTROL!$C$9, $D$9, 100%, $F$9) + CHOOSE(CONTROL!$C$27, 0.0021, 0)</f>
        <v>109.6987</v>
      </c>
      <c r="K1047" s="10">
        <f>109.6966 * CHOOSE(CONTROL!$C$9, $D$9, 100%, $F$9) + CHOOSE(CONTROL!$C$27, 0.0021, 0)</f>
        <v>109.6987</v>
      </c>
      <c r="L1047" s="10"/>
    </row>
    <row r="1048" spans="1:12" ht="15.75" x14ac:dyDescent="0.25">
      <c r="A1048" s="13">
        <v>72836</v>
      </c>
      <c r="B1048" s="10">
        <f>112.3934 * CHOOSE(CONTROL!$C$9, $D$9, 100%, $F$9) + CHOOSE(CONTROL!$C$27, 0.0021, 0)</f>
        <v>112.3955</v>
      </c>
      <c r="C1048" s="10">
        <f>111.9612 * CHOOSE(CONTROL!$C$9, $D$9, 100%, $F$9) + CHOOSE(CONTROL!$C$27, 0.0021, 0)</f>
        <v>111.9633</v>
      </c>
      <c r="D1048" s="10">
        <f>111.9612 * CHOOSE(CONTROL!$C$9, $D$9, 100%, $F$9) + CHOOSE(CONTROL!$C$27, 0.0021, 0)</f>
        <v>111.9633</v>
      </c>
      <c r="E1048" s="10">
        <f>111.8245 * CHOOSE(CONTROL!$C$9, $D$9, 100%, $F$9) + CHOOSE(CONTROL!$C$27, 0.0021, 0)</f>
        <v>111.8266</v>
      </c>
      <c r="F1048" s="10">
        <f>111.8245 * CHOOSE(CONTROL!$C$9, $D$9, 100%, $F$9) + CHOOSE(CONTROL!$C$27, 0.0021, 0)</f>
        <v>111.8266</v>
      </c>
      <c r="G1048" s="10">
        <f>112.0959 * CHOOSE(CONTROL!$C$9, $D$9, 100%, $F$9) + CHOOSE(CONTROL!$C$27, 0.0021, 0)</f>
        <v>112.098</v>
      </c>
      <c r="H1048" s="10">
        <f>111.9612 * CHOOSE(CONTROL!$C$9, $D$9, 100%, $F$9) + CHOOSE(CONTROL!$C$27, 0.0021, 0)</f>
        <v>111.9633</v>
      </c>
      <c r="I1048" s="10">
        <f>111.9612 * CHOOSE(CONTROL!$C$9, $D$9, 100%, $F$9) + CHOOSE(CONTROL!$C$27, 0.0021, 0)</f>
        <v>111.9633</v>
      </c>
      <c r="J1048" s="10">
        <f>111.9612 * CHOOSE(CONTROL!$C$9, $D$9, 100%, $F$9) + CHOOSE(CONTROL!$C$27, 0.0021, 0)</f>
        <v>111.9633</v>
      </c>
      <c r="K1048" s="10">
        <f>111.9612 * CHOOSE(CONTROL!$C$9, $D$9, 100%, $F$9) + CHOOSE(CONTROL!$C$27, 0.0021, 0)</f>
        <v>111.9633</v>
      </c>
      <c r="L1048" s="10"/>
    </row>
    <row r="1049" spans="1:12" ht="15.75" x14ac:dyDescent="0.25">
      <c r="A1049" s="13">
        <v>72866</v>
      </c>
      <c r="B1049" s="10">
        <f>113.7499 * CHOOSE(CONTROL!$C$9, $D$9, 100%, $F$9) + CHOOSE(CONTROL!$C$27, 0.0021, 0)</f>
        <v>113.752</v>
      </c>
      <c r="C1049" s="10">
        <f>113.3176 * CHOOSE(CONTROL!$C$9, $D$9, 100%, $F$9) + CHOOSE(CONTROL!$C$27, 0.0021, 0)</f>
        <v>113.3197</v>
      </c>
      <c r="D1049" s="10">
        <f>113.3176 * CHOOSE(CONTROL!$C$9, $D$9, 100%, $F$9) + CHOOSE(CONTROL!$C$27, 0.0021, 0)</f>
        <v>113.3197</v>
      </c>
      <c r="E1049" s="10">
        <f>113.181 * CHOOSE(CONTROL!$C$9, $D$9, 100%, $F$9) + CHOOSE(CONTROL!$C$27, 0.0021, 0)</f>
        <v>113.1831</v>
      </c>
      <c r="F1049" s="10">
        <f>113.181 * CHOOSE(CONTROL!$C$9, $D$9, 100%, $F$9) + CHOOSE(CONTROL!$C$27, 0.0021, 0)</f>
        <v>113.1831</v>
      </c>
      <c r="G1049" s="10">
        <f>113.4523 * CHOOSE(CONTROL!$C$9, $D$9, 100%, $F$9) + CHOOSE(CONTROL!$C$27, 0.0021, 0)</f>
        <v>113.45439999999999</v>
      </c>
      <c r="H1049" s="10">
        <f>113.3176 * CHOOSE(CONTROL!$C$9, $D$9, 100%, $F$9) + CHOOSE(CONTROL!$C$27, 0.0021, 0)</f>
        <v>113.3197</v>
      </c>
      <c r="I1049" s="10">
        <f>113.3176 * CHOOSE(CONTROL!$C$9, $D$9, 100%, $F$9) + CHOOSE(CONTROL!$C$27, 0.0021, 0)</f>
        <v>113.3197</v>
      </c>
      <c r="J1049" s="10">
        <f>113.3176 * CHOOSE(CONTROL!$C$9, $D$9, 100%, $F$9) + CHOOSE(CONTROL!$C$27, 0.0021, 0)</f>
        <v>113.3197</v>
      </c>
      <c r="K1049" s="10">
        <f>113.3176 * CHOOSE(CONTROL!$C$9, $D$9, 100%, $F$9) + CHOOSE(CONTROL!$C$27, 0.0021, 0)</f>
        <v>113.3197</v>
      </c>
      <c r="L1049" s="10"/>
    </row>
    <row r="1050" spans="1:12" ht="15.75" x14ac:dyDescent="0.25">
      <c r="A1050" s="13">
        <v>72897</v>
      </c>
      <c r="B1050" s="10">
        <f>115.9874 * CHOOSE(CONTROL!$C$9, $D$9, 100%, $F$9) + CHOOSE(CONTROL!$C$27, 0.0021, 0)</f>
        <v>115.98949999999999</v>
      </c>
      <c r="C1050" s="10">
        <f>115.5552 * CHOOSE(CONTROL!$C$9, $D$9, 100%, $F$9) + CHOOSE(CONTROL!$C$27, 0.0021, 0)</f>
        <v>115.5573</v>
      </c>
      <c r="D1050" s="10">
        <f>115.5552 * CHOOSE(CONTROL!$C$9, $D$9, 100%, $F$9) + CHOOSE(CONTROL!$C$27, 0.0021, 0)</f>
        <v>115.5573</v>
      </c>
      <c r="E1050" s="10">
        <f>115.4185 * CHOOSE(CONTROL!$C$9, $D$9, 100%, $F$9) + CHOOSE(CONTROL!$C$27, 0.0021, 0)</f>
        <v>115.42059999999999</v>
      </c>
      <c r="F1050" s="10">
        <f>115.4185 * CHOOSE(CONTROL!$C$9, $D$9, 100%, $F$9) + CHOOSE(CONTROL!$C$27, 0.0021, 0)</f>
        <v>115.42059999999999</v>
      </c>
      <c r="G1050" s="10">
        <f>115.6899 * CHOOSE(CONTROL!$C$9, $D$9, 100%, $F$9) + CHOOSE(CONTROL!$C$27, 0.0021, 0)</f>
        <v>115.69199999999999</v>
      </c>
      <c r="H1050" s="10">
        <f>115.5552 * CHOOSE(CONTROL!$C$9, $D$9, 100%, $F$9) + CHOOSE(CONTROL!$C$27, 0.0021, 0)</f>
        <v>115.5573</v>
      </c>
      <c r="I1050" s="10">
        <f>115.5552 * CHOOSE(CONTROL!$C$9, $D$9, 100%, $F$9) + CHOOSE(CONTROL!$C$27, 0.0021, 0)</f>
        <v>115.5573</v>
      </c>
      <c r="J1050" s="10">
        <f>115.5552 * CHOOSE(CONTROL!$C$9, $D$9, 100%, $F$9) + CHOOSE(CONTROL!$C$27, 0.0021, 0)</f>
        <v>115.5573</v>
      </c>
      <c r="K1050" s="10">
        <f>115.5552 * CHOOSE(CONTROL!$C$9, $D$9, 100%, $F$9) + CHOOSE(CONTROL!$C$27, 0.0021, 0)</f>
        <v>115.5573</v>
      </c>
      <c r="L1050" s="10"/>
    </row>
    <row r="1051" spans="1:12" ht="15.75" x14ac:dyDescent="0.25">
      <c r="A1051" s="13">
        <v>72928</v>
      </c>
      <c r="B1051" s="10">
        <f>116.6704 * CHOOSE(CONTROL!$C$9, $D$9, 100%, $F$9) + CHOOSE(CONTROL!$C$27, 0.0021, 0)</f>
        <v>116.6725</v>
      </c>
      <c r="C1051" s="10">
        <f>116.2382 * CHOOSE(CONTROL!$C$9, $D$9, 100%, $F$9) + CHOOSE(CONTROL!$C$27, 0.0021, 0)</f>
        <v>116.2403</v>
      </c>
      <c r="D1051" s="10">
        <f>116.2382 * CHOOSE(CONTROL!$C$9, $D$9, 100%, $F$9) + CHOOSE(CONTROL!$C$27, 0.0021, 0)</f>
        <v>116.2403</v>
      </c>
      <c r="E1051" s="10">
        <f>116.1015 * CHOOSE(CONTROL!$C$9, $D$9, 100%, $F$9) + CHOOSE(CONTROL!$C$27, 0.0021, 0)</f>
        <v>116.1036</v>
      </c>
      <c r="F1051" s="10">
        <f>116.1015 * CHOOSE(CONTROL!$C$9, $D$9, 100%, $F$9) + CHOOSE(CONTROL!$C$27, 0.0021, 0)</f>
        <v>116.1036</v>
      </c>
      <c r="G1051" s="10">
        <f>116.3729 * CHOOSE(CONTROL!$C$9, $D$9, 100%, $F$9) + CHOOSE(CONTROL!$C$27, 0.0021, 0)</f>
        <v>116.375</v>
      </c>
      <c r="H1051" s="10">
        <f>116.2382 * CHOOSE(CONTROL!$C$9, $D$9, 100%, $F$9) + CHOOSE(CONTROL!$C$27, 0.0021, 0)</f>
        <v>116.2403</v>
      </c>
      <c r="I1051" s="10">
        <f>116.2382 * CHOOSE(CONTROL!$C$9, $D$9, 100%, $F$9) + CHOOSE(CONTROL!$C$27, 0.0021, 0)</f>
        <v>116.2403</v>
      </c>
      <c r="J1051" s="10">
        <f>116.2382 * CHOOSE(CONTROL!$C$9, $D$9, 100%, $F$9) + CHOOSE(CONTROL!$C$27, 0.0021, 0)</f>
        <v>116.2403</v>
      </c>
      <c r="K1051" s="10">
        <f>116.2382 * CHOOSE(CONTROL!$C$9, $D$9, 100%, $F$9) + CHOOSE(CONTROL!$C$27, 0.0021, 0)</f>
        <v>116.2403</v>
      </c>
      <c r="L1051" s="10"/>
    </row>
    <row r="1052" spans="1:12" ht="15.75" x14ac:dyDescent="0.25">
      <c r="A1052" s="13">
        <v>72958</v>
      </c>
      <c r="B1052" s="10">
        <f>118.9963 * CHOOSE(CONTROL!$C$9, $D$9, 100%, $F$9) + CHOOSE(CONTROL!$C$27, 0.0021, 0)</f>
        <v>118.9984</v>
      </c>
      <c r="C1052" s="10">
        <f>118.5641 * CHOOSE(CONTROL!$C$9, $D$9, 100%, $F$9) + CHOOSE(CONTROL!$C$27, 0.0021, 0)</f>
        <v>118.56619999999999</v>
      </c>
      <c r="D1052" s="10">
        <f>118.5641 * CHOOSE(CONTROL!$C$9, $D$9, 100%, $F$9) + CHOOSE(CONTROL!$C$27, 0.0021, 0)</f>
        <v>118.56619999999999</v>
      </c>
      <c r="E1052" s="10">
        <f>118.4274 * CHOOSE(CONTROL!$C$9, $D$9, 100%, $F$9) + CHOOSE(CONTROL!$C$27, 0.0021, 0)</f>
        <v>118.4295</v>
      </c>
      <c r="F1052" s="10">
        <f>118.4274 * CHOOSE(CONTROL!$C$9, $D$9, 100%, $F$9) + CHOOSE(CONTROL!$C$27, 0.0021, 0)</f>
        <v>118.4295</v>
      </c>
      <c r="G1052" s="10">
        <f>118.6988 * CHOOSE(CONTROL!$C$9, $D$9, 100%, $F$9) + CHOOSE(CONTROL!$C$27, 0.0021, 0)</f>
        <v>118.7009</v>
      </c>
      <c r="H1052" s="10">
        <f>118.5641 * CHOOSE(CONTROL!$C$9, $D$9, 100%, $F$9) + CHOOSE(CONTROL!$C$27, 0.0021, 0)</f>
        <v>118.56619999999999</v>
      </c>
      <c r="I1052" s="10">
        <f>118.5641 * CHOOSE(CONTROL!$C$9, $D$9, 100%, $F$9) + CHOOSE(CONTROL!$C$27, 0.0021, 0)</f>
        <v>118.56619999999999</v>
      </c>
      <c r="J1052" s="10">
        <f>118.5641 * CHOOSE(CONTROL!$C$9, $D$9, 100%, $F$9) + CHOOSE(CONTROL!$C$27, 0.0021, 0)</f>
        <v>118.56619999999999</v>
      </c>
      <c r="K1052" s="10">
        <f>118.5641 * CHOOSE(CONTROL!$C$9, $D$9, 100%, $F$9) + CHOOSE(CONTROL!$C$27, 0.0021, 0)</f>
        <v>118.56619999999999</v>
      </c>
      <c r="L1052" s="10"/>
    </row>
    <row r="1053" spans="1:12" ht="15.75" x14ac:dyDescent="0.25">
      <c r="A1053" s="13">
        <v>72989</v>
      </c>
      <c r="B1053" s="10">
        <f>121.9405 * CHOOSE(CONTROL!$C$9, $D$9, 100%, $F$9) + CHOOSE(CONTROL!$C$27, 0.0021, 0)</f>
        <v>121.9426</v>
      </c>
      <c r="C1053" s="10">
        <f>121.5082 * CHOOSE(CONTROL!$C$9, $D$9, 100%, $F$9) + CHOOSE(CONTROL!$C$27, 0.0021, 0)</f>
        <v>121.5103</v>
      </c>
      <c r="D1053" s="10">
        <f>121.5082 * CHOOSE(CONTROL!$C$9, $D$9, 100%, $F$9) + CHOOSE(CONTROL!$C$27, 0.0021, 0)</f>
        <v>121.5103</v>
      </c>
      <c r="E1053" s="10">
        <f>121.3716 * CHOOSE(CONTROL!$C$9, $D$9, 100%, $F$9) + CHOOSE(CONTROL!$C$27, 0.0021, 0)</f>
        <v>121.3737</v>
      </c>
      <c r="F1053" s="10">
        <f>121.3716 * CHOOSE(CONTROL!$C$9, $D$9, 100%, $F$9) + CHOOSE(CONTROL!$C$27, 0.0021, 0)</f>
        <v>121.3737</v>
      </c>
      <c r="G1053" s="10">
        <f>121.6429 * CHOOSE(CONTROL!$C$9, $D$9, 100%, $F$9) + CHOOSE(CONTROL!$C$27, 0.0021, 0)</f>
        <v>121.645</v>
      </c>
      <c r="H1053" s="10">
        <f>121.5082 * CHOOSE(CONTROL!$C$9, $D$9, 100%, $F$9) + CHOOSE(CONTROL!$C$27, 0.0021, 0)</f>
        <v>121.5103</v>
      </c>
      <c r="I1053" s="10">
        <f>121.5082 * CHOOSE(CONTROL!$C$9, $D$9, 100%, $F$9) + CHOOSE(CONTROL!$C$27, 0.0021, 0)</f>
        <v>121.5103</v>
      </c>
      <c r="J1053" s="10">
        <f>121.5082 * CHOOSE(CONTROL!$C$9, $D$9, 100%, $F$9) + CHOOSE(CONTROL!$C$27, 0.0021, 0)</f>
        <v>121.5103</v>
      </c>
      <c r="K1053" s="10">
        <f>121.5082 * CHOOSE(CONTROL!$C$9, $D$9, 100%, $F$9) + CHOOSE(CONTROL!$C$27, 0.0021, 0)</f>
        <v>121.5103</v>
      </c>
      <c r="L1053" s="10"/>
    </row>
    <row r="1054" spans="1:12" ht="15.75" x14ac:dyDescent="0.25">
      <c r="A1054" s="13">
        <v>73019</v>
      </c>
      <c r="B1054" s="10">
        <f>122.2168 * CHOOSE(CONTROL!$C$9, $D$9, 100%, $F$9) + CHOOSE(CONTROL!$C$27, 0.0021, 0)</f>
        <v>122.2189</v>
      </c>
      <c r="C1054" s="10">
        <f>121.7846 * CHOOSE(CONTROL!$C$9, $D$9, 100%, $F$9) + CHOOSE(CONTROL!$C$27, 0.0021, 0)</f>
        <v>121.7867</v>
      </c>
      <c r="D1054" s="10">
        <f>121.7846 * CHOOSE(CONTROL!$C$9, $D$9, 100%, $F$9) + CHOOSE(CONTROL!$C$27, 0.0021, 0)</f>
        <v>121.7867</v>
      </c>
      <c r="E1054" s="10">
        <f>121.6479 * CHOOSE(CONTROL!$C$9, $D$9, 100%, $F$9) + CHOOSE(CONTROL!$C$27, 0.0021, 0)</f>
        <v>121.65</v>
      </c>
      <c r="F1054" s="10">
        <f>121.6479 * CHOOSE(CONTROL!$C$9, $D$9, 100%, $F$9) + CHOOSE(CONTROL!$C$27, 0.0021, 0)</f>
        <v>121.65</v>
      </c>
      <c r="G1054" s="10">
        <f>121.9193 * CHOOSE(CONTROL!$C$9, $D$9, 100%, $F$9) + CHOOSE(CONTROL!$C$27, 0.0021, 0)</f>
        <v>121.92140000000001</v>
      </c>
      <c r="H1054" s="10">
        <f>121.7846 * CHOOSE(CONTROL!$C$9, $D$9, 100%, $F$9) + CHOOSE(CONTROL!$C$27, 0.0021, 0)</f>
        <v>121.7867</v>
      </c>
      <c r="I1054" s="10">
        <f>121.7846 * CHOOSE(CONTROL!$C$9, $D$9, 100%, $F$9) + CHOOSE(CONTROL!$C$27, 0.0021, 0)</f>
        <v>121.7867</v>
      </c>
      <c r="J1054" s="10">
        <f>121.7846 * CHOOSE(CONTROL!$C$9, $D$9, 100%, $F$9) + CHOOSE(CONTROL!$C$27, 0.0021, 0)</f>
        <v>121.7867</v>
      </c>
      <c r="K1054" s="10">
        <f>121.7846 * CHOOSE(CONTROL!$C$9, $D$9, 100%, $F$9) + CHOOSE(CONTROL!$C$27, 0.0021, 0)</f>
        <v>121.7867</v>
      </c>
      <c r="L1054" s="10"/>
    </row>
    <row r="1055" spans="1:12" ht="15.75" x14ac:dyDescent="0.25">
      <c r="A1055" s="13">
        <v>73050</v>
      </c>
      <c r="B1055" s="10">
        <f>119.8654 * CHOOSE(CONTROL!$C$9, $D$9, 100%, $F$9) + CHOOSE(CONTROL!$C$27, 0.0021, 0)</f>
        <v>119.86749999999999</v>
      </c>
      <c r="C1055" s="10">
        <f>119.4332 * CHOOSE(CONTROL!$C$9, $D$9, 100%, $F$9) + CHOOSE(CONTROL!$C$27, 0.0021, 0)</f>
        <v>119.4353</v>
      </c>
      <c r="D1055" s="10">
        <f>119.4332 * CHOOSE(CONTROL!$C$9, $D$9, 100%, $F$9) + CHOOSE(CONTROL!$C$27, 0.0021, 0)</f>
        <v>119.4353</v>
      </c>
      <c r="E1055" s="10">
        <f>119.2965 * CHOOSE(CONTROL!$C$9, $D$9, 100%, $F$9) + CHOOSE(CONTROL!$C$27, 0.0021, 0)</f>
        <v>119.29859999999999</v>
      </c>
      <c r="F1055" s="10">
        <f>119.2965 * CHOOSE(CONTROL!$C$9, $D$9, 100%, $F$9) + CHOOSE(CONTROL!$C$27, 0.0021, 0)</f>
        <v>119.29859999999999</v>
      </c>
      <c r="G1055" s="10">
        <f>119.5679 * CHOOSE(CONTROL!$C$9, $D$9, 100%, $F$9) + CHOOSE(CONTROL!$C$27, 0.0021, 0)</f>
        <v>119.57</v>
      </c>
      <c r="H1055" s="10">
        <f>119.4332 * CHOOSE(CONTROL!$C$9, $D$9, 100%, $F$9) + CHOOSE(CONTROL!$C$27, 0.0021, 0)</f>
        <v>119.4353</v>
      </c>
      <c r="I1055" s="10">
        <f>119.4332 * CHOOSE(CONTROL!$C$9, $D$9, 100%, $F$9) + CHOOSE(CONTROL!$C$27, 0.0021, 0)</f>
        <v>119.4353</v>
      </c>
      <c r="J1055" s="10">
        <f>119.4332 * CHOOSE(CONTROL!$C$9, $D$9, 100%, $F$9) + CHOOSE(CONTROL!$C$27, 0.0021, 0)</f>
        <v>119.4353</v>
      </c>
      <c r="K1055" s="10">
        <f>119.4332 * CHOOSE(CONTROL!$C$9, $D$9, 100%, $F$9) + CHOOSE(CONTROL!$C$27, 0.0021, 0)</f>
        <v>119.4353</v>
      </c>
      <c r="L1055" s="10"/>
    </row>
    <row r="1056" spans="1:12" ht="15.75" x14ac:dyDescent="0.25">
      <c r="A1056" s="13">
        <v>73081</v>
      </c>
      <c r="B1056" s="10">
        <f>118.3249 * CHOOSE(CONTROL!$C$9, $D$9, 100%, $F$9) + CHOOSE(CONTROL!$C$27, 0.0021, 0)</f>
        <v>118.327</v>
      </c>
      <c r="C1056" s="10">
        <f>117.8927 * CHOOSE(CONTROL!$C$9, $D$9, 100%, $F$9) + CHOOSE(CONTROL!$C$27, 0.0021, 0)</f>
        <v>117.8948</v>
      </c>
      <c r="D1056" s="10">
        <f>117.8927 * CHOOSE(CONTROL!$C$9, $D$9, 100%, $F$9) + CHOOSE(CONTROL!$C$27, 0.0021, 0)</f>
        <v>117.8948</v>
      </c>
      <c r="E1056" s="10">
        <f>117.756 * CHOOSE(CONTROL!$C$9, $D$9, 100%, $F$9) + CHOOSE(CONTROL!$C$27, 0.0021, 0)</f>
        <v>117.7581</v>
      </c>
      <c r="F1056" s="10">
        <f>117.756 * CHOOSE(CONTROL!$C$9, $D$9, 100%, $F$9) + CHOOSE(CONTROL!$C$27, 0.0021, 0)</f>
        <v>117.7581</v>
      </c>
      <c r="G1056" s="10">
        <f>118.0274 * CHOOSE(CONTROL!$C$9, $D$9, 100%, $F$9) + CHOOSE(CONTROL!$C$27, 0.0021, 0)</f>
        <v>118.0295</v>
      </c>
      <c r="H1056" s="10">
        <f>117.8927 * CHOOSE(CONTROL!$C$9, $D$9, 100%, $F$9) + CHOOSE(CONTROL!$C$27, 0.0021, 0)</f>
        <v>117.8948</v>
      </c>
      <c r="I1056" s="10">
        <f>117.8927 * CHOOSE(CONTROL!$C$9, $D$9, 100%, $F$9) + CHOOSE(CONTROL!$C$27, 0.0021, 0)</f>
        <v>117.8948</v>
      </c>
      <c r="J1056" s="10">
        <f>117.8927 * CHOOSE(CONTROL!$C$9, $D$9, 100%, $F$9) + CHOOSE(CONTROL!$C$27, 0.0021, 0)</f>
        <v>117.8948</v>
      </c>
      <c r="K1056" s="10">
        <f>117.8927 * CHOOSE(CONTROL!$C$9, $D$9, 100%, $F$9) + CHOOSE(CONTROL!$C$27, 0.0021, 0)</f>
        <v>117.8948</v>
      </c>
      <c r="L1056" s="10"/>
    </row>
    <row r="1057" spans="1:12" ht="15.75" x14ac:dyDescent="0.25">
      <c r="A1057" s="13">
        <v>73109</v>
      </c>
      <c r="B1057" s="10">
        <f>115.0429 * CHOOSE(CONTROL!$C$9, $D$9, 100%, $F$9) + CHOOSE(CONTROL!$C$27, 0.0021, 0)</f>
        <v>115.045</v>
      </c>
      <c r="C1057" s="10">
        <f>114.6107 * CHOOSE(CONTROL!$C$9, $D$9, 100%, $F$9) + CHOOSE(CONTROL!$C$27, 0.0021, 0)</f>
        <v>114.61279999999999</v>
      </c>
      <c r="D1057" s="10">
        <f>114.6107 * CHOOSE(CONTROL!$C$9, $D$9, 100%, $F$9) + CHOOSE(CONTROL!$C$27, 0.0021, 0)</f>
        <v>114.61279999999999</v>
      </c>
      <c r="E1057" s="10">
        <f>114.474 * CHOOSE(CONTROL!$C$9, $D$9, 100%, $F$9) + CHOOSE(CONTROL!$C$27, 0.0021, 0)</f>
        <v>114.4761</v>
      </c>
      <c r="F1057" s="10">
        <f>114.474 * CHOOSE(CONTROL!$C$9, $D$9, 100%, $F$9) + CHOOSE(CONTROL!$C$27, 0.0021, 0)</f>
        <v>114.4761</v>
      </c>
      <c r="G1057" s="10">
        <f>114.7454 * CHOOSE(CONTROL!$C$9, $D$9, 100%, $F$9) + CHOOSE(CONTROL!$C$27, 0.0021, 0)</f>
        <v>114.7475</v>
      </c>
      <c r="H1057" s="10">
        <f>114.6107 * CHOOSE(CONTROL!$C$9, $D$9, 100%, $F$9) + CHOOSE(CONTROL!$C$27, 0.0021, 0)</f>
        <v>114.61279999999999</v>
      </c>
      <c r="I1057" s="10">
        <f>114.6107 * CHOOSE(CONTROL!$C$9, $D$9, 100%, $F$9) + CHOOSE(CONTROL!$C$27, 0.0021, 0)</f>
        <v>114.61279999999999</v>
      </c>
      <c r="J1057" s="10">
        <f>114.6107 * CHOOSE(CONTROL!$C$9, $D$9, 100%, $F$9) + CHOOSE(CONTROL!$C$27, 0.0021, 0)</f>
        <v>114.61279999999999</v>
      </c>
      <c r="K1057" s="10">
        <f>114.6107 * CHOOSE(CONTROL!$C$9, $D$9, 100%, $F$9) + CHOOSE(CONTROL!$C$27, 0.0021, 0)</f>
        <v>114.61279999999999</v>
      </c>
      <c r="L1057" s="10"/>
    </row>
    <row r="1058" spans="1:12" ht="15.75" x14ac:dyDescent="0.25">
      <c r="A1058" s="13">
        <v>73140</v>
      </c>
      <c r="B1058" s="10">
        <f>113.6881 * CHOOSE(CONTROL!$C$9, $D$9, 100%, $F$9) + CHOOSE(CONTROL!$C$27, 0.0021, 0)</f>
        <v>113.6902</v>
      </c>
      <c r="C1058" s="10">
        <f>113.2558 * CHOOSE(CONTROL!$C$9, $D$9, 100%, $F$9) + CHOOSE(CONTROL!$C$27, 0.0021, 0)</f>
        <v>113.25789999999999</v>
      </c>
      <c r="D1058" s="10">
        <f>113.2558 * CHOOSE(CONTROL!$C$9, $D$9, 100%, $F$9) + CHOOSE(CONTROL!$C$27, 0.0021, 0)</f>
        <v>113.25789999999999</v>
      </c>
      <c r="E1058" s="10">
        <f>113.1192 * CHOOSE(CONTROL!$C$9, $D$9, 100%, $F$9) + CHOOSE(CONTROL!$C$27, 0.0021, 0)</f>
        <v>113.12130000000001</v>
      </c>
      <c r="F1058" s="10">
        <f>113.1192 * CHOOSE(CONTROL!$C$9, $D$9, 100%, $F$9) + CHOOSE(CONTROL!$C$27, 0.0021, 0)</f>
        <v>113.12130000000001</v>
      </c>
      <c r="G1058" s="10">
        <f>113.3906 * CHOOSE(CONTROL!$C$9, $D$9, 100%, $F$9) + CHOOSE(CONTROL!$C$27, 0.0021, 0)</f>
        <v>113.3927</v>
      </c>
      <c r="H1058" s="10">
        <f>113.2558 * CHOOSE(CONTROL!$C$9, $D$9, 100%, $F$9) + CHOOSE(CONTROL!$C$27, 0.0021, 0)</f>
        <v>113.25789999999999</v>
      </c>
      <c r="I1058" s="10">
        <f>113.2558 * CHOOSE(CONTROL!$C$9, $D$9, 100%, $F$9) + CHOOSE(CONTROL!$C$27, 0.0021, 0)</f>
        <v>113.25789999999999</v>
      </c>
      <c r="J1058" s="10">
        <f>113.2558 * CHOOSE(CONTROL!$C$9, $D$9, 100%, $F$9) + CHOOSE(CONTROL!$C$27, 0.0021, 0)</f>
        <v>113.25789999999999</v>
      </c>
      <c r="K1058" s="10">
        <f>113.2558 * CHOOSE(CONTROL!$C$9, $D$9, 100%, $F$9) + CHOOSE(CONTROL!$C$27, 0.0021, 0)</f>
        <v>113.25789999999999</v>
      </c>
      <c r="L1058" s="10"/>
    </row>
    <row r="1059" spans="1:12" ht="15.75" x14ac:dyDescent="0.25">
      <c r="A1059" s="13">
        <v>73170</v>
      </c>
      <c r="B1059" s="10">
        <f>112.0704 * CHOOSE(CONTROL!$C$9, $D$9, 100%, $F$9) + CHOOSE(CONTROL!$C$27, 0.0021, 0)</f>
        <v>112.07250000000001</v>
      </c>
      <c r="C1059" s="10">
        <f>111.6382 * CHOOSE(CONTROL!$C$9, $D$9, 100%, $F$9) + CHOOSE(CONTROL!$C$27, 0.0021, 0)</f>
        <v>111.6403</v>
      </c>
      <c r="D1059" s="10">
        <f>111.6382 * CHOOSE(CONTROL!$C$9, $D$9, 100%, $F$9) + CHOOSE(CONTROL!$C$27, 0.0021, 0)</f>
        <v>111.6403</v>
      </c>
      <c r="E1059" s="10">
        <f>111.5015 * CHOOSE(CONTROL!$C$9, $D$9, 100%, $F$9) + CHOOSE(CONTROL!$C$27, 0.0021, 0)</f>
        <v>111.50359999999999</v>
      </c>
      <c r="F1059" s="10">
        <f>111.5015 * CHOOSE(CONTROL!$C$9, $D$9, 100%, $F$9) + CHOOSE(CONTROL!$C$27, 0.0021, 0)</f>
        <v>111.50359999999999</v>
      </c>
      <c r="G1059" s="10">
        <f>111.7729 * CHOOSE(CONTROL!$C$9, $D$9, 100%, $F$9) + CHOOSE(CONTROL!$C$27, 0.0021, 0)</f>
        <v>111.77500000000001</v>
      </c>
      <c r="H1059" s="10">
        <f>111.6382 * CHOOSE(CONTROL!$C$9, $D$9, 100%, $F$9) + CHOOSE(CONTROL!$C$27, 0.0021, 0)</f>
        <v>111.6403</v>
      </c>
      <c r="I1059" s="10">
        <f>111.6382 * CHOOSE(CONTROL!$C$9, $D$9, 100%, $F$9) + CHOOSE(CONTROL!$C$27, 0.0021, 0)</f>
        <v>111.6403</v>
      </c>
      <c r="J1059" s="10">
        <f>111.6382 * CHOOSE(CONTROL!$C$9, $D$9, 100%, $F$9) + CHOOSE(CONTROL!$C$27, 0.0021, 0)</f>
        <v>111.6403</v>
      </c>
      <c r="K1059" s="10">
        <f>111.6382 * CHOOSE(CONTROL!$C$9, $D$9, 100%, $F$9) + CHOOSE(CONTROL!$C$27, 0.0021, 0)</f>
        <v>111.6403</v>
      </c>
      <c r="L1059" s="10"/>
    </row>
    <row r="1060" spans="1:12" ht="15.75" x14ac:dyDescent="0.25">
      <c r="A1060" s="13">
        <v>73201</v>
      </c>
      <c r="B1060" s="10">
        <f>114.3758 * CHOOSE(CONTROL!$C$9, $D$9, 100%, $F$9) + CHOOSE(CONTROL!$C$27, 0.0021, 0)</f>
        <v>114.3779</v>
      </c>
      <c r="C1060" s="10">
        <f>113.9436 * CHOOSE(CONTROL!$C$9, $D$9, 100%, $F$9) + CHOOSE(CONTROL!$C$27, 0.0021, 0)</f>
        <v>113.9457</v>
      </c>
      <c r="D1060" s="10">
        <f>113.9436 * CHOOSE(CONTROL!$C$9, $D$9, 100%, $F$9) + CHOOSE(CONTROL!$C$27, 0.0021, 0)</f>
        <v>113.9457</v>
      </c>
      <c r="E1060" s="10">
        <f>113.8069 * CHOOSE(CONTROL!$C$9, $D$9, 100%, $F$9) + CHOOSE(CONTROL!$C$27, 0.0021, 0)</f>
        <v>113.809</v>
      </c>
      <c r="F1060" s="10">
        <f>113.8069 * CHOOSE(CONTROL!$C$9, $D$9, 100%, $F$9) + CHOOSE(CONTROL!$C$27, 0.0021, 0)</f>
        <v>113.809</v>
      </c>
      <c r="G1060" s="10">
        <f>114.0783 * CHOOSE(CONTROL!$C$9, $D$9, 100%, $F$9) + CHOOSE(CONTROL!$C$27, 0.0021, 0)</f>
        <v>114.0804</v>
      </c>
      <c r="H1060" s="10">
        <f>113.9436 * CHOOSE(CONTROL!$C$9, $D$9, 100%, $F$9) + CHOOSE(CONTROL!$C$27, 0.0021, 0)</f>
        <v>113.9457</v>
      </c>
      <c r="I1060" s="10">
        <f>113.9436 * CHOOSE(CONTROL!$C$9, $D$9, 100%, $F$9) + CHOOSE(CONTROL!$C$27, 0.0021, 0)</f>
        <v>113.9457</v>
      </c>
      <c r="J1060" s="10">
        <f>113.9436 * CHOOSE(CONTROL!$C$9, $D$9, 100%, $F$9) + CHOOSE(CONTROL!$C$27, 0.0021, 0)</f>
        <v>113.9457</v>
      </c>
      <c r="K1060" s="10">
        <f>113.9436 * CHOOSE(CONTROL!$C$9, $D$9, 100%, $F$9) + CHOOSE(CONTROL!$C$27, 0.0021, 0)</f>
        <v>113.9457</v>
      </c>
      <c r="L1060" s="10"/>
    </row>
    <row r="1061" spans="1:12" ht="15.75" x14ac:dyDescent="0.25">
      <c r="A1061" s="13">
        <v>73231</v>
      </c>
      <c r="B1061" s="10">
        <f>115.7566 * CHOOSE(CONTROL!$C$9, $D$9, 100%, $F$9) + CHOOSE(CONTROL!$C$27, 0.0021, 0)</f>
        <v>115.7587</v>
      </c>
      <c r="C1061" s="10">
        <f>115.3244 * CHOOSE(CONTROL!$C$9, $D$9, 100%, $F$9) + CHOOSE(CONTROL!$C$27, 0.0021, 0)</f>
        <v>115.3265</v>
      </c>
      <c r="D1061" s="10">
        <f>115.3244 * CHOOSE(CONTROL!$C$9, $D$9, 100%, $F$9) + CHOOSE(CONTROL!$C$27, 0.0021, 0)</f>
        <v>115.3265</v>
      </c>
      <c r="E1061" s="10">
        <f>115.1877 * CHOOSE(CONTROL!$C$9, $D$9, 100%, $F$9) + CHOOSE(CONTROL!$C$27, 0.0021, 0)</f>
        <v>115.18980000000001</v>
      </c>
      <c r="F1061" s="10">
        <f>115.1877 * CHOOSE(CONTROL!$C$9, $D$9, 100%, $F$9) + CHOOSE(CONTROL!$C$27, 0.0021, 0)</f>
        <v>115.18980000000001</v>
      </c>
      <c r="G1061" s="10">
        <f>115.4591 * CHOOSE(CONTROL!$C$9, $D$9, 100%, $F$9) + CHOOSE(CONTROL!$C$27, 0.0021, 0)</f>
        <v>115.46120000000001</v>
      </c>
      <c r="H1061" s="10">
        <f>115.3244 * CHOOSE(CONTROL!$C$9, $D$9, 100%, $F$9) + CHOOSE(CONTROL!$C$27, 0.0021, 0)</f>
        <v>115.3265</v>
      </c>
      <c r="I1061" s="10">
        <f>115.3244 * CHOOSE(CONTROL!$C$9, $D$9, 100%, $F$9) + CHOOSE(CONTROL!$C$27, 0.0021, 0)</f>
        <v>115.3265</v>
      </c>
      <c r="J1061" s="10">
        <f>115.3244 * CHOOSE(CONTROL!$C$9, $D$9, 100%, $F$9) + CHOOSE(CONTROL!$C$27, 0.0021, 0)</f>
        <v>115.3265</v>
      </c>
      <c r="K1061" s="10">
        <f>115.3244 * CHOOSE(CONTROL!$C$9, $D$9, 100%, $F$9) + CHOOSE(CONTROL!$C$27, 0.0021, 0)</f>
        <v>115.3265</v>
      </c>
      <c r="L1061" s="10"/>
    </row>
    <row r="1062" spans="1:12" ht="15.75" x14ac:dyDescent="0.25">
      <c r="A1062" s="13">
        <v>73262</v>
      </c>
      <c r="B1062" s="10">
        <f>118.0345 * CHOOSE(CONTROL!$C$9, $D$9, 100%, $F$9) + CHOOSE(CONTROL!$C$27, 0.0021, 0)</f>
        <v>118.03659999999999</v>
      </c>
      <c r="C1062" s="10">
        <f>117.6023 * CHOOSE(CONTROL!$C$9, $D$9, 100%, $F$9) + CHOOSE(CONTROL!$C$27, 0.0021, 0)</f>
        <v>117.6044</v>
      </c>
      <c r="D1062" s="10">
        <f>117.6023 * CHOOSE(CONTROL!$C$9, $D$9, 100%, $F$9) + CHOOSE(CONTROL!$C$27, 0.0021, 0)</f>
        <v>117.6044</v>
      </c>
      <c r="E1062" s="10">
        <f>117.4656 * CHOOSE(CONTROL!$C$9, $D$9, 100%, $F$9) + CHOOSE(CONTROL!$C$27, 0.0021, 0)</f>
        <v>117.46769999999999</v>
      </c>
      <c r="F1062" s="10">
        <f>117.4656 * CHOOSE(CONTROL!$C$9, $D$9, 100%, $F$9) + CHOOSE(CONTROL!$C$27, 0.0021, 0)</f>
        <v>117.46769999999999</v>
      </c>
      <c r="G1062" s="10">
        <f>117.737 * CHOOSE(CONTROL!$C$9, $D$9, 100%, $F$9) + CHOOSE(CONTROL!$C$27, 0.0021, 0)</f>
        <v>117.73909999999999</v>
      </c>
      <c r="H1062" s="10">
        <f>117.6023 * CHOOSE(CONTROL!$C$9, $D$9, 100%, $F$9) + CHOOSE(CONTROL!$C$27, 0.0021, 0)</f>
        <v>117.6044</v>
      </c>
      <c r="I1062" s="10">
        <f>117.6023 * CHOOSE(CONTROL!$C$9, $D$9, 100%, $F$9) + CHOOSE(CONTROL!$C$27, 0.0021, 0)</f>
        <v>117.6044</v>
      </c>
      <c r="J1062" s="10">
        <f>117.6023 * CHOOSE(CONTROL!$C$9, $D$9, 100%, $F$9) + CHOOSE(CONTROL!$C$27, 0.0021, 0)</f>
        <v>117.6044</v>
      </c>
      <c r="K1062" s="10">
        <f>117.6023 * CHOOSE(CONTROL!$C$9, $D$9, 100%, $F$9) + CHOOSE(CONTROL!$C$27, 0.0021, 0)</f>
        <v>117.6044</v>
      </c>
      <c r="L1062" s="10"/>
    </row>
    <row r="1063" spans="1:12" ht="15.75" x14ac:dyDescent="0.25">
      <c r="A1063" s="13">
        <v>73293</v>
      </c>
      <c r="B1063" s="10">
        <f>118.7298 * CHOOSE(CONTROL!$C$9, $D$9, 100%, $F$9) + CHOOSE(CONTROL!$C$27, 0.0021, 0)</f>
        <v>118.7319</v>
      </c>
      <c r="C1063" s="10">
        <f>118.2975 * CHOOSE(CONTROL!$C$9, $D$9, 100%, $F$9) + CHOOSE(CONTROL!$C$27, 0.0021, 0)</f>
        <v>118.2996</v>
      </c>
      <c r="D1063" s="10">
        <f>118.2975 * CHOOSE(CONTROL!$C$9, $D$9, 100%, $F$9) + CHOOSE(CONTROL!$C$27, 0.0021, 0)</f>
        <v>118.2996</v>
      </c>
      <c r="E1063" s="10">
        <f>118.1609 * CHOOSE(CONTROL!$C$9, $D$9, 100%, $F$9) + CHOOSE(CONTROL!$C$27, 0.0021, 0)</f>
        <v>118.163</v>
      </c>
      <c r="F1063" s="10">
        <f>118.1609 * CHOOSE(CONTROL!$C$9, $D$9, 100%, $F$9) + CHOOSE(CONTROL!$C$27, 0.0021, 0)</f>
        <v>118.163</v>
      </c>
      <c r="G1063" s="10">
        <f>118.4323 * CHOOSE(CONTROL!$C$9, $D$9, 100%, $F$9) + CHOOSE(CONTROL!$C$27, 0.0021, 0)</f>
        <v>118.4344</v>
      </c>
      <c r="H1063" s="10">
        <f>118.2975 * CHOOSE(CONTROL!$C$9, $D$9, 100%, $F$9) + CHOOSE(CONTROL!$C$27, 0.0021, 0)</f>
        <v>118.2996</v>
      </c>
      <c r="I1063" s="10">
        <f>118.2975 * CHOOSE(CONTROL!$C$9, $D$9, 100%, $F$9) + CHOOSE(CONTROL!$C$27, 0.0021, 0)</f>
        <v>118.2996</v>
      </c>
      <c r="J1063" s="10">
        <f>118.2975 * CHOOSE(CONTROL!$C$9, $D$9, 100%, $F$9) + CHOOSE(CONTROL!$C$27, 0.0021, 0)</f>
        <v>118.2996</v>
      </c>
      <c r="K1063" s="10">
        <f>118.2975 * CHOOSE(CONTROL!$C$9, $D$9, 100%, $F$9) + CHOOSE(CONTROL!$C$27, 0.0021, 0)</f>
        <v>118.2996</v>
      </c>
      <c r="L1063" s="10"/>
    </row>
    <row r="1064" spans="1:12" ht="15.75" x14ac:dyDescent="0.25">
      <c r="A1064" s="13">
        <v>73323</v>
      </c>
      <c r="B1064" s="10">
        <f>121.0975 * CHOOSE(CONTROL!$C$9, $D$9, 100%, $F$9) + CHOOSE(CONTROL!$C$27, 0.0021, 0)</f>
        <v>121.0996</v>
      </c>
      <c r="C1064" s="10">
        <f>120.6653 * CHOOSE(CONTROL!$C$9, $D$9, 100%, $F$9) + CHOOSE(CONTROL!$C$27, 0.0021, 0)</f>
        <v>120.6674</v>
      </c>
      <c r="D1064" s="10">
        <f>120.6653 * CHOOSE(CONTROL!$C$9, $D$9, 100%, $F$9) + CHOOSE(CONTROL!$C$27, 0.0021, 0)</f>
        <v>120.6674</v>
      </c>
      <c r="E1064" s="10">
        <f>120.5286 * CHOOSE(CONTROL!$C$9, $D$9, 100%, $F$9) + CHOOSE(CONTROL!$C$27, 0.0021, 0)</f>
        <v>120.5307</v>
      </c>
      <c r="F1064" s="10">
        <f>120.5286 * CHOOSE(CONTROL!$C$9, $D$9, 100%, $F$9) + CHOOSE(CONTROL!$C$27, 0.0021, 0)</f>
        <v>120.5307</v>
      </c>
      <c r="G1064" s="10">
        <f>120.8 * CHOOSE(CONTROL!$C$9, $D$9, 100%, $F$9) + CHOOSE(CONTROL!$C$27, 0.0021, 0)</f>
        <v>120.8021</v>
      </c>
      <c r="H1064" s="10">
        <f>120.6653 * CHOOSE(CONTROL!$C$9, $D$9, 100%, $F$9) + CHOOSE(CONTROL!$C$27, 0.0021, 0)</f>
        <v>120.6674</v>
      </c>
      <c r="I1064" s="10">
        <f>120.6653 * CHOOSE(CONTROL!$C$9, $D$9, 100%, $F$9) + CHOOSE(CONTROL!$C$27, 0.0021, 0)</f>
        <v>120.6674</v>
      </c>
      <c r="J1064" s="10">
        <f>120.6653 * CHOOSE(CONTROL!$C$9, $D$9, 100%, $F$9) + CHOOSE(CONTROL!$C$27, 0.0021, 0)</f>
        <v>120.6674</v>
      </c>
      <c r="K1064" s="10">
        <f>120.6653 * CHOOSE(CONTROL!$C$9, $D$9, 100%, $F$9) + CHOOSE(CONTROL!$C$27, 0.0021, 0)</f>
        <v>120.6674</v>
      </c>
      <c r="L1064" s="10"/>
    </row>
    <row r="1065" spans="1:12" ht="15.75" x14ac:dyDescent="0.25">
      <c r="A1065" s="13">
        <v>73354</v>
      </c>
      <c r="B1065" s="10">
        <f>124.0947 * CHOOSE(CONTROL!$C$9, $D$9, 100%, $F$9) + CHOOSE(CONTROL!$C$27, 0.0021, 0)</f>
        <v>124.0968</v>
      </c>
      <c r="C1065" s="10">
        <f>123.6625 * CHOOSE(CONTROL!$C$9, $D$9, 100%, $F$9) + CHOOSE(CONTROL!$C$27, 0.0021, 0)</f>
        <v>123.66459999999999</v>
      </c>
      <c r="D1065" s="10">
        <f>123.6625 * CHOOSE(CONTROL!$C$9, $D$9, 100%, $F$9) + CHOOSE(CONTROL!$C$27, 0.0021, 0)</f>
        <v>123.66459999999999</v>
      </c>
      <c r="E1065" s="10">
        <f>123.5258 * CHOOSE(CONTROL!$C$9, $D$9, 100%, $F$9) + CHOOSE(CONTROL!$C$27, 0.0021, 0)</f>
        <v>123.5279</v>
      </c>
      <c r="F1065" s="10">
        <f>123.5258 * CHOOSE(CONTROL!$C$9, $D$9, 100%, $F$9) + CHOOSE(CONTROL!$C$27, 0.0021, 0)</f>
        <v>123.5279</v>
      </c>
      <c r="G1065" s="10">
        <f>123.7972 * CHOOSE(CONTROL!$C$9, $D$9, 100%, $F$9) + CHOOSE(CONTROL!$C$27, 0.0021, 0)</f>
        <v>123.7993</v>
      </c>
      <c r="H1065" s="10">
        <f>123.6625 * CHOOSE(CONTROL!$C$9, $D$9, 100%, $F$9) + CHOOSE(CONTROL!$C$27, 0.0021, 0)</f>
        <v>123.66459999999999</v>
      </c>
      <c r="I1065" s="10">
        <f>123.6625 * CHOOSE(CONTROL!$C$9, $D$9, 100%, $F$9) + CHOOSE(CONTROL!$C$27, 0.0021, 0)</f>
        <v>123.66459999999999</v>
      </c>
      <c r="J1065" s="10">
        <f>123.6625 * CHOOSE(CONTROL!$C$9, $D$9, 100%, $F$9) + CHOOSE(CONTROL!$C$27, 0.0021, 0)</f>
        <v>123.66459999999999</v>
      </c>
      <c r="K1065" s="10">
        <f>123.6625 * CHOOSE(CONTROL!$C$9, $D$9, 100%, $F$9) + CHOOSE(CONTROL!$C$27, 0.0021, 0)</f>
        <v>123.66459999999999</v>
      </c>
      <c r="L1065" s="10"/>
    </row>
    <row r="1066" spans="1:12" ht="15.75" x14ac:dyDescent="0.25">
      <c r="A1066" s="13">
        <v>73384</v>
      </c>
      <c r="B1066" s="10">
        <f>124.3761 * CHOOSE(CONTROL!$C$9, $D$9, 100%, $F$9) + CHOOSE(CONTROL!$C$27, 0.0021, 0)</f>
        <v>124.37819999999999</v>
      </c>
      <c r="C1066" s="10">
        <f>123.9438 * CHOOSE(CONTROL!$C$9, $D$9, 100%, $F$9) + CHOOSE(CONTROL!$C$27, 0.0021, 0)</f>
        <v>123.94589999999999</v>
      </c>
      <c r="D1066" s="10">
        <f>123.9438 * CHOOSE(CONTROL!$C$9, $D$9, 100%, $F$9) + CHOOSE(CONTROL!$C$27, 0.0021, 0)</f>
        <v>123.94589999999999</v>
      </c>
      <c r="E1066" s="10">
        <f>123.8072 * CHOOSE(CONTROL!$C$9, $D$9, 100%, $F$9) + CHOOSE(CONTROL!$C$27, 0.0021, 0)</f>
        <v>123.80929999999999</v>
      </c>
      <c r="F1066" s="10">
        <f>123.8072 * CHOOSE(CONTROL!$C$9, $D$9, 100%, $F$9) + CHOOSE(CONTROL!$C$27, 0.0021, 0)</f>
        <v>123.80929999999999</v>
      </c>
      <c r="G1066" s="10">
        <f>124.0785 * CHOOSE(CONTROL!$C$9, $D$9, 100%, $F$9) + CHOOSE(CONTROL!$C$27, 0.0021, 0)</f>
        <v>124.0806</v>
      </c>
      <c r="H1066" s="10">
        <f>123.9438 * CHOOSE(CONTROL!$C$9, $D$9, 100%, $F$9) + CHOOSE(CONTROL!$C$27, 0.0021, 0)</f>
        <v>123.94589999999999</v>
      </c>
      <c r="I1066" s="10">
        <f>123.9438 * CHOOSE(CONTROL!$C$9, $D$9, 100%, $F$9) + CHOOSE(CONTROL!$C$27, 0.0021, 0)</f>
        <v>123.94589999999999</v>
      </c>
      <c r="J1066" s="10">
        <f>123.9438 * CHOOSE(CONTROL!$C$9, $D$9, 100%, $F$9) + CHOOSE(CONTROL!$C$27, 0.0021, 0)</f>
        <v>123.94589999999999</v>
      </c>
      <c r="K1066" s="10">
        <f>123.9438 * CHOOSE(CONTROL!$C$9, $D$9, 100%, $F$9) + CHOOSE(CONTROL!$C$27, 0.0021, 0)</f>
        <v>123.94589999999999</v>
      </c>
      <c r="L1066" s="10"/>
    </row>
    <row r="1067" spans="1:12" ht="15.75" x14ac:dyDescent="0.25">
      <c r="A1067" s="13">
        <v>73415</v>
      </c>
      <c r="B1067" s="10">
        <f>121.9823 * CHOOSE(CONTROL!$C$9, $D$9, 100%, $F$9) + CHOOSE(CONTROL!$C$27, 0.0021, 0)</f>
        <v>121.98439999999999</v>
      </c>
      <c r="C1067" s="10">
        <f>121.55 * CHOOSE(CONTROL!$C$9, $D$9, 100%, $F$9) + CHOOSE(CONTROL!$C$27, 0.0021, 0)</f>
        <v>121.5521</v>
      </c>
      <c r="D1067" s="10">
        <f>121.55 * CHOOSE(CONTROL!$C$9, $D$9, 100%, $F$9) + CHOOSE(CONTROL!$C$27, 0.0021, 0)</f>
        <v>121.5521</v>
      </c>
      <c r="E1067" s="10">
        <f>121.4134 * CHOOSE(CONTROL!$C$9, $D$9, 100%, $F$9) + CHOOSE(CONTROL!$C$27, 0.0021, 0)</f>
        <v>121.41549999999999</v>
      </c>
      <c r="F1067" s="10">
        <f>121.4134 * CHOOSE(CONTROL!$C$9, $D$9, 100%, $F$9) + CHOOSE(CONTROL!$C$27, 0.0021, 0)</f>
        <v>121.41549999999999</v>
      </c>
      <c r="G1067" s="10">
        <f>121.6848 * CHOOSE(CONTROL!$C$9, $D$9, 100%, $F$9) + CHOOSE(CONTROL!$C$27, 0.0021, 0)</f>
        <v>121.68689999999999</v>
      </c>
      <c r="H1067" s="10">
        <f>121.55 * CHOOSE(CONTROL!$C$9, $D$9, 100%, $F$9) + CHOOSE(CONTROL!$C$27, 0.0021, 0)</f>
        <v>121.5521</v>
      </c>
      <c r="I1067" s="10">
        <f>121.55 * CHOOSE(CONTROL!$C$9, $D$9, 100%, $F$9) + CHOOSE(CONTROL!$C$27, 0.0021, 0)</f>
        <v>121.5521</v>
      </c>
      <c r="J1067" s="10">
        <f>121.55 * CHOOSE(CONTROL!$C$9, $D$9, 100%, $F$9) + CHOOSE(CONTROL!$C$27, 0.0021, 0)</f>
        <v>121.5521</v>
      </c>
      <c r="K1067" s="10">
        <f>121.55 * CHOOSE(CONTROL!$C$9, $D$9, 100%, $F$9) + CHOOSE(CONTROL!$C$27, 0.0021, 0)</f>
        <v>121.5521</v>
      </c>
      <c r="L1067" s="10"/>
    </row>
    <row r="1068" spans="1:12" ht="15" x14ac:dyDescent="0.2">
      <c r="A1068" s="12"/>
      <c r="B1068" s="10"/>
      <c r="C1068" s="10"/>
      <c r="D1068" s="10"/>
      <c r="E1068" s="10"/>
      <c r="F1068" s="10"/>
      <c r="G1068" s="10"/>
      <c r="H1068" s="10"/>
      <c r="I1068" s="10"/>
      <c r="L1068" s="10"/>
    </row>
    <row r="1069" spans="1:12" ht="15" x14ac:dyDescent="0.2">
      <c r="A1069" s="11">
        <v>2013</v>
      </c>
      <c r="B1069" s="10">
        <f>AVERAGE(B12:B23)</f>
        <v>23.867499557350751</v>
      </c>
      <c r="C1069" s="10">
        <f>AVERAGE(C12:C23)</f>
        <v>23.435252559066001</v>
      </c>
      <c r="D1069" s="10"/>
      <c r="E1069" s="10">
        <f t="shared" ref="E1069:K1069" si="0">AVERAGE(E12:E23)</f>
        <v>23.298594068499977</v>
      </c>
      <c r="F1069" s="10">
        <f t="shared" si="0"/>
        <v>23.298594068499977</v>
      </c>
      <c r="G1069" s="10">
        <f t="shared" si="0"/>
        <v>23.569969540198088</v>
      </c>
      <c r="H1069" s="10">
        <f t="shared" si="0"/>
        <v>23.435252559066001</v>
      </c>
      <c r="I1069" s="10">
        <f t="shared" si="0"/>
        <v>23.435252559066001</v>
      </c>
      <c r="J1069" s="10">
        <f t="shared" si="0"/>
        <v>23.075046727162057</v>
      </c>
      <c r="K1069" s="10">
        <f t="shared" si="0"/>
        <v>23.435252559066001</v>
      </c>
      <c r="L1069" s="10"/>
    </row>
    <row r="1070" spans="1:12" ht="15" x14ac:dyDescent="0.2">
      <c r="A1070" s="11">
        <v>2014</v>
      </c>
      <c r="B1070" s="10">
        <f>AVERAGE(B24:B35)</f>
        <v>23.251318753573461</v>
      </c>
      <c r="C1070" s="10">
        <f>AVERAGE(C24:C35)</f>
        <v>22.819081503716404</v>
      </c>
      <c r="D1070" s="10"/>
      <c r="E1070" s="10">
        <f t="shared" ref="E1070:K1070" si="1">AVERAGE(E24:E35)</f>
        <v>22.682409962835909</v>
      </c>
      <c r="F1070" s="10">
        <f t="shared" si="1"/>
        <v>22.682409962835909</v>
      </c>
      <c r="G1070" s="10">
        <f t="shared" si="1"/>
        <v>22.953799585477416</v>
      </c>
      <c r="H1070" s="10">
        <f t="shared" si="1"/>
        <v>22.819081503716404</v>
      </c>
      <c r="I1070" s="10">
        <f t="shared" si="1"/>
        <v>22.819081503716404</v>
      </c>
      <c r="J1070" s="10">
        <f t="shared" si="1"/>
        <v>22.458872684391082</v>
      </c>
      <c r="K1070" s="10">
        <f t="shared" si="1"/>
        <v>22.819081503716404</v>
      </c>
      <c r="L1070" s="10"/>
    </row>
    <row r="1071" spans="1:12" ht="15" x14ac:dyDescent="0.2">
      <c r="A1071" s="11">
        <v>2015</v>
      </c>
      <c r="B1071" s="10">
        <f>AVERAGE(B36:B47)</f>
        <v>22.495458333333332</v>
      </c>
      <c r="C1071" s="10">
        <f>AVERAGE(C36:C47)</f>
        <v>22.063199999999998</v>
      </c>
      <c r="D1071" s="10"/>
      <c r="E1071" s="10">
        <f t="shared" ref="E1071:K1071" si="2">AVERAGE(E36:E47)</f>
        <v>21.926558333333332</v>
      </c>
      <c r="F1071" s="10">
        <f t="shared" si="2"/>
        <v>21.926558333333332</v>
      </c>
      <c r="G1071" s="10">
        <f t="shared" si="2"/>
        <v>22.197924999999998</v>
      </c>
      <c r="H1071" s="10">
        <f t="shared" si="2"/>
        <v>22.063199999999998</v>
      </c>
      <c r="I1071" s="10">
        <f t="shared" si="2"/>
        <v>22.063199999999998</v>
      </c>
      <c r="J1071" s="10">
        <f t="shared" si="2"/>
        <v>22.063199999999998</v>
      </c>
      <c r="K1071" s="10">
        <f t="shared" si="2"/>
        <v>22.063199999999998</v>
      </c>
      <c r="L1071" s="10"/>
    </row>
    <row r="1072" spans="1:12" ht="15" x14ac:dyDescent="0.2">
      <c r="A1072" s="11">
        <v>2016</v>
      </c>
      <c r="B1072" s="10">
        <f>AVERAGE(B48:B59)</f>
        <v>21.61463333333333</v>
      </c>
      <c r="C1072" s="10">
        <f>AVERAGE(C48:C59)</f>
        <v>21.182391666666664</v>
      </c>
      <c r="D1072" s="10"/>
      <c r="E1072" s="10">
        <f t="shared" ref="E1072:K1072" si="3">AVERAGE(E48:E59)</f>
        <v>21.045724999999994</v>
      </c>
      <c r="F1072" s="10">
        <f t="shared" si="3"/>
        <v>21.045724999999994</v>
      </c>
      <c r="G1072" s="10">
        <f t="shared" si="3"/>
        <v>21.317091666666663</v>
      </c>
      <c r="H1072" s="10">
        <f t="shared" si="3"/>
        <v>21.182391666666664</v>
      </c>
      <c r="I1072" s="10">
        <f t="shared" si="3"/>
        <v>21.182391666666664</v>
      </c>
      <c r="J1072" s="10">
        <f t="shared" si="3"/>
        <v>21.182391666666664</v>
      </c>
      <c r="K1072" s="10">
        <f t="shared" si="3"/>
        <v>21.182391666666664</v>
      </c>
      <c r="L1072" s="10"/>
    </row>
    <row r="1073" spans="1:12" ht="15" x14ac:dyDescent="0.2">
      <c r="A1073" s="11">
        <v>2017</v>
      </c>
      <c r="B1073" s="10">
        <f>AVERAGE(B60:B71)</f>
        <v>20.755541666666669</v>
      </c>
      <c r="C1073" s="10">
        <f>AVERAGE(C60:C71)</f>
        <v>20.323291666666666</v>
      </c>
      <c r="D1073" s="10"/>
      <c r="E1073" s="10">
        <f t="shared" ref="E1073:K1073" si="4">AVERAGE(E60:E71)</f>
        <v>20.186641666666663</v>
      </c>
      <c r="F1073" s="10">
        <f t="shared" si="4"/>
        <v>20.186641666666663</v>
      </c>
      <c r="G1073" s="10">
        <f t="shared" si="4"/>
        <v>20.457999999999998</v>
      </c>
      <c r="H1073" s="10">
        <f t="shared" si="4"/>
        <v>20.323291666666666</v>
      </c>
      <c r="I1073" s="10">
        <f t="shared" si="4"/>
        <v>20.323291666666666</v>
      </c>
      <c r="J1073" s="10">
        <f t="shared" si="4"/>
        <v>20.323291666666666</v>
      </c>
      <c r="K1073" s="10">
        <f t="shared" si="4"/>
        <v>20.323291666666666</v>
      </c>
      <c r="L1073" s="10"/>
    </row>
    <row r="1074" spans="1:12" ht="15" x14ac:dyDescent="0.2">
      <c r="A1074" s="11">
        <v>2018</v>
      </c>
      <c r="B1074" s="10">
        <f>AVERAGE(B72:B83)</f>
        <v>21.193216666666661</v>
      </c>
      <c r="C1074" s="10">
        <f>AVERAGE(C72:C83)</f>
        <v>20.760966666666665</v>
      </c>
      <c r="D1074" s="10"/>
      <c r="E1074" s="10">
        <f t="shared" ref="E1074:K1074" si="5">AVERAGE(E72:E83)</f>
        <v>20.624316666666669</v>
      </c>
      <c r="F1074" s="10">
        <f t="shared" si="5"/>
        <v>20.624316666666669</v>
      </c>
      <c r="G1074" s="10">
        <f t="shared" si="5"/>
        <v>20.895683333333334</v>
      </c>
      <c r="H1074" s="10">
        <f t="shared" si="5"/>
        <v>20.760966666666665</v>
      </c>
      <c r="I1074" s="10">
        <f t="shared" si="5"/>
        <v>20.760966666666665</v>
      </c>
      <c r="J1074" s="10">
        <f t="shared" si="5"/>
        <v>20.760966666666665</v>
      </c>
      <c r="K1074" s="10">
        <f t="shared" si="5"/>
        <v>20.760966666666665</v>
      </c>
      <c r="L1074" s="10"/>
    </row>
    <row r="1075" spans="1:12" ht="15" x14ac:dyDescent="0.2">
      <c r="A1075" s="11">
        <v>2019</v>
      </c>
      <c r="B1075" s="10">
        <f>AVERAGE(B84:B95)</f>
        <v>25.940924999999996</v>
      </c>
      <c r="C1075" s="10">
        <f>AVERAGE(C84:C95)</f>
        <v>25.508683333333334</v>
      </c>
      <c r="D1075" s="10"/>
      <c r="E1075" s="10">
        <f t="shared" ref="E1075:K1075" si="6">AVERAGE(E84:E95)</f>
        <v>25.372024999999997</v>
      </c>
      <c r="F1075" s="10">
        <f t="shared" si="6"/>
        <v>25.372024999999997</v>
      </c>
      <c r="G1075" s="10">
        <f t="shared" si="6"/>
        <v>25.64340833333333</v>
      </c>
      <c r="H1075" s="10">
        <f t="shared" si="6"/>
        <v>25.508683333333334</v>
      </c>
      <c r="I1075" s="10">
        <f t="shared" si="6"/>
        <v>25.508683333333334</v>
      </c>
      <c r="J1075" s="10">
        <f t="shared" si="6"/>
        <v>25.508683333333334</v>
      </c>
      <c r="K1075" s="10">
        <f t="shared" si="6"/>
        <v>25.508683333333334</v>
      </c>
      <c r="L1075" s="10"/>
    </row>
    <row r="1076" spans="1:12" ht="15" x14ac:dyDescent="0.2">
      <c r="A1076" s="11">
        <v>2020</v>
      </c>
      <c r="B1076" s="10">
        <f>AVERAGE(B96:B107)</f>
        <v>26.536691666666666</v>
      </c>
      <c r="C1076" s="10">
        <f>AVERAGE(C96:C107)</f>
        <v>26.104424999999996</v>
      </c>
      <c r="D1076" s="10"/>
      <c r="E1076" s="10">
        <f t="shared" ref="E1076:K1076" si="7">AVERAGE(E96:E107)</f>
        <v>25.967791666666667</v>
      </c>
      <c r="F1076" s="10">
        <f t="shared" si="7"/>
        <v>25.967791666666667</v>
      </c>
      <c r="G1076" s="10">
        <f t="shared" si="7"/>
        <v>26.239149999999999</v>
      </c>
      <c r="H1076" s="10">
        <f t="shared" si="7"/>
        <v>26.104424999999996</v>
      </c>
      <c r="I1076" s="10">
        <f t="shared" si="7"/>
        <v>26.104424999999996</v>
      </c>
      <c r="J1076" s="10">
        <f t="shared" si="7"/>
        <v>26.104424999999996</v>
      </c>
      <c r="K1076" s="10">
        <f t="shared" si="7"/>
        <v>26.104424999999996</v>
      </c>
      <c r="L1076" s="10"/>
    </row>
    <row r="1077" spans="1:12" ht="15" x14ac:dyDescent="0.2">
      <c r="A1077" s="11">
        <v>2021</v>
      </c>
      <c r="B1077" s="10">
        <f>AVERAGE(B108:B119)</f>
        <v>27.667941666666668</v>
      </c>
      <c r="C1077" s="10">
        <f>AVERAGE(C108:C119)</f>
        <v>27.235683333333338</v>
      </c>
      <c r="D1077" s="10"/>
      <c r="E1077" s="10">
        <f t="shared" ref="E1077:K1077" si="8">AVERAGE(E108:E119)</f>
        <v>27.099041666666665</v>
      </c>
      <c r="F1077" s="10">
        <f t="shared" si="8"/>
        <v>27.099041666666665</v>
      </c>
      <c r="G1077" s="10">
        <f t="shared" si="8"/>
        <v>27.37041666666666</v>
      </c>
      <c r="H1077" s="10">
        <f t="shared" si="8"/>
        <v>27.235683333333338</v>
      </c>
      <c r="I1077" s="10">
        <f t="shared" si="8"/>
        <v>27.235683333333338</v>
      </c>
      <c r="J1077" s="10">
        <f t="shared" si="8"/>
        <v>27.235683333333338</v>
      </c>
      <c r="K1077" s="10">
        <f t="shared" si="8"/>
        <v>27.235683333333338</v>
      </c>
      <c r="L1077" s="10"/>
    </row>
    <row r="1078" spans="1:12" ht="15" x14ac:dyDescent="0.2">
      <c r="A1078" s="11">
        <v>2022</v>
      </c>
      <c r="B1078" s="10">
        <f>AVERAGE(B120:B131)</f>
        <v>28.978466666666662</v>
      </c>
      <c r="C1078" s="10">
        <f>AVERAGE(C120:C131)</f>
        <v>28.546225000000003</v>
      </c>
      <c r="D1078" s="10"/>
      <c r="E1078" s="10">
        <f t="shared" ref="E1078:K1078" si="9">AVERAGE(E120:E131)</f>
        <v>28.409566666666663</v>
      </c>
      <c r="F1078" s="10">
        <f t="shared" si="9"/>
        <v>28.409566666666663</v>
      </c>
      <c r="G1078" s="10">
        <f t="shared" si="9"/>
        <v>28.680950000000006</v>
      </c>
      <c r="H1078" s="10">
        <f t="shared" si="9"/>
        <v>28.546225000000003</v>
      </c>
      <c r="I1078" s="10">
        <f t="shared" si="9"/>
        <v>28.546225000000003</v>
      </c>
      <c r="J1078" s="10">
        <f t="shared" si="9"/>
        <v>28.546225000000003</v>
      </c>
      <c r="K1078" s="10">
        <f t="shared" si="9"/>
        <v>28.546225000000003</v>
      </c>
      <c r="L1078" s="10"/>
    </row>
    <row r="1079" spans="1:12" ht="15" x14ac:dyDescent="0.2">
      <c r="A1079" s="11">
        <v>2023</v>
      </c>
      <c r="B1079" s="10">
        <f>AVERAGE(B132:B143)</f>
        <v>30.228074999999993</v>
      </c>
      <c r="C1079" s="10">
        <f>AVERAGE(C132:C143)</f>
        <v>29.79580833333333</v>
      </c>
      <c r="D1079" s="10"/>
      <c r="E1079" s="10">
        <f t="shared" ref="E1079:K1079" si="10">AVERAGE(E132:E143)</f>
        <v>29.659175000000001</v>
      </c>
      <c r="F1079" s="10">
        <f t="shared" si="10"/>
        <v>29.659175000000001</v>
      </c>
      <c r="G1079" s="10">
        <f t="shared" si="10"/>
        <v>29.930533333333333</v>
      </c>
      <c r="H1079" s="10">
        <f t="shared" si="10"/>
        <v>29.79580833333333</v>
      </c>
      <c r="I1079" s="10">
        <f t="shared" si="10"/>
        <v>29.79580833333333</v>
      </c>
      <c r="J1079" s="10">
        <f t="shared" si="10"/>
        <v>29.79580833333333</v>
      </c>
      <c r="K1079" s="10">
        <f t="shared" si="10"/>
        <v>29.79580833333333</v>
      </c>
      <c r="L1079" s="10"/>
    </row>
    <row r="1080" spans="1:12" ht="15" x14ac:dyDescent="0.2">
      <c r="A1080" s="11">
        <v>2024</v>
      </c>
      <c r="B1080" s="10">
        <f>AVERAGE(B144:B155)</f>
        <v>31.435725000000001</v>
      </c>
      <c r="C1080" s="10">
        <f>AVERAGE(C144:C155)</f>
        <v>31.003483333333332</v>
      </c>
      <c r="D1080" s="10"/>
      <c r="E1080" s="10">
        <f t="shared" ref="E1080:K1080" si="11">AVERAGE(E144:E155)</f>
        <v>30.866816666666665</v>
      </c>
      <c r="F1080" s="10">
        <f t="shared" si="11"/>
        <v>30.866816666666665</v>
      </c>
      <c r="G1080" s="10">
        <f t="shared" si="11"/>
        <v>31.13818333333333</v>
      </c>
      <c r="H1080" s="10">
        <f t="shared" si="11"/>
        <v>31.003483333333332</v>
      </c>
      <c r="I1080" s="10">
        <f t="shared" si="11"/>
        <v>31.003483333333332</v>
      </c>
      <c r="J1080" s="10">
        <f t="shared" si="11"/>
        <v>31.003483333333332</v>
      </c>
      <c r="K1080" s="10">
        <f t="shared" si="11"/>
        <v>31.003483333333332</v>
      </c>
      <c r="L1080" s="10"/>
    </row>
    <row r="1081" spans="1:12" ht="15" x14ac:dyDescent="0.2">
      <c r="A1081" s="11">
        <v>2025</v>
      </c>
      <c r="B1081" s="10">
        <f>AVERAGE(B156:B167)</f>
        <v>32.603383333333333</v>
      </c>
      <c r="C1081" s="10">
        <f>AVERAGE(C156:C167)</f>
        <v>32.171150000000004</v>
      </c>
      <c r="D1081" s="10"/>
      <c r="E1081" s="10">
        <f t="shared" ref="E1081:K1081" si="12">AVERAGE(E156:E167)</f>
        <v>32.034475000000008</v>
      </c>
      <c r="F1081" s="10">
        <f t="shared" si="12"/>
        <v>32.034475000000008</v>
      </c>
      <c r="G1081" s="10">
        <f t="shared" si="12"/>
        <v>32.305858333333326</v>
      </c>
      <c r="H1081" s="10">
        <f t="shared" si="12"/>
        <v>32.171150000000004</v>
      </c>
      <c r="I1081" s="10">
        <f t="shared" si="12"/>
        <v>32.171150000000004</v>
      </c>
      <c r="J1081" s="10">
        <f t="shared" si="12"/>
        <v>32.171150000000004</v>
      </c>
      <c r="K1081" s="10">
        <f t="shared" si="12"/>
        <v>32.171150000000004</v>
      </c>
      <c r="L1081" s="10"/>
    </row>
    <row r="1082" spans="1:12" ht="15" x14ac:dyDescent="0.2">
      <c r="A1082" s="11">
        <v>2026</v>
      </c>
      <c r="B1082" s="10">
        <f>AVERAGE(B168:B179)</f>
        <v>33.15570833333333</v>
      </c>
      <c r="C1082" s="10">
        <f>AVERAGE(C168:C179)</f>
        <v>32.723466666666667</v>
      </c>
      <c r="D1082" s="10"/>
      <c r="E1082" s="10">
        <f t="shared" ref="E1082:K1082" si="13">AVERAGE(E168:E179)</f>
        <v>32.586791666666663</v>
      </c>
      <c r="F1082" s="10">
        <f t="shared" si="13"/>
        <v>32.586791666666663</v>
      </c>
      <c r="G1082" s="10">
        <f t="shared" si="13"/>
        <v>32.858183333333336</v>
      </c>
      <c r="H1082" s="10">
        <f t="shared" si="13"/>
        <v>32.723466666666667</v>
      </c>
      <c r="I1082" s="10">
        <f t="shared" si="13"/>
        <v>32.723466666666667</v>
      </c>
      <c r="J1082" s="10">
        <f t="shared" si="13"/>
        <v>32.723466666666667</v>
      </c>
      <c r="K1082" s="10">
        <f t="shared" si="13"/>
        <v>32.723466666666667</v>
      </c>
      <c r="L1082" s="10"/>
    </row>
    <row r="1083" spans="1:12" ht="15" x14ac:dyDescent="0.2">
      <c r="A1083" s="11">
        <v>2027</v>
      </c>
      <c r="B1083" s="10">
        <f>AVERAGE(B180:B191)</f>
        <v>33.71821666666667</v>
      </c>
      <c r="C1083" s="10">
        <f>AVERAGE(C180:C191)</f>
        <v>33.285975000000001</v>
      </c>
      <c r="D1083" s="10"/>
      <c r="E1083" s="10">
        <f t="shared" ref="E1083:K1083" si="14">AVERAGE(E180:E191)</f>
        <v>33.149316666666671</v>
      </c>
      <c r="F1083" s="10">
        <f t="shared" si="14"/>
        <v>33.149316666666671</v>
      </c>
      <c r="G1083" s="10">
        <f t="shared" si="14"/>
        <v>33.420691666666663</v>
      </c>
      <c r="H1083" s="10">
        <f t="shared" si="14"/>
        <v>33.285975000000001</v>
      </c>
      <c r="I1083" s="10">
        <f t="shared" si="14"/>
        <v>33.285975000000001</v>
      </c>
      <c r="J1083" s="10">
        <f t="shared" si="14"/>
        <v>33.285975000000001</v>
      </c>
      <c r="K1083" s="10">
        <f t="shared" si="14"/>
        <v>33.285975000000001</v>
      </c>
      <c r="L1083" s="10"/>
    </row>
    <row r="1084" spans="1:12" ht="15" x14ac:dyDescent="0.2">
      <c r="A1084" s="11">
        <v>2028</v>
      </c>
      <c r="B1084" s="10">
        <f>AVERAGE(B192:B203)</f>
        <v>34.29111666666666</v>
      </c>
      <c r="C1084" s="10">
        <f>AVERAGE(C192:C203)</f>
        <v>33.85885833333333</v>
      </c>
      <c r="D1084" s="10"/>
      <c r="E1084" s="10">
        <f t="shared" ref="E1084:K1084" si="15">AVERAGE(E192:E203)</f>
        <v>33.722208333333334</v>
      </c>
      <c r="F1084" s="10">
        <f t="shared" si="15"/>
        <v>33.722208333333334</v>
      </c>
      <c r="G1084" s="10">
        <f t="shared" si="15"/>
        <v>33.993575</v>
      </c>
      <c r="H1084" s="10">
        <f t="shared" si="15"/>
        <v>33.85885833333333</v>
      </c>
      <c r="I1084" s="10">
        <f t="shared" si="15"/>
        <v>33.85885833333333</v>
      </c>
      <c r="J1084" s="10">
        <f t="shared" si="15"/>
        <v>33.85885833333333</v>
      </c>
      <c r="K1084" s="10">
        <f t="shared" si="15"/>
        <v>33.85885833333333</v>
      </c>
      <c r="L1084" s="10"/>
    </row>
    <row r="1085" spans="1:12" ht="15" x14ac:dyDescent="0.2">
      <c r="A1085" s="11">
        <v>2029</v>
      </c>
      <c r="B1085" s="10">
        <f>AVERAGE(B204:B215)</f>
        <v>34.926083333333331</v>
      </c>
      <c r="C1085" s="10">
        <f>AVERAGE(C204:C215)</f>
        <v>34.493833333333328</v>
      </c>
      <c r="D1085" s="10"/>
      <c r="E1085" s="10">
        <f t="shared" ref="E1085:K1085" si="16">AVERAGE(E204:E215)</f>
        <v>34.357174999999998</v>
      </c>
      <c r="F1085" s="10">
        <f t="shared" si="16"/>
        <v>34.357174999999998</v>
      </c>
      <c r="G1085" s="10">
        <f t="shared" si="16"/>
        <v>34.62853333333333</v>
      </c>
      <c r="H1085" s="10">
        <f t="shared" si="16"/>
        <v>34.493833333333328</v>
      </c>
      <c r="I1085" s="10">
        <f t="shared" si="16"/>
        <v>34.493833333333328</v>
      </c>
      <c r="J1085" s="10">
        <f t="shared" si="16"/>
        <v>34.493833333333328</v>
      </c>
      <c r="K1085" s="10">
        <f t="shared" si="16"/>
        <v>34.493833333333328</v>
      </c>
      <c r="L1085" s="10"/>
    </row>
    <row r="1086" spans="1:12" ht="15" x14ac:dyDescent="0.2">
      <c r="A1086" s="11">
        <v>2030</v>
      </c>
      <c r="B1086" s="10">
        <f>AVERAGE(B216:B227)</f>
        <v>35.511800000000001</v>
      </c>
      <c r="C1086" s="10">
        <f>AVERAGE(C216:C227)</f>
        <v>35.079558333333331</v>
      </c>
      <c r="D1086" s="10"/>
      <c r="E1086" s="10">
        <f t="shared" ref="E1086:K1086" si="17">AVERAGE(E216:E227)</f>
        <v>34.942900000000002</v>
      </c>
      <c r="F1086" s="10">
        <f t="shared" si="17"/>
        <v>34.942900000000002</v>
      </c>
      <c r="G1086" s="10">
        <f t="shared" si="17"/>
        <v>35.214275000000008</v>
      </c>
      <c r="H1086" s="10">
        <f t="shared" si="17"/>
        <v>35.079558333333331</v>
      </c>
      <c r="I1086" s="10">
        <f t="shared" si="17"/>
        <v>35.079558333333331</v>
      </c>
      <c r="J1086" s="10">
        <f t="shared" si="17"/>
        <v>35.079558333333331</v>
      </c>
      <c r="K1086" s="10">
        <f t="shared" si="17"/>
        <v>35.079558333333331</v>
      </c>
      <c r="L1086" s="10"/>
    </row>
    <row r="1087" spans="1:12" ht="15" x14ac:dyDescent="0.2">
      <c r="A1087" s="11">
        <v>2031</v>
      </c>
      <c r="B1087" s="10">
        <f>AVERAGE(B228:B239)</f>
        <v>36.109883333333336</v>
      </c>
      <c r="C1087" s="10">
        <f>AVERAGE(C228:C239)</f>
        <v>35.67763333333334</v>
      </c>
      <c r="D1087" s="10"/>
      <c r="E1087" s="10">
        <f t="shared" ref="E1087:K1087" si="18">AVERAGE(E228:E239)</f>
        <v>35.540974999999996</v>
      </c>
      <c r="F1087" s="10">
        <f t="shared" si="18"/>
        <v>35.540974999999996</v>
      </c>
      <c r="G1087" s="10">
        <f t="shared" si="18"/>
        <v>35.812341666666661</v>
      </c>
      <c r="H1087" s="10">
        <f t="shared" si="18"/>
        <v>35.67763333333334</v>
      </c>
      <c r="I1087" s="10">
        <f t="shared" si="18"/>
        <v>35.67763333333334</v>
      </c>
      <c r="J1087" s="10">
        <f t="shared" si="18"/>
        <v>35.67763333333334</v>
      </c>
      <c r="K1087" s="10">
        <f t="shared" si="18"/>
        <v>35.67763333333334</v>
      </c>
      <c r="L1087" s="10"/>
    </row>
    <row r="1088" spans="1:12" ht="15" x14ac:dyDescent="0.2">
      <c r="A1088" s="11">
        <v>2032</v>
      </c>
      <c r="B1088" s="10">
        <f>AVERAGE(B240:B251)</f>
        <v>36.718724999999999</v>
      </c>
      <c r="C1088" s="10">
        <f>AVERAGE(C240:C251)</f>
        <v>36.286474999999996</v>
      </c>
      <c r="D1088" s="10"/>
      <c r="E1088" s="10">
        <f t="shared" ref="E1088:K1088" si="19">AVERAGE(E240:E251)</f>
        <v>36.149816666666666</v>
      </c>
      <c r="F1088" s="10">
        <f t="shared" si="19"/>
        <v>36.149816666666666</v>
      </c>
      <c r="G1088" s="10">
        <f t="shared" si="19"/>
        <v>36.421199999999999</v>
      </c>
      <c r="H1088" s="10">
        <f t="shared" si="19"/>
        <v>36.286474999999996</v>
      </c>
      <c r="I1088" s="10">
        <f t="shared" si="19"/>
        <v>36.286474999999996</v>
      </c>
      <c r="J1088" s="10">
        <f t="shared" si="19"/>
        <v>36.286474999999996</v>
      </c>
      <c r="K1088" s="10">
        <f t="shared" si="19"/>
        <v>36.286474999999996</v>
      </c>
      <c r="L1088" s="10"/>
    </row>
    <row r="1089" spans="1:12" ht="15" x14ac:dyDescent="0.2">
      <c r="A1089" s="11">
        <v>2033</v>
      </c>
      <c r="B1089" s="10">
        <f>AVERAGE(B252:B263)</f>
        <v>37.338533333333338</v>
      </c>
      <c r="C1089" s="10">
        <f>AVERAGE(C252:C263)</f>
        <v>36.906275000000001</v>
      </c>
      <c r="D1089" s="10"/>
      <c r="E1089" s="10">
        <f t="shared" ref="E1089:K1089" si="20">AVERAGE(E252:E263)</f>
        <v>36.769625000000005</v>
      </c>
      <c r="F1089" s="10">
        <f t="shared" si="20"/>
        <v>36.769625000000005</v>
      </c>
      <c r="G1089" s="10">
        <f t="shared" si="20"/>
        <v>37.041000000000004</v>
      </c>
      <c r="H1089" s="10">
        <f t="shared" si="20"/>
        <v>36.906275000000001</v>
      </c>
      <c r="I1089" s="10">
        <f t="shared" si="20"/>
        <v>36.906275000000001</v>
      </c>
      <c r="J1089" s="10">
        <f t="shared" si="20"/>
        <v>36.906275000000001</v>
      </c>
      <c r="K1089" s="10">
        <f t="shared" si="20"/>
        <v>36.906275000000001</v>
      </c>
      <c r="L1089" s="10"/>
    </row>
    <row r="1090" spans="1:12" ht="15" x14ac:dyDescent="0.2">
      <c r="A1090" s="11">
        <v>2034</v>
      </c>
      <c r="B1090" s="10">
        <f>AVERAGE(B264:B275)</f>
        <v>37.969508333333344</v>
      </c>
      <c r="C1090" s="10">
        <f>AVERAGE(C264:C275)</f>
        <v>37.53725</v>
      </c>
      <c r="D1090" s="10"/>
      <c r="E1090" s="10">
        <f t="shared" ref="E1090:K1090" si="21">AVERAGE(E264:E275)</f>
        <v>37.400591666666664</v>
      </c>
      <c r="F1090" s="10">
        <f t="shared" si="21"/>
        <v>37.400591666666664</v>
      </c>
      <c r="G1090" s="10">
        <f t="shared" si="21"/>
        <v>37.671949999999995</v>
      </c>
      <c r="H1090" s="10">
        <f t="shared" si="21"/>
        <v>37.53725</v>
      </c>
      <c r="I1090" s="10">
        <f t="shared" si="21"/>
        <v>37.53725</v>
      </c>
      <c r="J1090" s="10">
        <f t="shared" si="21"/>
        <v>37.53725</v>
      </c>
      <c r="K1090" s="10">
        <f t="shared" si="21"/>
        <v>37.53725</v>
      </c>
      <c r="L1090" s="10"/>
    </row>
    <row r="1091" spans="1:12" ht="15" x14ac:dyDescent="0.2">
      <c r="A1091" s="11">
        <v>2035</v>
      </c>
      <c r="B1091" s="10">
        <f>AVERAGE(B276:B287)</f>
        <v>38.61181666666667</v>
      </c>
      <c r="C1091" s="10">
        <f>AVERAGE(C276:C287)</f>
        <v>38.179575</v>
      </c>
      <c r="D1091" s="10"/>
      <c r="E1091" s="10">
        <f t="shared" ref="E1091:K1091" si="22">AVERAGE(E276:E287)</f>
        <v>38.04290833333333</v>
      </c>
      <c r="F1091" s="10">
        <f t="shared" si="22"/>
        <v>38.04290833333333</v>
      </c>
      <c r="G1091" s="10">
        <f t="shared" si="22"/>
        <v>38.314283333333329</v>
      </c>
      <c r="H1091" s="10">
        <f t="shared" si="22"/>
        <v>38.179575</v>
      </c>
      <c r="I1091" s="10">
        <f t="shared" si="22"/>
        <v>38.179575</v>
      </c>
      <c r="J1091" s="10">
        <f t="shared" si="22"/>
        <v>38.179575</v>
      </c>
      <c r="K1091" s="10">
        <f t="shared" si="22"/>
        <v>38.179575</v>
      </c>
      <c r="L1091" s="10"/>
    </row>
    <row r="1092" spans="1:12" ht="15" x14ac:dyDescent="0.2">
      <c r="A1092" s="11">
        <v>2036</v>
      </c>
      <c r="B1092" s="10">
        <f>AVERAGE(B288:B299)</f>
        <v>39.265716666666663</v>
      </c>
      <c r="C1092" s="10">
        <f>AVERAGE(C288:C299)</f>
        <v>38.833449999999992</v>
      </c>
      <c r="D1092" s="10"/>
      <c r="E1092" s="10">
        <f t="shared" ref="E1092:K1092" si="23">AVERAGE(E288:E299)</f>
        <v>38.696783333333336</v>
      </c>
      <c r="F1092" s="10">
        <f t="shared" si="23"/>
        <v>38.696783333333336</v>
      </c>
      <c r="G1092" s="10">
        <f t="shared" si="23"/>
        <v>38.968150000000001</v>
      </c>
      <c r="H1092" s="10">
        <f t="shared" si="23"/>
        <v>38.833449999999992</v>
      </c>
      <c r="I1092" s="10">
        <f t="shared" si="23"/>
        <v>38.833449999999992</v>
      </c>
      <c r="J1092" s="10">
        <f t="shared" si="23"/>
        <v>38.833449999999992</v>
      </c>
      <c r="K1092" s="10">
        <f t="shared" si="23"/>
        <v>38.833449999999992</v>
      </c>
      <c r="L1092" s="10"/>
    </row>
    <row r="1093" spans="1:12" ht="15" x14ac:dyDescent="0.2">
      <c r="A1093" s="11">
        <v>2037</v>
      </c>
      <c r="B1093" s="10">
        <f>AVERAGE(B300:B311)</f>
        <v>39.931374999999996</v>
      </c>
      <c r="C1093" s="10">
        <f>AVERAGE(C300:C311)</f>
        <v>39.499099999999999</v>
      </c>
      <c r="D1093" s="10"/>
      <c r="E1093" s="10">
        <f t="shared" ref="E1093:K1093" si="24">AVERAGE(E300:E311)</f>
        <v>39.362475000000003</v>
      </c>
      <c r="F1093" s="10">
        <f t="shared" si="24"/>
        <v>39.362475000000003</v>
      </c>
      <c r="G1093" s="10">
        <f t="shared" si="24"/>
        <v>39.633825000000002</v>
      </c>
      <c r="H1093" s="10">
        <f t="shared" si="24"/>
        <v>39.499099999999999</v>
      </c>
      <c r="I1093" s="10">
        <f t="shared" si="24"/>
        <v>39.499099999999999</v>
      </c>
      <c r="J1093" s="10">
        <f t="shared" si="24"/>
        <v>39.499099999999999</v>
      </c>
      <c r="K1093" s="10">
        <f t="shared" si="24"/>
        <v>39.499099999999999</v>
      </c>
      <c r="L1093" s="10"/>
    </row>
    <row r="1094" spans="1:12" ht="15" x14ac:dyDescent="0.2">
      <c r="A1094" s="11">
        <f t="shared" ref="A1094:A1125" si="25">A1093+1</f>
        <v>2038</v>
      </c>
      <c r="B1094" s="10">
        <f>AVERAGE(B312:B323)</f>
        <v>40.609008333333328</v>
      </c>
      <c r="C1094" s="10">
        <f>AVERAGE(C312:C323)</f>
        <v>40.176774999999999</v>
      </c>
      <c r="D1094" s="10"/>
      <c r="E1094" s="10">
        <f t="shared" ref="E1094:K1094" si="26">AVERAGE(E312:E323)</f>
        <v>40.040100000000002</v>
      </c>
      <c r="F1094" s="10">
        <f t="shared" si="26"/>
        <v>40.040100000000002</v>
      </c>
      <c r="G1094" s="10">
        <f t="shared" si="26"/>
        <v>40.311475000000002</v>
      </c>
      <c r="H1094" s="10">
        <f t="shared" si="26"/>
        <v>40.176774999999999</v>
      </c>
      <c r="I1094" s="10">
        <f t="shared" si="26"/>
        <v>40.176774999999999</v>
      </c>
      <c r="J1094" s="10">
        <f t="shared" si="26"/>
        <v>40.176774999999999</v>
      </c>
      <c r="K1094" s="10">
        <f t="shared" si="26"/>
        <v>40.176774999999999</v>
      </c>
      <c r="L1094" s="10"/>
    </row>
    <row r="1095" spans="1:12" ht="15" x14ac:dyDescent="0.2">
      <c r="A1095" s="11">
        <f t="shared" si="25"/>
        <v>2039</v>
      </c>
      <c r="B1095" s="10">
        <f>AVERAGE(B324:B335)</f>
        <v>41.298849999999995</v>
      </c>
      <c r="C1095" s="10">
        <f>AVERAGE(C324:C335)</f>
        <v>40.866616666666665</v>
      </c>
      <c r="D1095" s="10"/>
      <c r="E1095" s="10">
        <f t="shared" ref="E1095:K1095" si="27">AVERAGE(E324:E335)</f>
        <v>40.729949999999995</v>
      </c>
      <c r="F1095" s="10">
        <f t="shared" si="27"/>
        <v>40.729949999999995</v>
      </c>
      <c r="G1095" s="10">
        <f t="shared" si="27"/>
        <v>41.001341666666669</v>
      </c>
      <c r="H1095" s="10">
        <f t="shared" si="27"/>
        <v>40.866616666666665</v>
      </c>
      <c r="I1095" s="10">
        <f t="shared" si="27"/>
        <v>40.866616666666665</v>
      </c>
      <c r="J1095" s="10">
        <f t="shared" si="27"/>
        <v>40.866616666666665</v>
      </c>
      <c r="K1095" s="10">
        <f t="shared" si="27"/>
        <v>40.866616666666665</v>
      </c>
      <c r="L1095" s="10"/>
    </row>
    <row r="1096" spans="1:12" ht="15" x14ac:dyDescent="0.2">
      <c r="A1096" s="11">
        <f t="shared" si="25"/>
        <v>2040</v>
      </c>
      <c r="B1096" s="10">
        <f>AVERAGE(B336:B347)</f>
        <v>42.001133333333335</v>
      </c>
      <c r="C1096" s="10">
        <f>AVERAGE(C336:C347)</f>
        <v>41.568883333333325</v>
      </c>
      <c r="D1096" s="10"/>
      <c r="E1096" s="10">
        <f t="shared" ref="E1096:K1096" si="28">AVERAGE(E336:E347)</f>
        <v>41.432224999999995</v>
      </c>
      <c r="F1096" s="10">
        <f t="shared" si="28"/>
        <v>41.432224999999995</v>
      </c>
      <c r="G1096" s="10">
        <f t="shared" si="28"/>
        <v>41.703600000000002</v>
      </c>
      <c r="H1096" s="10">
        <f t="shared" si="28"/>
        <v>41.568883333333325</v>
      </c>
      <c r="I1096" s="10">
        <f t="shared" si="28"/>
        <v>41.568883333333325</v>
      </c>
      <c r="J1096" s="10">
        <f t="shared" si="28"/>
        <v>41.568883333333325</v>
      </c>
      <c r="K1096" s="10">
        <f t="shared" si="28"/>
        <v>41.568883333333325</v>
      </c>
      <c r="L1096" s="10"/>
    </row>
    <row r="1097" spans="1:12" ht="15" x14ac:dyDescent="0.2">
      <c r="A1097" s="11">
        <f t="shared" si="25"/>
        <v>2041</v>
      </c>
      <c r="B1097" s="10">
        <f>AVERAGE(B348:B359)</f>
        <v>42.716049999999996</v>
      </c>
      <c r="C1097" s="10">
        <f>AVERAGE(C348:C359)</f>
        <v>42.283791666666666</v>
      </c>
      <c r="D1097" s="10"/>
      <c r="E1097" s="10">
        <f t="shared" ref="E1097:K1097" si="29">AVERAGE(E348:E359)</f>
        <v>42.147133333333336</v>
      </c>
      <c r="F1097" s="10">
        <f t="shared" si="29"/>
        <v>42.147133333333336</v>
      </c>
      <c r="G1097" s="10">
        <f t="shared" si="29"/>
        <v>42.418508333333335</v>
      </c>
      <c r="H1097" s="10">
        <f t="shared" si="29"/>
        <v>42.283791666666666</v>
      </c>
      <c r="I1097" s="10">
        <f t="shared" si="29"/>
        <v>42.283791666666666</v>
      </c>
      <c r="J1097" s="10">
        <f t="shared" si="29"/>
        <v>42.283791666666666</v>
      </c>
      <c r="K1097" s="10">
        <f t="shared" si="29"/>
        <v>42.283791666666666</v>
      </c>
      <c r="L1097" s="10"/>
    </row>
    <row r="1098" spans="1:12" ht="15" x14ac:dyDescent="0.2">
      <c r="A1098" s="11">
        <f t="shared" si="25"/>
        <v>2042</v>
      </c>
      <c r="B1098" s="10">
        <f>AVERAGE(B360:B371)</f>
        <v>43.443833333333323</v>
      </c>
      <c r="C1098" s="10">
        <f>AVERAGE(C360:C371)</f>
        <v>43.01156666666666</v>
      </c>
      <c r="D1098" s="10"/>
      <c r="E1098" s="10">
        <f t="shared" ref="E1098:K1098" si="30">AVERAGE(E360:E371)</f>
        <v>42.874933333333331</v>
      </c>
      <c r="F1098" s="10">
        <f t="shared" si="30"/>
        <v>42.874933333333331</v>
      </c>
      <c r="G1098" s="10">
        <f t="shared" si="30"/>
        <v>43.146283333333336</v>
      </c>
      <c r="H1098" s="10">
        <f t="shared" si="30"/>
        <v>43.01156666666666</v>
      </c>
      <c r="I1098" s="10">
        <f t="shared" si="30"/>
        <v>43.01156666666666</v>
      </c>
      <c r="J1098" s="10">
        <f t="shared" si="30"/>
        <v>43.01156666666666</v>
      </c>
      <c r="K1098" s="10">
        <f t="shared" si="30"/>
        <v>43.01156666666666</v>
      </c>
      <c r="L1098" s="10"/>
    </row>
    <row r="1099" spans="1:12" ht="15" x14ac:dyDescent="0.2">
      <c r="A1099" s="11">
        <f t="shared" si="25"/>
        <v>2043</v>
      </c>
      <c r="B1099" s="10">
        <f>AVERAGE(B372:B383)</f>
        <v>44.184708333333333</v>
      </c>
      <c r="C1099" s="10">
        <f>AVERAGE(C372:C383)</f>
        <v>43.75244166666667</v>
      </c>
      <c r="D1099" s="10"/>
      <c r="E1099" s="10">
        <f t="shared" ref="E1099:K1099" si="31">AVERAGE(E372:E383)</f>
        <v>43.615808333333327</v>
      </c>
      <c r="F1099" s="10">
        <f t="shared" si="31"/>
        <v>43.615808333333327</v>
      </c>
      <c r="G1099" s="10">
        <f t="shared" si="31"/>
        <v>43.8872</v>
      </c>
      <c r="H1099" s="10">
        <f t="shared" si="31"/>
        <v>43.75244166666667</v>
      </c>
      <c r="I1099" s="10">
        <f t="shared" si="31"/>
        <v>43.75244166666667</v>
      </c>
      <c r="J1099" s="10">
        <f t="shared" si="31"/>
        <v>43.75244166666667</v>
      </c>
      <c r="K1099" s="10">
        <f t="shared" si="31"/>
        <v>43.75244166666667</v>
      </c>
      <c r="L1099" s="10"/>
    </row>
    <row r="1100" spans="1:12" ht="15" x14ac:dyDescent="0.2">
      <c r="A1100" s="11">
        <f t="shared" si="25"/>
        <v>2044</v>
      </c>
      <c r="B1100" s="10">
        <f>AVERAGE(B384:B395)</f>
        <v>44.938941666666665</v>
      </c>
      <c r="C1100" s="10">
        <f>AVERAGE(C384:C395)</f>
        <v>44.506675000000001</v>
      </c>
      <c r="D1100" s="10"/>
      <c r="E1100" s="10">
        <f t="shared" ref="E1100:K1100" si="32">AVERAGE(E384:E395)</f>
        <v>44.370041666666658</v>
      </c>
      <c r="F1100" s="10">
        <f t="shared" si="32"/>
        <v>44.370041666666658</v>
      </c>
      <c r="G1100" s="10">
        <f t="shared" si="32"/>
        <v>44.641408333333338</v>
      </c>
      <c r="H1100" s="10">
        <f t="shared" si="32"/>
        <v>44.506675000000001</v>
      </c>
      <c r="I1100" s="10">
        <f t="shared" si="32"/>
        <v>44.506675000000001</v>
      </c>
      <c r="J1100" s="10">
        <f t="shared" si="32"/>
        <v>44.506675000000001</v>
      </c>
      <c r="K1100" s="10">
        <f t="shared" si="32"/>
        <v>44.506675000000001</v>
      </c>
      <c r="L1100" s="10"/>
    </row>
    <row r="1101" spans="1:12" ht="15" x14ac:dyDescent="0.2">
      <c r="A1101" s="11">
        <f t="shared" si="25"/>
        <v>2045</v>
      </c>
      <c r="B1101" s="10">
        <f>AVERAGE(B396:B407)</f>
        <v>45.706741666666659</v>
      </c>
      <c r="C1101" s="10">
        <f>AVERAGE(C396:C407)</f>
        <v>45.274483333333329</v>
      </c>
      <c r="D1101" s="10"/>
      <c r="E1101" s="10">
        <f t="shared" ref="E1101:K1101" si="33">AVERAGE(E396:E407)</f>
        <v>45.137841666666674</v>
      </c>
      <c r="F1101" s="10">
        <f t="shared" si="33"/>
        <v>45.137841666666674</v>
      </c>
      <c r="G1101" s="10">
        <f t="shared" si="33"/>
        <v>45.409208333333332</v>
      </c>
      <c r="H1101" s="10">
        <f t="shared" si="33"/>
        <v>45.274483333333329</v>
      </c>
      <c r="I1101" s="10">
        <f t="shared" si="33"/>
        <v>45.274483333333329</v>
      </c>
      <c r="J1101" s="10">
        <f t="shared" si="33"/>
        <v>45.274483333333329</v>
      </c>
      <c r="K1101" s="10">
        <f t="shared" si="33"/>
        <v>45.274483333333329</v>
      </c>
      <c r="L1101" s="10"/>
    </row>
    <row r="1102" spans="1:12" ht="15" x14ac:dyDescent="0.2">
      <c r="A1102" s="11">
        <f t="shared" si="25"/>
        <v>2046</v>
      </c>
      <c r="B1102" s="10">
        <f>AVERAGE(B408:B419)</f>
        <v>46.488374999999998</v>
      </c>
      <c r="C1102" s="10">
        <f>AVERAGE(C408:C419)</f>
        <v>46.056125000000002</v>
      </c>
      <c r="D1102" s="10"/>
      <c r="E1102" s="10">
        <f t="shared" ref="E1102:K1102" si="34">AVERAGE(E408:E419)</f>
        <v>45.919474999999998</v>
      </c>
      <c r="F1102" s="10">
        <f t="shared" si="34"/>
        <v>45.919474999999998</v>
      </c>
      <c r="G1102" s="10">
        <f t="shared" si="34"/>
        <v>46.190841666666664</v>
      </c>
      <c r="H1102" s="10">
        <f t="shared" si="34"/>
        <v>46.056125000000002</v>
      </c>
      <c r="I1102" s="10">
        <f t="shared" si="34"/>
        <v>46.056125000000002</v>
      </c>
      <c r="J1102" s="10">
        <f t="shared" si="34"/>
        <v>46.056125000000002</v>
      </c>
      <c r="K1102" s="10">
        <f t="shared" si="34"/>
        <v>46.056125000000002</v>
      </c>
      <c r="L1102" s="10"/>
    </row>
    <row r="1103" spans="1:12" ht="15" x14ac:dyDescent="0.2">
      <c r="A1103" s="11">
        <f t="shared" si="25"/>
        <v>2047</v>
      </c>
      <c r="B1103" s="10">
        <f>AVERAGE(B420:B431)</f>
        <v>47.284083333333342</v>
      </c>
      <c r="C1103" s="10">
        <f>AVERAGE(C420:C431)</f>
        <v>46.851816666666657</v>
      </c>
      <c r="D1103" s="10"/>
      <c r="E1103" s="10">
        <f t="shared" ref="E1103:K1103" si="35">AVERAGE(E420:E431)</f>
        <v>46.715183333333329</v>
      </c>
      <c r="F1103" s="10">
        <f t="shared" si="35"/>
        <v>46.715183333333329</v>
      </c>
      <c r="G1103" s="10">
        <f t="shared" si="35"/>
        <v>46.986549999999994</v>
      </c>
      <c r="H1103" s="10">
        <f t="shared" si="35"/>
        <v>46.851816666666657</v>
      </c>
      <c r="I1103" s="10">
        <f t="shared" si="35"/>
        <v>46.851816666666657</v>
      </c>
      <c r="J1103" s="10">
        <f t="shared" si="35"/>
        <v>46.851816666666657</v>
      </c>
      <c r="K1103" s="10">
        <f t="shared" si="35"/>
        <v>46.851816666666657</v>
      </c>
      <c r="L1103" s="10"/>
    </row>
    <row r="1104" spans="1:12" ht="15" x14ac:dyDescent="0.2">
      <c r="A1104" s="11">
        <f t="shared" si="25"/>
        <v>2048</v>
      </c>
      <c r="B1104" s="10">
        <f>AVERAGE(B432:B443)</f>
        <v>48.094100000000005</v>
      </c>
      <c r="C1104" s="10">
        <f>AVERAGE(C432:C443)</f>
        <v>47.661866666666661</v>
      </c>
      <c r="D1104" s="10"/>
      <c r="E1104" s="10">
        <f t="shared" ref="E1104:K1104" si="36">AVERAGE(E432:E443)</f>
        <v>47.525200000000005</v>
      </c>
      <c r="F1104" s="10">
        <f t="shared" si="36"/>
        <v>47.525200000000005</v>
      </c>
      <c r="G1104" s="10">
        <f t="shared" si="36"/>
        <v>47.796583333333338</v>
      </c>
      <c r="H1104" s="10">
        <f t="shared" si="36"/>
        <v>47.661866666666661</v>
      </c>
      <c r="I1104" s="10">
        <f t="shared" si="36"/>
        <v>47.661866666666661</v>
      </c>
      <c r="J1104" s="10">
        <f t="shared" si="36"/>
        <v>47.661866666666661</v>
      </c>
      <c r="K1104" s="10">
        <f t="shared" si="36"/>
        <v>47.661866666666661</v>
      </c>
      <c r="L1104" s="10"/>
    </row>
    <row r="1105" spans="1:12" ht="15" x14ac:dyDescent="0.2">
      <c r="A1105" s="11">
        <f t="shared" si="25"/>
        <v>2049</v>
      </c>
      <c r="B1105" s="10">
        <f>AVERAGE(B444:B455)</f>
        <v>48.918716666666661</v>
      </c>
      <c r="C1105" s="10">
        <f>AVERAGE(C444:C455)</f>
        <v>48.486483333333332</v>
      </c>
      <c r="D1105" s="10"/>
      <c r="E1105" s="10">
        <f t="shared" ref="E1105:K1105" si="37">AVERAGE(E444:E455)</f>
        <v>48.349816666666662</v>
      </c>
      <c r="F1105" s="10">
        <f t="shared" si="37"/>
        <v>48.349816666666662</v>
      </c>
      <c r="G1105" s="10">
        <f t="shared" si="37"/>
        <v>48.621191666666668</v>
      </c>
      <c r="H1105" s="10">
        <f t="shared" si="37"/>
        <v>48.486483333333332</v>
      </c>
      <c r="I1105" s="10">
        <f t="shared" si="37"/>
        <v>48.486483333333332</v>
      </c>
      <c r="J1105" s="10">
        <f t="shared" si="37"/>
        <v>48.486483333333332</v>
      </c>
      <c r="K1105" s="10">
        <f t="shared" si="37"/>
        <v>48.486483333333332</v>
      </c>
      <c r="L1105" s="10"/>
    </row>
    <row r="1106" spans="1:12" ht="15" x14ac:dyDescent="0.2">
      <c r="A1106" s="11">
        <f t="shared" si="25"/>
        <v>2050</v>
      </c>
      <c r="B1106" s="10">
        <f>AVERAGE(B456:B467)</f>
        <v>49.758199999999988</v>
      </c>
      <c r="C1106" s="10">
        <f>AVERAGE(C456:C467)</f>
        <v>49.325916666666672</v>
      </c>
      <c r="D1106" s="10"/>
      <c r="E1106" s="10">
        <f t="shared" ref="E1106:K1106" si="38">AVERAGE(E456:E467)</f>
        <v>49.189299999999996</v>
      </c>
      <c r="F1106" s="10">
        <f t="shared" si="38"/>
        <v>49.189299999999996</v>
      </c>
      <c r="G1106" s="10">
        <f t="shared" si="38"/>
        <v>49.460658333333328</v>
      </c>
      <c r="H1106" s="10">
        <f t="shared" si="38"/>
        <v>49.325916666666672</v>
      </c>
      <c r="I1106" s="10">
        <f t="shared" si="38"/>
        <v>49.325916666666672</v>
      </c>
      <c r="J1106" s="10">
        <f t="shared" si="38"/>
        <v>49.325916666666672</v>
      </c>
      <c r="K1106" s="10">
        <f t="shared" si="38"/>
        <v>49.325916666666672</v>
      </c>
      <c r="L1106" s="10"/>
    </row>
    <row r="1107" spans="1:12" ht="15" x14ac:dyDescent="0.2">
      <c r="A1107" s="11">
        <f t="shared" si="25"/>
        <v>2051</v>
      </c>
      <c r="B1107" s="10">
        <f>AVERAGE(B468:B479)</f>
        <v>50.612766666666666</v>
      </c>
      <c r="C1107" s="10">
        <f>AVERAGE(C468:C479)</f>
        <v>50.180524999999996</v>
      </c>
      <c r="D1107" s="10"/>
      <c r="E1107" s="10">
        <f t="shared" ref="E1107:K1107" si="39">AVERAGE(E468:E479)</f>
        <v>50.04385833333334</v>
      </c>
      <c r="F1107" s="10">
        <f t="shared" si="39"/>
        <v>50.04385833333334</v>
      </c>
      <c r="G1107" s="10">
        <f t="shared" si="39"/>
        <v>50.315233333333339</v>
      </c>
      <c r="H1107" s="10">
        <f t="shared" si="39"/>
        <v>50.180524999999996</v>
      </c>
      <c r="I1107" s="10">
        <f t="shared" si="39"/>
        <v>50.180524999999996</v>
      </c>
      <c r="J1107" s="10">
        <f t="shared" si="39"/>
        <v>50.180524999999996</v>
      </c>
      <c r="K1107" s="10">
        <f t="shared" si="39"/>
        <v>50.180524999999996</v>
      </c>
      <c r="L1107" s="10"/>
    </row>
    <row r="1108" spans="1:12" ht="15" x14ac:dyDescent="0.2">
      <c r="A1108" s="11">
        <f t="shared" si="25"/>
        <v>2052</v>
      </c>
      <c r="B1108" s="10">
        <f>AVERAGE(B480:B491)</f>
        <v>51.482725000000009</v>
      </c>
      <c r="C1108" s="10">
        <f>AVERAGE(C480:C491)</f>
        <v>51.050474999999999</v>
      </c>
      <c r="D1108" s="10"/>
      <c r="E1108" s="10">
        <f t="shared" ref="E1108:K1108" si="40">AVERAGE(E480:E491)</f>
        <v>50.913816666666662</v>
      </c>
      <c r="F1108" s="10">
        <f t="shared" si="40"/>
        <v>50.913816666666662</v>
      </c>
      <c r="G1108" s="10">
        <f t="shared" si="40"/>
        <v>51.185216666666662</v>
      </c>
      <c r="H1108" s="10">
        <f t="shared" si="40"/>
        <v>51.050474999999999</v>
      </c>
      <c r="I1108" s="10">
        <f t="shared" si="40"/>
        <v>51.050474999999999</v>
      </c>
      <c r="J1108" s="10">
        <f t="shared" si="40"/>
        <v>51.050474999999999</v>
      </c>
      <c r="K1108" s="10">
        <f t="shared" si="40"/>
        <v>51.050474999999999</v>
      </c>
      <c r="L1108" s="10"/>
    </row>
    <row r="1109" spans="1:12" ht="15" x14ac:dyDescent="0.2">
      <c r="A1109" s="11">
        <f t="shared" si="25"/>
        <v>2053</v>
      </c>
      <c r="B1109" s="10">
        <f>AVERAGE(B492:B503)</f>
        <v>52.368341666666659</v>
      </c>
      <c r="C1109" s="10">
        <f>AVERAGE(C492:C503)</f>
        <v>51.936116666666663</v>
      </c>
      <c r="D1109" s="10"/>
      <c r="E1109" s="10">
        <f t="shared" ref="E1109:K1109" si="41">AVERAGE(E492:E503)</f>
        <v>51.799441666666667</v>
      </c>
      <c r="F1109" s="10">
        <f t="shared" si="41"/>
        <v>51.799441666666667</v>
      </c>
      <c r="G1109" s="10">
        <f t="shared" si="41"/>
        <v>52.070825000000006</v>
      </c>
      <c r="H1109" s="10">
        <f t="shared" si="41"/>
        <v>51.936116666666663</v>
      </c>
      <c r="I1109" s="10">
        <f t="shared" si="41"/>
        <v>51.936116666666663</v>
      </c>
      <c r="J1109" s="10">
        <f t="shared" si="41"/>
        <v>51.936116666666663</v>
      </c>
      <c r="K1109" s="10">
        <f t="shared" si="41"/>
        <v>51.936116666666663</v>
      </c>
      <c r="L1109" s="10"/>
    </row>
    <row r="1110" spans="1:12" ht="15" x14ac:dyDescent="0.2">
      <c r="A1110" s="11">
        <f t="shared" si="25"/>
        <v>2054</v>
      </c>
      <c r="B1110" s="10">
        <f>AVERAGE(B504:B515)</f>
        <v>53.269916666666667</v>
      </c>
      <c r="C1110" s="10">
        <f>AVERAGE(C504:C515)</f>
        <v>52.837691666666672</v>
      </c>
      <c r="D1110" s="10"/>
      <c r="E1110" s="10">
        <f t="shared" ref="E1110:K1110" si="42">AVERAGE(E504:E515)</f>
        <v>52.701016666666668</v>
      </c>
      <c r="F1110" s="10">
        <f t="shared" si="42"/>
        <v>52.701016666666668</v>
      </c>
      <c r="G1110" s="10">
        <f t="shared" si="42"/>
        <v>52.97239166666666</v>
      </c>
      <c r="H1110" s="10">
        <f t="shared" si="42"/>
        <v>52.837691666666672</v>
      </c>
      <c r="I1110" s="10">
        <f t="shared" si="42"/>
        <v>52.837691666666672</v>
      </c>
      <c r="J1110" s="10">
        <f t="shared" si="42"/>
        <v>52.837691666666672</v>
      </c>
      <c r="K1110" s="10">
        <f t="shared" si="42"/>
        <v>52.837691666666672</v>
      </c>
      <c r="L1110" s="10"/>
    </row>
    <row r="1111" spans="1:12" ht="15" x14ac:dyDescent="0.2">
      <c r="A1111" s="11">
        <f t="shared" si="25"/>
        <v>2055</v>
      </c>
      <c r="B1111" s="10">
        <f>AVERAGE(B516:B527)</f>
        <v>54.187733333333334</v>
      </c>
      <c r="C1111" s="10">
        <f>AVERAGE(C516:C527)</f>
        <v>53.755491666666664</v>
      </c>
      <c r="D1111" s="10"/>
      <c r="E1111" s="10">
        <f t="shared" ref="E1111:K1111" si="43">AVERAGE(E516:E527)</f>
        <v>53.618824999999994</v>
      </c>
      <c r="F1111" s="10">
        <f t="shared" si="43"/>
        <v>53.618824999999994</v>
      </c>
      <c r="G1111" s="10">
        <f t="shared" si="43"/>
        <v>53.8902</v>
      </c>
      <c r="H1111" s="10">
        <f t="shared" si="43"/>
        <v>53.755491666666664</v>
      </c>
      <c r="I1111" s="10">
        <f t="shared" si="43"/>
        <v>53.755491666666664</v>
      </c>
      <c r="J1111" s="10">
        <f t="shared" si="43"/>
        <v>53.755491666666664</v>
      </c>
      <c r="K1111" s="10">
        <f t="shared" si="43"/>
        <v>53.755491666666664</v>
      </c>
      <c r="L1111" s="10"/>
    </row>
    <row r="1112" spans="1:12" ht="15" x14ac:dyDescent="0.2">
      <c r="A1112" s="11">
        <f t="shared" si="25"/>
        <v>2056</v>
      </c>
      <c r="B1112" s="10">
        <f>AVERAGE(B528:B539)</f>
        <v>55.122066666666662</v>
      </c>
      <c r="C1112" s="10">
        <f>AVERAGE(C528:C539)</f>
        <v>54.689808333333325</v>
      </c>
      <c r="D1112" s="10"/>
      <c r="E1112" s="10">
        <f t="shared" ref="E1112:K1112" si="44">AVERAGE(E528:E539)</f>
        <v>54.553166666666669</v>
      </c>
      <c r="F1112" s="10">
        <f t="shared" si="44"/>
        <v>54.553166666666669</v>
      </c>
      <c r="G1112" s="10">
        <f t="shared" si="44"/>
        <v>54.824533333333328</v>
      </c>
      <c r="H1112" s="10">
        <f t="shared" si="44"/>
        <v>54.689808333333325</v>
      </c>
      <c r="I1112" s="10">
        <f t="shared" si="44"/>
        <v>54.689808333333325</v>
      </c>
      <c r="J1112" s="10">
        <f t="shared" si="44"/>
        <v>54.689808333333325</v>
      </c>
      <c r="K1112" s="10">
        <f t="shared" si="44"/>
        <v>54.689808333333325</v>
      </c>
      <c r="L1112" s="10"/>
    </row>
    <row r="1113" spans="1:12" ht="15" x14ac:dyDescent="0.2">
      <c r="A1113" s="11">
        <f t="shared" si="25"/>
        <v>2057</v>
      </c>
      <c r="B1113" s="10">
        <f>AVERAGE(B540:B551)</f>
        <v>56.07321666666666</v>
      </c>
      <c r="C1113" s="10">
        <f>AVERAGE(C540:C551)</f>
        <v>55.640958333333323</v>
      </c>
      <c r="D1113" s="10"/>
      <c r="E1113" s="10">
        <f t="shared" ref="E1113:K1113" si="45">AVERAGE(E540:E551)</f>
        <v>55.504308333333334</v>
      </c>
      <c r="F1113" s="10">
        <f t="shared" si="45"/>
        <v>55.504308333333334</v>
      </c>
      <c r="G1113" s="10">
        <f t="shared" si="45"/>
        <v>55.775699999999993</v>
      </c>
      <c r="H1113" s="10">
        <f t="shared" si="45"/>
        <v>55.640958333333323</v>
      </c>
      <c r="I1113" s="10">
        <f t="shared" si="45"/>
        <v>55.640958333333323</v>
      </c>
      <c r="J1113" s="10">
        <f t="shared" si="45"/>
        <v>55.640958333333323</v>
      </c>
      <c r="K1113" s="10">
        <f t="shared" si="45"/>
        <v>55.640958333333323</v>
      </c>
      <c r="L1113" s="10"/>
    </row>
    <row r="1114" spans="1:12" ht="15" x14ac:dyDescent="0.2">
      <c r="A1114" s="11">
        <f t="shared" si="25"/>
        <v>2058</v>
      </c>
      <c r="B1114" s="10">
        <f>AVERAGE(B552:B563)</f>
        <v>57.041499999999992</v>
      </c>
      <c r="C1114" s="10">
        <f>AVERAGE(C552:C563)</f>
        <v>56.609249999999996</v>
      </c>
      <c r="D1114" s="10"/>
      <c r="E1114" s="10">
        <f t="shared" ref="E1114:K1114" si="46">AVERAGE(E552:E563)</f>
        <v>56.472583333333326</v>
      </c>
      <c r="F1114" s="10">
        <f t="shared" si="46"/>
        <v>56.472583333333326</v>
      </c>
      <c r="G1114" s="10">
        <f t="shared" si="46"/>
        <v>56.743958333333332</v>
      </c>
      <c r="H1114" s="10">
        <f t="shared" si="46"/>
        <v>56.609249999999996</v>
      </c>
      <c r="I1114" s="10">
        <f t="shared" si="46"/>
        <v>56.609249999999996</v>
      </c>
      <c r="J1114" s="10">
        <f t="shared" si="46"/>
        <v>56.609249999999996</v>
      </c>
      <c r="K1114" s="10">
        <f t="shared" si="46"/>
        <v>56.609249999999996</v>
      </c>
      <c r="L1114" s="10"/>
    </row>
    <row r="1115" spans="1:12" ht="15" x14ac:dyDescent="0.2">
      <c r="A1115" s="11">
        <f t="shared" si="25"/>
        <v>2059</v>
      </c>
      <c r="B1115" s="10">
        <f>AVERAGE(B564:B575)</f>
        <v>58.027199999999993</v>
      </c>
      <c r="C1115" s="10">
        <f>AVERAGE(C564:C575)</f>
        <v>57.594958333333331</v>
      </c>
      <c r="D1115" s="10"/>
      <c r="E1115" s="10">
        <f t="shared" ref="E1115:K1115" si="47">AVERAGE(E564:E575)</f>
        <v>57.458291666666668</v>
      </c>
      <c r="F1115" s="10">
        <f t="shared" si="47"/>
        <v>57.458291666666668</v>
      </c>
      <c r="G1115" s="10">
        <f t="shared" si="47"/>
        <v>57.729683333333327</v>
      </c>
      <c r="H1115" s="10">
        <f t="shared" si="47"/>
        <v>57.594958333333331</v>
      </c>
      <c r="I1115" s="10">
        <f t="shared" si="47"/>
        <v>57.594958333333331</v>
      </c>
      <c r="J1115" s="10">
        <f t="shared" si="47"/>
        <v>57.594958333333331</v>
      </c>
      <c r="K1115" s="10">
        <f t="shared" si="47"/>
        <v>57.594958333333331</v>
      </c>
      <c r="L1115" s="10"/>
    </row>
    <row r="1116" spans="1:12" ht="15" x14ac:dyDescent="0.2">
      <c r="A1116" s="11">
        <f t="shared" si="25"/>
        <v>2060</v>
      </c>
      <c r="B1116" s="10">
        <f>AVERAGE(B576:B587)</f>
        <v>59.030666666666662</v>
      </c>
      <c r="C1116" s="10">
        <f>AVERAGE(C576:C587)</f>
        <v>58.598416666666672</v>
      </c>
      <c r="D1116" s="10"/>
      <c r="E1116" s="10">
        <f t="shared" ref="E1116:K1116" si="48">AVERAGE(E576:E587)</f>
        <v>58.461758333333336</v>
      </c>
      <c r="F1116" s="10">
        <f t="shared" si="48"/>
        <v>58.461758333333336</v>
      </c>
      <c r="G1116" s="10">
        <f t="shared" si="48"/>
        <v>58.733133333333335</v>
      </c>
      <c r="H1116" s="10">
        <f t="shared" si="48"/>
        <v>58.598416666666672</v>
      </c>
      <c r="I1116" s="10">
        <f t="shared" si="48"/>
        <v>58.598416666666672</v>
      </c>
      <c r="J1116" s="10">
        <f t="shared" si="48"/>
        <v>58.598416666666672</v>
      </c>
      <c r="K1116" s="10">
        <f t="shared" si="48"/>
        <v>58.598416666666672</v>
      </c>
      <c r="L1116" s="10"/>
    </row>
    <row r="1117" spans="1:12" ht="15" x14ac:dyDescent="0.2">
      <c r="A1117" s="11">
        <f t="shared" si="25"/>
        <v>2061</v>
      </c>
      <c r="B1117" s="10">
        <f>AVERAGE(B588:B599)</f>
        <v>60.052191666666666</v>
      </c>
      <c r="C1117" s="10">
        <f>AVERAGE(C588:C599)</f>
        <v>59.619933333333336</v>
      </c>
      <c r="D1117" s="10"/>
      <c r="E1117" s="10">
        <f t="shared" ref="E1117:K1117" si="49">AVERAGE(E588:E599)</f>
        <v>59.483283333333326</v>
      </c>
      <c r="F1117" s="10">
        <f t="shared" si="49"/>
        <v>59.483283333333326</v>
      </c>
      <c r="G1117" s="10">
        <f t="shared" si="49"/>
        <v>59.754658333333332</v>
      </c>
      <c r="H1117" s="10">
        <f t="shared" si="49"/>
        <v>59.619933333333336</v>
      </c>
      <c r="I1117" s="10">
        <f t="shared" si="49"/>
        <v>59.619933333333336</v>
      </c>
      <c r="J1117" s="10">
        <f t="shared" si="49"/>
        <v>59.619933333333336</v>
      </c>
      <c r="K1117" s="10">
        <f t="shared" si="49"/>
        <v>59.619933333333336</v>
      </c>
      <c r="L1117" s="10"/>
    </row>
    <row r="1118" spans="1:12" ht="15" x14ac:dyDescent="0.2">
      <c r="A1118" s="11">
        <f t="shared" si="25"/>
        <v>2062</v>
      </c>
      <c r="B1118" s="10">
        <f t="shared" ref="B1118:C1137" ca="1" si="50">AVERAGE(OFFSET(B$600,($A1118-$A$1118)*12,0,12,1))</f>
        <v>61.092125000000003</v>
      </c>
      <c r="C1118" s="10">
        <f t="shared" ca="1" si="50"/>
        <v>60.659858333333339</v>
      </c>
      <c r="D1118" s="10"/>
      <c r="E1118" s="10">
        <f t="shared" ref="E1118:K1127" ca="1" si="51">AVERAGE(OFFSET(E$600,($A1118-$A$1118)*12,0,12,1))</f>
        <v>60.523216666666663</v>
      </c>
      <c r="F1118" s="10">
        <f t="shared" ca="1" si="51"/>
        <v>60.523216666666663</v>
      </c>
      <c r="G1118" s="10">
        <f t="shared" ca="1" si="51"/>
        <v>60.794575000000002</v>
      </c>
      <c r="H1118" s="10">
        <f t="shared" ca="1" si="51"/>
        <v>60.659858333333339</v>
      </c>
      <c r="I1118" s="10">
        <f t="shared" ca="1" si="51"/>
        <v>60.659858333333339</v>
      </c>
      <c r="J1118" s="10">
        <f t="shared" ca="1" si="51"/>
        <v>60.659858333333339</v>
      </c>
      <c r="K1118" s="10">
        <f t="shared" ca="1" si="51"/>
        <v>60.659858333333339</v>
      </c>
    </row>
    <row r="1119" spans="1:12" ht="15" x14ac:dyDescent="0.2">
      <c r="A1119" s="11">
        <f t="shared" si="25"/>
        <v>2063</v>
      </c>
      <c r="B1119" s="10">
        <f t="shared" ca="1" si="50"/>
        <v>62.150741666666676</v>
      </c>
      <c r="C1119" s="10">
        <f t="shared" ca="1" si="50"/>
        <v>61.718499999999985</v>
      </c>
      <c r="D1119" s="10"/>
      <c r="E1119" s="10">
        <f t="shared" ca="1" si="51"/>
        <v>61.581833333333329</v>
      </c>
      <c r="F1119" s="10">
        <f t="shared" ca="1" si="51"/>
        <v>61.581833333333329</v>
      </c>
      <c r="G1119" s="10">
        <f t="shared" ca="1" si="51"/>
        <v>61.853233333333343</v>
      </c>
      <c r="H1119" s="10">
        <f t="shared" ca="1" si="51"/>
        <v>61.718499999999985</v>
      </c>
      <c r="I1119" s="10">
        <f t="shared" ca="1" si="51"/>
        <v>61.718499999999985</v>
      </c>
      <c r="J1119" s="10">
        <f t="shared" ca="1" si="51"/>
        <v>61.718499999999985</v>
      </c>
      <c r="K1119" s="10">
        <f t="shared" ca="1" si="51"/>
        <v>61.718499999999985</v>
      </c>
    </row>
    <row r="1120" spans="1:12" ht="15" x14ac:dyDescent="0.2">
      <c r="A1120" s="11">
        <f t="shared" si="25"/>
        <v>2064</v>
      </c>
      <c r="B1120" s="10">
        <f t="shared" ca="1" si="50"/>
        <v>63.228466666666669</v>
      </c>
      <c r="C1120" s="10">
        <f t="shared" ca="1" si="50"/>
        <v>62.796216666666659</v>
      </c>
      <c r="D1120" s="10"/>
      <c r="E1120" s="10">
        <f t="shared" ca="1" si="51"/>
        <v>62.659541666666662</v>
      </c>
      <c r="F1120" s="10">
        <f t="shared" ca="1" si="51"/>
        <v>62.659541666666662</v>
      </c>
      <c r="G1120" s="10">
        <f t="shared" ca="1" si="51"/>
        <v>62.930916666666661</v>
      </c>
      <c r="H1120" s="10">
        <f t="shared" ca="1" si="51"/>
        <v>62.796216666666659</v>
      </c>
      <c r="I1120" s="10">
        <f t="shared" ca="1" si="51"/>
        <v>62.796216666666659</v>
      </c>
      <c r="J1120" s="10">
        <f t="shared" ca="1" si="51"/>
        <v>62.796216666666659</v>
      </c>
      <c r="K1120" s="10">
        <f t="shared" ca="1" si="51"/>
        <v>62.796216666666659</v>
      </c>
    </row>
    <row r="1121" spans="1:11" ht="15" x14ac:dyDescent="0.2">
      <c r="A1121" s="11">
        <f t="shared" si="25"/>
        <v>2065</v>
      </c>
      <c r="B1121" s="10">
        <f t="shared" ca="1" si="50"/>
        <v>64.325549999999993</v>
      </c>
      <c r="C1121" s="10">
        <f t="shared" ca="1" si="50"/>
        <v>63.893316666666664</v>
      </c>
      <c r="D1121" s="10"/>
      <c r="E1121" s="10">
        <f t="shared" ca="1" si="51"/>
        <v>63.756641666666667</v>
      </c>
      <c r="F1121" s="10">
        <f t="shared" ca="1" si="51"/>
        <v>63.756641666666667</v>
      </c>
      <c r="G1121" s="10">
        <f t="shared" ca="1" si="51"/>
        <v>64.028033333333326</v>
      </c>
      <c r="H1121" s="10">
        <f t="shared" ca="1" si="51"/>
        <v>63.893316666666664</v>
      </c>
      <c r="I1121" s="10">
        <f t="shared" ca="1" si="51"/>
        <v>63.893316666666664</v>
      </c>
      <c r="J1121" s="10">
        <f t="shared" ca="1" si="51"/>
        <v>63.893316666666664</v>
      </c>
      <c r="K1121" s="10">
        <f t="shared" ca="1" si="51"/>
        <v>63.893316666666664</v>
      </c>
    </row>
    <row r="1122" spans="1:11" ht="15" x14ac:dyDescent="0.2">
      <c r="A1122" s="11">
        <f t="shared" si="25"/>
        <v>2066</v>
      </c>
      <c r="B1122" s="10">
        <f t="shared" ca="1" si="50"/>
        <v>65.442425</v>
      </c>
      <c r="C1122" s="10">
        <f t="shared" ca="1" si="50"/>
        <v>65.010166666666663</v>
      </c>
      <c r="D1122" s="10"/>
      <c r="E1122" s="10">
        <f t="shared" ca="1" si="51"/>
        <v>64.873516666666674</v>
      </c>
      <c r="F1122" s="10">
        <f t="shared" ca="1" si="51"/>
        <v>64.873516666666674</v>
      </c>
      <c r="G1122" s="10">
        <f t="shared" ca="1" si="51"/>
        <v>65.14488333333334</v>
      </c>
      <c r="H1122" s="10">
        <f t="shared" ca="1" si="51"/>
        <v>65.010166666666663</v>
      </c>
      <c r="I1122" s="10">
        <f t="shared" ca="1" si="51"/>
        <v>65.010166666666663</v>
      </c>
      <c r="J1122" s="10">
        <f t="shared" ca="1" si="51"/>
        <v>65.010166666666663</v>
      </c>
      <c r="K1122" s="10">
        <f t="shared" ca="1" si="51"/>
        <v>65.010166666666663</v>
      </c>
    </row>
    <row r="1123" spans="1:11" ht="15" x14ac:dyDescent="0.2">
      <c r="A1123" s="11">
        <f t="shared" si="25"/>
        <v>2067</v>
      </c>
      <c r="B1123" s="10">
        <f t="shared" ca="1" si="50"/>
        <v>66.579400000000007</v>
      </c>
      <c r="C1123" s="10">
        <f t="shared" ca="1" si="50"/>
        <v>66.14714166666667</v>
      </c>
      <c r="D1123" s="10"/>
      <c r="E1123" s="10">
        <f t="shared" ca="1" si="51"/>
        <v>66.010500000000008</v>
      </c>
      <c r="F1123" s="10">
        <f t="shared" ca="1" si="51"/>
        <v>66.010500000000008</v>
      </c>
      <c r="G1123" s="10">
        <f t="shared" ca="1" si="51"/>
        <v>66.281850000000006</v>
      </c>
      <c r="H1123" s="10">
        <f t="shared" ca="1" si="51"/>
        <v>66.14714166666667</v>
      </c>
      <c r="I1123" s="10">
        <f t="shared" ca="1" si="51"/>
        <v>66.14714166666667</v>
      </c>
      <c r="J1123" s="10">
        <f t="shared" ca="1" si="51"/>
        <v>66.14714166666667</v>
      </c>
      <c r="K1123" s="10">
        <f t="shared" ca="1" si="51"/>
        <v>66.14714166666667</v>
      </c>
    </row>
    <row r="1124" spans="1:11" ht="15" x14ac:dyDescent="0.2">
      <c r="A1124" s="11">
        <f t="shared" si="25"/>
        <v>2068</v>
      </c>
      <c r="B1124" s="10">
        <f t="shared" ca="1" si="50"/>
        <v>67.736841666666677</v>
      </c>
      <c r="C1124" s="10">
        <f t="shared" ca="1" si="50"/>
        <v>67.304583333333326</v>
      </c>
      <c r="D1124" s="10"/>
      <c r="E1124" s="10">
        <f t="shared" ca="1" si="51"/>
        <v>67.167933333333337</v>
      </c>
      <c r="F1124" s="10">
        <f t="shared" ca="1" si="51"/>
        <v>67.167933333333337</v>
      </c>
      <c r="G1124" s="10">
        <f t="shared" ca="1" si="51"/>
        <v>67.439283333333336</v>
      </c>
      <c r="H1124" s="10">
        <f t="shared" ca="1" si="51"/>
        <v>67.304583333333326</v>
      </c>
      <c r="I1124" s="10">
        <f t="shared" ca="1" si="51"/>
        <v>67.304583333333326</v>
      </c>
      <c r="J1124" s="10">
        <f t="shared" ca="1" si="51"/>
        <v>67.304583333333326</v>
      </c>
      <c r="K1124" s="10">
        <f t="shared" ca="1" si="51"/>
        <v>67.304583333333326</v>
      </c>
    </row>
    <row r="1125" spans="1:11" ht="15" x14ac:dyDescent="0.2">
      <c r="A1125" s="11">
        <f t="shared" si="25"/>
        <v>2069</v>
      </c>
      <c r="B1125" s="10">
        <f t="shared" ca="1" si="50"/>
        <v>68.915108333333336</v>
      </c>
      <c r="C1125" s="10">
        <f t="shared" ca="1" si="50"/>
        <v>68.48285833333334</v>
      </c>
      <c r="D1125" s="10"/>
      <c r="E1125" s="10">
        <f t="shared" ca="1" si="51"/>
        <v>68.346208333333337</v>
      </c>
      <c r="F1125" s="10">
        <f t="shared" ca="1" si="51"/>
        <v>68.346208333333337</v>
      </c>
      <c r="G1125" s="10">
        <f t="shared" ca="1" si="51"/>
        <v>68.617574999999988</v>
      </c>
      <c r="H1125" s="10">
        <f t="shared" ca="1" si="51"/>
        <v>68.48285833333334</v>
      </c>
      <c r="I1125" s="10">
        <f t="shared" ca="1" si="51"/>
        <v>68.48285833333334</v>
      </c>
      <c r="J1125" s="10">
        <f t="shared" ca="1" si="51"/>
        <v>68.48285833333334</v>
      </c>
      <c r="K1125" s="10">
        <f t="shared" ca="1" si="51"/>
        <v>68.48285833333334</v>
      </c>
    </row>
    <row r="1126" spans="1:11" ht="15" x14ac:dyDescent="0.2">
      <c r="A1126" s="11">
        <f t="shared" ref="A1126:A1156" si="52">A1125+1</f>
        <v>2070</v>
      </c>
      <c r="B1126" s="10">
        <f t="shared" ca="1" si="50"/>
        <v>70.114591666666669</v>
      </c>
      <c r="C1126" s="10">
        <f t="shared" ca="1" si="50"/>
        <v>69.682358333333326</v>
      </c>
      <c r="D1126" s="10"/>
      <c r="E1126" s="10">
        <f t="shared" ca="1" si="51"/>
        <v>69.54569166666667</v>
      </c>
      <c r="F1126" s="10">
        <f t="shared" ca="1" si="51"/>
        <v>69.54569166666667</v>
      </c>
      <c r="G1126" s="10">
        <f t="shared" ca="1" si="51"/>
        <v>69.817074999999988</v>
      </c>
      <c r="H1126" s="10">
        <f t="shared" ca="1" si="51"/>
        <v>69.682358333333326</v>
      </c>
      <c r="I1126" s="10">
        <f t="shared" ca="1" si="51"/>
        <v>69.682358333333326</v>
      </c>
      <c r="J1126" s="10">
        <f t="shared" ca="1" si="51"/>
        <v>69.682358333333326</v>
      </c>
      <c r="K1126" s="10">
        <f t="shared" ca="1" si="51"/>
        <v>69.682358333333326</v>
      </c>
    </row>
    <row r="1127" spans="1:11" ht="15" x14ac:dyDescent="0.2">
      <c r="A1127" s="11">
        <f t="shared" si="52"/>
        <v>2071</v>
      </c>
      <c r="B1127" s="10">
        <f t="shared" ca="1" si="50"/>
        <v>71.335691666666662</v>
      </c>
      <c r="C1127" s="10">
        <f t="shared" ca="1" si="50"/>
        <v>70.903450000000007</v>
      </c>
      <c r="D1127" s="10"/>
      <c r="E1127" s="10">
        <f t="shared" ca="1" si="51"/>
        <v>70.766791666666663</v>
      </c>
      <c r="F1127" s="10">
        <f t="shared" ca="1" si="51"/>
        <v>70.766791666666663</v>
      </c>
      <c r="G1127" s="10">
        <f t="shared" ca="1" si="51"/>
        <v>71.038166666666655</v>
      </c>
      <c r="H1127" s="10">
        <f t="shared" ca="1" si="51"/>
        <v>70.903450000000007</v>
      </c>
      <c r="I1127" s="10">
        <f t="shared" ca="1" si="51"/>
        <v>70.903450000000007</v>
      </c>
      <c r="J1127" s="10">
        <f t="shared" ca="1" si="51"/>
        <v>70.903450000000007</v>
      </c>
      <c r="K1127" s="10">
        <f t="shared" ca="1" si="51"/>
        <v>70.903450000000007</v>
      </c>
    </row>
    <row r="1128" spans="1:11" ht="15" x14ac:dyDescent="0.2">
      <c r="A1128" s="11">
        <f t="shared" si="52"/>
        <v>2072</v>
      </c>
      <c r="B1128" s="10">
        <f t="shared" ca="1" si="50"/>
        <v>72.578766666666667</v>
      </c>
      <c r="C1128" s="10">
        <f t="shared" ca="1" si="50"/>
        <v>72.146525000000011</v>
      </c>
      <c r="D1128" s="10"/>
      <c r="E1128" s="10">
        <f t="shared" ref="E1128:K1137" ca="1" si="53">AVERAGE(OFFSET(E$600,($A1128-$A$1118)*12,0,12,1))</f>
        <v>72.009866666666667</v>
      </c>
      <c r="F1128" s="10">
        <f t="shared" ca="1" si="53"/>
        <v>72.009866666666667</v>
      </c>
      <c r="G1128" s="10">
        <f t="shared" ca="1" si="53"/>
        <v>72.281241666666645</v>
      </c>
      <c r="H1128" s="10">
        <f t="shared" ca="1" si="53"/>
        <v>72.146525000000011</v>
      </c>
      <c r="I1128" s="10">
        <f t="shared" ca="1" si="53"/>
        <v>72.146525000000011</v>
      </c>
      <c r="J1128" s="10">
        <f t="shared" ca="1" si="53"/>
        <v>72.146525000000011</v>
      </c>
      <c r="K1128" s="10">
        <f t="shared" ca="1" si="53"/>
        <v>72.146525000000011</v>
      </c>
    </row>
    <row r="1129" spans="1:11" ht="15" x14ac:dyDescent="0.2">
      <c r="A1129" s="11">
        <f t="shared" si="52"/>
        <v>2073</v>
      </c>
      <c r="B1129" s="10">
        <f t="shared" ca="1" si="50"/>
        <v>73.844224999999994</v>
      </c>
      <c r="C1129" s="10">
        <f t="shared" ca="1" si="50"/>
        <v>73.411983333333339</v>
      </c>
      <c r="D1129" s="10"/>
      <c r="E1129" s="10">
        <f t="shared" ca="1" si="53"/>
        <v>73.275324999999995</v>
      </c>
      <c r="F1129" s="10">
        <f t="shared" ca="1" si="53"/>
        <v>73.275324999999995</v>
      </c>
      <c r="G1129" s="10">
        <f t="shared" ca="1" si="53"/>
        <v>73.546700000000001</v>
      </c>
      <c r="H1129" s="10">
        <f t="shared" ca="1" si="53"/>
        <v>73.411983333333339</v>
      </c>
      <c r="I1129" s="10">
        <f t="shared" ca="1" si="53"/>
        <v>73.411983333333339</v>
      </c>
      <c r="J1129" s="10">
        <f t="shared" ca="1" si="53"/>
        <v>73.411983333333339</v>
      </c>
      <c r="K1129" s="10">
        <f t="shared" ca="1" si="53"/>
        <v>73.411983333333339</v>
      </c>
    </row>
    <row r="1130" spans="1:11" ht="15" x14ac:dyDescent="0.2">
      <c r="A1130" s="11">
        <f t="shared" si="52"/>
        <v>2074</v>
      </c>
      <c r="B1130" s="10">
        <f t="shared" ca="1" si="50"/>
        <v>75.132466666666673</v>
      </c>
      <c r="C1130" s="10">
        <f t="shared" ca="1" si="50"/>
        <v>74.700233333333344</v>
      </c>
      <c r="D1130" s="10"/>
      <c r="E1130" s="10">
        <f t="shared" ca="1" si="53"/>
        <v>74.563566666666674</v>
      </c>
      <c r="F1130" s="10">
        <f t="shared" ca="1" si="53"/>
        <v>74.563566666666674</v>
      </c>
      <c r="G1130" s="10">
        <f t="shared" ca="1" si="53"/>
        <v>74.834949999999992</v>
      </c>
      <c r="H1130" s="10">
        <f t="shared" ca="1" si="53"/>
        <v>74.700233333333344</v>
      </c>
      <c r="I1130" s="10">
        <f t="shared" ca="1" si="53"/>
        <v>74.700233333333344</v>
      </c>
      <c r="J1130" s="10">
        <f t="shared" ca="1" si="53"/>
        <v>74.700233333333344</v>
      </c>
      <c r="K1130" s="10">
        <f t="shared" ca="1" si="53"/>
        <v>74.700233333333344</v>
      </c>
    </row>
    <row r="1131" spans="1:11" ht="15" x14ac:dyDescent="0.2">
      <c r="A1131" s="11">
        <f t="shared" si="52"/>
        <v>2075</v>
      </c>
      <c r="B1131" s="10">
        <f t="shared" ca="1" si="50"/>
        <v>76.443916666666652</v>
      </c>
      <c r="C1131" s="10">
        <f t="shared" ca="1" si="50"/>
        <v>76.01165833333333</v>
      </c>
      <c r="D1131" s="10"/>
      <c r="E1131" s="10">
        <f t="shared" ca="1" si="53"/>
        <v>75.875008333333327</v>
      </c>
      <c r="F1131" s="10">
        <f t="shared" ca="1" si="53"/>
        <v>75.875008333333327</v>
      </c>
      <c r="G1131" s="10">
        <f t="shared" ca="1" si="53"/>
        <v>76.146374999999992</v>
      </c>
      <c r="H1131" s="10">
        <f t="shared" ca="1" si="53"/>
        <v>76.01165833333333</v>
      </c>
      <c r="I1131" s="10">
        <f t="shared" ca="1" si="53"/>
        <v>76.01165833333333</v>
      </c>
      <c r="J1131" s="10">
        <f t="shared" ca="1" si="53"/>
        <v>76.01165833333333</v>
      </c>
      <c r="K1131" s="10">
        <f t="shared" ca="1" si="53"/>
        <v>76.01165833333333</v>
      </c>
    </row>
    <row r="1132" spans="1:11" ht="15" x14ac:dyDescent="0.2">
      <c r="A1132" s="11">
        <f t="shared" si="52"/>
        <v>2076</v>
      </c>
      <c r="B1132" s="10">
        <f t="shared" ca="1" si="50"/>
        <v>77.778958333333321</v>
      </c>
      <c r="C1132" s="10">
        <f t="shared" ca="1" si="50"/>
        <v>77.346708333333339</v>
      </c>
      <c r="D1132" s="10"/>
      <c r="E1132" s="10">
        <f t="shared" ca="1" si="53"/>
        <v>77.210049999999995</v>
      </c>
      <c r="F1132" s="10">
        <f t="shared" ca="1" si="53"/>
        <v>77.210049999999995</v>
      </c>
      <c r="G1132" s="10">
        <f t="shared" ca="1" si="53"/>
        <v>77.481416666666647</v>
      </c>
      <c r="H1132" s="10">
        <f t="shared" ca="1" si="53"/>
        <v>77.346708333333339</v>
      </c>
      <c r="I1132" s="10">
        <f t="shared" ca="1" si="53"/>
        <v>77.346708333333339</v>
      </c>
      <c r="J1132" s="10">
        <f t="shared" ca="1" si="53"/>
        <v>77.346708333333339</v>
      </c>
      <c r="K1132" s="10">
        <f t="shared" ca="1" si="53"/>
        <v>77.346708333333339</v>
      </c>
    </row>
    <row r="1133" spans="1:11" ht="15" x14ac:dyDescent="0.2">
      <c r="A1133" s="11">
        <f t="shared" si="52"/>
        <v>2077</v>
      </c>
      <c r="B1133" s="10">
        <f t="shared" ca="1" si="50"/>
        <v>79.138058333333348</v>
      </c>
      <c r="C1133" s="10">
        <f t="shared" ca="1" si="50"/>
        <v>78.705791666666656</v>
      </c>
      <c r="D1133" s="10"/>
      <c r="E1133" s="10">
        <f t="shared" ca="1" si="53"/>
        <v>78.569150000000022</v>
      </c>
      <c r="F1133" s="10">
        <f t="shared" ca="1" si="53"/>
        <v>78.569150000000022</v>
      </c>
      <c r="G1133" s="10">
        <f t="shared" ca="1" si="53"/>
        <v>78.840491666666679</v>
      </c>
      <c r="H1133" s="10">
        <f t="shared" ca="1" si="53"/>
        <v>78.705791666666656</v>
      </c>
      <c r="I1133" s="10">
        <f t="shared" ca="1" si="53"/>
        <v>78.705791666666656</v>
      </c>
      <c r="J1133" s="10">
        <f t="shared" ca="1" si="53"/>
        <v>78.705791666666656</v>
      </c>
      <c r="K1133" s="10">
        <f t="shared" ca="1" si="53"/>
        <v>78.705791666666656</v>
      </c>
    </row>
    <row r="1134" spans="1:11" ht="15" x14ac:dyDescent="0.2">
      <c r="A1134" s="11">
        <f t="shared" si="52"/>
        <v>2078</v>
      </c>
      <c r="B1134" s="10">
        <f t="shared" ca="1" si="50"/>
        <v>80.521608333333333</v>
      </c>
      <c r="C1134" s="10">
        <f t="shared" ca="1" si="50"/>
        <v>80.08934166666667</v>
      </c>
      <c r="D1134" s="10"/>
      <c r="E1134" s="10">
        <f t="shared" ca="1" si="53"/>
        <v>79.952700000000007</v>
      </c>
      <c r="F1134" s="10">
        <f t="shared" ca="1" si="53"/>
        <v>79.952700000000007</v>
      </c>
      <c r="G1134" s="10">
        <f t="shared" ca="1" si="53"/>
        <v>80.224049999999991</v>
      </c>
      <c r="H1134" s="10">
        <f t="shared" ca="1" si="53"/>
        <v>80.08934166666667</v>
      </c>
      <c r="I1134" s="10">
        <f t="shared" ca="1" si="53"/>
        <v>80.08934166666667</v>
      </c>
      <c r="J1134" s="10">
        <f t="shared" ca="1" si="53"/>
        <v>80.08934166666667</v>
      </c>
      <c r="K1134" s="10">
        <f t="shared" ca="1" si="53"/>
        <v>80.08934166666667</v>
      </c>
    </row>
    <row r="1135" spans="1:11" ht="15" x14ac:dyDescent="0.2">
      <c r="A1135" s="11">
        <f t="shared" si="52"/>
        <v>2079</v>
      </c>
      <c r="B1135" s="10">
        <f t="shared" ca="1" si="50"/>
        <v>81.930066666666661</v>
      </c>
      <c r="C1135" s="10">
        <f t="shared" ca="1" si="50"/>
        <v>81.497825000000006</v>
      </c>
      <c r="D1135" s="10"/>
      <c r="E1135" s="10">
        <f t="shared" ca="1" si="53"/>
        <v>81.361166666666662</v>
      </c>
      <c r="F1135" s="10">
        <f t="shared" ca="1" si="53"/>
        <v>81.361166666666662</v>
      </c>
      <c r="G1135" s="10">
        <f t="shared" ca="1" si="53"/>
        <v>81.632541666666668</v>
      </c>
      <c r="H1135" s="10">
        <f t="shared" ca="1" si="53"/>
        <v>81.497825000000006</v>
      </c>
      <c r="I1135" s="10">
        <f t="shared" ca="1" si="53"/>
        <v>81.497825000000006</v>
      </c>
      <c r="J1135" s="10">
        <f t="shared" ca="1" si="53"/>
        <v>81.497825000000006</v>
      </c>
      <c r="K1135" s="10">
        <f t="shared" ca="1" si="53"/>
        <v>81.497825000000006</v>
      </c>
    </row>
    <row r="1136" spans="1:11" ht="15" x14ac:dyDescent="0.2">
      <c r="A1136" s="11">
        <f t="shared" si="52"/>
        <v>2080</v>
      </c>
      <c r="B1136" s="10">
        <f t="shared" ca="1" si="50"/>
        <v>83.363891666666674</v>
      </c>
      <c r="C1136" s="10">
        <f t="shared" ca="1" si="50"/>
        <v>82.931658333333331</v>
      </c>
      <c r="D1136" s="10"/>
      <c r="E1136" s="10">
        <f t="shared" ca="1" si="53"/>
        <v>82.79498333333332</v>
      </c>
      <c r="F1136" s="10">
        <f t="shared" ca="1" si="53"/>
        <v>82.79498333333332</v>
      </c>
      <c r="G1136" s="10">
        <f t="shared" ca="1" si="53"/>
        <v>83.066366666666667</v>
      </c>
      <c r="H1136" s="10">
        <f t="shared" ca="1" si="53"/>
        <v>82.931658333333331</v>
      </c>
      <c r="I1136" s="10">
        <f t="shared" ca="1" si="53"/>
        <v>82.931658333333331</v>
      </c>
      <c r="J1136" s="10">
        <f t="shared" ca="1" si="53"/>
        <v>82.931658333333331</v>
      </c>
      <c r="K1136" s="10">
        <f t="shared" ca="1" si="53"/>
        <v>82.931658333333331</v>
      </c>
    </row>
    <row r="1137" spans="1:11" ht="15" x14ac:dyDescent="0.2">
      <c r="A1137" s="11">
        <f t="shared" si="52"/>
        <v>2081</v>
      </c>
      <c r="B1137" s="10">
        <f t="shared" ca="1" si="50"/>
        <v>84.823533333333344</v>
      </c>
      <c r="C1137" s="10">
        <f t="shared" ca="1" si="50"/>
        <v>84.391283333333334</v>
      </c>
      <c r="D1137" s="10"/>
      <c r="E1137" s="10">
        <f t="shared" ca="1" si="53"/>
        <v>84.25462499999999</v>
      </c>
      <c r="F1137" s="10">
        <f t="shared" ca="1" si="53"/>
        <v>84.25462499999999</v>
      </c>
      <c r="G1137" s="10">
        <f t="shared" ca="1" si="53"/>
        <v>84.526008333333323</v>
      </c>
      <c r="H1137" s="10">
        <f t="shared" ca="1" si="53"/>
        <v>84.391283333333334</v>
      </c>
      <c r="I1137" s="10">
        <f t="shared" ca="1" si="53"/>
        <v>84.391283333333334</v>
      </c>
      <c r="J1137" s="10">
        <f t="shared" ca="1" si="53"/>
        <v>84.391283333333334</v>
      </c>
      <c r="K1137" s="10">
        <f t="shared" ca="1" si="53"/>
        <v>84.391283333333334</v>
      </c>
    </row>
    <row r="1138" spans="1:11" ht="15" x14ac:dyDescent="0.2">
      <c r="A1138" s="11">
        <f t="shared" si="52"/>
        <v>2082</v>
      </c>
      <c r="B1138" s="10">
        <f t="shared" ref="B1138:C1156" ca="1" si="54">AVERAGE(OFFSET(B$600,($A1138-$A$1118)*12,0,12,1))</f>
        <v>86.309450000000012</v>
      </c>
      <c r="C1138" s="10">
        <f t="shared" ca="1" si="54"/>
        <v>85.877216666666655</v>
      </c>
      <c r="D1138" s="10"/>
      <c r="E1138" s="10">
        <f t="shared" ref="E1138:K1147" ca="1" si="55">AVERAGE(OFFSET(E$600,($A1138-$A$1118)*12,0,12,1))</f>
        <v>85.740549999999999</v>
      </c>
      <c r="F1138" s="10">
        <f t="shared" ca="1" si="55"/>
        <v>85.740549999999999</v>
      </c>
      <c r="G1138" s="10">
        <f t="shared" ca="1" si="55"/>
        <v>86.011933333333332</v>
      </c>
      <c r="H1138" s="10">
        <f t="shared" ca="1" si="55"/>
        <v>85.877216666666655</v>
      </c>
      <c r="I1138" s="10">
        <f t="shared" ca="1" si="55"/>
        <v>85.877216666666655</v>
      </c>
      <c r="J1138" s="10">
        <f t="shared" ca="1" si="55"/>
        <v>85.877216666666655</v>
      </c>
      <c r="K1138" s="10">
        <f t="shared" ca="1" si="55"/>
        <v>85.877216666666655</v>
      </c>
    </row>
    <row r="1139" spans="1:11" ht="15" x14ac:dyDescent="0.2">
      <c r="A1139" s="11">
        <f t="shared" si="52"/>
        <v>2083</v>
      </c>
      <c r="B1139" s="10">
        <f t="shared" ca="1" si="54"/>
        <v>87.822133333333326</v>
      </c>
      <c r="C1139" s="10">
        <f t="shared" ca="1" si="54"/>
        <v>87.389875000000018</v>
      </c>
      <c r="D1139" s="10"/>
      <c r="E1139" s="10">
        <f t="shared" ca="1" si="55"/>
        <v>87.253233333333341</v>
      </c>
      <c r="F1139" s="10">
        <f t="shared" ca="1" si="55"/>
        <v>87.253233333333341</v>
      </c>
      <c r="G1139" s="10">
        <f t="shared" ca="1" si="55"/>
        <v>87.524608333333319</v>
      </c>
      <c r="H1139" s="10">
        <f t="shared" ca="1" si="55"/>
        <v>87.389875000000018</v>
      </c>
      <c r="I1139" s="10">
        <f t="shared" ca="1" si="55"/>
        <v>87.389875000000018</v>
      </c>
      <c r="J1139" s="10">
        <f t="shared" ca="1" si="55"/>
        <v>87.389875000000018</v>
      </c>
      <c r="K1139" s="10">
        <f t="shared" ca="1" si="55"/>
        <v>87.389875000000018</v>
      </c>
    </row>
    <row r="1140" spans="1:11" ht="15" x14ac:dyDescent="0.2">
      <c r="A1140" s="11">
        <f t="shared" si="52"/>
        <v>2084</v>
      </c>
      <c r="B1140" s="10">
        <f t="shared" ca="1" si="54"/>
        <v>89.362033333333329</v>
      </c>
      <c r="C1140" s="10">
        <f t="shared" ca="1" si="54"/>
        <v>88.929816666666667</v>
      </c>
      <c r="D1140" s="10"/>
      <c r="E1140" s="10">
        <f t="shared" ca="1" si="55"/>
        <v>88.79313333333333</v>
      </c>
      <c r="F1140" s="10">
        <f t="shared" ca="1" si="55"/>
        <v>88.79313333333333</v>
      </c>
      <c r="G1140" s="10">
        <f t="shared" ca="1" si="55"/>
        <v>89.064516666666648</v>
      </c>
      <c r="H1140" s="10">
        <f t="shared" ca="1" si="55"/>
        <v>88.929816666666667</v>
      </c>
      <c r="I1140" s="10">
        <f t="shared" ca="1" si="55"/>
        <v>88.929816666666667</v>
      </c>
      <c r="J1140" s="10">
        <f t="shared" ca="1" si="55"/>
        <v>88.929816666666667</v>
      </c>
      <c r="K1140" s="10">
        <f t="shared" ca="1" si="55"/>
        <v>88.929816666666667</v>
      </c>
    </row>
    <row r="1141" spans="1:11" ht="15" x14ac:dyDescent="0.2">
      <c r="A1141" s="11">
        <f t="shared" si="52"/>
        <v>2085</v>
      </c>
      <c r="B1141" s="10">
        <f t="shared" ca="1" si="54"/>
        <v>90.929683333333344</v>
      </c>
      <c r="C1141" s="10">
        <f t="shared" ca="1" si="54"/>
        <v>90.497433333333333</v>
      </c>
      <c r="D1141" s="10"/>
      <c r="E1141" s="10">
        <f t="shared" ca="1" si="55"/>
        <v>90.360758333333322</v>
      </c>
      <c r="F1141" s="10">
        <f t="shared" ca="1" si="55"/>
        <v>90.360758333333322</v>
      </c>
      <c r="G1141" s="10">
        <f t="shared" ca="1" si="55"/>
        <v>90.632141666666655</v>
      </c>
      <c r="H1141" s="10">
        <f t="shared" ca="1" si="55"/>
        <v>90.497433333333333</v>
      </c>
      <c r="I1141" s="10">
        <f t="shared" ca="1" si="55"/>
        <v>90.497433333333333</v>
      </c>
      <c r="J1141" s="10">
        <f t="shared" ca="1" si="55"/>
        <v>90.497433333333333</v>
      </c>
      <c r="K1141" s="10">
        <f t="shared" ca="1" si="55"/>
        <v>90.497433333333333</v>
      </c>
    </row>
    <row r="1142" spans="1:11" ht="15" x14ac:dyDescent="0.2">
      <c r="A1142" s="11">
        <f t="shared" si="52"/>
        <v>2086</v>
      </c>
      <c r="B1142" s="10">
        <f t="shared" ca="1" si="54"/>
        <v>92.525558333333322</v>
      </c>
      <c r="C1142" s="10">
        <f t="shared" ca="1" si="54"/>
        <v>92.093291666666687</v>
      </c>
      <c r="D1142" s="10"/>
      <c r="E1142" s="10">
        <f t="shared" ca="1" si="55"/>
        <v>91.95664166666667</v>
      </c>
      <c r="F1142" s="10">
        <f t="shared" ca="1" si="55"/>
        <v>91.95664166666667</v>
      </c>
      <c r="G1142" s="10">
        <f t="shared" ca="1" si="55"/>
        <v>92.228016666666647</v>
      </c>
      <c r="H1142" s="10">
        <f t="shared" ca="1" si="55"/>
        <v>92.093291666666687</v>
      </c>
      <c r="I1142" s="10">
        <f t="shared" ca="1" si="55"/>
        <v>92.093291666666687</v>
      </c>
      <c r="J1142" s="10">
        <f t="shared" ca="1" si="55"/>
        <v>92.093291666666687</v>
      </c>
      <c r="K1142" s="10">
        <f t="shared" ca="1" si="55"/>
        <v>92.093291666666687</v>
      </c>
    </row>
    <row r="1143" spans="1:11" ht="15" x14ac:dyDescent="0.2">
      <c r="A1143" s="11">
        <f t="shared" si="52"/>
        <v>2087</v>
      </c>
      <c r="B1143" s="10">
        <f t="shared" ca="1" si="54"/>
        <v>94.15014166666667</v>
      </c>
      <c r="C1143" s="10">
        <f t="shared" ca="1" si="54"/>
        <v>93.7179</v>
      </c>
      <c r="D1143" s="10"/>
      <c r="E1143" s="10">
        <f t="shared" ca="1" si="55"/>
        <v>93.58123333333333</v>
      </c>
      <c r="F1143" s="10">
        <f t="shared" ca="1" si="55"/>
        <v>93.58123333333333</v>
      </c>
      <c r="G1143" s="10">
        <f t="shared" ca="1" si="55"/>
        <v>93.85260833333335</v>
      </c>
      <c r="H1143" s="10">
        <f t="shared" ca="1" si="55"/>
        <v>93.7179</v>
      </c>
      <c r="I1143" s="10">
        <f t="shared" ca="1" si="55"/>
        <v>93.7179</v>
      </c>
      <c r="J1143" s="10">
        <f t="shared" ca="1" si="55"/>
        <v>93.7179</v>
      </c>
      <c r="K1143" s="10">
        <f t="shared" ca="1" si="55"/>
        <v>93.7179</v>
      </c>
    </row>
    <row r="1144" spans="1:11" ht="15" x14ac:dyDescent="0.2">
      <c r="A1144" s="11">
        <f t="shared" si="52"/>
        <v>2088</v>
      </c>
      <c r="B1144" s="10">
        <f t="shared" ca="1" si="54"/>
        <v>95.803974999999994</v>
      </c>
      <c r="C1144" s="10">
        <f t="shared" ca="1" si="54"/>
        <v>95.371741666666651</v>
      </c>
      <c r="D1144" s="10"/>
      <c r="E1144" s="10">
        <f t="shared" ca="1" si="55"/>
        <v>95.235074999999995</v>
      </c>
      <c r="F1144" s="10">
        <f t="shared" ca="1" si="55"/>
        <v>95.235074999999995</v>
      </c>
      <c r="G1144" s="10">
        <f t="shared" ca="1" si="55"/>
        <v>95.506466666666654</v>
      </c>
      <c r="H1144" s="10">
        <f t="shared" ca="1" si="55"/>
        <v>95.371741666666651</v>
      </c>
      <c r="I1144" s="10">
        <f t="shared" ca="1" si="55"/>
        <v>95.371741666666651</v>
      </c>
      <c r="J1144" s="10">
        <f t="shared" ca="1" si="55"/>
        <v>95.371741666666651</v>
      </c>
      <c r="K1144" s="10">
        <f t="shared" ca="1" si="55"/>
        <v>95.371741666666651</v>
      </c>
    </row>
    <row r="1145" spans="1:11" ht="15" x14ac:dyDescent="0.2">
      <c r="A1145" s="11">
        <f t="shared" si="52"/>
        <v>2089</v>
      </c>
      <c r="B1145" s="10">
        <f t="shared" ca="1" si="54"/>
        <v>97.487616666666653</v>
      </c>
      <c r="C1145" s="10">
        <f t="shared" ca="1" si="54"/>
        <v>97.055366666666657</v>
      </c>
      <c r="D1145" s="10"/>
      <c r="E1145" s="10">
        <f t="shared" ca="1" si="55"/>
        <v>96.918716666666668</v>
      </c>
      <c r="F1145" s="10">
        <f t="shared" ca="1" si="55"/>
        <v>96.918716666666668</v>
      </c>
      <c r="G1145" s="10">
        <f t="shared" ca="1" si="55"/>
        <v>97.190083333333348</v>
      </c>
      <c r="H1145" s="10">
        <f t="shared" ca="1" si="55"/>
        <v>97.055366666666657</v>
      </c>
      <c r="I1145" s="10">
        <f t="shared" ca="1" si="55"/>
        <v>97.055366666666657</v>
      </c>
      <c r="J1145" s="10">
        <f t="shared" ca="1" si="55"/>
        <v>97.055366666666657</v>
      </c>
      <c r="K1145" s="10">
        <f t="shared" ca="1" si="55"/>
        <v>97.055366666666657</v>
      </c>
    </row>
    <row r="1146" spans="1:11" ht="15" x14ac:dyDescent="0.2">
      <c r="A1146" s="11">
        <f t="shared" si="52"/>
        <v>2090</v>
      </c>
      <c r="B1146" s="10">
        <f t="shared" ca="1" si="54"/>
        <v>99.201549999999997</v>
      </c>
      <c r="C1146" s="10">
        <f t="shared" ca="1" si="54"/>
        <v>98.769308333333313</v>
      </c>
      <c r="D1146" s="10"/>
      <c r="E1146" s="10">
        <f t="shared" ca="1" si="55"/>
        <v>98.632633333333317</v>
      </c>
      <c r="F1146" s="10">
        <f t="shared" ca="1" si="55"/>
        <v>98.632633333333317</v>
      </c>
      <c r="G1146" s="10">
        <f t="shared" ca="1" si="55"/>
        <v>98.904008333333351</v>
      </c>
      <c r="H1146" s="10">
        <f t="shared" ca="1" si="55"/>
        <v>98.769308333333313</v>
      </c>
      <c r="I1146" s="10">
        <f t="shared" ca="1" si="55"/>
        <v>98.769308333333313</v>
      </c>
      <c r="J1146" s="10">
        <f t="shared" ca="1" si="55"/>
        <v>98.769308333333313</v>
      </c>
      <c r="K1146" s="10">
        <f t="shared" ca="1" si="55"/>
        <v>98.769308333333313</v>
      </c>
    </row>
    <row r="1147" spans="1:11" ht="15" x14ac:dyDescent="0.2">
      <c r="A1147" s="11">
        <f t="shared" si="52"/>
        <v>2091</v>
      </c>
      <c r="B1147" s="10">
        <f t="shared" ca="1" si="54"/>
        <v>100.94634166666667</v>
      </c>
      <c r="C1147" s="10">
        <f t="shared" ca="1" si="54"/>
        <v>100.51410833333331</v>
      </c>
      <c r="D1147" s="10"/>
      <c r="E1147" s="10">
        <f t="shared" ca="1" si="55"/>
        <v>100.37743333333333</v>
      </c>
      <c r="F1147" s="10">
        <f t="shared" ca="1" si="55"/>
        <v>100.37743333333333</v>
      </c>
      <c r="G1147" s="10">
        <f t="shared" ca="1" si="55"/>
        <v>100.648825</v>
      </c>
      <c r="H1147" s="10">
        <f t="shared" ca="1" si="55"/>
        <v>100.51410833333331</v>
      </c>
      <c r="I1147" s="10">
        <f t="shared" ca="1" si="55"/>
        <v>100.51410833333331</v>
      </c>
      <c r="J1147" s="10">
        <f t="shared" ca="1" si="55"/>
        <v>100.51410833333331</v>
      </c>
      <c r="K1147" s="10">
        <f t="shared" ca="1" si="55"/>
        <v>100.51410833333331</v>
      </c>
    </row>
    <row r="1148" spans="1:11" ht="15" x14ac:dyDescent="0.2">
      <c r="A1148" s="11">
        <f t="shared" si="52"/>
        <v>2092</v>
      </c>
      <c r="B1148" s="10">
        <f t="shared" ca="1" si="54"/>
        <v>102.72256666666665</v>
      </c>
      <c r="C1148" s="10">
        <f t="shared" ca="1" si="54"/>
        <v>102.2903</v>
      </c>
      <c r="D1148" s="10"/>
      <c r="E1148" s="10">
        <f t="shared" ref="E1148:K1156" ca="1" si="56">AVERAGE(OFFSET(E$600,($A1148-$A$1118)*12,0,12,1))</f>
        <v>102.15365833333334</v>
      </c>
      <c r="F1148" s="10">
        <f t="shared" ca="1" si="56"/>
        <v>102.15365833333334</v>
      </c>
      <c r="G1148" s="10">
        <f t="shared" ca="1" si="56"/>
        <v>102.42501666666665</v>
      </c>
      <c r="H1148" s="10">
        <f t="shared" ca="1" si="56"/>
        <v>102.2903</v>
      </c>
      <c r="I1148" s="10">
        <f t="shared" ca="1" si="56"/>
        <v>102.2903</v>
      </c>
      <c r="J1148" s="10">
        <f t="shared" ca="1" si="56"/>
        <v>102.2903</v>
      </c>
      <c r="K1148" s="10">
        <f t="shared" ca="1" si="56"/>
        <v>102.2903</v>
      </c>
    </row>
    <row r="1149" spans="1:11" ht="15" x14ac:dyDescent="0.2">
      <c r="A1149" s="11">
        <f t="shared" si="52"/>
        <v>2093</v>
      </c>
      <c r="B1149" s="10">
        <f t="shared" ca="1" si="54"/>
        <v>104.53075833333334</v>
      </c>
      <c r="C1149" s="10">
        <f t="shared" ca="1" si="54"/>
        <v>104.09849166666667</v>
      </c>
      <c r="D1149" s="10"/>
      <c r="E1149" s="10">
        <f t="shared" ca="1" si="56"/>
        <v>103.96185833333334</v>
      </c>
      <c r="F1149" s="10">
        <f t="shared" ca="1" si="56"/>
        <v>103.96185833333334</v>
      </c>
      <c r="G1149" s="10">
        <f t="shared" ca="1" si="56"/>
        <v>104.23321666666668</v>
      </c>
      <c r="H1149" s="10">
        <f t="shared" ca="1" si="56"/>
        <v>104.09849166666667</v>
      </c>
      <c r="I1149" s="10">
        <f t="shared" ca="1" si="56"/>
        <v>104.09849166666667</v>
      </c>
      <c r="J1149" s="10">
        <f t="shared" ca="1" si="56"/>
        <v>104.09849166666667</v>
      </c>
      <c r="K1149" s="10">
        <f t="shared" ca="1" si="56"/>
        <v>104.09849166666667</v>
      </c>
    </row>
    <row r="1150" spans="1:11" ht="15" x14ac:dyDescent="0.2">
      <c r="A1150" s="11">
        <f t="shared" si="52"/>
        <v>2094</v>
      </c>
      <c r="B1150" s="10">
        <f t="shared" ca="1" si="54"/>
        <v>106.37149166666666</v>
      </c>
      <c r="C1150" s="10">
        <f t="shared" ca="1" si="54"/>
        <v>105.93925</v>
      </c>
      <c r="D1150" s="10"/>
      <c r="E1150" s="10">
        <f t="shared" ca="1" si="56"/>
        <v>105.80259166666667</v>
      </c>
      <c r="F1150" s="10">
        <f t="shared" ca="1" si="56"/>
        <v>105.80259166666667</v>
      </c>
      <c r="G1150" s="10">
        <f t="shared" ca="1" si="56"/>
        <v>106.07395833333334</v>
      </c>
      <c r="H1150" s="10">
        <f t="shared" ca="1" si="56"/>
        <v>105.93925</v>
      </c>
      <c r="I1150" s="10">
        <f t="shared" ca="1" si="56"/>
        <v>105.93925</v>
      </c>
      <c r="J1150" s="10">
        <f t="shared" ca="1" si="56"/>
        <v>105.93925</v>
      </c>
      <c r="K1150" s="10">
        <f t="shared" ca="1" si="56"/>
        <v>105.93925</v>
      </c>
    </row>
    <row r="1151" spans="1:11" ht="15" x14ac:dyDescent="0.2">
      <c r="A1151" s="11">
        <f t="shared" si="52"/>
        <v>2095</v>
      </c>
      <c r="B1151" s="10">
        <f t="shared" ca="1" si="54"/>
        <v>108.24539166666669</v>
      </c>
      <c r="C1151" s="10">
        <f t="shared" ca="1" si="54"/>
        <v>107.81314166666668</v>
      </c>
      <c r="D1151" s="10"/>
      <c r="E1151" s="10">
        <f t="shared" ca="1" si="56"/>
        <v>107.67649166666671</v>
      </c>
      <c r="F1151" s="10">
        <f t="shared" ca="1" si="56"/>
        <v>107.67649166666671</v>
      </c>
      <c r="G1151" s="10">
        <f t="shared" ca="1" si="56"/>
        <v>107.94785833333331</v>
      </c>
      <c r="H1151" s="10">
        <f t="shared" ca="1" si="56"/>
        <v>107.81314166666668</v>
      </c>
      <c r="I1151" s="10">
        <f t="shared" ca="1" si="56"/>
        <v>107.81314166666668</v>
      </c>
      <c r="J1151" s="10">
        <f t="shared" ca="1" si="56"/>
        <v>107.81314166666668</v>
      </c>
      <c r="K1151" s="10">
        <f t="shared" ca="1" si="56"/>
        <v>107.81314166666668</v>
      </c>
    </row>
    <row r="1152" spans="1:11" ht="15" x14ac:dyDescent="0.2">
      <c r="A1152" s="11">
        <f t="shared" si="52"/>
        <v>2096</v>
      </c>
      <c r="B1152" s="10">
        <f t="shared" ca="1" si="54"/>
        <v>110.15301666666664</v>
      </c>
      <c r="C1152" s="10">
        <f t="shared" ca="1" si="54"/>
        <v>109.72076666666665</v>
      </c>
      <c r="D1152" s="10"/>
      <c r="E1152" s="10">
        <f t="shared" ca="1" si="56"/>
        <v>109.58410833333333</v>
      </c>
      <c r="F1152" s="10">
        <f t="shared" ca="1" si="56"/>
        <v>109.58410833333333</v>
      </c>
      <c r="G1152" s="10">
        <f t="shared" ca="1" si="56"/>
        <v>109.85548333333332</v>
      </c>
      <c r="H1152" s="10">
        <f t="shared" ca="1" si="56"/>
        <v>109.72076666666665</v>
      </c>
      <c r="I1152" s="10">
        <f t="shared" ca="1" si="56"/>
        <v>109.72076666666665</v>
      </c>
      <c r="J1152" s="10">
        <f t="shared" ca="1" si="56"/>
        <v>109.72076666666665</v>
      </c>
      <c r="K1152" s="10">
        <f t="shared" ca="1" si="56"/>
        <v>109.72076666666665</v>
      </c>
    </row>
    <row r="1153" spans="1:11" ht="15" x14ac:dyDescent="0.2">
      <c r="A1153" s="11">
        <f t="shared" si="52"/>
        <v>2097</v>
      </c>
      <c r="B1153" s="10">
        <f t="shared" ca="1" si="54"/>
        <v>112.09499166666666</v>
      </c>
      <c r="C1153" s="10">
        <f t="shared" ca="1" si="54"/>
        <v>111.66273333333335</v>
      </c>
      <c r="D1153" s="10"/>
      <c r="E1153" s="10">
        <f t="shared" ca="1" si="56"/>
        <v>111.52609166666666</v>
      </c>
      <c r="F1153" s="10">
        <f t="shared" ca="1" si="56"/>
        <v>111.52609166666666</v>
      </c>
      <c r="G1153" s="10">
        <f t="shared" ca="1" si="56"/>
        <v>111.79747500000001</v>
      </c>
      <c r="H1153" s="10">
        <f t="shared" ca="1" si="56"/>
        <v>111.66273333333335</v>
      </c>
      <c r="I1153" s="10">
        <f t="shared" ca="1" si="56"/>
        <v>111.66273333333335</v>
      </c>
      <c r="J1153" s="10">
        <f t="shared" ca="1" si="56"/>
        <v>111.66273333333335</v>
      </c>
      <c r="K1153" s="10">
        <f t="shared" ca="1" si="56"/>
        <v>111.66273333333335</v>
      </c>
    </row>
    <row r="1154" spans="1:11" ht="15" x14ac:dyDescent="0.2">
      <c r="A1154" s="11">
        <f t="shared" si="52"/>
        <v>2098</v>
      </c>
      <c r="B1154" s="10">
        <f t="shared" ca="1" si="54"/>
        <v>114.07194166666666</v>
      </c>
      <c r="C1154" s="10">
        <f t="shared" ca="1" si="54"/>
        <v>113.63967500000001</v>
      </c>
      <c r="D1154" s="10"/>
      <c r="E1154" s="10">
        <f t="shared" ca="1" si="56"/>
        <v>113.50304166666668</v>
      </c>
      <c r="F1154" s="10">
        <f t="shared" ca="1" si="56"/>
        <v>113.50304166666668</v>
      </c>
      <c r="G1154" s="10">
        <f t="shared" ca="1" si="56"/>
        <v>113.77440833333333</v>
      </c>
      <c r="H1154" s="10">
        <f t="shared" ca="1" si="56"/>
        <v>113.63967500000001</v>
      </c>
      <c r="I1154" s="10">
        <f t="shared" ca="1" si="56"/>
        <v>113.63967500000001</v>
      </c>
      <c r="J1154" s="10">
        <f t="shared" ca="1" si="56"/>
        <v>113.63967500000001</v>
      </c>
      <c r="K1154" s="10">
        <f t="shared" ca="1" si="56"/>
        <v>113.63967500000001</v>
      </c>
    </row>
    <row r="1155" spans="1:11" ht="15" x14ac:dyDescent="0.2">
      <c r="A1155" s="11">
        <f t="shared" si="52"/>
        <v>2099</v>
      </c>
      <c r="B1155" s="10">
        <f t="shared" ca="1" si="54"/>
        <v>116.08445833333336</v>
      </c>
      <c r="C1155" s="10">
        <f t="shared" ca="1" si="54"/>
        <v>115.65223333333336</v>
      </c>
      <c r="D1155" s="10"/>
      <c r="E1155" s="10">
        <f t="shared" ca="1" si="56"/>
        <v>115.51555833333335</v>
      </c>
      <c r="F1155" s="10">
        <f t="shared" ca="1" si="56"/>
        <v>115.51555833333335</v>
      </c>
      <c r="G1155" s="10">
        <f t="shared" ca="1" si="56"/>
        <v>115.78693333333331</v>
      </c>
      <c r="H1155" s="10">
        <f t="shared" ca="1" si="56"/>
        <v>115.65223333333336</v>
      </c>
      <c r="I1155" s="10">
        <f t="shared" ca="1" si="56"/>
        <v>115.65223333333336</v>
      </c>
      <c r="J1155" s="10">
        <f t="shared" ca="1" si="56"/>
        <v>115.65223333333336</v>
      </c>
      <c r="K1155" s="10">
        <f t="shared" ca="1" si="56"/>
        <v>115.65223333333336</v>
      </c>
    </row>
    <row r="1156" spans="1:11" ht="15" x14ac:dyDescent="0.2">
      <c r="A1156" s="11">
        <f t="shared" si="52"/>
        <v>2100</v>
      </c>
      <c r="B1156" s="10">
        <f t="shared" ca="1" si="54"/>
        <v>118.13323333333334</v>
      </c>
      <c r="C1156" s="10">
        <f t="shared" ca="1" si="54"/>
        <v>117.70100000000002</v>
      </c>
      <c r="D1156" s="10"/>
      <c r="E1156" s="10">
        <f t="shared" ca="1" si="56"/>
        <v>117.56433333333332</v>
      </c>
      <c r="F1156" s="10">
        <f t="shared" ca="1" si="56"/>
        <v>117.56433333333332</v>
      </c>
      <c r="G1156" s="10">
        <f t="shared" ca="1" si="56"/>
        <v>117.83572499999998</v>
      </c>
      <c r="H1156" s="10">
        <f t="shared" ca="1" si="56"/>
        <v>117.70100000000002</v>
      </c>
      <c r="I1156" s="10">
        <f t="shared" ca="1" si="56"/>
        <v>117.70100000000002</v>
      </c>
      <c r="J1156" s="10">
        <f t="shared" ca="1" si="56"/>
        <v>117.70100000000002</v>
      </c>
      <c r="K1156" s="10">
        <f t="shared" ca="1" si="56"/>
        <v>117.70100000000002</v>
      </c>
    </row>
    <row r="1157" spans="1:11" x14ac:dyDescent="0.2">
      <c r="A1157" s="8"/>
    </row>
    <row r="1158" spans="1:11" x14ac:dyDescent="0.2">
      <c r="A1158" s="8"/>
    </row>
    <row r="1159" spans="1:11" x14ac:dyDescent="0.2">
      <c r="A1159" s="8"/>
    </row>
    <row r="1160" spans="1:11" x14ac:dyDescent="0.2">
      <c r="A1160" s="8"/>
    </row>
    <row r="1161" spans="1:11" x14ac:dyDescent="0.2">
      <c r="A1161" s="8"/>
    </row>
    <row r="1162" spans="1:11" x14ac:dyDescent="0.2">
      <c r="A1162" s="8"/>
    </row>
    <row r="1163" spans="1:11" x14ac:dyDescent="0.2">
      <c r="A1163" s="8"/>
    </row>
    <row r="1164" spans="1:11" x14ac:dyDescent="0.2">
      <c r="A1164" s="8"/>
    </row>
    <row r="1165" spans="1:11" x14ac:dyDescent="0.2">
      <c r="A1165" s="8"/>
    </row>
    <row r="1166" spans="1:11" x14ac:dyDescent="0.2">
      <c r="A1166" s="8"/>
    </row>
    <row r="1167" spans="1:11" x14ac:dyDescent="0.2">
      <c r="A1167" s="8"/>
    </row>
    <row r="1168" spans="1:11" x14ac:dyDescent="0.2">
      <c r="A1168" s="8"/>
    </row>
    <row r="1169" spans="1:1" x14ac:dyDescent="0.2">
      <c r="A1169" s="8"/>
    </row>
    <row r="1170" spans="1:1" x14ac:dyDescent="0.2">
      <c r="A1170" s="8"/>
    </row>
    <row r="1171" spans="1:1" x14ac:dyDescent="0.2">
      <c r="A1171" s="8"/>
    </row>
    <row r="1172" spans="1:1" x14ac:dyDescent="0.2">
      <c r="A1172" s="8"/>
    </row>
    <row r="1173" spans="1:1" x14ac:dyDescent="0.2">
      <c r="A1173" s="8"/>
    </row>
    <row r="1174" spans="1:1" x14ac:dyDescent="0.2">
      <c r="A1174" s="8"/>
    </row>
    <row r="1175" spans="1:1" x14ac:dyDescent="0.2">
      <c r="A1175" s="8"/>
    </row>
    <row r="1176" spans="1:1" x14ac:dyDescent="0.2">
      <c r="A1176" s="8"/>
    </row>
  </sheetData>
  <pageMargins left="0.25" right="0.25" top="0.5" bottom="0.5" header="0.25" footer="0.25"/>
  <pageSetup paperSize="17" scale="9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6</xdr:col>
                    <xdr:colOff>95250</xdr:colOff>
                    <xdr:row>7</xdr:row>
                    <xdr:rowOff>28575</xdr:rowOff>
                  </from>
                  <to>
                    <xdr:col>7</xdr:col>
                    <xdr:colOff>123825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7</xdr:col>
                    <xdr:colOff>295275</xdr:colOff>
                    <xdr:row>7</xdr:row>
                    <xdr:rowOff>57150</xdr:rowOff>
                  </from>
                  <to>
                    <xdr:col>8</xdr:col>
                    <xdr:colOff>314325</xdr:colOff>
                    <xdr:row>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K1176"/>
  <sheetViews>
    <sheetView zoomScale="70" zoomScaleNormal="70" workbookViewId="0">
      <pane xSplit="1" ySplit="11" topLeftCell="B12" activePane="bottomRight" state="frozen"/>
      <selection activeCell="A4" sqref="A4:XFD6"/>
      <selection pane="topRight" activeCell="A4" sqref="A4:XFD6"/>
      <selection pane="bottomLeft" activeCell="A4" sqref="A4:XFD6"/>
      <selection pane="bottomRight" activeCell="E40" sqref="E40"/>
    </sheetView>
  </sheetViews>
  <sheetFormatPr defaultColWidth="7.109375" defaultRowHeight="12.75" x14ac:dyDescent="0.2"/>
  <cols>
    <col min="1" max="1" width="18.44140625" style="9" customWidth="1"/>
    <col min="2" max="3" width="14.5546875" style="9" customWidth="1"/>
    <col min="4" max="4" width="16.88671875" style="9" customWidth="1"/>
    <col min="5" max="5" width="14.5546875" style="9" customWidth="1"/>
    <col min="6" max="6" width="16.77734375" style="9" customWidth="1"/>
    <col min="7" max="9" width="14.5546875" style="9" customWidth="1"/>
    <col min="10" max="10" width="12.21875" style="8" customWidth="1"/>
    <col min="11" max="11" width="9.6640625" style="8" customWidth="1"/>
    <col min="12" max="16384" width="7.109375" style="8"/>
  </cols>
  <sheetData>
    <row r="1" spans="1:10" ht="15.75" x14ac:dyDescent="0.25">
      <c r="A1" s="108" t="s">
        <v>91</v>
      </c>
    </row>
    <row r="2" spans="1:10" ht="15.75" x14ac:dyDescent="0.25">
      <c r="A2" s="108" t="s">
        <v>92</v>
      </c>
    </row>
    <row r="3" spans="1:10" ht="15.75" x14ac:dyDescent="0.25">
      <c r="A3" s="108" t="s">
        <v>93</v>
      </c>
    </row>
    <row r="4" spans="1:10" ht="15.75" x14ac:dyDescent="0.25">
      <c r="A4" s="108" t="s">
        <v>94</v>
      </c>
    </row>
    <row r="5" spans="1:10" ht="15.75" x14ac:dyDescent="0.25">
      <c r="A5" s="108" t="s">
        <v>96</v>
      </c>
    </row>
    <row r="6" spans="1:10" ht="15.75" x14ac:dyDescent="0.25">
      <c r="A6" s="108" t="s">
        <v>98</v>
      </c>
    </row>
    <row r="8" spans="1:10" ht="15.75" x14ac:dyDescent="0.25">
      <c r="A8" s="30" t="s">
        <v>28</v>
      </c>
      <c r="B8" s="31"/>
      <c r="C8" s="24"/>
    </row>
    <row r="9" spans="1:10" ht="15.75" x14ac:dyDescent="0.25">
      <c r="A9" s="30"/>
      <c r="B9" s="24"/>
      <c r="C9" s="24"/>
      <c r="D9" s="23" t="s">
        <v>27</v>
      </c>
      <c r="E9" s="22">
        <f>1-0.273</f>
        <v>0.72699999999999998</v>
      </c>
      <c r="F9" s="23" t="s">
        <v>26</v>
      </c>
      <c r="G9" s="22">
        <f>1+0.273</f>
        <v>1.2730000000000001</v>
      </c>
    </row>
    <row r="10" spans="1:10" s="18" customFormat="1" ht="34.9" customHeight="1" x14ac:dyDescent="0.25">
      <c r="B10" s="21" t="s">
        <v>38</v>
      </c>
      <c r="C10" s="19" t="s">
        <v>37</v>
      </c>
      <c r="D10" s="21" t="s">
        <v>36</v>
      </c>
      <c r="E10" s="21" t="s">
        <v>35</v>
      </c>
      <c r="F10" s="21" t="s">
        <v>34</v>
      </c>
      <c r="G10" s="19" t="s">
        <v>33</v>
      </c>
      <c r="H10" s="19" t="s">
        <v>32</v>
      </c>
      <c r="I10" s="21" t="s">
        <v>31</v>
      </c>
      <c r="J10" s="19" t="s">
        <v>30</v>
      </c>
    </row>
    <row r="11" spans="1:10" s="18" customFormat="1" ht="21" customHeight="1" x14ac:dyDescent="0.25">
      <c r="A11" s="20" t="s">
        <v>15</v>
      </c>
      <c r="B11" s="20" t="s">
        <v>14</v>
      </c>
      <c r="C11" s="20" t="s">
        <v>14</v>
      </c>
      <c r="D11" s="20" t="s">
        <v>14</v>
      </c>
      <c r="E11" s="20" t="s">
        <v>14</v>
      </c>
      <c r="F11" s="20" t="s">
        <v>14</v>
      </c>
      <c r="G11" s="20" t="s">
        <v>14</v>
      </c>
      <c r="H11" s="20" t="s">
        <v>14</v>
      </c>
      <c r="I11" s="20" t="s">
        <v>14</v>
      </c>
      <c r="J11" s="20" t="s">
        <v>29</v>
      </c>
    </row>
    <row r="12" spans="1:10" ht="15" x14ac:dyDescent="0.2">
      <c r="A12" s="16">
        <v>41275</v>
      </c>
      <c r="B12" s="10">
        <v>17.5608163872467</v>
      </c>
      <c r="C12" s="10">
        <v>16.672788775099502</v>
      </c>
      <c r="D12" s="10">
        <v>16.664976275099502</v>
      </c>
      <c r="E12" s="10">
        <v>16.664976275099502</v>
      </c>
      <c r="F12" s="10">
        <v>16.6118512750995</v>
      </c>
      <c r="G12" s="10">
        <v>16.6712262750995</v>
      </c>
      <c r="H12" s="10">
        <v>16.6712262750995</v>
      </c>
      <c r="I12" s="10">
        <v>16.672788775099502</v>
      </c>
      <c r="J12" s="29">
        <f>89.51</f>
        <v>89.51</v>
      </c>
    </row>
    <row r="13" spans="1:10" ht="15" x14ac:dyDescent="0.2">
      <c r="A13" s="16">
        <v>41306</v>
      </c>
      <c r="B13" s="10">
        <v>18.139507285282502</v>
      </c>
      <c r="C13" s="10">
        <v>17.084489196554799</v>
      </c>
      <c r="D13" s="10">
        <v>17.076676696554799</v>
      </c>
      <c r="E13" s="10">
        <v>17.076676696554799</v>
      </c>
      <c r="F13" s="10">
        <v>17.023551696554801</v>
      </c>
      <c r="G13" s="10">
        <v>17.0829266965548</v>
      </c>
      <c r="H13" s="10">
        <v>17.0829266965548</v>
      </c>
      <c r="I13" s="10">
        <v>17.084489196554799</v>
      </c>
      <c r="J13" s="29">
        <f>96.24</f>
        <v>96.24</v>
      </c>
    </row>
    <row r="14" spans="1:10" ht="15" x14ac:dyDescent="0.2">
      <c r="A14" s="16">
        <v>41334</v>
      </c>
      <c r="B14" s="10">
        <v>16.456719986895401</v>
      </c>
      <c r="C14" s="10">
        <v>15.771603971900401</v>
      </c>
      <c r="D14" s="10">
        <v>15.763791471900401</v>
      </c>
      <c r="E14" s="10">
        <v>15.763791471900401</v>
      </c>
      <c r="F14" s="10">
        <v>16.456719986895401</v>
      </c>
      <c r="G14" s="10">
        <v>15.770041471900401</v>
      </c>
      <c r="H14" s="10">
        <v>15.770041471900401</v>
      </c>
      <c r="I14" s="10">
        <v>15.771603971900401</v>
      </c>
      <c r="J14" s="29">
        <f>94.46</f>
        <v>94.46</v>
      </c>
    </row>
    <row r="15" spans="1:10" ht="15" x14ac:dyDescent="0.2">
      <c r="A15" s="16">
        <v>41365</v>
      </c>
      <c r="B15" s="10">
        <v>16.071251267255601</v>
      </c>
      <c r="C15" s="10">
        <v>15.4136066904326</v>
      </c>
      <c r="D15" s="10">
        <v>15.4057941904326</v>
      </c>
      <c r="E15" s="10">
        <v>15.4057941904326</v>
      </c>
      <c r="F15" s="27">
        <v>15.915001267255599</v>
      </c>
      <c r="G15" s="10">
        <v>15.412044190432599</v>
      </c>
      <c r="H15" s="10">
        <v>15.412044190432599</v>
      </c>
      <c r="I15" s="10">
        <v>15.4136066904326</v>
      </c>
      <c r="J15" s="29">
        <f>92.96</f>
        <v>92.96</v>
      </c>
    </row>
    <row r="16" spans="1:10" ht="15" x14ac:dyDescent="0.2">
      <c r="A16" s="16">
        <v>41395</v>
      </c>
      <c r="B16" s="10">
        <v>16.0652180011265</v>
      </c>
      <c r="C16" s="10">
        <v>15.407153397421901</v>
      </c>
      <c r="D16" s="10">
        <v>15.399340897421901</v>
      </c>
      <c r="E16" s="10">
        <v>15.399340897421901</v>
      </c>
      <c r="F16" s="27">
        <v>15.9089680011265</v>
      </c>
      <c r="G16" s="10">
        <v>15.4055908974219</v>
      </c>
      <c r="H16" s="10">
        <v>15.4055908974219</v>
      </c>
      <c r="I16" s="10">
        <v>15.407153397421901</v>
      </c>
      <c r="J16" s="29">
        <f>88.76</f>
        <v>88.76</v>
      </c>
    </row>
    <row r="17" spans="1:10" ht="15" x14ac:dyDescent="0.2">
      <c r="A17" s="16">
        <v>41426</v>
      </c>
      <c r="B17" s="10">
        <v>15.8182825172556</v>
      </c>
      <c r="C17" s="10">
        <v>15.2292316904326</v>
      </c>
      <c r="D17" s="10">
        <v>15.2214191904326</v>
      </c>
      <c r="E17" s="10">
        <v>15.2214191904326</v>
      </c>
      <c r="F17" s="27">
        <v>15.6620325172556</v>
      </c>
      <c r="G17" s="10">
        <v>15.2276691904326</v>
      </c>
      <c r="H17" s="10">
        <v>15.2276691904326</v>
      </c>
      <c r="I17" s="10">
        <v>15.2292316904326</v>
      </c>
      <c r="J17" s="29">
        <f>96.16</f>
        <v>96.16</v>
      </c>
    </row>
    <row r="18" spans="1:10" ht="15" x14ac:dyDescent="0.2">
      <c r="A18" s="16">
        <v>41456</v>
      </c>
      <c r="B18" s="10">
        <v>15.5105978738396</v>
      </c>
      <c r="C18" s="10">
        <v>15.084690528199401</v>
      </c>
      <c r="D18" s="10">
        <v>15.076878028199401</v>
      </c>
      <c r="E18" s="10">
        <v>15.076878028199401</v>
      </c>
      <c r="F18" s="27">
        <v>15.3543478738396</v>
      </c>
      <c r="G18" s="10">
        <v>15.0831280281994</v>
      </c>
      <c r="H18" s="10">
        <v>15.0831280281994</v>
      </c>
      <c r="I18" s="10">
        <v>15.084690528199401</v>
      </c>
      <c r="J18" s="29">
        <f>95.4</f>
        <v>95.4</v>
      </c>
    </row>
    <row r="19" spans="1:10" ht="15" x14ac:dyDescent="0.2">
      <c r="A19" s="16">
        <v>41487</v>
      </c>
      <c r="B19" s="10">
        <v>16.016999083517</v>
      </c>
      <c r="C19" s="10">
        <v>15.4416965765865</v>
      </c>
      <c r="D19" s="10">
        <v>15.4338840765865</v>
      </c>
      <c r="E19" s="10">
        <v>15.4338840765865</v>
      </c>
      <c r="F19" s="27">
        <v>15.860749083517</v>
      </c>
      <c r="G19" s="10">
        <v>15.440134076586499</v>
      </c>
      <c r="H19" s="10">
        <v>15.440134076586499</v>
      </c>
      <c r="I19" s="10">
        <v>15.4416965765865</v>
      </c>
      <c r="J19" s="29">
        <f>106.91</f>
        <v>106.91</v>
      </c>
    </row>
    <row r="20" spans="1:10" ht="15" x14ac:dyDescent="0.2">
      <c r="A20" s="16">
        <v>41518</v>
      </c>
      <c r="B20" s="10">
        <v>16.238246544738399</v>
      </c>
      <c r="C20" s="10">
        <v>15.679820717915501</v>
      </c>
      <c r="D20" s="10">
        <v>15.672008217915501</v>
      </c>
      <c r="E20" s="10">
        <v>15.672008217915501</v>
      </c>
      <c r="F20" s="27">
        <v>16.081996544738399</v>
      </c>
      <c r="G20" s="10">
        <v>15.6782582179155</v>
      </c>
      <c r="H20" s="10">
        <v>15.6782582179155</v>
      </c>
      <c r="I20" s="10">
        <v>15.679820717915501</v>
      </c>
      <c r="J20" s="29">
        <f>104.96</f>
        <v>104.96</v>
      </c>
    </row>
    <row r="21" spans="1:10" ht="15" x14ac:dyDescent="0.2">
      <c r="A21" s="16">
        <v>41548</v>
      </c>
      <c r="B21" s="10">
        <v>16.233303668394299</v>
      </c>
      <c r="C21" s="10">
        <v>15.497114064689701</v>
      </c>
      <c r="D21" s="10">
        <v>15.489301564689701</v>
      </c>
      <c r="E21" s="10">
        <v>15.489301564689701</v>
      </c>
      <c r="F21" s="27">
        <v>16.077053668394299</v>
      </c>
      <c r="G21" s="10">
        <v>15.4955515646897</v>
      </c>
      <c r="H21" s="10">
        <v>15.4955515646897</v>
      </c>
      <c r="I21" s="10">
        <v>15.497114064689701</v>
      </c>
      <c r="J21" s="29">
        <f>104.67</f>
        <v>104.67</v>
      </c>
    </row>
    <row r="22" spans="1:10" ht="15" x14ac:dyDescent="0.2">
      <c r="A22" s="16">
        <v>41579</v>
      </c>
      <c r="B22" s="10">
        <v>16.165689253071701</v>
      </c>
      <c r="C22" s="10">
        <v>15.268461342915501</v>
      </c>
      <c r="D22" s="10">
        <v>15.260648842915501</v>
      </c>
      <c r="E22" s="10">
        <v>15.260648842915501</v>
      </c>
      <c r="F22" s="27">
        <v>16.009439253071701</v>
      </c>
      <c r="G22" s="10">
        <v>15.2668988429155</v>
      </c>
      <c r="H22" s="10">
        <v>15.2668988429155</v>
      </c>
      <c r="I22" s="10">
        <v>15.268461342915501</v>
      </c>
      <c r="J22" s="29">
        <f>97.8</f>
        <v>97.8</v>
      </c>
    </row>
    <row r="23" spans="1:10" ht="15" x14ac:dyDescent="0.2">
      <c r="A23" s="16">
        <v>41609</v>
      </c>
      <c r="B23" s="10">
        <v>16.3488611280717</v>
      </c>
      <c r="C23" s="10">
        <v>15.4360082179155</v>
      </c>
      <c r="D23" s="10">
        <v>15.4281957179155</v>
      </c>
      <c r="E23" s="10">
        <v>16.2016332179155</v>
      </c>
      <c r="F23" s="27">
        <v>16.1926111280717</v>
      </c>
      <c r="G23" s="10">
        <v>15.4344457179155</v>
      </c>
      <c r="H23" s="10">
        <v>15.4344457179155</v>
      </c>
      <c r="I23" s="10">
        <v>15.4360082179155</v>
      </c>
      <c r="J23" s="29">
        <f>93.33</f>
        <v>93.33</v>
      </c>
    </row>
    <row r="24" spans="1:10" ht="15" x14ac:dyDescent="0.2">
      <c r="A24" s="16">
        <v>41640</v>
      </c>
      <c r="B24" s="10">
        <v>16.060533003071701</v>
      </c>
      <c r="C24" s="10">
        <v>15.1476800929155</v>
      </c>
      <c r="D24" s="10">
        <v>15.1398675929155</v>
      </c>
      <c r="E24" s="28">
        <v>15.9133050929155</v>
      </c>
      <c r="F24" s="27">
        <v>15.904283003071701</v>
      </c>
      <c r="G24" s="10">
        <v>15.1461175929155</v>
      </c>
      <c r="H24" s="10">
        <v>15.1461175929155</v>
      </c>
      <c r="I24" s="10">
        <v>15.1476800929155</v>
      </c>
      <c r="J24" s="29">
        <f>98.77</f>
        <v>98.77</v>
      </c>
    </row>
    <row r="25" spans="1:10" ht="15" x14ac:dyDescent="0.2">
      <c r="A25" s="16">
        <v>41671</v>
      </c>
      <c r="B25" s="10">
        <f>15.7734 * CHOOSE(CONTROL!$C$15, $E$9, 100%, $G$9) + CHOOSE(CONTROL!$C$38, 0.0256, 0)</f>
        <v>15.799000000000001</v>
      </c>
      <c r="C25" s="10">
        <f>14.9141 * CHOOSE(CONTROL!$C$15, $E$9, 100%, $G$9) + CHOOSE(CONTROL!$C$38, 0.0347, 0)</f>
        <v>14.9488</v>
      </c>
      <c r="D25" s="10">
        <f>14.9062 * CHOOSE(CONTROL!$C$15, $E$9, 100%, $G$9) + CHOOSE(CONTROL!$C$38, 0.0347, 0)</f>
        <v>14.940900000000001</v>
      </c>
      <c r="E25" s="28">
        <f>15.6172 * CHOOSE(CONTROL!$C$15, $E$9, 100%, $G$9) + CHOOSE(CONTROL!$C$38, 0.0347, 0)</f>
        <v>15.651900000000001</v>
      </c>
      <c r="F25" s="27">
        <f>15.6172 * CHOOSE(CONTROL!$C$15, $E$9, 100%, $G$9) + CHOOSE(CONTROL!$C$38, 0.0256, 0)</f>
        <v>15.642800000000001</v>
      </c>
      <c r="G25" s="10">
        <f>14.9125 * CHOOSE(CONTROL!$C$15, $E$9, 100%, $G$9) + CHOOSE(CONTROL!$C$38, 0.0347, 0)</f>
        <v>14.9472</v>
      </c>
      <c r="H25" s="10">
        <f>14.9125 * CHOOSE(CONTROL!$C$15, $E$9, 100%, $G$9) + CHOOSE(CONTROL!$C$38, 0.0347, 0)</f>
        <v>14.9472</v>
      </c>
      <c r="I25" s="10">
        <f>14.9141 * CHOOSE(CONTROL!$C$15, $E$9, 100%, $G$9) + CHOOSE(CONTROL!$C$38, 0.0347, 0)</f>
        <v>14.9488</v>
      </c>
      <c r="J25" s="29">
        <f>93.43</f>
        <v>93.43</v>
      </c>
    </row>
    <row r="26" spans="1:10" ht="15" x14ac:dyDescent="0.2">
      <c r="A26" s="16">
        <v>41699</v>
      </c>
      <c r="B26" s="10">
        <f>15.7031 * CHOOSE(CONTROL!$C$15, $E$9, 100%, $G$9) + CHOOSE(CONTROL!$C$38, 0.0256, 0)</f>
        <v>15.7287</v>
      </c>
      <c r="C26" s="10">
        <f>14.8437 * CHOOSE(CONTROL!$C$15, $E$9, 100%, $G$9) + CHOOSE(CONTROL!$C$38, 0.0347, 0)</f>
        <v>14.878400000000001</v>
      </c>
      <c r="D26" s="10">
        <f>14.8359 * CHOOSE(CONTROL!$C$15, $E$9, 100%, $G$9) + CHOOSE(CONTROL!$C$38, 0.0347, 0)</f>
        <v>14.870600000000001</v>
      </c>
      <c r="E26" s="28">
        <f>15.5469 * CHOOSE(CONTROL!$C$15, $E$9, 100%, $G$9) + CHOOSE(CONTROL!$C$38, 0.0347, 0)</f>
        <v>15.581600000000002</v>
      </c>
      <c r="F26" s="27">
        <f>15.5469 * CHOOSE(CONTROL!$C$15, $E$9, 100%, $G$9) + CHOOSE(CONTROL!$C$38, 0.0256, 0)</f>
        <v>15.572500000000002</v>
      </c>
      <c r="G26" s="10">
        <f>14.8422 * CHOOSE(CONTROL!$C$15, $E$9, 100%, $G$9) + CHOOSE(CONTROL!$C$38, 0.0347, 0)</f>
        <v>14.876900000000001</v>
      </c>
      <c r="H26" s="10">
        <f>14.8422 * CHOOSE(CONTROL!$C$15, $E$9, 100%, $G$9) + CHOOSE(CONTROL!$C$38, 0.0347, 0)</f>
        <v>14.876900000000001</v>
      </c>
      <c r="I26" s="10">
        <f>14.8437 * CHOOSE(CONTROL!$C$15, $E$9, 100%, $G$9) + CHOOSE(CONTROL!$C$38, 0.0347, 0)</f>
        <v>14.878400000000001</v>
      </c>
      <c r="J26" s="29">
        <f>93.58</f>
        <v>93.58</v>
      </c>
    </row>
    <row r="27" spans="1:10" ht="15" x14ac:dyDescent="0.2">
      <c r="A27" s="16">
        <v>41730</v>
      </c>
      <c r="B27" s="10">
        <f>15.6437 * CHOOSE(CONTROL!$C$15, $E$9, 100%, $G$9) + CHOOSE(CONTROL!$C$38, 0.0256, 0)</f>
        <v>15.669300000000002</v>
      </c>
      <c r="C27" s="10">
        <f>14.8234 * CHOOSE(CONTROL!$C$15, $E$9, 100%, $G$9) + CHOOSE(CONTROL!$C$38, 0.0347, 0)</f>
        <v>14.8581</v>
      </c>
      <c r="D27" s="10">
        <f>14.8156 * CHOOSE(CONTROL!$C$15, $E$9, 100%, $G$9) + CHOOSE(CONTROL!$C$38, 0.0347, 0)</f>
        <v>14.850300000000001</v>
      </c>
      <c r="E27" s="28">
        <f>15.4875 * CHOOSE(CONTROL!$C$15, $E$9, 100%, $G$9) + CHOOSE(CONTROL!$C$38, 0.0347, 0)</f>
        <v>15.522200000000002</v>
      </c>
      <c r="F27" s="27">
        <f>15.4875 * CHOOSE(CONTROL!$C$15, $E$9, 100%, $G$9) + CHOOSE(CONTROL!$C$38, 0.0256, 0)</f>
        <v>15.513100000000001</v>
      </c>
      <c r="G27" s="10">
        <f>14.8219 * CHOOSE(CONTROL!$C$15, $E$9, 100%, $G$9) + CHOOSE(CONTROL!$C$38, 0.0347, 0)</f>
        <v>14.8566</v>
      </c>
      <c r="H27" s="10">
        <f>14.8219 * CHOOSE(CONTROL!$C$15, $E$9, 100%, $G$9) + CHOOSE(CONTROL!$C$38, 0.0347, 0)</f>
        <v>14.8566</v>
      </c>
      <c r="I27" s="10">
        <f>14.8234 * CHOOSE(CONTROL!$C$15, $E$9, 100%, $G$9) + CHOOSE(CONTROL!$C$38, 0.0347, 0)</f>
        <v>14.8581</v>
      </c>
      <c r="J27" s="29">
        <f>93.52</f>
        <v>93.52</v>
      </c>
    </row>
    <row r="28" spans="1:10" ht="15" x14ac:dyDescent="0.2">
      <c r="A28" s="16">
        <v>41760</v>
      </c>
      <c r="B28" s="10">
        <f>15.5891 * CHOOSE(CONTROL!$C$15, $E$9, 100%, $G$9) + CHOOSE(CONTROL!$C$38, 0.0278, 0)</f>
        <v>15.616899999999999</v>
      </c>
      <c r="C28" s="10">
        <f>14.8078 * CHOOSE(CONTROL!$C$15, $E$9, 100%, $G$9) + CHOOSE(CONTROL!$C$38, 0.0369, 0)</f>
        <v>14.8447</v>
      </c>
      <c r="D28" s="10">
        <f>14.8 * CHOOSE(CONTROL!$C$15, $E$9, 100%, $G$9) + CHOOSE(CONTROL!$C$38, 0.0369, 0)</f>
        <v>14.8369</v>
      </c>
      <c r="E28" s="28">
        <f>15.4328 * CHOOSE(CONTROL!$C$15, $E$9, 100%, $G$9) + CHOOSE(CONTROL!$C$38, 0.0369, 0)</f>
        <v>15.4697</v>
      </c>
      <c r="F28" s="27">
        <f>15.4328 * CHOOSE(CONTROL!$C$15, $E$9, 100%, $G$9) + CHOOSE(CONTROL!$C$38, 0.0278, 0)</f>
        <v>15.460599999999999</v>
      </c>
      <c r="G28" s="10">
        <f>14.8062 * CHOOSE(CONTROL!$C$15, $E$9, 100%, $G$9) + CHOOSE(CONTROL!$C$38, 0.0369, 0)</f>
        <v>14.8431</v>
      </c>
      <c r="H28" s="10">
        <f>14.8062 * CHOOSE(CONTROL!$C$15, $E$9, 100%, $G$9) + CHOOSE(CONTROL!$C$38, 0.0369, 0)</f>
        <v>14.8431</v>
      </c>
      <c r="I28" s="10">
        <f>14.8078 * CHOOSE(CONTROL!$C$15, $E$9, 100%, $G$9) + CHOOSE(CONTROL!$C$38, 0.0369, 0)</f>
        <v>14.8447</v>
      </c>
      <c r="J28" s="29">
        <f>93.29</f>
        <v>93.29</v>
      </c>
    </row>
    <row r="29" spans="1:10" ht="15" x14ac:dyDescent="0.2">
      <c r="A29" s="16">
        <v>41791</v>
      </c>
      <c r="B29" s="10">
        <f>15.5344 * CHOOSE(CONTROL!$C$15, $E$9, 100%, $G$9) + CHOOSE(CONTROL!$C$38, 0.0278, 0)</f>
        <v>15.562199999999999</v>
      </c>
      <c r="C29" s="10">
        <f>14.7922 * CHOOSE(CONTROL!$C$15, $E$9, 100%, $G$9) + CHOOSE(CONTROL!$C$38, 0.0369, 0)</f>
        <v>14.829099999999999</v>
      </c>
      <c r="D29" s="10">
        <f>14.7844 * CHOOSE(CONTROL!$C$15, $E$9, 100%, $G$9) + CHOOSE(CONTROL!$C$38, 0.0369, 0)</f>
        <v>14.821299999999999</v>
      </c>
      <c r="E29" s="28">
        <f>15.3781 * CHOOSE(CONTROL!$C$15, $E$9, 100%, $G$9) + CHOOSE(CONTROL!$C$38, 0.0369, 0)</f>
        <v>15.414999999999999</v>
      </c>
      <c r="F29" s="27">
        <f>15.3781 * CHOOSE(CONTROL!$C$15, $E$9, 100%, $G$9) + CHOOSE(CONTROL!$C$38, 0.0278, 0)</f>
        <v>15.405899999999999</v>
      </c>
      <c r="G29" s="10">
        <f>14.7906 * CHOOSE(CONTROL!$C$15, $E$9, 100%, $G$9) + CHOOSE(CONTROL!$C$38, 0.0369, 0)</f>
        <v>14.827499999999999</v>
      </c>
      <c r="H29" s="10">
        <f>14.7906 * CHOOSE(CONTROL!$C$15, $E$9, 100%, $G$9) + CHOOSE(CONTROL!$C$38, 0.0369, 0)</f>
        <v>14.827499999999999</v>
      </c>
      <c r="I29" s="10">
        <f>14.7922 * CHOOSE(CONTROL!$C$15, $E$9, 100%, $G$9) + CHOOSE(CONTROL!$C$38, 0.0369, 0)</f>
        <v>14.829099999999999</v>
      </c>
      <c r="J29" s="29">
        <f>92.84</f>
        <v>92.84</v>
      </c>
    </row>
    <row r="30" spans="1:10" ht="15" x14ac:dyDescent="0.2">
      <c r="A30" s="16">
        <v>41821</v>
      </c>
      <c r="B30" s="10">
        <f>15.5766 * CHOOSE(CONTROL!$C$15, $E$9, 100%, $G$9) + CHOOSE(CONTROL!$C$38, 0.0278, 0)</f>
        <v>15.604399999999998</v>
      </c>
      <c r="C30" s="10">
        <f>14.7687 * CHOOSE(CONTROL!$C$15, $E$9, 100%, $G$9) + CHOOSE(CONTROL!$C$38, 0.0369, 0)</f>
        <v>14.8056</v>
      </c>
      <c r="D30" s="10">
        <f>14.7609 * CHOOSE(CONTROL!$C$15, $E$9, 100%, $G$9) + CHOOSE(CONTROL!$C$38, 0.0369, 0)</f>
        <v>14.797799999999999</v>
      </c>
      <c r="E30" s="28">
        <f>15.4203 * CHOOSE(CONTROL!$C$15, $E$9, 100%, $G$9) + CHOOSE(CONTROL!$C$38, 0.0369, 0)</f>
        <v>15.457199999999998</v>
      </c>
      <c r="F30" s="27">
        <f>15.4203 * CHOOSE(CONTROL!$C$15, $E$9, 100%, $G$9) + CHOOSE(CONTROL!$C$38, 0.0278, 0)</f>
        <v>15.448099999999998</v>
      </c>
      <c r="G30" s="10">
        <f>14.7672 * CHOOSE(CONTROL!$C$15, $E$9, 100%, $G$9) + CHOOSE(CONTROL!$C$38, 0.0369, 0)</f>
        <v>14.8041</v>
      </c>
      <c r="H30" s="10">
        <f>14.7672 * CHOOSE(CONTROL!$C$15, $E$9, 100%, $G$9) + CHOOSE(CONTROL!$C$38, 0.0369, 0)</f>
        <v>14.8041</v>
      </c>
      <c r="I30" s="10">
        <f>14.7687 * CHOOSE(CONTROL!$C$15, $E$9, 100%, $G$9) + CHOOSE(CONTROL!$C$38, 0.0369, 0)</f>
        <v>14.8056</v>
      </c>
      <c r="J30" s="29">
        <f>92.26</f>
        <v>92.26</v>
      </c>
    </row>
    <row r="31" spans="1:10" ht="15" x14ac:dyDescent="0.2">
      <c r="A31" s="16">
        <v>41852</v>
      </c>
      <c r="B31" s="10">
        <f>15.5766 * CHOOSE(CONTROL!$C$15, $E$9, 100%, $G$9) + CHOOSE(CONTROL!$C$38, 0.0278, 0)</f>
        <v>15.604399999999998</v>
      </c>
      <c r="C31" s="10">
        <f>14.7687 * CHOOSE(CONTROL!$C$15, $E$9, 100%, $G$9) + CHOOSE(CONTROL!$C$38, 0.0369, 0)</f>
        <v>14.8056</v>
      </c>
      <c r="D31" s="10">
        <f>14.7609 * CHOOSE(CONTROL!$C$15, $E$9, 100%, $G$9) + CHOOSE(CONTROL!$C$38, 0.0369, 0)</f>
        <v>14.797799999999999</v>
      </c>
      <c r="E31" s="28">
        <f>15.4203 * CHOOSE(CONTROL!$C$15, $E$9, 100%, $G$9) + CHOOSE(CONTROL!$C$38, 0.0369, 0)</f>
        <v>15.457199999999998</v>
      </c>
      <c r="F31" s="27">
        <f>15.4203 * CHOOSE(CONTROL!$C$15, $E$9, 100%, $G$9) + CHOOSE(CONTROL!$C$38, 0.0278, 0)</f>
        <v>15.448099999999998</v>
      </c>
      <c r="G31" s="10">
        <f>14.7672 * CHOOSE(CONTROL!$C$15, $E$9, 100%, $G$9) + CHOOSE(CONTROL!$C$38, 0.0369, 0)</f>
        <v>14.8041</v>
      </c>
      <c r="H31" s="10">
        <f>14.7672 * CHOOSE(CONTROL!$C$15, $E$9, 100%, $G$9) + CHOOSE(CONTROL!$C$38, 0.0369, 0)</f>
        <v>14.8041</v>
      </c>
      <c r="I31" s="10">
        <f>14.7687 * CHOOSE(CONTROL!$C$15, $E$9, 100%, $G$9) + CHOOSE(CONTROL!$C$38, 0.0369, 0)</f>
        <v>14.8056</v>
      </c>
      <c r="J31" s="29">
        <f>91.65</f>
        <v>91.65</v>
      </c>
    </row>
    <row r="32" spans="1:10" ht="15" x14ac:dyDescent="0.2">
      <c r="A32" s="16">
        <v>41883</v>
      </c>
      <c r="B32" s="10">
        <f>15.5766 * CHOOSE(CONTROL!$C$15, $E$9, 100%, $G$9) + CHOOSE(CONTROL!$C$38, 0.0278, 0)</f>
        <v>15.604399999999998</v>
      </c>
      <c r="C32" s="10">
        <f>14.7687 * CHOOSE(CONTROL!$C$15, $E$9, 100%, $G$9) + CHOOSE(CONTROL!$C$38, 0.0369, 0)</f>
        <v>14.8056</v>
      </c>
      <c r="D32" s="10">
        <f>14.7609 * CHOOSE(CONTROL!$C$15, $E$9, 100%, $G$9) + CHOOSE(CONTROL!$C$38, 0.0369, 0)</f>
        <v>14.797799999999999</v>
      </c>
      <c r="E32" s="28">
        <f>15.4203 * CHOOSE(CONTROL!$C$15, $E$9, 100%, $G$9) + CHOOSE(CONTROL!$C$38, 0.0369, 0)</f>
        <v>15.457199999999998</v>
      </c>
      <c r="F32" s="27">
        <f>15.4203 * CHOOSE(CONTROL!$C$15, $E$9, 100%, $G$9) + CHOOSE(CONTROL!$C$38, 0.0278, 0)</f>
        <v>15.448099999999998</v>
      </c>
      <c r="G32" s="10">
        <f>14.7672 * CHOOSE(CONTROL!$C$15, $E$9, 100%, $G$9) + CHOOSE(CONTROL!$C$38, 0.0369, 0)</f>
        <v>14.8041</v>
      </c>
      <c r="H32" s="10">
        <f>14.7672 * CHOOSE(CONTROL!$C$15, $E$9, 100%, $G$9) + CHOOSE(CONTROL!$C$38, 0.0369, 0)</f>
        <v>14.8041</v>
      </c>
      <c r="I32" s="10">
        <f>14.7687 * CHOOSE(CONTROL!$C$15, $E$9, 100%, $G$9) + CHOOSE(CONTROL!$C$38, 0.0369, 0)</f>
        <v>14.8056</v>
      </c>
      <c r="J32" s="29">
        <f>91.03</f>
        <v>91.03</v>
      </c>
    </row>
    <row r="33" spans="1:10" ht="15" x14ac:dyDescent="0.2">
      <c r="A33" s="16">
        <v>41913</v>
      </c>
      <c r="B33" s="10">
        <f>15.4578 * CHOOSE(CONTROL!$C$15, $E$9, 100%, $G$9) + CHOOSE(CONTROL!$C$38, 0.0256, 0)</f>
        <v>15.483400000000001</v>
      </c>
      <c r="C33" s="10">
        <f>14.6984 * CHOOSE(CONTROL!$C$15, $E$9, 100%, $G$9) + CHOOSE(CONTROL!$C$38, 0.0347, 0)</f>
        <v>14.7331</v>
      </c>
      <c r="D33" s="10">
        <f>14.6906 * CHOOSE(CONTROL!$C$15, $E$9, 100%, $G$9) + CHOOSE(CONTROL!$C$38, 0.0347, 0)</f>
        <v>14.725300000000001</v>
      </c>
      <c r="E33" s="28">
        <f>15.3016 * CHOOSE(CONTROL!$C$15, $E$9, 100%, $G$9) + CHOOSE(CONTROL!$C$38, 0.0347, 0)</f>
        <v>15.336300000000001</v>
      </c>
      <c r="F33" s="27">
        <f>15.3016 * CHOOSE(CONTROL!$C$15, $E$9, 100%, $G$9) + CHOOSE(CONTROL!$C$38, 0.0256, 0)</f>
        <v>15.327200000000001</v>
      </c>
      <c r="G33" s="10">
        <f>14.6969 * CHOOSE(CONTROL!$C$15, $E$9, 100%, $G$9) + CHOOSE(CONTROL!$C$38, 0.0347, 0)</f>
        <v>14.7316</v>
      </c>
      <c r="H33" s="10">
        <f>14.6969 * CHOOSE(CONTROL!$C$15, $E$9, 100%, $G$9) + CHOOSE(CONTROL!$C$38, 0.0347, 0)</f>
        <v>14.7316</v>
      </c>
      <c r="I33" s="10">
        <f>14.6984 * CHOOSE(CONTROL!$C$15, $E$9, 100%, $G$9) + CHOOSE(CONTROL!$C$38, 0.0347, 0)</f>
        <v>14.7331</v>
      </c>
      <c r="J33" s="29">
        <f>90.47</f>
        <v>90.47</v>
      </c>
    </row>
    <row r="34" spans="1:10" ht="15" x14ac:dyDescent="0.2">
      <c r="A34" s="16">
        <v>41944</v>
      </c>
      <c r="B34" s="10">
        <f>15.4578 * CHOOSE(CONTROL!$C$15, $E$9, 100%, $G$9) + CHOOSE(CONTROL!$C$38, 0.0256, 0)</f>
        <v>15.483400000000001</v>
      </c>
      <c r="C34" s="10">
        <f>14.6984 * CHOOSE(CONTROL!$C$15, $E$9, 100%, $G$9) + CHOOSE(CONTROL!$C$38, 0.0347, 0)</f>
        <v>14.7331</v>
      </c>
      <c r="D34" s="10">
        <f>14.6906 * CHOOSE(CONTROL!$C$15, $E$9, 100%, $G$9) + CHOOSE(CONTROL!$C$38, 0.0347, 0)</f>
        <v>14.725300000000001</v>
      </c>
      <c r="E34" s="28">
        <f>15.3016 * CHOOSE(CONTROL!$C$15, $E$9, 100%, $G$9) + CHOOSE(CONTROL!$C$38, 0.0347, 0)</f>
        <v>15.336300000000001</v>
      </c>
      <c r="F34" s="27">
        <f>15.3016 * CHOOSE(CONTROL!$C$15, $E$9, 100%, $G$9) + CHOOSE(CONTROL!$C$38, 0.0256, 0)</f>
        <v>15.327200000000001</v>
      </c>
      <c r="G34" s="10">
        <f>14.6969 * CHOOSE(CONTROL!$C$15, $E$9, 100%, $G$9) + CHOOSE(CONTROL!$C$38, 0.0347, 0)</f>
        <v>14.7316</v>
      </c>
      <c r="H34" s="10">
        <f>14.6969 * CHOOSE(CONTROL!$C$15, $E$9, 100%, $G$9) + CHOOSE(CONTROL!$C$38, 0.0347, 0)</f>
        <v>14.7316</v>
      </c>
      <c r="I34" s="10">
        <f>14.6984 * CHOOSE(CONTROL!$C$15, $E$9, 100%, $G$9) + CHOOSE(CONTROL!$C$38, 0.0347, 0)</f>
        <v>14.7331</v>
      </c>
      <c r="J34" s="29">
        <f>89.99</f>
        <v>89.99</v>
      </c>
    </row>
    <row r="35" spans="1:10" ht="15" x14ac:dyDescent="0.2">
      <c r="A35" s="16">
        <v>41974</v>
      </c>
      <c r="B35" s="10">
        <f>15.4578 * CHOOSE(CONTROL!$C$15, $E$9, 100%, $G$9) + CHOOSE(CONTROL!$C$38, 0.0256, 0)</f>
        <v>15.483400000000001</v>
      </c>
      <c r="C35" s="10">
        <f>14.6984 * CHOOSE(CONTROL!$C$15, $E$9, 100%, $G$9) + CHOOSE(CONTROL!$C$38, 0.0347, 0)</f>
        <v>14.7331</v>
      </c>
      <c r="D35" s="10">
        <f>14.6906 * CHOOSE(CONTROL!$C$15, $E$9, 100%, $G$9) + CHOOSE(CONTROL!$C$38, 0.0347, 0)</f>
        <v>14.725300000000001</v>
      </c>
      <c r="E35" s="28">
        <f>15.3016 * CHOOSE(CONTROL!$C$15, $E$9, 100%, $G$9) + CHOOSE(CONTROL!$C$38, 0.0347, 0)</f>
        <v>15.336300000000001</v>
      </c>
      <c r="F35" s="27">
        <f>15.3016 * CHOOSE(CONTROL!$C$15, $E$9, 100%, $G$9) + CHOOSE(CONTROL!$C$38, 0.0256, 0)</f>
        <v>15.327200000000001</v>
      </c>
      <c r="G35" s="10">
        <f>14.6969 * CHOOSE(CONTROL!$C$15, $E$9, 100%, $G$9) + CHOOSE(CONTROL!$C$38, 0.0347, 0)</f>
        <v>14.7316</v>
      </c>
      <c r="H35" s="10">
        <f>14.6969 * CHOOSE(CONTROL!$C$15, $E$9, 100%, $G$9) + CHOOSE(CONTROL!$C$38, 0.0347, 0)</f>
        <v>14.7316</v>
      </c>
      <c r="I35" s="10">
        <f>14.6984 * CHOOSE(CONTROL!$C$15, $E$9, 100%, $G$9) + CHOOSE(CONTROL!$C$38, 0.0347, 0)</f>
        <v>14.7331</v>
      </c>
      <c r="J35" s="29">
        <f>89.52</f>
        <v>89.52</v>
      </c>
    </row>
    <row r="36" spans="1:10" ht="15" x14ac:dyDescent="0.2">
      <c r="A36" s="16">
        <v>42005</v>
      </c>
      <c r="B36" s="10">
        <f>14.736 * CHOOSE(CONTROL!$C$15, $E$9, 100%, $G$9) + CHOOSE(CONTROL!$C$38, 0.0256, 0)</f>
        <v>14.761600000000001</v>
      </c>
      <c r="C36" s="10">
        <f>14.55 * CHOOSE(CONTROL!$C$15, $E$9, 100%, $G$9) + CHOOSE(CONTROL!$C$38, 0.0347, 0)</f>
        <v>14.584700000000002</v>
      </c>
      <c r="D36" s="10">
        <f>14.5422 * CHOOSE(CONTROL!$C$15, $E$9, 100%, $G$9) + CHOOSE(CONTROL!$C$38, 0.0347, 0)</f>
        <v>14.5769</v>
      </c>
      <c r="E36" s="28">
        <f>14.5798 * CHOOSE(CONTROL!$C$15, $E$9, 100%, $G$9) + CHOOSE(CONTROL!$C$38, 0.0347, 0)</f>
        <v>14.614500000000001</v>
      </c>
      <c r="F36" s="27">
        <f>14.5798 * CHOOSE(CONTROL!$C$15, $E$9, 100%, $G$9) + CHOOSE(CONTROL!$C$38, 0.0256, 0)</f>
        <v>14.605400000000001</v>
      </c>
      <c r="G36" s="10">
        <f>14.5484 * CHOOSE(CONTROL!$C$15, $E$9, 100%, $G$9) + CHOOSE(CONTROL!$C$38, 0.0347, 0)</f>
        <v>14.583100000000002</v>
      </c>
      <c r="H36" s="10">
        <f>14.5484 * CHOOSE(CONTROL!$C$15, $E$9, 100%, $G$9) + CHOOSE(CONTROL!$C$38, 0.0347, 0)</f>
        <v>14.583100000000002</v>
      </c>
      <c r="I36" s="10">
        <f>14.55 * CHOOSE(CONTROL!$C$15, $E$9, 100%, $G$9) + CHOOSE(CONTROL!$C$38, 0.0347, 0)</f>
        <v>14.584700000000002</v>
      </c>
      <c r="J36" s="29">
        <f>88.89</f>
        <v>88.89</v>
      </c>
    </row>
    <row r="37" spans="1:10" ht="15" x14ac:dyDescent="0.2">
      <c r="A37" s="16">
        <v>42036</v>
      </c>
      <c r="B37" s="10">
        <f>14.736 * CHOOSE(CONTROL!$C$15, $E$9, 100%, $G$9) + CHOOSE(CONTROL!$C$38, 0.0256, 0)</f>
        <v>14.761600000000001</v>
      </c>
      <c r="C37" s="10">
        <f>14.55 * CHOOSE(CONTROL!$C$15, $E$9, 100%, $G$9) + CHOOSE(CONTROL!$C$38, 0.0347, 0)</f>
        <v>14.584700000000002</v>
      </c>
      <c r="D37" s="10">
        <f>14.5422 * CHOOSE(CONTROL!$C$15, $E$9, 100%, $G$9) + CHOOSE(CONTROL!$C$38, 0.0347, 0)</f>
        <v>14.5769</v>
      </c>
      <c r="E37" s="28">
        <f>14.5798 * CHOOSE(CONTROL!$C$15, $E$9, 100%, $G$9) + CHOOSE(CONTROL!$C$38, 0.0347, 0)</f>
        <v>14.614500000000001</v>
      </c>
      <c r="F37" s="27">
        <f>14.5798 * CHOOSE(CONTROL!$C$15, $E$9, 100%, $G$9) + CHOOSE(CONTROL!$C$38, 0.0256, 0)</f>
        <v>14.605400000000001</v>
      </c>
      <c r="G37" s="10">
        <f>14.5484 * CHOOSE(CONTROL!$C$15, $E$9, 100%, $G$9) + CHOOSE(CONTROL!$C$38, 0.0347, 0)</f>
        <v>14.583100000000002</v>
      </c>
      <c r="H37" s="10">
        <f>14.5484 * CHOOSE(CONTROL!$C$15, $E$9, 100%, $G$9) + CHOOSE(CONTROL!$C$38, 0.0347, 0)</f>
        <v>14.583100000000002</v>
      </c>
      <c r="I37" s="10">
        <f>14.55 * CHOOSE(CONTROL!$C$15, $E$9, 100%, $G$9) + CHOOSE(CONTROL!$C$38, 0.0347, 0)</f>
        <v>14.584700000000002</v>
      </c>
      <c r="J37" s="29">
        <f>88.3</f>
        <v>88.3</v>
      </c>
    </row>
    <row r="38" spans="1:10" ht="15" x14ac:dyDescent="0.2">
      <c r="A38" s="16">
        <v>42064</v>
      </c>
      <c r="B38" s="10">
        <f>14.736 * CHOOSE(CONTROL!$C$15, $E$9, 100%, $G$9) + CHOOSE(CONTROL!$C$38, 0.0256, 0)</f>
        <v>14.761600000000001</v>
      </c>
      <c r="C38" s="10">
        <f>14.55 * CHOOSE(CONTROL!$C$15, $E$9, 100%, $G$9) + CHOOSE(CONTROL!$C$38, 0.0347, 0)</f>
        <v>14.584700000000002</v>
      </c>
      <c r="D38" s="10">
        <f>14.5422 * CHOOSE(CONTROL!$C$15, $E$9, 100%, $G$9) + CHOOSE(CONTROL!$C$38, 0.0347, 0)</f>
        <v>14.5769</v>
      </c>
      <c r="E38" s="28">
        <f>14.5798 * CHOOSE(CONTROL!$C$15, $E$9, 100%, $G$9) + CHOOSE(CONTROL!$C$38, 0.0347, 0)</f>
        <v>14.614500000000001</v>
      </c>
      <c r="F38" s="27">
        <f>14.5798 * CHOOSE(CONTROL!$C$15, $E$9, 100%, $G$9) + CHOOSE(CONTROL!$C$38, 0.0256, 0)</f>
        <v>14.605400000000001</v>
      </c>
      <c r="G38" s="10">
        <f>14.5484 * CHOOSE(CONTROL!$C$15, $E$9, 100%, $G$9) + CHOOSE(CONTROL!$C$38, 0.0347, 0)</f>
        <v>14.583100000000002</v>
      </c>
      <c r="H38" s="10">
        <f>14.5484 * CHOOSE(CONTROL!$C$15, $E$9, 100%, $G$9) + CHOOSE(CONTROL!$C$38, 0.0347, 0)</f>
        <v>14.583100000000002</v>
      </c>
      <c r="I38" s="10">
        <f>14.55 * CHOOSE(CONTROL!$C$15, $E$9, 100%, $G$9) + CHOOSE(CONTROL!$C$38, 0.0347, 0)</f>
        <v>14.584700000000002</v>
      </c>
      <c r="J38" s="29">
        <f>87.78</f>
        <v>87.78</v>
      </c>
    </row>
    <row r="39" spans="1:10" ht="15" x14ac:dyDescent="0.2">
      <c r="A39" s="16">
        <v>42095</v>
      </c>
      <c r="B39" s="10">
        <f>14.736 * CHOOSE(CONTROL!$C$15, $E$9, 100%, $G$9) + CHOOSE(CONTROL!$C$38, 0.0256, 0)</f>
        <v>14.761600000000001</v>
      </c>
      <c r="C39" s="10">
        <f>14.55 * CHOOSE(CONTROL!$C$15, $E$9, 100%, $G$9) + CHOOSE(CONTROL!$C$38, 0.0347, 0)</f>
        <v>14.584700000000002</v>
      </c>
      <c r="D39" s="10">
        <f>14.5422 * CHOOSE(CONTROL!$C$15, $E$9, 100%, $G$9) + CHOOSE(CONTROL!$C$38, 0.0347, 0)</f>
        <v>14.5769</v>
      </c>
      <c r="E39" s="28">
        <f>14.5798 * CHOOSE(CONTROL!$C$15, $E$9, 100%, $G$9) + CHOOSE(CONTROL!$C$38, 0.0347, 0)</f>
        <v>14.614500000000001</v>
      </c>
      <c r="F39" s="27">
        <f>14.5798 * CHOOSE(CONTROL!$C$15, $E$9, 100%, $G$9) + CHOOSE(CONTROL!$C$38, 0.0256, 0)</f>
        <v>14.605400000000001</v>
      </c>
      <c r="G39" s="10">
        <f>14.5484 * CHOOSE(CONTROL!$C$15, $E$9, 100%, $G$9) + CHOOSE(CONTROL!$C$38, 0.0347, 0)</f>
        <v>14.583100000000002</v>
      </c>
      <c r="H39" s="10">
        <f>14.5484 * CHOOSE(CONTROL!$C$15, $E$9, 100%, $G$9) + CHOOSE(CONTROL!$C$38, 0.0347, 0)</f>
        <v>14.583100000000002</v>
      </c>
      <c r="I39" s="10">
        <f>14.55 * CHOOSE(CONTROL!$C$15, $E$9, 100%, $G$9) + CHOOSE(CONTROL!$C$38, 0.0347, 0)</f>
        <v>14.584700000000002</v>
      </c>
      <c r="J39" s="29">
        <f>87.31</f>
        <v>87.31</v>
      </c>
    </row>
    <row r="40" spans="1:10" ht="15" x14ac:dyDescent="0.2">
      <c r="A40" s="16">
        <v>42125</v>
      </c>
      <c r="B40" s="10">
        <f>14.736 * CHOOSE(CONTROL!$C$15, $E$9, 100%, $G$9) + CHOOSE(CONTROL!$C$38, 0.0278, 0)</f>
        <v>14.7638</v>
      </c>
      <c r="C40" s="10">
        <f>14.55 * CHOOSE(CONTROL!$C$15, $E$9, 100%, $G$9) + CHOOSE(CONTROL!$C$38, 0.0369, 0)</f>
        <v>14.5869</v>
      </c>
      <c r="D40" s="10">
        <f>14.5422 * CHOOSE(CONTROL!$C$15, $E$9, 100%, $G$9) + CHOOSE(CONTROL!$C$38, 0.0369, 0)</f>
        <v>14.579099999999999</v>
      </c>
      <c r="E40" s="28">
        <f>14.5798 * CHOOSE(CONTROL!$C$15, $E$9, 100%, $G$9) + CHOOSE(CONTROL!$C$38, 0.0369, 0)</f>
        <v>14.6167</v>
      </c>
      <c r="F40" s="27">
        <f>14.5798 * CHOOSE(CONTROL!$C$15, $E$9, 100%, $G$9) + CHOOSE(CONTROL!$C$38, 0.0278, 0)</f>
        <v>14.6076</v>
      </c>
      <c r="G40" s="10">
        <f>14.5484 * CHOOSE(CONTROL!$C$15, $E$9, 100%, $G$9) + CHOOSE(CONTROL!$C$38, 0.0369, 0)</f>
        <v>14.5853</v>
      </c>
      <c r="H40" s="10">
        <f>14.5484 * CHOOSE(CONTROL!$C$15, $E$9, 100%, $G$9) + CHOOSE(CONTROL!$C$38, 0.0369, 0)</f>
        <v>14.5853</v>
      </c>
      <c r="I40" s="10">
        <f>14.55 * CHOOSE(CONTROL!$C$15, $E$9, 100%, $G$9) + CHOOSE(CONTROL!$C$38, 0.0369, 0)</f>
        <v>14.5869</v>
      </c>
      <c r="J40" s="29">
        <f>86.89</f>
        <v>86.89</v>
      </c>
    </row>
    <row r="41" spans="1:10" ht="15" x14ac:dyDescent="0.2">
      <c r="A41" s="16">
        <v>42156</v>
      </c>
      <c r="B41" s="10">
        <f>14.736 * CHOOSE(CONTROL!$C$15, $E$9, 100%, $G$9) + CHOOSE(CONTROL!$C$38, 0.0278, 0)</f>
        <v>14.7638</v>
      </c>
      <c r="C41" s="10">
        <f>14.55 * CHOOSE(CONTROL!$C$15, $E$9, 100%, $G$9) + CHOOSE(CONTROL!$C$38, 0.0369, 0)</f>
        <v>14.5869</v>
      </c>
      <c r="D41" s="10">
        <f>14.5422 * CHOOSE(CONTROL!$C$15, $E$9, 100%, $G$9) + CHOOSE(CONTROL!$C$38, 0.0369, 0)</f>
        <v>14.579099999999999</v>
      </c>
      <c r="E41" s="28">
        <f>14.5798 * CHOOSE(CONTROL!$C$15, $E$9, 100%, $G$9) + CHOOSE(CONTROL!$C$38, 0.0369, 0)</f>
        <v>14.6167</v>
      </c>
      <c r="F41" s="27">
        <f>14.5798 * CHOOSE(CONTROL!$C$15, $E$9, 100%, $G$9) + CHOOSE(CONTROL!$C$38, 0.0278, 0)</f>
        <v>14.6076</v>
      </c>
      <c r="G41" s="10">
        <f>14.5484 * CHOOSE(CONTROL!$C$15, $E$9, 100%, $G$9) + CHOOSE(CONTROL!$C$38, 0.0369, 0)</f>
        <v>14.5853</v>
      </c>
      <c r="H41" s="10">
        <f>14.5484 * CHOOSE(CONTROL!$C$15, $E$9, 100%, $G$9) + CHOOSE(CONTROL!$C$38, 0.0369, 0)</f>
        <v>14.5853</v>
      </c>
      <c r="I41" s="10">
        <f>14.55 * CHOOSE(CONTROL!$C$15, $E$9, 100%, $G$9) + CHOOSE(CONTROL!$C$38, 0.0369, 0)</f>
        <v>14.5869</v>
      </c>
      <c r="J41" s="29">
        <f>86.49</f>
        <v>86.49</v>
      </c>
    </row>
    <row r="42" spans="1:10" ht="15" x14ac:dyDescent="0.2">
      <c r="A42" s="16">
        <v>42186</v>
      </c>
      <c r="B42" s="10">
        <f>14.736 * CHOOSE(CONTROL!$C$15, $E$9, 100%, $G$9) + CHOOSE(CONTROL!$C$38, 0.0278, 0)</f>
        <v>14.7638</v>
      </c>
      <c r="C42" s="10">
        <f>14.55 * CHOOSE(CONTROL!$C$15, $E$9, 100%, $G$9) + CHOOSE(CONTROL!$C$38, 0.0369, 0)</f>
        <v>14.5869</v>
      </c>
      <c r="D42" s="10">
        <f>14.5422 * CHOOSE(CONTROL!$C$15, $E$9, 100%, $G$9) + CHOOSE(CONTROL!$C$38, 0.0369, 0)</f>
        <v>14.579099999999999</v>
      </c>
      <c r="E42" s="28">
        <f>14.5798 * CHOOSE(CONTROL!$C$15, $E$9, 100%, $G$9) + CHOOSE(CONTROL!$C$38, 0.0369, 0)</f>
        <v>14.6167</v>
      </c>
      <c r="F42" s="27">
        <f>14.5798 * CHOOSE(CONTROL!$C$15, $E$9, 100%, $G$9) + CHOOSE(CONTROL!$C$38, 0.0278, 0)</f>
        <v>14.6076</v>
      </c>
      <c r="G42" s="10">
        <f>14.5484 * CHOOSE(CONTROL!$C$15, $E$9, 100%, $G$9) + CHOOSE(CONTROL!$C$38, 0.0369, 0)</f>
        <v>14.5853</v>
      </c>
      <c r="H42" s="10">
        <f>14.5484 * CHOOSE(CONTROL!$C$15, $E$9, 100%, $G$9) + CHOOSE(CONTROL!$C$38, 0.0369, 0)</f>
        <v>14.5853</v>
      </c>
      <c r="I42" s="10">
        <f>14.55 * CHOOSE(CONTROL!$C$15, $E$9, 100%, $G$9) + CHOOSE(CONTROL!$C$38, 0.0369, 0)</f>
        <v>14.5869</v>
      </c>
      <c r="J42" s="29">
        <f>86</f>
        <v>86</v>
      </c>
    </row>
    <row r="43" spans="1:10" ht="15" x14ac:dyDescent="0.2">
      <c r="A43" s="16">
        <v>42217</v>
      </c>
      <c r="B43" s="10">
        <f>14.736 * CHOOSE(CONTROL!$C$15, $E$9, 100%, $G$9) + CHOOSE(CONTROL!$C$38, 0.0278, 0)</f>
        <v>14.7638</v>
      </c>
      <c r="C43" s="10">
        <f>14.55 * CHOOSE(CONTROL!$C$15, $E$9, 100%, $G$9) + CHOOSE(CONTROL!$C$38, 0.0369, 0)</f>
        <v>14.5869</v>
      </c>
      <c r="D43" s="10">
        <f>14.5422 * CHOOSE(CONTROL!$C$15, $E$9, 100%, $G$9) + CHOOSE(CONTROL!$C$38, 0.0369, 0)</f>
        <v>14.579099999999999</v>
      </c>
      <c r="E43" s="28">
        <f>14.5798 * CHOOSE(CONTROL!$C$15, $E$9, 100%, $G$9) + CHOOSE(CONTROL!$C$38, 0.0369, 0)</f>
        <v>14.6167</v>
      </c>
      <c r="F43" s="27">
        <f>14.5798 * CHOOSE(CONTROL!$C$15, $E$9, 100%, $G$9) + CHOOSE(CONTROL!$C$38, 0.0278, 0)</f>
        <v>14.6076</v>
      </c>
      <c r="G43" s="10">
        <f>14.5484 * CHOOSE(CONTROL!$C$15, $E$9, 100%, $G$9) + CHOOSE(CONTROL!$C$38, 0.0369, 0)</f>
        <v>14.5853</v>
      </c>
      <c r="H43" s="10">
        <f>14.5484 * CHOOSE(CONTROL!$C$15, $E$9, 100%, $G$9) + CHOOSE(CONTROL!$C$38, 0.0369, 0)</f>
        <v>14.5853</v>
      </c>
      <c r="I43" s="10">
        <f>14.55 * CHOOSE(CONTROL!$C$15, $E$9, 100%, $G$9) + CHOOSE(CONTROL!$C$38, 0.0369, 0)</f>
        <v>14.5869</v>
      </c>
      <c r="J43" s="29">
        <f>85.6</f>
        <v>85.6</v>
      </c>
    </row>
    <row r="44" spans="1:10" ht="15" x14ac:dyDescent="0.2">
      <c r="A44" s="16">
        <v>42248</v>
      </c>
      <c r="B44" s="10">
        <f>14.736 * CHOOSE(CONTROL!$C$15, $E$9, 100%, $G$9) + CHOOSE(CONTROL!$C$38, 0.0278, 0)</f>
        <v>14.7638</v>
      </c>
      <c r="C44" s="10">
        <f>14.55 * CHOOSE(CONTROL!$C$15, $E$9, 100%, $G$9) + CHOOSE(CONTROL!$C$38, 0.0369, 0)</f>
        <v>14.5869</v>
      </c>
      <c r="D44" s="10">
        <f>14.5422 * CHOOSE(CONTROL!$C$15, $E$9, 100%, $G$9) + CHOOSE(CONTROL!$C$38, 0.0369, 0)</f>
        <v>14.579099999999999</v>
      </c>
      <c r="E44" s="28">
        <f>14.5798 * CHOOSE(CONTROL!$C$15, $E$9, 100%, $G$9) + CHOOSE(CONTROL!$C$38, 0.0369, 0)</f>
        <v>14.6167</v>
      </c>
      <c r="F44" s="27">
        <f>14.5798 * CHOOSE(CONTROL!$C$15, $E$9, 100%, $G$9) + CHOOSE(CONTROL!$C$38, 0.0278, 0)</f>
        <v>14.6076</v>
      </c>
      <c r="G44" s="10">
        <f>14.5484 * CHOOSE(CONTROL!$C$15, $E$9, 100%, $G$9) + CHOOSE(CONTROL!$C$38, 0.0369, 0)</f>
        <v>14.5853</v>
      </c>
      <c r="H44" s="10">
        <f>14.5484 * CHOOSE(CONTROL!$C$15, $E$9, 100%, $G$9) + CHOOSE(CONTROL!$C$38, 0.0369, 0)</f>
        <v>14.5853</v>
      </c>
      <c r="I44" s="10">
        <f>14.55 * CHOOSE(CONTROL!$C$15, $E$9, 100%, $G$9) + CHOOSE(CONTROL!$C$38, 0.0369, 0)</f>
        <v>14.5869</v>
      </c>
      <c r="J44" s="29">
        <f>85.33</f>
        <v>85.33</v>
      </c>
    </row>
    <row r="45" spans="1:10" ht="15" x14ac:dyDescent="0.2">
      <c r="A45" s="16">
        <v>42278</v>
      </c>
      <c r="B45" s="10">
        <f>14.736 * CHOOSE(CONTROL!$C$15, $E$9, 100%, $G$9) + CHOOSE(CONTROL!$C$38, 0.0256, 0)</f>
        <v>14.761600000000001</v>
      </c>
      <c r="C45" s="10">
        <f>14.55 * CHOOSE(CONTROL!$C$15, $E$9, 100%, $G$9) + CHOOSE(CONTROL!$C$38, 0.0347, 0)</f>
        <v>14.584700000000002</v>
      </c>
      <c r="D45" s="10">
        <f>14.5422 * CHOOSE(CONTROL!$C$15, $E$9, 100%, $G$9) + CHOOSE(CONTROL!$C$38, 0.0347, 0)</f>
        <v>14.5769</v>
      </c>
      <c r="E45" s="28">
        <f>14.5798 * CHOOSE(CONTROL!$C$15, $E$9, 100%, $G$9) + CHOOSE(CONTROL!$C$38, 0.0347, 0)</f>
        <v>14.614500000000001</v>
      </c>
      <c r="F45" s="27">
        <f>14.5798 * CHOOSE(CONTROL!$C$15, $E$9, 100%, $G$9) + CHOOSE(CONTROL!$C$38, 0.0256, 0)</f>
        <v>14.605400000000001</v>
      </c>
      <c r="G45" s="10">
        <f>14.5484 * CHOOSE(CONTROL!$C$15, $E$9, 100%, $G$9) + CHOOSE(CONTROL!$C$38, 0.0347, 0)</f>
        <v>14.583100000000002</v>
      </c>
      <c r="H45" s="10">
        <f>14.5484 * CHOOSE(CONTROL!$C$15, $E$9, 100%, $G$9) + CHOOSE(CONTROL!$C$38, 0.0347, 0)</f>
        <v>14.583100000000002</v>
      </c>
      <c r="I45" s="10">
        <f>14.55 * CHOOSE(CONTROL!$C$15, $E$9, 100%, $G$9) + CHOOSE(CONTROL!$C$38, 0.0347, 0)</f>
        <v>14.584700000000002</v>
      </c>
      <c r="J45" s="29">
        <f>85.03</f>
        <v>85.03</v>
      </c>
    </row>
    <row r="46" spans="1:10" ht="15" x14ac:dyDescent="0.2">
      <c r="A46" s="16">
        <v>42309</v>
      </c>
      <c r="B46" s="10">
        <f>14.736 * CHOOSE(CONTROL!$C$15, $E$9, 100%, $G$9) + CHOOSE(CONTROL!$C$38, 0.0256, 0)</f>
        <v>14.761600000000001</v>
      </c>
      <c r="C46" s="10">
        <f>14.55 * CHOOSE(CONTROL!$C$15, $E$9, 100%, $G$9) + CHOOSE(CONTROL!$C$38, 0.0347, 0)</f>
        <v>14.584700000000002</v>
      </c>
      <c r="D46" s="10">
        <f>14.5422 * CHOOSE(CONTROL!$C$15, $E$9, 100%, $G$9) + CHOOSE(CONTROL!$C$38, 0.0347, 0)</f>
        <v>14.5769</v>
      </c>
      <c r="E46" s="28">
        <f>14.5798 * CHOOSE(CONTROL!$C$15, $E$9, 100%, $G$9) + CHOOSE(CONTROL!$C$38, 0.0347, 0)</f>
        <v>14.614500000000001</v>
      </c>
      <c r="F46" s="27">
        <f>14.5798 * CHOOSE(CONTROL!$C$15, $E$9, 100%, $G$9) + CHOOSE(CONTROL!$C$38, 0.0256, 0)</f>
        <v>14.605400000000001</v>
      </c>
      <c r="G46" s="10">
        <f>14.5484 * CHOOSE(CONTROL!$C$15, $E$9, 100%, $G$9) + CHOOSE(CONTROL!$C$38, 0.0347, 0)</f>
        <v>14.583100000000002</v>
      </c>
      <c r="H46" s="10">
        <f>14.5484 * CHOOSE(CONTROL!$C$15, $E$9, 100%, $G$9) + CHOOSE(CONTROL!$C$38, 0.0347, 0)</f>
        <v>14.583100000000002</v>
      </c>
      <c r="I46" s="10">
        <f>14.55 * CHOOSE(CONTROL!$C$15, $E$9, 100%, $G$9) + CHOOSE(CONTROL!$C$38, 0.0347, 0)</f>
        <v>14.584700000000002</v>
      </c>
      <c r="J46" s="29">
        <f>84.78</f>
        <v>84.78</v>
      </c>
    </row>
    <row r="47" spans="1:10" ht="15" x14ac:dyDescent="0.2">
      <c r="A47" s="16">
        <v>42339</v>
      </c>
      <c r="B47" s="10">
        <f>14.736 * CHOOSE(CONTROL!$C$15, $E$9, 100%, $G$9) + CHOOSE(CONTROL!$C$38, 0.0256, 0)</f>
        <v>14.761600000000001</v>
      </c>
      <c r="C47" s="10">
        <f>14.55 * CHOOSE(CONTROL!$C$15, $E$9, 100%, $G$9) + CHOOSE(CONTROL!$C$38, 0.0347, 0)</f>
        <v>14.584700000000002</v>
      </c>
      <c r="D47" s="10">
        <f>14.5422 * CHOOSE(CONTROL!$C$15, $E$9, 100%, $G$9) + CHOOSE(CONTROL!$C$38, 0.0347, 0)</f>
        <v>14.5769</v>
      </c>
      <c r="E47" s="28">
        <f>14.5798 * CHOOSE(CONTROL!$C$15, $E$9, 100%, $G$9) + CHOOSE(CONTROL!$C$38, 0.0347, 0)</f>
        <v>14.614500000000001</v>
      </c>
      <c r="F47" s="27">
        <f>14.5798 * CHOOSE(CONTROL!$C$15, $E$9, 100%, $G$9) + CHOOSE(CONTROL!$C$38, 0.0256, 0)</f>
        <v>14.605400000000001</v>
      </c>
      <c r="G47" s="10">
        <f>14.5484 * CHOOSE(CONTROL!$C$15, $E$9, 100%, $G$9) + CHOOSE(CONTROL!$C$38, 0.0347, 0)</f>
        <v>14.583100000000002</v>
      </c>
      <c r="H47" s="10">
        <f>14.5484 * CHOOSE(CONTROL!$C$15, $E$9, 100%, $G$9) + CHOOSE(CONTROL!$C$38, 0.0347, 0)</f>
        <v>14.583100000000002</v>
      </c>
      <c r="I47" s="10">
        <f>14.55 * CHOOSE(CONTROL!$C$15, $E$9, 100%, $G$9) + CHOOSE(CONTROL!$C$38, 0.0347, 0)</f>
        <v>14.584700000000002</v>
      </c>
      <c r="J47" s="29">
        <f>84.55</f>
        <v>84.55</v>
      </c>
    </row>
    <row r="48" spans="1:10" ht="15" x14ac:dyDescent="0.2">
      <c r="A48" s="16">
        <v>42370</v>
      </c>
      <c r="B48" s="10">
        <f>13.9907 * CHOOSE(CONTROL!$C$15, $E$9, 100%, $G$9) + CHOOSE(CONTROL!$C$38, 0.0256, 0)</f>
        <v>14.016300000000001</v>
      </c>
      <c r="C48" s="10">
        <f>13.9105 * CHOOSE(CONTROL!$C$15, $E$9, 100%, $G$9) + CHOOSE(CONTROL!$C$38, 0.0347, 0)</f>
        <v>13.945200000000002</v>
      </c>
      <c r="D48" s="10">
        <f>13.9027 * CHOOSE(CONTROL!$C$15, $E$9, 100%, $G$9) + CHOOSE(CONTROL!$C$38, 0.0347, 0)</f>
        <v>13.9374</v>
      </c>
      <c r="E48" s="28">
        <f>13.8345 * CHOOSE(CONTROL!$C$15, $E$9, 100%, $G$9) + CHOOSE(CONTROL!$C$38, 0.0347, 0)</f>
        <v>13.869200000000001</v>
      </c>
      <c r="F48" s="27">
        <f>13.8345 * CHOOSE(CONTROL!$C$15, $E$9, 100%, $G$9) + CHOOSE(CONTROL!$C$38, 0.0256, 0)</f>
        <v>13.860100000000001</v>
      </c>
      <c r="G48" s="10">
        <f>13.909 * CHOOSE(CONTROL!$C$15, $E$9, 100%, $G$9) + CHOOSE(CONTROL!$C$38, 0.0347, 0)</f>
        <v>13.943700000000002</v>
      </c>
      <c r="H48" s="10">
        <f>13.909 * CHOOSE(CONTROL!$C$15, $E$9, 100%, $G$9) + CHOOSE(CONTROL!$C$38, 0.0347, 0)</f>
        <v>13.943700000000002</v>
      </c>
      <c r="I48" s="10">
        <f>13.9105 * CHOOSE(CONTROL!$C$15, $E$9, 100%, $G$9) + CHOOSE(CONTROL!$C$38, 0.0347, 0)</f>
        <v>13.945200000000002</v>
      </c>
      <c r="J48" s="29">
        <f>84.12</f>
        <v>84.12</v>
      </c>
    </row>
    <row r="49" spans="1:10" ht="15" x14ac:dyDescent="0.2">
      <c r="A49" s="16">
        <v>42401</v>
      </c>
      <c r="B49" s="10">
        <f>14.0189 * CHOOSE(CONTROL!$C$15, $E$9, 100%, $G$9) + CHOOSE(CONTROL!$C$38, 0.0256, 0)</f>
        <v>14.044500000000001</v>
      </c>
      <c r="C49" s="10">
        <f>13.9105 * CHOOSE(CONTROL!$C$15, $E$9, 100%, $G$9) + CHOOSE(CONTROL!$C$38, 0.0347, 0)</f>
        <v>13.945200000000002</v>
      </c>
      <c r="D49" s="10">
        <f>13.9027 * CHOOSE(CONTROL!$C$15, $E$9, 100%, $G$9) + CHOOSE(CONTROL!$C$38, 0.0347, 0)</f>
        <v>13.9374</v>
      </c>
      <c r="E49" s="28">
        <f>13.8626 * CHOOSE(CONTROL!$C$15, $E$9, 100%, $G$9) + CHOOSE(CONTROL!$C$38, 0.0347, 0)</f>
        <v>13.897300000000001</v>
      </c>
      <c r="F49" s="27">
        <f>13.8626 * CHOOSE(CONTROL!$C$15, $E$9, 100%, $G$9) + CHOOSE(CONTROL!$C$38, 0.0256, 0)</f>
        <v>13.888200000000001</v>
      </c>
      <c r="G49" s="10">
        <f>13.909 * CHOOSE(CONTROL!$C$15, $E$9, 100%, $G$9) + CHOOSE(CONTROL!$C$38, 0.0347, 0)</f>
        <v>13.943700000000002</v>
      </c>
      <c r="H49" s="10">
        <f>13.909 * CHOOSE(CONTROL!$C$15, $E$9, 100%, $G$9) + CHOOSE(CONTROL!$C$38, 0.0347, 0)</f>
        <v>13.943700000000002</v>
      </c>
      <c r="I49" s="10">
        <f>13.9105 * CHOOSE(CONTROL!$C$15, $E$9, 100%, $G$9) + CHOOSE(CONTROL!$C$38, 0.0347, 0)</f>
        <v>13.945200000000002</v>
      </c>
      <c r="J49" s="29">
        <f>83.71</f>
        <v>83.71</v>
      </c>
    </row>
    <row r="50" spans="1:10" ht="15" x14ac:dyDescent="0.2">
      <c r="A50" s="16">
        <v>42430</v>
      </c>
      <c r="B50" s="10">
        <f>14.0392 * CHOOSE(CONTROL!$C$15, $E$9, 100%, $G$9) + CHOOSE(CONTROL!$C$38, 0.0256, 0)</f>
        <v>14.0648</v>
      </c>
      <c r="C50" s="10">
        <f>13.9105 * CHOOSE(CONTROL!$C$15, $E$9, 100%, $G$9) + CHOOSE(CONTROL!$C$38, 0.0347, 0)</f>
        <v>13.945200000000002</v>
      </c>
      <c r="D50" s="10">
        <f>13.9027 * CHOOSE(CONTROL!$C$15, $E$9, 100%, $G$9) + CHOOSE(CONTROL!$C$38, 0.0347, 0)</f>
        <v>13.9374</v>
      </c>
      <c r="E50" s="28">
        <f>13.8829 * CHOOSE(CONTROL!$C$15, $E$9, 100%, $G$9) + CHOOSE(CONTROL!$C$38, 0.0347, 0)</f>
        <v>13.9176</v>
      </c>
      <c r="F50" s="27">
        <f>13.8829 * CHOOSE(CONTROL!$C$15, $E$9, 100%, $G$9) + CHOOSE(CONTROL!$C$38, 0.0256, 0)</f>
        <v>13.9085</v>
      </c>
      <c r="G50" s="10">
        <f>13.909 * CHOOSE(CONTROL!$C$15, $E$9, 100%, $G$9) + CHOOSE(CONTROL!$C$38, 0.0347, 0)</f>
        <v>13.943700000000002</v>
      </c>
      <c r="H50" s="10">
        <f>13.909 * CHOOSE(CONTROL!$C$15, $E$9, 100%, $G$9) + CHOOSE(CONTROL!$C$38, 0.0347, 0)</f>
        <v>13.943700000000002</v>
      </c>
      <c r="I50" s="10">
        <f>13.9105 * CHOOSE(CONTROL!$C$15, $E$9, 100%, $G$9) + CHOOSE(CONTROL!$C$38, 0.0347, 0)</f>
        <v>13.945200000000002</v>
      </c>
      <c r="J50" s="29">
        <f>83.32</f>
        <v>83.32</v>
      </c>
    </row>
    <row r="51" spans="1:10" ht="15" x14ac:dyDescent="0.2">
      <c r="A51" s="16">
        <v>42461</v>
      </c>
      <c r="B51" s="10">
        <f>14.0595 * CHOOSE(CONTROL!$C$15, $E$9, 100%, $G$9) + CHOOSE(CONTROL!$C$38, 0.0256, 0)</f>
        <v>14.085100000000001</v>
      </c>
      <c r="C51" s="10">
        <f>13.7587 * CHOOSE(CONTROL!$C$15, $E$9, 100%, $G$9) + CHOOSE(CONTROL!$C$38, 0.0347, 0)</f>
        <v>13.7934</v>
      </c>
      <c r="D51" s="10">
        <f>13.7508 * CHOOSE(CONTROL!$C$15, $E$9, 100%, $G$9) + CHOOSE(CONTROL!$C$38, 0.0347, 0)</f>
        <v>13.785500000000001</v>
      </c>
      <c r="E51" s="28">
        <f>13.9032 * CHOOSE(CONTROL!$C$15, $E$9, 100%, $G$9) + CHOOSE(CONTROL!$C$38, 0.0347, 0)</f>
        <v>13.937900000000001</v>
      </c>
      <c r="F51" s="27">
        <f>13.9032 * CHOOSE(CONTROL!$C$15, $E$9, 100%, $G$9) + CHOOSE(CONTROL!$C$38, 0.0256, 0)</f>
        <v>13.928800000000001</v>
      </c>
      <c r="G51" s="10">
        <f>13.7571 * CHOOSE(CONTROL!$C$15, $E$9, 100%, $G$9) + CHOOSE(CONTROL!$C$38, 0.0347, 0)</f>
        <v>13.7918</v>
      </c>
      <c r="H51" s="10">
        <f>13.7571 * CHOOSE(CONTROL!$C$15, $E$9, 100%, $G$9) + CHOOSE(CONTROL!$C$38, 0.0347, 0)</f>
        <v>13.7918</v>
      </c>
      <c r="I51" s="10">
        <f>13.7587 * CHOOSE(CONTROL!$C$15, $E$9, 100%, $G$9) + CHOOSE(CONTROL!$C$38, 0.0347, 0)</f>
        <v>13.7934</v>
      </c>
      <c r="J51" s="29">
        <f>82.98</f>
        <v>82.98</v>
      </c>
    </row>
    <row r="52" spans="1:10" ht="15" x14ac:dyDescent="0.2">
      <c r="A52" s="16">
        <v>42491</v>
      </c>
      <c r="B52" s="10">
        <f>14.0767 * CHOOSE(CONTROL!$C$15, $E$9, 100%, $G$9) + CHOOSE(CONTROL!$C$38, 0.0278, 0)</f>
        <v>14.1045</v>
      </c>
      <c r="C52" s="10">
        <f>13.7966 * CHOOSE(CONTROL!$C$15, $E$9, 100%, $G$9) + CHOOSE(CONTROL!$C$38, 0.0369, 0)</f>
        <v>13.833499999999999</v>
      </c>
      <c r="D52" s="10">
        <f>13.7888 * CHOOSE(CONTROL!$C$15, $E$9, 100%, $G$9) + CHOOSE(CONTROL!$C$38, 0.0369, 0)</f>
        <v>13.825699999999999</v>
      </c>
      <c r="E52" s="28">
        <f>13.9204 * CHOOSE(CONTROL!$C$15, $E$9, 100%, $G$9) + CHOOSE(CONTROL!$C$38, 0.0369, 0)</f>
        <v>13.9573</v>
      </c>
      <c r="F52" s="27">
        <f>13.9204 * CHOOSE(CONTROL!$C$15, $E$9, 100%, $G$9) + CHOOSE(CONTROL!$C$38, 0.0278, 0)</f>
        <v>13.9482</v>
      </c>
      <c r="G52" s="10">
        <f>13.7951 * CHOOSE(CONTROL!$C$15, $E$9, 100%, $G$9) + CHOOSE(CONTROL!$C$38, 0.0369, 0)</f>
        <v>13.831999999999999</v>
      </c>
      <c r="H52" s="10">
        <f>13.7951 * CHOOSE(CONTROL!$C$15, $E$9, 100%, $G$9) + CHOOSE(CONTROL!$C$38, 0.0369, 0)</f>
        <v>13.831999999999999</v>
      </c>
      <c r="I52" s="10">
        <f>13.7966 * CHOOSE(CONTROL!$C$15, $E$9, 100%, $G$9) + CHOOSE(CONTROL!$C$38, 0.0369, 0)</f>
        <v>13.833499999999999</v>
      </c>
      <c r="J52" s="29">
        <f>82.67</f>
        <v>82.67</v>
      </c>
    </row>
    <row r="53" spans="1:10" ht="15" x14ac:dyDescent="0.2">
      <c r="A53" s="16">
        <v>42522</v>
      </c>
      <c r="B53" s="10">
        <f>14.0954 * CHOOSE(CONTROL!$C$15, $E$9, 100%, $G$9) + CHOOSE(CONTROL!$C$38, 0.0278, 0)</f>
        <v>14.123199999999999</v>
      </c>
      <c r="C53" s="10">
        <f>13.8346 * CHOOSE(CONTROL!$C$15, $E$9, 100%, $G$9) + CHOOSE(CONTROL!$C$38, 0.0369, 0)</f>
        <v>13.871499999999999</v>
      </c>
      <c r="D53" s="10">
        <f>13.8268 * CHOOSE(CONTROL!$C$15, $E$9, 100%, $G$9) + CHOOSE(CONTROL!$C$38, 0.0369, 0)</f>
        <v>13.8637</v>
      </c>
      <c r="E53" s="28">
        <f>13.9392 * CHOOSE(CONTROL!$C$15, $E$9, 100%, $G$9) + CHOOSE(CONTROL!$C$38, 0.0369, 0)</f>
        <v>13.976099999999999</v>
      </c>
      <c r="F53" s="27">
        <f>13.9392 * CHOOSE(CONTROL!$C$15, $E$9, 100%, $G$9) + CHOOSE(CONTROL!$C$38, 0.0278, 0)</f>
        <v>13.966999999999999</v>
      </c>
      <c r="G53" s="10">
        <f>13.833 * CHOOSE(CONTROL!$C$15, $E$9, 100%, $G$9) + CHOOSE(CONTROL!$C$38, 0.0369, 0)</f>
        <v>13.869899999999999</v>
      </c>
      <c r="H53" s="10">
        <f>13.833 * CHOOSE(CONTROL!$C$15, $E$9, 100%, $G$9) + CHOOSE(CONTROL!$C$38, 0.0369, 0)</f>
        <v>13.869899999999999</v>
      </c>
      <c r="I53" s="10">
        <f>13.8346 * CHOOSE(CONTROL!$C$15, $E$9, 100%, $G$9) + CHOOSE(CONTROL!$C$38, 0.0369, 0)</f>
        <v>13.871499999999999</v>
      </c>
      <c r="J53" s="29">
        <f>82.39</f>
        <v>82.39</v>
      </c>
    </row>
    <row r="54" spans="1:10" ht="15" x14ac:dyDescent="0.2">
      <c r="A54" s="16">
        <v>42552</v>
      </c>
      <c r="B54" s="10">
        <f>14.1204 * CHOOSE(CONTROL!$C$15, $E$9, 100%, $G$9) + CHOOSE(CONTROL!$C$38, 0.0278, 0)</f>
        <v>14.148199999999999</v>
      </c>
      <c r="C54" s="10">
        <f>13.8726 * CHOOSE(CONTROL!$C$15, $E$9, 100%, $G$9) + CHOOSE(CONTROL!$C$38, 0.0369, 0)</f>
        <v>13.9095</v>
      </c>
      <c r="D54" s="10">
        <f>13.8648 * CHOOSE(CONTROL!$C$15, $E$9, 100%, $G$9) + CHOOSE(CONTROL!$C$38, 0.0369, 0)</f>
        <v>13.9017</v>
      </c>
      <c r="E54" s="28">
        <f>13.9642 * CHOOSE(CONTROL!$C$15, $E$9, 100%, $G$9) + CHOOSE(CONTROL!$C$38, 0.0369, 0)</f>
        <v>14.001099999999999</v>
      </c>
      <c r="F54" s="27">
        <f>13.9642 * CHOOSE(CONTROL!$C$15, $E$9, 100%, $G$9) + CHOOSE(CONTROL!$C$38, 0.0278, 0)</f>
        <v>13.991999999999999</v>
      </c>
      <c r="G54" s="10">
        <f>13.871 * CHOOSE(CONTROL!$C$15, $E$9, 100%, $G$9) + CHOOSE(CONTROL!$C$38, 0.0369, 0)</f>
        <v>13.9079</v>
      </c>
      <c r="H54" s="10">
        <f>13.871 * CHOOSE(CONTROL!$C$15, $E$9, 100%, $G$9) + CHOOSE(CONTROL!$C$38, 0.0369, 0)</f>
        <v>13.9079</v>
      </c>
      <c r="I54" s="10">
        <f>13.8726 * CHOOSE(CONTROL!$C$15, $E$9, 100%, $G$9) + CHOOSE(CONTROL!$C$38, 0.0369, 0)</f>
        <v>13.9095</v>
      </c>
      <c r="J54" s="29">
        <f>82.06</f>
        <v>82.06</v>
      </c>
    </row>
    <row r="55" spans="1:10" ht="15" x14ac:dyDescent="0.2">
      <c r="A55" s="16">
        <v>42583</v>
      </c>
      <c r="B55" s="10">
        <f>14.136 * CHOOSE(CONTROL!$C$15, $E$9, 100%, $G$9) + CHOOSE(CONTROL!$C$38, 0.0278, 0)</f>
        <v>14.163799999999998</v>
      </c>
      <c r="C55" s="10">
        <f>13.9105 * CHOOSE(CONTROL!$C$15, $E$9, 100%, $G$9) + CHOOSE(CONTROL!$C$38, 0.0369, 0)</f>
        <v>13.9474</v>
      </c>
      <c r="D55" s="10">
        <f>13.9027 * CHOOSE(CONTROL!$C$15, $E$9, 100%, $G$9) + CHOOSE(CONTROL!$C$38, 0.0369, 0)</f>
        <v>13.939599999999999</v>
      </c>
      <c r="E55" s="28">
        <f>13.9798 * CHOOSE(CONTROL!$C$15, $E$9, 100%, $G$9) + CHOOSE(CONTROL!$C$38, 0.0369, 0)</f>
        <v>14.016699999999998</v>
      </c>
      <c r="F55" s="27">
        <f>13.9798 * CHOOSE(CONTROL!$C$15, $E$9, 100%, $G$9) + CHOOSE(CONTROL!$C$38, 0.0278, 0)</f>
        <v>14.007599999999998</v>
      </c>
      <c r="G55" s="10">
        <f>13.909 * CHOOSE(CONTROL!$C$15, $E$9, 100%, $G$9) + CHOOSE(CONTROL!$C$38, 0.0369, 0)</f>
        <v>13.9459</v>
      </c>
      <c r="H55" s="10">
        <f>13.909 * CHOOSE(CONTROL!$C$15, $E$9, 100%, $G$9) + CHOOSE(CONTROL!$C$38, 0.0369, 0)</f>
        <v>13.9459</v>
      </c>
      <c r="I55" s="10">
        <f>13.9105 * CHOOSE(CONTROL!$C$15, $E$9, 100%, $G$9) + CHOOSE(CONTROL!$C$38, 0.0369, 0)</f>
        <v>13.9474</v>
      </c>
      <c r="J55" s="29">
        <f>81.76</f>
        <v>81.760000000000005</v>
      </c>
    </row>
    <row r="56" spans="1:10" ht="15" x14ac:dyDescent="0.2">
      <c r="A56" s="16">
        <v>42614</v>
      </c>
      <c r="B56" s="10">
        <f>14.136 * CHOOSE(CONTROL!$C$15, $E$9, 100%, $G$9) + CHOOSE(CONTROL!$C$38, 0.0278, 0)</f>
        <v>14.163799999999998</v>
      </c>
      <c r="C56" s="10">
        <f>13.9485 * CHOOSE(CONTROL!$C$15, $E$9, 100%, $G$9) + CHOOSE(CONTROL!$C$38, 0.0369, 0)</f>
        <v>13.985399999999998</v>
      </c>
      <c r="D56" s="10">
        <f>13.9407 * CHOOSE(CONTROL!$C$15, $E$9, 100%, $G$9) + CHOOSE(CONTROL!$C$38, 0.0369, 0)</f>
        <v>13.977599999999999</v>
      </c>
      <c r="E56" s="28">
        <f>13.9798 * CHOOSE(CONTROL!$C$15, $E$9, 100%, $G$9) + CHOOSE(CONTROL!$C$38, 0.0369, 0)</f>
        <v>14.016699999999998</v>
      </c>
      <c r="F56" s="27">
        <f>13.9798 * CHOOSE(CONTROL!$C$15, $E$9, 100%, $G$9) + CHOOSE(CONTROL!$C$38, 0.0278, 0)</f>
        <v>14.007599999999998</v>
      </c>
      <c r="G56" s="10">
        <f>13.947 * CHOOSE(CONTROL!$C$15, $E$9, 100%, $G$9) + CHOOSE(CONTROL!$C$38, 0.0369, 0)</f>
        <v>13.983899999999998</v>
      </c>
      <c r="H56" s="10">
        <f>13.947 * CHOOSE(CONTROL!$C$15, $E$9, 100%, $G$9) + CHOOSE(CONTROL!$C$38, 0.0369, 0)</f>
        <v>13.983899999999998</v>
      </c>
      <c r="I56" s="10">
        <f>13.9485 * CHOOSE(CONTROL!$C$15, $E$9, 100%, $G$9) + CHOOSE(CONTROL!$C$38, 0.0369, 0)</f>
        <v>13.985399999999998</v>
      </c>
      <c r="J56" s="29">
        <f>81.49</f>
        <v>81.489999999999995</v>
      </c>
    </row>
    <row r="57" spans="1:10" ht="15" x14ac:dyDescent="0.2">
      <c r="A57" s="16">
        <v>42644</v>
      </c>
      <c r="B57" s="10">
        <f>14.1485 * CHOOSE(CONTROL!$C$15, $E$9, 100%, $G$9) + CHOOSE(CONTROL!$C$38, 0.0256, 0)</f>
        <v>14.174100000000001</v>
      </c>
      <c r="C57" s="10">
        <f>13.9865 * CHOOSE(CONTROL!$C$15, $E$9, 100%, $G$9) + CHOOSE(CONTROL!$C$38, 0.0347, 0)</f>
        <v>14.0212</v>
      </c>
      <c r="D57" s="10">
        <f>13.9787 * CHOOSE(CONTROL!$C$15, $E$9, 100%, $G$9) + CHOOSE(CONTROL!$C$38, 0.0347, 0)</f>
        <v>14.013400000000001</v>
      </c>
      <c r="E57" s="28">
        <f>13.9923 * CHOOSE(CONTROL!$C$15, $E$9, 100%, $G$9) + CHOOSE(CONTROL!$C$38, 0.0347, 0)</f>
        <v>14.027000000000001</v>
      </c>
      <c r="F57" s="27">
        <f>13.9923 * CHOOSE(CONTROL!$C$15, $E$9, 100%, $G$9) + CHOOSE(CONTROL!$C$38, 0.0256, 0)</f>
        <v>14.017900000000001</v>
      </c>
      <c r="G57" s="10">
        <f>13.9849 * CHOOSE(CONTROL!$C$15, $E$9, 100%, $G$9) + CHOOSE(CONTROL!$C$38, 0.0347, 0)</f>
        <v>14.019600000000001</v>
      </c>
      <c r="H57" s="10">
        <f>13.9849 * CHOOSE(CONTROL!$C$15, $E$9, 100%, $G$9) + CHOOSE(CONTROL!$C$38, 0.0347, 0)</f>
        <v>14.019600000000001</v>
      </c>
      <c r="I57" s="10">
        <f>13.9865 * CHOOSE(CONTROL!$C$15, $E$9, 100%, $G$9) + CHOOSE(CONTROL!$C$38, 0.0347, 0)</f>
        <v>14.0212</v>
      </c>
      <c r="J57" s="29">
        <f>81.27</f>
        <v>81.27</v>
      </c>
    </row>
    <row r="58" spans="1:10" ht="15" x14ac:dyDescent="0.2">
      <c r="A58" s="16">
        <v>42675</v>
      </c>
      <c r="B58" s="10">
        <f>14.161 * CHOOSE(CONTROL!$C$15, $E$9, 100%, $G$9) + CHOOSE(CONTROL!$C$38, 0.0256, 0)</f>
        <v>14.1866</v>
      </c>
      <c r="C58" s="10">
        <f>14.0245 * CHOOSE(CONTROL!$C$15, $E$9, 100%, $G$9) + CHOOSE(CONTROL!$C$38, 0.0347, 0)</f>
        <v>14.059200000000001</v>
      </c>
      <c r="D58" s="10">
        <f>14.0167 * CHOOSE(CONTROL!$C$15, $E$9, 100%, $G$9) + CHOOSE(CONTROL!$C$38, 0.0347, 0)</f>
        <v>14.051400000000001</v>
      </c>
      <c r="E58" s="28">
        <f>14.0048 * CHOOSE(CONTROL!$C$15, $E$9, 100%, $G$9) + CHOOSE(CONTROL!$C$38, 0.0347, 0)</f>
        <v>14.0395</v>
      </c>
      <c r="F58" s="27">
        <f>14.0048 * CHOOSE(CONTROL!$C$15, $E$9, 100%, $G$9) + CHOOSE(CONTROL!$C$38, 0.0256, 0)</f>
        <v>14.0304</v>
      </c>
      <c r="G58" s="10">
        <f>14.0229 * CHOOSE(CONTROL!$C$15, $E$9, 100%, $G$9) + CHOOSE(CONTROL!$C$38, 0.0347, 0)</f>
        <v>14.057600000000001</v>
      </c>
      <c r="H58" s="10">
        <f>14.0229 * CHOOSE(CONTROL!$C$15, $E$9, 100%, $G$9) + CHOOSE(CONTROL!$C$38, 0.0347, 0)</f>
        <v>14.057600000000001</v>
      </c>
      <c r="I58" s="10">
        <f>14.0245 * CHOOSE(CONTROL!$C$15, $E$9, 100%, $G$9) + CHOOSE(CONTROL!$C$38, 0.0347, 0)</f>
        <v>14.059200000000001</v>
      </c>
      <c r="J58" s="29">
        <f>81.1</f>
        <v>81.099999999999994</v>
      </c>
    </row>
    <row r="59" spans="1:10" ht="15" x14ac:dyDescent="0.2">
      <c r="A59" s="16">
        <v>42705</v>
      </c>
      <c r="B59" s="10">
        <f>14.1767 * CHOOSE(CONTROL!$C$15, $E$9, 100%, $G$9) + CHOOSE(CONTROL!$C$38, 0.0256, 0)</f>
        <v>14.202300000000001</v>
      </c>
      <c r="C59" s="10">
        <f>14.0624 * CHOOSE(CONTROL!$C$15, $E$9, 100%, $G$9) + CHOOSE(CONTROL!$C$38, 0.0347, 0)</f>
        <v>14.097100000000001</v>
      </c>
      <c r="D59" s="10">
        <f>14.0546 * CHOOSE(CONTROL!$C$15, $E$9, 100%, $G$9) + CHOOSE(CONTROL!$C$38, 0.0347, 0)</f>
        <v>14.089300000000001</v>
      </c>
      <c r="E59" s="28">
        <f>14.0204 * CHOOSE(CONTROL!$C$15, $E$9, 100%, $G$9) + CHOOSE(CONTROL!$C$38, 0.0347, 0)</f>
        <v>14.055100000000001</v>
      </c>
      <c r="F59" s="27">
        <f>14.0204 * CHOOSE(CONTROL!$C$15, $E$9, 100%, $G$9) + CHOOSE(CONTROL!$C$38, 0.0256, 0)</f>
        <v>14.046000000000001</v>
      </c>
      <c r="G59" s="10">
        <f>14.0609 * CHOOSE(CONTROL!$C$15, $E$9, 100%, $G$9) + CHOOSE(CONTROL!$C$38, 0.0347, 0)</f>
        <v>14.095600000000001</v>
      </c>
      <c r="H59" s="10">
        <f>14.0609 * CHOOSE(CONTROL!$C$15, $E$9, 100%, $G$9) + CHOOSE(CONTROL!$C$38, 0.0347, 0)</f>
        <v>14.095600000000001</v>
      </c>
      <c r="I59" s="10">
        <f>14.0624 * CHOOSE(CONTROL!$C$15, $E$9, 100%, $G$9) + CHOOSE(CONTROL!$C$38, 0.0347, 0)</f>
        <v>14.097100000000001</v>
      </c>
      <c r="J59" s="29">
        <f>80.97</f>
        <v>80.97</v>
      </c>
    </row>
    <row r="60" spans="1:10" ht="15" x14ac:dyDescent="0.2">
      <c r="A60" s="16">
        <v>42736</v>
      </c>
      <c r="B60" s="10">
        <f>13.4564 * CHOOSE(CONTROL!$C$15, $E$9, 100%, $G$9) + CHOOSE(CONTROL!$C$38, 0.0256, 0)</f>
        <v>13.482000000000001</v>
      </c>
      <c r="C60" s="10">
        <f>13.4694 * CHOOSE(CONTROL!$C$15, $E$9, 100%, $G$9) + CHOOSE(CONTROL!$C$38, 0.0347, 0)</f>
        <v>13.504100000000001</v>
      </c>
      <c r="D60" s="10">
        <f>13.4616 * CHOOSE(CONTROL!$C$15, $E$9, 100%, $G$9) + CHOOSE(CONTROL!$C$38, 0.0347, 0)</f>
        <v>13.496300000000002</v>
      </c>
      <c r="E60" s="28">
        <f>13.3001 * CHOOSE(CONTROL!$C$15, $E$9, 100%, $G$9) + CHOOSE(CONTROL!$C$38, 0.0347, 0)</f>
        <v>13.334800000000001</v>
      </c>
      <c r="F60" s="27">
        <f>13.3001 * CHOOSE(CONTROL!$C$15, $E$9, 100%, $G$9) + CHOOSE(CONTROL!$C$38, 0.0256, 0)</f>
        <v>13.325700000000001</v>
      </c>
      <c r="G60" s="10">
        <f>13.4678 * CHOOSE(CONTROL!$C$15, $E$9, 100%, $G$9) + CHOOSE(CONTROL!$C$38, 0.0347, 0)</f>
        <v>13.502500000000001</v>
      </c>
      <c r="H60" s="10">
        <f>13.4678 * CHOOSE(CONTROL!$C$15, $E$9, 100%, $G$9) + CHOOSE(CONTROL!$C$38, 0.0347, 0)</f>
        <v>13.502500000000001</v>
      </c>
      <c r="I60" s="10">
        <f>13.4694 * CHOOSE(CONTROL!$C$15, $E$9, 100%, $G$9) + CHOOSE(CONTROL!$C$38, 0.0347, 0)</f>
        <v>13.504100000000001</v>
      </c>
      <c r="J60" s="29">
        <f>85.5025</f>
        <v>85.502499999999998</v>
      </c>
    </row>
    <row r="61" spans="1:10" ht="15" x14ac:dyDescent="0.2">
      <c r="A61" s="16">
        <v>42767</v>
      </c>
      <c r="B61" s="10">
        <f>13.5079 * CHOOSE(CONTROL!$C$15, $E$9, 100%, $G$9) + CHOOSE(CONTROL!$C$38, 0.0256, 0)</f>
        <v>13.5335</v>
      </c>
      <c r="C61" s="10">
        <f>13.4694 * CHOOSE(CONTROL!$C$15, $E$9, 100%, $G$9) + CHOOSE(CONTROL!$C$38, 0.0347, 0)</f>
        <v>13.504100000000001</v>
      </c>
      <c r="D61" s="10">
        <f>13.4616 * CHOOSE(CONTROL!$C$15, $E$9, 100%, $G$9) + CHOOSE(CONTROL!$C$38, 0.0347, 0)</f>
        <v>13.496300000000002</v>
      </c>
      <c r="E61" s="28">
        <f>13.3517 * CHOOSE(CONTROL!$C$15, $E$9, 100%, $G$9) + CHOOSE(CONTROL!$C$38, 0.0347, 0)</f>
        <v>13.3864</v>
      </c>
      <c r="F61" s="27">
        <f>13.3517 * CHOOSE(CONTROL!$C$15, $E$9, 100%, $G$9) + CHOOSE(CONTROL!$C$38, 0.0256, 0)</f>
        <v>13.3773</v>
      </c>
      <c r="G61" s="10">
        <f>13.4678 * CHOOSE(CONTROL!$C$15, $E$9, 100%, $G$9) + CHOOSE(CONTROL!$C$38, 0.0347, 0)</f>
        <v>13.502500000000001</v>
      </c>
      <c r="H61" s="10">
        <f>13.4678 * CHOOSE(CONTROL!$C$15, $E$9, 100%, $G$9) + CHOOSE(CONTROL!$C$38, 0.0347, 0)</f>
        <v>13.502500000000001</v>
      </c>
      <c r="I61" s="10">
        <f>13.4694 * CHOOSE(CONTROL!$C$15, $E$9, 100%, $G$9) + CHOOSE(CONTROL!$C$38, 0.0347, 0)</f>
        <v>13.504100000000001</v>
      </c>
      <c r="J61" s="29">
        <f>85.2648</f>
        <v>85.264799999999994</v>
      </c>
    </row>
    <row r="62" spans="1:10" ht="15" x14ac:dyDescent="0.2">
      <c r="A62" s="16">
        <v>42795</v>
      </c>
      <c r="B62" s="10">
        <f>13.5501 * CHOOSE(CONTROL!$C$15, $E$9, 100%, $G$9) + CHOOSE(CONTROL!$C$38, 0.0256, 0)</f>
        <v>13.575700000000001</v>
      </c>
      <c r="C62" s="10">
        <f>13.4694 * CHOOSE(CONTROL!$C$15, $E$9, 100%, $G$9) + CHOOSE(CONTROL!$C$38, 0.0347, 0)</f>
        <v>13.504100000000001</v>
      </c>
      <c r="D62" s="10">
        <f>13.4616 * CHOOSE(CONTROL!$C$15, $E$9, 100%, $G$9) + CHOOSE(CONTROL!$C$38, 0.0347, 0)</f>
        <v>13.496300000000002</v>
      </c>
      <c r="E62" s="28">
        <f>13.3939 * CHOOSE(CONTROL!$C$15, $E$9, 100%, $G$9) + CHOOSE(CONTROL!$C$38, 0.0347, 0)</f>
        <v>13.428600000000001</v>
      </c>
      <c r="F62" s="27">
        <f>13.3939 * CHOOSE(CONTROL!$C$15, $E$9, 100%, $G$9) + CHOOSE(CONTROL!$C$38, 0.0256, 0)</f>
        <v>13.419500000000001</v>
      </c>
      <c r="G62" s="10">
        <f>13.4678 * CHOOSE(CONTROL!$C$15, $E$9, 100%, $G$9) + CHOOSE(CONTROL!$C$38, 0.0347, 0)</f>
        <v>13.502500000000001</v>
      </c>
      <c r="H62" s="10">
        <f>13.4678 * CHOOSE(CONTROL!$C$15, $E$9, 100%, $G$9) + CHOOSE(CONTROL!$C$38, 0.0347, 0)</f>
        <v>13.502500000000001</v>
      </c>
      <c r="I62" s="10">
        <f>13.4694 * CHOOSE(CONTROL!$C$15, $E$9, 100%, $G$9) + CHOOSE(CONTROL!$C$38, 0.0347, 0)</f>
        <v>13.504100000000001</v>
      </c>
      <c r="J62" s="29">
        <f>89.7588</f>
        <v>89.758799999999994</v>
      </c>
    </row>
    <row r="63" spans="1:10" ht="15" x14ac:dyDescent="0.2">
      <c r="A63" s="16">
        <v>42826</v>
      </c>
      <c r="B63" s="10">
        <f>13.586 * CHOOSE(CONTROL!$C$15, $E$9, 100%, $G$9) + CHOOSE(CONTROL!$C$38, 0.0256, 0)</f>
        <v>13.611600000000001</v>
      </c>
      <c r="C63" s="10">
        <f>13.3225 * CHOOSE(CONTROL!$C$15, $E$9, 100%, $G$9) + CHOOSE(CONTROL!$C$38, 0.0347, 0)</f>
        <v>13.357200000000001</v>
      </c>
      <c r="D63" s="10">
        <f>13.3147 * CHOOSE(CONTROL!$C$15, $E$9, 100%, $G$9) + CHOOSE(CONTROL!$C$38, 0.0347, 0)</f>
        <v>13.349400000000001</v>
      </c>
      <c r="E63" s="28">
        <f>13.4298 * CHOOSE(CONTROL!$C$15, $E$9, 100%, $G$9) + CHOOSE(CONTROL!$C$38, 0.0347, 0)</f>
        <v>13.464500000000001</v>
      </c>
      <c r="F63" s="27">
        <f>13.4298 * CHOOSE(CONTROL!$C$15, $E$9, 100%, $G$9) + CHOOSE(CONTROL!$C$38, 0.0256, 0)</f>
        <v>13.455400000000001</v>
      </c>
      <c r="G63" s="10">
        <f>13.3209 * CHOOSE(CONTROL!$C$15, $E$9, 100%, $G$9) + CHOOSE(CONTROL!$C$38, 0.0347, 0)</f>
        <v>13.355600000000001</v>
      </c>
      <c r="H63" s="10">
        <f>13.3209 * CHOOSE(CONTROL!$C$15, $E$9, 100%, $G$9) + CHOOSE(CONTROL!$C$38, 0.0347, 0)</f>
        <v>13.355600000000001</v>
      </c>
      <c r="I63" s="10">
        <f>13.3225 * CHOOSE(CONTROL!$C$15, $E$9, 100%, $G$9) + CHOOSE(CONTROL!$C$38, 0.0347, 0)</f>
        <v>13.357200000000001</v>
      </c>
      <c r="J63" s="29">
        <f>95.5864</f>
        <v>95.586399999999998</v>
      </c>
    </row>
    <row r="64" spans="1:10" ht="15" x14ac:dyDescent="0.2">
      <c r="A64" s="16">
        <v>42856</v>
      </c>
      <c r="B64" s="10">
        <f>13.6173 * CHOOSE(CONTROL!$C$15, $E$9, 100%, $G$9) + CHOOSE(CONTROL!$C$38, 0.0278, 0)</f>
        <v>13.645099999999999</v>
      </c>
      <c r="C64" s="10">
        <f>13.3592 * CHOOSE(CONTROL!$C$15, $E$9, 100%, $G$9) + CHOOSE(CONTROL!$C$38, 0.0369, 0)</f>
        <v>13.396099999999999</v>
      </c>
      <c r="D64" s="10">
        <f>13.3514 * CHOOSE(CONTROL!$C$15, $E$9, 100%, $G$9) + CHOOSE(CONTROL!$C$38, 0.0369, 0)</f>
        <v>13.388299999999999</v>
      </c>
      <c r="E64" s="28">
        <f>13.461 * CHOOSE(CONTROL!$C$15, $E$9, 100%, $G$9) + CHOOSE(CONTROL!$C$38, 0.0369, 0)</f>
        <v>13.4979</v>
      </c>
      <c r="F64" s="27">
        <f>13.461 * CHOOSE(CONTROL!$C$15, $E$9, 100%, $G$9) + CHOOSE(CONTROL!$C$38, 0.0278, 0)</f>
        <v>13.488799999999999</v>
      </c>
      <c r="G64" s="10">
        <f>13.3577 * CHOOSE(CONTROL!$C$15, $E$9, 100%, $G$9) + CHOOSE(CONTROL!$C$38, 0.0369, 0)</f>
        <v>13.394599999999999</v>
      </c>
      <c r="H64" s="10">
        <f>13.3577 * CHOOSE(CONTROL!$C$15, $E$9, 100%, $G$9) + CHOOSE(CONTROL!$C$38, 0.0369, 0)</f>
        <v>13.394599999999999</v>
      </c>
      <c r="I64" s="10">
        <f>13.3592 * CHOOSE(CONTROL!$C$15, $E$9, 100%, $G$9) + CHOOSE(CONTROL!$C$38, 0.0369, 0)</f>
        <v>13.396099999999999</v>
      </c>
      <c r="J64" s="29">
        <f>98.7941</f>
        <v>98.7941</v>
      </c>
    </row>
    <row r="65" spans="1:10" ht="15" x14ac:dyDescent="0.2">
      <c r="A65" s="16">
        <v>42887</v>
      </c>
      <c r="B65" s="10">
        <f>13.647 * CHOOSE(CONTROL!$C$15, $E$9, 100%, $G$9) + CHOOSE(CONTROL!$C$38, 0.0278, 0)</f>
        <v>13.674799999999999</v>
      </c>
      <c r="C65" s="10">
        <f>13.396 * CHOOSE(CONTROL!$C$15, $E$9, 100%, $G$9) + CHOOSE(CONTROL!$C$38, 0.0369, 0)</f>
        <v>13.4329</v>
      </c>
      <c r="D65" s="10">
        <f>13.3881 * CHOOSE(CONTROL!$C$15, $E$9, 100%, $G$9) + CHOOSE(CONTROL!$C$38, 0.0369, 0)</f>
        <v>13.424999999999999</v>
      </c>
      <c r="E65" s="28">
        <f>13.4907 * CHOOSE(CONTROL!$C$15, $E$9, 100%, $G$9) + CHOOSE(CONTROL!$C$38, 0.0369, 0)</f>
        <v>13.5276</v>
      </c>
      <c r="F65" s="27">
        <f>13.4907 * CHOOSE(CONTROL!$C$15, $E$9, 100%, $G$9) + CHOOSE(CONTROL!$C$38, 0.0278, 0)</f>
        <v>13.5185</v>
      </c>
      <c r="G65" s="10">
        <f>13.3944 * CHOOSE(CONTROL!$C$15, $E$9, 100%, $G$9) + CHOOSE(CONTROL!$C$38, 0.0369, 0)</f>
        <v>13.431299999999998</v>
      </c>
      <c r="H65" s="10">
        <f>13.3944 * CHOOSE(CONTROL!$C$15, $E$9, 100%, $G$9) + CHOOSE(CONTROL!$C$38, 0.0369, 0)</f>
        <v>13.431299999999998</v>
      </c>
      <c r="I65" s="10">
        <f>13.396 * CHOOSE(CONTROL!$C$15, $E$9, 100%, $G$9) + CHOOSE(CONTROL!$C$38, 0.0369, 0)</f>
        <v>13.4329</v>
      </c>
      <c r="J65" s="29">
        <f>100.2176</f>
        <v>100.2176</v>
      </c>
    </row>
    <row r="66" spans="1:10" ht="15" x14ac:dyDescent="0.2">
      <c r="A66" s="16">
        <v>42917</v>
      </c>
      <c r="B66" s="10">
        <f>13.6876 * CHOOSE(CONTROL!$C$15, $E$9, 100%, $G$9) + CHOOSE(CONTROL!$C$38, 0.0278, 0)</f>
        <v>13.715399999999999</v>
      </c>
      <c r="C66" s="10">
        <f>13.4327 * CHOOSE(CONTROL!$C$15, $E$9, 100%, $G$9) + CHOOSE(CONTROL!$C$38, 0.0369, 0)</f>
        <v>13.4696</v>
      </c>
      <c r="D66" s="10">
        <f>13.4249 * CHOOSE(CONTROL!$C$15, $E$9, 100%, $G$9) + CHOOSE(CONTROL!$C$38, 0.0369, 0)</f>
        <v>13.461799999999998</v>
      </c>
      <c r="E66" s="28">
        <f>13.5314 * CHOOSE(CONTROL!$C$15, $E$9, 100%, $G$9) + CHOOSE(CONTROL!$C$38, 0.0369, 0)</f>
        <v>13.568299999999999</v>
      </c>
      <c r="F66" s="27">
        <f>13.5314 * CHOOSE(CONTROL!$C$15, $E$9, 100%, $G$9) + CHOOSE(CONTROL!$C$38, 0.0278, 0)</f>
        <v>13.559199999999999</v>
      </c>
      <c r="G66" s="10">
        <f>13.4311 * CHOOSE(CONTROL!$C$15, $E$9, 100%, $G$9) + CHOOSE(CONTROL!$C$38, 0.0369, 0)</f>
        <v>13.468</v>
      </c>
      <c r="H66" s="10">
        <f>13.4311 * CHOOSE(CONTROL!$C$15, $E$9, 100%, $G$9) + CHOOSE(CONTROL!$C$38, 0.0369, 0)</f>
        <v>13.468</v>
      </c>
      <c r="I66" s="10">
        <f>13.4327 * CHOOSE(CONTROL!$C$15, $E$9, 100%, $G$9) + CHOOSE(CONTROL!$C$38, 0.0369, 0)</f>
        <v>13.4696</v>
      </c>
      <c r="J66" s="29">
        <f>99.7489</f>
        <v>99.748900000000006</v>
      </c>
    </row>
    <row r="67" spans="1:10" ht="15" x14ac:dyDescent="0.2">
      <c r="A67" s="16">
        <v>42948</v>
      </c>
      <c r="B67" s="10">
        <f>13.7189 * CHOOSE(CONTROL!$C$15, $E$9, 100%, $G$9) + CHOOSE(CONTROL!$C$38, 0.0278, 0)</f>
        <v>13.746699999999999</v>
      </c>
      <c r="C67" s="10">
        <f>13.4694 * CHOOSE(CONTROL!$C$15, $E$9, 100%, $G$9) + CHOOSE(CONTROL!$C$38, 0.0369, 0)</f>
        <v>13.5063</v>
      </c>
      <c r="D67" s="10">
        <f>13.4616 * CHOOSE(CONTROL!$C$15, $E$9, 100%, $G$9) + CHOOSE(CONTROL!$C$38, 0.0369, 0)</f>
        <v>13.4985</v>
      </c>
      <c r="E67" s="28">
        <f>13.5626 * CHOOSE(CONTROL!$C$15, $E$9, 100%, $G$9) + CHOOSE(CONTROL!$C$38, 0.0369, 0)</f>
        <v>13.599499999999999</v>
      </c>
      <c r="F67" s="27">
        <f>13.5626 * CHOOSE(CONTROL!$C$15, $E$9, 100%, $G$9) + CHOOSE(CONTROL!$C$38, 0.0278, 0)</f>
        <v>13.590399999999999</v>
      </c>
      <c r="G67" s="10">
        <f>13.4678 * CHOOSE(CONTROL!$C$15, $E$9, 100%, $G$9) + CHOOSE(CONTROL!$C$38, 0.0369, 0)</f>
        <v>13.5047</v>
      </c>
      <c r="H67" s="10">
        <f>13.4678 * CHOOSE(CONTROL!$C$15, $E$9, 100%, $G$9) + CHOOSE(CONTROL!$C$38, 0.0369, 0)</f>
        <v>13.5047</v>
      </c>
      <c r="I67" s="10">
        <f>13.4694 * CHOOSE(CONTROL!$C$15, $E$9, 100%, $G$9) + CHOOSE(CONTROL!$C$38, 0.0369, 0)</f>
        <v>13.5063</v>
      </c>
      <c r="J67" s="29">
        <f>97.4268</f>
        <v>97.4268</v>
      </c>
    </row>
    <row r="68" spans="1:10" ht="15" x14ac:dyDescent="0.2">
      <c r="A68" s="16">
        <v>42979</v>
      </c>
      <c r="B68" s="10">
        <f>13.736 * CHOOSE(CONTROL!$C$15, $E$9, 100%, $G$9) + CHOOSE(CONTROL!$C$38, 0.0278, 0)</f>
        <v>13.7638</v>
      </c>
      <c r="C68" s="10">
        <f>13.5061 * CHOOSE(CONTROL!$C$15, $E$9, 100%, $G$9) + CHOOSE(CONTROL!$C$38, 0.0369, 0)</f>
        <v>13.542999999999999</v>
      </c>
      <c r="D68" s="10">
        <f>13.4983 * CHOOSE(CONTROL!$C$15, $E$9, 100%, $G$9) + CHOOSE(CONTROL!$C$38, 0.0369, 0)</f>
        <v>13.5352</v>
      </c>
      <c r="E68" s="28">
        <f>13.5798 * CHOOSE(CONTROL!$C$15, $E$9, 100%, $G$9) + CHOOSE(CONTROL!$C$38, 0.0369, 0)</f>
        <v>13.6167</v>
      </c>
      <c r="F68" s="27">
        <f>13.5798 * CHOOSE(CONTROL!$C$15, $E$9, 100%, $G$9) + CHOOSE(CONTROL!$C$38, 0.0278, 0)</f>
        <v>13.6076</v>
      </c>
      <c r="G68" s="10">
        <f>13.5046 * CHOOSE(CONTROL!$C$15, $E$9, 100%, $G$9) + CHOOSE(CONTROL!$C$38, 0.0369, 0)</f>
        <v>13.541499999999999</v>
      </c>
      <c r="H68" s="10">
        <f>13.5046 * CHOOSE(CONTROL!$C$15, $E$9, 100%, $G$9) + CHOOSE(CONTROL!$C$38, 0.0369, 0)</f>
        <v>13.541499999999999</v>
      </c>
      <c r="I68" s="10">
        <f>13.5061 * CHOOSE(CONTROL!$C$15, $E$9, 100%, $G$9) + CHOOSE(CONTROL!$C$38, 0.0369, 0)</f>
        <v>13.542999999999999</v>
      </c>
      <c r="J68" s="29">
        <f>94.1885</f>
        <v>94.188500000000005</v>
      </c>
    </row>
    <row r="69" spans="1:10" ht="15" x14ac:dyDescent="0.2">
      <c r="A69" s="16">
        <v>43009</v>
      </c>
      <c r="B69" s="10">
        <f>13.7626 * CHOOSE(CONTROL!$C$15, $E$9, 100%, $G$9) + CHOOSE(CONTROL!$C$38, 0.0256, 0)</f>
        <v>13.788200000000002</v>
      </c>
      <c r="C69" s="10">
        <f>13.5429 * CHOOSE(CONTROL!$C$15, $E$9, 100%, $G$9) + CHOOSE(CONTROL!$C$38, 0.0347, 0)</f>
        <v>13.5776</v>
      </c>
      <c r="D69" s="10">
        <f>13.535 * CHOOSE(CONTROL!$C$15, $E$9, 100%, $G$9) + CHOOSE(CONTROL!$C$38, 0.0347, 0)</f>
        <v>13.569700000000001</v>
      </c>
      <c r="E69" s="28">
        <f>13.6064 * CHOOSE(CONTROL!$C$15, $E$9, 100%, $G$9) + CHOOSE(CONTROL!$C$38, 0.0347, 0)</f>
        <v>13.641100000000002</v>
      </c>
      <c r="F69" s="27">
        <f>13.6064 * CHOOSE(CONTROL!$C$15, $E$9, 100%, $G$9) + CHOOSE(CONTROL!$C$38, 0.0256, 0)</f>
        <v>13.632000000000001</v>
      </c>
      <c r="G69" s="10">
        <f>13.5413 * CHOOSE(CONTROL!$C$15, $E$9, 100%, $G$9) + CHOOSE(CONTROL!$C$38, 0.0347, 0)</f>
        <v>13.576000000000001</v>
      </c>
      <c r="H69" s="10">
        <f>13.5413 * CHOOSE(CONTROL!$C$15, $E$9, 100%, $G$9) + CHOOSE(CONTROL!$C$38, 0.0347, 0)</f>
        <v>13.576000000000001</v>
      </c>
      <c r="I69" s="10">
        <f>13.5429 * CHOOSE(CONTROL!$C$15, $E$9, 100%, $G$9) + CHOOSE(CONTROL!$C$38, 0.0347, 0)</f>
        <v>13.5776</v>
      </c>
      <c r="J69" s="29">
        <f>90.9313</f>
        <v>90.931299999999993</v>
      </c>
    </row>
    <row r="70" spans="1:10" ht="15" x14ac:dyDescent="0.2">
      <c r="A70" s="16">
        <v>43040</v>
      </c>
      <c r="B70" s="10">
        <f>13.786 * CHOOSE(CONTROL!$C$15, $E$9, 100%, $G$9) + CHOOSE(CONTROL!$C$38, 0.0256, 0)</f>
        <v>13.8116</v>
      </c>
      <c r="C70" s="10">
        <f>13.5796 * CHOOSE(CONTROL!$C$15, $E$9, 100%, $G$9) + CHOOSE(CONTROL!$C$38, 0.0347, 0)</f>
        <v>13.6143</v>
      </c>
      <c r="D70" s="10">
        <f>13.5718 * CHOOSE(CONTROL!$C$15, $E$9, 100%, $G$9) + CHOOSE(CONTROL!$C$38, 0.0347, 0)</f>
        <v>13.6065</v>
      </c>
      <c r="E70" s="28">
        <f>13.6298 * CHOOSE(CONTROL!$C$15, $E$9, 100%, $G$9) + CHOOSE(CONTROL!$C$38, 0.0347, 0)</f>
        <v>13.6645</v>
      </c>
      <c r="F70" s="27">
        <f>13.6298 * CHOOSE(CONTROL!$C$15, $E$9, 100%, $G$9) + CHOOSE(CONTROL!$C$38, 0.0256, 0)</f>
        <v>13.6554</v>
      </c>
      <c r="G70" s="10">
        <f>13.578 * CHOOSE(CONTROL!$C$15, $E$9, 100%, $G$9) + CHOOSE(CONTROL!$C$38, 0.0347, 0)</f>
        <v>13.6127</v>
      </c>
      <c r="H70" s="10">
        <f>13.578 * CHOOSE(CONTROL!$C$15, $E$9, 100%, $G$9) + CHOOSE(CONTROL!$C$38, 0.0347, 0)</f>
        <v>13.6127</v>
      </c>
      <c r="I70" s="10">
        <f>13.5796 * CHOOSE(CONTROL!$C$15, $E$9, 100%, $G$9) + CHOOSE(CONTROL!$C$38, 0.0347, 0)</f>
        <v>13.6143</v>
      </c>
      <c r="J70" s="29">
        <f>90.2834</f>
        <v>90.2834</v>
      </c>
    </row>
    <row r="71" spans="1:10" ht="15" x14ac:dyDescent="0.2">
      <c r="A71" s="16">
        <v>43070</v>
      </c>
      <c r="B71" s="10">
        <f>13.8095 * CHOOSE(CONTROL!$C$15, $E$9, 100%, $G$9) + CHOOSE(CONTROL!$C$38, 0.0256, 0)</f>
        <v>13.835100000000001</v>
      </c>
      <c r="C71" s="10">
        <f>13.6163 * CHOOSE(CONTROL!$C$15, $E$9, 100%, $G$9) + CHOOSE(CONTROL!$C$38, 0.0347, 0)</f>
        <v>13.651000000000002</v>
      </c>
      <c r="D71" s="10">
        <f>13.6085 * CHOOSE(CONTROL!$C$15, $E$9, 100%, $G$9) + CHOOSE(CONTROL!$C$38, 0.0347, 0)</f>
        <v>13.6432</v>
      </c>
      <c r="E71" s="28">
        <f>13.6532 * CHOOSE(CONTROL!$C$15, $E$9, 100%, $G$9) + CHOOSE(CONTROL!$C$38, 0.0347, 0)</f>
        <v>13.687900000000001</v>
      </c>
      <c r="F71" s="27">
        <f>13.6532 * CHOOSE(CONTROL!$C$15, $E$9, 100%, $G$9) + CHOOSE(CONTROL!$C$38, 0.0256, 0)</f>
        <v>13.678800000000001</v>
      </c>
      <c r="G71" s="10">
        <f>13.6147 * CHOOSE(CONTROL!$C$15, $E$9, 100%, $G$9) + CHOOSE(CONTROL!$C$38, 0.0347, 0)</f>
        <v>13.6494</v>
      </c>
      <c r="H71" s="10">
        <f>13.6147 * CHOOSE(CONTROL!$C$15, $E$9, 100%, $G$9) + CHOOSE(CONTROL!$C$38, 0.0347, 0)</f>
        <v>13.6494</v>
      </c>
      <c r="I71" s="10">
        <f>13.6163 * CHOOSE(CONTROL!$C$15, $E$9, 100%, $G$9) + CHOOSE(CONTROL!$C$38, 0.0347, 0)</f>
        <v>13.651000000000002</v>
      </c>
      <c r="J71" s="29">
        <f>87.6043</f>
        <v>87.604299999999995</v>
      </c>
    </row>
    <row r="72" spans="1:10" ht="15" x14ac:dyDescent="0.2">
      <c r="A72" s="16">
        <v>43101</v>
      </c>
      <c r="B72" s="10">
        <f>13.1095 * CHOOSE(CONTROL!$C$15, $E$9, 100%, $G$9) + CHOOSE(CONTROL!$C$38, 0.0256, 0)</f>
        <v>13.135100000000001</v>
      </c>
      <c r="C72" s="10">
        <f>13.2089 * CHOOSE(CONTROL!$C$15, $E$9, 100%, $G$9) + CHOOSE(CONTROL!$C$38, 0.0347, 0)</f>
        <v>13.243600000000001</v>
      </c>
      <c r="D72" s="10">
        <f>13.2011 * CHOOSE(CONTROL!$C$15, $E$9, 100%, $G$9) + CHOOSE(CONTROL!$C$38, 0.0347, 0)</f>
        <v>13.235800000000001</v>
      </c>
      <c r="E72" s="28">
        <f>12.9532 * CHOOSE(CONTROL!$C$15, $E$9, 100%, $G$9) + CHOOSE(CONTROL!$C$38, 0.0347, 0)</f>
        <v>12.987900000000002</v>
      </c>
      <c r="F72" s="27">
        <f>12.9532 * CHOOSE(CONTROL!$C$15, $E$9, 100%, $G$9) + CHOOSE(CONTROL!$C$38, 0.0256, 0)</f>
        <v>12.978800000000001</v>
      </c>
      <c r="G72" s="10">
        <f>13.2074 * CHOOSE(CONTROL!$C$15, $E$9, 100%, $G$9) + CHOOSE(CONTROL!$C$38, 0.0347, 0)</f>
        <v>13.242100000000001</v>
      </c>
      <c r="H72" s="10">
        <f>13.2074 * CHOOSE(CONTROL!$C$15, $E$9, 100%, $G$9) + CHOOSE(CONTROL!$C$38, 0.0347, 0)</f>
        <v>13.242100000000001</v>
      </c>
      <c r="I72" s="10">
        <f>13.2089 * CHOOSE(CONTROL!$C$15, $E$9, 100%, $G$9) + CHOOSE(CONTROL!$C$38, 0.0347, 0)</f>
        <v>13.243600000000001</v>
      </c>
      <c r="J72" s="29">
        <f>85.7878</f>
        <v>85.787800000000004</v>
      </c>
    </row>
    <row r="73" spans="1:10" ht="15" x14ac:dyDescent="0.2">
      <c r="A73" s="16">
        <v>43132</v>
      </c>
      <c r="B73" s="10">
        <f>13.1798 * CHOOSE(CONTROL!$C$15, $E$9, 100%, $G$9) + CHOOSE(CONTROL!$C$38, 0.0256, 0)</f>
        <v>13.205400000000001</v>
      </c>
      <c r="C73" s="10">
        <f>13.2089 * CHOOSE(CONTROL!$C$15, $E$9, 100%, $G$9) + CHOOSE(CONTROL!$C$38, 0.0347, 0)</f>
        <v>13.243600000000001</v>
      </c>
      <c r="D73" s="10">
        <f>13.2011 * CHOOSE(CONTROL!$C$15, $E$9, 100%, $G$9) + CHOOSE(CONTROL!$C$38, 0.0347, 0)</f>
        <v>13.235800000000001</v>
      </c>
      <c r="E73" s="28">
        <f>13.0235 * CHOOSE(CONTROL!$C$15, $E$9, 100%, $G$9) + CHOOSE(CONTROL!$C$38, 0.0347, 0)</f>
        <v>13.058200000000001</v>
      </c>
      <c r="F73" s="27">
        <f>13.0235 * CHOOSE(CONTROL!$C$15, $E$9, 100%, $G$9) + CHOOSE(CONTROL!$C$38, 0.0256, 0)</f>
        <v>13.049100000000001</v>
      </c>
      <c r="G73" s="10">
        <f>13.2074 * CHOOSE(CONTROL!$C$15, $E$9, 100%, $G$9) + CHOOSE(CONTROL!$C$38, 0.0347, 0)</f>
        <v>13.242100000000001</v>
      </c>
      <c r="H73" s="10">
        <f>13.2074 * CHOOSE(CONTROL!$C$15, $E$9, 100%, $G$9) + CHOOSE(CONTROL!$C$38, 0.0347, 0)</f>
        <v>13.242100000000001</v>
      </c>
      <c r="I73" s="10">
        <f>13.2089 * CHOOSE(CONTROL!$C$15, $E$9, 100%, $G$9) + CHOOSE(CONTROL!$C$38, 0.0347, 0)</f>
        <v>13.243600000000001</v>
      </c>
      <c r="J73" s="29">
        <f>85.5493</f>
        <v>85.549300000000002</v>
      </c>
    </row>
    <row r="74" spans="1:10" ht="15" x14ac:dyDescent="0.2">
      <c r="A74" s="16">
        <v>43160</v>
      </c>
      <c r="B74" s="10">
        <f>13.2407 * CHOOSE(CONTROL!$C$15, $E$9, 100%, $G$9) + CHOOSE(CONTROL!$C$38, 0.0256, 0)</f>
        <v>13.266300000000001</v>
      </c>
      <c r="C74" s="10">
        <f>13.2089 * CHOOSE(CONTROL!$C$15, $E$9, 100%, $G$9) + CHOOSE(CONTROL!$C$38, 0.0347, 0)</f>
        <v>13.243600000000001</v>
      </c>
      <c r="D74" s="10">
        <f>13.2011 * CHOOSE(CONTROL!$C$15, $E$9, 100%, $G$9) + CHOOSE(CONTROL!$C$38, 0.0347, 0)</f>
        <v>13.235800000000001</v>
      </c>
      <c r="E74" s="28">
        <f>13.0845 * CHOOSE(CONTROL!$C$15, $E$9, 100%, $G$9) + CHOOSE(CONTROL!$C$38, 0.0347, 0)</f>
        <v>13.119200000000001</v>
      </c>
      <c r="F74" s="27">
        <f>13.0845 * CHOOSE(CONTROL!$C$15, $E$9, 100%, $G$9) + CHOOSE(CONTROL!$C$38, 0.0256, 0)</f>
        <v>13.110100000000001</v>
      </c>
      <c r="G74" s="10">
        <f>13.2074 * CHOOSE(CONTROL!$C$15, $E$9, 100%, $G$9) + CHOOSE(CONTROL!$C$38, 0.0347, 0)</f>
        <v>13.242100000000001</v>
      </c>
      <c r="H74" s="10">
        <f>13.2074 * CHOOSE(CONTROL!$C$15, $E$9, 100%, $G$9) + CHOOSE(CONTROL!$C$38, 0.0347, 0)</f>
        <v>13.242100000000001</v>
      </c>
      <c r="I74" s="10">
        <f>13.2089 * CHOOSE(CONTROL!$C$15, $E$9, 100%, $G$9) + CHOOSE(CONTROL!$C$38, 0.0347, 0)</f>
        <v>13.243600000000001</v>
      </c>
      <c r="J74" s="29">
        <f>90.0583</f>
        <v>90.058300000000003</v>
      </c>
    </row>
    <row r="75" spans="1:10" ht="15" x14ac:dyDescent="0.2">
      <c r="A75" s="16">
        <v>43191</v>
      </c>
      <c r="B75" s="10">
        <f>13.2939 * CHOOSE(CONTROL!$C$15, $E$9, 100%, $G$9) + CHOOSE(CONTROL!$C$38, 0.0256, 0)</f>
        <v>13.319500000000001</v>
      </c>
      <c r="C75" s="10">
        <f>13.065 * CHOOSE(CONTROL!$C$15, $E$9, 100%, $G$9) + CHOOSE(CONTROL!$C$38, 0.0347, 0)</f>
        <v>13.0997</v>
      </c>
      <c r="D75" s="10">
        <f>13.0571 * CHOOSE(CONTROL!$C$15, $E$9, 100%, $G$9) + CHOOSE(CONTROL!$C$38, 0.0347, 0)</f>
        <v>13.091800000000001</v>
      </c>
      <c r="E75" s="28">
        <f>13.1376 * CHOOSE(CONTROL!$C$15, $E$9, 100%, $G$9) + CHOOSE(CONTROL!$C$38, 0.0347, 0)</f>
        <v>13.172300000000002</v>
      </c>
      <c r="F75" s="27">
        <f>13.1376 * CHOOSE(CONTROL!$C$15, $E$9, 100%, $G$9) + CHOOSE(CONTROL!$C$38, 0.0256, 0)</f>
        <v>13.163200000000002</v>
      </c>
      <c r="G75" s="10">
        <f>13.0634 * CHOOSE(CONTROL!$C$15, $E$9, 100%, $G$9) + CHOOSE(CONTROL!$C$38, 0.0347, 0)</f>
        <v>13.098100000000001</v>
      </c>
      <c r="H75" s="10">
        <f>13.0634 * CHOOSE(CONTROL!$C$15, $E$9, 100%, $G$9) + CHOOSE(CONTROL!$C$38, 0.0347, 0)</f>
        <v>13.098100000000001</v>
      </c>
      <c r="I75" s="10">
        <f>13.065 * CHOOSE(CONTROL!$C$15, $E$9, 100%, $G$9) + CHOOSE(CONTROL!$C$38, 0.0347, 0)</f>
        <v>13.0997</v>
      </c>
      <c r="J75" s="29">
        <f>95.9053</f>
        <v>95.905299999999997</v>
      </c>
    </row>
    <row r="76" spans="1:10" ht="15" x14ac:dyDescent="0.2">
      <c r="A76" s="16">
        <v>43221</v>
      </c>
      <c r="B76" s="10">
        <f>13.3407 * CHOOSE(CONTROL!$C$15, $E$9, 100%, $G$9) + CHOOSE(CONTROL!$C$38, 0.0278, 0)</f>
        <v>13.368499999999999</v>
      </c>
      <c r="C76" s="10">
        <f>13.101 * CHOOSE(CONTROL!$C$15, $E$9, 100%, $G$9) + CHOOSE(CONTROL!$C$38, 0.0369, 0)</f>
        <v>13.1379</v>
      </c>
      <c r="D76" s="10">
        <f>13.0931 * CHOOSE(CONTROL!$C$15, $E$9, 100%, $G$9) + CHOOSE(CONTROL!$C$38, 0.0369, 0)</f>
        <v>13.129999999999999</v>
      </c>
      <c r="E76" s="28">
        <f>13.1845 * CHOOSE(CONTROL!$C$15, $E$9, 100%, $G$9) + CHOOSE(CONTROL!$C$38, 0.0369, 0)</f>
        <v>13.221399999999999</v>
      </c>
      <c r="F76" s="27">
        <f>13.1845 * CHOOSE(CONTROL!$C$15, $E$9, 100%, $G$9) + CHOOSE(CONTROL!$C$38, 0.0278, 0)</f>
        <v>13.212299999999999</v>
      </c>
      <c r="G76" s="10">
        <f>13.0994 * CHOOSE(CONTROL!$C$15, $E$9, 100%, $G$9) + CHOOSE(CONTROL!$C$38, 0.0369, 0)</f>
        <v>13.136299999999999</v>
      </c>
      <c r="H76" s="10">
        <f>13.0994 * CHOOSE(CONTROL!$C$15, $E$9, 100%, $G$9) + CHOOSE(CONTROL!$C$38, 0.0369, 0)</f>
        <v>13.136299999999999</v>
      </c>
      <c r="I76" s="10">
        <f>13.101 * CHOOSE(CONTROL!$C$15, $E$9, 100%, $G$9) + CHOOSE(CONTROL!$C$38, 0.0369, 0)</f>
        <v>13.1379</v>
      </c>
      <c r="J76" s="29">
        <f>99.1237</f>
        <v>99.123699999999999</v>
      </c>
    </row>
    <row r="77" spans="1:10" ht="15" x14ac:dyDescent="0.2">
      <c r="A77" s="16">
        <v>43252</v>
      </c>
      <c r="B77" s="10">
        <f>13.386 * CHOOSE(CONTROL!$C$15, $E$9, 100%, $G$9) + CHOOSE(CONTROL!$C$38, 0.0278, 0)</f>
        <v>13.413799999999998</v>
      </c>
      <c r="C77" s="10">
        <f>13.1369 * CHOOSE(CONTROL!$C$15, $E$9, 100%, $G$9) + CHOOSE(CONTROL!$C$38, 0.0369, 0)</f>
        <v>13.1738</v>
      </c>
      <c r="D77" s="10">
        <f>13.1291 * CHOOSE(CONTROL!$C$15, $E$9, 100%, $G$9) + CHOOSE(CONTROL!$C$38, 0.0369, 0)</f>
        <v>13.165999999999999</v>
      </c>
      <c r="E77" s="28">
        <f>13.2298 * CHOOSE(CONTROL!$C$15, $E$9, 100%, $G$9) + CHOOSE(CONTROL!$C$38, 0.0369, 0)</f>
        <v>13.266699999999998</v>
      </c>
      <c r="F77" s="27">
        <f>13.2298 * CHOOSE(CONTROL!$C$15, $E$9, 100%, $G$9) + CHOOSE(CONTROL!$C$38, 0.0278, 0)</f>
        <v>13.257599999999998</v>
      </c>
      <c r="G77" s="10">
        <f>13.1354 * CHOOSE(CONTROL!$C$15, $E$9, 100%, $G$9) + CHOOSE(CONTROL!$C$38, 0.0369, 0)</f>
        <v>13.1723</v>
      </c>
      <c r="H77" s="10">
        <f>13.1354 * CHOOSE(CONTROL!$C$15, $E$9, 100%, $G$9) + CHOOSE(CONTROL!$C$38, 0.0369, 0)</f>
        <v>13.1723</v>
      </c>
      <c r="I77" s="10">
        <f>13.1369 * CHOOSE(CONTROL!$C$15, $E$9, 100%, $G$9) + CHOOSE(CONTROL!$C$38, 0.0369, 0)</f>
        <v>13.1738</v>
      </c>
      <c r="J77" s="29">
        <f>100.5519</f>
        <v>100.5519</v>
      </c>
    </row>
    <row r="78" spans="1:10" ht="15" x14ac:dyDescent="0.2">
      <c r="A78" s="16">
        <v>43282</v>
      </c>
      <c r="B78" s="10">
        <f>13.4423 * CHOOSE(CONTROL!$C$15, $E$9, 100%, $G$9) + CHOOSE(CONTROL!$C$38, 0.0278, 0)</f>
        <v>13.470099999999999</v>
      </c>
      <c r="C78" s="10">
        <f>13.1729 * CHOOSE(CONTROL!$C$15, $E$9, 100%, $G$9) + CHOOSE(CONTROL!$C$38, 0.0369, 0)</f>
        <v>13.2098</v>
      </c>
      <c r="D78" s="10">
        <f>13.1651 * CHOOSE(CONTROL!$C$15, $E$9, 100%, $G$9) + CHOOSE(CONTROL!$C$38, 0.0369, 0)</f>
        <v>13.202</v>
      </c>
      <c r="E78" s="28">
        <f>13.286 * CHOOSE(CONTROL!$C$15, $E$9, 100%, $G$9) + CHOOSE(CONTROL!$C$38, 0.0369, 0)</f>
        <v>13.322899999999999</v>
      </c>
      <c r="F78" s="27">
        <f>13.286 * CHOOSE(CONTROL!$C$15, $E$9, 100%, $G$9) + CHOOSE(CONTROL!$C$38, 0.0278, 0)</f>
        <v>13.313799999999999</v>
      </c>
      <c r="G78" s="10">
        <f>13.1714 * CHOOSE(CONTROL!$C$15, $E$9, 100%, $G$9) + CHOOSE(CONTROL!$C$38, 0.0369, 0)</f>
        <v>13.208299999999999</v>
      </c>
      <c r="H78" s="10">
        <f>13.1714 * CHOOSE(CONTROL!$C$15, $E$9, 100%, $G$9) + CHOOSE(CONTROL!$C$38, 0.0369, 0)</f>
        <v>13.208299999999999</v>
      </c>
      <c r="I78" s="10">
        <f>13.1729 * CHOOSE(CONTROL!$C$15, $E$9, 100%, $G$9) + CHOOSE(CONTROL!$C$38, 0.0369, 0)</f>
        <v>13.2098</v>
      </c>
      <c r="J78" s="29">
        <f>100.0817</f>
        <v>100.0817</v>
      </c>
    </row>
    <row r="79" spans="1:10" ht="15" x14ac:dyDescent="0.2">
      <c r="A79" s="16">
        <v>43313</v>
      </c>
      <c r="B79" s="10">
        <f>13.4876 * CHOOSE(CONTROL!$C$15, $E$9, 100%, $G$9) + CHOOSE(CONTROL!$C$38, 0.0278, 0)</f>
        <v>13.5154</v>
      </c>
      <c r="C79" s="10">
        <f>13.2089 * CHOOSE(CONTROL!$C$15, $E$9, 100%, $G$9) + CHOOSE(CONTROL!$C$38, 0.0369, 0)</f>
        <v>13.245799999999999</v>
      </c>
      <c r="D79" s="10">
        <f>13.2011 * CHOOSE(CONTROL!$C$15, $E$9, 100%, $G$9) + CHOOSE(CONTROL!$C$38, 0.0369, 0)</f>
        <v>13.238</v>
      </c>
      <c r="E79" s="28">
        <f>13.3314 * CHOOSE(CONTROL!$C$15, $E$9, 100%, $G$9) + CHOOSE(CONTROL!$C$38, 0.0369, 0)</f>
        <v>13.3683</v>
      </c>
      <c r="F79" s="27">
        <f>13.3314 * CHOOSE(CONTROL!$C$15, $E$9, 100%, $G$9) + CHOOSE(CONTROL!$C$38, 0.0278, 0)</f>
        <v>13.3592</v>
      </c>
      <c r="G79" s="10">
        <f>13.2074 * CHOOSE(CONTROL!$C$15, $E$9, 100%, $G$9) + CHOOSE(CONTROL!$C$38, 0.0369, 0)</f>
        <v>13.244299999999999</v>
      </c>
      <c r="H79" s="10">
        <f>13.2074 * CHOOSE(CONTROL!$C$15, $E$9, 100%, $G$9) + CHOOSE(CONTROL!$C$38, 0.0369, 0)</f>
        <v>13.244299999999999</v>
      </c>
      <c r="I79" s="10">
        <f>13.2089 * CHOOSE(CONTROL!$C$15, $E$9, 100%, $G$9) + CHOOSE(CONTROL!$C$38, 0.0369, 0)</f>
        <v>13.245799999999999</v>
      </c>
      <c r="J79" s="29">
        <f>97.7518</f>
        <v>97.751800000000003</v>
      </c>
    </row>
    <row r="80" spans="1:10" ht="15" x14ac:dyDescent="0.2">
      <c r="A80" s="16">
        <v>43344</v>
      </c>
      <c r="B80" s="10">
        <f>13.5142 * CHOOSE(CONTROL!$C$15, $E$9, 100%, $G$9) + CHOOSE(CONTROL!$C$38, 0.0278, 0)</f>
        <v>13.542</v>
      </c>
      <c r="C80" s="10">
        <f>13.2449 * CHOOSE(CONTROL!$C$15, $E$9, 100%, $G$9) + CHOOSE(CONTROL!$C$38, 0.0369, 0)</f>
        <v>13.281799999999999</v>
      </c>
      <c r="D80" s="10">
        <f>13.2371 * CHOOSE(CONTROL!$C$15, $E$9, 100%, $G$9) + CHOOSE(CONTROL!$C$38, 0.0369, 0)</f>
        <v>13.273999999999999</v>
      </c>
      <c r="E80" s="28">
        <f>13.3579 * CHOOSE(CONTROL!$C$15, $E$9, 100%, $G$9) + CHOOSE(CONTROL!$C$38, 0.0369, 0)</f>
        <v>13.3948</v>
      </c>
      <c r="F80" s="27">
        <f>13.3579 * CHOOSE(CONTROL!$C$15, $E$9, 100%, $G$9) + CHOOSE(CONTROL!$C$38, 0.0278, 0)</f>
        <v>13.3857</v>
      </c>
      <c r="G80" s="10">
        <f>13.2433 * CHOOSE(CONTROL!$C$15, $E$9, 100%, $G$9) + CHOOSE(CONTROL!$C$38, 0.0369, 0)</f>
        <v>13.280199999999999</v>
      </c>
      <c r="H80" s="10">
        <f>13.2433 * CHOOSE(CONTROL!$C$15, $E$9, 100%, $G$9) + CHOOSE(CONTROL!$C$38, 0.0369, 0)</f>
        <v>13.280199999999999</v>
      </c>
      <c r="I80" s="10">
        <f>13.2449 * CHOOSE(CONTROL!$C$15, $E$9, 100%, $G$9) + CHOOSE(CONTROL!$C$38, 0.0369, 0)</f>
        <v>13.281799999999999</v>
      </c>
      <c r="J80" s="29">
        <f>94.5027</f>
        <v>94.502700000000004</v>
      </c>
    </row>
    <row r="81" spans="1:10" ht="15" x14ac:dyDescent="0.2">
      <c r="A81" s="16">
        <v>43374</v>
      </c>
      <c r="B81" s="10">
        <f>13.5454 * CHOOSE(CONTROL!$C$15, $E$9, 100%, $G$9) + CHOOSE(CONTROL!$C$38, 0.0256, 0)</f>
        <v>13.571000000000002</v>
      </c>
      <c r="C81" s="10">
        <f>13.2809 * CHOOSE(CONTROL!$C$15, $E$9, 100%, $G$9) + CHOOSE(CONTROL!$C$38, 0.0347, 0)</f>
        <v>13.315600000000002</v>
      </c>
      <c r="D81" s="10">
        <f>13.2731 * CHOOSE(CONTROL!$C$15, $E$9, 100%, $G$9) + CHOOSE(CONTROL!$C$38, 0.0347, 0)</f>
        <v>13.3078</v>
      </c>
      <c r="E81" s="28">
        <f>13.3892 * CHOOSE(CONTROL!$C$15, $E$9, 100%, $G$9) + CHOOSE(CONTROL!$C$38, 0.0347, 0)</f>
        <v>13.423900000000001</v>
      </c>
      <c r="F81" s="27">
        <f>13.3892 * CHOOSE(CONTROL!$C$15, $E$9, 100%, $G$9) + CHOOSE(CONTROL!$C$38, 0.0256, 0)</f>
        <v>13.414800000000001</v>
      </c>
      <c r="G81" s="10">
        <f>13.2793 * CHOOSE(CONTROL!$C$15, $E$9, 100%, $G$9) + CHOOSE(CONTROL!$C$38, 0.0347, 0)</f>
        <v>13.314</v>
      </c>
      <c r="H81" s="10">
        <f>13.2793 * CHOOSE(CONTROL!$C$15, $E$9, 100%, $G$9) + CHOOSE(CONTROL!$C$38, 0.0347, 0)</f>
        <v>13.314</v>
      </c>
      <c r="I81" s="10">
        <f>13.2809 * CHOOSE(CONTROL!$C$15, $E$9, 100%, $G$9) + CHOOSE(CONTROL!$C$38, 0.0347, 0)</f>
        <v>13.315600000000002</v>
      </c>
      <c r="J81" s="29">
        <f>91.2347</f>
        <v>91.234700000000004</v>
      </c>
    </row>
    <row r="82" spans="1:10" ht="15" x14ac:dyDescent="0.2">
      <c r="A82" s="16">
        <v>43405</v>
      </c>
      <c r="B82" s="10">
        <f>13.5704 * CHOOSE(CONTROL!$C$15, $E$9, 100%, $G$9) + CHOOSE(CONTROL!$C$38, 0.0256, 0)</f>
        <v>13.596</v>
      </c>
      <c r="C82" s="10">
        <f>13.3169 * CHOOSE(CONTROL!$C$15, $E$9, 100%, $G$9) + CHOOSE(CONTROL!$C$38, 0.0347, 0)</f>
        <v>13.351600000000001</v>
      </c>
      <c r="D82" s="10">
        <f>13.3091 * CHOOSE(CONTROL!$C$15, $E$9, 100%, $G$9) + CHOOSE(CONTROL!$C$38, 0.0347, 0)</f>
        <v>13.343800000000002</v>
      </c>
      <c r="E82" s="28">
        <f>13.4142 * CHOOSE(CONTROL!$C$15, $E$9, 100%, $G$9) + CHOOSE(CONTROL!$C$38, 0.0347, 0)</f>
        <v>13.4489</v>
      </c>
      <c r="F82" s="27">
        <f>13.4142 * CHOOSE(CONTROL!$C$15, $E$9, 100%, $G$9) + CHOOSE(CONTROL!$C$38, 0.0256, 0)</f>
        <v>13.4398</v>
      </c>
      <c r="G82" s="10">
        <f>13.3153 * CHOOSE(CONTROL!$C$15, $E$9, 100%, $G$9) + CHOOSE(CONTROL!$C$38, 0.0347, 0)</f>
        <v>13.350000000000001</v>
      </c>
      <c r="H82" s="10">
        <f>13.3153 * CHOOSE(CONTROL!$C$15, $E$9, 100%, $G$9) + CHOOSE(CONTROL!$C$38, 0.0347, 0)</f>
        <v>13.350000000000001</v>
      </c>
      <c r="I82" s="10">
        <f>13.3169 * CHOOSE(CONTROL!$C$15, $E$9, 100%, $G$9) + CHOOSE(CONTROL!$C$38, 0.0347, 0)</f>
        <v>13.351600000000001</v>
      </c>
      <c r="J82" s="29">
        <f>90.5847</f>
        <v>90.584699999999998</v>
      </c>
    </row>
    <row r="83" spans="1:10" ht="15" x14ac:dyDescent="0.2">
      <c r="A83" s="16">
        <v>43435</v>
      </c>
      <c r="B83" s="10">
        <f>13.5923 * CHOOSE(CONTROL!$C$15, $E$9, 100%, $G$9) + CHOOSE(CONTROL!$C$38, 0.0256, 0)</f>
        <v>13.617900000000001</v>
      </c>
      <c r="C83" s="10">
        <f>13.3529 * CHOOSE(CONTROL!$C$15, $E$9, 100%, $G$9) + CHOOSE(CONTROL!$C$38, 0.0347, 0)</f>
        <v>13.387600000000001</v>
      </c>
      <c r="D83" s="10">
        <f>13.3451 * CHOOSE(CONTROL!$C$15, $E$9, 100%, $G$9) + CHOOSE(CONTROL!$C$38, 0.0347, 0)</f>
        <v>13.379800000000001</v>
      </c>
      <c r="E83" s="28">
        <f>13.436 * CHOOSE(CONTROL!$C$15, $E$9, 100%, $G$9) + CHOOSE(CONTROL!$C$38, 0.0347, 0)</f>
        <v>13.470700000000001</v>
      </c>
      <c r="F83" s="27">
        <f>13.436 * CHOOSE(CONTROL!$C$15, $E$9, 100%, $G$9) + CHOOSE(CONTROL!$C$38, 0.0256, 0)</f>
        <v>13.461600000000001</v>
      </c>
      <c r="G83" s="10">
        <f>13.3513 * CHOOSE(CONTROL!$C$15, $E$9, 100%, $G$9) + CHOOSE(CONTROL!$C$38, 0.0347, 0)</f>
        <v>13.386000000000001</v>
      </c>
      <c r="H83" s="10">
        <f>13.3513 * CHOOSE(CONTROL!$C$15, $E$9, 100%, $G$9) + CHOOSE(CONTROL!$C$38, 0.0347, 0)</f>
        <v>13.386000000000001</v>
      </c>
      <c r="I83" s="10">
        <f>13.3529 * CHOOSE(CONTROL!$C$15, $E$9, 100%, $G$9) + CHOOSE(CONTROL!$C$38, 0.0347, 0)</f>
        <v>13.387600000000001</v>
      </c>
      <c r="J83" s="29">
        <f>87.8966</f>
        <v>87.896600000000007</v>
      </c>
    </row>
    <row r="84" spans="1:10" ht="15" x14ac:dyDescent="0.2">
      <c r="A84" s="16">
        <v>43466</v>
      </c>
      <c r="B84" s="10">
        <f>18.6684 * CHOOSE(CONTROL!$C$15, $E$9, 100%, $G$9) + CHOOSE(CONTROL!$C$38, 0.0256, 0)</f>
        <v>18.693999999999999</v>
      </c>
      <c r="C84" s="10">
        <f>17.752 * CHOOSE(CONTROL!$C$15, $E$9, 100%, $G$9) + CHOOSE(CONTROL!$C$38, 0.0347, 0)</f>
        <v>17.7867</v>
      </c>
      <c r="D84" s="10">
        <f>17.7442 * CHOOSE(CONTROL!$C$15, $E$9, 100%, $G$9) + CHOOSE(CONTROL!$C$38, 0.0347, 0)</f>
        <v>17.7789</v>
      </c>
      <c r="E84" s="28">
        <f>18.5121 * CHOOSE(CONTROL!$C$15, $E$9, 100%, $G$9) + CHOOSE(CONTROL!$C$38, 0.0347, 0)</f>
        <v>18.546800000000001</v>
      </c>
      <c r="F84" s="27">
        <f>18.5121 * CHOOSE(CONTROL!$C$15, $E$9, 100%, $G$9) + CHOOSE(CONTROL!$C$38, 0.0256, 0)</f>
        <v>18.537700000000001</v>
      </c>
      <c r="G84" s="10">
        <f>17.7504 * CHOOSE(CONTROL!$C$15, $E$9, 100%, $G$9) + CHOOSE(CONTROL!$C$38, 0.0347, 0)</f>
        <v>17.7851</v>
      </c>
      <c r="H84" s="10">
        <f>17.7504 * CHOOSE(CONTROL!$C$15, $E$9, 100%, $G$9) + CHOOSE(CONTROL!$C$38, 0.0347, 0)</f>
        <v>17.7851</v>
      </c>
      <c r="I84" s="10">
        <f>17.752 * CHOOSE(CONTROL!$C$15, $E$9, 100%, $G$9) + CHOOSE(CONTROL!$C$38, 0.0347, 0)</f>
        <v>17.7867</v>
      </c>
      <c r="J84" s="26">
        <f>101.9488</f>
        <v>101.94880000000001</v>
      </c>
    </row>
    <row r="85" spans="1:10" ht="15" x14ac:dyDescent="0.2">
      <c r="A85" s="16">
        <v>43497</v>
      </c>
      <c r="B85" s="10">
        <f>18.8891 * CHOOSE(CONTROL!$C$15, $E$9, 100%, $G$9) + CHOOSE(CONTROL!$C$38, 0.0256, 0)</f>
        <v>18.9147</v>
      </c>
      <c r="C85" s="10">
        <f>17.9727 * CHOOSE(CONTROL!$C$15, $E$9, 100%, $G$9) + CHOOSE(CONTROL!$C$38, 0.0347, 0)</f>
        <v>18.007400000000001</v>
      </c>
      <c r="D85" s="10">
        <f>17.9649 * CHOOSE(CONTROL!$C$15, $E$9, 100%, $G$9) + CHOOSE(CONTROL!$C$38, 0.0347, 0)</f>
        <v>17.999600000000001</v>
      </c>
      <c r="E85" s="28">
        <f>18.7329 * CHOOSE(CONTROL!$C$15, $E$9, 100%, $G$9) + CHOOSE(CONTROL!$C$38, 0.0347, 0)</f>
        <v>18.767600000000002</v>
      </c>
      <c r="F85" s="27">
        <f>18.7329 * CHOOSE(CONTROL!$C$15, $E$9, 100%, $G$9) + CHOOSE(CONTROL!$C$38, 0.0256, 0)</f>
        <v>18.758500000000002</v>
      </c>
      <c r="G85" s="10">
        <f>17.9712 * CHOOSE(CONTROL!$C$15, $E$9, 100%, $G$9) + CHOOSE(CONTROL!$C$38, 0.0347, 0)</f>
        <v>18.0059</v>
      </c>
      <c r="H85" s="10">
        <f>17.9712 * CHOOSE(CONTROL!$C$15, $E$9, 100%, $G$9) + CHOOSE(CONTROL!$C$38, 0.0347, 0)</f>
        <v>18.0059</v>
      </c>
      <c r="I85" s="10">
        <f>17.9727 * CHOOSE(CONTROL!$C$15, $E$9, 100%, $G$9) + CHOOSE(CONTROL!$C$38, 0.0347, 0)</f>
        <v>18.007400000000001</v>
      </c>
      <c r="J85" s="26">
        <f>101.6655</f>
        <v>101.66549999999999</v>
      </c>
    </row>
    <row r="86" spans="1:10" ht="15" x14ac:dyDescent="0.2">
      <c r="A86" s="16">
        <v>43525</v>
      </c>
      <c r="B86" s="10">
        <f>18.3781 * CHOOSE(CONTROL!$C$15, $E$9, 100%, $G$9) + CHOOSE(CONTROL!$C$38, 0.0256, 0)</f>
        <v>18.403700000000001</v>
      </c>
      <c r="C86" s="10">
        <f>17.4617 * CHOOSE(CONTROL!$C$15, $E$9, 100%, $G$9) + CHOOSE(CONTROL!$C$38, 0.0347, 0)</f>
        <v>17.496400000000001</v>
      </c>
      <c r="D86" s="10">
        <f>17.4539 * CHOOSE(CONTROL!$C$15, $E$9, 100%, $G$9) + CHOOSE(CONTROL!$C$38, 0.0347, 0)</f>
        <v>17.488600000000002</v>
      </c>
      <c r="E86" s="28">
        <f>18.2219 * CHOOSE(CONTROL!$C$15, $E$9, 100%, $G$9) + CHOOSE(CONTROL!$C$38, 0.0347, 0)</f>
        <v>18.256600000000002</v>
      </c>
      <c r="F86" s="27">
        <f>18.2219 * CHOOSE(CONTROL!$C$15, $E$9, 100%, $G$9) + CHOOSE(CONTROL!$C$38, 0.0256, 0)</f>
        <v>18.247500000000002</v>
      </c>
      <c r="G86" s="10">
        <f>17.4601 * CHOOSE(CONTROL!$C$15, $E$9, 100%, $G$9) + CHOOSE(CONTROL!$C$38, 0.0347, 0)</f>
        <v>17.494800000000001</v>
      </c>
      <c r="H86" s="10">
        <f>17.4601 * CHOOSE(CONTROL!$C$15, $E$9, 100%, $G$9) + CHOOSE(CONTROL!$C$38, 0.0347, 0)</f>
        <v>17.494800000000001</v>
      </c>
      <c r="I86" s="10">
        <f>17.4617 * CHOOSE(CONTROL!$C$15, $E$9, 100%, $G$9) + CHOOSE(CONTROL!$C$38, 0.0347, 0)</f>
        <v>17.496400000000001</v>
      </c>
      <c r="J86" s="26">
        <f>107.0238</f>
        <v>107.02379999999999</v>
      </c>
    </row>
    <row r="87" spans="1:10" ht="15" x14ac:dyDescent="0.2">
      <c r="A87" s="16">
        <v>43556</v>
      </c>
      <c r="B87" s="10">
        <f>17.8829 * CHOOSE(CONTROL!$C$15, $E$9, 100%, $G$9) + CHOOSE(CONTROL!$C$38, 0.0256, 0)</f>
        <v>17.9085</v>
      </c>
      <c r="C87" s="10">
        <f>16.9665 * CHOOSE(CONTROL!$C$15, $E$9, 100%, $G$9) + CHOOSE(CONTROL!$C$38, 0.0347, 0)</f>
        <v>17.001200000000001</v>
      </c>
      <c r="D87" s="10">
        <f>16.9587 * CHOOSE(CONTROL!$C$15, $E$9, 100%, $G$9) + CHOOSE(CONTROL!$C$38, 0.0347, 0)</f>
        <v>16.993400000000001</v>
      </c>
      <c r="E87" s="28">
        <f>17.7267 * CHOOSE(CONTROL!$C$15, $E$9, 100%, $G$9) + CHOOSE(CONTROL!$C$38, 0.0347, 0)</f>
        <v>17.761400000000002</v>
      </c>
      <c r="F87" s="27">
        <f>17.7267 * CHOOSE(CONTROL!$C$15, $E$9, 100%, $G$9) + CHOOSE(CONTROL!$C$38, 0.0256, 0)</f>
        <v>17.752300000000002</v>
      </c>
      <c r="G87" s="10">
        <f>16.965 * CHOOSE(CONTROL!$C$15, $E$9, 100%, $G$9) + CHOOSE(CONTROL!$C$38, 0.0347, 0)</f>
        <v>16.999700000000001</v>
      </c>
      <c r="H87" s="10">
        <f>16.965 * CHOOSE(CONTROL!$C$15, $E$9, 100%, $G$9) + CHOOSE(CONTROL!$C$38, 0.0347, 0)</f>
        <v>16.999700000000001</v>
      </c>
      <c r="I87" s="10">
        <f>16.9665 * CHOOSE(CONTROL!$C$15, $E$9, 100%, $G$9) + CHOOSE(CONTROL!$C$38, 0.0347, 0)</f>
        <v>17.001200000000001</v>
      </c>
      <c r="J87" s="26">
        <f>113.9723</f>
        <v>113.9723</v>
      </c>
    </row>
    <row r="88" spans="1:10" ht="15" x14ac:dyDescent="0.2">
      <c r="A88" s="16">
        <v>43586</v>
      </c>
      <c r="B88" s="10">
        <f>17.3668 * CHOOSE(CONTROL!$C$15, $E$9, 100%, $G$9) + CHOOSE(CONTROL!$C$38, 0.0278, 0)</f>
        <v>17.394600000000001</v>
      </c>
      <c r="C88" s="10">
        <f>16.4504 * CHOOSE(CONTROL!$C$15, $E$9, 100%, $G$9) + CHOOSE(CONTROL!$C$38, 0.0369, 0)</f>
        <v>16.487299999999998</v>
      </c>
      <c r="D88" s="10">
        <f>16.4426 * CHOOSE(CONTROL!$C$15, $E$9, 100%, $G$9) + CHOOSE(CONTROL!$C$38, 0.0369, 0)</f>
        <v>16.479499999999998</v>
      </c>
      <c r="E88" s="28">
        <f>17.2106 * CHOOSE(CONTROL!$C$15, $E$9, 100%, $G$9) + CHOOSE(CONTROL!$C$38, 0.0369, 0)</f>
        <v>17.247499999999999</v>
      </c>
      <c r="F88" s="27">
        <f>17.2106 * CHOOSE(CONTROL!$C$15, $E$9, 100%, $G$9) + CHOOSE(CONTROL!$C$38, 0.0278, 0)</f>
        <v>17.238399999999999</v>
      </c>
      <c r="G88" s="10">
        <f>16.4489 * CHOOSE(CONTROL!$C$15, $E$9, 100%, $G$9) + CHOOSE(CONTROL!$C$38, 0.0369, 0)</f>
        <v>16.485799999999998</v>
      </c>
      <c r="H88" s="10">
        <f>16.4489 * CHOOSE(CONTROL!$C$15, $E$9, 100%, $G$9) + CHOOSE(CONTROL!$C$38, 0.0369, 0)</f>
        <v>16.485799999999998</v>
      </c>
      <c r="I88" s="10">
        <f>16.4504 * CHOOSE(CONTROL!$C$15, $E$9, 100%, $G$9) + CHOOSE(CONTROL!$C$38, 0.0369, 0)</f>
        <v>16.487299999999998</v>
      </c>
      <c r="J88" s="26">
        <f>117.797</f>
        <v>117.797</v>
      </c>
    </row>
    <row r="89" spans="1:10" ht="15" x14ac:dyDescent="0.2">
      <c r="A89" s="16">
        <v>43617</v>
      </c>
      <c r="B89" s="10">
        <f>17.005 * CHOOSE(CONTROL!$C$15, $E$9, 100%, $G$9) + CHOOSE(CONTROL!$C$38, 0.0278, 0)</f>
        <v>17.032799999999998</v>
      </c>
      <c r="C89" s="10">
        <f>16.0886 * CHOOSE(CONTROL!$C$15, $E$9, 100%, $G$9) + CHOOSE(CONTROL!$C$38, 0.0369, 0)</f>
        <v>16.125499999999999</v>
      </c>
      <c r="D89" s="10">
        <f>16.0808 * CHOOSE(CONTROL!$C$15, $E$9, 100%, $G$9) + CHOOSE(CONTROL!$C$38, 0.0369, 0)</f>
        <v>16.117699999999999</v>
      </c>
      <c r="E89" s="28">
        <f>16.8487 * CHOOSE(CONTROL!$C$15, $E$9, 100%, $G$9) + CHOOSE(CONTROL!$C$38, 0.0369, 0)</f>
        <v>16.8856</v>
      </c>
      <c r="F89" s="27">
        <f>16.8487 * CHOOSE(CONTROL!$C$15, $E$9, 100%, $G$9) + CHOOSE(CONTROL!$C$38, 0.0278, 0)</f>
        <v>16.8765</v>
      </c>
      <c r="G89" s="10">
        <f>16.087 * CHOOSE(CONTROL!$C$15, $E$9, 100%, $G$9) + CHOOSE(CONTROL!$C$38, 0.0369, 0)</f>
        <v>16.123899999999999</v>
      </c>
      <c r="H89" s="10">
        <f>16.087 * CHOOSE(CONTROL!$C$15, $E$9, 100%, $G$9) + CHOOSE(CONTROL!$C$38, 0.0369, 0)</f>
        <v>16.123899999999999</v>
      </c>
      <c r="I89" s="10">
        <f>16.0886 * CHOOSE(CONTROL!$C$15, $E$9, 100%, $G$9) + CHOOSE(CONTROL!$C$38, 0.0369, 0)</f>
        <v>16.125499999999999</v>
      </c>
      <c r="J89" s="26">
        <f>119.4943</f>
        <v>119.4943</v>
      </c>
    </row>
    <row r="90" spans="1:10" ht="15" x14ac:dyDescent="0.2">
      <c r="A90" s="16">
        <v>43647</v>
      </c>
      <c r="B90" s="10">
        <f>16.7985 * CHOOSE(CONTROL!$C$15, $E$9, 100%, $G$9) + CHOOSE(CONTROL!$C$38, 0.0278, 0)</f>
        <v>16.8263</v>
      </c>
      <c r="C90" s="10">
        <f>15.8821 * CHOOSE(CONTROL!$C$15, $E$9, 100%, $G$9) + CHOOSE(CONTROL!$C$38, 0.0369, 0)</f>
        <v>15.918999999999999</v>
      </c>
      <c r="D90" s="10">
        <f>15.8743 * CHOOSE(CONTROL!$C$15, $E$9, 100%, $G$9) + CHOOSE(CONTROL!$C$38, 0.0369, 0)</f>
        <v>15.911199999999999</v>
      </c>
      <c r="E90" s="28">
        <f>16.6422 * CHOOSE(CONTROL!$C$15, $E$9, 100%, $G$9) + CHOOSE(CONTROL!$C$38, 0.0369, 0)</f>
        <v>16.679099999999998</v>
      </c>
      <c r="F90" s="27">
        <f>16.6422 * CHOOSE(CONTROL!$C$15, $E$9, 100%, $G$9) + CHOOSE(CONTROL!$C$38, 0.0278, 0)</f>
        <v>16.669999999999998</v>
      </c>
      <c r="G90" s="10">
        <f>15.8805 * CHOOSE(CONTROL!$C$15, $E$9, 100%, $G$9) + CHOOSE(CONTROL!$C$38, 0.0369, 0)</f>
        <v>15.917399999999999</v>
      </c>
      <c r="H90" s="10">
        <f>15.8805 * CHOOSE(CONTROL!$C$15, $E$9, 100%, $G$9) + CHOOSE(CONTROL!$C$38, 0.0369, 0)</f>
        <v>15.917399999999999</v>
      </c>
      <c r="I90" s="10">
        <f>15.8821 * CHOOSE(CONTROL!$C$15, $E$9, 100%, $G$9) + CHOOSE(CONTROL!$C$38, 0.0369, 0)</f>
        <v>15.918999999999999</v>
      </c>
      <c r="J90" s="26">
        <f>118.9355</f>
        <v>118.9355</v>
      </c>
    </row>
    <row r="91" spans="1:10" ht="15" x14ac:dyDescent="0.2">
      <c r="A91" s="16">
        <v>43678</v>
      </c>
      <c r="B91" s="10">
        <f>16.9004 * CHOOSE(CONTROL!$C$15, $E$9, 100%, $G$9) + CHOOSE(CONTROL!$C$38, 0.0278, 0)</f>
        <v>16.9282</v>
      </c>
      <c r="C91" s="10">
        <f>15.984 * CHOOSE(CONTROL!$C$15, $E$9, 100%, $G$9) + CHOOSE(CONTROL!$C$38, 0.0369, 0)</f>
        <v>16.020900000000001</v>
      </c>
      <c r="D91" s="10">
        <f>15.9762 * CHOOSE(CONTROL!$C$15, $E$9, 100%, $G$9) + CHOOSE(CONTROL!$C$38, 0.0369, 0)</f>
        <v>16.013100000000001</v>
      </c>
      <c r="E91" s="28">
        <f>16.7442 * CHOOSE(CONTROL!$C$15, $E$9, 100%, $G$9) + CHOOSE(CONTROL!$C$38, 0.0369, 0)</f>
        <v>16.781099999999999</v>
      </c>
      <c r="F91" s="27">
        <f>16.7442 * CHOOSE(CONTROL!$C$15, $E$9, 100%, $G$9) + CHOOSE(CONTROL!$C$38, 0.0278, 0)</f>
        <v>16.771999999999998</v>
      </c>
      <c r="G91" s="10">
        <f>15.9824 * CHOOSE(CONTROL!$C$15, $E$9, 100%, $G$9) + CHOOSE(CONTROL!$C$38, 0.0369, 0)</f>
        <v>16.019300000000001</v>
      </c>
      <c r="H91" s="10">
        <f>15.9824 * CHOOSE(CONTROL!$C$15, $E$9, 100%, $G$9) + CHOOSE(CONTROL!$C$38, 0.0369, 0)</f>
        <v>16.019300000000001</v>
      </c>
      <c r="I91" s="10">
        <f>15.984 * CHOOSE(CONTROL!$C$15, $E$9, 100%, $G$9) + CHOOSE(CONTROL!$C$38, 0.0369, 0)</f>
        <v>16.020900000000001</v>
      </c>
      <c r="J91" s="26">
        <f>116.1667</f>
        <v>116.16670000000001</v>
      </c>
    </row>
    <row r="92" spans="1:10" ht="15" x14ac:dyDescent="0.2">
      <c r="A92" s="16">
        <v>43709</v>
      </c>
      <c r="B92" s="10">
        <f>17.1772 * CHOOSE(CONTROL!$C$15, $E$9, 100%, $G$9) + CHOOSE(CONTROL!$C$38, 0.0278, 0)</f>
        <v>17.204999999999998</v>
      </c>
      <c r="C92" s="10">
        <f>16.2608 * CHOOSE(CONTROL!$C$15, $E$9, 100%, $G$9) + CHOOSE(CONTROL!$C$38, 0.0369, 0)</f>
        <v>16.297699999999999</v>
      </c>
      <c r="D92" s="10">
        <f>16.253 * CHOOSE(CONTROL!$C$15, $E$9, 100%, $G$9) + CHOOSE(CONTROL!$C$38, 0.0369, 0)</f>
        <v>16.289899999999999</v>
      </c>
      <c r="E92" s="28">
        <f>17.0209 * CHOOSE(CONTROL!$C$15, $E$9, 100%, $G$9) + CHOOSE(CONTROL!$C$38, 0.0369, 0)</f>
        <v>17.0578</v>
      </c>
      <c r="F92" s="27">
        <f>17.0209 * CHOOSE(CONTROL!$C$15, $E$9, 100%, $G$9) + CHOOSE(CONTROL!$C$38, 0.0278, 0)</f>
        <v>17.0487</v>
      </c>
      <c r="G92" s="10">
        <f>16.2592 * CHOOSE(CONTROL!$C$15, $E$9, 100%, $G$9) + CHOOSE(CONTROL!$C$38, 0.0369, 0)</f>
        <v>16.296099999999999</v>
      </c>
      <c r="H92" s="10">
        <f>16.2592 * CHOOSE(CONTROL!$C$15, $E$9, 100%, $G$9) + CHOOSE(CONTROL!$C$38, 0.0369, 0)</f>
        <v>16.296099999999999</v>
      </c>
      <c r="I92" s="10">
        <f>16.2608 * CHOOSE(CONTROL!$C$15, $E$9, 100%, $G$9) + CHOOSE(CONTROL!$C$38, 0.0369, 0)</f>
        <v>16.297699999999999</v>
      </c>
      <c r="J92" s="26">
        <f>112.3055</f>
        <v>112.30549999999999</v>
      </c>
    </row>
    <row r="93" spans="1:10" ht="15" x14ac:dyDescent="0.2">
      <c r="A93" s="16">
        <v>43739</v>
      </c>
      <c r="B93" s="10">
        <f>17.409 * CHOOSE(CONTROL!$C$15, $E$9, 100%, $G$9) + CHOOSE(CONTROL!$C$38, 0.0256, 0)</f>
        <v>17.4346</v>
      </c>
      <c r="C93" s="10">
        <f>16.4926 * CHOOSE(CONTROL!$C$15, $E$9, 100%, $G$9) + CHOOSE(CONTROL!$C$38, 0.0347, 0)</f>
        <v>16.5273</v>
      </c>
      <c r="D93" s="10">
        <f>16.4848 * CHOOSE(CONTROL!$C$15, $E$9, 100%, $G$9) + CHOOSE(CONTROL!$C$38, 0.0347, 0)</f>
        <v>16.519500000000001</v>
      </c>
      <c r="E93" s="28">
        <f>17.2528 * CHOOSE(CONTROL!$C$15, $E$9, 100%, $G$9) + CHOOSE(CONTROL!$C$38, 0.0347, 0)</f>
        <v>17.287500000000001</v>
      </c>
      <c r="F93" s="27">
        <f>17.2528 * CHOOSE(CONTROL!$C$15, $E$9, 100%, $G$9) + CHOOSE(CONTROL!$C$38, 0.0256, 0)</f>
        <v>17.278400000000001</v>
      </c>
      <c r="G93" s="10">
        <f>16.4911 * CHOOSE(CONTROL!$C$15, $E$9, 100%, $G$9) + CHOOSE(CONTROL!$C$38, 0.0347, 0)</f>
        <v>16.5258</v>
      </c>
      <c r="H93" s="10">
        <f>16.4911 * CHOOSE(CONTROL!$C$15, $E$9, 100%, $G$9) + CHOOSE(CONTROL!$C$38, 0.0347, 0)</f>
        <v>16.5258</v>
      </c>
      <c r="I93" s="10">
        <f>16.4926 * CHOOSE(CONTROL!$C$15, $E$9, 100%, $G$9) + CHOOSE(CONTROL!$C$38, 0.0347, 0)</f>
        <v>16.5273</v>
      </c>
      <c r="J93" s="26">
        <f>108.4219</f>
        <v>108.42189999999999</v>
      </c>
    </row>
    <row r="94" spans="1:10" ht="15" x14ac:dyDescent="0.2">
      <c r="A94" s="16">
        <v>43770</v>
      </c>
      <c r="B94" s="10">
        <f>17.6025 * CHOOSE(CONTROL!$C$15, $E$9, 100%, $G$9) + CHOOSE(CONTROL!$C$38, 0.0256, 0)</f>
        <v>17.6281</v>
      </c>
      <c r="C94" s="10">
        <f>16.6861 * CHOOSE(CONTROL!$C$15, $E$9, 100%, $G$9) + CHOOSE(CONTROL!$C$38, 0.0347, 0)</f>
        <v>16.720800000000001</v>
      </c>
      <c r="D94" s="10">
        <f>16.6782 * CHOOSE(CONTROL!$C$15, $E$9, 100%, $G$9) + CHOOSE(CONTROL!$C$38, 0.0347, 0)</f>
        <v>16.712900000000001</v>
      </c>
      <c r="E94" s="28">
        <f>17.4462 * CHOOSE(CONTROL!$C$15, $E$9, 100%, $G$9) + CHOOSE(CONTROL!$C$38, 0.0347, 0)</f>
        <v>17.480900000000002</v>
      </c>
      <c r="F94" s="27">
        <f>17.4462 * CHOOSE(CONTROL!$C$15, $E$9, 100%, $G$9) + CHOOSE(CONTROL!$C$38, 0.0256, 0)</f>
        <v>17.471800000000002</v>
      </c>
      <c r="G94" s="10">
        <f>16.6845 * CHOOSE(CONTROL!$C$15, $E$9, 100%, $G$9) + CHOOSE(CONTROL!$C$38, 0.0347, 0)</f>
        <v>16.719200000000001</v>
      </c>
      <c r="H94" s="10">
        <f>16.6845 * CHOOSE(CONTROL!$C$15, $E$9, 100%, $G$9) + CHOOSE(CONTROL!$C$38, 0.0347, 0)</f>
        <v>16.719200000000001</v>
      </c>
      <c r="I94" s="10">
        <f>16.6861 * CHOOSE(CONTROL!$C$15, $E$9, 100%, $G$9) + CHOOSE(CONTROL!$C$38, 0.0347, 0)</f>
        <v>16.720800000000001</v>
      </c>
      <c r="J94" s="26">
        <f>107.6494</f>
        <v>107.6494</v>
      </c>
    </row>
    <row r="95" spans="1:10" ht="15" x14ac:dyDescent="0.2">
      <c r="A95" s="16">
        <v>43800</v>
      </c>
      <c r="B95" s="10">
        <f>18.1985 * CHOOSE(CONTROL!$C$15, $E$9, 100%, $G$9) + CHOOSE(CONTROL!$C$38, 0.0256, 0)</f>
        <v>18.2241</v>
      </c>
      <c r="C95" s="10">
        <f>17.2821 * CHOOSE(CONTROL!$C$15, $E$9, 100%, $G$9) + CHOOSE(CONTROL!$C$38, 0.0347, 0)</f>
        <v>17.316800000000001</v>
      </c>
      <c r="D95" s="10">
        <f>17.2743 * CHOOSE(CONTROL!$C$15, $E$9, 100%, $G$9) + CHOOSE(CONTROL!$C$38, 0.0347, 0)</f>
        <v>17.309000000000001</v>
      </c>
      <c r="E95" s="28">
        <f>18.0423 * CHOOSE(CONTROL!$C$15, $E$9, 100%, $G$9) + CHOOSE(CONTROL!$C$38, 0.0347, 0)</f>
        <v>18.077000000000002</v>
      </c>
      <c r="F95" s="27">
        <f>18.0423 * CHOOSE(CONTROL!$C$15, $E$9, 100%, $G$9) + CHOOSE(CONTROL!$C$38, 0.0256, 0)</f>
        <v>18.067900000000002</v>
      </c>
      <c r="G95" s="10">
        <f>17.2806 * CHOOSE(CONTROL!$C$15, $E$9, 100%, $G$9) + CHOOSE(CONTROL!$C$38, 0.0347, 0)</f>
        <v>17.315300000000001</v>
      </c>
      <c r="H95" s="10">
        <f>17.2806 * CHOOSE(CONTROL!$C$15, $E$9, 100%, $G$9) + CHOOSE(CONTROL!$C$38, 0.0347, 0)</f>
        <v>17.315300000000001</v>
      </c>
      <c r="I95" s="10">
        <f>17.2821 * CHOOSE(CONTROL!$C$15, $E$9, 100%, $G$9) + CHOOSE(CONTROL!$C$38, 0.0347, 0)</f>
        <v>17.316800000000001</v>
      </c>
      <c r="J95" s="26">
        <f>104.4549</f>
        <v>104.45489999999999</v>
      </c>
    </row>
    <row r="96" spans="1:10" ht="15" x14ac:dyDescent="0.2">
      <c r="A96" s="16">
        <v>43831</v>
      </c>
      <c r="B96" s="10">
        <f>19.3063 * CHOOSE(CONTROL!$C$15, $E$9, 100%, $G$9) + CHOOSE(CONTROL!$C$38, 0.0256, 0)</f>
        <v>19.331900000000001</v>
      </c>
      <c r="C96" s="10">
        <f>18.2259 * CHOOSE(CONTROL!$C$15, $E$9, 100%, $G$9) + CHOOSE(CONTROL!$C$38, 0.0347, 0)</f>
        <v>18.2606</v>
      </c>
      <c r="D96" s="10">
        <f>18.2181 * CHOOSE(CONTROL!$C$15, $E$9, 100%, $G$9) + CHOOSE(CONTROL!$C$38, 0.0347, 0)</f>
        <v>18.252800000000001</v>
      </c>
      <c r="E96" s="28">
        <f>19.1501 * CHOOSE(CONTROL!$C$15, $E$9, 100%, $G$9) + CHOOSE(CONTROL!$C$38, 0.0347, 0)</f>
        <v>19.184799999999999</v>
      </c>
      <c r="F96" s="27">
        <f>19.1501 * CHOOSE(CONTROL!$C$15, $E$9, 100%, $G$9) + CHOOSE(CONTROL!$C$38, 0.0256, 0)</f>
        <v>19.175699999999999</v>
      </c>
      <c r="G96" s="10">
        <f>18.2244 * CHOOSE(CONTROL!$C$15, $E$9, 100%, $G$9) + CHOOSE(CONTROL!$C$38, 0.0347, 0)</f>
        <v>18.2591</v>
      </c>
      <c r="H96" s="10">
        <f>18.2244 * CHOOSE(CONTROL!$C$15, $E$9, 100%, $G$9) + CHOOSE(CONTROL!$C$38, 0.0347, 0)</f>
        <v>18.2591</v>
      </c>
      <c r="I96" s="10">
        <f>18.2259 * CHOOSE(CONTROL!$C$15, $E$9, 100%, $G$9) + CHOOSE(CONTROL!$C$38, 0.0347, 0)</f>
        <v>18.2606</v>
      </c>
      <c r="J96" s="26">
        <f>104.1224</f>
        <v>104.1224</v>
      </c>
    </row>
    <row r="97" spans="1:10" ht="15" x14ac:dyDescent="0.2">
      <c r="A97" s="16">
        <v>43862</v>
      </c>
      <c r="B97" s="10">
        <f>19.5271 * CHOOSE(CONTROL!$C$15, $E$9, 100%, $G$9) + CHOOSE(CONTROL!$C$38, 0.0256, 0)</f>
        <v>19.552700000000002</v>
      </c>
      <c r="C97" s="10">
        <f>18.4467 * CHOOSE(CONTROL!$C$15, $E$9, 100%, $G$9) + CHOOSE(CONTROL!$C$38, 0.0347, 0)</f>
        <v>18.481400000000001</v>
      </c>
      <c r="D97" s="10">
        <f>18.4389 * CHOOSE(CONTROL!$C$15, $E$9, 100%, $G$9) + CHOOSE(CONTROL!$C$38, 0.0347, 0)</f>
        <v>18.473600000000001</v>
      </c>
      <c r="E97" s="28">
        <f>19.3708 * CHOOSE(CONTROL!$C$15, $E$9, 100%, $G$9) + CHOOSE(CONTROL!$C$38, 0.0347, 0)</f>
        <v>19.4055</v>
      </c>
      <c r="F97" s="27">
        <f>19.3708 * CHOOSE(CONTROL!$C$15, $E$9, 100%, $G$9) + CHOOSE(CONTROL!$C$38, 0.0256, 0)</f>
        <v>19.3964</v>
      </c>
      <c r="G97" s="10">
        <f>18.4451 * CHOOSE(CONTROL!$C$15, $E$9, 100%, $G$9) + CHOOSE(CONTROL!$C$38, 0.0347, 0)</f>
        <v>18.479800000000001</v>
      </c>
      <c r="H97" s="10">
        <f>18.4451 * CHOOSE(CONTROL!$C$15, $E$9, 100%, $G$9) + CHOOSE(CONTROL!$C$38, 0.0347, 0)</f>
        <v>18.479800000000001</v>
      </c>
      <c r="I97" s="10">
        <f>18.4467 * CHOOSE(CONTROL!$C$15, $E$9, 100%, $G$9) + CHOOSE(CONTROL!$C$38, 0.0347, 0)</f>
        <v>18.481400000000001</v>
      </c>
      <c r="J97" s="26">
        <f>103.833</f>
        <v>103.833</v>
      </c>
    </row>
    <row r="98" spans="1:10" ht="15" x14ac:dyDescent="0.2">
      <c r="A98" s="16">
        <v>43891</v>
      </c>
      <c r="B98" s="10">
        <f>19.016 * CHOOSE(CONTROL!$C$15, $E$9, 100%, $G$9) + CHOOSE(CONTROL!$C$38, 0.0256, 0)</f>
        <v>19.041599999999999</v>
      </c>
      <c r="C98" s="10">
        <f>17.9356 * CHOOSE(CONTROL!$C$15, $E$9, 100%, $G$9) + CHOOSE(CONTROL!$C$38, 0.0347, 0)</f>
        <v>17.970300000000002</v>
      </c>
      <c r="D98" s="10">
        <f>17.9278 * CHOOSE(CONTROL!$C$15, $E$9, 100%, $G$9) + CHOOSE(CONTROL!$C$38, 0.0347, 0)</f>
        <v>17.962500000000002</v>
      </c>
      <c r="E98" s="28">
        <f>18.8598 * CHOOSE(CONTROL!$C$15, $E$9, 100%, $G$9) + CHOOSE(CONTROL!$C$38, 0.0347, 0)</f>
        <v>18.894500000000001</v>
      </c>
      <c r="F98" s="27">
        <f>18.8598 * CHOOSE(CONTROL!$C$15, $E$9, 100%, $G$9) + CHOOSE(CONTROL!$C$38, 0.0256, 0)</f>
        <v>18.885400000000001</v>
      </c>
      <c r="G98" s="10">
        <f>17.9341 * CHOOSE(CONTROL!$C$15, $E$9, 100%, $G$9) + CHOOSE(CONTROL!$C$38, 0.0347, 0)</f>
        <v>17.968800000000002</v>
      </c>
      <c r="H98" s="10">
        <f>17.9341 * CHOOSE(CONTROL!$C$15, $E$9, 100%, $G$9) + CHOOSE(CONTROL!$C$38, 0.0347, 0)</f>
        <v>17.968800000000002</v>
      </c>
      <c r="I98" s="10">
        <f>17.9356 * CHOOSE(CONTROL!$C$15, $E$9, 100%, $G$9) + CHOOSE(CONTROL!$C$38, 0.0347, 0)</f>
        <v>17.970300000000002</v>
      </c>
      <c r="J98" s="26">
        <f>109.3056</f>
        <v>109.3056</v>
      </c>
    </row>
    <row r="99" spans="1:10" ht="15" x14ac:dyDescent="0.2">
      <c r="A99" s="16">
        <v>43922</v>
      </c>
      <c r="B99" s="10">
        <f>18.5209 * CHOOSE(CONTROL!$C$15, $E$9, 100%, $G$9) + CHOOSE(CONTROL!$C$38, 0.0256, 0)</f>
        <v>18.546500000000002</v>
      </c>
      <c r="C99" s="10">
        <f>17.4405 * CHOOSE(CONTROL!$C$15, $E$9, 100%, $G$9) + CHOOSE(CONTROL!$C$38, 0.0347, 0)</f>
        <v>17.475200000000001</v>
      </c>
      <c r="D99" s="10">
        <f>17.4327 * CHOOSE(CONTROL!$C$15, $E$9, 100%, $G$9) + CHOOSE(CONTROL!$C$38, 0.0347, 0)</f>
        <v>17.467400000000001</v>
      </c>
      <c r="E99" s="28">
        <f>18.3646 * CHOOSE(CONTROL!$C$15, $E$9, 100%, $G$9) + CHOOSE(CONTROL!$C$38, 0.0347, 0)</f>
        <v>18.3993</v>
      </c>
      <c r="F99" s="27">
        <f>18.3646 * CHOOSE(CONTROL!$C$15, $E$9, 100%, $G$9) + CHOOSE(CONTROL!$C$38, 0.0256, 0)</f>
        <v>18.3902</v>
      </c>
      <c r="G99" s="10">
        <f>17.4389 * CHOOSE(CONTROL!$C$15, $E$9, 100%, $G$9) + CHOOSE(CONTROL!$C$38, 0.0347, 0)</f>
        <v>17.473600000000001</v>
      </c>
      <c r="H99" s="10">
        <f>17.4389 * CHOOSE(CONTROL!$C$15, $E$9, 100%, $G$9) + CHOOSE(CONTROL!$C$38, 0.0347, 0)</f>
        <v>17.473600000000001</v>
      </c>
      <c r="I99" s="10">
        <f>17.4405 * CHOOSE(CONTROL!$C$15, $E$9, 100%, $G$9) + CHOOSE(CONTROL!$C$38, 0.0347, 0)</f>
        <v>17.475200000000001</v>
      </c>
      <c r="J99" s="26">
        <f>116.4022</f>
        <v>116.40219999999999</v>
      </c>
    </row>
    <row r="100" spans="1:10" ht="15" x14ac:dyDescent="0.2">
      <c r="A100" s="16">
        <v>43952</v>
      </c>
      <c r="B100" s="10">
        <f>18.0048 * CHOOSE(CONTROL!$C$15, $E$9, 100%, $G$9) + CHOOSE(CONTROL!$C$38, 0.0278, 0)</f>
        <v>18.032599999999999</v>
      </c>
      <c r="C100" s="10">
        <f>16.9244 * CHOOSE(CONTROL!$C$15, $E$9, 100%, $G$9) + CHOOSE(CONTROL!$C$38, 0.0369, 0)</f>
        <v>16.961299999999998</v>
      </c>
      <c r="D100" s="10">
        <f>16.9165 * CHOOSE(CONTROL!$C$15, $E$9, 100%, $G$9) + CHOOSE(CONTROL!$C$38, 0.0369, 0)</f>
        <v>16.953399999999998</v>
      </c>
      <c r="E100" s="28">
        <f>17.8485 * CHOOSE(CONTROL!$C$15, $E$9, 100%, $G$9) + CHOOSE(CONTROL!$C$38, 0.0369, 0)</f>
        <v>17.885400000000001</v>
      </c>
      <c r="F100" s="27">
        <f>17.8485 * CHOOSE(CONTROL!$C$15, $E$9, 100%, $G$9) + CHOOSE(CONTROL!$C$38, 0.0278, 0)</f>
        <v>17.876300000000001</v>
      </c>
      <c r="G100" s="10">
        <f>16.9228 * CHOOSE(CONTROL!$C$15, $E$9, 100%, $G$9) + CHOOSE(CONTROL!$C$38, 0.0369, 0)</f>
        <v>16.959699999999998</v>
      </c>
      <c r="H100" s="10">
        <f>16.9228 * CHOOSE(CONTROL!$C$15, $E$9, 100%, $G$9) + CHOOSE(CONTROL!$C$38, 0.0369, 0)</f>
        <v>16.959699999999998</v>
      </c>
      <c r="I100" s="10">
        <f>16.9244 * CHOOSE(CONTROL!$C$15, $E$9, 100%, $G$9) + CHOOSE(CONTROL!$C$38, 0.0369, 0)</f>
        <v>16.961299999999998</v>
      </c>
      <c r="J100" s="26">
        <f>120.3085</f>
        <v>120.3085</v>
      </c>
    </row>
    <row r="101" spans="1:10" ht="15" x14ac:dyDescent="0.2">
      <c r="A101" s="16">
        <v>43983</v>
      </c>
      <c r="B101" s="10">
        <f>17.6429 * CHOOSE(CONTROL!$C$15, $E$9, 100%, $G$9) + CHOOSE(CONTROL!$C$38, 0.0278, 0)</f>
        <v>17.6707</v>
      </c>
      <c r="C101" s="10">
        <f>16.5625 * CHOOSE(CONTROL!$C$15, $E$9, 100%, $G$9) + CHOOSE(CONTROL!$C$38, 0.0369, 0)</f>
        <v>16.599399999999999</v>
      </c>
      <c r="D101" s="10">
        <f>16.5547 * CHOOSE(CONTROL!$C$15, $E$9, 100%, $G$9) + CHOOSE(CONTROL!$C$38, 0.0369, 0)</f>
        <v>16.5916</v>
      </c>
      <c r="E101" s="28">
        <f>17.4867 * CHOOSE(CONTROL!$C$15, $E$9, 100%, $G$9) + CHOOSE(CONTROL!$C$38, 0.0369, 0)</f>
        <v>17.523599999999998</v>
      </c>
      <c r="F101" s="27">
        <f>17.4867 * CHOOSE(CONTROL!$C$15, $E$9, 100%, $G$9) + CHOOSE(CONTROL!$C$38, 0.0278, 0)</f>
        <v>17.514499999999998</v>
      </c>
      <c r="G101" s="10">
        <f>16.561 * CHOOSE(CONTROL!$C$15, $E$9, 100%, $G$9) + CHOOSE(CONTROL!$C$38, 0.0369, 0)</f>
        <v>16.597899999999999</v>
      </c>
      <c r="H101" s="10">
        <f>16.561 * CHOOSE(CONTROL!$C$15, $E$9, 100%, $G$9) + CHOOSE(CONTROL!$C$38, 0.0369, 0)</f>
        <v>16.597899999999999</v>
      </c>
      <c r="I101" s="10">
        <f>16.5625 * CHOOSE(CONTROL!$C$15, $E$9, 100%, $G$9) + CHOOSE(CONTROL!$C$38, 0.0369, 0)</f>
        <v>16.599399999999999</v>
      </c>
      <c r="J101" s="26">
        <f>122.042</f>
        <v>122.042</v>
      </c>
    </row>
    <row r="102" spans="1:10" ht="15" x14ac:dyDescent="0.2">
      <c r="A102" s="16">
        <v>44013</v>
      </c>
      <c r="B102" s="10">
        <f>17.4364 * CHOOSE(CONTROL!$C$15, $E$9, 100%, $G$9) + CHOOSE(CONTROL!$C$38, 0.0278, 0)</f>
        <v>17.464199999999998</v>
      </c>
      <c r="C102" s="10">
        <f>16.356 * CHOOSE(CONTROL!$C$15, $E$9, 100%, $G$9) + CHOOSE(CONTROL!$C$38, 0.0369, 0)</f>
        <v>16.392900000000001</v>
      </c>
      <c r="D102" s="10">
        <f>16.3482 * CHOOSE(CONTROL!$C$15, $E$9, 100%, $G$9) + CHOOSE(CONTROL!$C$38, 0.0369, 0)</f>
        <v>16.385099999999998</v>
      </c>
      <c r="E102" s="28">
        <f>17.2802 * CHOOSE(CONTROL!$C$15, $E$9, 100%, $G$9) + CHOOSE(CONTROL!$C$38, 0.0369, 0)</f>
        <v>17.3171</v>
      </c>
      <c r="F102" s="27">
        <f>17.2802 * CHOOSE(CONTROL!$C$15, $E$9, 100%, $G$9) + CHOOSE(CONTROL!$C$38, 0.0278, 0)</f>
        <v>17.308</v>
      </c>
      <c r="G102" s="10">
        <f>16.3545 * CHOOSE(CONTROL!$C$15, $E$9, 100%, $G$9) + CHOOSE(CONTROL!$C$38, 0.0369, 0)</f>
        <v>16.391400000000001</v>
      </c>
      <c r="H102" s="10">
        <f>16.3545 * CHOOSE(CONTROL!$C$15, $E$9, 100%, $G$9) + CHOOSE(CONTROL!$C$38, 0.0369, 0)</f>
        <v>16.391400000000001</v>
      </c>
      <c r="I102" s="10">
        <f>16.356 * CHOOSE(CONTROL!$C$15, $E$9, 100%, $G$9) + CHOOSE(CONTROL!$C$38, 0.0369, 0)</f>
        <v>16.392900000000001</v>
      </c>
      <c r="J102" s="26">
        <f>121.4712</f>
        <v>121.4712</v>
      </c>
    </row>
    <row r="103" spans="1:10" ht="15" x14ac:dyDescent="0.2">
      <c r="A103" s="16">
        <v>44044</v>
      </c>
      <c r="B103" s="10">
        <f>17.5383 * CHOOSE(CONTROL!$C$15, $E$9, 100%, $G$9) + CHOOSE(CONTROL!$C$38, 0.0278, 0)</f>
        <v>17.566099999999999</v>
      </c>
      <c r="C103" s="10">
        <f>16.4579 * CHOOSE(CONTROL!$C$15, $E$9, 100%, $G$9) + CHOOSE(CONTROL!$C$38, 0.0369, 0)</f>
        <v>16.494799999999998</v>
      </c>
      <c r="D103" s="10">
        <f>16.4501 * CHOOSE(CONTROL!$C$15, $E$9, 100%, $G$9) + CHOOSE(CONTROL!$C$38, 0.0369, 0)</f>
        <v>16.486999999999998</v>
      </c>
      <c r="E103" s="28">
        <f>17.3821 * CHOOSE(CONTROL!$C$15, $E$9, 100%, $G$9) + CHOOSE(CONTROL!$C$38, 0.0369, 0)</f>
        <v>17.419</v>
      </c>
      <c r="F103" s="27">
        <f>17.3821 * CHOOSE(CONTROL!$C$15, $E$9, 100%, $G$9) + CHOOSE(CONTROL!$C$38, 0.0278, 0)</f>
        <v>17.4099</v>
      </c>
      <c r="G103" s="10">
        <f>16.4564 * CHOOSE(CONTROL!$C$15, $E$9, 100%, $G$9) + CHOOSE(CONTROL!$C$38, 0.0369, 0)</f>
        <v>16.493299999999998</v>
      </c>
      <c r="H103" s="10">
        <f>16.4564 * CHOOSE(CONTROL!$C$15, $E$9, 100%, $G$9) + CHOOSE(CONTROL!$C$38, 0.0369, 0)</f>
        <v>16.493299999999998</v>
      </c>
      <c r="I103" s="10">
        <f>16.4579 * CHOOSE(CONTROL!$C$15, $E$9, 100%, $G$9) + CHOOSE(CONTROL!$C$38, 0.0369, 0)</f>
        <v>16.494799999999998</v>
      </c>
      <c r="J103" s="26">
        <f>118.6434</f>
        <v>118.6434</v>
      </c>
    </row>
    <row r="104" spans="1:10" ht="15" x14ac:dyDescent="0.2">
      <c r="A104" s="16">
        <v>44075</v>
      </c>
      <c r="B104" s="10">
        <f>17.8151 * CHOOSE(CONTROL!$C$15, $E$9, 100%, $G$9) + CHOOSE(CONTROL!$C$38, 0.0278, 0)</f>
        <v>17.8429</v>
      </c>
      <c r="C104" s="10">
        <f>16.7347 * CHOOSE(CONTROL!$C$15, $E$9, 100%, $G$9) + CHOOSE(CONTROL!$C$38, 0.0369, 0)</f>
        <v>16.771599999999999</v>
      </c>
      <c r="D104" s="10">
        <f>16.7269 * CHOOSE(CONTROL!$C$15, $E$9, 100%, $G$9) + CHOOSE(CONTROL!$C$38, 0.0369, 0)</f>
        <v>16.7638</v>
      </c>
      <c r="E104" s="28">
        <f>17.6589 * CHOOSE(CONTROL!$C$15, $E$9, 100%, $G$9) + CHOOSE(CONTROL!$C$38, 0.0369, 0)</f>
        <v>17.695799999999998</v>
      </c>
      <c r="F104" s="27">
        <f>17.6589 * CHOOSE(CONTROL!$C$15, $E$9, 100%, $G$9) + CHOOSE(CONTROL!$C$38, 0.0278, 0)</f>
        <v>17.686699999999998</v>
      </c>
      <c r="G104" s="10">
        <f>16.7332 * CHOOSE(CONTROL!$C$15, $E$9, 100%, $G$9) + CHOOSE(CONTROL!$C$38, 0.0369, 0)</f>
        <v>16.770099999999999</v>
      </c>
      <c r="H104" s="10">
        <f>16.7332 * CHOOSE(CONTROL!$C$15, $E$9, 100%, $G$9) + CHOOSE(CONTROL!$C$38, 0.0369, 0)</f>
        <v>16.770099999999999</v>
      </c>
      <c r="I104" s="10">
        <f>16.7347 * CHOOSE(CONTROL!$C$15, $E$9, 100%, $G$9) + CHOOSE(CONTROL!$C$38, 0.0369, 0)</f>
        <v>16.771599999999999</v>
      </c>
      <c r="J104" s="26">
        <f>114.6999</f>
        <v>114.6999</v>
      </c>
    </row>
    <row r="105" spans="1:10" ht="15" x14ac:dyDescent="0.2">
      <c r="A105" s="16">
        <v>44105</v>
      </c>
      <c r="B105" s="10">
        <f>18.047 * CHOOSE(CONTROL!$C$15, $E$9, 100%, $G$9) + CHOOSE(CONTROL!$C$38, 0.0256, 0)</f>
        <v>18.072600000000001</v>
      </c>
      <c r="C105" s="10">
        <f>16.9666 * CHOOSE(CONTROL!$C$15, $E$9, 100%, $G$9) + CHOOSE(CONTROL!$C$38, 0.0347, 0)</f>
        <v>17.001300000000001</v>
      </c>
      <c r="D105" s="10">
        <f>16.9587 * CHOOSE(CONTROL!$C$15, $E$9, 100%, $G$9) + CHOOSE(CONTROL!$C$38, 0.0347, 0)</f>
        <v>16.993400000000001</v>
      </c>
      <c r="E105" s="28">
        <f>17.8907 * CHOOSE(CONTROL!$C$15, $E$9, 100%, $G$9) + CHOOSE(CONTROL!$C$38, 0.0347, 0)</f>
        <v>17.9254</v>
      </c>
      <c r="F105" s="27">
        <f>17.8907 * CHOOSE(CONTROL!$C$15, $E$9, 100%, $G$9) + CHOOSE(CONTROL!$C$38, 0.0256, 0)</f>
        <v>17.9163</v>
      </c>
      <c r="G105" s="10">
        <f>16.965 * CHOOSE(CONTROL!$C$15, $E$9, 100%, $G$9) + CHOOSE(CONTROL!$C$38, 0.0347, 0)</f>
        <v>16.999700000000001</v>
      </c>
      <c r="H105" s="10">
        <f>16.965 * CHOOSE(CONTROL!$C$15, $E$9, 100%, $G$9) + CHOOSE(CONTROL!$C$38, 0.0347, 0)</f>
        <v>16.999700000000001</v>
      </c>
      <c r="I105" s="10">
        <f>16.9666 * CHOOSE(CONTROL!$C$15, $E$9, 100%, $G$9) + CHOOSE(CONTROL!$C$38, 0.0347, 0)</f>
        <v>17.001300000000001</v>
      </c>
      <c r="J105" s="26">
        <f>110.7335</f>
        <v>110.73350000000001</v>
      </c>
    </row>
    <row r="106" spans="1:10" ht="15" x14ac:dyDescent="0.2">
      <c r="A106" s="16">
        <v>44136</v>
      </c>
      <c r="B106" s="10">
        <f>18.2404 * CHOOSE(CONTROL!$C$15, $E$9, 100%, $G$9) + CHOOSE(CONTROL!$C$38, 0.0256, 0)</f>
        <v>18.266000000000002</v>
      </c>
      <c r="C106" s="10">
        <f>17.16 * CHOOSE(CONTROL!$C$15, $E$9, 100%, $G$9) + CHOOSE(CONTROL!$C$38, 0.0347, 0)</f>
        <v>17.194700000000001</v>
      </c>
      <c r="D106" s="10">
        <f>17.1522 * CHOOSE(CONTROL!$C$15, $E$9, 100%, $G$9) + CHOOSE(CONTROL!$C$38, 0.0347, 0)</f>
        <v>17.186900000000001</v>
      </c>
      <c r="E106" s="28">
        <f>18.0841 * CHOOSE(CONTROL!$C$15, $E$9, 100%, $G$9) + CHOOSE(CONTROL!$C$38, 0.0347, 0)</f>
        <v>18.1188</v>
      </c>
      <c r="F106" s="27">
        <f>18.0841 * CHOOSE(CONTROL!$C$15, $E$9, 100%, $G$9) + CHOOSE(CONTROL!$C$38, 0.0256, 0)</f>
        <v>18.1097</v>
      </c>
      <c r="G106" s="10">
        <f>17.1584 * CHOOSE(CONTROL!$C$15, $E$9, 100%, $G$9) + CHOOSE(CONTROL!$C$38, 0.0347, 0)</f>
        <v>17.193100000000001</v>
      </c>
      <c r="H106" s="10">
        <f>17.1584 * CHOOSE(CONTROL!$C$15, $E$9, 100%, $G$9) + CHOOSE(CONTROL!$C$38, 0.0347, 0)</f>
        <v>17.193100000000001</v>
      </c>
      <c r="I106" s="10">
        <f>17.16 * CHOOSE(CONTROL!$C$15, $E$9, 100%, $G$9) + CHOOSE(CONTROL!$C$38, 0.0347, 0)</f>
        <v>17.194700000000001</v>
      </c>
      <c r="J106" s="26">
        <f>109.9445</f>
        <v>109.94450000000001</v>
      </c>
    </row>
    <row r="107" spans="1:10" ht="15" x14ac:dyDescent="0.2">
      <c r="A107" s="16">
        <v>44166</v>
      </c>
      <c r="B107" s="10">
        <f>18.8365 * CHOOSE(CONTROL!$C$15, $E$9, 100%, $G$9) + CHOOSE(CONTROL!$C$38, 0.0256, 0)</f>
        <v>18.862100000000002</v>
      </c>
      <c r="C107" s="10">
        <f>17.7561 * CHOOSE(CONTROL!$C$15, $E$9, 100%, $G$9) + CHOOSE(CONTROL!$C$38, 0.0347, 0)</f>
        <v>17.790800000000001</v>
      </c>
      <c r="D107" s="10">
        <f>17.7483 * CHOOSE(CONTROL!$C$15, $E$9, 100%, $G$9) + CHOOSE(CONTROL!$C$38, 0.0347, 0)</f>
        <v>17.783000000000001</v>
      </c>
      <c r="E107" s="28">
        <f>18.6802 * CHOOSE(CONTROL!$C$15, $E$9, 100%, $G$9) + CHOOSE(CONTROL!$C$38, 0.0347, 0)</f>
        <v>18.7149</v>
      </c>
      <c r="F107" s="27">
        <f>18.6802 * CHOOSE(CONTROL!$C$15, $E$9, 100%, $G$9) + CHOOSE(CONTROL!$C$38, 0.0256, 0)</f>
        <v>18.7058</v>
      </c>
      <c r="G107" s="10">
        <f>17.7545 * CHOOSE(CONTROL!$C$15, $E$9, 100%, $G$9) + CHOOSE(CONTROL!$C$38, 0.0347, 0)</f>
        <v>17.789200000000001</v>
      </c>
      <c r="H107" s="10">
        <f>17.7545 * CHOOSE(CONTROL!$C$15, $E$9, 100%, $G$9) + CHOOSE(CONTROL!$C$38, 0.0347, 0)</f>
        <v>17.789200000000001</v>
      </c>
      <c r="I107" s="10">
        <f>17.7561 * CHOOSE(CONTROL!$C$15, $E$9, 100%, $G$9) + CHOOSE(CONTROL!$C$38, 0.0347, 0)</f>
        <v>17.790800000000001</v>
      </c>
      <c r="J107" s="26">
        <f>106.6819</f>
        <v>106.6819</v>
      </c>
    </row>
    <row r="108" spans="1:10" ht="15" x14ac:dyDescent="0.2">
      <c r="A108" s="16">
        <v>44197</v>
      </c>
      <c r="B108" s="10">
        <f>20.2024 * CHOOSE(CONTROL!$C$15, $E$9, 100%, $G$9) + CHOOSE(CONTROL!$C$38, 0.0256, 0)</f>
        <v>20.228000000000002</v>
      </c>
      <c r="C108" s="10">
        <f>18.8892 * CHOOSE(CONTROL!$C$15, $E$9, 100%, $G$9) + CHOOSE(CONTROL!$C$38, 0.0347, 0)</f>
        <v>18.9239</v>
      </c>
      <c r="D108" s="10">
        <f>18.8814 * CHOOSE(CONTROL!$C$15, $E$9, 100%, $G$9) + CHOOSE(CONTROL!$C$38, 0.0347, 0)</f>
        <v>18.9161</v>
      </c>
      <c r="E108" s="28">
        <f>20.0462 * CHOOSE(CONTROL!$C$15, $E$9, 100%, $G$9) + CHOOSE(CONTROL!$C$38, 0.0347, 0)</f>
        <v>20.0809</v>
      </c>
      <c r="F108" s="27">
        <f>20.0462 * CHOOSE(CONTROL!$C$15, $E$9, 100%, $G$9) + CHOOSE(CONTROL!$C$38, 0.0256, 0)</f>
        <v>20.0718</v>
      </c>
      <c r="G108" s="10">
        <f>18.8877 * CHOOSE(CONTROL!$C$15, $E$9, 100%, $G$9) + CHOOSE(CONTROL!$C$38, 0.0347, 0)</f>
        <v>18.9224</v>
      </c>
      <c r="H108" s="10">
        <f>18.8877 * CHOOSE(CONTROL!$C$15, $E$9, 100%, $G$9) + CHOOSE(CONTROL!$C$38, 0.0347, 0)</f>
        <v>18.9224</v>
      </c>
      <c r="I108" s="10">
        <f>18.8892 * CHOOSE(CONTROL!$C$15, $E$9, 100%, $G$9) + CHOOSE(CONTROL!$C$38, 0.0347, 0)</f>
        <v>18.9239</v>
      </c>
      <c r="J108" s="26">
        <f>108.7765</f>
        <v>108.7765</v>
      </c>
    </row>
    <row r="109" spans="1:10" ht="15" x14ac:dyDescent="0.2">
      <c r="A109" s="16">
        <v>44228</v>
      </c>
      <c r="B109" s="10">
        <f>20.4232 * CHOOSE(CONTROL!$C$15, $E$9, 100%, $G$9) + CHOOSE(CONTROL!$C$38, 0.0256, 0)</f>
        <v>20.448800000000002</v>
      </c>
      <c r="C109" s="10">
        <f>19.11 * CHOOSE(CONTROL!$C$15, $E$9, 100%, $G$9) + CHOOSE(CONTROL!$C$38, 0.0347, 0)</f>
        <v>19.1447</v>
      </c>
      <c r="D109" s="10">
        <f>19.1022 * CHOOSE(CONTROL!$C$15, $E$9, 100%, $G$9) + CHOOSE(CONTROL!$C$38, 0.0347, 0)</f>
        <v>19.136900000000001</v>
      </c>
      <c r="E109" s="28">
        <f>20.2669 * CHOOSE(CONTROL!$C$15, $E$9, 100%, $G$9) + CHOOSE(CONTROL!$C$38, 0.0347, 0)</f>
        <v>20.301600000000001</v>
      </c>
      <c r="F109" s="27">
        <f>20.2669 * CHOOSE(CONTROL!$C$15, $E$9, 100%, $G$9) + CHOOSE(CONTROL!$C$38, 0.0256, 0)</f>
        <v>20.2925</v>
      </c>
      <c r="G109" s="10">
        <f>19.1084 * CHOOSE(CONTROL!$C$15, $E$9, 100%, $G$9) + CHOOSE(CONTROL!$C$38, 0.0347, 0)</f>
        <v>19.1431</v>
      </c>
      <c r="H109" s="10">
        <f>19.1084 * CHOOSE(CONTROL!$C$15, $E$9, 100%, $G$9) + CHOOSE(CONTROL!$C$38, 0.0347, 0)</f>
        <v>19.1431</v>
      </c>
      <c r="I109" s="10">
        <f>19.11 * CHOOSE(CONTROL!$C$15, $E$9, 100%, $G$9) + CHOOSE(CONTROL!$C$38, 0.0347, 0)</f>
        <v>19.1447</v>
      </c>
      <c r="J109" s="26">
        <f>108.4741</f>
        <v>108.47410000000001</v>
      </c>
    </row>
    <row r="110" spans="1:10" ht="15" x14ac:dyDescent="0.2">
      <c r="A110" s="16">
        <v>44256</v>
      </c>
      <c r="B110" s="10">
        <f>19.9122 * CHOOSE(CONTROL!$C$15, $E$9, 100%, $G$9) + CHOOSE(CONTROL!$C$38, 0.0256, 0)</f>
        <v>19.937799999999999</v>
      </c>
      <c r="C110" s="10">
        <f>18.599 * CHOOSE(CONTROL!$C$15, $E$9, 100%, $G$9) + CHOOSE(CONTROL!$C$38, 0.0347, 0)</f>
        <v>18.633700000000001</v>
      </c>
      <c r="D110" s="10">
        <f>18.5911 * CHOOSE(CONTROL!$C$15, $E$9, 100%, $G$9) + CHOOSE(CONTROL!$C$38, 0.0347, 0)</f>
        <v>18.625800000000002</v>
      </c>
      <c r="E110" s="28">
        <f>19.7559 * CHOOSE(CONTROL!$C$15, $E$9, 100%, $G$9) + CHOOSE(CONTROL!$C$38, 0.0347, 0)</f>
        <v>19.790600000000001</v>
      </c>
      <c r="F110" s="27">
        <f>19.7559 * CHOOSE(CONTROL!$C$15, $E$9, 100%, $G$9) + CHOOSE(CONTROL!$C$38, 0.0256, 0)</f>
        <v>19.781500000000001</v>
      </c>
      <c r="G110" s="10">
        <f>18.5974 * CHOOSE(CONTROL!$C$15, $E$9, 100%, $G$9) + CHOOSE(CONTROL!$C$38, 0.0347, 0)</f>
        <v>18.632100000000001</v>
      </c>
      <c r="H110" s="10">
        <f>18.5974 * CHOOSE(CONTROL!$C$15, $E$9, 100%, $G$9) + CHOOSE(CONTROL!$C$38, 0.0347, 0)</f>
        <v>18.632100000000001</v>
      </c>
      <c r="I110" s="10">
        <f>18.599 * CHOOSE(CONTROL!$C$15, $E$9, 100%, $G$9) + CHOOSE(CONTROL!$C$38, 0.0347, 0)</f>
        <v>18.633700000000001</v>
      </c>
      <c r="J110" s="26">
        <f>114.1913</f>
        <v>114.1913</v>
      </c>
    </row>
    <row r="111" spans="1:10" ht="15" x14ac:dyDescent="0.2">
      <c r="A111" s="16">
        <v>44287</v>
      </c>
      <c r="B111" s="10">
        <f>19.417 * CHOOSE(CONTROL!$C$15, $E$9, 100%, $G$9) + CHOOSE(CONTROL!$C$38, 0.0256, 0)</f>
        <v>19.442600000000002</v>
      </c>
      <c r="C111" s="10">
        <f>18.1038 * CHOOSE(CONTROL!$C$15, $E$9, 100%, $G$9) + CHOOSE(CONTROL!$C$38, 0.0347, 0)</f>
        <v>18.138500000000001</v>
      </c>
      <c r="D111" s="10">
        <f>18.096 * CHOOSE(CONTROL!$C$15, $E$9, 100%, $G$9) + CHOOSE(CONTROL!$C$38, 0.0347, 0)</f>
        <v>18.130700000000001</v>
      </c>
      <c r="E111" s="28">
        <f>19.2607 * CHOOSE(CONTROL!$C$15, $E$9, 100%, $G$9) + CHOOSE(CONTROL!$C$38, 0.0347, 0)</f>
        <v>19.295400000000001</v>
      </c>
      <c r="F111" s="27">
        <f>19.2607 * CHOOSE(CONTROL!$C$15, $E$9, 100%, $G$9) + CHOOSE(CONTROL!$C$38, 0.0256, 0)</f>
        <v>19.286300000000001</v>
      </c>
      <c r="G111" s="10">
        <f>18.1022 * CHOOSE(CONTROL!$C$15, $E$9, 100%, $G$9) + CHOOSE(CONTROL!$C$38, 0.0347, 0)</f>
        <v>18.136900000000001</v>
      </c>
      <c r="H111" s="10">
        <f>18.1022 * CHOOSE(CONTROL!$C$15, $E$9, 100%, $G$9) + CHOOSE(CONTROL!$C$38, 0.0347, 0)</f>
        <v>18.136900000000001</v>
      </c>
      <c r="I111" s="10">
        <f>18.1038 * CHOOSE(CONTROL!$C$15, $E$9, 100%, $G$9) + CHOOSE(CONTROL!$C$38, 0.0347, 0)</f>
        <v>18.138500000000001</v>
      </c>
      <c r="J111" s="26">
        <f>121.6052</f>
        <v>121.6052</v>
      </c>
    </row>
    <row r="112" spans="1:10" ht="15" x14ac:dyDescent="0.2">
      <c r="A112" s="16">
        <v>44317</v>
      </c>
      <c r="B112" s="10">
        <f>18.9009 * CHOOSE(CONTROL!$C$15, $E$9, 100%, $G$9) + CHOOSE(CONTROL!$C$38, 0.0278, 0)</f>
        <v>18.928699999999999</v>
      </c>
      <c r="C112" s="10">
        <f>17.5877 * CHOOSE(CONTROL!$C$15, $E$9, 100%, $G$9) + CHOOSE(CONTROL!$C$38, 0.0369, 0)</f>
        <v>17.624600000000001</v>
      </c>
      <c r="D112" s="10">
        <f>17.5799 * CHOOSE(CONTROL!$C$15, $E$9, 100%, $G$9) + CHOOSE(CONTROL!$C$38, 0.0369, 0)</f>
        <v>17.616799999999998</v>
      </c>
      <c r="E112" s="28">
        <f>18.7446 * CHOOSE(CONTROL!$C$15, $E$9, 100%, $G$9) + CHOOSE(CONTROL!$C$38, 0.0369, 0)</f>
        <v>18.781499999999998</v>
      </c>
      <c r="F112" s="27">
        <f>18.7446 * CHOOSE(CONTROL!$C$15, $E$9, 100%, $G$9) + CHOOSE(CONTROL!$C$38, 0.0278, 0)</f>
        <v>18.772399999999998</v>
      </c>
      <c r="G112" s="10">
        <f>17.5861 * CHOOSE(CONTROL!$C$15, $E$9, 100%, $G$9) + CHOOSE(CONTROL!$C$38, 0.0369, 0)</f>
        <v>17.622999999999998</v>
      </c>
      <c r="H112" s="10">
        <f>17.5861 * CHOOSE(CONTROL!$C$15, $E$9, 100%, $G$9) + CHOOSE(CONTROL!$C$38, 0.0369, 0)</f>
        <v>17.622999999999998</v>
      </c>
      <c r="I112" s="10">
        <f>17.5877 * CHOOSE(CONTROL!$C$15, $E$9, 100%, $G$9) + CHOOSE(CONTROL!$C$38, 0.0369, 0)</f>
        <v>17.624600000000001</v>
      </c>
      <c r="J112" s="26">
        <f>125.686</f>
        <v>125.68600000000001</v>
      </c>
    </row>
    <row r="113" spans="1:10" ht="15" x14ac:dyDescent="0.2">
      <c r="A113" s="16">
        <v>44348</v>
      </c>
      <c r="B113" s="10">
        <f>18.539 * CHOOSE(CONTROL!$C$15, $E$9, 100%, $G$9) + CHOOSE(CONTROL!$C$38, 0.0278, 0)</f>
        <v>18.566800000000001</v>
      </c>
      <c r="C113" s="10">
        <f>17.2258 * CHOOSE(CONTROL!$C$15, $E$9, 100%, $G$9) + CHOOSE(CONTROL!$C$38, 0.0369, 0)</f>
        <v>17.262699999999999</v>
      </c>
      <c r="D113" s="10">
        <f>17.218 * CHOOSE(CONTROL!$C$15, $E$9, 100%, $G$9) + CHOOSE(CONTROL!$C$38, 0.0369, 0)</f>
        <v>17.254899999999999</v>
      </c>
      <c r="E113" s="28">
        <f>18.3828 * CHOOSE(CONTROL!$C$15, $E$9, 100%, $G$9) + CHOOSE(CONTROL!$C$38, 0.0369, 0)</f>
        <v>18.419699999999999</v>
      </c>
      <c r="F113" s="27">
        <f>18.3828 * CHOOSE(CONTROL!$C$15, $E$9, 100%, $G$9) + CHOOSE(CONTROL!$C$38, 0.0278, 0)</f>
        <v>18.410599999999999</v>
      </c>
      <c r="G113" s="10">
        <f>17.2243 * CHOOSE(CONTROL!$C$15, $E$9, 100%, $G$9) + CHOOSE(CONTROL!$C$38, 0.0369, 0)</f>
        <v>17.261199999999999</v>
      </c>
      <c r="H113" s="10">
        <f>17.2243 * CHOOSE(CONTROL!$C$15, $E$9, 100%, $G$9) + CHOOSE(CONTROL!$C$38, 0.0369, 0)</f>
        <v>17.261199999999999</v>
      </c>
      <c r="I113" s="10">
        <f>17.2258 * CHOOSE(CONTROL!$C$15, $E$9, 100%, $G$9) + CHOOSE(CONTROL!$C$38, 0.0369, 0)</f>
        <v>17.262699999999999</v>
      </c>
      <c r="J113" s="26">
        <f>127.497</f>
        <v>127.497</v>
      </c>
    </row>
    <row r="114" spans="1:10" ht="15" x14ac:dyDescent="0.2">
      <c r="A114" s="16">
        <v>44378</v>
      </c>
      <c r="B114" s="10">
        <f>18.3325 * CHOOSE(CONTROL!$C$15, $E$9, 100%, $G$9) + CHOOSE(CONTROL!$C$38, 0.0278, 0)</f>
        <v>18.360299999999999</v>
      </c>
      <c r="C114" s="10">
        <f>17.0193 * CHOOSE(CONTROL!$C$15, $E$9, 100%, $G$9) + CHOOSE(CONTROL!$C$38, 0.0369, 0)</f>
        <v>17.0562</v>
      </c>
      <c r="D114" s="10">
        <f>17.0115 * CHOOSE(CONTROL!$C$15, $E$9, 100%, $G$9) + CHOOSE(CONTROL!$C$38, 0.0369, 0)</f>
        <v>17.048400000000001</v>
      </c>
      <c r="E114" s="28">
        <f>18.1763 * CHOOSE(CONTROL!$C$15, $E$9, 100%, $G$9) + CHOOSE(CONTROL!$C$38, 0.0369, 0)</f>
        <v>18.213200000000001</v>
      </c>
      <c r="F114" s="27">
        <f>18.1763 * CHOOSE(CONTROL!$C$15, $E$9, 100%, $G$9) + CHOOSE(CONTROL!$C$38, 0.0278, 0)</f>
        <v>18.2041</v>
      </c>
      <c r="G114" s="10">
        <f>17.0178 * CHOOSE(CONTROL!$C$15, $E$9, 100%, $G$9) + CHOOSE(CONTROL!$C$38, 0.0369, 0)</f>
        <v>17.0547</v>
      </c>
      <c r="H114" s="10">
        <f>17.0178 * CHOOSE(CONTROL!$C$15, $E$9, 100%, $G$9) + CHOOSE(CONTROL!$C$38, 0.0369, 0)</f>
        <v>17.0547</v>
      </c>
      <c r="I114" s="10">
        <f>17.0193 * CHOOSE(CONTROL!$C$15, $E$9, 100%, $G$9) + CHOOSE(CONTROL!$C$38, 0.0369, 0)</f>
        <v>17.0562</v>
      </c>
      <c r="J114" s="26">
        <f>126.9007</f>
        <v>126.9007</v>
      </c>
    </row>
    <row r="115" spans="1:10" ht="15" x14ac:dyDescent="0.2">
      <c r="A115" s="16">
        <v>44409</v>
      </c>
      <c r="B115" s="10">
        <f>18.4344 * CHOOSE(CONTROL!$C$15, $E$9, 100%, $G$9) + CHOOSE(CONTROL!$C$38, 0.0278, 0)</f>
        <v>18.462199999999999</v>
      </c>
      <c r="C115" s="10">
        <f>17.1213 * CHOOSE(CONTROL!$C$15, $E$9, 100%, $G$9) + CHOOSE(CONTROL!$C$38, 0.0369, 0)</f>
        <v>17.158200000000001</v>
      </c>
      <c r="D115" s="10">
        <f>17.1134 * CHOOSE(CONTROL!$C$15, $E$9, 100%, $G$9) + CHOOSE(CONTROL!$C$38, 0.0369, 0)</f>
        <v>17.150299999999998</v>
      </c>
      <c r="E115" s="28">
        <f>18.2782 * CHOOSE(CONTROL!$C$15, $E$9, 100%, $G$9) + CHOOSE(CONTROL!$C$38, 0.0369, 0)</f>
        <v>18.315099999999997</v>
      </c>
      <c r="F115" s="27">
        <f>18.2782 * CHOOSE(CONTROL!$C$15, $E$9, 100%, $G$9) + CHOOSE(CONTROL!$C$38, 0.0278, 0)</f>
        <v>18.305999999999997</v>
      </c>
      <c r="G115" s="10">
        <f>17.1197 * CHOOSE(CONTROL!$C$15, $E$9, 100%, $G$9) + CHOOSE(CONTROL!$C$38, 0.0369, 0)</f>
        <v>17.156600000000001</v>
      </c>
      <c r="H115" s="10">
        <f>17.1197 * CHOOSE(CONTROL!$C$15, $E$9, 100%, $G$9) + CHOOSE(CONTROL!$C$38, 0.0369, 0)</f>
        <v>17.156600000000001</v>
      </c>
      <c r="I115" s="10">
        <f>17.1213 * CHOOSE(CONTROL!$C$15, $E$9, 100%, $G$9) + CHOOSE(CONTROL!$C$38, 0.0369, 0)</f>
        <v>17.158200000000001</v>
      </c>
      <c r="J115" s="26">
        <f>123.9466</f>
        <v>123.9466</v>
      </c>
    </row>
    <row r="116" spans="1:10" ht="15" x14ac:dyDescent="0.2">
      <c r="A116" s="16">
        <v>44440</v>
      </c>
      <c r="B116" s="10">
        <f>18.7112 * CHOOSE(CONTROL!$C$15, $E$9, 100%, $G$9) + CHOOSE(CONTROL!$C$38, 0.0278, 0)</f>
        <v>18.739000000000001</v>
      </c>
      <c r="C116" s="10">
        <f>17.3981 * CHOOSE(CONTROL!$C$15, $E$9, 100%, $G$9) + CHOOSE(CONTROL!$C$38, 0.0369, 0)</f>
        <v>17.434999999999999</v>
      </c>
      <c r="D116" s="10">
        <f>17.3902 * CHOOSE(CONTROL!$C$15, $E$9, 100%, $G$9) + CHOOSE(CONTROL!$C$38, 0.0369, 0)</f>
        <v>17.427099999999999</v>
      </c>
      <c r="E116" s="28">
        <f>18.555 * CHOOSE(CONTROL!$C$15, $E$9, 100%, $G$9) + CHOOSE(CONTROL!$C$38, 0.0369, 0)</f>
        <v>18.591899999999999</v>
      </c>
      <c r="F116" s="27">
        <f>18.555 * CHOOSE(CONTROL!$C$15, $E$9, 100%, $G$9) + CHOOSE(CONTROL!$C$38, 0.0278, 0)</f>
        <v>18.582799999999999</v>
      </c>
      <c r="G116" s="10">
        <f>17.3965 * CHOOSE(CONTROL!$C$15, $E$9, 100%, $G$9) + CHOOSE(CONTROL!$C$38, 0.0369, 0)</f>
        <v>17.433399999999999</v>
      </c>
      <c r="H116" s="10">
        <f>17.3965 * CHOOSE(CONTROL!$C$15, $E$9, 100%, $G$9) + CHOOSE(CONTROL!$C$38, 0.0369, 0)</f>
        <v>17.433399999999999</v>
      </c>
      <c r="I116" s="10">
        <f>17.3981 * CHOOSE(CONTROL!$C$15, $E$9, 100%, $G$9) + CHOOSE(CONTROL!$C$38, 0.0369, 0)</f>
        <v>17.434999999999999</v>
      </c>
      <c r="J116" s="26">
        <f>119.8268</f>
        <v>119.82680000000001</v>
      </c>
    </row>
    <row r="117" spans="1:10" ht="15" x14ac:dyDescent="0.2">
      <c r="A117" s="16">
        <v>44470</v>
      </c>
      <c r="B117" s="10">
        <f>18.9431 * CHOOSE(CONTROL!$C$15, $E$9, 100%, $G$9) + CHOOSE(CONTROL!$C$38, 0.0256, 0)</f>
        <v>18.968700000000002</v>
      </c>
      <c r="C117" s="10">
        <f>17.6299 * CHOOSE(CONTROL!$C$15, $E$9, 100%, $G$9) + CHOOSE(CONTROL!$C$38, 0.0347, 0)</f>
        <v>17.6646</v>
      </c>
      <c r="D117" s="10">
        <f>17.6221 * CHOOSE(CONTROL!$C$15, $E$9, 100%, $G$9) + CHOOSE(CONTROL!$C$38, 0.0347, 0)</f>
        <v>17.6568</v>
      </c>
      <c r="E117" s="28">
        <f>18.7868 * CHOOSE(CONTROL!$C$15, $E$9, 100%, $G$9) + CHOOSE(CONTROL!$C$38, 0.0347, 0)</f>
        <v>18.8215</v>
      </c>
      <c r="F117" s="27">
        <f>18.7868 * CHOOSE(CONTROL!$C$15, $E$9, 100%, $G$9) + CHOOSE(CONTROL!$C$38, 0.0256, 0)</f>
        <v>18.8124</v>
      </c>
      <c r="G117" s="10">
        <f>17.6283 * CHOOSE(CONTROL!$C$15, $E$9, 100%, $G$9) + CHOOSE(CONTROL!$C$38, 0.0347, 0)</f>
        <v>17.663</v>
      </c>
      <c r="H117" s="10">
        <f>17.6283 * CHOOSE(CONTROL!$C$15, $E$9, 100%, $G$9) + CHOOSE(CONTROL!$C$38, 0.0347, 0)</f>
        <v>17.663</v>
      </c>
      <c r="I117" s="10">
        <f>17.6299 * CHOOSE(CONTROL!$C$15, $E$9, 100%, $G$9) + CHOOSE(CONTROL!$C$38, 0.0347, 0)</f>
        <v>17.6646</v>
      </c>
      <c r="J117" s="26">
        <f>115.683</f>
        <v>115.68300000000001</v>
      </c>
    </row>
    <row r="118" spans="1:10" ht="15" x14ac:dyDescent="0.2">
      <c r="A118" s="16">
        <v>44501</v>
      </c>
      <c r="B118" s="10">
        <f>19.1365 * CHOOSE(CONTROL!$C$15, $E$9, 100%, $G$9) + CHOOSE(CONTROL!$C$38, 0.0256, 0)</f>
        <v>19.162100000000002</v>
      </c>
      <c r="C118" s="10">
        <f>17.8233 * CHOOSE(CONTROL!$C$15, $E$9, 100%, $G$9) + CHOOSE(CONTROL!$C$38, 0.0347, 0)</f>
        <v>17.858000000000001</v>
      </c>
      <c r="D118" s="10">
        <f>17.8155 * CHOOSE(CONTROL!$C$15, $E$9, 100%, $G$9) + CHOOSE(CONTROL!$C$38, 0.0347, 0)</f>
        <v>17.850200000000001</v>
      </c>
      <c r="E118" s="28">
        <f>18.9803 * CHOOSE(CONTROL!$C$15, $E$9, 100%, $G$9) + CHOOSE(CONTROL!$C$38, 0.0347, 0)</f>
        <v>19.015000000000001</v>
      </c>
      <c r="F118" s="27">
        <f>18.9803 * CHOOSE(CONTROL!$C$15, $E$9, 100%, $G$9) + CHOOSE(CONTROL!$C$38, 0.0256, 0)</f>
        <v>19.0059</v>
      </c>
      <c r="G118" s="10">
        <f>17.8218 * CHOOSE(CONTROL!$C$15, $E$9, 100%, $G$9) + CHOOSE(CONTROL!$C$38, 0.0347, 0)</f>
        <v>17.8565</v>
      </c>
      <c r="H118" s="10">
        <f>17.8218 * CHOOSE(CONTROL!$C$15, $E$9, 100%, $G$9) + CHOOSE(CONTROL!$C$38, 0.0347, 0)</f>
        <v>17.8565</v>
      </c>
      <c r="I118" s="10">
        <f>17.8233 * CHOOSE(CONTROL!$C$15, $E$9, 100%, $G$9) + CHOOSE(CONTROL!$C$38, 0.0347, 0)</f>
        <v>17.858000000000001</v>
      </c>
      <c r="J118" s="26">
        <f>114.8588</f>
        <v>114.8588</v>
      </c>
    </row>
    <row r="119" spans="1:10" ht="15" x14ac:dyDescent="0.2">
      <c r="A119" s="16">
        <v>44531</v>
      </c>
      <c r="B119" s="10">
        <f>19.7326 * CHOOSE(CONTROL!$C$15, $E$9, 100%, $G$9) + CHOOSE(CONTROL!$C$38, 0.0256, 0)</f>
        <v>19.758200000000002</v>
      </c>
      <c r="C119" s="10">
        <f>18.4194 * CHOOSE(CONTROL!$C$15, $E$9, 100%, $G$9) + CHOOSE(CONTROL!$C$38, 0.0347, 0)</f>
        <v>18.4541</v>
      </c>
      <c r="D119" s="10">
        <f>18.4116 * CHOOSE(CONTROL!$C$15, $E$9, 100%, $G$9) + CHOOSE(CONTROL!$C$38, 0.0347, 0)</f>
        <v>18.446300000000001</v>
      </c>
      <c r="E119" s="28">
        <f>19.5763 * CHOOSE(CONTROL!$C$15, $E$9, 100%, $G$9) + CHOOSE(CONTROL!$C$38, 0.0347, 0)</f>
        <v>19.611000000000001</v>
      </c>
      <c r="F119" s="27">
        <f>19.5763 * CHOOSE(CONTROL!$C$15, $E$9, 100%, $G$9) + CHOOSE(CONTROL!$C$38, 0.0256, 0)</f>
        <v>19.601900000000001</v>
      </c>
      <c r="G119" s="10">
        <f>18.4178 * CHOOSE(CONTROL!$C$15, $E$9, 100%, $G$9) + CHOOSE(CONTROL!$C$38, 0.0347, 0)</f>
        <v>18.452500000000001</v>
      </c>
      <c r="H119" s="10">
        <f>18.4178 * CHOOSE(CONTROL!$C$15, $E$9, 100%, $G$9) + CHOOSE(CONTROL!$C$38, 0.0347, 0)</f>
        <v>18.452500000000001</v>
      </c>
      <c r="I119" s="10">
        <f>18.4194 * CHOOSE(CONTROL!$C$15, $E$9, 100%, $G$9) + CHOOSE(CONTROL!$C$38, 0.0347, 0)</f>
        <v>18.4541</v>
      </c>
      <c r="J119" s="26">
        <f>111.4503</f>
        <v>111.4503</v>
      </c>
    </row>
    <row r="120" spans="1:10" ht="15" x14ac:dyDescent="0.2">
      <c r="A120" s="16">
        <v>44562</v>
      </c>
      <c r="B120" s="10">
        <f>20.9857 * CHOOSE(CONTROL!$C$15, $E$9, 100%, $G$9) + CHOOSE(CONTROL!$C$38, 0.0256, 0)</f>
        <v>21.011300000000002</v>
      </c>
      <c r="C120" s="10">
        <f>19.5752 * CHOOSE(CONTROL!$C$15, $E$9, 100%, $G$9) + CHOOSE(CONTROL!$C$38, 0.0347, 0)</f>
        <v>19.6099</v>
      </c>
      <c r="D120" s="10">
        <f>19.5674 * CHOOSE(CONTROL!$C$15, $E$9, 100%, $G$9) + CHOOSE(CONTROL!$C$38, 0.0347, 0)</f>
        <v>19.6021</v>
      </c>
      <c r="E120" s="28">
        <f>20.8294 * CHOOSE(CONTROL!$C$15, $E$9, 100%, $G$9) + CHOOSE(CONTROL!$C$38, 0.0347, 0)</f>
        <v>20.864100000000001</v>
      </c>
      <c r="F120" s="27">
        <f>20.8294 * CHOOSE(CONTROL!$C$15, $E$9, 100%, $G$9) + CHOOSE(CONTROL!$C$38, 0.0256, 0)</f>
        <v>20.855</v>
      </c>
      <c r="G120" s="10">
        <f>19.5737 * CHOOSE(CONTROL!$C$15, $E$9, 100%, $G$9) + CHOOSE(CONTROL!$C$38, 0.0347, 0)</f>
        <v>19.6084</v>
      </c>
      <c r="H120" s="10">
        <f>19.5737 * CHOOSE(CONTROL!$C$15, $E$9, 100%, $G$9) + CHOOSE(CONTROL!$C$38, 0.0347, 0)</f>
        <v>19.6084</v>
      </c>
      <c r="I120" s="10">
        <f>19.5752 * CHOOSE(CONTROL!$C$15, $E$9, 100%, $G$9) + CHOOSE(CONTROL!$C$38, 0.0347, 0)</f>
        <v>19.6099</v>
      </c>
      <c r="J120" s="26">
        <f>113.7753</f>
        <v>113.7753</v>
      </c>
    </row>
    <row r="121" spans="1:10" ht="15" x14ac:dyDescent="0.2">
      <c r="A121" s="16">
        <v>44593</v>
      </c>
      <c r="B121" s="10">
        <f>21.2064 * CHOOSE(CONTROL!$C$15, $E$9, 100%, $G$9) + CHOOSE(CONTROL!$C$38, 0.0256, 0)</f>
        <v>21.231999999999999</v>
      </c>
      <c r="C121" s="10">
        <f>19.796 * CHOOSE(CONTROL!$C$15, $E$9, 100%, $G$9) + CHOOSE(CONTROL!$C$38, 0.0347, 0)</f>
        <v>19.8307</v>
      </c>
      <c r="D121" s="10">
        <f>19.7882 * CHOOSE(CONTROL!$C$15, $E$9, 100%, $G$9) + CHOOSE(CONTROL!$C$38, 0.0347, 0)</f>
        <v>19.822900000000001</v>
      </c>
      <c r="E121" s="28">
        <f>21.0502 * CHOOSE(CONTROL!$C$15, $E$9, 100%, $G$9) + CHOOSE(CONTROL!$C$38, 0.0347, 0)</f>
        <v>21.084900000000001</v>
      </c>
      <c r="F121" s="27">
        <f>21.0502 * CHOOSE(CONTROL!$C$15, $E$9, 100%, $G$9) + CHOOSE(CONTROL!$C$38, 0.0256, 0)</f>
        <v>21.075800000000001</v>
      </c>
      <c r="G121" s="10">
        <f>19.7944 * CHOOSE(CONTROL!$C$15, $E$9, 100%, $G$9) + CHOOSE(CONTROL!$C$38, 0.0347, 0)</f>
        <v>19.8291</v>
      </c>
      <c r="H121" s="10">
        <f>19.7944 * CHOOSE(CONTROL!$C$15, $E$9, 100%, $G$9) + CHOOSE(CONTROL!$C$38, 0.0347, 0)</f>
        <v>19.8291</v>
      </c>
      <c r="I121" s="10">
        <f>19.796 * CHOOSE(CONTROL!$C$15, $E$9, 100%, $G$9) + CHOOSE(CONTROL!$C$38, 0.0347, 0)</f>
        <v>19.8307</v>
      </c>
      <c r="J121" s="26">
        <f>113.459</f>
        <v>113.459</v>
      </c>
    </row>
    <row r="122" spans="1:10" ht="15" x14ac:dyDescent="0.2">
      <c r="A122" s="16">
        <v>44621</v>
      </c>
      <c r="B122" s="10">
        <f>20.6954 * CHOOSE(CONTROL!$C$15, $E$9, 100%, $G$9) + CHOOSE(CONTROL!$C$38, 0.0256, 0)</f>
        <v>20.721</v>
      </c>
      <c r="C122" s="10">
        <f>19.285 * CHOOSE(CONTROL!$C$15, $E$9, 100%, $G$9) + CHOOSE(CONTROL!$C$38, 0.0347, 0)</f>
        <v>19.319700000000001</v>
      </c>
      <c r="D122" s="10">
        <f>19.2772 * CHOOSE(CONTROL!$C$15, $E$9, 100%, $G$9) + CHOOSE(CONTROL!$C$38, 0.0347, 0)</f>
        <v>19.311900000000001</v>
      </c>
      <c r="E122" s="28">
        <f>20.5391 * CHOOSE(CONTROL!$C$15, $E$9, 100%, $G$9) + CHOOSE(CONTROL!$C$38, 0.0347, 0)</f>
        <v>20.573800000000002</v>
      </c>
      <c r="F122" s="27">
        <f>20.5391 * CHOOSE(CONTROL!$C$15, $E$9, 100%, $G$9) + CHOOSE(CONTROL!$C$38, 0.0256, 0)</f>
        <v>20.564700000000002</v>
      </c>
      <c r="G122" s="10">
        <f>19.2834 * CHOOSE(CONTROL!$C$15, $E$9, 100%, $G$9) + CHOOSE(CONTROL!$C$38, 0.0347, 0)</f>
        <v>19.318100000000001</v>
      </c>
      <c r="H122" s="10">
        <f>19.2834 * CHOOSE(CONTROL!$C$15, $E$9, 100%, $G$9) + CHOOSE(CONTROL!$C$38, 0.0347, 0)</f>
        <v>19.318100000000001</v>
      </c>
      <c r="I122" s="10">
        <f>19.285 * CHOOSE(CONTROL!$C$15, $E$9, 100%, $G$9) + CHOOSE(CONTROL!$C$38, 0.0347, 0)</f>
        <v>19.319700000000001</v>
      </c>
      <c r="J122" s="26">
        <f>119.439</f>
        <v>119.43899999999999</v>
      </c>
    </row>
    <row r="123" spans="1:10" ht="15" x14ac:dyDescent="0.2">
      <c r="A123" s="16">
        <v>44652</v>
      </c>
      <c r="B123" s="10">
        <f>20.2002 * CHOOSE(CONTROL!$C$15, $E$9, 100%, $G$9) + CHOOSE(CONTROL!$C$38, 0.0256, 0)</f>
        <v>20.2258</v>
      </c>
      <c r="C123" s="10">
        <f>18.7898 * CHOOSE(CONTROL!$C$15, $E$9, 100%, $G$9) + CHOOSE(CONTROL!$C$38, 0.0347, 0)</f>
        <v>18.8245</v>
      </c>
      <c r="D123" s="10">
        <f>18.782 * CHOOSE(CONTROL!$C$15, $E$9, 100%, $G$9) + CHOOSE(CONTROL!$C$38, 0.0347, 0)</f>
        <v>18.816700000000001</v>
      </c>
      <c r="E123" s="28">
        <f>20.044 * CHOOSE(CONTROL!$C$15, $E$9, 100%, $G$9) + CHOOSE(CONTROL!$C$38, 0.0347, 0)</f>
        <v>20.078700000000001</v>
      </c>
      <c r="F123" s="27">
        <f>20.044 * CHOOSE(CONTROL!$C$15, $E$9, 100%, $G$9) + CHOOSE(CONTROL!$C$38, 0.0256, 0)</f>
        <v>20.069600000000001</v>
      </c>
      <c r="G123" s="10">
        <f>18.7882 * CHOOSE(CONTROL!$C$15, $E$9, 100%, $G$9) + CHOOSE(CONTROL!$C$38, 0.0347, 0)</f>
        <v>18.822900000000001</v>
      </c>
      <c r="H123" s="10">
        <f>18.7882 * CHOOSE(CONTROL!$C$15, $E$9, 100%, $G$9) + CHOOSE(CONTROL!$C$38, 0.0347, 0)</f>
        <v>18.822900000000001</v>
      </c>
      <c r="I123" s="10">
        <f>18.7898 * CHOOSE(CONTROL!$C$15, $E$9, 100%, $G$9) + CHOOSE(CONTROL!$C$38, 0.0347, 0)</f>
        <v>18.8245</v>
      </c>
      <c r="J123" s="26">
        <f>127.1935</f>
        <v>127.1935</v>
      </c>
    </row>
    <row r="124" spans="1:10" ht="15" x14ac:dyDescent="0.2">
      <c r="A124" s="16">
        <v>44682</v>
      </c>
      <c r="B124" s="10">
        <f>19.6841 * CHOOSE(CONTROL!$C$15, $E$9, 100%, $G$9) + CHOOSE(CONTROL!$C$38, 0.0278, 0)</f>
        <v>19.7119</v>
      </c>
      <c r="C124" s="10">
        <f>18.2737 * CHOOSE(CONTROL!$C$15, $E$9, 100%, $G$9) + CHOOSE(CONTROL!$C$38, 0.0369, 0)</f>
        <v>18.310600000000001</v>
      </c>
      <c r="D124" s="10">
        <f>18.2659 * CHOOSE(CONTROL!$C$15, $E$9, 100%, $G$9) + CHOOSE(CONTROL!$C$38, 0.0369, 0)</f>
        <v>18.302799999999998</v>
      </c>
      <c r="E124" s="28">
        <f>19.5278 * CHOOSE(CONTROL!$C$15, $E$9, 100%, $G$9) + CHOOSE(CONTROL!$C$38, 0.0369, 0)</f>
        <v>19.564699999999998</v>
      </c>
      <c r="F124" s="27">
        <f>19.5278 * CHOOSE(CONTROL!$C$15, $E$9, 100%, $G$9) + CHOOSE(CONTROL!$C$38, 0.0278, 0)</f>
        <v>19.555599999999998</v>
      </c>
      <c r="G124" s="10">
        <f>18.2721 * CHOOSE(CONTROL!$C$15, $E$9, 100%, $G$9) + CHOOSE(CONTROL!$C$38, 0.0369, 0)</f>
        <v>18.308999999999997</v>
      </c>
      <c r="H124" s="10">
        <f>18.2721 * CHOOSE(CONTROL!$C$15, $E$9, 100%, $G$9) + CHOOSE(CONTROL!$C$38, 0.0369, 0)</f>
        <v>18.308999999999997</v>
      </c>
      <c r="I124" s="10">
        <f>18.2737 * CHOOSE(CONTROL!$C$15, $E$9, 100%, $G$9) + CHOOSE(CONTROL!$C$38, 0.0369, 0)</f>
        <v>18.310600000000001</v>
      </c>
      <c r="J124" s="26">
        <f>131.4619</f>
        <v>131.46190000000001</v>
      </c>
    </row>
    <row r="125" spans="1:10" ht="15" x14ac:dyDescent="0.2">
      <c r="A125" s="16">
        <v>44713</v>
      </c>
      <c r="B125" s="10">
        <f>19.3223 * CHOOSE(CONTROL!$C$15, $E$9, 100%, $G$9) + CHOOSE(CONTROL!$C$38, 0.0278, 0)</f>
        <v>19.350099999999998</v>
      </c>
      <c r="C125" s="10">
        <f>17.9118 * CHOOSE(CONTROL!$C$15, $E$9, 100%, $G$9) + CHOOSE(CONTROL!$C$38, 0.0369, 0)</f>
        <v>17.948699999999999</v>
      </c>
      <c r="D125" s="10">
        <f>17.904 * CHOOSE(CONTROL!$C$15, $E$9, 100%, $G$9) + CHOOSE(CONTROL!$C$38, 0.0369, 0)</f>
        <v>17.940899999999999</v>
      </c>
      <c r="E125" s="28">
        <f>19.166 * CHOOSE(CONTROL!$C$15, $E$9, 100%, $G$9) + CHOOSE(CONTROL!$C$38, 0.0369, 0)</f>
        <v>19.2029</v>
      </c>
      <c r="F125" s="27">
        <f>19.166 * CHOOSE(CONTROL!$C$15, $E$9, 100%, $G$9) + CHOOSE(CONTROL!$C$38, 0.0278, 0)</f>
        <v>19.1938</v>
      </c>
      <c r="G125" s="10">
        <f>17.9103 * CHOOSE(CONTROL!$C$15, $E$9, 100%, $G$9) + CHOOSE(CONTROL!$C$38, 0.0369, 0)</f>
        <v>17.947199999999999</v>
      </c>
      <c r="H125" s="10">
        <f>17.9103 * CHOOSE(CONTROL!$C$15, $E$9, 100%, $G$9) + CHOOSE(CONTROL!$C$38, 0.0369, 0)</f>
        <v>17.947199999999999</v>
      </c>
      <c r="I125" s="10">
        <f>17.9118 * CHOOSE(CONTROL!$C$15, $E$9, 100%, $G$9) + CHOOSE(CONTROL!$C$38, 0.0369, 0)</f>
        <v>17.948699999999999</v>
      </c>
      <c r="J125" s="26">
        <f>133.3561</f>
        <v>133.3561</v>
      </c>
    </row>
    <row r="126" spans="1:10" ht="15" x14ac:dyDescent="0.2">
      <c r="A126" s="16">
        <v>44743</v>
      </c>
      <c r="B126" s="10">
        <f>19.1158 * CHOOSE(CONTROL!$C$15, $E$9, 100%, $G$9) + CHOOSE(CONTROL!$C$38, 0.0278, 0)</f>
        <v>19.143599999999999</v>
      </c>
      <c r="C126" s="10">
        <f>17.7053 * CHOOSE(CONTROL!$C$15, $E$9, 100%, $G$9) + CHOOSE(CONTROL!$C$38, 0.0369, 0)</f>
        <v>17.7422</v>
      </c>
      <c r="D126" s="10">
        <f>17.6975 * CHOOSE(CONTROL!$C$15, $E$9, 100%, $G$9) + CHOOSE(CONTROL!$C$38, 0.0369, 0)</f>
        <v>17.734400000000001</v>
      </c>
      <c r="E126" s="28">
        <f>18.9595 * CHOOSE(CONTROL!$C$15, $E$9, 100%, $G$9) + CHOOSE(CONTROL!$C$38, 0.0369, 0)</f>
        <v>18.996399999999998</v>
      </c>
      <c r="F126" s="27">
        <f>18.9595 * CHOOSE(CONTROL!$C$15, $E$9, 100%, $G$9) + CHOOSE(CONTROL!$C$38, 0.0278, 0)</f>
        <v>18.987299999999998</v>
      </c>
      <c r="G126" s="10">
        <f>17.7038 * CHOOSE(CONTROL!$C$15, $E$9, 100%, $G$9) + CHOOSE(CONTROL!$C$38, 0.0369, 0)</f>
        <v>17.7407</v>
      </c>
      <c r="H126" s="10">
        <f>17.7038 * CHOOSE(CONTROL!$C$15, $E$9, 100%, $G$9) + CHOOSE(CONTROL!$C$38, 0.0369, 0)</f>
        <v>17.7407</v>
      </c>
      <c r="I126" s="10">
        <f>17.7053 * CHOOSE(CONTROL!$C$15, $E$9, 100%, $G$9) + CHOOSE(CONTROL!$C$38, 0.0369, 0)</f>
        <v>17.7422</v>
      </c>
      <c r="J126" s="26">
        <f>132.7324</f>
        <v>132.73240000000001</v>
      </c>
    </row>
    <row r="127" spans="1:10" ht="15" x14ac:dyDescent="0.2">
      <c r="A127" s="16">
        <v>44774</v>
      </c>
      <c r="B127" s="10">
        <f>19.2177 * CHOOSE(CONTROL!$C$15, $E$9, 100%, $G$9) + CHOOSE(CONTROL!$C$38, 0.0278, 0)</f>
        <v>19.2455</v>
      </c>
      <c r="C127" s="10">
        <f>17.8073 * CHOOSE(CONTROL!$C$15, $E$9, 100%, $G$9) + CHOOSE(CONTROL!$C$38, 0.0369, 0)</f>
        <v>17.844200000000001</v>
      </c>
      <c r="D127" s="10">
        <f>17.7994 * CHOOSE(CONTROL!$C$15, $E$9, 100%, $G$9) + CHOOSE(CONTROL!$C$38, 0.0369, 0)</f>
        <v>17.836299999999998</v>
      </c>
      <c r="E127" s="28">
        <f>19.0614 * CHOOSE(CONTROL!$C$15, $E$9, 100%, $G$9) + CHOOSE(CONTROL!$C$38, 0.0369, 0)</f>
        <v>19.098299999999998</v>
      </c>
      <c r="F127" s="27">
        <f>19.0614 * CHOOSE(CONTROL!$C$15, $E$9, 100%, $G$9) + CHOOSE(CONTROL!$C$38, 0.0278, 0)</f>
        <v>19.089199999999998</v>
      </c>
      <c r="G127" s="10">
        <f>17.8057 * CHOOSE(CONTROL!$C$15, $E$9, 100%, $G$9) + CHOOSE(CONTROL!$C$38, 0.0369, 0)</f>
        <v>17.842600000000001</v>
      </c>
      <c r="H127" s="10">
        <f>17.8057 * CHOOSE(CONTROL!$C$15, $E$9, 100%, $G$9) + CHOOSE(CONTROL!$C$38, 0.0369, 0)</f>
        <v>17.842600000000001</v>
      </c>
      <c r="I127" s="10">
        <f>17.8073 * CHOOSE(CONTROL!$C$15, $E$9, 100%, $G$9) + CHOOSE(CONTROL!$C$38, 0.0369, 0)</f>
        <v>17.844200000000001</v>
      </c>
      <c r="J127" s="26">
        <f>129.6425</f>
        <v>129.64250000000001</v>
      </c>
    </row>
    <row r="128" spans="1:10" ht="15" x14ac:dyDescent="0.2">
      <c r="A128" s="16">
        <v>44805</v>
      </c>
      <c r="B128" s="10">
        <f>19.4945 * CHOOSE(CONTROL!$C$15, $E$9, 100%, $G$9) + CHOOSE(CONTROL!$C$38, 0.0278, 0)</f>
        <v>19.522299999999998</v>
      </c>
      <c r="C128" s="10">
        <f>18.0841 * CHOOSE(CONTROL!$C$15, $E$9, 100%, $G$9) + CHOOSE(CONTROL!$C$38, 0.0369, 0)</f>
        <v>18.120999999999999</v>
      </c>
      <c r="D128" s="10">
        <f>18.0762 * CHOOSE(CONTROL!$C$15, $E$9, 100%, $G$9) + CHOOSE(CONTROL!$C$38, 0.0369, 0)</f>
        <v>18.113099999999999</v>
      </c>
      <c r="E128" s="28">
        <f>19.3382 * CHOOSE(CONTROL!$C$15, $E$9, 100%, $G$9) + CHOOSE(CONTROL!$C$38, 0.0369, 0)</f>
        <v>19.3751</v>
      </c>
      <c r="F128" s="27">
        <f>19.3382 * CHOOSE(CONTROL!$C$15, $E$9, 100%, $G$9) + CHOOSE(CONTROL!$C$38, 0.0278, 0)</f>
        <v>19.366</v>
      </c>
      <c r="G128" s="10">
        <f>18.0825 * CHOOSE(CONTROL!$C$15, $E$9, 100%, $G$9) + CHOOSE(CONTROL!$C$38, 0.0369, 0)</f>
        <v>18.119399999999999</v>
      </c>
      <c r="H128" s="10">
        <f>18.0825 * CHOOSE(CONTROL!$C$15, $E$9, 100%, $G$9) + CHOOSE(CONTROL!$C$38, 0.0369, 0)</f>
        <v>18.119399999999999</v>
      </c>
      <c r="I128" s="10">
        <f>18.0841 * CHOOSE(CONTROL!$C$15, $E$9, 100%, $G$9) + CHOOSE(CONTROL!$C$38, 0.0369, 0)</f>
        <v>18.120999999999999</v>
      </c>
      <c r="J128" s="26">
        <f>125.3334</f>
        <v>125.3334</v>
      </c>
    </row>
    <row r="129" spans="1:10" ht="15" x14ac:dyDescent="0.2">
      <c r="A129" s="16">
        <v>44835</v>
      </c>
      <c r="B129" s="10">
        <f>19.7263 * CHOOSE(CONTROL!$C$15, $E$9, 100%, $G$9) + CHOOSE(CONTROL!$C$38, 0.0256, 0)</f>
        <v>19.751899999999999</v>
      </c>
      <c r="C129" s="10">
        <f>18.3159 * CHOOSE(CONTROL!$C$15, $E$9, 100%, $G$9) + CHOOSE(CONTROL!$C$38, 0.0347, 0)</f>
        <v>18.3506</v>
      </c>
      <c r="D129" s="10">
        <f>18.3081 * CHOOSE(CONTROL!$C$15, $E$9, 100%, $G$9) + CHOOSE(CONTROL!$C$38, 0.0347, 0)</f>
        <v>18.3428</v>
      </c>
      <c r="E129" s="28">
        <f>19.57 * CHOOSE(CONTROL!$C$15, $E$9, 100%, $G$9) + CHOOSE(CONTROL!$C$38, 0.0347, 0)</f>
        <v>19.604700000000001</v>
      </c>
      <c r="F129" s="27">
        <f>19.57 * CHOOSE(CONTROL!$C$15, $E$9, 100%, $G$9) + CHOOSE(CONTROL!$C$38, 0.0256, 0)</f>
        <v>19.595600000000001</v>
      </c>
      <c r="G129" s="10">
        <f>18.3143 * CHOOSE(CONTROL!$C$15, $E$9, 100%, $G$9) + CHOOSE(CONTROL!$C$38, 0.0347, 0)</f>
        <v>18.349</v>
      </c>
      <c r="H129" s="10">
        <f>18.3143 * CHOOSE(CONTROL!$C$15, $E$9, 100%, $G$9) + CHOOSE(CONTROL!$C$38, 0.0347, 0)</f>
        <v>18.349</v>
      </c>
      <c r="I129" s="10">
        <f>18.3159 * CHOOSE(CONTROL!$C$15, $E$9, 100%, $G$9) + CHOOSE(CONTROL!$C$38, 0.0347, 0)</f>
        <v>18.3506</v>
      </c>
      <c r="J129" s="26">
        <f>120.9992</f>
        <v>120.9992</v>
      </c>
    </row>
    <row r="130" spans="1:10" ht="15" x14ac:dyDescent="0.2">
      <c r="A130" s="16">
        <v>44866</v>
      </c>
      <c r="B130" s="10">
        <f>19.9197 * CHOOSE(CONTROL!$C$15, $E$9, 100%, $G$9) + CHOOSE(CONTROL!$C$38, 0.0256, 0)</f>
        <v>19.9453</v>
      </c>
      <c r="C130" s="10">
        <f>18.5093 * CHOOSE(CONTROL!$C$15, $E$9, 100%, $G$9) + CHOOSE(CONTROL!$C$38, 0.0347, 0)</f>
        <v>18.544</v>
      </c>
      <c r="D130" s="10">
        <f>18.5015 * CHOOSE(CONTROL!$C$15, $E$9, 100%, $G$9) + CHOOSE(CONTROL!$C$38, 0.0347, 0)</f>
        <v>18.536200000000001</v>
      </c>
      <c r="E130" s="28">
        <f>19.7635 * CHOOSE(CONTROL!$C$15, $E$9, 100%, $G$9) + CHOOSE(CONTROL!$C$38, 0.0347, 0)</f>
        <v>19.798200000000001</v>
      </c>
      <c r="F130" s="27">
        <f>19.7635 * CHOOSE(CONTROL!$C$15, $E$9, 100%, $G$9) + CHOOSE(CONTROL!$C$38, 0.0256, 0)</f>
        <v>19.789100000000001</v>
      </c>
      <c r="G130" s="10">
        <f>18.5078 * CHOOSE(CONTROL!$C$15, $E$9, 100%, $G$9) + CHOOSE(CONTROL!$C$38, 0.0347, 0)</f>
        <v>18.5425</v>
      </c>
      <c r="H130" s="10">
        <f>18.5078 * CHOOSE(CONTROL!$C$15, $E$9, 100%, $G$9) + CHOOSE(CONTROL!$C$38, 0.0347, 0)</f>
        <v>18.5425</v>
      </c>
      <c r="I130" s="10">
        <f>18.5093 * CHOOSE(CONTROL!$C$15, $E$9, 100%, $G$9) + CHOOSE(CONTROL!$C$38, 0.0347, 0)</f>
        <v>18.544</v>
      </c>
      <c r="J130" s="26">
        <f>120.1371</f>
        <v>120.1371</v>
      </c>
    </row>
    <row r="131" spans="1:10" ht="15" x14ac:dyDescent="0.2">
      <c r="A131" s="16">
        <v>44896</v>
      </c>
      <c r="B131" s="10">
        <f>20.5158 * CHOOSE(CONTROL!$C$15, $E$9, 100%, $G$9) + CHOOSE(CONTROL!$C$38, 0.0256, 0)</f>
        <v>20.541399999999999</v>
      </c>
      <c r="C131" s="10">
        <f>19.1054 * CHOOSE(CONTROL!$C$15, $E$9, 100%, $G$9) + CHOOSE(CONTROL!$C$38, 0.0347, 0)</f>
        <v>19.1401</v>
      </c>
      <c r="D131" s="10">
        <f>19.0976 * CHOOSE(CONTROL!$C$15, $E$9, 100%, $G$9) + CHOOSE(CONTROL!$C$38, 0.0347, 0)</f>
        <v>19.132300000000001</v>
      </c>
      <c r="E131" s="28">
        <f>20.3596 * CHOOSE(CONTROL!$C$15, $E$9, 100%, $G$9) + CHOOSE(CONTROL!$C$38, 0.0347, 0)</f>
        <v>20.394300000000001</v>
      </c>
      <c r="F131" s="27">
        <f>20.3596 * CHOOSE(CONTROL!$C$15, $E$9, 100%, $G$9) + CHOOSE(CONTROL!$C$38, 0.0256, 0)</f>
        <v>20.385200000000001</v>
      </c>
      <c r="G131" s="10">
        <f>19.1038 * CHOOSE(CONTROL!$C$15, $E$9, 100%, $G$9) + CHOOSE(CONTROL!$C$38, 0.0347, 0)</f>
        <v>19.138500000000001</v>
      </c>
      <c r="H131" s="10">
        <f>19.1038 * CHOOSE(CONTROL!$C$15, $E$9, 100%, $G$9) + CHOOSE(CONTROL!$C$38, 0.0347, 0)</f>
        <v>19.138500000000001</v>
      </c>
      <c r="I131" s="10">
        <f>19.1054 * CHOOSE(CONTROL!$C$15, $E$9, 100%, $G$9) + CHOOSE(CONTROL!$C$38, 0.0347, 0)</f>
        <v>19.1401</v>
      </c>
      <c r="J131" s="26">
        <f>116.572</f>
        <v>116.572</v>
      </c>
    </row>
    <row r="132" spans="1:10" ht="15" x14ac:dyDescent="0.2">
      <c r="A132" s="16">
        <v>44927</v>
      </c>
      <c r="B132" s="10">
        <f>21.9362 * CHOOSE(CONTROL!$C$15, $E$9, 100%, $G$9) + CHOOSE(CONTROL!$C$38, 0.0256, 0)</f>
        <v>21.9618</v>
      </c>
      <c r="C132" s="10">
        <f>20.3463 * CHOOSE(CONTROL!$C$15, $E$9, 100%, $G$9) + CHOOSE(CONTROL!$C$38, 0.0347, 0)</f>
        <v>20.381</v>
      </c>
      <c r="D132" s="10">
        <f>20.3385 * CHOOSE(CONTROL!$C$15, $E$9, 100%, $G$9) + CHOOSE(CONTROL!$C$38, 0.0347, 0)</f>
        <v>20.373200000000001</v>
      </c>
      <c r="E132" s="28">
        <f>21.78 * CHOOSE(CONTROL!$C$15, $E$9, 100%, $G$9) + CHOOSE(CONTROL!$C$38, 0.0347, 0)</f>
        <v>21.814700000000002</v>
      </c>
      <c r="F132" s="27">
        <f>21.78 * CHOOSE(CONTROL!$C$15, $E$9, 100%, $G$9) + CHOOSE(CONTROL!$C$38, 0.0256, 0)</f>
        <v>21.805600000000002</v>
      </c>
      <c r="G132" s="10">
        <f>20.3448 * CHOOSE(CONTROL!$C$15, $E$9, 100%, $G$9) + CHOOSE(CONTROL!$C$38, 0.0347, 0)</f>
        <v>20.3795</v>
      </c>
      <c r="H132" s="10">
        <f>20.3448 * CHOOSE(CONTROL!$C$15, $E$9, 100%, $G$9) + CHOOSE(CONTROL!$C$38, 0.0347, 0)</f>
        <v>20.3795</v>
      </c>
      <c r="I132" s="10">
        <f>20.3463 * CHOOSE(CONTROL!$C$15, $E$9, 100%, $G$9) + CHOOSE(CONTROL!$C$38, 0.0347, 0)</f>
        <v>20.381</v>
      </c>
      <c r="J132" s="26">
        <f>118.9976</f>
        <v>118.99760000000001</v>
      </c>
    </row>
    <row r="133" spans="1:10" ht="15" x14ac:dyDescent="0.2">
      <c r="A133" s="16">
        <v>44958</v>
      </c>
      <c r="B133" s="10">
        <f>22.157 * CHOOSE(CONTROL!$C$15, $E$9, 100%, $G$9) + CHOOSE(CONTROL!$C$38, 0.0256, 0)</f>
        <v>22.182600000000001</v>
      </c>
      <c r="C133" s="10">
        <f>20.5671 * CHOOSE(CONTROL!$C$15, $E$9, 100%, $G$9) + CHOOSE(CONTROL!$C$38, 0.0347, 0)</f>
        <v>20.601800000000001</v>
      </c>
      <c r="D133" s="10">
        <f>20.5593 * CHOOSE(CONTROL!$C$15, $E$9, 100%, $G$9) + CHOOSE(CONTROL!$C$38, 0.0347, 0)</f>
        <v>20.594000000000001</v>
      </c>
      <c r="E133" s="28">
        <f>22.0007 * CHOOSE(CONTROL!$C$15, $E$9, 100%, $G$9) + CHOOSE(CONTROL!$C$38, 0.0347, 0)</f>
        <v>22.035399999999999</v>
      </c>
      <c r="F133" s="27">
        <f>22.0007 * CHOOSE(CONTROL!$C$15, $E$9, 100%, $G$9) + CHOOSE(CONTROL!$C$38, 0.0256, 0)</f>
        <v>22.026299999999999</v>
      </c>
      <c r="G133" s="10">
        <f>20.5655 * CHOOSE(CONTROL!$C$15, $E$9, 100%, $G$9) + CHOOSE(CONTROL!$C$38, 0.0347, 0)</f>
        <v>20.600200000000001</v>
      </c>
      <c r="H133" s="10">
        <f>20.5655 * CHOOSE(CONTROL!$C$15, $E$9, 100%, $G$9) + CHOOSE(CONTROL!$C$38, 0.0347, 0)</f>
        <v>20.600200000000001</v>
      </c>
      <c r="I133" s="10">
        <f>20.5671 * CHOOSE(CONTROL!$C$15, $E$9, 100%, $G$9) + CHOOSE(CONTROL!$C$38, 0.0347, 0)</f>
        <v>20.601800000000001</v>
      </c>
      <c r="J133" s="26">
        <f>118.6669</f>
        <v>118.6669</v>
      </c>
    </row>
    <row r="134" spans="1:10" ht="15" x14ac:dyDescent="0.2">
      <c r="A134" s="16">
        <v>44986</v>
      </c>
      <c r="B134" s="10">
        <f>21.6459 * CHOOSE(CONTROL!$C$15, $E$9, 100%, $G$9) + CHOOSE(CONTROL!$C$38, 0.0256, 0)</f>
        <v>21.671500000000002</v>
      </c>
      <c r="C134" s="10">
        <f>20.0561 * CHOOSE(CONTROL!$C$15, $E$9, 100%, $G$9) + CHOOSE(CONTROL!$C$38, 0.0347, 0)</f>
        <v>20.090800000000002</v>
      </c>
      <c r="D134" s="10">
        <f>20.0483 * CHOOSE(CONTROL!$C$15, $E$9, 100%, $G$9) + CHOOSE(CONTROL!$C$38, 0.0347, 0)</f>
        <v>20.083000000000002</v>
      </c>
      <c r="E134" s="28">
        <f>21.4897 * CHOOSE(CONTROL!$C$15, $E$9, 100%, $G$9) + CHOOSE(CONTROL!$C$38, 0.0347, 0)</f>
        <v>21.5244</v>
      </c>
      <c r="F134" s="27">
        <f>21.4897 * CHOOSE(CONTROL!$C$15, $E$9, 100%, $G$9) + CHOOSE(CONTROL!$C$38, 0.0256, 0)</f>
        <v>21.5153</v>
      </c>
      <c r="G134" s="10">
        <f>20.0545 * CHOOSE(CONTROL!$C$15, $E$9, 100%, $G$9) + CHOOSE(CONTROL!$C$38, 0.0347, 0)</f>
        <v>20.089200000000002</v>
      </c>
      <c r="H134" s="10">
        <f>20.0545 * CHOOSE(CONTROL!$C$15, $E$9, 100%, $G$9) + CHOOSE(CONTROL!$C$38, 0.0347, 0)</f>
        <v>20.089200000000002</v>
      </c>
      <c r="I134" s="10">
        <f>20.0561 * CHOOSE(CONTROL!$C$15, $E$9, 100%, $G$9) + CHOOSE(CONTROL!$C$38, 0.0347, 0)</f>
        <v>20.090800000000002</v>
      </c>
      <c r="J134" s="26">
        <f>124.9213</f>
        <v>124.9213</v>
      </c>
    </row>
    <row r="135" spans="1:10" ht="15" x14ac:dyDescent="0.2">
      <c r="A135" s="16">
        <v>45017</v>
      </c>
      <c r="B135" s="10">
        <f>21.1508 * CHOOSE(CONTROL!$C$15, $E$9, 100%, $G$9) + CHOOSE(CONTROL!$C$38, 0.0256, 0)</f>
        <v>21.176400000000001</v>
      </c>
      <c r="C135" s="10">
        <f>19.5609 * CHOOSE(CONTROL!$C$15, $E$9, 100%, $G$9) + CHOOSE(CONTROL!$C$38, 0.0347, 0)</f>
        <v>19.595600000000001</v>
      </c>
      <c r="D135" s="10">
        <f>19.5531 * CHOOSE(CONTROL!$C$15, $E$9, 100%, $G$9) + CHOOSE(CONTROL!$C$38, 0.0347, 0)</f>
        <v>19.587800000000001</v>
      </c>
      <c r="E135" s="28">
        <f>20.9945 * CHOOSE(CONTROL!$C$15, $E$9, 100%, $G$9) + CHOOSE(CONTROL!$C$38, 0.0347, 0)</f>
        <v>21.029199999999999</v>
      </c>
      <c r="F135" s="27">
        <f>20.9945 * CHOOSE(CONTROL!$C$15, $E$9, 100%, $G$9) + CHOOSE(CONTROL!$C$38, 0.0256, 0)</f>
        <v>21.020099999999999</v>
      </c>
      <c r="G135" s="10">
        <f>19.5593 * CHOOSE(CONTROL!$C$15, $E$9, 100%, $G$9) + CHOOSE(CONTROL!$C$38, 0.0347, 0)</f>
        <v>19.594000000000001</v>
      </c>
      <c r="H135" s="10">
        <f>19.5593 * CHOOSE(CONTROL!$C$15, $E$9, 100%, $G$9) + CHOOSE(CONTROL!$C$38, 0.0347, 0)</f>
        <v>19.594000000000001</v>
      </c>
      <c r="I135" s="10">
        <f>19.5609 * CHOOSE(CONTROL!$C$15, $E$9, 100%, $G$9) + CHOOSE(CONTROL!$C$38, 0.0347, 0)</f>
        <v>19.595600000000001</v>
      </c>
      <c r="J135" s="26">
        <f>133.0318</f>
        <v>133.0318</v>
      </c>
    </row>
    <row r="136" spans="1:10" ht="15" x14ac:dyDescent="0.2">
      <c r="A136" s="16">
        <v>45047</v>
      </c>
      <c r="B136" s="10">
        <f>20.6346 * CHOOSE(CONTROL!$C$15, $E$9, 100%, $G$9) + CHOOSE(CONTROL!$C$38, 0.0278, 0)</f>
        <v>20.662399999999998</v>
      </c>
      <c r="C136" s="10">
        <f>19.0448 * CHOOSE(CONTROL!$C$15, $E$9, 100%, $G$9) + CHOOSE(CONTROL!$C$38, 0.0369, 0)</f>
        <v>19.081699999999998</v>
      </c>
      <c r="D136" s="10">
        <f>19.037 * CHOOSE(CONTROL!$C$15, $E$9, 100%, $G$9) + CHOOSE(CONTROL!$C$38, 0.0369, 0)</f>
        <v>19.073899999999998</v>
      </c>
      <c r="E136" s="28">
        <f>20.4784 * CHOOSE(CONTROL!$C$15, $E$9, 100%, $G$9) + CHOOSE(CONTROL!$C$38, 0.0369, 0)</f>
        <v>20.5153</v>
      </c>
      <c r="F136" s="27">
        <f>20.4784 * CHOOSE(CONTROL!$C$15, $E$9, 100%, $G$9) + CHOOSE(CONTROL!$C$38, 0.0278, 0)</f>
        <v>20.5062</v>
      </c>
      <c r="G136" s="10">
        <f>19.0432 * CHOOSE(CONTROL!$C$15, $E$9, 100%, $G$9) + CHOOSE(CONTROL!$C$38, 0.0369, 0)</f>
        <v>19.080099999999998</v>
      </c>
      <c r="H136" s="10">
        <f>19.0432 * CHOOSE(CONTROL!$C$15, $E$9, 100%, $G$9) + CHOOSE(CONTROL!$C$38, 0.0369, 0)</f>
        <v>19.080099999999998</v>
      </c>
      <c r="I136" s="10">
        <f>19.0448 * CHOOSE(CONTROL!$C$15, $E$9, 100%, $G$9) + CHOOSE(CONTROL!$C$38, 0.0369, 0)</f>
        <v>19.081699999999998</v>
      </c>
      <c r="J136" s="26">
        <f>137.4961</f>
        <v>137.49610000000001</v>
      </c>
    </row>
    <row r="137" spans="1:10" ht="15" x14ac:dyDescent="0.2">
      <c r="A137" s="16">
        <v>45078</v>
      </c>
      <c r="B137" s="10">
        <f>20.2728 * CHOOSE(CONTROL!$C$15, $E$9, 100%, $G$9) + CHOOSE(CONTROL!$C$38, 0.0278, 0)</f>
        <v>20.300599999999999</v>
      </c>
      <c r="C137" s="10">
        <f>18.683 * CHOOSE(CONTROL!$C$15, $E$9, 100%, $G$9) + CHOOSE(CONTROL!$C$38, 0.0369, 0)</f>
        <v>18.719899999999999</v>
      </c>
      <c r="D137" s="10">
        <f>18.6751 * CHOOSE(CONTROL!$C$15, $E$9, 100%, $G$9) + CHOOSE(CONTROL!$C$38, 0.0369, 0)</f>
        <v>18.712</v>
      </c>
      <c r="E137" s="28">
        <f>20.1166 * CHOOSE(CONTROL!$C$15, $E$9, 100%, $G$9) + CHOOSE(CONTROL!$C$38, 0.0369, 0)</f>
        <v>20.153499999999998</v>
      </c>
      <c r="F137" s="27">
        <f>20.1166 * CHOOSE(CONTROL!$C$15, $E$9, 100%, $G$9) + CHOOSE(CONTROL!$C$38, 0.0278, 0)</f>
        <v>20.144399999999997</v>
      </c>
      <c r="G137" s="10">
        <f>18.6814 * CHOOSE(CONTROL!$C$15, $E$9, 100%, $G$9) + CHOOSE(CONTROL!$C$38, 0.0369, 0)</f>
        <v>18.718299999999999</v>
      </c>
      <c r="H137" s="10">
        <f>18.6814 * CHOOSE(CONTROL!$C$15, $E$9, 100%, $G$9) + CHOOSE(CONTROL!$C$38, 0.0369, 0)</f>
        <v>18.718299999999999</v>
      </c>
      <c r="I137" s="10">
        <f>18.683 * CHOOSE(CONTROL!$C$15, $E$9, 100%, $G$9) + CHOOSE(CONTROL!$C$38, 0.0369, 0)</f>
        <v>18.719899999999999</v>
      </c>
      <c r="J137" s="26">
        <f>139.4773</f>
        <v>139.47730000000001</v>
      </c>
    </row>
    <row r="138" spans="1:10" ht="15" x14ac:dyDescent="0.2">
      <c r="A138" s="16">
        <v>45108</v>
      </c>
      <c r="B138" s="10">
        <f>20.0663 * CHOOSE(CONTROL!$C$15, $E$9, 100%, $G$9) + CHOOSE(CONTROL!$C$38, 0.0278, 0)</f>
        <v>20.094099999999997</v>
      </c>
      <c r="C138" s="10">
        <f>18.4765 * CHOOSE(CONTROL!$C$15, $E$9, 100%, $G$9) + CHOOSE(CONTROL!$C$38, 0.0369, 0)</f>
        <v>18.513400000000001</v>
      </c>
      <c r="D138" s="10">
        <f>18.4687 * CHOOSE(CONTROL!$C$15, $E$9, 100%, $G$9) + CHOOSE(CONTROL!$C$38, 0.0369, 0)</f>
        <v>18.505599999999998</v>
      </c>
      <c r="E138" s="28">
        <f>19.9101 * CHOOSE(CONTROL!$C$15, $E$9, 100%, $G$9) + CHOOSE(CONTROL!$C$38, 0.0369, 0)</f>
        <v>19.946999999999999</v>
      </c>
      <c r="F138" s="27">
        <f>19.9101 * CHOOSE(CONTROL!$C$15, $E$9, 100%, $G$9) + CHOOSE(CONTROL!$C$38, 0.0278, 0)</f>
        <v>19.937899999999999</v>
      </c>
      <c r="G138" s="10">
        <f>18.4749 * CHOOSE(CONTROL!$C$15, $E$9, 100%, $G$9) + CHOOSE(CONTROL!$C$38, 0.0369, 0)</f>
        <v>18.511800000000001</v>
      </c>
      <c r="H138" s="10">
        <f>18.4749 * CHOOSE(CONTROL!$C$15, $E$9, 100%, $G$9) + CHOOSE(CONTROL!$C$38, 0.0369, 0)</f>
        <v>18.511800000000001</v>
      </c>
      <c r="I138" s="10">
        <f>18.4765 * CHOOSE(CONTROL!$C$15, $E$9, 100%, $G$9) + CHOOSE(CONTROL!$C$38, 0.0369, 0)</f>
        <v>18.513400000000001</v>
      </c>
      <c r="J138" s="26">
        <f>138.825</f>
        <v>138.82499999999999</v>
      </c>
    </row>
    <row r="139" spans="1:10" ht="15" x14ac:dyDescent="0.2">
      <c r="A139" s="16">
        <v>45139</v>
      </c>
      <c r="B139" s="10">
        <f>20.1682 * CHOOSE(CONTROL!$C$15, $E$9, 100%, $G$9) + CHOOSE(CONTROL!$C$38, 0.0278, 0)</f>
        <v>20.195999999999998</v>
      </c>
      <c r="C139" s="10">
        <f>18.5784 * CHOOSE(CONTROL!$C$15, $E$9, 100%, $G$9) + CHOOSE(CONTROL!$C$38, 0.0369, 0)</f>
        <v>18.615299999999998</v>
      </c>
      <c r="D139" s="10">
        <f>18.5706 * CHOOSE(CONTROL!$C$15, $E$9, 100%, $G$9) + CHOOSE(CONTROL!$C$38, 0.0369, 0)</f>
        <v>18.607499999999998</v>
      </c>
      <c r="E139" s="28">
        <f>20.012 * CHOOSE(CONTROL!$C$15, $E$9, 100%, $G$9) + CHOOSE(CONTROL!$C$38, 0.0369, 0)</f>
        <v>20.0489</v>
      </c>
      <c r="F139" s="27">
        <f>20.012 * CHOOSE(CONTROL!$C$15, $E$9, 100%, $G$9) + CHOOSE(CONTROL!$C$38, 0.0278, 0)</f>
        <v>20.0398</v>
      </c>
      <c r="G139" s="10">
        <f>18.5768 * CHOOSE(CONTROL!$C$15, $E$9, 100%, $G$9) + CHOOSE(CONTROL!$C$38, 0.0369, 0)</f>
        <v>18.613699999999998</v>
      </c>
      <c r="H139" s="10">
        <f>18.5768 * CHOOSE(CONTROL!$C$15, $E$9, 100%, $G$9) + CHOOSE(CONTROL!$C$38, 0.0369, 0)</f>
        <v>18.613699999999998</v>
      </c>
      <c r="I139" s="10">
        <f>18.5784 * CHOOSE(CONTROL!$C$15, $E$9, 100%, $G$9) + CHOOSE(CONTROL!$C$38, 0.0369, 0)</f>
        <v>18.615299999999998</v>
      </c>
      <c r="J139" s="26">
        <f>135.5932</f>
        <v>135.5932</v>
      </c>
    </row>
    <row r="140" spans="1:10" ht="15" x14ac:dyDescent="0.2">
      <c r="A140" s="16">
        <v>45170</v>
      </c>
      <c r="B140" s="10">
        <f>20.445 * CHOOSE(CONTROL!$C$15, $E$9, 100%, $G$9) + CHOOSE(CONTROL!$C$38, 0.0278, 0)</f>
        <v>20.472799999999999</v>
      </c>
      <c r="C140" s="10">
        <f>18.8552 * CHOOSE(CONTROL!$C$15, $E$9, 100%, $G$9) + CHOOSE(CONTROL!$C$38, 0.0369, 0)</f>
        <v>18.892099999999999</v>
      </c>
      <c r="D140" s="10">
        <f>18.8474 * CHOOSE(CONTROL!$C$15, $E$9, 100%, $G$9) + CHOOSE(CONTROL!$C$38, 0.0369, 0)</f>
        <v>18.8843</v>
      </c>
      <c r="E140" s="28">
        <f>20.2888 * CHOOSE(CONTROL!$C$15, $E$9, 100%, $G$9) + CHOOSE(CONTROL!$C$38, 0.0369, 0)</f>
        <v>20.325699999999998</v>
      </c>
      <c r="F140" s="27">
        <f>20.2888 * CHOOSE(CONTROL!$C$15, $E$9, 100%, $G$9) + CHOOSE(CONTROL!$C$38, 0.0278, 0)</f>
        <v>20.316599999999998</v>
      </c>
      <c r="G140" s="10">
        <f>18.8536 * CHOOSE(CONTROL!$C$15, $E$9, 100%, $G$9) + CHOOSE(CONTROL!$C$38, 0.0369, 0)</f>
        <v>18.890499999999999</v>
      </c>
      <c r="H140" s="10">
        <f>18.8536 * CHOOSE(CONTROL!$C$15, $E$9, 100%, $G$9) + CHOOSE(CONTROL!$C$38, 0.0369, 0)</f>
        <v>18.890499999999999</v>
      </c>
      <c r="I140" s="10">
        <f>18.8552 * CHOOSE(CONTROL!$C$15, $E$9, 100%, $G$9) + CHOOSE(CONTROL!$C$38, 0.0369, 0)</f>
        <v>18.892099999999999</v>
      </c>
      <c r="J140" s="26">
        <f>131.0863</f>
        <v>131.08629999999999</v>
      </c>
    </row>
    <row r="141" spans="1:10" ht="15" x14ac:dyDescent="0.2">
      <c r="A141" s="16">
        <v>45200</v>
      </c>
      <c r="B141" s="10">
        <f>20.6768 * CHOOSE(CONTROL!$C$15, $E$9, 100%, $G$9) + CHOOSE(CONTROL!$C$38, 0.0256, 0)</f>
        <v>20.702400000000001</v>
      </c>
      <c r="C141" s="10">
        <f>19.087 * CHOOSE(CONTROL!$C$15, $E$9, 100%, $G$9) + CHOOSE(CONTROL!$C$38, 0.0347, 0)</f>
        <v>19.121700000000001</v>
      </c>
      <c r="D141" s="10">
        <f>19.0792 * CHOOSE(CONTROL!$C$15, $E$9, 100%, $G$9) + CHOOSE(CONTROL!$C$38, 0.0347, 0)</f>
        <v>19.113900000000001</v>
      </c>
      <c r="E141" s="28">
        <f>20.5206 * CHOOSE(CONTROL!$C$15, $E$9, 100%, $G$9) + CHOOSE(CONTROL!$C$38, 0.0347, 0)</f>
        <v>20.555300000000003</v>
      </c>
      <c r="F141" s="27">
        <f>20.5206 * CHOOSE(CONTROL!$C$15, $E$9, 100%, $G$9) + CHOOSE(CONTROL!$C$38, 0.0256, 0)</f>
        <v>20.546200000000002</v>
      </c>
      <c r="G141" s="10">
        <f>19.0854 * CHOOSE(CONTROL!$C$15, $E$9, 100%, $G$9) + CHOOSE(CONTROL!$C$38, 0.0347, 0)</f>
        <v>19.120100000000001</v>
      </c>
      <c r="H141" s="10">
        <f>19.0854 * CHOOSE(CONTROL!$C$15, $E$9, 100%, $G$9) + CHOOSE(CONTROL!$C$38, 0.0347, 0)</f>
        <v>19.120100000000001</v>
      </c>
      <c r="I141" s="10">
        <f>19.087 * CHOOSE(CONTROL!$C$15, $E$9, 100%, $G$9) + CHOOSE(CONTROL!$C$38, 0.0347, 0)</f>
        <v>19.121700000000001</v>
      </c>
      <c r="J141" s="26">
        <f>126.5532</f>
        <v>126.5532</v>
      </c>
    </row>
    <row r="142" spans="1:10" ht="15" x14ac:dyDescent="0.2">
      <c r="A142" s="16">
        <v>45231</v>
      </c>
      <c r="B142" s="10">
        <f>20.8703 * CHOOSE(CONTROL!$C$15, $E$9, 100%, $G$9) + CHOOSE(CONTROL!$C$38, 0.0256, 0)</f>
        <v>20.895900000000001</v>
      </c>
      <c r="C142" s="10">
        <f>19.2804 * CHOOSE(CONTROL!$C$15, $E$9, 100%, $G$9) + CHOOSE(CONTROL!$C$38, 0.0347, 0)</f>
        <v>19.315100000000001</v>
      </c>
      <c r="D142" s="10">
        <f>19.2726 * CHOOSE(CONTROL!$C$15, $E$9, 100%, $G$9) + CHOOSE(CONTROL!$C$38, 0.0347, 0)</f>
        <v>19.307300000000001</v>
      </c>
      <c r="E142" s="28">
        <f>20.714 * CHOOSE(CONTROL!$C$15, $E$9, 100%, $G$9) + CHOOSE(CONTROL!$C$38, 0.0347, 0)</f>
        <v>20.748699999999999</v>
      </c>
      <c r="F142" s="27">
        <f>20.714 * CHOOSE(CONTROL!$C$15, $E$9, 100%, $G$9) + CHOOSE(CONTROL!$C$38, 0.0256, 0)</f>
        <v>20.739599999999999</v>
      </c>
      <c r="G142" s="10">
        <f>19.2789 * CHOOSE(CONTROL!$C$15, $E$9, 100%, $G$9) + CHOOSE(CONTROL!$C$38, 0.0347, 0)</f>
        <v>19.313600000000001</v>
      </c>
      <c r="H142" s="10">
        <f>19.2789 * CHOOSE(CONTROL!$C$15, $E$9, 100%, $G$9) + CHOOSE(CONTROL!$C$38, 0.0347, 0)</f>
        <v>19.313600000000001</v>
      </c>
      <c r="I142" s="10">
        <f>19.2804 * CHOOSE(CONTROL!$C$15, $E$9, 100%, $G$9) + CHOOSE(CONTROL!$C$38, 0.0347, 0)</f>
        <v>19.315100000000001</v>
      </c>
      <c r="J142" s="26">
        <f>125.6515</f>
        <v>125.6515</v>
      </c>
    </row>
    <row r="143" spans="1:10" ht="15" x14ac:dyDescent="0.2">
      <c r="A143" s="16">
        <v>45261</v>
      </c>
      <c r="B143" s="10">
        <f>21.4664 * CHOOSE(CONTROL!$C$15, $E$9, 100%, $G$9) + CHOOSE(CONTROL!$C$38, 0.0256, 0)</f>
        <v>21.492000000000001</v>
      </c>
      <c r="C143" s="10">
        <f>19.8765 * CHOOSE(CONTROL!$C$15, $E$9, 100%, $G$9) + CHOOSE(CONTROL!$C$38, 0.0347, 0)</f>
        <v>19.911200000000001</v>
      </c>
      <c r="D143" s="10">
        <f>19.8687 * CHOOSE(CONTROL!$C$15, $E$9, 100%, $G$9) + CHOOSE(CONTROL!$C$38, 0.0347, 0)</f>
        <v>19.903400000000001</v>
      </c>
      <c r="E143" s="28">
        <f>21.3101 * CHOOSE(CONTROL!$C$15, $E$9, 100%, $G$9) + CHOOSE(CONTROL!$C$38, 0.0347, 0)</f>
        <v>21.344799999999999</v>
      </c>
      <c r="F143" s="27">
        <f>21.3101 * CHOOSE(CONTROL!$C$15, $E$9, 100%, $G$9) + CHOOSE(CONTROL!$C$38, 0.0256, 0)</f>
        <v>21.335699999999999</v>
      </c>
      <c r="G143" s="10">
        <f>19.8749 * CHOOSE(CONTROL!$C$15, $E$9, 100%, $G$9) + CHOOSE(CONTROL!$C$38, 0.0347, 0)</f>
        <v>19.909600000000001</v>
      </c>
      <c r="H143" s="10">
        <f>19.8749 * CHOOSE(CONTROL!$C$15, $E$9, 100%, $G$9) + CHOOSE(CONTROL!$C$38, 0.0347, 0)</f>
        <v>19.909600000000001</v>
      </c>
      <c r="I143" s="10">
        <f>19.8765 * CHOOSE(CONTROL!$C$15, $E$9, 100%, $G$9) + CHOOSE(CONTROL!$C$38, 0.0347, 0)</f>
        <v>19.911200000000001</v>
      </c>
      <c r="J143" s="26">
        <f>121.9227</f>
        <v>121.92270000000001</v>
      </c>
    </row>
    <row r="144" spans="1:10" ht="15" x14ac:dyDescent="0.2">
      <c r="A144" s="16">
        <v>45292</v>
      </c>
      <c r="B144" s="10">
        <f>22.9277 * CHOOSE(CONTROL!$C$15, $E$9, 100%, $G$9) + CHOOSE(CONTROL!$C$38, 0.0256, 0)</f>
        <v>22.953300000000002</v>
      </c>
      <c r="C144" s="10">
        <f>21.1574 * CHOOSE(CONTROL!$C$15, $E$9, 100%, $G$9) + CHOOSE(CONTROL!$C$38, 0.0347, 0)</f>
        <v>21.1921</v>
      </c>
      <c r="D144" s="10">
        <f>21.1496 * CHOOSE(CONTROL!$C$15, $E$9, 100%, $G$9) + CHOOSE(CONTROL!$C$38, 0.0347, 0)</f>
        <v>21.1843</v>
      </c>
      <c r="E144" s="28">
        <f>22.7714 * CHOOSE(CONTROL!$C$15, $E$9, 100%, $G$9) + CHOOSE(CONTROL!$C$38, 0.0347, 0)</f>
        <v>22.806100000000001</v>
      </c>
      <c r="F144" s="27">
        <f>22.7714 * CHOOSE(CONTROL!$C$15, $E$9, 100%, $G$9) + CHOOSE(CONTROL!$C$38, 0.0256, 0)</f>
        <v>22.797000000000001</v>
      </c>
      <c r="G144" s="10">
        <f>21.1558 * CHOOSE(CONTROL!$C$15, $E$9, 100%, $G$9) + CHOOSE(CONTROL!$C$38, 0.0347, 0)</f>
        <v>21.1905</v>
      </c>
      <c r="H144" s="10">
        <f>21.1558 * CHOOSE(CONTROL!$C$15, $E$9, 100%, $G$9) + CHOOSE(CONTROL!$C$38, 0.0347, 0)</f>
        <v>21.1905</v>
      </c>
      <c r="I144" s="10">
        <f>21.1574 * CHOOSE(CONTROL!$C$15, $E$9, 100%, $G$9) + CHOOSE(CONTROL!$C$38, 0.0347, 0)</f>
        <v>21.1921</v>
      </c>
      <c r="J144" s="26">
        <f>124.4535</f>
        <v>124.45350000000001</v>
      </c>
    </row>
    <row r="145" spans="1:10" ht="15" x14ac:dyDescent="0.2">
      <c r="A145" s="16">
        <v>45323</v>
      </c>
      <c r="B145" s="10">
        <f>23.1484 * CHOOSE(CONTROL!$C$15, $E$9, 100%, $G$9) + CHOOSE(CONTROL!$C$38, 0.0256, 0)</f>
        <v>23.173999999999999</v>
      </c>
      <c r="C145" s="10">
        <f>21.3782 * CHOOSE(CONTROL!$C$15, $E$9, 100%, $G$9) + CHOOSE(CONTROL!$C$38, 0.0347, 0)</f>
        <v>21.4129</v>
      </c>
      <c r="D145" s="10">
        <f>21.3703 * CHOOSE(CONTROL!$C$15, $E$9, 100%, $G$9) + CHOOSE(CONTROL!$C$38, 0.0347, 0)</f>
        <v>21.405000000000001</v>
      </c>
      <c r="E145" s="28">
        <f>22.9922 * CHOOSE(CONTROL!$C$15, $E$9, 100%, $G$9) + CHOOSE(CONTROL!$C$38, 0.0347, 0)</f>
        <v>23.026900000000001</v>
      </c>
      <c r="F145" s="27">
        <f>22.9922 * CHOOSE(CONTROL!$C$15, $E$9, 100%, $G$9) + CHOOSE(CONTROL!$C$38, 0.0256, 0)</f>
        <v>23.017800000000001</v>
      </c>
      <c r="G145" s="10">
        <f>21.3766 * CHOOSE(CONTROL!$C$15, $E$9, 100%, $G$9) + CHOOSE(CONTROL!$C$38, 0.0347, 0)</f>
        <v>21.411300000000001</v>
      </c>
      <c r="H145" s="10">
        <f>21.3766 * CHOOSE(CONTROL!$C$15, $E$9, 100%, $G$9) + CHOOSE(CONTROL!$C$38, 0.0347, 0)</f>
        <v>21.411300000000001</v>
      </c>
      <c r="I145" s="10">
        <f>21.3782 * CHOOSE(CONTROL!$C$15, $E$9, 100%, $G$9) + CHOOSE(CONTROL!$C$38, 0.0347, 0)</f>
        <v>21.4129</v>
      </c>
      <c r="J145" s="26">
        <f>124.1076</f>
        <v>124.10760000000001</v>
      </c>
    </row>
    <row r="146" spans="1:10" ht="15" x14ac:dyDescent="0.2">
      <c r="A146" s="16">
        <v>45352</v>
      </c>
      <c r="B146" s="10">
        <f>22.6374 * CHOOSE(CONTROL!$C$15, $E$9, 100%, $G$9) + CHOOSE(CONTROL!$C$38, 0.0256, 0)</f>
        <v>22.663</v>
      </c>
      <c r="C146" s="10">
        <f>20.8671 * CHOOSE(CONTROL!$C$15, $E$9, 100%, $G$9) + CHOOSE(CONTROL!$C$38, 0.0347, 0)</f>
        <v>20.901800000000001</v>
      </c>
      <c r="D146" s="10">
        <f>20.8593 * CHOOSE(CONTROL!$C$15, $E$9, 100%, $G$9) + CHOOSE(CONTROL!$C$38, 0.0347, 0)</f>
        <v>20.894000000000002</v>
      </c>
      <c r="E146" s="28">
        <f>22.4812 * CHOOSE(CONTROL!$C$15, $E$9, 100%, $G$9) + CHOOSE(CONTROL!$C$38, 0.0347, 0)</f>
        <v>22.515900000000002</v>
      </c>
      <c r="F146" s="27">
        <f>22.4812 * CHOOSE(CONTROL!$C$15, $E$9, 100%, $G$9) + CHOOSE(CONTROL!$C$38, 0.0256, 0)</f>
        <v>22.506800000000002</v>
      </c>
      <c r="G146" s="10">
        <f>20.8656 * CHOOSE(CONTROL!$C$15, $E$9, 100%, $G$9) + CHOOSE(CONTROL!$C$38, 0.0347, 0)</f>
        <v>20.900300000000001</v>
      </c>
      <c r="H146" s="10">
        <f>20.8656 * CHOOSE(CONTROL!$C$15, $E$9, 100%, $G$9) + CHOOSE(CONTROL!$C$38, 0.0347, 0)</f>
        <v>20.900300000000001</v>
      </c>
      <c r="I146" s="10">
        <f>20.8671 * CHOOSE(CONTROL!$C$15, $E$9, 100%, $G$9) + CHOOSE(CONTROL!$C$38, 0.0347, 0)</f>
        <v>20.901800000000001</v>
      </c>
      <c r="J146" s="26">
        <f>130.6488</f>
        <v>130.64879999999999</v>
      </c>
    </row>
    <row r="147" spans="1:10" ht="15" x14ac:dyDescent="0.2">
      <c r="A147" s="16">
        <v>45383</v>
      </c>
      <c r="B147" s="10">
        <f>22.1422 * CHOOSE(CONTROL!$C$15, $E$9, 100%, $G$9) + CHOOSE(CONTROL!$C$38, 0.0256, 0)</f>
        <v>22.1678</v>
      </c>
      <c r="C147" s="10">
        <f>20.3719 * CHOOSE(CONTROL!$C$15, $E$9, 100%, $G$9) + CHOOSE(CONTROL!$C$38, 0.0347, 0)</f>
        <v>20.406600000000001</v>
      </c>
      <c r="D147" s="10">
        <f>20.3641 * CHOOSE(CONTROL!$C$15, $E$9, 100%, $G$9) + CHOOSE(CONTROL!$C$38, 0.0347, 0)</f>
        <v>20.398800000000001</v>
      </c>
      <c r="E147" s="28">
        <f>21.986 * CHOOSE(CONTROL!$C$15, $E$9, 100%, $G$9) + CHOOSE(CONTROL!$C$38, 0.0347, 0)</f>
        <v>22.020700000000001</v>
      </c>
      <c r="F147" s="27">
        <f>21.986 * CHOOSE(CONTROL!$C$15, $E$9, 100%, $G$9) + CHOOSE(CONTROL!$C$38, 0.0256, 0)</f>
        <v>22.011600000000001</v>
      </c>
      <c r="G147" s="10">
        <f>20.3704 * CHOOSE(CONTROL!$C$15, $E$9, 100%, $G$9) + CHOOSE(CONTROL!$C$38, 0.0347, 0)</f>
        <v>20.405100000000001</v>
      </c>
      <c r="H147" s="10">
        <f>20.3704 * CHOOSE(CONTROL!$C$15, $E$9, 100%, $G$9) + CHOOSE(CONTROL!$C$38, 0.0347, 0)</f>
        <v>20.405100000000001</v>
      </c>
      <c r="I147" s="10">
        <f>20.3719 * CHOOSE(CONTROL!$C$15, $E$9, 100%, $G$9) + CHOOSE(CONTROL!$C$38, 0.0347, 0)</f>
        <v>20.406600000000001</v>
      </c>
      <c r="J147" s="26">
        <f>139.1311</f>
        <v>139.1311</v>
      </c>
    </row>
    <row r="148" spans="1:10" ht="15" x14ac:dyDescent="0.2">
      <c r="A148" s="16">
        <v>45413</v>
      </c>
      <c r="B148" s="10">
        <f>21.6261 * CHOOSE(CONTROL!$C$15, $E$9, 100%, $G$9) + CHOOSE(CONTROL!$C$38, 0.0278, 0)</f>
        <v>21.6539</v>
      </c>
      <c r="C148" s="10">
        <f>19.8558 * CHOOSE(CONTROL!$C$15, $E$9, 100%, $G$9) + CHOOSE(CONTROL!$C$38, 0.0369, 0)</f>
        <v>19.892699999999998</v>
      </c>
      <c r="D148" s="10">
        <f>19.848 * CHOOSE(CONTROL!$C$15, $E$9, 100%, $G$9) + CHOOSE(CONTROL!$C$38, 0.0369, 0)</f>
        <v>19.884899999999998</v>
      </c>
      <c r="E148" s="28">
        <f>21.4699 * CHOOSE(CONTROL!$C$15, $E$9, 100%, $G$9) + CHOOSE(CONTROL!$C$38, 0.0369, 0)</f>
        <v>21.506799999999998</v>
      </c>
      <c r="F148" s="27">
        <f>21.4699 * CHOOSE(CONTROL!$C$15, $E$9, 100%, $G$9) + CHOOSE(CONTROL!$C$38, 0.0278, 0)</f>
        <v>21.497699999999998</v>
      </c>
      <c r="G148" s="10">
        <f>19.8543 * CHOOSE(CONTROL!$C$15, $E$9, 100%, $G$9) + CHOOSE(CONTROL!$C$38, 0.0369, 0)</f>
        <v>19.891199999999998</v>
      </c>
      <c r="H148" s="10">
        <f>19.8543 * CHOOSE(CONTROL!$C$15, $E$9, 100%, $G$9) + CHOOSE(CONTROL!$C$38, 0.0369, 0)</f>
        <v>19.891199999999998</v>
      </c>
      <c r="I148" s="10">
        <f>19.8558 * CHOOSE(CONTROL!$C$15, $E$9, 100%, $G$9) + CHOOSE(CONTROL!$C$38, 0.0369, 0)</f>
        <v>19.892699999999998</v>
      </c>
      <c r="J148" s="26">
        <f>143.8001</f>
        <v>143.80009999999999</v>
      </c>
    </row>
    <row r="149" spans="1:10" ht="15" x14ac:dyDescent="0.2">
      <c r="A149" s="16">
        <v>45444</v>
      </c>
      <c r="B149" s="10">
        <f>21.2643 * CHOOSE(CONTROL!$C$15, $E$9, 100%, $G$9) + CHOOSE(CONTROL!$C$38, 0.0278, 0)</f>
        <v>21.292099999999998</v>
      </c>
      <c r="C149" s="10">
        <f>19.494 * CHOOSE(CONTROL!$C$15, $E$9, 100%, $G$9) + CHOOSE(CONTROL!$C$38, 0.0369, 0)</f>
        <v>19.530899999999999</v>
      </c>
      <c r="D149" s="10">
        <f>19.4862 * CHOOSE(CONTROL!$C$15, $E$9, 100%, $G$9) + CHOOSE(CONTROL!$C$38, 0.0369, 0)</f>
        <v>19.523099999999999</v>
      </c>
      <c r="E149" s="28">
        <f>21.108 * CHOOSE(CONTROL!$C$15, $E$9, 100%, $G$9) + CHOOSE(CONTROL!$C$38, 0.0369, 0)</f>
        <v>21.1449</v>
      </c>
      <c r="F149" s="27">
        <f>21.108 * CHOOSE(CONTROL!$C$15, $E$9, 100%, $G$9) + CHOOSE(CONTROL!$C$38, 0.0278, 0)</f>
        <v>21.1358</v>
      </c>
      <c r="G149" s="10">
        <f>19.4924 * CHOOSE(CONTROL!$C$15, $E$9, 100%, $G$9) + CHOOSE(CONTROL!$C$38, 0.0369, 0)</f>
        <v>19.529299999999999</v>
      </c>
      <c r="H149" s="10">
        <f>19.4924 * CHOOSE(CONTROL!$C$15, $E$9, 100%, $G$9) + CHOOSE(CONTROL!$C$38, 0.0369, 0)</f>
        <v>19.529299999999999</v>
      </c>
      <c r="I149" s="10">
        <f>19.494 * CHOOSE(CONTROL!$C$15, $E$9, 100%, $G$9) + CHOOSE(CONTROL!$C$38, 0.0369, 0)</f>
        <v>19.530899999999999</v>
      </c>
      <c r="J149" s="26">
        <f>145.8721</f>
        <v>145.87209999999999</v>
      </c>
    </row>
    <row r="150" spans="1:10" ht="15" x14ac:dyDescent="0.2">
      <c r="A150" s="16">
        <v>45474</v>
      </c>
      <c r="B150" s="10">
        <f>21.0578 * CHOOSE(CONTROL!$C$15, $E$9, 100%, $G$9) + CHOOSE(CONTROL!$C$38, 0.0278, 0)</f>
        <v>21.085599999999999</v>
      </c>
      <c r="C150" s="10">
        <f>19.2875 * CHOOSE(CONTROL!$C$15, $E$9, 100%, $G$9) + CHOOSE(CONTROL!$C$38, 0.0369, 0)</f>
        <v>19.324400000000001</v>
      </c>
      <c r="D150" s="10">
        <f>19.2797 * CHOOSE(CONTROL!$C$15, $E$9, 100%, $G$9) + CHOOSE(CONTROL!$C$38, 0.0369, 0)</f>
        <v>19.316599999999998</v>
      </c>
      <c r="E150" s="28">
        <f>20.9015 * CHOOSE(CONTROL!$C$15, $E$9, 100%, $G$9) + CHOOSE(CONTROL!$C$38, 0.0369, 0)</f>
        <v>20.938399999999998</v>
      </c>
      <c r="F150" s="27">
        <f>20.9015 * CHOOSE(CONTROL!$C$15, $E$9, 100%, $G$9) + CHOOSE(CONTROL!$C$38, 0.0278, 0)</f>
        <v>20.929299999999998</v>
      </c>
      <c r="G150" s="10">
        <f>19.2859 * CHOOSE(CONTROL!$C$15, $E$9, 100%, $G$9) + CHOOSE(CONTROL!$C$38, 0.0369, 0)</f>
        <v>19.322800000000001</v>
      </c>
      <c r="H150" s="10">
        <f>19.2859 * CHOOSE(CONTROL!$C$15, $E$9, 100%, $G$9) + CHOOSE(CONTROL!$C$38, 0.0369, 0)</f>
        <v>19.322800000000001</v>
      </c>
      <c r="I150" s="10">
        <f>19.2875 * CHOOSE(CONTROL!$C$15, $E$9, 100%, $G$9) + CHOOSE(CONTROL!$C$38, 0.0369, 0)</f>
        <v>19.324400000000001</v>
      </c>
      <c r="J150" s="26">
        <f>145.1899</f>
        <v>145.18989999999999</v>
      </c>
    </row>
    <row r="151" spans="1:10" ht="15" x14ac:dyDescent="0.2">
      <c r="A151" s="16">
        <v>45505</v>
      </c>
      <c r="B151" s="10">
        <f>21.1597 * CHOOSE(CONTROL!$C$15, $E$9, 100%, $G$9) + CHOOSE(CONTROL!$C$38, 0.0278, 0)</f>
        <v>21.1875</v>
      </c>
      <c r="C151" s="10">
        <f>19.3894 * CHOOSE(CONTROL!$C$15, $E$9, 100%, $G$9) + CHOOSE(CONTROL!$C$38, 0.0369, 0)</f>
        <v>19.426299999999998</v>
      </c>
      <c r="D151" s="10">
        <f>19.3816 * CHOOSE(CONTROL!$C$15, $E$9, 100%, $G$9) + CHOOSE(CONTROL!$C$38, 0.0369, 0)</f>
        <v>19.418499999999998</v>
      </c>
      <c r="E151" s="28">
        <f>21.0035 * CHOOSE(CONTROL!$C$15, $E$9, 100%, $G$9) + CHOOSE(CONTROL!$C$38, 0.0369, 0)</f>
        <v>21.040399999999998</v>
      </c>
      <c r="F151" s="27">
        <f>21.0035 * CHOOSE(CONTROL!$C$15, $E$9, 100%, $G$9) + CHOOSE(CONTROL!$C$38, 0.0278, 0)</f>
        <v>21.031299999999998</v>
      </c>
      <c r="G151" s="10">
        <f>19.3879 * CHOOSE(CONTROL!$C$15, $E$9, 100%, $G$9) + CHOOSE(CONTROL!$C$38, 0.0369, 0)</f>
        <v>19.424799999999998</v>
      </c>
      <c r="H151" s="10">
        <f>19.3879 * CHOOSE(CONTROL!$C$15, $E$9, 100%, $G$9) + CHOOSE(CONTROL!$C$38, 0.0369, 0)</f>
        <v>19.424799999999998</v>
      </c>
      <c r="I151" s="10">
        <f>19.3894 * CHOOSE(CONTROL!$C$15, $E$9, 100%, $G$9) + CHOOSE(CONTROL!$C$38, 0.0369, 0)</f>
        <v>19.426299999999998</v>
      </c>
      <c r="J151" s="26">
        <f>141.8099</f>
        <v>141.8099</v>
      </c>
    </row>
    <row r="152" spans="1:10" ht="15" x14ac:dyDescent="0.2">
      <c r="A152" s="16">
        <v>45536</v>
      </c>
      <c r="B152" s="10">
        <f>21.4365 * CHOOSE(CONTROL!$C$15, $E$9, 100%, $G$9) + CHOOSE(CONTROL!$C$38, 0.0278, 0)</f>
        <v>21.464299999999998</v>
      </c>
      <c r="C152" s="10">
        <f>19.6662 * CHOOSE(CONTROL!$C$15, $E$9, 100%, $G$9) + CHOOSE(CONTROL!$C$38, 0.0369, 0)</f>
        <v>19.703099999999999</v>
      </c>
      <c r="D152" s="10">
        <f>19.6584 * CHOOSE(CONTROL!$C$15, $E$9, 100%, $G$9) + CHOOSE(CONTROL!$C$38, 0.0369, 0)</f>
        <v>19.6953</v>
      </c>
      <c r="E152" s="28">
        <f>21.2803 * CHOOSE(CONTROL!$C$15, $E$9, 100%, $G$9) + CHOOSE(CONTROL!$C$38, 0.0369, 0)</f>
        <v>21.3172</v>
      </c>
      <c r="F152" s="27">
        <f>21.2803 * CHOOSE(CONTROL!$C$15, $E$9, 100%, $G$9) + CHOOSE(CONTROL!$C$38, 0.0278, 0)</f>
        <v>21.3081</v>
      </c>
      <c r="G152" s="10">
        <f>19.6647 * CHOOSE(CONTROL!$C$15, $E$9, 100%, $G$9) + CHOOSE(CONTROL!$C$38, 0.0369, 0)</f>
        <v>19.701599999999999</v>
      </c>
      <c r="H152" s="10">
        <f>19.6647 * CHOOSE(CONTROL!$C$15, $E$9, 100%, $G$9) + CHOOSE(CONTROL!$C$38, 0.0369, 0)</f>
        <v>19.701599999999999</v>
      </c>
      <c r="I152" s="10">
        <f>19.6662 * CHOOSE(CONTROL!$C$15, $E$9, 100%, $G$9) + CHOOSE(CONTROL!$C$38, 0.0369, 0)</f>
        <v>19.703099999999999</v>
      </c>
      <c r="J152" s="26">
        <f>137.0964</f>
        <v>137.09639999999999</v>
      </c>
    </row>
    <row r="153" spans="1:10" ht="15" x14ac:dyDescent="0.2">
      <c r="A153" s="16">
        <v>45566</v>
      </c>
      <c r="B153" s="10">
        <f>21.6683 * CHOOSE(CONTROL!$C$15, $E$9, 100%, $G$9) + CHOOSE(CONTROL!$C$38, 0.0256, 0)</f>
        <v>21.693899999999999</v>
      </c>
      <c r="C153" s="10">
        <f>19.898 * CHOOSE(CONTROL!$C$15, $E$9, 100%, $G$9) + CHOOSE(CONTROL!$C$38, 0.0347, 0)</f>
        <v>19.932700000000001</v>
      </c>
      <c r="D153" s="10">
        <f>19.8902 * CHOOSE(CONTROL!$C$15, $E$9, 100%, $G$9) + CHOOSE(CONTROL!$C$38, 0.0347, 0)</f>
        <v>19.924900000000001</v>
      </c>
      <c r="E153" s="28">
        <f>21.5121 * CHOOSE(CONTROL!$C$15, $E$9, 100%, $G$9) + CHOOSE(CONTROL!$C$38, 0.0347, 0)</f>
        <v>21.546800000000001</v>
      </c>
      <c r="F153" s="27">
        <f>21.5121 * CHOOSE(CONTROL!$C$15, $E$9, 100%, $G$9) + CHOOSE(CONTROL!$C$38, 0.0256, 0)</f>
        <v>21.537700000000001</v>
      </c>
      <c r="G153" s="10">
        <f>19.8965 * CHOOSE(CONTROL!$C$15, $E$9, 100%, $G$9) + CHOOSE(CONTROL!$C$38, 0.0347, 0)</f>
        <v>19.9312</v>
      </c>
      <c r="H153" s="10">
        <f>19.8965 * CHOOSE(CONTROL!$C$15, $E$9, 100%, $G$9) + CHOOSE(CONTROL!$C$38, 0.0347, 0)</f>
        <v>19.9312</v>
      </c>
      <c r="I153" s="10">
        <f>19.898 * CHOOSE(CONTROL!$C$15, $E$9, 100%, $G$9) + CHOOSE(CONTROL!$C$38, 0.0347, 0)</f>
        <v>19.932700000000001</v>
      </c>
      <c r="J153" s="26">
        <f>132.3555</f>
        <v>132.35550000000001</v>
      </c>
    </row>
    <row r="154" spans="1:10" ht="15" x14ac:dyDescent="0.2">
      <c r="A154" s="16">
        <v>45597</v>
      </c>
      <c r="B154" s="10">
        <f>21.8618 * CHOOSE(CONTROL!$C$15, $E$9, 100%, $G$9) + CHOOSE(CONTROL!$C$38, 0.0256, 0)</f>
        <v>21.8874</v>
      </c>
      <c r="C154" s="10">
        <f>20.0915 * CHOOSE(CONTROL!$C$15, $E$9, 100%, $G$9) + CHOOSE(CONTROL!$C$38, 0.0347, 0)</f>
        <v>20.126200000000001</v>
      </c>
      <c r="D154" s="10">
        <f>20.0837 * CHOOSE(CONTROL!$C$15, $E$9, 100%, $G$9) + CHOOSE(CONTROL!$C$38, 0.0347, 0)</f>
        <v>20.118400000000001</v>
      </c>
      <c r="E154" s="28">
        <f>21.7055 * CHOOSE(CONTROL!$C$15, $E$9, 100%, $G$9) + CHOOSE(CONTROL!$C$38, 0.0347, 0)</f>
        <v>21.740200000000002</v>
      </c>
      <c r="F154" s="27">
        <f>21.7055 * CHOOSE(CONTROL!$C$15, $E$9, 100%, $G$9) + CHOOSE(CONTROL!$C$38, 0.0256, 0)</f>
        <v>21.731100000000001</v>
      </c>
      <c r="G154" s="10">
        <f>20.0899 * CHOOSE(CONTROL!$C$15, $E$9, 100%, $G$9) + CHOOSE(CONTROL!$C$38, 0.0347, 0)</f>
        <v>20.124600000000001</v>
      </c>
      <c r="H154" s="10">
        <f>20.0899 * CHOOSE(CONTROL!$C$15, $E$9, 100%, $G$9) + CHOOSE(CONTROL!$C$38, 0.0347, 0)</f>
        <v>20.124600000000001</v>
      </c>
      <c r="I154" s="10">
        <f>20.0915 * CHOOSE(CONTROL!$C$15, $E$9, 100%, $G$9) + CHOOSE(CONTROL!$C$38, 0.0347, 0)</f>
        <v>20.126200000000001</v>
      </c>
      <c r="J154" s="26">
        <f>131.4124</f>
        <v>131.41239999999999</v>
      </c>
    </row>
    <row r="155" spans="1:10" ht="15" x14ac:dyDescent="0.2">
      <c r="A155" s="16">
        <v>45627</v>
      </c>
      <c r="B155" s="10">
        <f>22.4578 * CHOOSE(CONTROL!$C$15, $E$9, 100%, $G$9) + CHOOSE(CONTROL!$C$38, 0.0256, 0)</f>
        <v>22.4834</v>
      </c>
      <c r="C155" s="10">
        <f>20.6875 * CHOOSE(CONTROL!$C$15, $E$9, 100%, $G$9) + CHOOSE(CONTROL!$C$38, 0.0347, 0)</f>
        <v>20.722200000000001</v>
      </c>
      <c r="D155" s="10">
        <f>20.6797 * CHOOSE(CONTROL!$C$15, $E$9, 100%, $G$9) + CHOOSE(CONTROL!$C$38, 0.0347, 0)</f>
        <v>20.714400000000001</v>
      </c>
      <c r="E155" s="28">
        <f>22.3016 * CHOOSE(CONTROL!$C$15, $E$9, 100%, $G$9) + CHOOSE(CONTROL!$C$38, 0.0347, 0)</f>
        <v>22.336300000000001</v>
      </c>
      <c r="F155" s="27">
        <f>22.3016 * CHOOSE(CONTROL!$C$15, $E$9, 100%, $G$9) + CHOOSE(CONTROL!$C$38, 0.0256, 0)</f>
        <v>22.327200000000001</v>
      </c>
      <c r="G155" s="10">
        <f>20.686 * CHOOSE(CONTROL!$C$15, $E$9, 100%, $G$9) + CHOOSE(CONTROL!$C$38, 0.0347, 0)</f>
        <v>20.720700000000001</v>
      </c>
      <c r="H155" s="10">
        <f>20.686 * CHOOSE(CONTROL!$C$15, $E$9, 100%, $G$9) + CHOOSE(CONTROL!$C$38, 0.0347, 0)</f>
        <v>20.720700000000001</v>
      </c>
      <c r="I155" s="10">
        <f>20.6875 * CHOOSE(CONTROL!$C$15, $E$9, 100%, $G$9) + CHOOSE(CONTROL!$C$38, 0.0347, 0)</f>
        <v>20.722200000000001</v>
      </c>
      <c r="J155" s="26">
        <f>127.5127</f>
        <v>127.5127</v>
      </c>
    </row>
    <row r="156" spans="1:10" ht="15" x14ac:dyDescent="0.2">
      <c r="A156" s="16">
        <v>45658</v>
      </c>
      <c r="B156" s="10">
        <f>23.9859 * CHOOSE(CONTROL!$C$15, $E$9, 100%, $G$9) + CHOOSE(CONTROL!$C$38, 0.0256, 0)</f>
        <v>24.011500000000002</v>
      </c>
      <c r="C156" s="10">
        <f>22.0336 * CHOOSE(CONTROL!$C$15, $E$9, 100%, $G$9) + CHOOSE(CONTROL!$C$38, 0.0347, 0)</f>
        <v>22.068300000000001</v>
      </c>
      <c r="D156" s="10">
        <f>22.0257 * CHOOSE(CONTROL!$C$15, $E$9, 100%, $G$9) + CHOOSE(CONTROL!$C$38, 0.0347, 0)</f>
        <v>22.060400000000001</v>
      </c>
      <c r="E156" s="28">
        <f>23.8297 * CHOOSE(CONTROL!$C$15, $E$9, 100%, $G$9) + CHOOSE(CONTROL!$C$38, 0.0347, 0)</f>
        <v>23.8644</v>
      </c>
      <c r="F156" s="27">
        <f>23.8297 * CHOOSE(CONTROL!$C$15, $E$9, 100%, $G$9) + CHOOSE(CONTROL!$C$38, 0.0256, 0)</f>
        <v>23.8553</v>
      </c>
      <c r="G156" s="10">
        <f>22.032 * CHOOSE(CONTROL!$C$15, $E$9, 100%, $G$9) + CHOOSE(CONTROL!$C$38, 0.0347, 0)</f>
        <v>22.066700000000001</v>
      </c>
      <c r="H156" s="10">
        <f>22.032 * CHOOSE(CONTROL!$C$15, $E$9, 100%, $G$9) + CHOOSE(CONTROL!$C$38, 0.0347, 0)</f>
        <v>22.066700000000001</v>
      </c>
      <c r="I156" s="10">
        <f>22.0336 * CHOOSE(CONTROL!$C$15, $E$9, 100%, $G$9) + CHOOSE(CONTROL!$C$38, 0.0347, 0)</f>
        <v>22.068300000000001</v>
      </c>
      <c r="J156" s="26">
        <f>130.1532</f>
        <v>130.1532</v>
      </c>
    </row>
    <row r="157" spans="1:10" ht="15" x14ac:dyDescent="0.2">
      <c r="A157" s="16">
        <v>45689</v>
      </c>
      <c r="B157" s="10">
        <f>24.2067 * CHOOSE(CONTROL!$C$15, $E$9, 100%, $G$9) + CHOOSE(CONTROL!$C$38, 0.0256, 0)</f>
        <v>24.232300000000002</v>
      </c>
      <c r="C157" s="10">
        <f>22.2543 * CHOOSE(CONTROL!$C$15, $E$9, 100%, $G$9) + CHOOSE(CONTROL!$C$38, 0.0347, 0)</f>
        <v>22.289000000000001</v>
      </c>
      <c r="D157" s="10">
        <f>22.2465 * CHOOSE(CONTROL!$C$15, $E$9, 100%, $G$9) + CHOOSE(CONTROL!$C$38, 0.0347, 0)</f>
        <v>22.281200000000002</v>
      </c>
      <c r="E157" s="28">
        <f>24.0504 * CHOOSE(CONTROL!$C$15, $E$9, 100%, $G$9) + CHOOSE(CONTROL!$C$38, 0.0347, 0)</f>
        <v>24.085100000000001</v>
      </c>
      <c r="F157" s="27">
        <f>24.0504 * CHOOSE(CONTROL!$C$15, $E$9, 100%, $G$9) + CHOOSE(CONTROL!$C$38, 0.0256, 0)</f>
        <v>24.076000000000001</v>
      </c>
      <c r="G157" s="10">
        <f>22.2528 * CHOOSE(CONTROL!$C$15, $E$9, 100%, $G$9) + CHOOSE(CONTROL!$C$38, 0.0347, 0)</f>
        <v>22.287500000000001</v>
      </c>
      <c r="H157" s="10">
        <f>22.2528 * CHOOSE(CONTROL!$C$15, $E$9, 100%, $G$9) + CHOOSE(CONTROL!$C$38, 0.0347, 0)</f>
        <v>22.287500000000001</v>
      </c>
      <c r="I157" s="10">
        <f>22.2543 * CHOOSE(CONTROL!$C$15, $E$9, 100%, $G$9) + CHOOSE(CONTROL!$C$38, 0.0347, 0)</f>
        <v>22.289000000000001</v>
      </c>
      <c r="J157" s="26">
        <f>129.7914</f>
        <v>129.79140000000001</v>
      </c>
    </row>
    <row r="158" spans="1:10" ht="15" x14ac:dyDescent="0.2">
      <c r="A158" s="16">
        <v>45717</v>
      </c>
      <c r="B158" s="10">
        <f>23.6956 * CHOOSE(CONTROL!$C$15, $E$9, 100%, $G$9) + CHOOSE(CONTROL!$C$38, 0.0256, 0)</f>
        <v>23.7212</v>
      </c>
      <c r="C158" s="10">
        <f>21.7433 * CHOOSE(CONTROL!$C$15, $E$9, 100%, $G$9) + CHOOSE(CONTROL!$C$38, 0.0347, 0)</f>
        <v>21.778000000000002</v>
      </c>
      <c r="D158" s="10">
        <f>21.7355 * CHOOSE(CONTROL!$C$15, $E$9, 100%, $G$9) + CHOOSE(CONTROL!$C$38, 0.0347, 0)</f>
        <v>21.770199999999999</v>
      </c>
      <c r="E158" s="28">
        <f>23.5394 * CHOOSE(CONTROL!$C$15, $E$9, 100%, $G$9) + CHOOSE(CONTROL!$C$38, 0.0347, 0)</f>
        <v>23.574100000000001</v>
      </c>
      <c r="F158" s="27">
        <f>23.5394 * CHOOSE(CONTROL!$C$15, $E$9, 100%, $G$9) + CHOOSE(CONTROL!$C$38, 0.0256, 0)</f>
        <v>23.565000000000001</v>
      </c>
      <c r="G158" s="10">
        <f>21.7417 * CHOOSE(CONTROL!$C$15, $E$9, 100%, $G$9) + CHOOSE(CONTROL!$C$38, 0.0347, 0)</f>
        <v>21.776400000000002</v>
      </c>
      <c r="H158" s="10">
        <f>21.7417 * CHOOSE(CONTROL!$C$15, $E$9, 100%, $G$9) + CHOOSE(CONTROL!$C$38, 0.0347, 0)</f>
        <v>21.776400000000002</v>
      </c>
      <c r="I158" s="10">
        <f>21.7433 * CHOOSE(CONTROL!$C$15, $E$9, 100%, $G$9) + CHOOSE(CONTROL!$C$38, 0.0347, 0)</f>
        <v>21.778000000000002</v>
      </c>
      <c r="J158" s="26">
        <f>136.6322</f>
        <v>136.63220000000001</v>
      </c>
    </row>
    <row r="159" spans="1:10" ht="15" x14ac:dyDescent="0.2">
      <c r="A159" s="16">
        <v>45748</v>
      </c>
      <c r="B159" s="10">
        <f>23.2005 * CHOOSE(CONTROL!$C$15, $E$9, 100%, $G$9) + CHOOSE(CONTROL!$C$38, 0.0256, 0)</f>
        <v>23.226100000000002</v>
      </c>
      <c r="C159" s="10">
        <f>21.2481 * CHOOSE(CONTROL!$C$15, $E$9, 100%, $G$9) + CHOOSE(CONTROL!$C$38, 0.0347, 0)</f>
        <v>21.282800000000002</v>
      </c>
      <c r="D159" s="10">
        <f>21.2403 * CHOOSE(CONTROL!$C$15, $E$9, 100%, $G$9) + CHOOSE(CONTROL!$C$38, 0.0347, 0)</f>
        <v>21.275000000000002</v>
      </c>
      <c r="E159" s="28">
        <f>23.0442 * CHOOSE(CONTROL!$C$15, $E$9, 100%, $G$9) + CHOOSE(CONTROL!$C$38, 0.0347, 0)</f>
        <v>23.078900000000001</v>
      </c>
      <c r="F159" s="27">
        <f>23.0442 * CHOOSE(CONTROL!$C$15, $E$9, 100%, $G$9) + CHOOSE(CONTROL!$C$38, 0.0256, 0)</f>
        <v>23.069800000000001</v>
      </c>
      <c r="G159" s="10">
        <f>21.2465 * CHOOSE(CONTROL!$C$15, $E$9, 100%, $G$9) + CHOOSE(CONTROL!$C$38, 0.0347, 0)</f>
        <v>21.281200000000002</v>
      </c>
      <c r="H159" s="10">
        <f>21.2465 * CHOOSE(CONTROL!$C$15, $E$9, 100%, $G$9) + CHOOSE(CONTROL!$C$38, 0.0347, 0)</f>
        <v>21.281200000000002</v>
      </c>
      <c r="I159" s="10">
        <f>21.2481 * CHOOSE(CONTROL!$C$15, $E$9, 100%, $G$9) + CHOOSE(CONTROL!$C$38, 0.0347, 0)</f>
        <v>21.282800000000002</v>
      </c>
      <c r="J159" s="26">
        <f>145.503</f>
        <v>145.50299999999999</v>
      </c>
    </row>
    <row r="160" spans="1:10" ht="15" x14ac:dyDescent="0.2">
      <c r="A160" s="16">
        <v>45778</v>
      </c>
      <c r="B160" s="10">
        <f>22.6843 * CHOOSE(CONTROL!$C$15, $E$9, 100%, $G$9) + CHOOSE(CONTROL!$C$38, 0.0278, 0)</f>
        <v>22.7121</v>
      </c>
      <c r="C160" s="10">
        <f>20.732 * CHOOSE(CONTROL!$C$15, $E$9, 100%, $G$9) + CHOOSE(CONTROL!$C$38, 0.0369, 0)</f>
        <v>20.768899999999999</v>
      </c>
      <c r="D160" s="10">
        <f>20.7242 * CHOOSE(CONTROL!$C$15, $E$9, 100%, $G$9) + CHOOSE(CONTROL!$C$38, 0.0369, 0)</f>
        <v>20.761099999999999</v>
      </c>
      <c r="E160" s="28">
        <f>22.5281 * CHOOSE(CONTROL!$C$15, $E$9, 100%, $G$9) + CHOOSE(CONTROL!$C$38, 0.0369, 0)</f>
        <v>22.564999999999998</v>
      </c>
      <c r="F160" s="27">
        <f>22.5281 * CHOOSE(CONTROL!$C$15, $E$9, 100%, $G$9) + CHOOSE(CONTROL!$C$38, 0.0278, 0)</f>
        <v>22.555899999999998</v>
      </c>
      <c r="G160" s="10">
        <f>20.7304 * CHOOSE(CONTROL!$C$15, $E$9, 100%, $G$9) + CHOOSE(CONTROL!$C$38, 0.0369, 0)</f>
        <v>20.767299999999999</v>
      </c>
      <c r="H160" s="10">
        <f>20.7304 * CHOOSE(CONTROL!$C$15, $E$9, 100%, $G$9) + CHOOSE(CONTROL!$C$38, 0.0369, 0)</f>
        <v>20.767299999999999</v>
      </c>
      <c r="I160" s="10">
        <f>20.732 * CHOOSE(CONTROL!$C$15, $E$9, 100%, $G$9) + CHOOSE(CONTROL!$C$38, 0.0369, 0)</f>
        <v>20.768899999999999</v>
      </c>
      <c r="J160" s="26">
        <f>150.3858</f>
        <v>150.38579999999999</v>
      </c>
    </row>
    <row r="161" spans="1:10" ht="15" x14ac:dyDescent="0.2">
      <c r="A161" s="16">
        <v>45809</v>
      </c>
      <c r="B161" s="10">
        <f>22.3225 * CHOOSE(CONTROL!$C$15, $E$9, 100%, $G$9) + CHOOSE(CONTROL!$C$38, 0.0278, 0)</f>
        <v>22.350300000000001</v>
      </c>
      <c r="C161" s="10">
        <f>20.3702 * CHOOSE(CONTROL!$C$15, $E$9, 100%, $G$9) + CHOOSE(CONTROL!$C$38, 0.0369, 0)</f>
        <v>20.4071</v>
      </c>
      <c r="D161" s="10">
        <f>20.3623 * CHOOSE(CONTROL!$C$15, $E$9, 100%, $G$9) + CHOOSE(CONTROL!$C$38, 0.0369, 0)</f>
        <v>20.3992</v>
      </c>
      <c r="E161" s="28">
        <f>22.1663 * CHOOSE(CONTROL!$C$15, $E$9, 100%, $G$9) + CHOOSE(CONTROL!$C$38, 0.0369, 0)</f>
        <v>22.203199999999999</v>
      </c>
      <c r="F161" s="27">
        <f>22.1663 * CHOOSE(CONTROL!$C$15, $E$9, 100%, $G$9) + CHOOSE(CONTROL!$C$38, 0.0278, 0)</f>
        <v>22.194099999999999</v>
      </c>
      <c r="G161" s="10">
        <f>20.3686 * CHOOSE(CONTROL!$C$15, $E$9, 100%, $G$9) + CHOOSE(CONTROL!$C$38, 0.0369, 0)</f>
        <v>20.4055</v>
      </c>
      <c r="H161" s="10">
        <f>20.3686 * CHOOSE(CONTROL!$C$15, $E$9, 100%, $G$9) + CHOOSE(CONTROL!$C$38, 0.0369, 0)</f>
        <v>20.4055</v>
      </c>
      <c r="I161" s="10">
        <f>20.3702 * CHOOSE(CONTROL!$C$15, $E$9, 100%, $G$9) + CHOOSE(CONTROL!$C$38, 0.0369, 0)</f>
        <v>20.4071</v>
      </c>
      <c r="J161" s="26">
        <f>152.5527</f>
        <v>152.55269999999999</v>
      </c>
    </row>
    <row r="162" spans="1:10" ht="15" x14ac:dyDescent="0.2">
      <c r="A162" s="16">
        <v>45839</v>
      </c>
      <c r="B162" s="10">
        <f>22.116 * CHOOSE(CONTROL!$C$15, $E$9, 100%, $G$9) + CHOOSE(CONTROL!$C$38, 0.0278, 0)</f>
        <v>22.143799999999999</v>
      </c>
      <c r="C162" s="10">
        <f>20.1637 * CHOOSE(CONTROL!$C$15, $E$9, 100%, $G$9) + CHOOSE(CONTROL!$C$38, 0.0369, 0)</f>
        <v>20.200599999999998</v>
      </c>
      <c r="D162" s="10">
        <f>20.1559 * CHOOSE(CONTROL!$C$15, $E$9, 100%, $G$9) + CHOOSE(CONTROL!$C$38, 0.0369, 0)</f>
        <v>20.192799999999998</v>
      </c>
      <c r="E162" s="28">
        <f>21.9598 * CHOOSE(CONTROL!$C$15, $E$9, 100%, $G$9) + CHOOSE(CONTROL!$C$38, 0.0369, 0)</f>
        <v>21.996700000000001</v>
      </c>
      <c r="F162" s="27">
        <f>21.9598 * CHOOSE(CONTROL!$C$15, $E$9, 100%, $G$9) + CHOOSE(CONTROL!$C$38, 0.0278, 0)</f>
        <v>21.9876</v>
      </c>
      <c r="G162" s="10">
        <f>20.1621 * CHOOSE(CONTROL!$C$15, $E$9, 100%, $G$9) + CHOOSE(CONTROL!$C$38, 0.0369, 0)</f>
        <v>20.198999999999998</v>
      </c>
      <c r="H162" s="10">
        <f>20.1621 * CHOOSE(CONTROL!$C$15, $E$9, 100%, $G$9) + CHOOSE(CONTROL!$C$38, 0.0369, 0)</f>
        <v>20.198999999999998</v>
      </c>
      <c r="I162" s="10">
        <f>20.1637 * CHOOSE(CONTROL!$C$15, $E$9, 100%, $G$9) + CHOOSE(CONTROL!$C$38, 0.0369, 0)</f>
        <v>20.200599999999998</v>
      </c>
      <c r="J162" s="26">
        <f>151.8392</f>
        <v>151.83920000000001</v>
      </c>
    </row>
    <row r="163" spans="1:10" ht="15" x14ac:dyDescent="0.2">
      <c r="A163" s="16">
        <v>45870</v>
      </c>
      <c r="B163" s="10">
        <f>22.2179 * CHOOSE(CONTROL!$C$15, $E$9, 100%, $G$9) + CHOOSE(CONTROL!$C$38, 0.0278, 0)</f>
        <v>22.245699999999999</v>
      </c>
      <c r="C163" s="10">
        <f>20.2656 * CHOOSE(CONTROL!$C$15, $E$9, 100%, $G$9) + CHOOSE(CONTROL!$C$38, 0.0369, 0)</f>
        <v>20.302499999999998</v>
      </c>
      <c r="D163" s="10">
        <f>20.2578 * CHOOSE(CONTROL!$C$15, $E$9, 100%, $G$9) + CHOOSE(CONTROL!$C$38, 0.0369, 0)</f>
        <v>20.294699999999999</v>
      </c>
      <c r="E163" s="28">
        <f>22.0617 * CHOOSE(CONTROL!$C$15, $E$9, 100%, $G$9) + CHOOSE(CONTROL!$C$38, 0.0369, 0)</f>
        <v>22.098599999999998</v>
      </c>
      <c r="F163" s="27">
        <f>22.0617 * CHOOSE(CONTROL!$C$15, $E$9, 100%, $G$9) + CHOOSE(CONTROL!$C$38, 0.0278, 0)</f>
        <v>22.089499999999997</v>
      </c>
      <c r="G163" s="10">
        <f>20.264 * CHOOSE(CONTROL!$C$15, $E$9, 100%, $G$9) + CHOOSE(CONTROL!$C$38, 0.0369, 0)</f>
        <v>20.300899999999999</v>
      </c>
      <c r="H163" s="10">
        <f>20.264 * CHOOSE(CONTROL!$C$15, $E$9, 100%, $G$9) + CHOOSE(CONTROL!$C$38, 0.0369, 0)</f>
        <v>20.300899999999999</v>
      </c>
      <c r="I163" s="10">
        <f>20.2656 * CHOOSE(CONTROL!$C$15, $E$9, 100%, $G$9) + CHOOSE(CONTROL!$C$38, 0.0369, 0)</f>
        <v>20.302499999999998</v>
      </c>
      <c r="J163" s="26">
        <f>148.3045</f>
        <v>148.30449999999999</v>
      </c>
    </row>
    <row r="164" spans="1:10" ht="15" x14ac:dyDescent="0.2">
      <c r="A164" s="16">
        <v>45901</v>
      </c>
      <c r="B164" s="10">
        <f>22.4947 * CHOOSE(CONTROL!$C$15, $E$9, 100%, $G$9) + CHOOSE(CONTROL!$C$38, 0.0278, 0)</f>
        <v>22.522500000000001</v>
      </c>
      <c r="C164" s="10">
        <f>20.5424 * CHOOSE(CONTROL!$C$15, $E$9, 100%, $G$9) + CHOOSE(CONTROL!$C$38, 0.0369, 0)</f>
        <v>20.5793</v>
      </c>
      <c r="D164" s="10">
        <f>20.5346 * CHOOSE(CONTROL!$C$15, $E$9, 100%, $G$9) + CHOOSE(CONTROL!$C$38, 0.0369, 0)</f>
        <v>20.5715</v>
      </c>
      <c r="E164" s="28">
        <f>22.3385 * CHOOSE(CONTROL!$C$15, $E$9, 100%, $G$9) + CHOOSE(CONTROL!$C$38, 0.0369, 0)</f>
        <v>22.375399999999999</v>
      </c>
      <c r="F164" s="27">
        <f>22.3385 * CHOOSE(CONTROL!$C$15, $E$9, 100%, $G$9) + CHOOSE(CONTROL!$C$38, 0.0278, 0)</f>
        <v>22.366299999999999</v>
      </c>
      <c r="G164" s="10">
        <f>20.5408 * CHOOSE(CONTROL!$C$15, $E$9, 100%, $G$9) + CHOOSE(CONTROL!$C$38, 0.0369, 0)</f>
        <v>20.5777</v>
      </c>
      <c r="H164" s="10">
        <f>20.5408 * CHOOSE(CONTROL!$C$15, $E$9, 100%, $G$9) + CHOOSE(CONTROL!$C$38, 0.0369, 0)</f>
        <v>20.5777</v>
      </c>
      <c r="I164" s="10">
        <f>20.5424 * CHOOSE(CONTROL!$C$15, $E$9, 100%, $G$9) + CHOOSE(CONTROL!$C$38, 0.0369, 0)</f>
        <v>20.5793</v>
      </c>
      <c r="J164" s="26">
        <f>143.3751</f>
        <v>143.3751</v>
      </c>
    </row>
    <row r="165" spans="1:10" ht="15" x14ac:dyDescent="0.2">
      <c r="A165" s="16">
        <v>45931</v>
      </c>
      <c r="B165" s="10">
        <f>22.7266 * CHOOSE(CONTROL!$C$15, $E$9, 100%, $G$9) + CHOOSE(CONTROL!$C$38, 0.0256, 0)</f>
        <v>22.752200000000002</v>
      </c>
      <c r="C165" s="10">
        <f>20.7742 * CHOOSE(CONTROL!$C$15, $E$9, 100%, $G$9) + CHOOSE(CONTROL!$C$38, 0.0347, 0)</f>
        <v>20.808900000000001</v>
      </c>
      <c r="D165" s="10">
        <f>20.7664 * CHOOSE(CONTROL!$C$15, $E$9, 100%, $G$9) + CHOOSE(CONTROL!$C$38, 0.0347, 0)</f>
        <v>20.801100000000002</v>
      </c>
      <c r="E165" s="28">
        <f>22.5703 * CHOOSE(CONTROL!$C$15, $E$9, 100%, $G$9) + CHOOSE(CONTROL!$C$38, 0.0347, 0)</f>
        <v>22.605</v>
      </c>
      <c r="F165" s="27">
        <f>22.5703 * CHOOSE(CONTROL!$C$15, $E$9, 100%, $G$9) + CHOOSE(CONTROL!$C$38, 0.0256, 0)</f>
        <v>22.5959</v>
      </c>
      <c r="G165" s="10">
        <f>20.7726 * CHOOSE(CONTROL!$C$15, $E$9, 100%, $G$9) + CHOOSE(CONTROL!$C$38, 0.0347, 0)</f>
        <v>20.807300000000001</v>
      </c>
      <c r="H165" s="10">
        <f>20.7726 * CHOOSE(CONTROL!$C$15, $E$9, 100%, $G$9) + CHOOSE(CONTROL!$C$38, 0.0347, 0)</f>
        <v>20.807300000000001</v>
      </c>
      <c r="I165" s="10">
        <f>20.7742 * CHOOSE(CONTROL!$C$15, $E$9, 100%, $G$9) + CHOOSE(CONTROL!$C$38, 0.0347, 0)</f>
        <v>20.808900000000001</v>
      </c>
      <c r="J165" s="26">
        <f>138.417</f>
        <v>138.417</v>
      </c>
    </row>
    <row r="166" spans="1:10" ht="15" x14ac:dyDescent="0.2">
      <c r="A166" s="16">
        <v>45962</v>
      </c>
      <c r="B166" s="10">
        <f>22.92 * CHOOSE(CONTROL!$C$15, $E$9, 100%, $G$9) + CHOOSE(CONTROL!$C$38, 0.0256, 0)</f>
        <v>22.945600000000002</v>
      </c>
      <c r="C166" s="10">
        <f>20.9676 * CHOOSE(CONTROL!$C$15, $E$9, 100%, $G$9) + CHOOSE(CONTROL!$C$38, 0.0347, 0)</f>
        <v>21.002300000000002</v>
      </c>
      <c r="D166" s="10">
        <f>20.9598 * CHOOSE(CONTROL!$C$15, $E$9, 100%, $G$9) + CHOOSE(CONTROL!$C$38, 0.0347, 0)</f>
        <v>20.994500000000002</v>
      </c>
      <c r="E166" s="28">
        <f>22.7637 * CHOOSE(CONTROL!$C$15, $E$9, 100%, $G$9) + CHOOSE(CONTROL!$C$38, 0.0347, 0)</f>
        <v>22.798400000000001</v>
      </c>
      <c r="F166" s="27">
        <f>22.7637 * CHOOSE(CONTROL!$C$15, $E$9, 100%, $G$9) + CHOOSE(CONTROL!$C$38, 0.0256, 0)</f>
        <v>22.789300000000001</v>
      </c>
      <c r="G166" s="10">
        <f>20.9661 * CHOOSE(CONTROL!$C$15, $E$9, 100%, $G$9) + CHOOSE(CONTROL!$C$38, 0.0347, 0)</f>
        <v>21.000800000000002</v>
      </c>
      <c r="H166" s="10">
        <f>20.9661 * CHOOSE(CONTROL!$C$15, $E$9, 100%, $G$9) + CHOOSE(CONTROL!$C$38, 0.0347, 0)</f>
        <v>21.000800000000002</v>
      </c>
      <c r="I166" s="10">
        <f>20.9676 * CHOOSE(CONTROL!$C$15, $E$9, 100%, $G$9) + CHOOSE(CONTROL!$C$38, 0.0347, 0)</f>
        <v>21.002300000000002</v>
      </c>
      <c r="J166" s="26">
        <f>137.4308</f>
        <v>137.4308</v>
      </c>
    </row>
    <row r="167" spans="1:10" ht="15" x14ac:dyDescent="0.2">
      <c r="A167" s="16">
        <v>45992</v>
      </c>
      <c r="B167" s="10">
        <f>23.5161 * CHOOSE(CONTROL!$C$15, $E$9, 100%, $G$9) + CHOOSE(CONTROL!$C$38, 0.0256, 0)</f>
        <v>23.541700000000002</v>
      </c>
      <c r="C167" s="10">
        <f>21.5637 * CHOOSE(CONTROL!$C$15, $E$9, 100%, $G$9) + CHOOSE(CONTROL!$C$38, 0.0347, 0)</f>
        <v>21.598400000000002</v>
      </c>
      <c r="D167" s="10">
        <f>21.5559 * CHOOSE(CONTROL!$C$15, $E$9, 100%, $G$9) + CHOOSE(CONTROL!$C$38, 0.0347, 0)</f>
        <v>21.590600000000002</v>
      </c>
      <c r="E167" s="28">
        <f>23.3598 * CHOOSE(CONTROL!$C$15, $E$9, 100%, $G$9) + CHOOSE(CONTROL!$C$38, 0.0347, 0)</f>
        <v>23.394500000000001</v>
      </c>
      <c r="F167" s="27">
        <f>23.3598 * CHOOSE(CONTROL!$C$15, $E$9, 100%, $G$9) + CHOOSE(CONTROL!$C$38, 0.0256, 0)</f>
        <v>23.385400000000001</v>
      </c>
      <c r="G167" s="10">
        <f>21.5621 * CHOOSE(CONTROL!$C$15, $E$9, 100%, $G$9) + CHOOSE(CONTROL!$C$38, 0.0347, 0)</f>
        <v>21.596800000000002</v>
      </c>
      <c r="H167" s="10">
        <f>21.5621 * CHOOSE(CONTROL!$C$15, $E$9, 100%, $G$9) + CHOOSE(CONTROL!$C$38, 0.0347, 0)</f>
        <v>21.596800000000002</v>
      </c>
      <c r="I167" s="10">
        <f>21.5637 * CHOOSE(CONTROL!$C$15, $E$9, 100%, $G$9) + CHOOSE(CONTROL!$C$38, 0.0347, 0)</f>
        <v>21.598400000000002</v>
      </c>
      <c r="J167" s="26">
        <f>133.3525</f>
        <v>133.35249999999999</v>
      </c>
    </row>
    <row r="168" spans="1:10" ht="15" x14ac:dyDescent="0.2">
      <c r="A168" s="16">
        <v>46023</v>
      </c>
      <c r="B168" s="10">
        <f>24.3495 * CHOOSE(CONTROL!$C$15, $E$9, 100%, $G$9) + CHOOSE(CONTROL!$C$38, 0.0256, 0)</f>
        <v>24.3751</v>
      </c>
      <c r="C168" s="10">
        <f>22.3883 * CHOOSE(CONTROL!$C$15, $E$9, 100%, $G$9) + CHOOSE(CONTROL!$C$38, 0.0347, 0)</f>
        <v>22.423000000000002</v>
      </c>
      <c r="D168" s="10">
        <f>22.3804 * CHOOSE(CONTROL!$C$15, $E$9, 100%, $G$9) + CHOOSE(CONTROL!$C$38, 0.0347, 0)</f>
        <v>22.415100000000002</v>
      </c>
      <c r="E168" s="28">
        <f>24.1932 * CHOOSE(CONTROL!$C$15, $E$9, 100%, $G$9) + CHOOSE(CONTROL!$C$38, 0.0347, 0)</f>
        <v>24.227900000000002</v>
      </c>
      <c r="F168" s="27">
        <f>24.1932 * CHOOSE(CONTROL!$C$15, $E$9, 100%, $G$9) + CHOOSE(CONTROL!$C$38, 0.0256, 0)</f>
        <v>24.218800000000002</v>
      </c>
      <c r="G168" s="10">
        <f>22.3867 * CHOOSE(CONTROL!$C$15, $E$9, 100%, $G$9) + CHOOSE(CONTROL!$C$38, 0.0347, 0)</f>
        <v>22.421400000000002</v>
      </c>
      <c r="H168" s="10">
        <f>22.3867 * CHOOSE(CONTROL!$C$15, $E$9, 100%, $G$9) + CHOOSE(CONTROL!$C$38, 0.0347, 0)</f>
        <v>22.421400000000002</v>
      </c>
      <c r="I168" s="10">
        <f>22.3883 * CHOOSE(CONTROL!$C$15, $E$9, 100%, $G$9) + CHOOSE(CONTROL!$C$38, 0.0347, 0)</f>
        <v>22.423000000000002</v>
      </c>
      <c r="J168" s="26">
        <f>132.7809</f>
        <v>132.7809</v>
      </c>
    </row>
    <row r="169" spans="1:10" ht="15" x14ac:dyDescent="0.2">
      <c r="A169" s="16">
        <v>46054</v>
      </c>
      <c r="B169" s="10">
        <f>24.5702 * CHOOSE(CONTROL!$C$15, $E$9, 100%, $G$9) + CHOOSE(CONTROL!$C$38, 0.0256, 0)</f>
        <v>24.595800000000001</v>
      </c>
      <c r="C169" s="10">
        <f>22.609 * CHOOSE(CONTROL!$C$15, $E$9, 100%, $G$9) + CHOOSE(CONTROL!$C$38, 0.0347, 0)</f>
        <v>22.643700000000003</v>
      </c>
      <c r="D169" s="10">
        <f>22.6012 * CHOOSE(CONTROL!$C$15, $E$9, 100%, $G$9) + CHOOSE(CONTROL!$C$38, 0.0347, 0)</f>
        <v>22.635899999999999</v>
      </c>
      <c r="E169" s="28">
        <f>24.414 * CHOOSE(CONTROL!$C$15, $E$9, 100%, $G$9) + CHOOSE(CONTROL!$C$38, 0.0347, 0)</f>
        <v>24.448700000000002</v>
      </c>
      <c r="F169" s="27">
        <f>24.414 * CHOOSE(CONTROL!$C$15, $E$9, 100%, $G$9) + CHOOSE(CONTROL!$C$38, 0.0256, 0)</f>
        <v>24.439600000000002</v>
      </c>
      <c r="G169" s="10">
        <f>22.6075 * CHOOSE(CONTROL!$C$15, $E$9, 100%, $G$9) + CHOOSE(CONTROL!$C$38, 0.0347, 0)</f>
        <v>22.642200000000003</v>
      </c>
      <c r="H169" s="10">
        <f>22.6075 * CHOOSE(CONTROL!$C$15, $E$9, 100%, $G$9) + CHOOSE(CONTROL!$C$38, 0.0347, 0)</f>
        <v>22.642200000000003</v>
      </c>
      <c r="I169" s="10">
        <f>22.609 * CHOOSE(CONTROL!$C$15, $E$9, 100%, $G$9) + CHOOSE(CONTROL!$C$38, 0.0347, 0)</f>
        <v>22.643700000000003</v>
      </c>
      <c r="J169" s="26">
        <f>132.4118</f>
        <v>132.4118</v>
      </c>
    </row>
    <row r="170" spans="1:10" ht="15" x14ac:dyDescent="0.2">
      <c r="A170" s="16">
        <v>46082</v>
      </c>
      <c r="B170" s="10">
        <f>24.0592 * CHOOSE(CONTROL!$C$15, $E$9, 100%, $G$9) + CHOOSE(CONTROL!$C$38, 0.0256, 0)</f>
        <v>24.084800000000001</v>
      </c>
      <c r="C170" s="10">
        <f>22.098 * CHOOSE(CONTROL!$C$15, $E$9, 100%, $G$9) + CHOOSE(CONTROL!$C$38, 0.0347, 0)</f>
        <v>22.1327</v>
      </c>
      <c r="D170" s="10">
        <f>22.0902 * CHOOSE(CONTROL!$C$15, $E$9, 100%, $G$9) + CHOOSE(CONTROL!$C$38, 0.0347, 0)</f>
        <v>22.1249</v>
      </c>
      <c r="E170" s="28">
        <f>23.9029 * CHOOSE(CONTROL!$C$15, $E$9, 100%, $G$9) + CHOOSE(CONTROL!$C$38, 0.0347, 0)</f>
        <v>23.9376</v>
      </c>
      <c r="F170" s="27">
        <f>23.9029 * CHOOSE(CONTROL!$C$15, $E$9, 100%, $G$9) + CHOOSE(CONTROL!$C$38, 0.0256, 0)</f>
        <v>23.9285</v>
      </c>
      <c r="G170" s="10">
        <f>22.0964 * CHOOSE(CONTROL!$C$15, $E$9, 100%, $G$9) + CHOOSE(CONTROL!$C$38, 0.0347, 0)</f>
        <v>22.1311</v>
      </c>
      <c r="H170" s="10">
        <f>22.0964 * CHOOSE(CONTROL!$C$15, $E$9, 100%, $G$9) + CHOOSE(CONTROL!$C$38, 0.0347, 0)</f>
        <v>22.1311</v>
      </c>
      <c r="I170" s="10">
        <f>22.098 * CHOOSE(CONTROL!$C$15, $E$9, 100%, $G$9) + CHOOSE(CONTROL!$C$38, 0.0347, 0)</f>
        <v>22.1327</v>
      </c>
      <c r="J170" s="26">
        <f>139.3907</f>
        <v>139.39070000000001</v>
      </c>
    </row>
    <row r="171" spans="1:10" ht="15" x14ac:dyDescent="0.2">
      <c r="A171" s="16">
        <v>46113</v>
      </c>
      <c r="B171" s="10">
        <f>23.564 * CHOOSE(CONTROL!$C$15, $E$9, 100%, $G$9) + CHOOSE(CONTROL!$C$38, 0.0256, 0)</f>
        <v>23.589600000000001</v>
      </c>
      <c r="C171" s="10">
        <f>21.6028 * CHOOSE(CONTROL!$C$15, $E$9, 100%, $G$9) + CHOOSE(CONTROL!$C$38, 0.0347, 0)</f>
        <v>21.637499999999999</v>
      </c>
      <c r="D171" s="10">
        <f>21.595 * CHOOSE(CONTROL!$C$15, $E$9, 100%, $G$9) + CHOOSE(CONTROL!$C$38, 0.0347, 0)</f>
        <v>21.6297</v>
      </c>
      <c r="E171" s="28">
        <f>23.4078 * CHOOSE(CONTROL!$C$15, $E$9, 100%, $G$9) + CHOOSE(CONTROL!$C$38, 0.0347, 0)</f>
        <v>23.442500000000003</v>
      </c>
      <c r="F171" s="27">
        <f>23.4078 * CHOOSE(CONTROL!$C$15, $E$9, 100%, $G$9) + CHOOSE(CONTROL!$C$38, 0.0256, 0)</f>
        <v>23.433400000000002</v>
      </c>
      <c r="G171" s="10">
        <f>21.6012 * CHOOSE(CONTROL!$C$15, $E$9, 100%, $G$9) + CHOOSE(CONTROL!$C$38, 0.0347, 0)</f>
        <v>21.635899999999999</v>
      </c>
      <c r="H171" s="10">
        <f>21.6012 * CHOOSE(CONTROL!$C$15, $E$9, 100%, $G$9) + CHOOSE(CONTROL!$C$38, 0.0347, 0)</f>
        <v>21.635899999999999</v>
      </c>
      <c r="I171" s="10">
        <f>21.6028 * CHOOSE(CONTROL!$C$15, $E$9, 100%, $G$9) + CHOOSE(CONTROL!$C$38, 0.0347, 0)</f>
        <v>21.637499999999999</v>
      </c>
      <c r="J171" s="26">
        <f>148.4406</f>
        <v>148.44059999999999</v>
      </c>
    </row>
    <row r="172" spans="1:10" ht="15" x14ac:dyDescent="0.2">
      <c r="A172" s="16">
        <v>46143</v>
      </c>
      <c r="B172" s="10">
        <f>23.0479 * CHOOSE(CONTROL!$C$15, $E$9, 100%, $G$9) + CHOOSE(CONTROL!$C$38, 0.0278, 0)</f>
        <v>23.075699999999998</v>
      </c>
      <c r="C172" s="10">
        <f>21.0867 * CHOOSE(CONTROL!$C$15, $E$9, 100%, $G$9) + CHOOSE(CONTROL!$C$38, 0.0369, 0)</f>
        <v>21.1236</v>
      </c>
      <c r="D172" s="10">
        <f>21.0789 * CHOOSE(CONTROL!$C$15, $E$9, 100%, $G$9) + CHOOSE(CONTROL!$C$38, 0.0369, 0)</f>
        <v>21.1158</v>
      </c>
      <c r="E172" s="28">
        <f>22.8917 * CHOOSE(CONTROL!$C$15, $E$9, 100%, $G$9) + CHOOSE(CONTROL!$C$38, 0.0369, 0)</f>
        <v>22.928599999999999</v>
      </c>
      <c r="F172" s="27">
        <f>22.8917 * CHOOSE(CONTROL!$C$15, $E$9, 100%, $G$9) + CHOOSE(CONTROL!$C$38, 0.0278, 0)</f>
        <v>22.919499999999999</v>
      </c>
      <c r="G172" s="10">
        <f>21.0851 * CHOOSE(CONTROL!$C$15, $E$9, 100%, $G$9) + CHOOSE(CONTROL!$C$38, 0.0369, 0)</f>
        <v>21.122</v>
      </c>
      <c r="H172" s="10">
        <f>21.0851 * CHOOSE(CONTROL!$C$15, $E$9, 100%, $G$9) + CHOOSE(CONTROL!$C$38, 0.0369, 0)</f>
        <v>21.122</v>
      </c>
      <c r="I172" s="10">
        <f>21.0867 * CHOOSE(CONTROL!$C$15, $E$9, 100%, $G$9) + CHOOSE(CONTROL!$C$38, 0.0369, 0)</f>
        <v>21.1236</v>
      </c>
      <c r="J172" s="26">
        <f>153.422</f>
        <v>153.422</v>
      </c>
    </row>
    <row r="173" spans="1:10" ht="15" x14ac:dyDescent="0.2">
      <c r="A173" s="16">
        <v>46174</v>
      </c>
      <c r="B173" s="10">
        <f>22.6861 * CHOOSE(CONTROL!$C$15, $E$9, 100%, $G$9) + CHOOSE(CONTROL!$C$38, 0.0278, 0)</f>
        <v>22.713899999999999</v>
      </c>
      <c r="C173" s="10">
        <f>20.7249 * CHOOSE(CONTROL!$C$15, $E$9, 100%, $G$9) + CHOOSE(CONTROL!$C$38, 0.0369, 0)</f>
        <v>20.761800000000001</v>
      </c>
      <c r="D173" s="10">
        <f>20.717 * CHOOSE(CONTROL!$C$15, $E$9, 100%, $G$9) + CHOOSE(CONTROL!$C$38, 0.0369, 0)</f>
        <v>20.753899999999998</v>
      </c>
      <c r="E173" s="28">
        <f>22.5298 * CHOOSE(CONTROL!$C$15, $E$9, 100%, $G$9) + CHOOSE(CONTROL!$C$38, 0.0369, 0)</f>
        <v>22.566700000000001</v>
      </c>
      <c r="F173" s="27">
        <f>22.5298 * CHOOSE(CONTROL!$C$15, $E$9, 100%, $G$9) + CHOOSE(CONTROL!$C$38, 0.0278, 0)</f>
        <v>22.557600000000001</v>
      </c>
      <c r="G173" s="10">
        <f>20.7233 * CHOOSE(CONTROL!$C$15, $E$9, 100%, $G$9) + CHOOSE(CONTROL!$C$38, 0.0369, 0)</f>
        <v>20.760199999999998</v>
      </c>
      <c r="H173" s="10">
        <f>20.7233 * CHOOSE(CONTROL!$C$15, $E$9, 100%, $G$9) + CHOOSE(CONTROL!$C$38, 0.0369, 0)</f>
        <v>20.760199999999998</v>
      </c>
      <c r="I173" s="10">
        <f>20.7249 * CHOOSE(CONTROL!$C$15, $E$9, 100%, $G$9) + CHOOSE(CONTROL!$C$38, 0.0369, 0)</f>
        <v>20.761800000000001</v>
      </c>
      <c r="J173" s="26">
        <f>155.6326</f>
        <v>155.6326</v>
      </c>
    </row>
    <row r="174" spans="1:10" ht="15" x14ac:dyDescent="0.2">
      <c r="A174" s="16">
        <v>46204</v>
      </c>
      <c r="B174" s="10">
        <f>22.4796 * CHOOSE(CONTROL!$C$15, $E$9, 100%, $G$9) + CHOOSE(CONTROL!$C$38, 0.0278, 0)</f>
        <v>22.507400000000001</v>
      </c>
      <c r="C174" s="10">
        <f>20.5184 * CHOOSE(CONTROL!$C$15, $E$9, 100%, $G$9) + CHOOSE(CONTROL!$C$38, 0.0369, 0)</f>
        <v>20.555299999999999</v>
      </c>
      <c r="D174" s="10">
        <f>20.5106 * CHOOSE(CONTROL!$C$15, $E$9, 100%, $G$9) + CHOOSE(CONTROL!$C$38, 0.0369, 0)</f>
        <v>20.547499999999999</v>
      </c>
      <c r="E174" s="28">
        <f>22.3233 * CHOOSE(CONTROL!$C$15, $E$9, 100%, $G$9) + CHOOSE(CONTROL!$C$38, 0.0369, 0)</f>
        <v>22.360199999999999</v>
      </c>
      <c r="F174" s="27">
        <f>22.3233 * CHOOSE(CONTROL!$C$15, $E$9, 100%, $G$9) + CHOOSE(CONTROL!$C$38, 0.0278, 0)</f>
        <v>22.351099999999999</v>
      </c>
      <c r="G174" s="10">
        <f>20.5168 * CHOOSE(CONTROL!$C$15, $E$9, 100%, $G$9) + CHOOSE(CONTROL!$C$38, 0.0369, 0)</f>
        <v>20.553699999999999</v>
      </c>
      <c r="H174" s="10">
        <f>20.5168 * CHOOSE(CONTROL!$C$15, $E$9, 100%, $G$9) + CHOOSE(CONTROL!$C$38, 0.0369, 0)</f>
        <v>20.553699999999999</v>
      </c>
      <c r="I174" s="10">
        <f>20.5184 * CHOOSE(CONTROL!$C$15, $E$9, 100%, $G$9) + CHOOSE(CONTROL!$C$38, 0.0369, 0)</f>
        <v>20.555299999999999</v>
      </c>
      <c r="J174" s="26">
        <f>154.9048</f>
        <v>154.90479999999999</v>
      </c>
    </row>
    <row r="175" spans="1:10" ht="15" x14ac:dyDescent="0.2">
      <c r="A175" s="16">
        <v>46235</v>
      </c>
      <c r="B175" s="10">
        <f>22.5815 * CHOOSE(CONTROL!$C$15, $E$9, 100%, $G$9) + CHOOSE(CONTROL!$C$38, 0.0278, 0)</f>
        <v>22.609299999999998</v>
      </c>
      <c r="C175" s="10">
        <f>20.6203 * CHOOSE(CONTROL!$C$15, $E$9, 100%, $G$9) + CHOOSE(CONTROL!$C$38, 0.0369, 0)</f>
        <v>20.6572</v>
      </c>
      <c r="D175" s="10">
        <f>20.6125 * CHOOSE(CONTROL!$C$15, $E$9, 100%, $G$9) + CHOOSE(CONTROL!$C$38, 0.0369, 0)</f>
        <v>20.6494</v>
      </c>
      <c r="E175" s="28">
        <f>22.4252 * CHOOSE(CONTROL!$C$15, $E$9, 100%, $G$9) + CHOOSE(CONTROL!$C$38, 0.0369, 0)</f>
        <v>22.4621</v>
      </c>
      <c r="F175" s="27">
        <f>22.4252 * CHOOSE(CONTROL!$C$15, $E$9, 100%, $G$9) + CHOOSE(CONTROL!$C$38, 0.0278, 0)</f>
        <v>22.452999999999999</v>
      </c>
      <c r="G175" s="10">
        <f>20.6187 * CHOOSE(CONTROL!$C$15, $E$9, 100%, $G$9) + CHOOSE(CONTROL!$C$38, 0.0369, 0)</f>
        <v>20.6556</v>
      </c>
      <c r="H175" s="10">
        <f>20.6187 * CHOOSE(CONTROL!$C$15, $E$9, 100%, $G$9) + CHOOSE(CONTROL!$C$38, 0.0369, 0)</f>
        <v>20.6556</v>
      </c>
      <c r="I175" s="10">
        <f>20.6203 * CHOOSE(CONTROL!$C$15, $E$9, 100%, $G$9) + CHOOSE(CONTROL!$C$38, 0.0369, 0)</f>
        <v>20.6572</v>
      </c>
      <c r="J175" s="26">
        <f>151.2987</f>
        <v>151.2987</v>
      </c>
    </row>
    <row r="176" spans="1:10" ht="15" x14ac:dyDescent="0.2">
      <c r="A176" s="16">
        <v>46266</v>
      </c>
      <c r="B176" s="10">
        <f>22.8583 * CHOOSE(CONTROL!$C$15, $E$9, 100%, $G$9) + CHOOSE(CONTROL!$C$38, 0.0278, 0)</f>
        <v>22.886099999999999</v>
      </c>
      <c r="C176" s="10">
        <f>20.8971 * CHOOSE(CONTROL!$C$15, $E$9, 100%, $G$9) + CHOOSE(CONTROL!$C$38, 0.0369, 0)</f>
        <v>20.933999999999997</v>
      </c>
      <c r="D176" s="10">
        <f>20.8893 * CHOOSE(CONTROL!$C$15, $E$9, 100%, $G$9) + CHOOSE(CONTROL!$C$38, 0.0369, 0)</f>
        <v>20.926199999999998</v>
      </c>
      <c r="E176" s="28">
        <f>22.702 * CHOOSE(CONTROL!$C$15, $E$9, 100%, $G$9) + CHOOSE(CONTROL!$C$38, 0.0369, 0)</f>
        <v>22.738900000000001</v>
      </c>
      <c r="F176" s="27">
        <f>22.702 * CHOOSE(CONTROL!$C$15, $E$9, 100%, $G$9) + CHOOSE(CONTROL!$C$38, 0.0278, 0)</f>
        <v>22.729800000000001</v>
      </c>
      <c r="G176" s="10">
        <f>20.8955 * CHOOSE(CONTROL!$C$15, $E$9, 100%, $G$9) + CHOOSE(CONTROL!$C$38, 0.0369, 0)</f>
        <v>20.932399999999998</v>
      </c>
      <c r="H176" s="10">
        <f>20.8955 * CHOOSE(CONTROL!$C$15, $E$9, 100%, $G$9) + CHOOSE(CONTROL!$C$38, 0.0369, 0)</f>
        <v>20.932399999999998</v>
      </c>
      <c r="I176" s="10">
        <f>20.8971 * CHOOSE(CONTROL!$C$15, $E$9, 100%, $G$9) + CHOOSE(CONTROL!$C$38, 0.0369, 0)</f>
        <v>20.933999999999997</v>
      </c>
      <c r="J176" s="26">
        <f>146.2698</f>
        <v>146.2698</v>
      </c>
    </row>
    <row r="177" spans="1:10" ht="15" x14ac:dyDescent="0.2">
      <c r="A177" s="16">
        <v>46296</v>
      </c>
      <c r="B177" s="10">
        <f>23.0901 * CHOOSE(CONTROL!$C$15, $E$9, 100%, $G$9) + CHOOSE(CONTROL!$C$38, 0.0256, 0)</f>
        <v>23.1157</v>
      </c>
      <c r="C177" s="10">
        <f>21.1289 * CHOOSE(CONTROL!$C$15, $E$9, 100%, $G$9) + CHOOSE(CONTROL!$C$38, 0.0347, 0)</f>
        <v>21.163600000000002</v>
      </c>
      <c r="D177" s="10">
        <f>21.1211 * CHOOSE(CONTROL!$C$15, $E$9, 100%, $G$9) + CHOOSE(CONTROL!$C$38, 0.0347, 0)</f>
        <v>21.155799999999999</v>
      </c>
      <c r="E177" s="28">
        <f>22.9339 * CHOOSE(CONTROL!$C$15, $E$9, 100%, $G$9) + CHOOSE(CONTROL!$C$38, 0.0347, 0)</f>
        <v>22.968600000000002</v>
      </c>
      <c r="F177" s="27">
        <f>22.9339 * CHOOSE(CONTROL!$C$15, $E$9, 100%, $G$9) + CHOOSE(CONTROL!$C$38, 0.0256, 0)</f>
        <v>22.959500000000002</v>
      </c>
      <c r="G177" s="10">
        <f>21.1273 * CHOOSE(CONTROL!$C$15, $E$9, 100%, $G$9) + CHOOSE(CONTROL!$C$38, 0.0347, 0)</f>
        <v>21.162000000000003</v>
      </c>
      <c r="H177" s="10">
        <f>21.1273 * CHOOSE(CONTROL!$C$15, $E$9, 100%, $G$9) + CHOOSE(CONTROL!$C$38, 0.0347, 0)</f>
        <v>21.162000000000003</v>
      </c>
      <c r="I177" s="10">
        <f>21.1289 * CHOOSE(CONTROL!$C$15, $E$9, 100%, $G$9) + CHOOSE(CONTROL!$C$38, 0.0347, 0)</f>
        <v>21.163600000000002</v>
      </c>
      <c r="J177" s="26">
        <f>141.2116</f>
        <v>141.2116</v>
      </c>
    </row>
    <row r="178" spans="1:10" ht="15" x14ac:dyDescent="0.2">
      <c r="A178" s="16">
        <v>46327</v>
      </c>
      <c r="B178" s="10">
        <f>23.2836 * CHOOSE(CONTROL!$C$15, $E$9, 100%, $G$9) + CHOOSE(CONTROL!$C$38, 0.0256, 0)</f>
        <v>23.309200000000001</v>
      </c>
      <c r="C178" s="10">
        <f>21.3223 * CHOOSE(CONTROL!$C$15, $E$9, 100%, $G$9) + CHOOSE(CONTROL!$C$38, 0.0347, 0)</f>
        <v>21.356999999999999</v>
      </c>
      <c r="D178" s="10">
        <f>21.3145 * CHOOSE(CONTROL!$C$15, $E$9, 100%, $G$9) + CHOOSE(CONTROL!$C$38, 0.0347, 0)</f>
        <v>21.3492</v>
      </c>
      <c r="E178" s="28">
        <f>23.1273 * CHOOSE(CONTROL!$C$15, $E$9, 100%, $G$9) + CHOOSE(CONTROL!$C$38, 0.0347, 0)</f>
        <v>23.162000000000003</v>
      </c>
      <c r="F178" s="27">
        <f>23.1273 * CHOOSE(CONTROL!$C$15, $E$9, 100%, $G$9) + CHOOSE(CONTROL!$C$38, 0.0256, 0)</f>
        <v>23.152900000000002</v>
      </c>
      <c r="G178" s="10">
        <f>21.3208 * CHOOSE(CONTROL!$C$15, $E$9, 100%, $G$9) + CHOOSE(CONTROL!$C$38, 0.0347, 0)</f>
        <v>21.355499999999999</v>
      </c>
      <c r="H178" s="10">
        <f>21.3208 * CHOOSE(CONTROL!$C$15, $E$9, 100%, $G$9) + CHOOSE(CONTROL!$C$38, 0.0347, 0)</f>
        <v>21.355499999999999</v>
      </c>
      <c r="I178" s="10">
        <f>21.3223 * CHOOSE(CONTROL!$C$15, $E$9, 100%, $G$9) + CHOOSE(CONTROL!$C$38, 0.0347, 0)</f>
        <v>21.356999999999999</v>
      </c>
      <c r="J178" s="26">
        <f>140.2054</f>
        <v>140.2054</v>
      </c>
    </row>
    <row r="179" spans="1:10" ht="15" x14ac:dyDescent="0.2">
      <c r="A179" s="16">
        <v>46357</v>
      </c>
      <c r="B179" s="10">
        <f>23.8796 * CHOOSE(CONTROL!$C$15, $E$9, 100%, $G$9) + CHOOSE(CONTROL!$C$38, 0.0256, 0)</f>
        <v>23.905200000000001</v>
      </c>
      <c r="C179" s="10">
        <f>21.9184 * CHOOSE(CONTROL!$C$15, $E$9, 100%, $G$9) + CHOOSE(CONTROL!$C$38, 0.0347, 0)</f>
        <v>21.953099999999999</v>
      </c>
      <c r="D179" s="10">
        <f>21.9106 * CHOOSE(CONTROL!$C$15, $E$9, 100%, $G$9) + CHOOSE(CONTROL!$C$38, 0.0347, 0)</f>
        <v>21.9453</v>
      </c>
      <c r="E179" s="28">
        <f>23.7234 * CHOOSE(CONTROL!$C$15, $E$9, 100%, $G$9) + CHOOSE(CONTROL!$C$38, 0.0347, 0)</f>
        <v>23.758100000000002</v>
      </c>
      <c r="F179" s="27">
        <f>23.7234 * CHOOSE(CONTROL!$C$15, $E$9, 100%, $G$9) + CHOOSE(CONTROL!$C$38, 0.0256, 0)</f>
        <v>23.749000000000002</v>
      </c>
      <c r="G179" s="10">
        <f>21.9168 * CHOOSE(CONTROL!$C$15, $E$9, 100%, $G$9) + CHOOSE(CONTROL!$C$38, 0.0347, 0)</f>
        <v>21.951499999999999</v>
      </c>
      <c r="H179" s="10">
        <f>21.9168 * CHOOSE(CONTROL!$C$15, $E$9, 100%, $G$9) + CHOOSE(CONTROL!$C$38, 0.0347, 0)</f>
        <v>21.951499999999999</v>
      </c>
      <c r="I179" s="10">
        <f>21.9184 * CHOOSE(CONTROL!$C$15, $E$9, 100%, $G$9) + CHOOSE(CONTROL!$C$38, 0.0347, 0)</f>
        <v>21.953099999999999</v>
      </c>
      <c r="J179" s="26">
        <f>136.0448</f>
        <v>136.04480000000001</v>
      </c>
    </row>
    <row r="180" spans="1:10" ht="15" x14ac:dyDescent="0.2">
      <c r="A180" s="16">
        <v>46388</v>
      </c>
      <c r="B180" s="10">
        <f>24.7372 * CHOOSE(CONTROL!$C$15, $E$9, 100%, $G$9) + CHOOSE(CONTROL!$C$38, 0.0256, 0)</f>
        <v>24.762800000000002</v>
      </c>
      <c r="C180" s="10">
        <f>22.7665 * CHOOSE(CONTROL!$C$15, $E$9, 100%, $G$9) + CHOOSE(CONTROL!$C$38, 0.0347, 0)</f>
        <v>22.801200000000001</v>
      </c>
      <c r="D180" s="10">
        <f>22.7587 * CHOOSE(CONTROL!$C$15, $E$9, 100%, $G$9) + CHOOSE(CONTROL!$C$38, 0.0347, 0)</f>
        <v>22.793400000000002</v>
      </c>
      <c r="E180" s="28">
        <f>24.5809 * CHOOSE(CONTROL!$C$15, $E$9, 100%, $G$9) + CHOOSE(CONTROL!$C$38, 0.0347, 0)</f>
        <v>24.615600000000001</v>
      </c>
      <c r="F180" s="27">
        <f>24.5809 * CHOOSE(CONTROL!$C$15, $E$9, 100%, $G$9) + CHOOSE(CONTROL!$C$38, 0.0256, 0)</f>
        <v>24.6065</v>
      </c>
      <c r="G180" s="10">
        <f>22.765 * CHOOSE(CONTROL!$C$15, $E$9, 100%, $G$9) + CHOOSE(CONTROL!$C$38, 0.0347, 0)</f>
        <v>22.799700000000001</v>
      </c>
      <c r="H180" s="10">
        <f>22.765 * CHOOSE(CONTROL!$C$15, $E$9, 100%, $G$9) + CHOOSE(CONTROL!$C$38, 0.0347, 0)</f>
        <v>22.799700000000001</v>
      </c>
      <c r="I180" s="10">
        <f>22.7665 * CHOOSE(CONTROL!$C$15, $E$9, 100%, $G$9) + CHOOSE(CONTROL!$C$38, 0.0347, 0)</f>
        <v>22.801200000000001</v>
      </c>
      <c r="J180" s="26">
        <f>135.4616</f>
        <v>135.4616</v>
      </c>
    </row>
    <row r="181" spans="1:10" ht="15" x14ac:dyDescent="0.2">
      <c r="A181" s="16">
        <v>46419</v>
      </c>
      <c r="B181" s="10">
        <f>24.958 * CHOOSE(CONTROL!$C$15, $E$9, 100%, $G$9) + CHOOSE(CONTROL!$C$38, 0.0256, 0)</f>
        <v>24.983599999999999</v>
      </c>
      <c r="C181" s="10">
        <f>22.9873 * CHOOSE(CONTROL!$C$15, $E$9, 100%, $G$9) + CHOOSE(CONTROL!$C$38, 0.0347, 0)</f>
        <v>23.022000000000002</v>
      </c>
      <c r="D181" s="10">
        <f>22.9795 * CHOOSE(CONTROL!$C$15, $E$9, 100%, $G$9) + CHOOSE(CONTROL!$C$38, 0.0347, 0)</f>
        <v>23.014200000000002</v>
      </c>
      <c r="E181" s="28">
        <f>24.8017 * CHOOSE(CONTROL!$C$15, $E$9, 100%, $G$9) + CHOOSE(CONTROL!$C$38, 0.0347, 0)</f>
        <v>24.836400000000001</v>
      </c>
      <c r="F181" s="27">
        <f>24.8017 * CHOOSE(CONTROL!$C$15, $E$9, 100%, $G$9) + CHOOSE(CONTROL!$C$38, 0.0256, 0)</f>
        <v>24.827300000000001</v>
      </c>
      <c r="G181" s="10">
        <f>22.9857 * CHOOSE(CONTROL!$C$15, $E$9, 100%, $G$9) + CHOOSE(CONTROL!$C$38, 0.0347, 0)</f>
        <v>23.020400000000002</v>
      </c>
      <c r="H181" s="10">
        <f>22.9857 * CHOOSE(CONTROL!$C$15, $E$9, 100%, $G$9) + CHOOSE(CONTROL!$C$38, 0.0347, 0)</f>
        <v>23.020400000000002</v>
      </c>
      <c r="I181" s="10">
        <f>22.9873 * CHOOSE(CONTROL!$C$15, $E$9, 100%, $G$9) + CHOOSE(CONTROL!$C$38, 0.0347, 0)</f>
        <v>23.022000000000002</v>
      </c>
      <c r="J181" s="26">
        <f>135.0851</f>
        <v>135.08510000000001</v>
      </c>
    </row>
    <row r="182" spans="1:10" ht="15" x14ac:dyDescent="0.2">
      <c r="A182" s="16">
        <v>46447</v>
      </c>
      <c r="B182" s="10">
        <f>24.4469 * CHOOSE(CONTROL!$C$15, $E$9, 100%, $G$9) + CHOOSE(CONTROL!$C$38, 0.0256, 0)</f>
        <v>24.4725</v>
      </c>
      <c r="C182" s="10">
        <f>22.4762 * CHOOSE(CONTROL!$C$15, $E$9, 100%, $G$9) + CHOOSE(CONTROL!$C$38, 0.0347, 0)</f>
        <v>22.510899999999999</v>
      </c>
      <c r="D182" s="10">
        <f>22.4684 * CHOOSE(CONTROL!$C$15, $E$9, 100%, $G$9) + CHOOSE(CONTROL!$C$38, 0.0347, 0)</f>
        <v>22.5031</v>
      </c>
      <c r="E182" s="28">
        <f>24.2907 * CHOOSE(CONTROL!$C$15, $E$9, 100%, $G$9) + CHOOSE(CONTROL!$C$38, 0.0347, 0)</f>
        <v>24.325400000000002</v>
      </c>
      <c r="F182" s="27">
        <f>24.2907 * CHOOSE(CONTROL!$C$15, $E$9, 100%, $G$9) + CHOOSE(CONTROL!$C$38, 0.0256, 0)</f>
        <v>24.316300000000002</v>
      </c>
      <c r="G182" s="10">
        <f>22.4747 * CHOOSE(CONTROL!$C$15, $E$9, 100%, $G$9) + CHOOSE(CONTROL!$C$38, 0.0347, 0)</f>
        <v>22.509399999999999</v>
      </c>
      <c r="H182" s="10">
        <f>22.4747 * CHOOSE(CONTROL!$C$15, $E$9, 100%, $G$9) + CHOOSE(CONTROL!$C$38, 0.0347, 0)</f>
        <v>22.509399999999999</v>
      </c>
      <c r="I182" s="10">
        <f>22.4762 * CHOOSE(CONTROL!$C$15, $E$9, 100%, $G$9) + CHOOSE(CONTROL!$C$38, 0.0347, 0)</f>
        <v>22.510899999999999</v>
      </c>
      <c r="J182" s="26">
        <f>142.2049</f>
        <v>142.20490000000001</v>
      </c>
    </row>
    <row r="183" spans="1:10" ht="15" x14ac:dyDescent="0.2">
      <c r="A183" s="16">
        <v>46478</v>
      </c>
      <c r="B183" s="10">
        <f>23.9517 * CHOOSE(CONTROL!$C$15, $E$9, 100%, $G$9) + CHOOSE(CONTROL!$C$38, 0.0256, 0)</f>
        <v>23.9773</v>
      </c>
      <c r="C183" s="10">
        <f>21.9811 * CHOOSE(CONTROL!$C$15, $E$9, 100%, $G$9) + CHOOSE(CONTROL!$C$38, 0.0347, 0)</f>
        <v>22.015800000000002</v>
      </c>
      <c r="D183" s="10">
        <f>21.9733 * CHOOSE(CONTROL!$C$15, $E$9, 100%, $G$9) + CHOOSE(CONTROL!$C$38, 0.0347, 0)</f>
        <v>22.007999999999999</v>
      </c>
      <c r="E183" s="28">
        <f>23.7955 * CHOOSE(CONTROL!$C$15, $E$9, 100%, $G$9) + CHOOSE(CONTROL!$C$38, 0.0347, 0)</f>
        <v>23.830200000000001</v>
      </c>
      <c r="F183" s="27">
        <f>23.7955 * CHOOSE(CONTROL!$C$15, $E$9, 100%, $G$9) + CHOOSE(CONTROL!$C$38, 0.0256, 0)</f>
        <v>23.821100000000001</v>
      </c>
      <c r="G183" s="10">
        <f>21.9795 * CHOOSE(CONTROL!$C$15, $E$9, 100%, $G$9) + CHOOSE(CONTROL!$C$38, 0.0347, 0)</f>
        <v>22.014200000000002</v>
      </c>
      <c r="H183" s="10">
        <f>21.9795 * CHOOSE(CONTROL!$C$15, $E$9, 100%, $G$9) + CHOOSE(CONTROL!$C$38, 0.0347, 0)</f>
        <v>22.014200000000002</v>
      </c>
      <c r="I183" s="10">
        <f>21.9811 * CHOOSE(CONTROL!$C$15, $E$9, 100%, $G$9) + CHOOSE(CONTROL!$C$38, 0.0347, 0)</f>
        <v>22.015800000000002</v>
      </c>
      <c r="J183" s="26">
        <f>151.4375</f>
        <v>151.4375</v>
      </c>
    </row>
    <row r="184" spans="1:10" ht="15" x14ac:dyDescent="0.2">
      <c r="A184" s="16">
        <v>46508</v>
      </c>
      <c r="B184" s="10">
        <f>23.4356 * CHOOSE(CONTROL!$C$15, $E$9, 100%, $G$9) + CHOOSE(CONTROL!$C$38, 0.0278, 0)</f>
        <v>23.4634</v>
      </c>
      <c r="C184" s="10">
        <f>21.465 * CHOOSE(CONTROL!$C$15, $E$9, 100%, $G$9) + CHOOSE(CONTROL!$C$38, 0.0369, 0)</f>
        <v>21.501899999999999</v>
      </c>
      <c r="D184" s="10">
        <f>21.4571 * CHOOSE(CONTROL!$C$15, $E$9, 100%, $G$9) + CHOOSE(CONTROL!$C$38, 0.0369, 0)</f>
        <v>21.494</v>
      </c>
      <c r="E184" s="28">
        <f>23.2794 * CHOOSE(CONTROL!$C$15, $E$9, 100%, $G$9) + CHOOSE(CONTROL!$C$38, 0.0369, 0)</f>
        <v>23.316299999999998</v>
      </c>
      <c r="F184" s="27">
        <f>23.2794 * CHOOSE(CONTROL!$C$15, $E$9, 100%, $G$9) + CHOOSE(CONTROL!$C$38, 0.0278, 0)</f>
        <v>23.307199999999998</v>
      </c>
      <c r="G184" s="10">
        <f>21.4634 * CHOOSE(CONTROL!$C$15, $E$9, 100%, $G$9) + CHOOSE(CONTROL!$C$38, 0.0369, 0)</f>
        <v>21.500299999999999</v>
      </c>
      <c r="H184" s="10">
        <f>21.4634 * CHOOSE(CONTROL!$C$15, $E$9, 100%, $G$9) + CHOOSE(CONTROL!$C$38, 0.0369, 0)</f>
        <v>21.500299999999999</v>
      </c>
      <c r="I184" s="10">
        <f>21.465 * CHOOSE(CONTROL!$C$15, $E$9, 100%, $G$9) + CHOOSE(CONTROL!$C$38, 0.0369, 0)</f>
        <v>21.501899999999999</v>
      </c>
      <c r="J184" s="26">
        <f>156.5194</f>
        <v>156.51939999999999</v>
      </c>
    </row>
    <row r="185" spans="1:10" ht="15" x14ac:dyDescent="0.2">
      <c r="A185" s="16">
        <v>46539</v>
      </c>
      <c r="B185" s="10">
        <f>23.0738 * CHOOSE(CONTROL!$C$15, $E$9, 100%, $G$9) + CHOOSE(CONTROL!$C$38, 0.0278, 0)</f>
        <v>23.101599999999998</v>
      </c>
      <c r="C185" s="10">
        <f>21.1031 * CHOOSE(CONTROL!$C$15, $E$9, 100%, $G$9) + CHOOSE(CONTROL!$C$38, 0.0369, 0)</f>
        <v>21.14</v>
      </c>
      <c r="D185" s="10">
        <f>21.0953 * CHOOSE(CONTROL!$C$15, $E$9, 100%, $G$9) + CHOOSE(CONTROL!$C$38, 0.0369, 0)</f>
        <v>21.132200000000001</v>
      </c>
      <c r="E185" s="28">
        <f>22.9175 * CHOOSE(CONTROL!$C$15, $E$9, 100%, $G$9) + CHOOSE(CONTROL!$C$38, 0.0369, 0)</f>
        <v>22.9544</v>
      </c>
      <c r="F185" s="27">
        <f>22.9175 * CHOOSE(CONTROL!$C$15, $E$9, 100%, $G$9) + CHOOSE(CONTROL!$C$38, 0.0278, 0)</f>
        <v>22.9453</v>
      </c>
      <c r="G185" s="10">
        <f>21.1016 * CHOOSE(CONTROL!$C$15, $E$9, 100%, $G$9) + CHOOSE(CONTROL!$C$38, 0.0369, 0)</f>
        <v>21.138500000000001</v>
      </c>
      <c r="H185" s="10">
        <f>21.1016 * CHOOSE(CONTROL!$C$15, $E$9, 100%, $G$9) + CHOOSE(CONTROL!$C$38, 0.0369, 0)</f>
        <v>21.138500000000001</v>
      </c>
      <c r="I185" s="10">
        <f>21.1031 * CHOOSE(CONTROL!$C$15, $E$9, 100%, $G$9) + CHOOSE(CONTROL!$C$38, 0.0369, 0)</f>
        <v>21.14</v>
      </c>
      <c r="J185" s="26">
        <f>158.7747</f>
        <v>158.7747</v>
      </c>
    </row>
    <row r="186" spans="1:10" ht="15" x14ac:dyDescent="0.2">
      <c r="A186" s="16">
        <v>46569</v>
      </c>
      <c r="B186" s="10">
        <f>22.8673 * CHOOSE(CONTROL!$C$15, $E$9, 100%, $G$9) + CHOOSE(CONTROL!$C$38, 0.0278, 0)</f>
        <v>22.895099999999999</v>
      </c>
      <c r="C186" s="10">
        <f>20.8966 * CHOOSE(CONTROL!$C$15, $E$9, 100%, $G$9) + CHOOSE(CONTROL!$C$38, 0.0369, 0)</f>
        <v>20.933499999999999</v>
      </c>
      <c r="D186" s="10">
        <f>20.8888 * CHOOSE(CONTROL!$C$15, $E$9, 100%, $G$9) + CHOOSE(CONTROL!$C$38, 0.0369, 0)</f>
        <v>20.925699999999999</v>
      </c>
      <c r="E186" s="28">
        <f>22.7111 * CHOOSE(CONTROL!$C$15, $E$9, 100%, $G$9) + CHOOSE(CONTROL!$C$38, 0.0369, 0)</f>
        <v>22.747999999999998</v>
      </c>
      <c r="F186" s="27">
        <f>22.7111 * CHOOSE(CONTROL!$C$15, $E$9, 100%, $G$9) + CHOOSE(CONTROL!$C$38, 0.0278, 0)</f>
        <v>22.738899999999997</v>
      </c>
      <c r="G186" s="10">
        <f>20.8951 * CHOOSE(CONTROL!$C$15, $E$9, 100%, $G$9) + CHOOSE(CONTROL!$C$38, 0.0369, 0)</f>
        <v>20.931999999999999</v>
      </c>
      <c r="H186" s="10">
        <f>20.8951 * CHOOSE(CONTROL!$C$15, $E$9, 100%, $G$9) + CHOOSE(CONTROL!$C$38, 0.0369, 0)</f>
        <v>20.931999999999999</v>
      </c>
      <c r="I186" s="10">
        <f>20.8966 * CHOOSE(CONTROL!$C$15, $E$9, 100%, $G$9) + CHOOSE(CONTROL!$C$38, 0.0369, 0)</f>
        <v>20.933499999999999</v>
      </c>
      <c r="J186" s="26">
        <f>158.0322</f>
        <v>158.03219999999999</v>
      </c>
    </row>
    <row r="187" spans="1:10" ht="15" x14ac:dyDescent="0.2">
      <c r="A187" s="16">
        <v>46600</v>
      </c>
      <c r="B187" s="10">
        <f>22.9692 * CHOOSE(CONTROL!$C$15, $E$9, 100%, $G$9) + CHOOSE(CONTROL!$C$38, 0.0278, 0)</f>
        <v>22.997</v>
      </c>
      <c r="C187" s="10">
        <f>20.9985 * CHOOSE(CONTROL!$C$15, $E$9, 100%, $G$9) + CHOOSE(CONTROL!$C$38, 0.0369, 0)</f>
        <v>21.035399999999999</v>
      </c>
      <c r="D187" s="10">
        <f>20.9907 * CHOOSE(CONTROL!$C$15, $E$9, 100%, $G$9) + CHOOSE(CONTROL!$C$38, 0.0369, 0)</f>
        <v>21.0276</v>
      </c>
      <c r="E187" s="28">
        <f>22.813 * CHOOSE(CONTROL!$C$15, $E$9, 100%, $G$9) + CHOOSE(CONTROL!$C$38, 0.0369, 0)</f>
        <v>22.849899999999998</v>
      </c>
      <c r="F187" s="27">
        <f>22.813 * CHOOSE(CONTROL!$C$15, $E$9, 100%, $G$9) + CHOOSE(CONTROL!$C$38, 0.0278, 0)</f>
        <v>22.840799999999998</v>
      </c>
      <c r="G187" s="10">
        <f>20.997 * CHOOSE(CONTROL!$C$15, $E$9, 100%, $G$9) + CHOOSE(CONTROL!$C$38, 0.0369, 0)</f>
        <v>21.033899999999999</v>
      </c>
      <c r="H187" s="10">
        <f>20.997 * CHOOSE(CONTROL!$C$15, $E$9, 100%, $G$9) + CHOOSE(CONTROL!$C$38, 0.0369, 0)</f>
        <v>21.033899999999999</v>
      </c>
      <c r="I187" s="10">
        <f>20.9985 * CHOOSE(CONTROL!$C$15, $E$9, 100%, $G$9) + CHOOSE(CONTROL!$C$38, 0.0369, 0)</f>
        <v>21.035399999999999</v>
      </c>
      <c r="J187" s="26">
        <f>154.3532</f>
        <v>154.35319999999999</v>
      </c>
    </row>
    <row r="188" spans="1:10" ht="15" x14ac:dyDescent="0.2">
      <c r="A188" s="16">
        <v>46631</v>
      </c>
      <c r="B188" s="10">
        <f>23.246 * CHOOSE(CONTROL!$C$15, $E$9, 100%, $G$9) + CHOOSE(CONTROL!$C$38, 0.0278, 0)</f>
        <v>23.273799999999998</v>
      </c>
      <c r="C188" s="10">
        <f>21.2753 * CHOOSE(CONTROL!$C$15, $E$9, 100%, $G$9) + CHOOSE(CONTROL!$C$38, 0.0369, 0)</f>
        <v>21.312200000000001</v>
      </c>
      <c r="D188" s="10">
        <f>21.2675 * CHOOSE(CONTROL!$C$15, $E$9, 100%, $G$9) + CHOOSE(CONTROL!$C$38, 0.0369, 0)</f>
        <v>21.304399999999998</v>
      </c>
      <c r="E188" s="28">
        <f>23.0898 * CHOOSE(CONTROL!$C$15, $E$9, 100%, $G$9) + CHOOSE(CONTROL!$C$38, 0.0369, 0)</f>
        <v>23.1267</v>
      </c>
      <c r="F188" s="27">
        <f>23.0898 * CHOOSE(CONTROL!$C$15, $E$9, 100%, $G$9) + CHOOSE(CONTROL!$C$38, 0.0278, 0)</f>
        <v>23.117599999999999</v>
      </c>
      <c r="G188" s="10">
        <f>21.2738 * CHOOSE(CONTROL!$C$15, $E$9, 100%, $G$9) + CHOOSE(CONTROL!$C$38, 0.0369, 0)</f>
        <v>21.310700000000001</v>
      </c>
      <c r="H188" s="10">
        <f>21.2738 * CHOOSE(CONTROL!$C$15, $E$9, 100%, $G$9) + CHOOSE(CONTROL!$C$38, 0.0369, 0)</f>
        <v>21.310700000000001</v>
      </c>
      <c r="I188" s="10">
        <f>21.2753 * CHOOSE(CONTROL!$C$15, $E$9, 100%, $G$9) + CHOOSE(CONTROL!$C$38, 0.0369, 0)</f>
        <v>21.312200000000001</v>
      </c>
      <c r="J188" s="26">
        <f>149.2228</f>
        <v>149.22280000000001</v>
      </c>
    </row>
    <row r="189" spans="1:10" ht="15" x14ac:dyDescent="0.2">
      <c r="A189" s="16">
        <v>46661</v>
      </c>
      <c r="B189" s="10">
        <f>23.4778 * CHOOSE(CONTROL!$C$15, $E$9, 100%, $G$9) + CHOOSE(CONTROL!$C$38, 0.0256, 0)</f>
        <v>23.503399999999999</v>
      </c>
      <c r="C189" s="10">
        <f>21.5072 * CHOOSE(CONTROL!$C$15, $E$9, 100%, $G$9) + CHOOSE(CONTROL!$C$38, 0.0347, 0)</f>
        <v>21.541900000000002</v>
      </c>
      <c r="D189" s="10">
        <f>21.4993 * CHOOSE(CONTROL!$C$15, $E$9, 100%, $G$9) + CHOOSE(CONTROL!$C$38, 0.0347, 0)</f>
        <v>21.534000000000002</v>
      </c>
      <c r="E189" s="28">
        <f>23.3216 * CHOOSE(CONTROL!$C$15, $E$9, 100%, $G$9) + CHOOSE(CONTROL!$C$38, 0.0347, 0)</f>
        <v>23.356300000000001</v>
      </c>
      <c r="F189" s="27">
        <f>23.3216 * CHOOSE(CONTROL!$C$15, $E$9, 100%, $G$9) + CHOOSE(CONTROL!$C$38, 0.0256, 0)</f>
        <v>23.347200000000001</v>
      </c>
      <c r="G189" s="10">
        <f>21.5056 * CHOOSE(CONTROL!$C$15, $E$9, 100%, $G$9) + CHOOSE(CONTROL!$C$38, 0.0347, 0)</f>
        <v>21.540300000000002</v>
      </c>
      <c r="H189" s="10">
        <f>21.5056 * CHOOSE(CONTROL!$C$15, $E$9, 100%, $G$9) + CHOOSE(CONTROL!$C$38, 0.0347, 0)</f>
        <v>21.540300000000002</v>
      </c>
      <c r="I189" s="10">
        <f>21.5072 * CHOOSE(CONTROL!$C$15, $E$9, 100%, $G$9) + CHOOSE(CONTROL!$C$38, 0.0347, 0)</f>
        <v>21.541900000000002</v>
      </c>
      <c r="J189" s="26">
        <f>144.0625</f>
        <v>144.0625</v>
      </c>
    </row>
    <row r="190" spans="1:10" ht="15" x14ac:dyDescent="0.2">
      <c r="A190" s="16">
        <v>46692</v>
      </c>
      <c r="B190" s="10">
        <f>23.6713 * CHOOSE(CONTROL!$C$15, $E$9, 100%, $G$9) + CHOOSE(CONTROL!$C$38, 0.0256, 0)</f>
        <v>23.696899999999999</v>
      </c>
      <c r="C190" s="10">
        <f>21.7006 * CHOOSE(CONTROL!$C$15, $E$9, 100%, $G$9) + CHOOSE(CONTROL!$C$38, 0.0347, 0)</f>
        <v>21.735300000000002</v>
      </c>
      <c r="D190" s="10">
        <f>21.6928 * CHOOSE(CONTROL!$C$15, $E$9, 100%, $G$9) + CHOOSE(CONTROL!$C$38, 0.0347, 0)</f>
        <v>21.727499999999999</v>
      </c>
      <c r="E190" s="28">
        <f>23.515 * CHOOSE(CONTROL!$C$15, $E$9, 100%, $G$9) + CHOOSE(CONTROL!$C$38, 0.0347, 0)</f>
        <v>23.549700000000001</v>
      </c>
      <c r="F190" s="27">
        <f>23.515 * CHOOSE(CONTROL!$C$15, $E$9, 100%, $G$9) + CHOOSE(CONTROL!$C$38, 0.0256, 0)</f>
        <v>23.540600000000001</v>
      </c>
      <c r="G190" s="10">
        <f>21.699 * CHOOSE(CONTROL!$C$15, $E$9, 100%, $G$9) + CHOOSE(CONTROL!$C$38, 0.0347, 0)</f>
        <v>21.733700000000002</v>
      </c>
      <c r="H190" s="10">
        <f>21.699 * CHOOSE(CONTROL!$C$15, $E$9, 100%, $G$9) + CHOOSE(CONTROL!$C$38, 0.0347, 0)</f>
        <v>21.733700000000002</v>
      </c>
      <c r="I190" s="10">
        <f>21.7006 * CHOOSE(CONTROL!$C$15, $E$9, 100%, $G$9) + CHOOSE(CONTROL!$C$38, 0.0347, 0)</f>
        <v>21.735300000000002</v>
      </c>
      <c r="J190" s="26">
        <f>143.0361</f>
        <v>143.0361</v>
      </c>
    </row>
    <row r="191" spans="1:10" ht="15" x14ac:dyDescent="0.2">
      <c r="A191" s="16">
        <v>46722</v>
      </c>
      <c r="B191" s="10">
        <f>24.2673 * CHOOSE(CONTROL!$C$15, $E$9, 100%, $G$9) + CHOOSE(CONTROL!$C$38, 0.0256, 0)</f>
        <v>24.292899999999999</v>
      </c>
      <c r="C191" s="10">
        <f>22.2967 * CHOOSE(CONTROL!$C$15, $E$9, 100%, $G$9) + CHOOSE(CONTROL!$C$38, 0.0347, 0)</f>
        <v>22.331400000000002</v>
      </c>
      <c r="D191" s="10">
        <f>22.2889 * CHOOSE(CONTROL!$C$15, $E$9, 100%, $G$9) + CHOOSE(CONTROL!$C$38, 0.0347, 0)</f>
        <v>22.323600000000003</v>
      </c>
      <c r="E191" s="28">
        <f>24.1111 * CHOOSE(CONTROL!$C$15, $E$9, 100%, $G$9) + CHOOSE(CONTROL!$C$38, 0.0347, 0)</f>
        <v>24.145800000000001</v>
      </c>
      <c r="F191" s="27">
        <f>24.1111 * CHOOSE(CONTROL!$C$15, $E$9, 100%, $G$9) + CHOOSE(CONTROL!$C$38, 0.0256, 0)</f>
        <v>24.136700000000001</v>
      </c>
      <c r="G191" s="10">
        <f>22.2951 * CHOOSE(CONTROL!$C$15, $E$9, 100%, $G$9) + CHOOSE(CONTROL!$C$38, 0.0347, 0)</f>
        <v>22.329800000000002</v>
      </c>
      <c r="H191" s="10">
        <f>22.2951 * CHOOSE(CONTROL!$C$15, $E$9, 100%, $G$9) + CHOOSE(CONTROL!$C$38, 0.0347, 0)</f>
        <v>22.329800000000002</v>
      </c>
      <c r="I191" s="10">
        <f>22.2967 * CHOOSE(CONTROL!$C$15, $E$9, 100%, $G$9) + CHOOSE(CONTROL!$C$38, 0.0347, 0)</f>
        <v>22.331400000000002</v>
      </c>
      <c r="J191" s="26">
        <f>138.7914</f>
        <v>138.79140000000001</v>
      </c>
    </row>
    <row r="192" spans="1:10" ht="15" x14ac:dyDescent="0.2">
      <c r="A192" s="16">
        <v>46753</v>
      </c>
      <c r="B192" s="10">
        <f>25.2094 * CHOOSE(CONTROL!$C$15, $E$9, 100%, $G$9) + CHOOSE(CONTROL!$C$38, 0.0256, 0)</f>
        <v>25.234999999999999</v>
      </c>
      <c r="C192" s="10">
        <f>23.2272 * CHOOSE(CONTROL!$C$15, $E$9, 100%, $G$9) + CHOOSE(CONTROL!$C$38, 0.0347, 0)</f>
        <v>23.261900000000001</v>
      </c>
      <c r="D192" s="10">
        <f>23.2194 * CHOOSE(CONTROL!$C$15, $E$9, 100%, $G$9) + CHOOSE(CONTROL!$C$38, 0.0347, 0)</f>
        <v>23.254100000000001</v>
      </c>
      <c r="E192" s="28">
        <f>25.0532 * CHOOSE(CONTROL!$C$15, $E$9, 100%, $G$9) + CHOOSE(CONTROL!$C$38, 0.0347, 0)</f>
        <v>25.087900000000001</v>
      </c>
      <c r="F192" s="27">
        <f>25.0532 * CHOOSE(CONTROL!$C$15, $E$9, 100%, $G$9) + CHOOSE(CONTROL!$C$38, 0.0256, 0)</f>
        <v>25.078800000000001</v>
      </c>
      <c r="G192" s="10">
        <f>23.2257 * CHOOSE(CONTROL!$C$15, $E$9, 100%, $G$9) + CHOOSE(CONTROL!$C$38, 0.0347, 0)</f>
        <v>23.260400000000001</v>
      </c>
      <c r="H192" s="10">
        <f>23.2257 * CHOOSE(CONTROL!$C$15, $E$9, 100%, $G$9) + CHOOSE(CONTROL!$C$38, 0.0347, 0)</f>
        <v>23.260400000000001</v>
      </c>
      <c r="I192" s="10">
        <f>23.2272 * CHOOSE(CONTROL!$C$15, $E$9, 100%, $G$9) + CHOOSE(CONTROL!$C$38, 0.0347, 0)</f>
        <v>23.261900000000001</v>
      </c>
      <c r="J192" s="26">
        <f>138.1964</f>
        <v>138.19640000000001</v>
      </c>
    </row>
    <row r="193" spans="1:10" ht="15" x14ac:dyDescent="0.2">
      <c r="A193" s="16">
        <v>46784</v>
      </c>
      <c r="B193" s="10">
        <f>25.4302 * CHOOSE(CONTROL!$C$15, $E$9, 100%, $G$9) + CHOOSE(CONTROL!$C$38, 0.0256, 0)</f>
        <v>25.4558</v>
      </c>
      <c r="C193" s="10">
        <f>23.448 * CHOOSE(CONTROL!$C$15, $E$9, 100%, $G$9) + CHOOSE(CONTROL!$C$38, 0.0347, 0)</f>
        <v>23.482700000000001</v>
      </c>
      <c r="D193" s="10">
        <f>23.4402 * CHOOSE(CONTROL!$C$15, $E$9, 100%, $G$9) + CHOOSE(CONTROL!$C$38, 0.0347, 0)</f>
        <v>23.474900000000002</v>
      </c>
      <c r="E193" s="28">
        <f>25.2739 * CHOOSE(CONTROL!$C$15, $E$9, 100%, $G$9) + CHOOSE(CONTROL!$C$38, 0.0347, 0)</f>
        <v>25.308600000000002</v>
      </c>
      <c r="F193" s="27">
        <f>25.2739 * CHOOSE(CONTROL!$C$15, $E$9, 100%, $G$9) + CHOOSE(CONTROL!$C$38, 0.0256, 0)</f>
        <v>25.299500000000002</v>
      </c>
      <c r="G193" s="10">
        <f>23.4464 * CHOOSE(CONTROL!$C$15, $E$9, 100%, $G$9) + CHOOSE(CONTROL!$C$38, 0.0347, 0)</f>
        <v>23.481100000000001</v>
      </c>
      <c r="H193" s="10">
        <f>23.4464 * CHOOSE(CONTROL!$C$15, $E$9, 100%, $G$9) + CHOOSE(CONTROL!$C$38, 0.0347, 0)</f>
        <v>23.481100000000001</v>
      </c>
      <c r="I193" s="10">
        <f>23.448 * CHOOSE(CONTROL!$C$15, $E$9, 100%, $G$9) + CHOOSE(CONTROL!$C$38, 0.0347, 0)</f>
        <v>23.482700000000001</v>
      </c>
      <c r="J193" s="26">
        <f>137.8122</f>
        <v>137.81219999999999</v>
      </c>
    </row>
    <row r="194" spans="1:10" ht="15" x14ac:dyDescent="0.2">
      <c r="A194" s="16">
        <v>46813</v>
      </c>
      <c r="B194" s="10">
        <f>24.9191 * CHOOSE(CONTROL!$C$15, $E$9, 100%, $G$9) + CHOOSE(CONTROL!$C$38, 0.0256, 0)</f>
        <v>24.944700000000001</v>
      </c>
      <c r="C194" s="10">
        <f>22.937 * CHOOSE(CONTROL!$C$15, $E$9, 100%, $G$9) + CHOOSE(CONTROL!$C$38, 0.0347, 0)</f>
        <v>22.971700000000002</v>
      </c>
      <c r="D194" s="10">
        <f>22.9291 * CHOOSE(CONTROL!$C$15, $E$9, 100%, $G$9) + CHOOSE(CONTROL!$C$38, 0.0347, 0)</f>
        <v>22.963799999999999</v>
      </c>
      <c r="E194" s="28">
        <f>24.7629 * CHOOSE(CONTROL!$C$15, $E$9, 100%, $G$9) + CHOOSE(CONTROL!$C$38, 0.0347, 0)</f>
        <v>24.797599999999999</v>
      </c>
      <c r="F194" s="27">
        <f>24.7629 * CHOOSE(CONTROL!$C$15, $E$9, 100%, $G$9) + CHOOSE(CONTROL!$C$38, 0.0256, 0)</f>
        <v>24.788499999999999</v>
      </c>
      <c r="G194" s="10">
        <f>22.9354 * CHOOSE(CONTROL!$C$15, $E$9, 100%, $G$9) + CHOOSE(CONTROL!$C$38, 0.0347, 0)</f>
        <v>22.970100000000002</v>
      </c>
      <c r="H194" s="10">
        <f>22.9354 * CHOOSE(CONTROL!$C$15, $E$9, 100%, $G$9) + CHOOSE(CONTROL!$C$38, 0.0347, 0)</f>
        <v>22.970100000000002</v>
      </c>
      <c r="I194" s="10">
        <f>22.937 * CHOOSE(CONTROL!$C$15, $E$9, 100%, $G$9) + CHOOSE(CONTROL!$C$38, 0.0347, 0)</f>
        <v>22.971700000000002</v>
      </c>
      <c r="J194" s="26">
        <f>145.0757</f>
        <v>145.07570000000001</v>
      </c>
    </row>
    <row r="195" spans="1:10" ht="15" x14ac:dyDescent="0.2">
      <c r="A195" s="16">
        <v>46844</v>
      </c>
      <c r="B195" s="10">
        <f>24.424 * CHOOSE(CONTROL!$C$15, $E$9, 100%, $G$9) + CHOOSE(CONTROL!$C$38, 0.0256, 0)</f>
        <v>24.4496</v>
      </c>
      <c r="C195" s="10">
        <f>22.4418 * CHOOSE(CONTROL!$C$15, $E$9, 100%, $G$9) + CHOOSE(CONTROL!$C$38, 0.0347, 0)</f>
        <v>22.476500000000001</v>
      </c>
      <c r="D195" s="10">
        <f>22.434 * CHOOSE(CONTROL!$C$15, $E$9, 100%, $G$9) + CHOOSE(CONTROL!$C$38, 0.0347, 0)</f>
        <v>22.468700000000002</v>
      </c>
      <c r="E195" s="28">
        <f>24.2677 * CHOOSE(CONTROL!$C$15, $E$9, 100%, $G$9) + CHOOSE(CONTROL!$C$38, 0.0347, 0)</f>
        <v>24.302400000000002</v>
      </c>
      <c r="F195" s="27">
        <f>24.2677 * CHOOSE(CONTROL!$C$15, $E$9, 100%, $G$9) + CHOOSE(CONTROL!$C$38, 0.0256, 0)</f>
        <v>24.293300000000002</v>
      </c>
      <c r="G195" s="10">
        <f>22.4402 * CHOOSE(CONTROL!$C$15, $E$9, 100%, $G$9) + CHOOSE(CONTROL!$C$38, 0.0347, 0)</f>
        <v>22.474900000000002</v>
      </c>
      <c r="H195" s="10">
        <f>22.4402 * CHOOSE(CONTROL!$C$15, $E$9, 100%, $G$9) + CHOOSE(CONTROL!$C$38, 0.0347, 0)</f>
        <v>22.474900000000002</v>
      </c>
      <c r="I195" s="10">
        <f>22.4418 * CHOOSE(CONTROL!$C$15, $E$9, 100%, $G$9) + CHOOSE(CONTROL!$C$38, 0.0347, 0)</f>
        <v>22.476500000000001</v>
      </c>
      <c r="J195" s="26">
        <f>154.4948</f>
        <v>154.4948</v>
      </c>
    </row>
    <row r="196" spans="1:10" ht="15" x14ac:dyDescent="0.2">
      <c r="A196" s="16">
        <v>46874</v>
      </c>
      <c r="B196" s="10">
        <f>23.9079 * CHOOSE(CONTROL!$C$15, $E$9, 100%, $G$9) + CHOOSE(CONTROL!$C$38, 0.0278, 0)</f>
        <v>23.935700000000001</v>
      </c>
      <c r="C196" s="10">
        <f>21.9257 * CHOOSE(CONTROL!$C$15, $E$9, 100%, $G$9) + CHOOSE(CONTROL!$C$38, 0.0369, 0)</f>
        <v>21.962599999999998</v>
      </c>
      <c r="D196" s="10">
        <f>21.9179 * CHOOSE(CONTROL!$C$15, $E$9, 100%, $G$9) + CHOOSE(CONTROL!$C$38, 0.0369, 0)</f>
        <v>21.954799999999999</v>
      </c>
      <c r="E196" s="28">
        <f>23.7516 * CHOOSE(CONTROL!$C$15, $E$9, 100%, $G$9) + CHOOSE(CONTROL!$C$38, 0.0369, 0)</f>
        <v>23.788499999999999</v>
      </c>
      <c r="F196" s="27">
        <f>23.7516 * CHOOSE(CONTROL!$C$15, $E$9, 100%, $G$9) + CHOOSE(CONTROL!$C$38, 0.0278, 0)</f>
        <v>23.779399999999999</v>
      </c>
      <c r="G196" s="10">
        <f>21.9241 * CHOOSE(CONTROL!$C$15, $E$9, 100%, $G$9) + CHOOSE(CONTROL!$C$38, 0.0369, 0)</f>
        <v>21.960999999999999</v>
      </c>
      <c r="H196" s="10">
        <f>21.9241 * CHOOSE(CONTROL!$C$15, $E$9, 100%, $G$9) + CHOOSE(CONTROL!$C$38, 0.0369, 0)</f>
        <v>21.960999999999999</v>
      </c>
      <c r="I196" s="10">
        <f>21.9257 * CHOOSE(CONTROL!$C$15, $E$9, 100%, $G$9) + CHOOSE(CONTROL!$C$38, 0.0369, 0)</f>
        <v>21.962599999999998</v>
      </c>
      <c r="J196" s="26">
        <f>159.6793</f>
        <v>159.67930000000001</v>
      </c>
    </row>
    <row r="197" spans="1:10" ht="15" x14ac:dyDescent="0.2">
      <c r="A197" s="16">
        <v>46905</v>
      </c>
      <c r="B197" s="10">
        <f>23.546 * CHOOSE(CONTROL!$C$15, $E$9, 100%, $G$9) + CHOOSE(CONTROL!$C$38, 0.0278, 0)</f>
        <v>23.573799999999999</v>
      </c>
      <c r="C197" s="10">
        <f>21.5638 * CHOOSE(CONTROL!$C$15, $E$9, 100%, $G$9) + CHOOSE(CONTROL!$C$38, 0.0369, 0)</f>
        <v>21.6007</v>
      </c>
      <c r="D197" s="10">
        <f>21.556 * CHOOSE(CONTROL!$C$15, $E$9, 100%, $G$9) + CHOOSE(CONTROL!$C$38, 0.0369, 0)</f>
        <v>21.5929</v>
      </c>
      <c r="E197" s="28">
        <f>23.3898 * CHOOSE(CONTROL!$C$15, $E$9, 100%, $G$9) + CHOOSE(CONTROL!$C$38, 0.0369, 0)</f>
        <v>23.4267</v>
      </c>
      <c r="F197" s="27">
        <f>23.3898 * CHOOSE(CONTROL!$C$15, $E$9, 100%, $G$9) + CHOOSE(CONTROL!$C$38, 0.0278, 0)</f>
        <v>23.4176</v>
      </c>
      <c r="G197" s="10">
        <f>21.5623 * CHOOSE(CONTROL!$C$15, $E$9, 100%, $G$9) + CHOOSE(CONTROL!$C$38, 0.0369, 0)</f>
        <v>21.5992</v>
      </c>
      <c r="H197" s="10">
        <f>21.5623 * CHOOSE(CONTROL!$C$15, $E$9, 100%, $G$9) + CHOOSE(CONTROL!$C$38, 0.0369, 0)</f>
        <v>21.5992</v>
      </c>
      <c r="I197" s="10">
        <f>21.5638 * CHOOSE(CONTROL!$C$15, $E$9, 100%, $G$9) + CHOOSE(CONTROL!$C$38, 0.0369, 0)</f>
        <v>21.6007</v>
      </c>
      <c r="J197" s="26">
        <f>161.9801</f>
        <v>161.98009999999999</v>
      </c>
    </row>
    <row r="198" spans="1:10" ht="15" x14ac:dyDescent="0.2">
      <c r="A198" s="16">
        <v>46935</v>
      </c>
      <c r="B198" s="10">
        <f>23.3395 * CHOOSE(CONTROL!$C$15, $E$9, 100%, $G$9) + CHOOSE(CONTROL!$C$38, 0.0278, 0)</f>
        <v>23.3673</v>
      </c>
      <c r="C198" s="10">
        <f>21.3573 * CHOOSE(CONTROL!$C$15, $E$9, 100%, $G$9) + CHOOSE(CONTROL!$C$38, 0.0369, 0)</f>
        <v>21.394199999999998</v>
      </c>
      <c r="D198" s="10">
        <f>21.3495 * CHOOSE(CONTROL!$C$15, $E$9, 100%, $G$9) + CHOOSE(CONTROL!$C$38, 0.0369, 0)</f>
        <v>21.386399999999998</v>
      </c>
      <c r="E198" s="28">
        <f>23.1833 * CHOOSE(CONTROL!$C$15, $E$9, 100%, $G$9) + CHOOSE(CONTROL!$C$38, 0.0369, 0)</f>
        <v>23.220199999999998</v>
      </c>
      <c r="F198" s="27">
        <f>23.1833 * CHOOSE(CONTROL!$C$15, $E$9, 100%, $G$9) + CHOOSE(CONTROL!$C$38, 0.0278, 0)</f>
        <v>23.211099999999998</v>
      </c>
      <c r="G198" s="10">
        <f>21.3558 * CHOOSE(CONTROL!$C$15, $E$9, 100%, $G$9) + CHOOSE(CONTROL!$C$38, 0.0369, 0)</f>
        <v>21.392699999999998</v>
      </c>
      <c r="H198" s="10">
        <f>21.3558 * CHOOSE(CONTROL!$C$15, $E$9, 100%, $G$9) + CHOOSE(CONTROL!$C$38, 0.0369, 0)</f>
        <v>21.392699999999998</v>
      </c>
      <c r="I198" s="10">
        <f>21.3573 * CHOOSE(CONTROL!$C$15, $E$9, 100%, $G$9) + CHOOSE(CONTROL!$C$38, 0.0369, 0)</f>
        <v>21.394199999999998</v>
      </c>
      <c r="J198" s="26">
        <f>161.2226</f>
        <v>161.2226</v>
      </c>
    </row>
    <row r="199" spans="1:10" ht="15" x14ac:dyDescent="0.2">
      <c r="A199" s="16">
        <v>46966</v>
      </c>
      <c r="B199" s="10">
        <f>23.4414 * CHOOSE(CONTROL!$C$15, $E$9, 100%, $G$9) + CHOOSE(CONTROL!$C$38, 0.0278, 0)</f>
        <v>23.469200000000001</v>
      </c>
      <c r="C199" s="10">
        <f>21.4592 * CHOOSE(CONTROL!$C$15, $E$9, 100%, $G$9) + CHOOSE(CONTROL!$C$38, 0.0369, 0)</f>
        <v>21.496099999999998</v>
      </c>
      <c r="D199" s="10">
        <f>21.4514 * CHOOSE(CONTROL!$C$15, $E$9, 100%, $G$9) + CHOOSE(CONTROL!$C$38, 0.0369, 0)</f>
        <v>21.488299999999999</v>
      </c>
      <c r="E199" s="28">
        <f>23.2852 * CHOOSE(CONTROL!$C$15, $E$9, 100%, $G$9) + CHOOSE(CONTROL!$C$38, 0.0369, 0)</f>
        <v>23.322099999999999</v>
      </c>
      <c r="F199" s="27">
        <f>23.2852 * CHOOSE(CONTROL!$C$15, $E$9, 100%, $G$9) + CHOOSE(CONTROL!$C$38, 0.0278, 0)</f>
        <v>23.312999999999999</v>
      </c>
      <c r="G199" s="10">
        <f>21.4577 * CHOOSE(CONTROL!$C$15, $E$9, 100%, $G$9) + CHOOSE(CONTROL!$C$38, 0.0369, 0)</f>
        <v>21.494599999999998</v>
      </c>
      <c r="H199" s="10">
        <f>21.4577 * CHOOSE(CONTROL!$C$15, $E$9, 100%, $G$9) + CHOOSE(CONTROL!$C$38, 0.0369, 0)</f>
        <v>21.494599999999998</v>
      </c>
      <c r="I199" s="10">
        <f>21.4592 * CHOOSE(CONTROL!$C$15, $E$9, 100%, $G$9) + CHOOSE(CONTROL!$C$38, 0.0369, 0)</f>
        <v>21.496099999999998</v>
      </c>
      <c r="J199" s="26">
        <f>157.4694</f>
        <v>157.46940000000001</v>
      </c>
    </row>
    <row r="200" spans="1:10" ht="15" x14ac:dyDescent="0.2">
      <c r="A200" s="16">
        <v>46997</v>
      </c>
      <c r="B200" s="10">
        <f>23.7182 * CHOOSE(CONTROL!$C$15, $E$9, 100%, $G$9) + CHOOSE(CONTROL!$C$38, 0.0278, 0)</f>
        <v>23.745999999999999</v>
      </c>
      <c r="C200" s="10">
        <f>21.736 * CHOOSE(CONTROL!$C$15, $E$9, 100%, $G$9) + CHOOSE(CONTROL!$C$38, 0.0369, 0)</f>
        <v>21.7729</v>
      </c>
      <c r="D200" s="10">
        <f>21.7282 * CHOOSE(CONTROL!$C$15, $E$9, 100%, $G$9) + CHOOSE(CONTROL!$C$38, 0.0369, 0)</f>
        <v>21.7651</v>
      </c>
      <c r="E200" s="28">
        <f>23.562 * CHOOSE(CONTROL!$C$15, $E$9, 100%, $G$9) + CHOOSE(CONTROL!$C$38, 0.0369, 0)</f>
        <v>23.5989</v>
      </c>
      <c r="F200" s="27">
        <f>23.562 * CHOOSE(CONTROL!$C$15, $E$9, 100%, $G$9) + CHOOSE(CONTROL!$C$38, 0.0278, 0)</f>
        <v>23.5898</v>
      </c>
      <c r="G200" s="10">
        <f>21.7345 * CHOOSE(CONTROL!$C$15, $E$9, 100%, $G$9) + CHOOSE(CONTROL!$C$38, 0.0369, 0)</f>
        <v>21.7714</v>
      </c>
      <c r="H200" s="10">
        <f>21.7345 * CHOOSE(CONTROL!$C$15, $E$9, 100%, $G$9) + CHOOSE(CONTROL!$C$38, 0.0369, 0)</f>
        <v>21.7714</v>
      </c>
      <c r="I200" s="10">
        <f>21.736 * CHOOSE(CONTROL!$C$15, $E$9, 100%, $G$9) + CHOOSE(CONTROL!$C$38, 0.0369, 0)</f>
        <v>21.7729</v>
      </c>
      <c r="J200" s="26">
        <f>152.2354</f>
        <v>152.2354</v>
      </c>
    </row>
    <row r="201" spans="1:10" ht="15" x14ac:dyDescent="0.2">
      <c r="A201" s="16">
        <v>47027</v>
      </c>
      <c r="B201" s="10">
        <f>23.9501 * CHOOSE(CONTROL!$C$15, $E$9, 100%, $G$9) + CHOOSE(CONTROL!$C$38, 0.0256, 0)</f>
        <v>23.9757</v>
      </c>
      <c r="C201" s="10">
        <f>21.9679 * CHOOSE(CONTROL!$C$15, $E$9, 100%, $G$9) + CHOOSE(CONTROL!$C$38, 0.0347, 0)</f>
        <v>22.002600000000001</v>
      </c>
      <c r="D201" s="10">
        <f>21.9601 * CHOOSE(CONTROL!$C$15, $E$9, 100%, $G$9) + CHOOSE(CONTROL!$C$38, 0.0347, 0)</f>
        <v>21.994800000000001</v>
      </c>
      <c r="E201" s="28">
        <f>23.7938 * CHOOSE(CONTROL!$C$15, $E$9, 100%, $G$9) + CHOOSE(CONTROL!$C$38, 0.0347, 0)</f>
        <v>23.828500000000002</v>
      </c>
      <c r="F201" s="27">
        <f>23.7938 * CHOOSE(CONTROL!$C$15, $E$9, 100%, $G$9) + CHOOSE(CONTROL!$C$38, 0.0256, 0)</f>
        <v>23.819400000000002</v>
      </c>
      <c r="G201" s="10">
        <f>21.9663 * CHOOSE(CONTROL!$C$15, $E$9, 100%, $G$9) + CHOOSE(CONTROL!$C$38, 0.0347, 0)</f>
        <v>22.001000000000001</v>
      </c>
      <c r="H201" s="10">
        <f>21.9663 * CHOOSE(CONTROL!$C$15, $E$9, 100%, $G$9) + CHOOSE(CONTROL!$C$38, 0.0347, 0)</f>
        <v>22.001000000000001</v>
      </c>
      <c r="I201" s="10">
        <f>21.9679 * CHOOSE(CONTROL!$C$15, $E$9, 100%, $G$9) + CHOOSE(CONTROL!$C$38, 0.0347, 0)</f>
        <v>22.002600000000001</v>
      </c>
      <c r="J201" s="26">
        <f>146.9709</f>
        <v>146.9709</v>
      </c>
    </row>
    <row r="202" spans="1:10" ht="15" x14ac:dyDescent="0.2">
      <c r="A202" s="16">
        <v>47058</v>
      </c>
      <c r="B202" s="10">
        <f>24.1435 * CHOOSE(CONTROL!$C$15, $E$9, 100%, $G$9) + CHOOSE(CONTROL!$C$38, 0.0256, 0)</f>
        <v>24.1691</v>
      </c>
      <c r="C202" s="10">
        <f>22.1613 * CHOOSE(CONTROL!$C$15, $E$9, 100%, $G$9) + CHOOSE(CONTROL!$C$38, 0.0347, 0)</f>
        <v>22.196000000000002</v>
      </c>
      <c r="D202" s="10">
        <f>22.1535 * CHOOSE(CONTROL!$C$15, $E$9, 100%, $G$9) + CHOOSE(CONTROL!$C$38, 0.0347, 0)</f>
        <v>22.188200000000002</v>
      </c>
      <c r="E202" s="28">
        <f>23.9873 * CHOOSE(CONTROL!$C$15, $E$9, 100%, $G$9) + CHOOSE(CONTROL!$C$38, 0.0347, 0)</f>
        <v>24.022000000000002</v>
      </c>
      <c r="F202" s="27">
        <f>23.9873 * CHOOSE(CONTROL!$C$15, $E$9, 100%, $G$9) + CHOOSE(CONTROL!$C$38, 0.0256, 0)</f>
        <v>24.012900000000002</v>
      </c>
      <c r="G202" s="10">
        <f>22.1597 * CHOOSE(CONTROL!$C$15, $E$9, 100%, $G$9) + CHOOSE(CONTROL!$C$38, 0.0347, 0)</f>
        <v>22.194400000000002</v>
      </c>
      <c r="H202" s="10">
        <f>22.1597 * CHOOSE(CONTROL!$C$15, $E$9, 100%, $G$9) + CHOOSE(CONTROL!$C$38, 0.0347, 0)</f>
        <v>22.194400000000002</v>
      </c>
      <c r="I202" s="10">
        <f>22.1613 * CHOOSE(CONTROL!$C$15, $E$9, 100%, $G$9) + CHOOSE(CONTROL!$C$38, 0.0347, 0)</f>
        <v>22.196000000000002</v>
      </c>
      <c r="J202" s="26">
        <f>145.9237</f>
        <v>145.9237</v>
      </c>
    </row>
    <row r="203" spans="1:10" ht="15" x14ac:dyDescent="0.2">
      <c r="A203" s="16">
        <v>47088</v>
      </c>
      <c r="B203" s="10">
        <f>24.7396 * CHOOSE(CONTROL!$C$15, $E$9, 100%, $G$9) + CHOOSE(CONTROL!$C$38, 0.0256, 0)</f>
        <v>24.7652</v>
      </c>
      <c r="C203" s="10">
        <f>22.7574 * CHOOSE(CONTROL!$C$15, $E$9, 100%, $G$9) + CHOOSE(CONTROL!$C$38, 0.0347, 0)</f>
        <v>22.792100000000001</v>
      </c>
      <c r="D203" s="10">
        <f>22.7496 * CHOOSE(CONTROL!$C$15, $E$9, 100%, $G$9) + CHOOSE(CONTROL!$C$38, 0.0347, 0)</f>
        <v>22.784300000000002</v>
      </c>
      <c r="E203" s="28">
        <f>24.5833 * CHOOSE(CONTROL!$C$15, $E$9, 100%, $G$9) + CHOOSE(CONTROL!$C$38, 0.0347, 0)</f>
        <v>24.618000000000002</v>
      </c>
      <c r="F203" s="27">
        <f>24.5833 * CHOOSE(CONTROL!$C$15, $E$9, 100%, $G$9) + CHOOSE(CONTROL!$C$38, 0.0256, 0)</f>
        <v>24.608900000000002</v>
      </c>
      <c r="G203" s="10">
        <f>22.7558 * CHOOSE(CONTROL!$C$15, $E$9, 100%, $G$9) + CHOOSE(CONTROL!$C$38, 0.0347, 0)</f>
        <v>22.790500000000002</v>
      </c>
      <c r="H203" s="10">
        <f>22.7558 * CHOOSE(CONTROL!$C$15, $E$9, 100%, $G$9) + CHOOSE(CONTROL!$C$38, 0.0347, 0)</f>
        <v>22.790500000000002</v>
      </c>
      <c r="I203" s="10">
        <f>22.7574 * CHOOSE(CONTROL!$C$15, $E$9, 100%, $G$9) + CHOOSE(CONTROL!$C$38, 0.0347, 0)</f>
        <v>22.792100000000001</v>
      </c>
      <c r="J203" s="26">
        <f>141.5934</f>
        <v>141.5934</v>
      </c>
    </row>
    <row r="204" spans="1:10" ht="15" x14ac:dyDescent="0.2">
      <c r="A204" s="16">
        <v>47119</v>
      </c>
      <c r="B204" s="10">
        <f>25.6742 * CHOOSE(CONTROL!$C$15, $E$9, 100%, $G$9) + CHOOSE(CONTROL!$C$38, 0.0256, 0)</f>
        <v>25.6998</v>
      </c>
      <c r="C204" s="10">
        <f>23.6806 * CHOOSE(CONTROL!$C$15, $E$9, 100%, $G$9) + CHOOSE(CONTROL!$C$38, 0.0347, 0)</f>
        <v>23.715299999999999</v>
      </c>
      <c r="D204" s="10">
        <f>23.6728 * CHOOSE(CONTROL!$C$15, $E$9, 100%, $G$9) + CHOOSE(CONTROL!$C$38, 0.0347, 0)</f>
        <v>23.7075</v>
      </c>
      <c r="E204" s="28">
        <f>25.5179 * CHOOSE(CONTROL!$C$15, $E$9, 100%, $G$9) + CHOOSE(CONTROL!$C$38, 0.0347, 0)</f>
        <v>25.552600000000002</v>
      </c>
      <c r="F204" s="27">
        <f>25.5179 * CHOOSE(CONTROL!$C$15, $E$9, 100%, $G$9) + CHOOSE(CONTROL!$C$38, 0.0256, 0)</f>
        <v>25.543500000000002</v>
      </c>
      <c r="G204" s="10">
        <f>23.6791 * CHOOSE(CONTROL!$C$15, $E$9, 100%, $G$9) + CHOOSE(CONTROL!$C$38, 0.0347, 0)</f>
        <v>23.713799999999999</v>
      </c>
      <c r="H204" s="10">
        <f>23.6791 * CHOOSE(CONTROL!$C$15, $E$9, 100%, $G$9) + CHOOSE(CONTROL!$C$38, 0.0347, 0)</f>
        <v>23.713799999999999</v>
      </c>
      <c r="I204" s="10">
        <f>23.6806 * CHOOSE(CONTROL!$C$15, $E$9, 100%, $G$9) + CHOOSE(CONTROL!$C$38, 0.0347, 0)</f>
        <v>23.715299999999999</v>
      </c>
      <c r="J204" s="26">
        <f>140.9863</f>
        <v>140.9863</v>
      </c>
    </row>
    <row r="205" spans="1:10" ht="15" x14ac:dyDescent="0.2">
      <c r="A205" s="16">
        <v>47150</v>
      </c>
      <c r="B205" s="10">
        <f>25.8949 * CHOOSE(CONTROL!$C$15, $E$9, 100%, $G$9) + CHOOSE(CONTROL!$C$38, 0.0256, 0)</f>
        <v>25.920500000000001</v>
      </c>
      <c r="C205" s="10">
        <f>23.9014 * CHOOSE(CONTROL!$C$15, $E$9, 100%, $G$9) + CHOOSE(CONTROL!$C$38, 0.0347, 0)</f>
        <v>23.9361</v>
      </c>
      <c r="D205" s="10">
        <f>23.8936 * CHOOSE(CONTROL!$C$15, $E$9, 100%, $G$9) + CHOOSE(CONTROL!$C$38, 0.0347, 0)</f>
        <v>23.9283</v>
      </c>
      <c r="E205" s="28">
        <f>25.7387 * CHOOSE(CONTROL!$C$15, $E$9, 100%, $G$9) + CHOOSE(CONTROL!$C$38, 0.0347, 0)</f>
        <v>25.773400000000002</v>
      </c>
      <c r="F205" s="27">
        <f>25.7387 * CHOOSE(CONTROL!$C$15, $E$9, 100%, $G$9) + CHOOSE(CONTROL!$C$38, 0.0256, 0)</f>
        <v>25.764300000000002</v>
      </c>
      <c r="G205" s="10">
        <f>23.8998 * CHOOSE(CONTROL!$C$15, $E$9, 100%, $G$9) + CHOOSE(CONTROL!$C$38, 0.0347, 0)</f>
        <v>23.9345</v>
      </c>
      <c r="H205" s="10">
        <f>23.8998 * CHOOSE(CONTROL!$C$15, $E$9, 100%, $G$9) + CHOOSE(CONTROL!$C$38, 0.0347, 0)</f>
        <v>23.9345</v>
      </c>
      <c r="I205" s="10">
        <f>23.9014 * CHOOSE(CONTROL!$C$15, $E$9, 100%, $G$9) + CHOOSE(CONTROL!$C$38, 0.0347, 0)</f>
        <v>23.9361</v>
      </c>
      <c r="J205" s="26">
        <f>140.5944</f>
        <v>140.59440000000001</v>
      </c>
    </row>
    <row r="206" spans="1:10" ht="15" x14ac:dyDescent="0.2">
      <c r="A206" s="16">
        <v>47178</v>
      </c>
      <c r="B206" s="10">
        <f>25.3839 * CHOOSE(CONTROL!$C$15, $E$9, 100%, $G$9) + CHOOSE(CONTROL!$C$38, 0.0256, 0)</f>
        <v>25.409500000000001</v>
      </c>
      <c r="C206" s="10">
        <f>23.3904 * CHOOSE(CONTROL!$C$15, $E$9, 100%, $G$9) + CHOOSE(CONTROL!$C$38, 0.0347, 0)</f>
        <v>23.4251</v>
      </c>
      <c r="D206" s="10">
        <f>23.3826 * CHOOSE(CONTROL!$C$15, $E$9, 100%, $G$9) + CHOOSE(CONTROL!$C$38, 0.0347, 0)</f>
        <v>23.417300000000001</v>
      </c>
      <c r="E206" s="28">
        <f>25.2276 * CHOOSE(CONTROL!$C$15, $E$9, 100%, $G$9) + CHOOSE(CONTROL!$C$38, 0.0347, 0)</f>
        <v>25.2623</v>
      </c>
      <c r="F206" s="27">
        <f>25.2276 * CHOOSE(CONTROL!$C$15, $E$9, 100%, $G$9) + CHOOSE(CONTROL!$C$38, 0.0256, 0)</f>
        <v>25.2532</v>
      </c>
      <c r="G206" s="10">
        <f>23.3888 * CHOOSE(CONTROL!$C$15, $E$9, 100%, $G$9) + CHOOSE(CONTROL!$C$38, 0.0347, 0)</f>
        <v>23.423500000000001</v>
      </c>
      <c r="H206" s="10">
        <f>23.3888 * CHOOSE(CONTROL!$C$15, $E$9, 100%, $G$9) + CHOOSE(CONTROL!$C$38, 0.0347, 0)</f>
        <v>23.423500000000001</v>
      </c>
      <c r="I206" s="10">
        <f>23.3904 * CHOOSE(CONTROL!$C$15, $E$9, 100%, $G$9) + CHOOSE(CONTROL!$C$38, 0.0347, 0)</f>
        <v>23.4251</v>
      </c>
      <c r="J206" s="26">
        <f>148.0045</f>
        <v>148.00450000000001</v>
      </c>
    </row>
    <row r="207" spans="1:10" ht="15" x14ac:dyDescent="0.2">
      <c r="A207" s="16">
        <v>47209</v>
      </c>
      <c r="B207" s="10">
        <f>24.8887 * CHOOSE(CONTROL!$C$15, $E$9, 100%, $G$9) + CHOOSE(CONTROL!$C$38, 0.0256, 0)</f>
        <v>24.914300000000001</v>
      </c>
      <c r="C207" s="10">
        <f>22.8952 * CHOOSE(CONTROL!$C$15, $E$9, 100%, $G$9) + CHOOSE(CONTROL!$C$38, 0.0347, 0)</f>
        <v>22.9299</v>
      </c>
      <c r="D207" s="10">
        <f>22.8874 * CHOOSE(CONTROL!$C$15, $E$9, 100%, $G$9) + CHOOSE(CONTROL!$C$38, 0.0347, 0)</f>
        <v>22.9221</v>
      </c>
      <c r="E207" s="28">
        <f>24.7325 * CHOOSE(CONTROL!$C$15, $E$9, 100%, $G$9) + CHOOSE(CONTROL!$C$38, 0.0347, 0)</f>
        <v>24.767200000000003</v>
      </c>
      <c r="F207" s="27">
        <f>24.7325 * CHOOSE(CONTROL!$C$15, $E$9, 100%, $G$9) + CHOOSE(CONTROL!$C$38, 0.0256, 0)</f>
        <v>24.758100000000002</v>
      </c>
      <c r="G207" s="10">
        <f>22.8936 * CHOOSE(CONTROL!$C$15, $E$9, 100%, $G$9) + CHOOSE(CONTROL!$C$38, 0.0347, 0)</f>
        <v>22.9283</v>
      </c>
      <c r="H207" s="10">
        <f>22.8936 * CHOOSE(CONTROL!$C$15, $E$9, 100%, $G$9) + CHOOSE(CONTROL!$C$38, 0.0347, 0)</f>
        <v>22.9283</v>
      </c>
      <c r="I207" s="10">
        <f>22.8952 * CHOOSE(CONTROL!$C$15, $E$9, 100%, $G$9) + CHOOSE(CONTROL!$C$38, 0.0347, 0)</f>
        <v>22.9299</v>
      </c>
      <c r="J207" s="26">
        <f>157.6137</f>
        <v>157.61369999999999</v>
      </c>
    </row>
    <row r="208" spans="1:10" ht="15" x14ac:dyDescent="0.2">
      <c r="A208" s="16">
        <v>47239</v>
      </c>
      <c r="B208" s="10">
        <f>24.3726 * CHOOSE(CONTROL!$C$15, $E$9, 100%, $G$9) + CHOOSE(CONTROL!$C$38, 0.0278, 0)</f>
        <v>24.400399999999998</v>
      </c>
      <c r="C208" s="10">
        <f>22.3791 * CHOOSE(CONTROL!$C$15, $E$9, 100%, $G$9) + CHOOSE(CONTROL!$C$38, 0.0369, 0)</f>
        <v>22.416</v>
      </c>
      <c r="D208" s="10">
        <f>22.3713 * CHOOSE(CONTROL!$C$15, $E$9, 100%, $G$9) + CHOOSE(CONTROL!$C$38, 0.0369, 0)</f>
        <v>22.408200000000001</v>
      </c>
      <c r="E208" s="28">
        <f>24.2163 * CHOOSE(CONTROL!$C$15, $E$9, 100%, $G$9) + CHOOSE(CONTROL!$C$38, 0.0369, 0)</f>
        <v>24.2532</v>
      </c>
      <c r="F208" s="27">
        <f>24.2163 * CHOOSE(CONTROL!$C$15, $E$9, 100%, $G$9) + CHOOSE(CONTROL!$C$38, 0.0278, 0)</f>
        <v>24.2441</v>
      </c>
      <c r="G208" s="10">
        <f>22.3775 * CHOOSE(CONTROL!$C$15, $E$9, 100%, $G$9) + CHOOSE(CONTROL!$C$38, 0.0369, 0)</f>
        <v>22.414400000000001</v>
      </c>
      <c r="H208" s="10">
        <f>22.3775 * CHOOSE(CONTROL!$C$15, $E$9, 100%, $G$9) + CHOOSE(CONTROL!$C$38, 0.0369, 0)</f>
        <v>22.414400000000001</v>
      </c>
      <c r="I208" s="10">
        <f>22.3791 * CHOOSE(CONTROL!$C$15, $E$9, 100%, $G$9) + CHOOSE(CONTROL!$C$38, 0.0369, 0)</f>
        <v>22.416</v>
      </c>
      <c r="J208" s="26">
        <f>162.9029</f>
        <v>162.90289999999999</v>
      </c>
    </row>
    <row r="209" spans="1:10" ht="15" x14ac:dyDescent="0.2">
      <c r="A209" s="16">
        <v>47270</v>
      </c>
      <c r="B209" s="10">
        <f>24.0108 * CHOOSE(CONTROL!$C$15, $E$9, 100%, $G$9) + CHOOSE(CONTROL!$C$38, 0.0278, 0)</f>
        <v>24.038599999999999</v>
      </c>
      <c r="C209" s="10">
        <f>22.0172 * CHOOSE(CONTROL!$C$15, $E$9, 100%, $G$9) + CHOOSE(CONTROL!$C$38, 0.0369, 0)</f>
        <v>22.054099999999998</v>
      </c>
      <c r="D209" s="10">
        <f>22.0094 * CHOOSE(CONTROL!$C$15, $E$9, 100%, $G$9) + CHOOSE(CONTROL!$C$38, 0.0369, 0)</f>
        <v>22.046299999999999</v>
      </c>
      <c r="E209" s="28">
        <f>23.8545 * CHOOSE(CONTROL!$C$15, $E$9, 100%, $G$9) + CHOOSE(CONTROL!$C$38, 0.0369, 0)</f>
        <v>23.891400000000001</v>
      </c>
      <c r="F209" s="27">
        <f>23.8545 * CHOOSE(CONTROL!$C$15, $E$9, 100%, $G$9) + CHOOSE(CONTROL!$C$38, 0.0278, 0)</f>
        <v>23.882300000000001</v>
      </c>
      <c r="G209" s="10">
        <f>22.0157 * CHOOSE(CONTROL!$C$15, $E$9, 100%, $G$9) + CHOOSE(CONTROL!$C$38, 0.0369, 0)</f>
        <v>22.052599999999998</v>
      </c>
      <c r="H209" s="10">
        <f>22.0157 * CHOOSE(CONTROL!$C$15, $E$9, 100%, $G$9) + CHOOSE(CONTROL!$C$38, 0.0369, 0)</f>
        <v>22.052599999999998</v>
      </c>
      <c r="I209" s="10">
        <f>22.0172 * CHOOSE(CONTROL!$C$15, $E$9, 100%, $G$9) + CHOOSE(CONTROL!$C$38, 0.0369, 0)</f>
        <v>22.054099999999998</v>
      </c>
      <c r="J209" s="26">
        <f>165.2502</f>
        <v>165.25020000000001</v>
      </c>
    </row>
    <row r="210" spans="1:10" ht="15" x14ac:dyDescent="0.2">
      <c r="A210" s="16">
        <v>47300</v>
      </c>
      <c r="B210" s="10">
        <f>23.8043 * CHOOSE(CONTROL!$C$15, $E$9, 100%, $G$9) + CHOOSE(CONTROL!$C$38, 0.0278, 0)</f>
        <v>23.832100000000001</v>
      </c>
      <c r="C210" s="10">
        <f>21.8107 * CHOOSE(CONTROL!$C$15, $E$9, 100%, $G$9) + CHOOSE(CONTROL!$C$38, 0.0369, 0)</f>
        <v>21.8476</v>
      </c>
      <c r="D210" s="10">
        <f>21.8029 * CHOOSE(CONTROL!$C$15, $E$9, 100%, $G$9) + CHOOSE(CONTROL!$C$38, 0.0369, 0)</f>
        <v>21.8398</v>
      </c>
      <c r="E210" s="28">
        <f>23.648 * CHOOSE(CONTROL!$C$15, $E$9, 100%, $G$9) + CHOOSE(CONTROL!$C$38, 0.0369, 0)</f>
        <v>23.684899999999999</v>
      </c>
      <c r="F210" s="27">
        <f>23.648 * CHOOSE(CONTROL!$C$15, $E$9, 100%, $G$9) + CHOOSE(CONTROL!$C$38, 0.0278, 0)</f>
        <v>23.675799999999999</v>
      </c>
      <c r="G210" s="10">
        <f>21.8092 * CHOOSE(CONTROL!$C$15, $E$9, 100%, $G$9) + CHOOSE(CONTROL!$C$38, 0.0369, 0)</f>
        <v>21.8461</v>
      </c>
      <c r="H210" s="10">
        <f>21.8092 * CHOOSE(CONTROL!$C$15, $E$9, 100%, $G$9) + CHOOSE(CONTROL!$C$38, 0.0369, 0)</f>
        <v>21.8461</v>
      </c>
      <c r="I210" s="10">
        <f>21.8107 * CHOOSE(CONTROL!$C$15, $E$9, 100%, $G$9) + CHOOSE(CONTROL!$C$38, 0.0369, 0)</f>
        <v>21.8476</v>
      </c>
      <c r="J210" s="26">
        <f>164.4773</f>
        <v>164.47730000000001</v>
      </c>
    </row>
    <row r="211" spans="1:10" ht="15" x14ac:dyDescent="0.2">
      <c r="A211" s="16">
        <v>47331</v>
      </c>
      <c r="B211" s="10">
        <f>23.9062 * CHOOSE(CONTROL!$C$15, $E$9, 100%, $G$9) + CHOOSE(CONTROL!$C$38, 0.0278, 0)</f>
        <v>23.933999999999997</v>
      </c>
      <c r="C211" s="10">
        <f>21.9127 * CHOOSE(CONTROL!$C$15, $E$9, 100%, $G$9) + CHOOSE(CONTROL!$C$38, 0.0369, 0)</f>
        <v>21.9496</v>
      </c>
      <c r="D211" s="10">
        <f>21.9048 * CHOOSE(CONTROL!$C$15, $E$9, 100%, $G$9) + CHOOSE(CONTROL!$C$38, 0.0369, 0)</f>
        <v>21.941700000000001</v>
      </c>
      <c r="E211" s="28">
        <f>23.7499 * CHOOSE(CONTROL!$C$15, $E$9, 100%, $G$9) + CHOOSE(CONTROL!$C$38, 0.0369, 0)</f>
        <v>23.786799999999999</v>
      </c>
      <c r="F211" s="27">
        <f>23.7499 * CHOOSE(CONTROL!$C$15, $E$9, 100%, $G$9) + CHOOSE(CONTROL!$C$38, 0.0278, 0)</f>
        <v>23.777699999999999</v>
      </c>
      <c r="G211" s="10">
        <f>21.9111 * CHOOSE(CONTROL!$C$15, $E$9, 100%, $G$9) + CHOOSE(CONTROL!$C$38, 0.0369, 0)</f>
        <v>21.948</v>
      </c>
      <c r="H211" s="10">
        <f>21.9111 * CHOOSE(CONTROL!$C$15, $E$9, 100%, $G$9) + CHOOSE(CONTROL!$C$38, 0.0369, 0)</f>
        <v>21.948</v>
      </c>
      <c r="I211" s="10">
        <f>21.9127 * CHOOSE(CONTROL!$C$15, $E$9, 100%, $G$9) + CHOOSE(CONTROL!$C$38, 0.0369, 0)</f>
        <v>21.9496</v>
      </c>
      <c r="J211" s="26">
        <f>160.6484</f>
        <v>160.64840000000001</v>
      </c>
    </row>
    <row r="212" spans="1:10" ht="15" x14ac:dyDescent="0.2">
      <c r="A212" s="16">
        <v>47362</v>
      </c>
      <c r="B212" s="10">
        <f>24.183 * CHOOSE(CONTROL!$C$15, $E$9, 100%, $G$9) + CHOOSE(CONTROL!$C$38, 0.0278, 0)</f>
        <v>24.210799999999999</v>
      </c>
      <c r="C212" s="10">
        <f>22.1895 * CHOOSE(CONTROL!$C$15, $E$9, 100%, $G$9) + CHOOSE(CONTROL!$C$38, 0.0369, 0)</f>
        <v>22.226399999999998</v>
      </c>
      <c r="D212" s="10">
        <f>22.1816 * CHOOSE(CONTROL!$C$15, $E$9, 100%, $G$9) + CHOOSE(CONTROL!$C$38, 0.0369, 0)</f>
        <v>22.218499999999999</v>
      </c>
      <c r="E212" s="28">
        <f>24.0267 * CHOOSE(CONTROL!$C$15, $E$9, 100%, $G$9) + CHOOSE(CONTROL!$C$38, 0.0369, 0)</f>
        <v>24.063600000000001</v>
      </c>
      <c r="F212" s="27">
        <f>24.0267 * CHOOSE(CONTROL!$C$15, $E$9, 100%, $G$9) + CHOOSE(CONTROL!$C$38, 0.0278, 0)</f>
        <v>24.054500000000001</v>
      </c>
      <c r="G212" s="10">
        <f>22.1879 * CHOOSE(CONTROL!$C$15, $E$9, 100%, $G$9) + CHOOSE(CONTROL!$C$38, 0.0369, 0)</f>
        <v>22.224799999999998</v>
      </c>
      <c r="H212" s="10">
        <f>22.1879 * CHOOSE(CONTROL!$C$15, $E$9, 100%, $G$9) + CHOOSE(CONTROL!$C$38, 0.0369, 0)</f>
        <v>22.224799999999998</v>
      </c>
      <c r="I212" s="10">
        <f>22.1895 * CHOOSE(CONTROL!$C$15, $E$9, 100%, $G$9) + CHOOSE(CONTROL!$C$38, 0.0369, 0)</f>
        <v>22.226399999999998</v>
      </c>
      <c r="J212" s="26">
        <f>155.3087</f>
        <v>155.30869999999999</v>
      </c>
    </row>
    <row r="213" spans="1:10" ht="15" x14ac:dyDescent="0.2">
      <c r="A213" s="16">
        <v>47392</v>
      </c>
      <c r="B213" s="10">
        <f>24.4148 * CHOOSE(CONTROL!$C$15, $E$9, 100%, $G$9) + CHOOSE(CONTROL!$C$38, 0.0256, 0)</f>
        <v>24.4404</v>
      </c>
      <c r="C213" s="10">
        <f>22.4213 * CHOOSE(CONTROL!$C$15, $E$9, 100%, $G$9) + CHOOSE(CONTROL!$C$38, 0.0347, 0)</f>
        <v>22.456</v>
      </c>
      <c r="D213" s="10">
        <f>22.4135 * CHOOSE(CONTROL!$C$15, $E$9, 100%, $G$9) + CHOOSE(CONTROL!$C$38, 0.0347, 0)</f>
        <v>22.4482</v>
      </c>
      <c r="E213" s="28">
        <f>24.2586 * CHOOSE(CONTROL!$C$15, $E$9, 100%, $G$9) + CHOOSE(CONTROL!$C$38, 0.0347, 0)</f>
        <v>24.293300000000002</v>
      </c>
      <c r="F213" s="27">
        <f>24.2586 * CHOOSE(CONTROL!$C$15, $E$9, 100%, $G$9) + CHOOSE(CONTROL!$C$38, 0.0256, 0)</f>
        <v>24.284200000000002</v>
      </c>
      <c r="G213" s="10">
        <f>22.4197 * CHOOSE(CONTROL!$C$15, $E$9, 100%, $G$9) + CHOOSE(CONTROL!$C$38, 0.0347, 0)</f>
        <v>22.4544</v>
      </c>
      <c r="H213" s="10">
        <f>22.4197 * CHOOSE(CONTROL!$C$15, $E$9, 100%, $G$9) + CHOOSE(CONTROL!$C$38, 0.0347, 0)</f>
        <v>22.4544</v>
      </c>
      <c r="I213" s="10">
        <f>22.4213 * CHOOSE(CONTROL!$C$15, $E$9, 100%, $G$9) + CHOOSE(CONTROL!$C$38, 0.0347, 0)</f>
        <v>22.456</v>
      </c>
      <c r="J213" s="26">
        <f>149.938</f>
        <v>149.93799999999999</v>
      </c>
    </row>
    <row r="214" spans="1:10" ht="15" x14ac:dyDescent="0.2">
      <c r="A214" s="16">
        <v>47423</v>
      </c>
      <c r="B214" s="10">
        <f>24.6082 * CHOOSE(CONTROL!$C$15, $E$9, 100%, $G$9) + CHOOSE(CONTROL!$C$38, 0.0256, 0)</f>
        <v>24.633800000000001</v>
      </c>
      <c r="C214" s="10">
        <f>22.6147 * CHOOSE(CONTROL!$C$15, $E$9, 100%, $G$9) + CHOOSE(CONTROL!$C$38, 0.0347, 0)</f>
        <v>22.6494</v>
      </c>
      <c r="D214" s="10">
        <f>22.6069 * CHOOSE(CONTROL!$C$15, $E$9, 100%, $G$9) + CHOOSE(CONTROL!$C$38, 0.0347, 0)</f>
        <v>22.6416</v>
      </c>
      <c r="E214" s="28">
        <f>24.452 * CHOOSE(CONTROL!$C$15, $E$9, 100%, $G$9) + CHOOSE(CONTROL!$C$38, 0.0347, 0)</f>
        <v>24.486700000000003</v>
      </c>
      <c r="F214" s="27">
        <f>24.452 * CHOOSE(CONTROL!$C$15, $E$9, 100%, $G$9) + CHOOSE(CONTROL!$C$38, 0.0256, 0)</f>
        <v>24.477600000000002</v>
      </c>
      <c r="G214" s="10">
        <f>22.6132 * CHOOSE(CONTROL!$C$15, $E$9, 100%, $G$9) + CHOOSE(CONTROL!$C$38, 0.0347, 0)</f>
        <v>22.6479</v>
      </c>
      <c r="H214" s="10">
        <f>22.6132 * CHOOSE(CONTROL!$C$15, $E$9, 100%, $G$9) + CHOOSE(CONTROL!$C$38, 0.0347, 0)</f>
        <v>22.6479</v>
      </c>
      <c r="I214" s="10">
        <f>22.6147 * CHOOSE(CONTROL!$C$15, $E$9, 100%, $G$9) + CHOOSE(CONTROL!$C$38, 0.0347, 0)</f>
        <v>22.6494</v>
      </c>
      <c r="J214" s="26">
        <f>148.8696</f>
        <v>148.86959999999999</v>
      </c>
    </row>
    <row r="215" spans="1:10" ht="15" x14ac:dyDescent="0.2">
      <c r="A215" s="16">
        <v>47453</v>
      </c>
      <c r="B215" s="10">
        <f>25.2043 * CHOOSE(CONTROL!$C$15, $E$9, 100%, $G$9) + CHOOSE(CONTROL!$C$38, 0.0256, 0)</f>
        <v>25.229900000000001</v>
      </c>
      <c r="C215" s="10">
        <f>23.2108 * CHOOSE(CONTROL!$C$15, $E$9, 100%, $G$9) + CHOOSE(CONTROL!$C$38, 0.0347, 0)</f>
        <v>23.2455</v>
      </c>
      <c r="D215" s="10">
        <f>23.203 * CHOOSE(CONTROL!$C$15, $E$9, 100%, $G$9) + CHOOSE(CONTROL!$C$38, 0.0347, 0)</f>
        <v>23.2377</v>
      </c>
      <c r="E215" s="28">
        <f>25.0481 * CHOOSE(CONTROL!$C$15, $E$9, 100%, $G$9) + CHOOSE(CONTROL!$C$38, 0.0347, 0)</f>
        <v>25.082800000000002</v>
      </c>
      <c r="F215" s="27">
        <f>25.0481 * CHOOSE(CONTROL!$C$15, $E$9, 100%, $G$9) + CHOOSE(CONTROL!$C$38, 0.0256, 0)</f>
        <v>25.073700000000002</v>
      </c>
      <c r="G215" s="10">
        <f>23.2092 * CHOOSE(CONTROL!$C$15, $E$9, 100%, $G$9) + CHOOSE(CONTROL!$C$38, 0.0347, 0)</f>
        <v>23.2439</v>
      </c>
      <c r="H215" s="10">
        <f>23.2092 * CHOOSE(CONTROL!$C$15, $E$9, 100%, $G$9) + CHOOSE(CONTROL!$C$38, 0.0347, 0)</f>
        <v>23.2439</v>
      </c>
      <c r="I215" s="10">
        <f>23.2108 * CHOOSE(CONTROL!$C$15, $E$9, 100%, $G$9) + CHOOSE(CONTROL!$C$38, 0.0347, 0)</f>
        <v>23.2455</v>
      </c>
      <c r="J215" s="26">
        <f>144.4519</f>
        <v>144.45189999999999</v>
      </c>
    </row>
    <row r="216" spans="1:10" ht="15" x14ac:dyDescent="0.2">
      <c r="A216" s="16">
        <v>47484</v>
      </c>
      <c r="B216" s="10">
        <f>26.149 * CHOOSE(CONTROL!$C$15, $E$9, 100%, $G$9) + CHOOSE(CONTROL!$C$38, 0.0256, 0)</f>
        <v>26.174600000000002</v>
      </c>
      <c r="C216" s="10">
        <f>24.1439 * CHOOSE(CONTROL!$C$15, $E$9, 100%, $G$9) + CHOOSE(CONTROL!$C$38, 0.0347, 0)</f>
        <v>24.178599999999999</v>
      </c>
      <c r="D216" s="10">
        <f>24.1361 * CHOOSE(CONTROL!$C$15, $E$9, 100%, $G$9) + CHOOSE(CONTROL!$C$38, 0.0347, 0)</f>
        <v>24.1708</v>
      </c>
      <c r="E216" s="28">
        <f>25.9927 * CHOOSE(CONTROL!$C$15, $E$9, 100%, $G$9) + CHOOSE(CONTROL!$C$38, 0.0347, 0)</f>
        <v>26.0274</v>
      </c>
      <c r="F216" s="27">
        <f>25.9927 * CHOOSE(CONTROL!$C$15, $E$9, 100%, $G$9) + CHOOSE(CONTROL!$C$38, 0.0256, 0)</f>
        <v>26.0183</v>
      </c>
      <c r="G216" s="10">
        <f>24.1423 * CHOOSE(CONTROL!$C$15, $E$9, 100%, $G$9) + CHOOSE(CONTROL!$C$38, 0.0347, 0)</f>
        <v>24.177</v>
      </c>
      <c r="H216" s="10">
        <f>24.1423 * CHOOSE(CONTROL!$C$15, $E$9, 100%, $G$9) + CHOOSE(CONTROL!$C$38, 0.0347, 0)</f>
        <v>24.177</v>
      </c>
      <c r="I216" s="10">
        <f>24.1439 * CHOOSE(CONTROL!$C$15, $E$9, 100%, $G$9) + CHOOSE(CONTROL!$C$38, 0.0347, 0)</f>
        <v>24.178599999999999</v>
      </c>
      <c r="J216" s="26">
        <f>143.8324</f>
        <v>143.83240000000001</v>
      </c>
    </row>
    <row r="217" spans="1:10" ht="15" x14ac:dyDescent="0.2">
      <c r="A217" s="16">
        <v>47515</v>
      </c>
      <c r="B217" s="10">
        <f>26.3698 * CHOOSE(CONTROL!$C$15, $E$9, 100%, $G$9) + CHOOSE(CONTROL!$C$38, 0.0256, 0)</f>
        <v>26.395400000000002</v>
      </c>
      <c r="C217" s="10">
        <f>24.3647 * CHOOSE(CONTROL!$C$15, $E$9, 100%, $G$9) + CHOOSE(CONTROL!$C$38, 0.0347, 0)</f>
        <v>24.3994</v>
      </c>
      <c r="D217" s="10">
        <f>24.3568 * CHOOSE(CONTROL!$C$15, $E$9, 100%, $G$9) + CHOOSE(CONTROL!$C$38, 0.0347, 0)</f>
        <v>24.391500000000001</v>
      </c>
      <c r="E217" s="28">
        <f>26.2135 * CHOOSE(CONTROL!$C$15, $E$9, 100%, $G$9) + CHOOSE(CONTROL!$C$38, 0.0347, 0)</f>
        <v>26.248200000000001</v>
      </c>
      <c r="F217" s="27">
        <f>26.2135 * CHOOSE(CONTROL!$C$15, $E$9, 100%, $G$9) + CHOOSE(CONTROL!$C$38, 0.0256, 0)</f>
        <v>26.239100000000001</v>
      </c>
      <c r="G217" s="10">
        <f>24.3631 * CHOOSE(CONTROL!$C$15, $E$9, 100%, $G$9) + CHOOSE(CONTROL!$C$38, 0.0347, 0)</f>
        <v>24.3978</v>
      </c>
      <c r="H217" s="10">
        <f>24.3631 * CHOOSE(CONTROL!$C$15, $E$9, 100%, $G$9) + CHOOSE(CONTROL!$C$38, 0.0347, 0)</f>
        <v>24.3978</v>
      </c>
      <c r="I217" s="10">
        <f>24.3647 * CHOOSE(CONTROL!$C$15, $E$9, 100%, $G$9) + CHOOSE(CONTROL!$C$38, 0.0347, 0)</f>
        <v>24.3994</v>
      </c>
      <c r="J217" s="26">
        <f>143.4326</f>
        <v>143.43260000000001</v>
      </c>
    </row>
    <row r="218" spans="1:10" ht="15" x14ac:dyDescent="0.2">
      <c r="A218" s="16">
        <v>47543</v>
      </c>
      <c r="B218" s="10">
        <f>25.8587 * CHOOSE(CONTROL!$C$15, $E$9, 100%, $G$9) + CHOOSE(CONTROL!$C$38, 0.0256, 0)</f>
        <v>25.8843</v>
      </c>
      <c r="C218" s="10">
        <f>23.8536 * CHOOSE(CONTROL!$C$15, $E$9, 100%, $G$9) + CHOOSE(CONTROL!$C$38, 0.0347, 0)</f>
        <v>23.888300000000001</v>
      </c>
      <c r="D218" s="10">
        <f>23.8458 * CHOOSE(CONTROL!$C$15, $E$9, 100%, $G$9) + CHOOSE(CONTROL!$C$38, 0.0347, 0)</f>
        <v>23.880500000000001</v>
      </c>
      <c r="E218" s="28">
        <f>25.7025 * CHOOSE(CONTROL!$C$15, $E$9, 100%, $G$9) + CHOOSE(CONTROL!$C$38, 0.0347, 0)</f>
        <v>25.737200000000001</v>
      </c>
      <c r="F218" s="27">
        <f>25.7025 * CHOOSE(CONTROL!$C$15, $E$9, 100%, $G$9) + CHOOSE(CONTROL!$C$38, 0.0256, 0)</f>
        <v>25.728100000000001</v>
      </c>
      <c r="G218" s="10">
        <f>23.8521 * CHOOSE(CONTROL!$C$15, $E$9, 100%, $G$9) + CHOOSE(CONTROL!$C$38, 0.0347, 0)</f>
        <v>23.886800000000001</v>
      </c>
      <c r="H218" s="10">
        <f>23.8521 * CHOOSE(CONTROL!$C$15, $E$9, 100%, $G$9) + CHOOSE(CONTROL!$C$38, 0.0347, 0)</f>
        <v>23.886800000000001</v>
      </c>
      <c r="I218" s="10">
        <f>23.8536 * CHOOSE(CONTROL!$C$15, $E$9, 100%, $G$9) + CHOOSE(CONTROL!$C$38, 0.0347, 0)</f>
        <v>23.888300000000001</v>
      </c>
      <c r="J218" s="26">
        <f>150.9923</f>
        <v>150.9923</v>
      </c>
    </row>
    <row r="219" spans="1:10" ht="15" x14ac:dyDescent="0.2">
      <c r="A219" s="16">
        <v>47574</v>
      </c>
      <c r="B219" s="10">
        <f>25.3636 * CHOOSE(CONTROL!$C$15, $E$9, 100%, $G$9) + CHOOSE(CONTROL!$C$38, 0.0256, 0)</f>
        <v>25.389200000000002</v>
      </c>
      <c r="C219" s="10">
        <f>23.3584 * CHOOSE(CONTROL!$C$15, $E$9, 100%, $G$9) + CHOOSE(CONTROL!$C$38, 0.0347, 0)</f>
        <v>23.3931</v>
      </c>
      <c r="D219" s="10">
        <f>23.3506 * CHOOSE(CONTROL!$C$15, $E$9, 100%, $G$9) + CHOOSE(CONTROL!$C$38, 0.0347, 0)</f>
        <v>23.385300000000001</v>
      </c>
      <c r="E219" s="28">
        <f>25.2073 * CHOOSE(CONTROL!$C$15, $E$9, 100%, $G$9) + CHOOSE(CONTROL!$C$38, 0.0347, 0)</f>
        <v>25.242000000000001</v>
      </c>
      <c r="F219" s="27">
        <f>25.2073 * CHOOSE(CONTROL!$C$15, $E$9, 100%, $G$9) + CHOOSE(CONTROL!$C$38, 0.0256, 0)</f>
        <v>25.232900000000001</v>
      </c>
      <c r="G219" s="10">
        <f>23.3569 * CHOOSE(CONTROL!$C$15, $E$9, 100%, $G$9) + CHOOSE(CONTROL!$C$38, 0.0347, 0)</f>
        <v>23.3916</v>
      </c>
      <c r="H219" s="10">
        <f>23.3569 * CHOOSE(CONTROL!$C$15, $E$9, 100%, $G$9) + CHOOSE(CONTROL!$C$38, 0.0347, 0)</f>
        <v>23.3916</v>
      </c>
      <c r="I219" s="10">
        <f>23.3584 * CHOOSE(CONTROL!$C$15, $E$9, 100%, $G$9) + CHOOSE(CONTROL!$C$38, 0.0347, 0)</f>
        <v>23.3931</v>
      </c>
      <c r="J219" s="26">
        <f>160.7955</f>
        <v>160.7955</v>
      </c>
    </row>
    <row r="220" spans="1:10" ht="15" x14ac:dyDescent="0.2">
      <c r="A220" s="16">
        <v>47604</v>
      </c>
      <c r="B220" s="10">
        <f>24.8474 * CHOOSE(CONTROL!$C$15, $E$9, 100%, $G$9) + CHOOSE(CONTROL!$C$38, 0.0278, 0)</f>
        <v>24.8752</v>
      </c>
      <c r="C220" s="10">
        <f>22.8423 * CHOOSE(CONTROL!$C$15, $E$9, 100%, $G$9) + CHOOSE(CONTROL!$C$38, 0.0369, 0)</f>
        <v>22.879200000000001</v>
      </c>
      <c r="D220" s="10">
        <f>22.8345 * CHOOSE(CONTROL!$C$15, $E$9, 100%, $G$9) + CHOOSE(CONTROL!$C$38, 0.0369, 0)</f>
        <v>22.871399999999998</v>
      </c>
      <c r="E220" s="28">
        <f>24.6912 * CHOOSE(CONTROL!$C$15, $E$9, 100%, $G$9) + CHOOSE(CONTROL!$C$38, 0.0369, 0)</f>
        <v>24.728099999999998</v>
      </c>
      <c r="F220" s="27">
        <f>24.6912 * CHOOSE(CONTROL!$C$15, $E$9, 100%, $G$9) + CHOOSE(CONTROL!$C$38, 0.0278, 0)</f>
        <v>24.718999999999998</v>
      </c>
      <c r="G220" s="10">
        <f>22.8408 * CHOOSE(CONTROL!$C$15, $E$9, 100%, $G$9) + CHOOSE(CONTROL!$C$38, 0.0369, 0)</f>
        <v>22.877700000000001</v>
      </c>
      <c r="H220" s="10">
        <f>22.8408 * CHOOSE(CONTROL!$C$15, $E$9, 100%, $G$9) + CHOOSE(CONTROL!$C$38, 0.0369, 0)</f>
        <v>22.877700000000001</v>
      </c>
      <c r="I220" s="10">
        <f>22.8423 * CHOOSE(CONTROL!$C$15, $E$9, 100%, $G$9) + CHOOSE(CONTROL!$C$38, 0.0369, 0)</f>
        <v>22.879200000000001</v>
      </c>
      <c r="J220" s="26">
        <f>166.1915</f>
        <v>166.19149999999999</v>
      </c>
    </row>
    <row r="221" spans="1:10" ht="15" x14ac:dyDescent="0.2">
      <c r="A221" s="16">
        <v>47635</v>
      </c>
      <c r="B221" s="10">
        <f>24.4856 * CHOOSE(CONTROL!$C$15, $E$9, 100%, $G$9) + CHOOSE(CONTROL!$C$38, 0.0278, 0)</f>
        <v>24.513400000000001</v>
      </c>
      <c r="C221" s="10">
        <f>22.4805 * CHOOSE(CONTROL!$C$15, $E$9, 100%, $G$9) + CHOOSE(CONTROL!$C$38, 0.0369, 0)</f>
        <v>22.517399999999999</v>
      </c>
      <c r="D221" s="10">
        <f>22.4727 * CHOOSE(CONTROL!$C$15, $E$9, 100%, $G$9) + CHOOSE(CONTROL!$C$38, 0.0369, 0)</f>
        <v>22.509599999999999</v>
      </c>
      <c r="E221" s="28">
        <f>24.3294 * CHOOSE(CONTROL!$C$15, $E$9, 100%, $G$9) + CHOOSE(CONTROL!$C$38, 0.0369, 0)</f>
        <v>24.366299999999999</v>
      </c>
      <c r="F221" s="27">
        <f>24.3294 * CHOOSE(CONTROL!$C$15, $E$9, 100%, $G$9) + CHOOSE(CONTROL!$C$38, 0.0278, 0)</f>
        <v>24.357199999999999</v>
      </c>
      <c r="G221" s="10">
        <f>22.4789 * CHOOSE(CONTROL!$C$15, $E$9, 100%, $G$9) + CHOOSE(CONTROL!$C$38, 0.0369, 0)</f>
        <v>22.515799999999999</v>
      </c>
      <c r="H221" s="10">
        <f>22.4789 * CHOOSE(CONTROL!$C$15, $E$9, 100%, $G$9) + CHOOSE(CONTROL!$C$38, 0.0369, 0)</f>
        <v>22.515799999999999</v>
      </c>
      <c r="I221" s="10">
        <f>22.4805 * CHOOSE(CONTROL!$C$15, $E$9, 100%, $G$9) + CHOOSE(CONTROL!$C$38, 0.0369, 0)</f>
        <v>22.517399999999999</v>
      </c>
      <c r="J221" s="26">
        <f>168.5861</f>
        <v>168.58609999999999</v>
      </c>
    </row>
    <row r="222" spans="1:10" ht="15" x14ac:dyDescent="0.2">
      <c r="A222" s="16">
        <v>47665</v>
      </c>
      <c r="B222" s="10">
        <f>24.2791 * CHOOSE(CONTROL!$C$15, $E$9, 100%, $G$9) + CHOOSE(CONTROL!$C$38, 0.0278, 0)</f>
        <v>24.306899999999999</v>
      </c>
      <c r="C222" s="10">
        <f>22.274 * CHOOSE(CONTROL!$C$15, $E$9, 100%, $G$9) + CHOOSE(CONTROL!$C$38, 0.0369, 0)</f>
        <v>22.3109</v>
      </c>
      <c r="D222" s="10">
        <f>22.2662 * CHOOSE(CONTROL!$C$15, $E$9, 100%, $G$9) + CHOOSE(CONTROL!$C$38, 0.0369, 0)</f>
        <v>22.303100000000001</v>
      </c>
      <c r="E222" s="28">
        <f>24.1229 * CHOOSE(CONTROL!$C$15, $E$9, 100%, $G$9) + CHOOSE(CONTROL!$C$38, 0.0369, 0)</f>
        <v>24.159800000000001</v>
      </c>
      <c r="F222" s="27">
        <f>24.1229 * CHOOSE(CONTROL!$C$15, $E$9, 100%, $G$9) + CHOOSE(CONTROL!$C$38, 0.0278, 0)</f>
        <v>24.150700000000001</v>
      </c>
      <c r="G222" s="10">
        <f>22.2724 * CHOOSE(CONTROL!$C$15, $E$9, 100%, $G$9) + CHOOSE(CONTROL!$C$38, 0.0369, 0)</f>
        <v>22.3093</v>
      </c>
      <c r="H222" s="10">
        <f>22.2724 * CHOOSE(CONTROL!$C$15, $E$9, 100%, $G$9) + CHOOSE(CONTROL!$C$38, 0.0369, 0)</f>
        <v>22.3093</v>
      </c>
      <c r="I222" s="10">
        <f>22.274 * CHOOSE(CONTROL!$C$15, $E$9, 100%, $G$9) + CHOOSE(CONTROL!$C$38, 0.0369, 0)</f>
        <v>22.3109</v>
      </c>
      <c r="J222" s="26">
        <f>167.7977</f>
        <v>167.79769999999999</v>
      </c>
    </row>
    <row r="223" spans="1:10" ht="15" x14ac:dyDescent="0.2">
      <c r="A223" s="16">
        <v>47696</v>
      </c>
      <c r="B223" s="10">
        <f>24.381 * CHOOSE(CONTROL!$C$15, $E$9, 100%, $G$9) + CHOOSE(CONTROL!$C$38, 0.0278, 0)</f>
        <v>24.408799999999999</v>
      </c>
      <c r="C223" s="10">
        <f>22.3759 * CHOOSE(CONTROL!$C$15, $E$9, 100%, $G$9) + CHOOSE(CONTROL!$C$38, 0.0369, 0)</f>
        <v>22.412800000000001</v>
      </c>
      <c r="D223" s="10">
        <f>22.3681 * CHOOSE(CONTROL!$C$15, $E$9, 100%, $G$9) + CHOOSE(CONTROL!$C$38, 0.0369, 0)</f>
        <v>22.404999999999998</v>
      </c>
      <c r="E223" s="28">
        <f>24.2248 * CHOOSE(CONTROL!$C$15, $E$9, 100%, $G$9) + CHOOSE(CONTROL!$C$38, 0.0369, 0)</f>
        <v>24.261699999999998</v>
      </c>
      <c r="F223" s="27">
        <f>24.2248 * CHOOSE(CONTROL!$C$15, $E$9, 100%, $G$9) + CHOOSE(CONTROL!$C$38, 0.0278, 0)</f>
        <v>24.252599999999997</v>
      </c>
      <c r="G223" s="10">
        <f>22.3744 * CHOOSE(CONTROL!$C$15, $E$9, 100%, $G$9) + CHOOSE(CONTROL!$C$38, 0.0369, 0)</f>
        <v>22.411300000000001</v>
      </c>
      <c r="H223" s="10">
        <f>22.3744 * CHOOSE(CONTROL!$C$15, $E$9, 100%, $G$9) + CHOOSE(CONTROL!$C$38, 0.0369, 0)</f>
        <v>22.411300000000001</v>
      </c>
      <c r="I223" s="10">
        <f>22.3759 * CHOOSE(CONTROL!$C$15, $E$9, 100%, $G$9) + CHOOSE(CONTROL!$C$38, 0.0369, 0)</f>
        <v>22.412800000000001</v>
      </c>
      <c r="J223" s="26">
        <f>163.8914</f>
        <v>163.8914</v>
      </c>
    </row>
    <row r="224" spans="1:10" ht="15" x14ac:dyDescent="0.2">
      <c r="A224" s="16">
        <v>47727</v>
      </c>
      <c r="B224" s="10">
        <f>24.6578 * CHOOSE(CONTROL!$C$15, $E$9, 100%, $G$9) + CHOOSE(CONTROL!$C$38, 0.0278, 0)</f>
        <v>24.685600000000001</v>
      </c>
      <c r="C224" s="10">
        <f>22.6527 * CHOOSE(CONTROL!$C$15, $E$9, 100%, $G$9) + CHOOSE(CONTROL!$C$38, 0.0369, 0)</f>
        <v>22.689599999999999</v>
      </c>
      <c r="D224" s="10">
        <f>22.6449 * CHOOSE(CONTROL!$C$15, $E$9, 100%, $G$9) + CHOOSE(CONTROL!$C$38, 0.0369, 0)</f>
        <v>22.681799999999999</v>
      </c>
      <c r="E224" s="28">
        <f>24.5016 * CHOOSE(CONTROL!$C$15, $E$9, 100%, $G$9) + CHOOSE(CONTROL!$C$38, 0.0369, 0)</f>
        <v>24.538499999999999</v>
      </c>
      <c r="F224" s="27">
        <f>24.5016 * CHOOSE(CONTROL!$C$15, $E$9, 100%, $G$9) + CHOOSE(CONTROL!$C$38, 0.0278, 0)</f>
        <v>24.529399999999999</v>
      </c>
      <c r="G224" s="10">
        <f>22.6511 * CHOOSE(CONTROL!$C$15, $E$9, 100%, $G$9) + CHOOSE(CONTROL!$C$38, 0.0369, 0)</f>
        <v>22.687999999999999</v>
      </c>
      <c r="H224" s="10">
        <f>22.6511 * CHOOSE(CONTROL!$C$15, $E$9, 100%, $G$9) + CHOOSE(CONTROL!$C$38, 0.0369, 0)</f>
        <v>22.687999999999999</v>
      </c>
      <c r="I224" s="10">
        <f>22.6527 * CHOOSE(CONTROL!$C$15, $E$9, 100%, $G$9) + CHOOSE(CONTROL!$C$38, 0.0369, 0)</f>
        <v>22.689599999999999</v>
      </c>
      <c r="J224" s="26">
        <f>158.444</f>
        <v>158.44399999999999</v>
      </c>
    </row>
    <row r="225" spans="1:10" ht="15" x14ac:dyDescent="0.2">
      <c r="A225" s="16">
        <v>47757</v>
      </c>
      <c r="B225" s="10">
        <f>24.8896 * CHOOSE(CONTROL!$C$15, $E$9, 100%, $G$9) + CHOOSE(CONTROL!$C$38, 0.0256, 0)</f>
        <v>24.915200000000002</v>
      </c>
      <c r="C225" s="10">
        <f>22.8845 * CHOOSE(CONTROL!$C$15, $E$9, 100%, $G$9) + CHOOSE(CONTROL!$C$38, 0.0347, 0)</f>
        <v>22.9192</v>
      </c>
      <c r="D225" s="10">
        <f>22.8767 * CHOOSE(CONTROL!$C$15, $E$9, 100%, $G$9) + CHOOSE(CONTROL!$C$38, 0.0347, 0)</f>
        <v>22.9114</v>
      </c>
      <c r="E225" s="28">
        <f>24.7334 * CHOOSE(CONTROL!$C$15, $E$9, 100%, $G$9) + CHOOSE(CONTROL!$C$38, 0.0347, 0)</f>
        <v>24.7681</v>
      </c>
      <c r="F225" s="27">
        <f>24.7334 * CHOOSE(CONTROL!$C$15, $E$9, 100%, $G$9) + CHOOSE(CONTROL!$C$38, 0.0256, 0)</f>
        <v>24.759</v>
      </c>
      <c r="G225" s="10">
        <f>22.883 * CHOOSE(CONTROL!$C$15, $E$9, 100%, $G$9) + CHOOSE(CONTROL!$C$38, 0.0347, 0)</f>
        <v>22.9177</v>
      </c>
      <c r="H225" s="10">
        <f>22.883 * CHOOSE(CONTROL!$C$15, $E$9, 100%, $G$9) + CHOOSE(CONTROL!$C$38, 0.0347, 0)</f>
        <v>22.9177</v>
      </c>
      <c r="I225" s="10">
        <f>22.8845 * CHOOSE(CONTROL!$C$15, $E$9, 100%, $G$9) + CHOOSE(CONTROL!$C$38, 0.0347, 0)</f>
        <v>22.9192</v>
      </c>
      <c r="J225" s="26">
        <f>152.9648</f>
        <v>152.9648</v>
      </c>
    </row>
    <row r="226" spans="1:10" ht="15" x14ac:dyDescent="0.2">
      <c r="A226" s="16">
        <v>47788</v>
      </c>
      <c r="B226" s="10">
        <f>25.0831 * CHOOSE(CONTROL!$C$15, $E$9, 100%, $G$9) + CHOOSE(CONTROL!$C$38, 0.0256, 0)</f>
        <v>25.108700000000002</v>
      </c>
      <c r="C226" s="10">
        <f>23.078 * CHOOSE(CONTROL!$C$15, $E$9, 100%, $G$9) + CHOOSE(CONTROL!$C$38, 0.0347, 0)</f>
        <v>23.1127</v>
      </c>
      <c r="D226" s="10">
        <f>23.0702 * CHOOSE(CONTROL!$C$15, $E$9, 100%, $G$9) + CHOOSE(CONTROL!$C$38, 0.0347, 0)</f>
        <v>23.104900000000001</v>
      </c>
      <c r="E226" s="28">
        <f>24.9268 * CHOOSE(CONTROL!$C$15, $E$9, 100%, $G$9) + CHOOSE(CONTROL!$C$38, 0.0347, 0)</f>
        <v>24.961500000000001</v>
      </c>
      <c r="F226" s="27">
        <f>24.9268 * CHOOSE(CONTROL!$C$15, $E$9, 100%, $G$9) + CHOOSE(CONTROL!$C$38, 0.0256, 0)</f>
        <v>24.952400000000001</v>
      </c>
      <c r="G226" s="10">
        <f>23.0764 * CHOOSE(CONTROL!$C$15, $E$9, 100%, $G$9) + CHOOSE(CONTROL!$C$38, 0.0347, 0)</f>
        <v>23.1111</v>
      </c>
      <c r="H226" s="10">
        <f>23.0764 * CHOOSE(CONTROL!$C$15, $E$9, 100%, $G$9) + CHOOSE(CONTROL!$C$38, 0.0347, 0)</f>
        <v>23.1111</v>
      </c>
      <c r="I226" s="10">
        <f>23.078 * CHOOSE(CONTROL!$C$15, $E$9, 100%, $G$9) + CHOOSE(CONTROL!$C$38, 0.0347, 0)</f>
        <v>23.1127</v>
      </c>
      <c r="J226" s="26">
        <f>151.8749</f>
        <v>151.8749</v>
      </c>
    </row>
    <row r="227" spans="1:10" ht="15" x14ac:dyDescent="0.2">
      <c r="A227" s="16">
        <v>47818</v>
      </c>
      <c r="B227" s="10">
        <f>25.6792 * CHOOSE(CONTROL!$C$15, $E$9, 100%, $G$9) + CHOOSE(CONTROL!$C$38, 0.0256, 0)</f>
        <v>25.704800000000002</v>
      </c>
      <c r="C227" s="10">
        <f>23.674 * CHOOSE(CONTROL!$C$15, $E$9, 100%, $G$9) + CHOOSE(CONTROL!$C$38, 0.0347, 0)</f>
        <v>23.7087</v>
      </c>
      <c r="D227" s="10">
        <f>23.6662 * CHOOSE(CONTROL!$C$15, $E$9, 100%, $G$9) + CHOOSE(CONTROL!$C$38, 0.0347, 0)</f>
        <v>23.700900000000001</v>
      </c>
      <c r="E227" s="28">
        <f>25.5229 * CHOOSE(CONTROL!$C$15, $E$9, 100%, $G$9) + CHOOSE(CONTROL!$C$38, 0.0347, 0)</f>
        <v>25.557600000000001</v>
      </c>
      <c r="F227" s="27">
        <f>25.5229 * CHOOSE(CONTROL!$C$15, $E$9, 100%, $G$9) + CHOOSE(CONTROL!$C$38, 0.0256, 0)</f>
        <v>25.548500000000001</v>
      </c>
      <c r="G227" s="10">
        <f>23.6725 * CHOOSE(CONTROL!$C$15, $E$9, 100%, $G$9) + CHOOSE(CONTROL!$C$38, 0.0347, 0)</f>
        <v>23.7072</v>
      </c>
      <c r="H227" s="10">
        <f>23.6725 * CHOOSE(CONTROL!$C$15, $E$9, 100%, $G$9) + CHOOSE(CONTROL!$C$38, 0.0347, 0)</f>
        <v>23.7072</v>
      </c>
      <c r="I227" s="10">
        <f>23.674 * CHOOSE(CONTROL!$C$15, $E$9, 100%, $G$9) + CHOOSE(CONTROL!$C$38, 0.0347, 0)</f>
        <v>23.7087</v>
      </c>
      <c r="J227" s="26">
        <f>147.368</f>
        <v>147.36799999999999</v>
      </c>
    </row>
    <row r="228" spans="1:10" ht="15" x14ac:dyDescent="0.2">
      <c r="A228" s="16">
        <v>47849</v>
      </c>
      <c r="B228" s="10">
        <f>26.5516 * CHOOSE(CONTROL!$C$15, $E$9, 100%, $G$9) + CHOOSE(CONTROL!$C$38, 0.0256, 0)</f>
        <v>26.577200000000001</v>
      </c>
      <c r="C228" s="10">
        <f>24.5161 * CHOOSE(CONTROL!$C$15, $E$9, 100%, $G$9) + CHOOSE(CONTROL!$C$38, 0.0347, 0)</f>
        <v>24.550800000000002</v>
      </c>
      <c r="D228" s="10">
        <f>24.5083 * CHOOSE(CONTROL!$C$15, $E$9, 100%, $G$9) + CHOOSE(CONTROL!$C$38, 0.0347, 0)</f>
        <v>24.542999999999999</v>
      </c>
      <c r="E228" s="28">
        <f>26.3953 * CHOOSE(CONTROL!$C$15, $E$9, 100%, $G$9) + CHOOSE(CONTROL!$C$38, 0.0347, 0)</f>
        <v>26.43</v>
      </c>
      <c r="F228" s="27">
        <f>26.3953 * CHOOSE(CONTROL!$C$15, $E$9, 100%, $G$9) + CHOOSE(CONTROL!$C$38, 0.0256, 0)</f>
        <v>26.4209</v>
      </c>
      <c r="G228" s="10">
        <f>24.5146 * CHOOSE(CONTROL!$C$15, $E$9, 100%, $G$9) + CHOOSE(CONTROL!$C$38, 0.0347, 0)</f>
        <v>24.549300000000002</v>
      </c>
      <c r="H228" s="10">
        <f>24.5146 * CHOOSE(CONTROL!$C$15, $E$9, 100%, $G$9) + CHOOSE(CONTROL!$C$38, 0.0347, 0)</f>
        <v>24.549300000000002</v>
      </c>
      <c r="I228" s="10">
        <f>24.5161 * CHOOSE(CONTROL!$C$15, $E$9, 100%, $G$9) + CHOOSE(CONTROL!$C$38, 0.0347, 0)</f>
        <v>24.550800000000002</v>
      </c>
      <c r="J228" s="26">
        <f>147.0865</f>
        <v>147.0865</v>
      </c>
    </row>
    <row r="229" spans="1:10" ht="15" x14ac:dyDescent="0.2">
      <c r="A229" s="16">
        <v>47880</v>
      </c>
      <c r="B229" s="10">
        <f>26.7723 * CHOOSE(CONTROL!$C$15, $E$9, 100%, $G$9) + CHOOSE(CONTROL!$C$38, 0.0256, 0)</f>
        <v>26.797900000000002</v>
      </c>
      <c r="C229" s="10">
        <f>24.7369 * CHOOSE(CONTROL!$C$15, $E$9, 100%, $G$9) + CHOOSE(CONTROL!$C$38, 0.0347, 0)</f>
        <v>24.771599999999999</v>
      </c>
      <c r="D229" s="10">
        <f>24.7291 * CHOOSE(CONTROL!$C$15, $E$9, 100%, $G$9) + CHOOSE(CONTROL!$C$38, 0.0347, 0)</f>
        <v>24.7638</v>
      </c>
      <c r="E229" s="28">
        <f>26.6161 * CHOOSE(CONTROL!$C$15, $E$9, 100%, $G$9) + CHOOSE(CONTROL!$C$38, 0.0347, 0)</f>
        <v>26.6508</v>
      </c>
      <c r="F229" s="27">
        <f>26.6161 * CHOOSE(CONTROL!$C$15, $E$9, 100%, $G$9) + CHOOSE(CONTROL!$C$38, 0.0256, 0)</f>
        <v>26.6417</v>
      </c>
      <c r="G229" s="10">
        <f>24.7353 * CHOOSE(CONTROL!$C$15, $E$9, 100%, $G$9) + CHOOSE(CONTROL!$C$38, 0.0347, 0)</f>
        <v>24.77</v>
      </c>
      <c r="H229" s="10">
        <f>24.7353 * CHOOSE(CONTROL!$C$15, $E$9, 100%, $G$9) + CHOOSE(CONTROL!$C$38, 0.0347, 0)</f>
        <v>24.77</v>
      </c>
      <c r="I229" s="10">
        <f>24.7369 * CHOOSE(CONTROL!$C$15, $E$9, 100%, $G$9) + CHOOSE(CONTROL!$C$38, 0.0347, 0)</f>
        <v>24.771599999999999</v>
      </c>
      <c r="J229" s="26">
        <f>146.6777</f>
        <v>146.67769999999999</v>
      </c>
    </row>
    <row r="230" spans="1:10" ht="15" x14ac:dyDescent="0.2">
      <c r="A230" s="16">
        <v>47908</v>
      </c>
      <c r="B230" s="10">
        <f>26.2613 * CHOOSE(CONTROL!$C$15, $E$9, 100%, $G$9) + CHOOSE(CONTROL!$C$38, 0.0256, 0)</f>
        <v>26.286899999999999</v>
      </c>
      <c r="C230" s="10">
        <f>24.2259 * CHOOSE(CONTROL!$C$15, $E$9, 100%, $G$9) + CHOOSE(CONTROL!$C$38, 0.0347, 0)</f>
        <v>24.2606</v>
      </c>
      <c r="D230" s="10">
        <f>24.2181 * CHOOSE(CONTROL!$C$15, $E$9, 100%, $G$9) + CHOOSE(CONTROL!$C$38, 0.0347, 0)</f>
        <v>24.252800000000001</v>
      </c>
      <c r="E230" s="28">
        <f>26.105 * CHOOSE(CONTROL!$C$15, $E$9, 100%, $G$9) + CHOOSE(CONTROL!$C$38, 0.0347, 0)</f>
        <v>26.139700000000001</v>
      </c>
      <c r="F230" s="27">
        <f>26.105 * CHOOSE(CONTROL!$C$15, $E$9, 100%, $G$9) + CHOOSE(CONTROL!$C$38, 0.0256, 0)</f>
        <v>26.130600000000001</v>
      </c>
      <c r="G230" s="10">
        <f>24.2243 * CHOOSE(CONTROL!$C$15, $E$9, 100%, $G$9) + CHOOSE(CONTROL!$C$38, 0.0347, 0)</f>
        <v>24.259</v>
      </c>
      <c r="H230" s="10">
        <f>24.2243 * CHOOSE(CONTROL!$C$15, $E$9, 100%, $G$9) + CHOOSE(CONTROL!$C$38, 0.0347, 0)</f>
        <v>24.259</v>
      </c>
      <c r="I230" s="10">
        <f>24.2259 * CHOOSE(CONTROL!$C$15, $E$9, 100%, $G$9) + CHOOSE(CONTROL!$C$38, 0.0347, 0)</f>
        <v>24.2606</v>
      </c>
      <c r="J230" s="26">
        <f>154.4085</f>
        <v>154.4085</v>
      </c>
    </row>
    <row r="231" spans="1:10" ht="15" x14ac:dyDescent="0.2">
      <c r="A231" s="16">
        <v>47939</v>
      </c>
      <c r="B231" s="10">
        <f>25.7661 * CHOOSE(CONTROL!$C$15, $E$9, 100%, $G$9) + CHOOSE(CONTROL!$C$38, 0.0256, 0)</f>
        <v>25.791700000000002</v>
      </c>
      <c r="C231" s="10">
        <f>23.7307 * CHOOSE(CONTROL!$C$15, $E$9, 100%, $G$9) + CHOOSE(CONTROL!$C$38, 0.0347, 0)</f>
        <v>23.7654</v>
      </c>
      <c r="D231" s="10">
        <f>23.7229 * CHOOSE(CONTROL!$C$15, $E$9, 100%, $G$9) + CHOOSE(CONTROL!$C$38, 0.0347, 0)</f>
        <v>23.7576</v>
      </c>
      <c r="E231" s="28">
        <f>25.6099 * CHOOSE(CONTROL!$C$15, $E$9, 100%, $G$9) + CHOOSE(CONTROL!$C$38, 0.0347, 0)</f>
        <v>25.644600000000001</v>
      </c>
      <c r="F231" s="27">
        <f>25.6099 * CHOOSE(CONTROL!$C$15, $E$9, 100%, $G$9) + CHOOSE(CONTROL!$C$38, 0.0256, 0)</f>
        <v>25.6355</v>
      </c>
      <c r="G231" s="10">
        <f>23.7291 * CHOOSE(CONTROL!$C$15, $E$9, 100%, $G$9) + CHOOSE(CONTROL!$C$38, 0.0347, 0)</f>
        <v>23.7638</v>
      </c>
      <c r="H231" s="10">
        <f>23.7291 * CHOOSE(CONTROL!$C$15, $E$9, 100%, $G$9) + CHOOSE(CONTROL!$C$38, 0.0347, 0)</f>
        <v>23.7638</v>
      </c>
      <c r="I231" s="10">
        <f>23.7307 * CHOOSE(CONTROL!$C$15, $E$9, 100%, $G$9) + CHOOSE(CONTROL!$C$38, 0.0347, 0)</f>
        <v>23.7654</v>
      </c>
      <c r="J231" s="26">
        <f>164.4334</f>
        <v>164.43340000000001</v>
      </c>
    </row>
    <row r="232" spans="1:10" ht="15" x14ac:dyDescent="0.2">
      <c r="A232" s="16">
        <v>47969</v>
      </c>
      <c r="B232" s="10">
        <f>25.25 * CHOOSE(CONTROL!$C$15, $E$9, 100%, $G$9) + CHOOSE(CONTROL!$C$38, 0.0278, 0)</f>
        <v>25.277799999999999</v>
      </c>
      <c r="C232" s="10">
        <f>23.2146 * CHOOSE(CONTROL!$C$15, $E$9, 100%, $G$9) + CHOOSE(CONTROL!$C$38, 0.0369, 0)</f>
        <v>23.2515</v>
      </c>
      <c r="D232" s="10">
        <f>23.2068 * CHOOSE(CONTROL!$C$15, $E$9, 100%, $G$9) + CHOOSE(CONTROL!$C$38, 0.0369, 0)</f>
        <v>23.2437</v>
      </c>
      <c r="E232" s="28">
        <f>25.0937 * CHOOSE(CONTROL!$C$15, $E$9, 100%, $G$9) + CHOOSE(CONTROL!$C$38, 0.0369, 0)</f>
        <v>25.130599999999998</v>
      </c>
      <c r="F232" s="27">
        <f>25.0937 * CHOOSE(CONTROL!$C$15, $E$9, 100%, $G$9) + CHOOSE(CONTROL!$C$38, 0.0278, 0)</f>
        <v>25.121499999999997</v>
      </c>
      <c r="G232" s="10">
        <f>23.213 * CHOOSE(CONTROL!$C$15, $E$9, 100%, $G$9) + CHOOSE(CONTROL!$C$38, 0.0369, 0)</f>
        <v>23.2499</v>
      </c>
      <c r="H232" s="10">
        <f>23.213 * CHOOSE(CONTROL!$C$15, $E$9, 100%, $G$9) + CHOOSE(CONTROL!$C$38, 0.0369, 0)</f>
        <v>23.2499</v>
      </c>
      <c r="I232" s="10">
        <f>23.2146 * CHOOSE(CONTROL!$C$15, $E$9, 100%, $G$9) + CHOOSE(CONTROL!$C$38, 0.0369, 0)</f>
        <v>23.2515</v>
      </c>
      <c r="J232" s="26">
        <f>169.9515</f>
        <v>169.95150000000001</v>
      </c>
    </row>
    <row r="233" spans="1:10" ht="15" x14ac:dyDescent="0.2">
      <c r="A233" s="16">
        <v>48000</v>
      </c>
      <c r="B233" s="10">
        <f>24.8882 * CHOOSE(CONTROL!$C$15, $E$9, 100%, $G$9) + CHOOSE(CONTROL!$C$38, 0.0278, 0)</f>
        <v>24.916</v>
      </c>
      <c r="C233" s="10">
        <f>22.8527 * CHOOSE(CONTROL!$C$15, $E$9, 100%, $G$9) + CHOOSE(CONTROL!$C$38, 0.0369, 0)</f>
        <v>22.889599999999998</v>
      </c>
      <c r="D233" s="10">
        <f>22.8449 * CHOOSE(CONTROL!$C$15, $E$9, 100%, $G$9) + CHOOSE(CONTROL!$C$38, 0.0369, 0)</f>
        <v>22.881799999999998</v>
      </c>
      <c r="E233" s="28">
        <f>24.7319 * CHOOSE(CONTROL!$C$15, $E$9, 100%, $G$9) + CHOOSE(CONTROL!$C$38, 0.0369, 0)</f>
        <v>24.768799999999999</v>
      </c>
      <c r="F233" s="27">
        <f>24.7319 * CHOOSE(CONTROL!$C$15, $E$9, 100%, $G$9) + CHOOSE(CONTROL!$C$38, 0.0278, 0)</f>
        <v>24.759699999999999</v>
      </c>
      <c r="G233" s="10">
        <f>22.8512 * CHOOSE(CONTROL!$C$15, $E$9, 100%, $G$9) + CHOOSE(CONTROL!$C$38, 0.0369, 0)</f>
        <v>22.888099999999998</v>
      </c>
      <c r="H233" s="10">
        <f>22.8512 * CHOOSE(CONTROL!$C$15, $E$9, 100%, $G$9) + CHOOSE(CONTROL!$C$38, 0.0369, 0)</f>
        <v>22.888099999999998</v>
      </c>
      <c r="I233" s="10">
        <f>22.8527 * CHOOSE(CONTROL!$C$15, $E$9, 100%, $G$9) + CHOOSE(CONTROL!$C$38, 0.0369, 0)</f>
        <v>22.889599999999998</v>
      </c>
      <c r="J233" s="26">
        <f>172.4003</f>
        <v>172.40029999999999</v>
      </c>
    </row>
    <row r="234" spans="1:10" ht="15" x14ac:dyDescent="0.2">
      <c r="A234" s="16">
        <v>48030</v>
      </c>
      <c r="B234" s="10">
        <f>24.6817 * CHOOSE(CONTROL!$C$15, $E$9, 100%, $G$9) + CHOOSE(CONTROL!$C$38, 0.0278, 0)</f>
        <v>24.709499999999998</v>
      </c>
      <c r="C234" s="10">
        <f>22.6462 * CHOOSE(CONTROL!$C$15, $E$9, 100%, $G$9) + CHOOSE(CONTROL!$C$38, 0.0369, 0)</f>
        <v>22.6831</v>
      </c>
      <c r="D234" s="10">
        <f>22.6384 * CHOOSE(CONTROL!$C$15, $E$9, 100%, $G$9) + CHOOSE(CONTROL!$C$38, 0.0369, 0)</f>
        <v>22.6753</v>
      </c>
      <c r="E234" s="28">
        <f>24.5254 * CHOOSE(CONTROL!$C$15, $E$9, 100%, $G$9) + CHOOSE(CONTROL!$C$38, 0.0369, 0)</f>
        <v>24.5623</v>
      </c>
      <c r="F234" s="27">
        <f>24.5254 * CHOOSE(CONTROL!$C$15, $E$9, 100%, $G$9) + CHOOSE(CONTROL!$C$38, 0.0278, 0)</f>
        <v>24.5532</v>
      </c>
      <c r="G234" s="10">
        <f>22.6447 * CHOOSE(CONTROL!$C$15, $E$9, 100%, $G$9) + CHOOSE(CONTROL!$C$38, 0.0369, 0)</f>
        <v>22.6816</v>
      </c>
      <c r="H234" s="10">
        <f>22.6447 * CHOOSE(CONTROL!$C$15, $E$9, 100%, $G$9) + CHOOSE(CONTROL!$C$38, 0.0369, 0)</f>
        <v>22.6816</v>
      </c>
      <c r="I234" s="10">
        <f>22.6462 * CHOOSE(CONTROL!$C$15, $E$9, 100%, $G$9) + CHOOSE(CONTROL!$C$38, 0.0369, 0)</f>
        <v>22.6831</v>
      </c>
      <c r="J234" s="26">
        <f>171.594</f>
        <v>171.59399999999999</v>
      </c>
    </row>
    <row r="235" spans="1:10" ht="15" x14ac:dyDescent="0.2">
      <c r="A235" s="16">
        <v>48061</v>
      </c>
      <c r="B235" s="10">
        <f>24.7836 * CHOOSE(CONTROL!$C$15, $E$9, 100%, $G$9) + CHOOSE(CONTROL!$C$38, 0.0278, 0)</f>
        <v>24.811399999999999</v>
      </c>
      <c r="C235" s="10">
        <f>22.7482 * CHOOSE(CONTROL!$C$15, $E$9, 100%, $G$9) + CHOOSE(CONTROL!$C$38, 0.0369, 0)</f>
        <v>22.7851</v>
      </c>
      <c r="D235" s="10">
        <f>22.7403 * CHOOSE(CONTROL!$C$15, $E$9, 100%, $G$9) + CHOOSE(CONTROL!$C$38, 0.0369, 0)</f>
        <v>22.777200000000001</v>
      </c>
      <c r="E235" s="28">
        <f>24.6273 * CHOOSE(CONTROL!$C$15, $E$9, 100%, $G$9) + CHOOSE(CONTROL!$C$38, 0.0369, 0)</f>
        <v>24.664200000000001</v>
      </c>
      <c r="F235" s="27">
        <f>24.6273 * CHOOSE(CONTROL!$C$15, $E$9, 100%, $G$9) + CHOOSE(CONTROL!$C$38, 0.0278, 0)</f>
        <v>24.655100000000001</v>
      </c>
      <c r="G235" s="10">
        <f>22.7466 * CHOOSE(CONTROL!$C$15, $E$9, 100%, $G$9) + CHOOSE(CONTROL!$C$38, 0.0369, 0)</f>
        <v>22.7835</v>
      </c>
      <c r="H235" s="10">
        <f>22.7466 * CHOOSE(CONTROL!$C$15, $E$9, 100%, $G$9) + CHOOSE(CONTROL!$C$38, 0.0369, 0)</f>
        <v>22.7835</v>
      </c>
      <c r="I235" s="10">
        <f>22.7482 * CHOOSE(CONTROL!$C$15, $E$9, 100%, $G$9) + CHOOSE(CONTROL!$C$38, 0.0369, 0)</f>
        <v>22.7851</v>
      </c>
      <c r="J235" s="26">
        <f>167.5994</f>
        <v>167.5994</v>
      </c>
    </row>
    <row r="236" spans="1:10" ht="15" x14ac:dyDescent="0.2">
      <c r="A236" s="16">
        <v>48092</v>
      </c>
      <c r="B236" s="10">
        <f>25.0604 * CHOOSE(CONTROL!$C$15, $E$9, 100%, $G$9) + CHOOSE(CONTROL!$C$38, 0.0278, 0)</f>
        <v>25.088200000000001</v>
      </c>
      <c r="C236" s="10">
        <f>23.025 * CHOOSE(CONTROL!$C$15, $E$9, 100%, $G$9) + CHOOSE(CONTROL!$C$38, 0.0369, 0)</f>
        <v>23.061899999999998</v>
      </c>
      <c r="D236" s="10">
        <f>23.0171 * CHOOSE(CONTROL!$C$15, $E$9, 100%, $G$9) + CHOOSE(CONTROL!$C$38, 0.0369, 0)</f>
        <v>23.053999999999998</v>
      </c>
      <c r="E236" s="28">
        <f>24.9041 * CHOOSE(CONTROL!$C$15, $E$9, 100%, $G$9) + CHOOSE(CONTROL!$C$38, 0.0369, 0)</f>
        <v>24.940999999999999</v>
      </c>
      <c r="F236" s="27">
        <f>24.9041 * CHOOSE(CONTROL!$C$15, $E$9, 100%, $G$9) + CHOOSE(CONTROL!$C$38, 0.0278, 0)</f>
        <v>24.931899999999999</v>
      </c>
      <c r="G236" s="10">
        <f>23.0234 * CHOOSE(CONTROL!$C$15, $E$9, 100%, $G$9) + CHOOSE(CONTROL!$C$38, 0.0369, 0)</f>
        <v>23.060299999999998</v>
      </c>
      <c r="H236" s="10">
        <f>23.0234 * CHOOSE(CONTROL!$C$15, $E$9, 100%, $G$9) + CHOOSE(CONTROL!$C$38, 0.0369, 0)</f>
        <v>23.060299999999998</v>
      </c>
      <c r="I236" s="10">
        <f>23.025 * CHOOSE(CONTROL!$C$15, $E$9, 100%, $G$9) + CHOOSE(CONTROL!$C$38, 0.0369, 0)</f>
        <v>23.061899999999998</v>
      </c>
      <c r="J236" s="26">
        <f>162.0287</f>
        <v>162.02869999999999</v>
      </c>
    </row>
    <row r="237" spans="1:10" ht="15" x14ac:dyDescent="0.2">
      <c r="A237" s="16">
        <v>48122</v>
      </c>
      <c r="B237" s="10">
        <f>25.2922 * CHOOSE(CONTROL!$C$15, $E$9, 100%, $G$9) + CHOOSE(CONTROL!$C$38, 0.0256, 0)</f>
        <v>25.317800000000002</v>
      </c>
      <c r="C237" s="10">
        <f>23.2568 * CHOOSE(CONTROL!$C$15, $E$9, 100%, $G$9) + CHOOSE(CONTROL!$C$38, 0.0347, 0)</f>
        <v>23.291499999999999</v>
      </c>
      <c r="D237" s="10">
        <f>23.249 * CHOOSE(CONTROL!$C$15, $E$9, 100%, $G$9) + CHOOSE(CONTROL!$C$38, 0.0347, 0)</f>
        <v>23.2837</v>
      </c>
      <c r="E237" s="28">
        <f>25.1359 * CHOOSE(CONTROL!$C$15, $E$9, 100%, $G$9) + CHOOSE(CONTROL!$C$38, 0.0347, 0)</f>
        <v>25.1706</v>
      </c>
      <c r="F237" s="27">
        <f>25.1359 * CHOOSE(CONTROL!$C$15, $E$9, 100%, $G$9) + CHOOSE(CONTROL!$C$38, 0.0256, 0)</f>
        <v>25.1615</v>
      </c>
      <c r="G237" s="10">
        <f>23.2552 * CHOOSE(CONTROL!$C$15, $E$9, 100%, $G$9) + CHOOSE(CONTROL!$C$38, 0.0347, 0)</f>
        <v>23.289899999999999</v>
      </c>
      <c r="H237" s="10">
        <f>23.2552 * CHOOSE(CONTROL!$C$15, $E$9, 100%, $G$9) + CHOOSE(CONTROL!$C$38, 0.0347, 0)</f>
        <v>23.289899999999999</v>
      </c>
      <c r="I237" s="10">
        <f>23.2568 * CHOOSE(CONTROL!$C$15, $E$9, 100%, $G$9) + CHOOSE(CONTROL!$C$38, 0.0347, 0)</f>
        <v>23.291499999999999</v>
      </c>
      <c r="J237" s="26">
        <f>156.4256</f>
        <v>156.4256</v>
      </c>
    </row>
    <row r="238" spans="1:10" ht="15" x14ac:dyDescent="0.2">
      <c r="A238" s="16">
        <v>48153</v>
      </c>
      <c r="B238" s="10">
        <f>25.4856 * CHOOSE(CONTROL!$C$15, $E$9, 100%, $G$9) + CHOOSE(CONTROL!$C$38, 0.0256, 0)</f>
        <v>25.511200000000002</v>
      </c>
      <c r="C238" s="10">
        <f>23.4502 * CHOOSE(CONTROL!$C$15, $E$9, 100%, $G$9) + CHOOSE(CONTROL!$C$38, 0.0347, 0)</f>
        <v>23.4849</v>
      </c>
      <c r="D238" s="10">
        <f>23.4424 * CHOOSE(CONTROL!$C$15, $E$9, 100%, $G$9) + CHOOSE(CONTROL!$C$38, 0.0347, 0)</f>
        <v>23.4771</v>
      </c>
      <c r="E238" s="28">
        <f>25.3294 * CHOOSE(CONTROL!$C$15, $E$9, 100%, $G$9) + CHOOSE(CONTROL!$C$38, 0.0347, 0)</f>
        <v>25.364100000000001</v>
      </c>
      <c r="F238" s="27">
        <f>25.3294 * CHOOSE(CONTROL!$C$15, $E$9, 100%, $G$9) + CHOOSE(CONTROL!$C$38, 0.0256, 0)</f>
        <v>25.355</v>
      </c>
      <c r="G238" s="10">
        <f>23.4487 * CHOOSE(CONTROL!$C$15, $E$9, 100%, $G$9) + CHOOSE(CONTROL!$C$38, 0.0347, 0)</f>
        <v>23.4834</v>
      </c>
      <c r="H238" s="10">
        <f>23.4487 * CHOOSE(CONTROL!$C$15, $E$9, 100%, $G$9) + CHOOSE(CONTROL!$C$38, 0.0347, 0)</f>
        <v>23.4834</v>
      </c>
      <c r="I238" s="10">
        <f>23.4502 * CHOOSE(CONTROL!$C$15, $E$9, 100%, $G$9) + CHOOSE(CONTROL!$C$38, 0.0347, 0)</f>
        <v>23.4849</v>
      </c>
      <c r="J238" s="26">
        <f>155.311</f>
        <v>155.31100000000001</v>
      </c>
    </row>
    <row r="239" spans="1:10" ht="15" x14ac:dyDescent="0.2">
      <c r="A239" s="16">
        <v>48183</v>
      </c>
      <c r="B239" s="10">
        <f>26.0817 * CHOOSE(CONTROL!$C$15, $E$9, 100%, $G$9) + CHOOSE(CONTROL!$C$38, 0.0256, 0)</f>
        <v>26.107300000000002</v>
      </c>
      <c r="C239" s="10">
        <f>24.0463 * CHOOSE(CONTROL!$C$15, $E$9, 100%, $G$9) + CHOOSE(CONTROL!$C$38, 0.0347, 0)</f>
        <v>24.081</v>
      </c>
      <c r="D239" s="10">
        <f>24.0385 * CHOOSE(CONTROL!$C$15, $E$9, 100%, $G$9) + CHOOSE(CONTROL!$C$38, 0.0347, 0)</f>
        <v>24.0732</v>
      </c>
      <c r="E239" s="28">
        <f>25.9255 * CHOOSE(CONTROL!$C$15, $E$9, 100%, $G$9) + CHOOSE(CONTROL!$C$38, 0.0347, 0)</f>
        <v>25.9602</v>
      </c>
      <c r="F239" s="27">
        <f>25.9255 * CHOOSE(CONTROL!$C$15, $E$9, 100%, $G$9) + CHOOSE(CONTROL!$C$38, 0.0256, 0)</f>
        <v>25.9511</v>
      </c>
      <c r="G239" s="10">
        <f>24.0447 * CHOOSE(CONTROL!$C$15, $E$9, 100%, $G$9) + CHOOSE(CONTROL!$C$38, 0.0347, 0)</f>
        <v>24.0794</v>
      </c>
      <c r="H239" s="10">
        <f>24.0447 * CHOOSE(CONTROL!$C$15, $E$9, 100%, $G$9) + CHOOSE(CONTROL!$C$38, 0.0347, 0)</f>
        <v>24.0794</v>
      </c>
      <c r="I239" s="10">
        <f>24.0463 * CHOOSE(CONTROL!$C$15, $E$9, 100%, $G$9) + CHOOSE(CONTROL!$C$38, 0.0347, 0)</f>
        <v>24.081</v>
      </c>
      <c r="J239" s="26">
        <f>150.7021</f>
        <v>150.7021</v>
      </c>
    </row>
    <row r="240" spans="1:10" ht="15" x14ac:dyDescent="0.2">
      <c r="A240" s="16">
        <v>48214</v>
      </c>
      <c r="B240" s="10">
        <f>26.9607 * CHOOSE(CONTROL!$C$15, $E$9, 100%, $G$9) + CHOOSE(CONTROL!$C$38, 0.0256, 0)</f>
        <v>26.9863</v>
      </c>
      <c r="C240" s="10">
        <f>24.8945 * CHOOSE(CONTROL!$C$15, $E$9, 100%, $G$9) + CHOOSE(CONTROL!$C$38, 0.0347, 0)</f>
        <v>24.929200000000002</v>
      </c>
      <c r="D240" s="10">
        <f>24.8867 * CHOOSE(CONTROL!$C$15, $E$9, 100%, $G$9) + CHOOSE(CONTROL!$C$38, 0.0347, 0)</f>
        <v>24.921400000000002</v>
      </c>
      <c r="E240" s="28">
        <f>26.8045 * CHOOSE(CONTROL!$C$15, $E$9, 100%, $G$9) + CHOOSE(CONTROL!$C$38, 0.0347, 0)</f>
        <v>26.839200000000002</v>
      </c>
      <c r="F240" s="27">
        <f>26.8045 * CHOOSE(CONTROL!$C$15, $E$9, 100%, $G$9) + CHOOSE(CONTROL!$C$38, 0.0256, 0)</f>
        <v>26.830100000000002</v>
      </c>
      <c r="G240" s="10">
        <f>24.8929 * CHOOSE(CONTROL!$C$15, $E$9, 100%, $G$9) + CHOOSE(CONTROL!$C$38, 0.0347, 0)</f>
        <v>24.927600000000002</v>
      </c>
      <c r="H240" s="10">
        <f>24.8929 * CHOOSE(CONTROL!$C$15, $E$9, 100%, $G$9) + CHOOSE(CONTROL!$C$38, 0.0347, 0)</f>
        <v>24.927600000000002</v>
      </c>
      <c r="I240" s="10">
        <f>24.8945 * CHOOSE(CONTROL!$C$15, $E$9, 100%, $G$9) + CHOOSE(CONTROL!$C$38, 0.0347, 0)</f>
        <v>24.929200000000002</v>
      </c>
      <c r="J240" s="26">
        <f>150.4143</f>
        <v>150.4143</v>
      </c>
    </row>
    <row r="241" spans="1:10" ht="15" x14ac:dyDescent="0.2">
      <c r="A241" s="16">
        <v>48245</v>
      </c>
      <c r="B241" s="10">
        <f>27.1815 * CHOOSE(CONTROL!$C$15, $E$9, 100%, $G$9) + CHOOSE(CONTROL!$C$38, 0.0256, 0)</f>
        <v>27.207100000000001</v>
      </c>
      <c r="C241" s="10">
        <f>25.1152 * CHOOSE(CONTROL!$C$15, $E$9, 100%, $G$9) + CHOOSE(CONTROL!$C$38, 0.0347, 0)</f>
        <v>25.149900000000002</v>
      </c>
      <c r="D241" s="10">
        <f>25.1074 * CHOOSE(CONTROL!$C$15, $E$9, 100%, $G$9) + CHOOSE(CONTROL!$C$38, 0.0347, 0)</f>
        <v>25.142099999999999</v>
      </c>
      <c r="E241" s="28">
        <f>27.0252 * CHOOSE(CONTROL!$C$15, $E$9, 100%, $G$9) + CHOOSE(CONTROL!$C$38, 0.0347, 0)</f>
        <v>27.059900000000003</v>
      </c>
      <c r="F241" s="27">
        <f>27.0252 * CHOOSE(CONTROL!$C$15, $E$9, 100%, $G$9) + CHOOSE(CONTROL!$C$38, 0.0256, 0)</f>
        <v>27.050800000000002</v>
      </c>
      <c r="G241" s="10">
        <f>25.1137 * CHOOSE(CONTROL!$C$15, $E$9, 100%, $G$9) + CHOOSE(CONTROL!$C$38, 0.0347, 0)</f>
        <v>25.148400000000002</v>
      </c>
      <c r="H241" s="10">
        <f>25.1137 * CHOOSE(CONTROL!$C$15, $E$9, 100%, $G$9) + CHOOSE(CONTROL!$C$38, 0.0347, 0)</f>
        <v>25.148400000000002</v>
      </c>
      <c r="I241" s="10">
        <f>25.1152 * CHOOSE(CONTROL!$C$15, $E$9, 100%, $G$9) + CHOOSE(CONTROL!$C$38, 0.0347, 0)</f>
        <v>25.149900000000002</v>
      </c>
      <c r="J241" s="26">
        <f>149.9962</f>
        <v>149.99619999999999</v>
      </c>
    </row>
    <row r="242" spans="1:10" ht="15" x14ac:dyDescent="0.2">
      <c r="A242" s="16">
        <v>48274</v>
      </c>
      <c r="B242" s="10">
        <f>26.6704 * CHOOSE(CONTROL!$C$15, $E$9, 100%, $G$9) + CHOOSE(CONTROL!$C$38, 0.0256, 0)</f>
        <v>26.696000000000002</v>
      </c>
      <c r="C242" s="10">
        <f>24.6042 * CHOOSE(CONTROL!$C$15, $E$9, 100%, $G$9) + CHOOSE(CONTROL!$C$38, 0.0347, 0)</f>
        <v>24.6389</v>
      </c>
      <c r="D242" s="10">
        <f>24.5964 * CHOOSE(CONTROL!$C$15, $E$9, 100%, $G$9) + CHOOSE(CONTROL!$C$38, 0.0347, 0)</f>
        <v>24.6311</v>
      </c>
      <c r="E242" s="28">
        <f>26.5142 * CHOOSE(CONTROL!$C$15, $E$9, 100%, $G$9) + CHOOSE(CONTROL!$C$38, 0.0347, 0)</f>
        <v>26.5489</v>
      </c>
      <c r="F242" s="27">
        <f>26.5142 * CHOOSE(CONTROL!$C$15, $E$9, 100%, $G$9) + CHOOSE(CONTROL!$C$38, 0.0256, 0)</f>
        <v>26.5398</v>
      </c>
      <c r="G242" s="10">
        <f>24.6026 * CHOOSE(CONTROL!$C$15, $E$9, 100%, $G$9) + CHOOSE(CONTROL!$C$38, 0.0347, 0)</f>
        <v>24.6373</v>
      </c>
      <c r="H242" s="10">
        <f>24.6026 * CHOOSE(CONTROL!$C$15, $E$9, 100%, $G$9) + CHOOSE(CONTROL!$C$38, 0.0347, 0)</f>
        <v>24.6373</v>
      </c>
      <c r="I242" s="10">
        <f>24.6042 * CHOOSE(CONTROL!$C$15, $E$9, 100%, $G$9) + CHOOSE(CONTROL!$C$38, 0.0347, 0)</f>
        <v>24.6389</v>
      </c>
      <c r="J242" s="26">
        <f>157.9019</f>
        <v>157.90190000000001</v>
      </c>
    </row>
    <row r="243" spans="1:10" ht="15" x14ac:dyDescent="0.2">
      <c r="A243" s="16">
        <v>48305</v>
      </c>
      <c r="B243" s="10">
        <f>26.1753 * CHOOSE(CONTROL!$C$15, $E$9, 100%, $G$9) + CHOOSE(CONTROL!$C$38, 0.0256, 0)</f>
        <v>26.200900000000001</v>
      </c>
      <c r="C243" s="10">
        <f>24.109 * CHOOSE(CONTROL!$C$15, $E$9, 100%, $G$9) + CHOOSE(CONTROL!$C$38, 0.0347, 0)</f>
        <v>24.143700000000003</v>
      </c>
      <c r="D243" s="10">
        <f>24.1012 * CHOOSE(CONTROL!$C$15, $E$9, 100%, $G$9) + CHOOSE(CONTROL!$C$38, 0.0347, 0)</f>
        <v>24.135899999999999</v>
      </c>
      <c r="E243" s="28">
        <f>26.019 * CHOOSE(CONTROL!$C$15, $E$9, 100%, $G$9) + CHOOSE(CONTROL!$C$38, 0.0347, 0)</f>
        <v>26.053699999999999</v>
      </c>
      <c r="F243" s="27">
        <f>26.019 * CHOOSE(CONTROL!$C$15, $E$9, 100%, $G$9) + CHOOSE(CONTROL!$C$38, 0.0256, 0)</f>
        <v>26.044599999999999</v>
      </c>
      <c r="G243" s="10">
        <f>24.1075 * CHOOSE(CONTROL!$C$15, $E$9, 100%, $G$9) + CHOOSE(CONTROL!$C$38, 0.0347, 0)</f>
        <v>24.142200000000003</v>
      </c>
      <c r="H243" s="10">
        <f>24.1075 * CHOOSE(CONTROL!$C$15, $E$9, 100%, $G$9) + CHOOSE(CONTROL!$C$38, 0.0347, 0)</f>
        <v>24.142200000000003</v>
      </c>
      <c r="I243" s="10">
        <f>24.109 * CHOOSE(CONTROL!$C$15, $E$9, 100%, $G$9) + CHOOSE(CONTROL!$C$38, 0.0347, 0)</f>
        <v>24.143700000000003</v>
      </c>
      <c r="J243" s="26">
        <f>168.1536</f>
        <v>168.15360000000001</v>
      </c>
    </row>
    <row r="244" spans="1:10" ht="15" x14ac:dyDescent="0.2">
      <c r="A244" s="16">
        <v>48335</v>
      </c>
      <c r="B244" s="10">
        <f>25.6591 * CHOOSE(CONTROL!$C$15, $E$9, 100%, $G$9) + CHOOSE(CONTROL!$C$38, 0.0278, 0)</f>
        <v>25.686899999999998</v>
      </c>
      <c r="C244" s="10">
        <f>23.5929 * CHOOSE(CONTROL!$C$15, $E$9, 100%, $G$9) + CHOOSE(CONTROL!$C$38, 0.0369, 0)</f>
        <v>23.629799999999999</v>
      </c>
      <c r="D244" s="10">
        <f>23.5851 * CHOOSE(CONTROL!$C$15, $E$9, 100%, $G$9) + CHOOSE(CONTROL!$C$38, 0.0369, 0)</f>
        <v>23.622</v>
      </c>
      <c r="E244" s="28">
        <f>25.5029 * CHOOSE(CONTROL!$C$15, $E$9, 100%, $G$9) + CHOOSE(CONTROL!$C$38, 0.0369, 0)</f>
        <v>25.5398</v>
      </c>
      <c r="F244" s="27">
        <f>25.5029 * CHOOSE(CONTROL!$C$15, $E$9, 100%, $G$9) + CHOOSE(CONTROL!$C$38, 0.0278, 0)</f>
        <v>25.5307</v>
      </c>
      <c r="G244" s="10">
        <f>23.5914 * CHOOSE(CONTROL!$C$15, $E$9, 100%, $G$9) + CHOOSE(CONTROL!$C$38, 0.0369, 0)</f>
        <v>23.628299999999999</v>
      </c>
      <c r="H244" s="10">
        <f>23.5914 * CHOOSE(CONTROL!$C$15, $E$9, 100%, $G$9) + CHOOSE(CONTROL!$C$38, 0.0369, 0)</f>
        <v>23.628299999999999</v>
      </c>
      <c r="I244" s="10">
        <f>23.5929 * CHOOSE(CONTROL!$C$15, $E$9, 100%, $G$9) + CHOOSE(CONTROL!$C$38, 0.0369, 0)</f>
        <v>23.629799999999999</v>
      </c>
      <c r="J244" s="26">
        <f>173.7965</f>
        <v>173.79650000000001</v>
      </c>
    </row>
    <row r="245" spans="1:10" ht="15" x14ac:dyDescent="0.2">
      <c r="A245" s="16">
        <v>48366</v>
      </c>
      <c r="B245" s="10">
        <f>25.2973 * CHOOSE(CONTROL!$C$15, $E$9, 100%, $G$9) + CHOOSE(CONTROL!$C$38, 0.0278, 0)</f>
        <v>25.325099999999999</v>
      </c>
      <c r="C245" s="10">
        <f>23.2311 * CHOOSE(CONTROL!$C$15, $E$9, 100%, $G$9) + CHOOSE(CONTROL!$C$38, 0.0369, 0)</f>
        <v>23.268000000000001</v>
      </c>
      <c r="D245" s="10">
        <f>23.2233 * CHOOSE(CONTROL!$C$15, $E$9, 100%, $G$9) + CHOOSE(CONTROL!$C$38, 0.0369, 0)</f>
        <v>23.260199999999998</v>
      </c>
      <c r="E245" s="28">
        <f>25.1411 * CHOOSE(CONTROL!$C$15, $E$9, 100%, $G$9) + CHOOSE(CONTROL!$C$38, 0.0369, 0)</f>
        <v>25.178000000000001</v>
      </c>
      <c r="F245" s="27">
        <f>25.1411 * CHOOSE(CONTROL!$C$15, $E$9, 100%, $G$9) + CHOOSE(CONTROL!$C$38, 0.0278, 0)</f>
        <v>25.168900000000001</v>
      </c>
      <c r="G245" s="10">
        <f>23.2295 * CHOOSE(CONTROL!$C$15, $E$9, 100%, $G$9) + CHOOSE(CONTROL!$C$38, 0.0369, 0)</f>
        <v>23.266400000000001</v>
      </c>
      <c r="H245" s="10">
        <f>23.2295 * CHOOSE(CONTROL!$C$15, $E$9, 100%, $G$9) + CHOOSE(CONTROL!$C$38, 0.0369, 0)</f>
        <v>23.266400000000001</v>
      </c>
      <c r="I245" s="10">
        <f>23.2311 * CHOOSE(CONTROL!$C$15, $E$9, 100%, $G$9) + CHOOSE(CONTROL!$C$38, 0.0369, 0)</f>
        <v>23.268000000000001</v>
      </c>
      <c r="J245" s="26">
        <f>176.3008</f>
        <v>176.30080000000001</v>
      </c>
    </row>
    <row r="246" spans="1:10" ht="15" x14ac:dyDescent="0.2">
      <c r="A246" s="16">
        <v>48396</v>
      </c>
      <c r="B246" s="10">
        <f>25.0908 * CHOOSE(CONTROL!$C$15, $E$9, 100%, $G$9) + CHOOSE(CONTROL!$C$38, 0.0278, 0)</f>
        <v>25.118600000000001</v>
      </c>
      <c r="C246" s="10">
        <f>23.0246 * CHOOSE(CONTROL!$C$15, $E$9, 100%, $G$9) + CHOOSE(CONTROL!$C$38, 0.0369, 0)</f>
        <v>23.061499999999999</v>
      </c>
      <c r="D246" s="10">
        <f>23.0168 * CHOOSE(CONTROL!$C$15, $E$9, 100%, $G$9) + CHOOSE(CONTROL!$C$38, 0.0369, 0)</f>
        <v>23.053699999999999</v>
      </c>
      <c r="E246" s="28">
        <f>24.9346 * CHOOSE(CONTROL!$C$15, $E$9, 100%, $G$9) + CHOOSE(CONTROL!$C$38, 0.0369, 0)</f>
        <v>24.971499999999999</v>
      </c>
      <c r="F246" s="27">
        <f>24.9346 * CHOOSE(CONTROL!$C$15, $E$9, 100%, $G$9) + CHOOSE(CONTROL!$C$38, 0.0278, 0)</f>
        <v>24.962399999999999</v>
      </c>
      <c r="G246" s="10">
        <f>23.023 * CHOOSE(CONTROL!$C$15, $E$9, 100%, $G$9) + CHOOSE(CONTROL!$C$38, 0.0369, 0)</f>
        <v>23.059899999999999</v>
      </c>
      <c r="H246" s="10">
        <f>23.023 * CHOOSE(CONTROL!$C$15, $E$9, 100%, $G$9) + CHOOSE(CONTROL!$C$38, 0.0369, 0)</f>
        <v>23.059899999999999</v>
      </c>
      <c r="I246" s="10">
        <f>23.0246 * CHOOSE(CONTROL!$C$15, $E$9, 100%, $G$9) + CHOOSE(CONTROL!$C$38, 0.0369, 0)</f>
        <v>23.061499999999999</v>
      </c>
      <c r="J246" s="26">
        <f>175.4762</f>
        <v>175.47620000000001</v>
      </c>
    </row>
    <row r="247" spans="1:10" ht="15" x14ac:dyDescent="0.2">
      <c r="A247" s="16">
        <v>48427</v>
      </c>
      <c r="B247" s="10">
        <f>25.1927 * CHOOSE(CONTROL!$C$15, $E$9, 100%, $G$9) + CHOOSE(CONTROL!$C$38, 0.0278, 0)</f>
        <v>25.220499999999998</v>
      </c>
      <c r="C247" s="10">
        <f>23.1265 * CHOOSE(CONTROL!$C$15, $E$9, 100%, $G$9) + CHOOSE(CONTROL!$C$38, 0.0369, 0)</f>
        <v>23.163399999999999</v>
      </c>
      <c r="D247" s="10">
        <f>23.1187 * CHOOSE(CONTROL!$C$15, $E$9, 100%, $G$9) + CHOOSE(CONTROL!$C$38, 0.0369, 0)</f>
        <v>23.1556</v>
      </c>
      <c r="E247" s="28">
        <f>25.0365 * CHOOSE(CONTROL!$C$15, $E$9, 100%, $G$9) + CHOOSE(CONTROL!$C$38, 0.0369, 0)</f>
        <v>25.073399999999999</v>
      </c>
      <c r="F247" s="27">
        <f>25.0365 * CHOOSE(CONTROL!$C$15, $E$9, 100%, $G$9) + CHOOSE(CONTROL!$C$38, 0.0278, 0)</f>
        <v>25.064299999999999</v>
      </c>
      <c r="G247" s="10">
        <f>23.1249 * CHOOSE(CONTROL!$C$15, $E$9, 100%, $G$9) + CHOOSE(CONTROL!$C$38, 0.0369, 0)</f>
        <v>23.161799999999999</v>
      </c>
      <c r="H247" s="10">
        <f>23.1249 * CHOOSE(CONTROL!$C$15, $E$9, 100%, $G$9) + CHOOSE(CONTROL!$C$38, 0.0369, 0)</f>
        <v>23.161799999999999</v>
      </c>
      <c r="I247" s="10">
        <f>23.1265 * CHOOSE(CONTROL!$C$15, $E$9, 100%, $G$9) + CHOOSE(CONTROL!$C$38, 0.0369, 0)</f>
        <v>23.163399999999999</v>
      </c>
      <c r="J247" s="26">
        <f>171.3912</f>
        <v>171.3912</v>
      </c>
    </row>
    <row r="248" spans="1:10" ht="15" x14ac:dyDescent="0.2">
      <c r="A248" s="16">
        <v>48458</v>
      </c>
      <c r="B248" s="10">
        <f>25.4695 * CHOOSE(CONTROL!$C$15, $E$9, 100%, $G$9) + CHOOSE(CONTROL!$C$38, 0.0278, 0)</f>
        <v>25.497299999999999</v>
      </c>
      <c r="C248" s="10">
        <f>23.4033 * CHOOSE(CONTROL!$C$15, $E$9, 100%, $G$9) + CHOOSE(CONTROL!$C$38, 0.0369, 0)</f>
        <v>23.440200000000001</v>
      </c>
      <c r="D248" s="10">
        <f>23.3955 * CHOOSE(CONTROL!$C$15, $E$9, 100%, $G$9) + CHOOSE(CONTROL!$C$38, 0.0369, 0)</f>
        <v>23.432399999999998</v>
      </c>
      <c r="E248" s="28">
        <f>25.3133 * CHOOSE(CONTROL!$C$15, $E$9, 100%, $G$9) + CHOOSE(CONTROL!$C$38, 0.0369, 0)</f>
        <v>25.350200000000001</v>
      </c>
      <c r="F248" s="27">
        <f>25.3133 * CHOOSE(CONTROL!$C$15, $E$9, 100%, $G$9) + CHOOSE(CONTROL!$C$38, 0.0278, 0)</f>
        <v>25.341100000000001</v>
      </c>
      <c r="G248" s="10">
        <f>23.4017 * CHOOSE(CONTROL!$C$15, $E$9, 100%, $G$9) + CHOOSE(CONTROL!$C$38, 0.0369, 0)</f>
        <v>23.438600000000001</v>
      </c>
      <c r="H248" s="10">
        <f>23.4017 * CHOOSE(CONTROL!$C$15, $E$9, 100%, $G$9) + CHOOSE(CONTROL!$C$38, 0.0369, 0)</f>
        <v>23.438600000000001</v>
      </c>
      <c r="I248" s="10">
        <f>23.4033 * CHOOSE(CONTROL!$C$15, $E$9, 100%, $G$9) + CHOOSE(CONTROL!$C$38, 0.0369, 0)</f>
        <v>23.440200000000001</v>
      </c>
      <c r="J248" s="26">
        <f>165.6945</f>
        <v>165.69450000000001</v>
      </c>
    </row>
    <row r="249" spans="1:10" ht="15" x14ac:dyDescent="0.2">
      <c r="A249" s="16">
        <v>48488</v>
      </c>
      <c r="B249" s="10">
        <f>25.7014 * CHOOSE(CONTROL!$C$15, $E$9, 100%, $G$9) + CHOOSE(CONTROL!$C$38, 0.0256, 0)</f>
        <v>25.727</v>
      </c>
      <c r="C249" s="10">
        <f>23.6351 * CHOOSE(CONTROL!$C$15, $E$9, 100%, $G$9) + CHOOSE(CONTROL!$C$38, 0.0347, 0)</f>
        <v>23.669800000000002</v>
      </c>
      <c r="D249" s="10">
        <f>23.6273 * CHOOSE(CONTROL!$C$15, $E$9, 100%, $G$9) + CHOOSE(CONTROL!$C$38, 0.0347, 0)</f>
        <v>23.662000000000003</v>
      </c>
      <c r="E249" s="28">
        <f>25.5451 * CHOOSE(CONTROL!$C$15, $E$9, 100%, $G$9) + CHOOSE(CONTROL!$C$38, 0.0347, 0)</f>
        <v>25.579800000000002</v>
      </c>
      <c r="F249" s="27">
        <f>25.5451 * CHOOSE(CONTROL!$C$15, $E$9, 100%, $G$9) + CHOOSE(CONTROL!$C$38, 0.0256, 0)</f>
        <v>25.570700000000002</v>
      </c>
      <c r="G249" s="10">
        <f>23.6336 * CHOOSE(CONTROL!$C$15, $E$9, 100%, $G$9) + CHOOSE(CONTROL!$C$38, 0.0347, 0)</f>
        <v>23.668300000000002</v>
      </c>
      <c r="H249" s="10">
        <f>23.6336 * CHOOSE(CONTROL!$C$15, $E$9, 100%, $G$9) + CHOOSE(CONTROL!$C$38, 0.0347, 0)</f>
        <v>23.668300000000002</v>
      </c>
      <c r="I249" s="10">
        <f>23.6351 * CHOOSE(CONTROL!$C$15, $E$9, 100%, $G$9) + CHOOSE(CONTROL!$C$38, 0.0347, 0)</f>
        <v>23.669800000000002</v>
      </c>
      <c r="J249" s="26">
        <f>159.9646</f>
        <v>159.96459999999999</v>
      </c>
    </row>
    <row r="250" spans="1:10" ht="15" x14ac:dyDescent="0.2">
      <c r="A250" s="16">
        <v>48519</v>
      </c>
      <c r="B250" s="10">
        <f>25.8948 * CHOOSE(CONTROL!$C$15, $E$9, 100%, $G$9) + CHOOSE(CONTROL!$C$38, 0.0256, 0)</f>
        <v>25.920400000000001</v>
      </c>
      <c r="C250" s="10">
        <f>23.8286 * CHOOSE(CONTROL!$C$15, $E$9, 100%, $G$9) + CHOOSE(CONTROL!$C$38, 0.0347, 0)</f>
        <v>23.863300000000002</v>
      </c>
      <c r="D250" s="10">
        <f>23.8208 * CHOOSE(CONTROL!$C$15, $E$9, 100%, $G$9) + CHOOSE(CONTROL!$C$38, 0.0347, 0)</f>
        <v>23.855499999999999</v>
      </c>
      <c r="E250" s="28">
        <f>25.7385 * CHOOSE(CONTROL!$C$15, $E$9, 100%, $G$9) + CHOOSE(CONTROL!$C$38, 0.0347, 0)</f>
        <v>25.773199999999999</v>
      </c>
      <c r="F250" s="27">
        <f>25.7385 * CHOOSE(CONTROL!$C$15, $E$9, 100%, $G$9) + CHOOSE(CONTROL!$C$38, 0.0256, 0)</f>
        <v>25.764099999999999</v>
      </c>
      <c r="G250" s="10">
        <f>23.827 * CHOOSE(CONTROL!$C$15, $E$9, 100%, $G$9) + CHOOSE(CONTROL!$C$38, 0.0347, 0)</f>
        <v>23.861700000000003</v>
      </c>
      <c r="H250" s="10">
        <f>23.827 * CHOOSE(CONTROL!$C$15, $E$9, 100%, $G$9) + CHOOSE(CONTROL!$C$38, 0.0347, 0)</f>
        <v>23.861700000000003</v>
      </c>
      <c r="I250" s="10">
        <f>23.8286 * CHOOSE(CONTROL!$C$15, $E$9, 100%, $G$9) + CHOOSE(CONTROL!$C$38, 0.0347, 0)</f>
        <v>23.863300000000002</v>
      </c>
      <c r="J250" s="26">
        <f>158.8248</f>
        <v>158.82480000000001</v>
      </c>
    </row>
    <row r="251" spans="1:10" ht="15" x14ac:dyDescent="0.2">
      <c r="A251" s="16">
        <v>48549</v>
      </c>
      <c r="B251" s="10">
        <f>26.4909 * CHOOSE(CONTROL!$C$15, $E$9, 100%, $G$9) + CHOOSE(CONTROL!$C$38, 0.0256, 0)</f>
        <v>26.516500000000001</v>
      </c>
      <c r="C251" s="10">
        <f>24.4246 * CHOOSE(CONTROL!$C$15, $E$9, 100%, $G$9) + CHOOSE(CONTROL!$C$38, 0.0347, 0)</f>
        <v>24.459300000000002</v>
      </c>
      <c r="D251" s="10">
        <f>24.4168 * CHOOSE(CONTROL!$C$15, $E$9, 100%, $G$9) + CHOOSE(CONTROL!$C$38, 0.0347, 0)</f>
        <v>24.451499999999999</v>
      </c>
      <c r="E251" s="28">
        <f>26.3346 * CHOOSE(CONTROL!$C$15, $E$9, 100%, $G$9) + CHOOSE(CONTROL!$C$38, 0.0347, 0)</f>
        <v>26.369299999999999</v>
      </c>
      <c r="F251" s="27">
        <f>26.3346 * CHOOSE(CONTROL!$C$15, $E$9, 100%, $G$9) + CHOOSE(CONTROL!$C$38, 0.0256, 0)</f>
        <v>26.360199999999999</v>
      </c>
      <c r="G251" s="10">
        <f>24.4231 * CHOOSE(CONTROL!$C$15, $E$9, 100%, $G$9) + CHOOSE(CONTROL!$C$38, 0.0347, 0)</f>
        <v>24.457800000000002</v>
      </c>
      <c r="H251" s="10">
        <f>24.4231 * CHOOSE(CONTROL!$C$15, $E$9, 100%, $G$9) + CHOOSE(CONTROL!$C$38, 0.0347, 0)</f>
        <v>24.457800000000002</v>
      </c>
      <c r="I251" s="10">
        <f>24.4246 * CHOOSE(CONTROL!$C$15, $E$9, 100%, $G$9) + CHOOSE(CONTROL!$C$38, 0.0347, 0)</f>
        <v>24.459300000000002</v>
      </c>
      <c r="J251" s="26">
        <f>154.1117</f>
        <v>154.11170000000001</v>
      </c>
    </row>
    <row r="252" spans="1:10" ht="15" x14ac:dyDescent="0.2">
      <c r="A252" s="16">
        <v>48580</v>
      </c>
      <c r="B252" s="10">
        <f>27.3766 * CHOOSE(CONTROL!$C$15, $E$9, 100%, $G$9) + CHOOSE(CONTROL!$C$38, 0.0256, 0)</f>
        <v>27.402200000000001</v>
      </c>
      <c r="C252" s="10">
        <f>25.279 * CHOOSE(CONTROL!$C$15, $E$9, 100%, $G$9) + CHOOSE(CONTROL!$C$38, 0.0347, 0)</f>
        <v>25.313700000000001</v>
      </c>
      <c r="D252" s="10">
        <f>25.2712 * CHOOSE(CONTROL!$C$15, $E$9, 100%, $G$9) + CHOOSE(CONTROL!$C$38, 0.0347, 0)</f>
        <v>25.305900000000001</v>
      </c>
      <c r="E252" s="28">
        <f>27.2203 * CHOOSE(CONTROL!$C$15, $E$9, 100%, $G$9) + CHOOSE(CONTROL!$C$38, 0.0347, 0)</f>
        <v>27.255000000000003</v>
      </c>
      <c r="F252" s="27">
        <f>27.2203 * CHOOSE(CONTROL!$C$15, $E$9, 100%, $G$9) + CHOOSE(CONTROL!$C$38, 0.0256, 0)</f>
        <v>27.245900000000002</v>
      </c>
      <c r="G252" s="10">
        <f>25.2775 * CHOOSE(CONTROL!$C$15, $E$9, 100%, $G$9) + CHOOSE(CONTROL!$C$38, 0.0347, 0)</f>
        <v>25.312200000000001</v>
      </c>
      <c r="H252" s="10">
        <f>25.2775 * CHOOSE(CONTROL!$C$15, $E$9, 100%, $G$9) + CHOOSE(CONTROL!$C$38, 0.0347, 0)</f>
        <v>25.312200000000001</v>
      </c>
      <c r="I252" s="10">
        <f>25.279 * CHOOSE(CONTROL!$C$15, $E$9, 100%, $G$9) + CHOOSE(CONTROL!$C$38, 0.0347, 0)</f>
        <v>25.313700000000001</v>
      </c>
      <c r="J252" s="26">
        <f>153.8174</f>
        <v>153.81739999999999</v>
      </c>
    </row>
    <row r="253" spans="1:10" ht="15" x14ac:dyDescent="0.2">
      <c r="A253" s="16">
        <v>48611</v>
      </c>
      <c r="B253" s="10">
        <f>27.5973 * CHOOSE(CONTROL!$C$15, $E$9, 100%, $G$9) + CHOOSE(CONTROL!$C$38, 0.0256, 0)</f>
        <v>27.622900000000001</v>
      </c>
      <c r="C253" s="10">
        <f>25.4998 * CHOOSE(CONTROL!$C$15, $E$9, 100%, $G$9) + CHOOSE(CONTROL!$C$38, 0.0347, 0)</f>
        <v>25.534500000000001</v>
      </c>
      <c r="D253" s="10">
        <f>25.492 * CHOOSE(CONTROL!$C$15, $E$9, 100%, $G$9) + CHOOSE(CONTROL!$C$38, 0.0347, 0)</f>
        <v>25.526700000000002</v>
      </c>
      <c r="E253" s="28">
        <f>27.4411 * CHOOSE(CONTROL!$C$15, $E$9, 100%, $G$9) + CHOOSE(CONTROL!$C$38, 0.0347, 0)</f>
        <v>27.4758</v>
      </c>
      <c r="F253" s="27">
        <f>27.4411 * CHOOSE(CONTROL!$C$15, $E$9, 100%, $G$9) + CHOOSE(CONTROL!$C$38, 0.0256, 0)</f>
        <v>27.466699999999999</v>
      </c>
      <c r="G253" s="10">
        <f>25.4982 * CHOOSE(CONTROL!$C$15, $E$9, 100%, $G$9) + CHOOSE(CONTROL!$C$38, 0.0347, 0)</f>
        <v>25.532900000000001</v>
      </c>
      <c r="H253" s="10">
        <f>25.4982 * CHOOSE(CONTROL!$C$15, $E$9, 100%, $G$9) + CHOOSE(CONTROL!$C$38, 0.0347, 0)</f>
        <v>25.532900000000001</v>
      </c>
      <c r="I253" s="10">
        <f>25.4998 * CHOOSE(CONTROL!$C$15, $E$9, 100%, $G$9) + CHOOSE(CONTROL!$C$38, 0.0347, 0)</f>
        <v>25.534500000000001</v>
      </c>
      <c r="J253" s="26">
        <f>153.3898</f>
        <v>153.38980000000001</v>
      </c>
    </row>
    <row r="254" spans="1:10" ht="15" x14ac:dyDescent="0.2">
      <c r="A254" s="16">
        <v>48639</v>
      </c>
      <c r="B254" s="10">
        <f>27.0863 * CHOOSE(CONTROL!$C$15, $E$9, 100%, $G$9) + CHOOSE(CONTROL!$C$38, 0.0256, 0)</f>
        <v>27.111900000000002</v>
      </c>
      <c r="C254" s="10">
        <f>24.9888 * CHOOSE(CONTROL!$C$15, $E$9, 100%, $G$9) + CHOOSE(CONTROL!$C$38, 0.0347, 0)</f>
        <v>25.023500000000002</v>
      </c>
      <c r="D254" s="10">
        <f>24.9809 * CHOOSE(CONTROL!$C$15, $E$9, 100%, $G$9) + CHOOSE(CONTROL!$C$38, 0.0347, 0)</f>
        <v>25.015599999999999</v>
      </c>
      <c r="E254" s="28">
        <f>26.9301 * CHOOSE(CONTROL!$C$15, $E$9, 100%, $G$9) + CHOOSE(CONTROL!$C$38, 0.0347, 0)</f>
        <v>26.9648</v>
      </c>
      <c r="F254" s="27">
        <f>26.9301 * CHOOSE(CONTROL!$C$15, $E$9, 100%, $G$9) + CHOOSE(CONTROL!$C$38, 0.0256, 0)</f>
        <v>26.9557</v>
      </c>
      <c r="G254" s="10">
        <f>24.9872 * CHOOSE(CONTROL!$C$15, $E$9, 100%, $G$9) + CHOOSE(CONTROL!$C$38, 0.0347, 0)</f>
        <v>25.021900000000002</v>
      </c>
      <c r="H254" s="10">
        <f>24.9872 * CHOOSE(CONTROL!$C$15, $E$9, 100%, $G$9) + CHOOSE(CONTROL!$C$38, 0.0347, 0)</f>
        <v>25.021900000000002</v>
      </c>
      <c r="I254" s="10">
        <f>24.9888 * CHOOSE(CONTROL!$C$15, $E$9, 100%, $G$9) + CHOOSE(CONTROL!$C$38, 0.0347, 0)</f>
        <v>25.023500000000002</v>
      </c>
      <c r="J254" s="26">
        <f>161.4743</f>
        <v>161.4743</v>
      </c>
    </row>
    <row r="255" spans="1:10" ht="15" x14ac:dyDescent="0.2">
      <c r="A255" s="16">
        <v>48670</v>
      </c>
      <c r="B255" s="10">
        <f>26.5911 * CHOOSE(CONTROL!$C$15, $E$9, 100%, $G$9) + CHOOSE(CONTROL!$C$38, 0.0256, 0)</f>
        <v>26.616700000000002</v>
      </c>
      <c r="C255" s="10">
        <f>24.4936 * CHOOSE(CONTROL!$C$15, $E$9, 100%, $G$9) + CHOOSE(CONTROL!$C$38, 0.0347, 0)</f>
        <v>24.528300000000002</v>
      </c>
      <c r="D255" s="10">
        <f>24.4858 * CHOOSE(CONTROL!$C$15, $E$9, 100%, $G$9) + CHOOSE(CONTROL!$C$38, 0.0347, 0)</f>
        <v>24.520500000000002</v>
      </c>
      <c r="E255" s="28">
        <f>26.4349 * CHOOSE(CONTROL!$C$15, $E$9, 100%, $G$9) + CHOOSE(CONTROL!$C$38, 0.0347, 0)</f>
        <v>26.4696</v>
      </c>
      <c r="F255" s="27">
        <f>26.4349 * CHOOSE(CONTROL!$C$15, $E$9, 100%, $G$9) + CHOOSE(CONTROL!$C$38, 0.0256, 0)</f>
        <v>26.4605</v>
      </c>
      <c r="G255" s="10">
        <f>24.492 * CHOOSE(CONTROL!$C$15, $E$9, 100%, $G$9) + CHOOSE(CONTROL!$C$38, 0.0347, 0)</f>
        <v>24.526700000000002</v>
      </c>
      <c r="H255" s="10">
        <f>24.492 * CHOOSE(CONTROL!$C$15, $E$9, 100%, $G$9) + CHOOSE(CONTROL!$C$38, 0.0347, 0)</f>
        <v>24.526700000000002</v>
      </c>
      <c r="I255" s="10">
        <f>24.4936 * CHOOSE(CONTROL!$C$15, $E$9, 100%, $G$9) + CHOOSE(CONTROL!$C$38, 0.0347, 0)</f>
        <v>24.528300000000002</v>
      </c>
      <c r="J255" s="26">
        <f>171.958</f>
        <v>171.958</v>
      </c>
    </row>
    <row r="256" spans="1:10" ht="15" x14ac:dyDescent="0.2">
      <c r="A256" s="16">
        <v>48700</v>
      </c>
      <c r="B256" s="10">
        <f>26.075 * CHOOSE(CONTROL!$C$15, $E$9, 100%, $G$9) + CHOOSE(CONTROL!$C$38, 0.0278, 0)</f>
        <v>26.102799999999998</v>
      </c>
      <c r="C256" s="10">
        <f>23.9775 * CHOOSE(CONTROL!$C$15, $E$9, 100%, $G$9) + CHOOSE(CONTROL!$C$38, 0.0369, 0)</f>
        <v>24.014399999999998</v>
      </c>
      <c r="D256" s="10">
        <f>23.9697 * CHOOSE(CONTROL!$C$15, $E$9, 100%, $G$9) + CHOOSE(CONTROL!$C$38, 0.0369, 0)</f>
        <v>24.006599999999999</v>
      </c>
      <c r="E256" s="28">
        <f>25.9188 * CHOOSE(CONTROL!$C$15, $E$9, 100%, $G$9) + CHOOSE(CONTROL!$C$38, 0.0369, 0)</f>
        <v>25.9557</v>
      </c>
      <c r="F256" s="27">
        <f>25.9188 * CHOOSE(CONTROL!$C$15, $E$9, 100%, $G$9) + CHOOSE(CONTROL!$C$38, 0.0278, 0)</f>
        <v>25.9466</v>
      </c>
      <c r="G256" s="10">
        <f>23.9759 * CHOOSE(CONTROL!$C$15, $E$9, 100%, $G$9) + CHOOSE(CONTROL!$C$38, 0.0369, 0)</f>
        <v>24.012799999999999</v>
      </c>
      <c r="H256" s="10">
        <f>23.9759 * CHOOSE(CONTROL!$C$15, $E$9, 100%, $G$9) + CHOOSE(CONTROL!$C$38, 0.0369, 0)</f>
        <v>24.012799999999999</v>
      </c>
      <c r="I256" s="10">
        <f>23.9775 * CHOOSE(CONTROL!$C$15, $E$9, 100%, $G$9) + CHOOSE(CONTROL!$C$38, 0.0369, 0)</f>
        <v>24.014399999999998</v>
      </c>
      <c r="J256" s="26">
        <f>177.7286</f>
        <v>177.7286</v>
      </c>
    </row>
    <row r="257" spans="1:10" ht="15" x14ac:dyDescent="0.2">
      <c r="A257" s="16">
        <v>48731</v>
      </c>
      <c r="B257" s="10">
        <f>25.7132 * CHOOSE(CONTROL!$C$15, $E$9, 100%, $G$9) + CHOOSE(CONTROL!$C$38, 0.0278, 0)</f>
        <v>25.741</v>
      </c>
      <c r="C257" s="10">
        <f>23.6156 * CHOOSE(CONTROL!$C$15, $E$9, 100%, $G$9) + CHOOSE(CONTROL!$C$38, 0.0369, 0)</f>
        <v>23.6525</v>
      </c>
      <c r="D257" s="10">
        <f>23.6078 * CHOOSE(CONTROL!$C$15, $E$9, 100%, $G$9) + CHOOSE(CONTROL!$C$38, 0.0369, 0)</f>
        <v>23.6447</v>
      </c>
      <c r="E257" s="28">
        <f>25.5569 * CHOOSE(CONTROL!$C$15, $E$9, 100%, $G$9) + CHOOSE(CONTROL!$C$38, 0.0369, 0)</f>
        <v>25.593799999999998</v>
      </c>
      <c r="F257" s="27">
        <f>25.5569 * CHOOSE(CONTROL!$C$15, $E$9, 100%, $G$9) + CHOOSE(CONTROL!$C$38, 0.0278, 0)</f>
        <v>25.584699999999998</v>
      </c>
      <c r="G257" s="10">
        <f>23.6141 * CHOOSE(CONTROL!$C$15, $E$9, 100%, $G$9) + CHOOSE(CONTROL!$C$38, 0.0369, 0)</f>
        <v>23.651</v>
      </c>
      <c r="H257" s="10">
        <f>23.6141 * CHOOSE(CONTROL!$C$15, $E$9, 100%, $G$9) + CHOOSE(CONTROL!$C$38, 0.0369, 0)</f>
        <v>23.651</v>
      </c>
      <c r="I257" s="10">
        <f>23.6156 * CHOOSE(CONTROL!$C$15, $E$9, 100%, $G$9) + CHOOSE(CONTROL!$C$38, 0.0369, 0)</f>
        <v>23.6525</v>
      </c>
      <c r="J257" s="26">
        <f>180.2895</f>
        <v>180.2895</v>
      </c>
    </row>
    <row r="258" spans="1:10" ht="15" x14ac:dyDescent="0.2">
      <c r="A258" s="16">
        <v>48761</v>
      </c>
      <c r="B258" s="10">
        <f>25.5067 * CHOOSE(CONTROL!$C$15, $E$9, 100%, $G$9) + CHOOSE(CONTROL!$C$38, 0.0278, 0)</f>
        <v>25.534499999999998</v>
      </c>
      <c r="C258" s="10">
        <f>23.4091 * CHOOSE(CONTROL!$C$15, $E$9, 100%, $G$9) + CHOOSE(CONTROL!$C$38, 0.0369, 0)</f>
        <v>23.445999999999998</v>
      </c>
      <c r="D258" s="10">
        <f>23.4013 * CHOOSE(CONTROL!$C$15, $E$9, 100%, $G$9) + CHOOSE(CONTROL!$C$38, 0.0369, 0)</f>
        <v>23.438199999999998</v>
      </c>
      <c r="E258" s="28">
        <f>25.3504 * CHOOSE(CONTROL!$C$15, $E$9, 100%, $G$9) + CHOOSE(CONTROL!$C$38, 0.0369, 0)</f>
        <v>25.3873</v>
      </c>
      <c r="F258" s="27">
        <f>25.3504 * CHOOSE(CONTROL!$C$15, $E$9, 100%, $G$9) + CHOOSE(CONTROL!$C$38, 0.0278, 0)</f>
        <v>25.3782</v>
      </c>
      <c r="G258" s="10">
        <f>23.4076 * CHOOSE(CONTROL!$C$15, $E$9, 100%, $G$9) + CHOOSE(CONTROL!$C$38, 0.0369, 0)</f>
        <v>23.444499999999998</v>
      </c>
      <c r="H258" s="10">
        <f>23.4076 * CHOOSE(CONTROL!$C$15, $E$9, 100%, $G$9) + CHOOSE(CONTROL!$C$38, 0.0369, 0)</f>
        <v>23.444499999999998</v>
      </c>
      <c r="I258" s="10">
        <f>23.4091 * CHOOSE(CONTROL!$C$15, $E$9, 100%, $G$9) + CHOOSE(CONTROL!$C$38, 0.0369, 0)</f>
        <v>23.445999999999998</v>
      </c>
      <c r="J258" s="26">
        <f>179.4463</f>
        <v>179.44630000000001</v>
      </c>
    </row>
    <row r="259" spans="1:10" ht="15" x14ac:dyDescent="0.2">
      <c r="A259" s="16">
        <v>48792</v>
      </c>
      <c r="B259" s="10">
        <f>25.6086 * CHOOSE(CONTROL!$C$15, $E$9, 100%, $G$9) + CHOOSE(CONTROL!$C$38, 0.0278, 0)</f>
        <v>25.636399999999998</v>
      </c>
      <c r="C259" s="10">
        <f>23.511 * CHOOSE(CONTROL!$C$15, $E$9, 100%, $G$9) + CHOOSE(CONTROL!$C$38, 0.0369, 0)</f>
        <v>23.547899999999998</v>
      </c>
      <c r="D259" s="10">
        <f>23.5032 * CHOOSE(CONTROL!$C$15, $E$9, 100%, $G$9) + CHOOSE(CONTROL!$C$38, 0.0369, 0)</f>
        <v>23.540099999999999</v>
      </c>
      <c r="E259" s="28">
        <f>25.4523 * CHOOSE(CONTROL!$C$15, $E$9, 100%, $G$9) + CHOOSE(CONTROL!$C$38, 0.0369, 0)</f>
        <v>25.4892</v>
      </c>
      <c r="F259" s="27">
        <f>25.4523 * CHOOSE(CONTROL!$C$15, $E$9, 100%, $G$9) + CHOOSE(CONTROL!$C$38, 0.0278, 0)</f>
        <v>25.4801</v>
      </c>
      <c r="G259" s="10">
        <f>23.5095 * CHOOSE(CONTROL!$C$15, $E$9, 100%, $G$9) + CHOOSE(CONTROL!$C$38, 0.0369, 0)</f>
        <v>23.546399999999998</v>
      </c>
      <c r="H259" s="10">
        <f>23.5095 * CHOOSE(CONTROL!$C$15, $E$9, 100%, $G$9) + CHOOSE(CONTROL!$C$38, 0.0369, 0)</f>
        <v>23.546399999999998</v>
      </c>
      <c r="I259" s="10">
        <f>23.511 * CHOOSE(CONTROL!$C$15, $E$9, 100%, $G$9) + CHOOSE(CONTROL!$C$38, 0.0369, 0)</f>
        <v>23.547899999999998</v>
      </c>
      <c r="J259" s="26">
        <f>175.2689</f>
        <v>175.2689</v>
      </c>
    </row>
    <row r="260" spans="1:10" ht="15" x14ac:dyDescent="0.2">
      <c r="A260" s="16">
        <v>48823</v>
      </c>
      <c r="B260" s="10">
        <f>25.8854 * CHOOSE(CONTROL!$C$15, $E$9, 100%, $G$9) + CHOOSE(CONTROL!$C$38, 0.0278, 0)</f>
        <v>25.9132</v>
      </c>
      <c r="C260" s="10">
        <f>23.7878 * CHOOSE(CONTROL!$C$15, $E$9, 100%, $G$9) + CHOOSE(CONTROL!$C$38, 0.0369, 0)</f>
        <v>23.8247</v>
      </c>
      <c r="D260" s="10">
        <f>23.78 * CHOOSE(CONTROL!$C$15, $E$9, 100%, $G$9) + CHOOSE(CONTROL!$C$38, 0.0369, 0)</f>
        <v>23.8169</v>
      </c>
      <c r="E260" s="28">
        <f>25.7291 * CHOOSE(CONTROL!$C$15, $E$9, 100%, $G$9) + CHOOSE(CONTROL!$C$38, 0.0369, 0)</f>
        <v>25.765999999999998</v>
      </c>
      <c r="F260" s="27">
        <f>25.7291 * CHOOSE(CONTROL!$C$15, $E$9, 100%, $G$9) + CHOOSE(CONTROL!$C$38, 0.0278, 0)</f>
        <v>25.756899999999998</v>
      </c>
      <c r="G260" s="10">
        <f>23.7863 * CHOOSE(CONTROL!$C$15, $E$9, 100%, $G$9) + CHOOSE(CONTROL!$C$38, 0.0369, 0)</f>
        <v>23.8232</v>
      </c>
      <c r="H260" s="10">
        <f>23.7863 * CHOOSE(CONTROL!$C$15, $E$9, 100%, $G$9) + CHOOSE(CONTROL!$C$38, 0.0369, 0)</f>
        <v>23.8232</v>
      </c>
      <c r="I260" s="10">
        <f>23.7878 * CHOOSE(CONTROL!$C$15, $E$9, 100%, $G$9) + CHOOSE(CONTROL!$C$38, 0.0369, 0)</f>
        <v>23.8247</v>
      </c>
      <c r="J260" s="26">
        <f>169.4432</f>
        <v>169.44319999999999</v>
      </c>
    </row>
    <row r="261" spans="1:10" ht="15" x14ac:dyDescent="0.2">
      <c r="A261" s="16">
        <v>48853</v>
      </c>
      <c r="B261" s="10">
        <f>26.1172 * CHOOSE(CONTROL!$C$15, $E$9, 100%, $G$9) + CHOOSE(CONTROL!$C$38, 0.0256, 0)</f>
        <v>26.142800000000001</v>
      </c>
      <c r="C261" s="10">
        <f>24.0197 * CHOOSE(CONTROL!$C$15, $E$9, 100%, $G$9) + CHOOSE(CONTROL!$C$38, 0.0347, 0)</f>
        <v>24.054400000000001</v>
      </c>
      <c r="D261" s="10">
        <f>24.0119 * CHOOSE(CONTROL!$C$15, $E$9, 100%, $G$9) + CHOOSE(CONTROL!$C$38, 0.0347, 0)</f>
        <v>24.046600000000002</v>
      </c>
      <c r="E261" s="28">
        <f>25.961 * CHOOSE(CONTROL!$C$15, $E$9, 100%, $G$9) + CHOOSE(CONTROL!$C$38, 0.0347, 0)</f>
        <v>25.995699999999999</v>
      </c>
      <c r="F261" s="27">
        <f>25.961 * CHOOSE(CONTROL!$C$15, $E$9, 100%, $G$9) + CHOOSE(CONTROL!$C$38, 0.0256, 0)</f>
        <v>25.986599999999999</v>
      </c>
      <c r="G261" s="10">
        <f>24.0181 * CHOOSE(CONTROL!$C$15, $E$9, 100%, $G$9) + CHOOSE(CONTROL!$C$38, 0.0347, 0)</f>
        <v>24.052800000000001</v>
      </c>
      <c r="H261" s="10">
        <f>24.0181 * CHOOSE(CONTROL!$C$15, $E$9, 100%, $G$9) + CHOOSE(CONTROL!$C$38, 0.0347, 0)</f>
        <v>24.052800000000001</v>
      </c>
      <c r="I261" s="10">
        <f>24.0197 * CHOOSE(CONTROL!$C$15, $E$9, 100%, $G$9) + CHOOSE(CONTROL!$C$38, 0.0347, 0)</f>
        <v>24.054400000000001</v>
      </c>
      <c r="J261" s="26">
        <f>163.5837</f>
        <v>163.58369999999999</v>
      </c>
    </row>
    <row r="262" spans="1:10" ht="15" x14ac:dyDescent="0.2">
      <c r="A262" s="16">
        <v>48884</v>
      </c>
      <c r="B262" s="10">
        <f>26.3107 * CHOOSE(CONTROL!$C$15, $E$9, 100%, $G$9) + CHOOSE(CONTROL!$C$38, 0.0256, 0)</f>
        <v>26.336300000000001</v>
      </c>
      <c r="C262" s="10">
        <f>24.2131 * CHOOSE(CONTROL!$C$15, $E$9, 100%, $G$9) + CHOOSE(CONTROL!$C$38, 0.0347, 0)</f>
        <v>24.247800000000002</v>
      </c>
      <c r="D262" s="10">
        <f>24.2053 * CHOOSE(CONTROL!$C$15, $E$9, 100%, $G$9) + CHOOSE(CONTROL!$C$38, 0.0347, 0)</f>
        <v>24.240000000000002</v>
      </c>
      <c r="E262" s="28">
        <f>26.1544 * CHOOSE(CONTROL!$C$15, $E$9, 100%, $G$9) + CHOOSE(CONTROL!$C$38, 0.0347, 0)</f>
        <v>26.1891</v>
      </c>
      <c r="F262" s="27">
        <f>26.1544 * CHOOSE(CONTROL!$C$15, $E$9, 100%, $G$9) + CHOOSE(CONTROL!$C$38, 0.0256, 0)</f>
        <v>26.18</v>
      </c>
      <c r="G262" s="10">
        <f>24.2115 * CHOOSE(CONTROL!$C$15, $E$9, 100%, $G$9) + CHOOSE(CONTROL!$C$38, 0.0347, 0)</f>
        <v>24.246200000000002</v>
      </c>
      <c r="H262" s="10">
        <f>24.2115 * CHOOSE(CONTROL!$C$15, $E$9, 100%, $G$9) + CHOOSE(CONTROL!$C$38, 0.0347, 0)</f>
        <v>24.246200000000002</v>
      </c>
      <c r="I262" s="10">
        <f>24.2131 * CHOOSE(CONTROL!$C$15, $E$9, 100%, $G$9) + CHOOSE(CONTROL!$C$38, 0.0347, 0)</f>
        <v>24.247800000000002</v>
      </c>
      <c r="J262" s="26">
        <f>162.4181</f>
        <v>162.41810000000001</v>
      </c>
    </row>
    <row r="263" spans="1:10" ht="15" x14ac:dyDescent="0.2">
      <c r="A263" s="16">
        <v>48914</v>
      </c>
      <c r="B263" s="10">
        <f>26.9067 * CHOOSE(CONTROL!$C$15, $E$9, 100%, $G$9) + CHOOSE(CONTROL!$C$38, 0.0256, 0)</f>
        <v>26.932300000000001</v>
      </c>
      <c r="C263" s="10">
        <f>24.8092 * CHOOSE(CONTROL!$C$15, $E$9, 100%, $G$9) + CHOOSE(CONTROL!$C$38, 0.0347, 0)</f>
        <v>24.843900000000001</v>
      </c>
      <c r="D263" s="10">
        <f>24.8014 * CHOOSE(CONTROL!$C$15, $E$9, 100%, $G$9) + CHOOSE(CONTROL!$C$38, 0.0347, 0)</f>
        <v>24.836100000000002</v>
      </c>
      <c r="E263" s="28">
        <f>26.7505 * CHOOSE(CONTROL!$C$15, $E$9, 100%, $G$9) + CHOOSE(CONTROL!$C$38, 0.0347, 0)</f>
        <v>26.7852</v>
      </c>
      <c r="F263" s="27">
        <f>26.7505 * CHOOSE(CONTROL!$C$15, $E$9, 100%, $G$9) + CHOOSE(CONTROL!$C$38, 0.0256, 0)</f>
        <v>26.7761</v>
      </c>
      <c r="G263" s="10">
        <f>24.8076 * CHOOSE(CONTROL!$C$15, $E$9, 100%, $G$9) + CHOOSE(CONTROL!$C$38, 0.0347, 0)</f>
        <v>24.842300000000002</v>
      </c>
      <c r="H263" s="10">
        <f>24.8076 * CHOOSE(CONTROL!$C$15, $E$9, 100%, $G$9) + CHOOSE(CONTROL!$C$38, 0.0347, 0)</f>
        <v>24.842300000000002</v>
      </c>
      <c r="I263" s="10">
        <f>24.8092 * CHOOSE(CONTROL!$C$15, $E$9, 100%, $G$9) + CHOOSE(CONTROL!$C$38, 0.0347, 0)</f>
        <v>24.843900000000001</v>
      </c>
      <c r="J263" s="26">
        <f>157.5984</f>
        <v>157.5984</v>
      </c>
    </row>
    <row r="264" spans="1:10" ht="15" x14ac:dyDescent="0.2">
      <c r="A264" s="16">
        <v>48945</v>
      </c>
      <c r="B264" s="10">
        <f>27.7993 * CHOOSE(CONTROL!$C$15, $E$9, 100%, $G$9) + CHOOSE(CONTROL!$C$38, 0.0256, 0)</f>
        <v>27.8249</v>
      </c>
      <c r="C264" s="10">
        <f>25.6699 * CHOOSE(CONTROL!$C$15, $E$9, 100%, $G$9) + CHOOSE(CONTROL!$C$38, 0.0347, 0)</f>
        <v>25.704599999999999</v>
      </c>
      <c r="D264" s="10">
        <f>25.6621 * CHOOSE(CONTROL!$C$15, $E$9, 100%, $G$9) + CHOOSE(CONTROL!$C$38, 0.0347, 0)</f>
        <v>25.6968</v>
      </c>
      <c r="E264" s="28">
        <f>27.643 * CHOOSE(CONTROL!$C$15, $E$9, 100%, $G$9) + CHOOSE(CONTROL!$C$38, 0.0347, 0)</f>
        <v>27.677700000000002</v>
      </c>
      <c r="F264" s="27">
        <f>27.643 * CHOOSE(CONTROL!$C$15, $E$9, 100%, $G$9) + CHOOSE(CONTROL!$C$38, 0.0256, 0)</f>
        <v>27.668600000000001</v>
      </c>
      <c r="G264" s="10">
        <f>25.6683 * CHOOSE(CONTROL!$C$15, $E$9, 100%, $G$9) + CHOOSE(CONTROL!$C$38, 0.0347, 0)</f>
        <v>25.702999999999999</v>
      </c>
      <c r="H264" s="10">
        <f>25.6683 * CHOOSE(CONTROL!$C$15, $E$9, 100%, $G$9) + CHOOSE(CONTROL!$C$38, 0.0347, 0)</f>
        <v>25.702999999999999</v>
      </c>
      <c r="I264" s="10">
        <f>25.6699 * CHOOSE(CONTROL!$C$15, $E$9, 100%, $G$9) + CHOOSE(CONTROL!$C$38, 0.0347, 0)</f>
        <v>25.704599999999999</v>
      </c>
      <c r="J264" s="26">
        <f>157.2974</f>
        <v>157.29740000000001</v>
      </c>
    </row>
    <row r="265" spans="1:10" ht="15" x14ac:dyDescent="0.2">
      <c r="A265" s="16">
        <v>48976</v>
      </c>
      <c r="B265" s="10">
        <f>28.02 * CHOOSE(CONTROL!$C$15, $E$9, 100%, $G$9) + CHOOSE(CONTROL!$C$38, 0.0256, 0)</f>
        <v>28.0456</v>
      </c>
      <c r="C265" s="10">
        <f>25.8906 * CHOOSE(CONTROL!$C$15, $E$9, 100%, $G$9) + CHOOSE(CONTROL!$C$38, 0.0347, 0)</f>
        <v>25.9253</v>
      </c>
      <c r="D265" s="10">
        <f>25.8828 * CHOOSE(CONTROL!$C$15, $E$9, 100%, $G$9) + CHOOSE(CONTROL!$C$38, 0.0347, 0)</f>
        <v>25.9175</v>
      </c>
      <c r="E265" s="28">
        <f>27.8638 * CHOOSE(CONTROL!$C$15, $E$9, 100%, $G$9) + CHOOSE(CONTROL!$C$38, 0.0347, 0)</f>
        <v>27.898500000000002</v>
      </c>
      <c r="F265" s="27">
        <f>27.8638 * CHOOSE(CONTROL!$C$15, $E$9, 100%, $G$9) + CHOOSE(CONTROL!$C$38, 0.0256, 0)</f>
        <v>27.889400000000002</v>
      </c>
      <c r="G265" s="10">
        <f>25.8891 * CHOOSE(CONTROL!$C$15, $E$9, 100%, $G$9) + CHOOSE(CONTROL!$C$38, 0.0347, 0)</f>
        <v>25.9238</v>
      </c>
      <c r="H265" s="10">
        <f>25.8891 * CHOOSE(CONTROL!$C$15, $E$9, 100%, $G$9) + CHOOSE(CONTROL!$C$38, 0.0347, 0)</f>
        <v>25.9238</v>
      </c>
      <c r="I265" s="10">
        <f>25.8906 * CHOOSE(CONTROL!$C$15, $E$9, 100%, $G$9) + CHOOSE(CONTROL!$C$38, 0.0347, 0)</f>
        <v>25.9253</v>
      </c>
      <c r="J265" s="26">
        <f>156.8602</f>
        <v>156.86019999999999</v>
      </c>
    </row>
    <row r="266" spans="1:10" ht="15" x14ac:dyDescent="0.2">
      <c r="A266" s="16">
        <v>49004</v>
      </c>
      <c r="B266" s="10">
        <f>27.509 * CHOOSE(CONTROL!$C$15, $E$9, 100%, $G$9) + CHOOSE(CONTROL!$C$38, 0.0256, 0)</f>
        <v>27.534600000000001</v>
      </c>
      <c r="C266" s="10">
        <f>25.3796 * CHOOSE(CONTROL!$C$15, $E$9, 100%, $G$9) + CHOOSE(CONTROL!$C$38, 0.0347, 0)</f>
        <v>25.414300000000001</v>
      </c>
      <c r="D266" s="10">
        <f>25.3718 * CHOOSE(CONTROL!$C$15, $E$9, 100%, $G$9) + CHOOSE(CONTROL!$C$38, 0.0347, 0)</f>
        <v>25.406500000000001</v>
      </c>
      <c r="E266" s="28">
        <f>27.3527 * CHOOSE(CONTROL!$C$15, $E$9, 100%, $G$9) + CHOOSE(CONTROL!$C$38, 0.0347, 0)</f>
        <v>27.3874</v>
      </c>
      <c r="F266" s="27">
        <f>27.3527 * CHOOSE(CONTROL!$C$15, $E$9, 100%, $G$9) + CHOOSE(CONTROL!$C$38, 0.0256, 0)</f>
        <v>27.378299999999999</v>
      </c>
      <c r="G266" s="10">
        <f>25.378 * CHOOSE(CONTROL!$C$15, $E$9, 100%, $G$9) + CHOOSE(CONTROL!$C$38, 0.0347, 0)</f>
        <v>25.412700000000001</v>
      </c>
      <c r="H266" s="10">
        <f>25.378 * CHOOSE(CONTROL!$C$15, $E$9, 100%, $G$9) + CHOOSE(CONTROL!$C$38, 0.0347, 0)</f>
        <v>25.412700000000001</v>
      </c>
      <c r="I266" s="10">
        <f>25.3796 * CHOOSE(CONTROL!$C$15, $E$9, 100%, $G$9) + CHOOSE(CONTROL!$C$38, 0.0347, 0)</f>
        <v>25.414300000000001</v>
      </c>
      <c r="J266" s="26">
        <f>165.1276</f>
        <v>165.1276</v>
      </c>
    </row>
    <row r="267" spans="1:10" ht="15" x14ac:dyDescent="0.2">
      <c r="A267" s="16">
        <v>49035</v>
      </c>
      <c r="B267" s="10">
        <f>27.0138 * CHOOSE(CONTROL!$C$15, $E$9, 100%, $G$9) + CHOOSE(CONTROL!$C$38, 0.0256, 0)</f>
        <v>27.039400000000001</v>
      </c>
      <c r="C267" s="10">
        <f>24.8844 * CHOOSE(CONTROL!$C$15, $E$9, 100%, $G$9) + CHOOSE(CONTROL!$C$38, 0.0347, 0)</f>
        <v>24.9191</v>
      </c>
      <c r="D267" s="10">
        <f>24.8766 * CHOOSE(CONTROL!$C$15, $E$9, 100%, $G$9) + CHOOSE(CONTROL!$C$38, 0.0347, 0)</f>
        <v>24.911300000000001</v>
      </c>
      <c r="E267" s="28">
        <f>26.8576 * CHOOSE(CONTROL!$C$15, $E$9, 100%, $G$9) + CHOOSE(CONTROL!$C$38, 0.0347, 0)</f>
        <v>26.892300000000002</v>
      </c>
      <c r="F267" s="27">
        <f>26.8576 * CHOOSE(CONTROL!$C$15, $E$9, 100%, $G$9) + CHOOSE(CONTROL!$C$38, 0.0256, 0)</f>
        <v>26.883200000000002</v>
      </c>
      <c r="G267" s="10">
        <f>24.8829 * CHOOSE(CONTROL!$C$15, $E$9, 100%, $G$9) + CHOOSE(CONTROL!$C$38, 0.0347, 0)</f>
        <v>24.9176</v>
      </c>
      <c r="H267" s="10">
        <f>24.8829 * CHOOSE(CONTROL!$C$15, $E$9, 100%, $G$9) + CHOOSE(CONTROL!$C$38, 0.0347, 0)</f>
        <v>24.9176</v>
      </c>
      <c r="I267" s="10">
        <f>24.8844 * CHOOSE(CONTROL!$C$15, $E$9, 100%, $G$9) + CHOOSE(CONTROL!$C$38, 0.0347, 0)</f>
        <v>24.9191</v>
      </c>
      <c r="J267" s="26">
        <f>175.8485</f>
        <v>175.8485</v>
      </c>
    </row>
    <row r="268" spans="1:10" ht="15" x14ac:dyDescent="0.2">
      <c r="A268" s="16">
        <v>49065</v>
      </c>
      <c r="B268" s="10">
        <f>26.4977 * CHOOSE(CONTROL!$C$15, $E$9, 100%, $G$9) + CHOOSE(CONTROL!$C$38, 0.0278, 0)</f>
        <v>26.525499999999997</v>
      </c>
      <c r="C268" s="10">
        <f>24.3683 * CHOOSE(CONTROL!$C$15, $E$9, 100%, $G$9) + CHOOSE(CONTROL!$C$38, 0.0369, 0)</f>
        <v>24.405200000000001</v>
      </c>
      <c r="D268" s="10">
        <f>24.3605 * CHOOSE(CONTROL!$C$15, $E$9, 100%, $G$9) + CHOOSE(CONTROL!$C$38, 0.0369, 0)</f>
        <v>24.397399999999998</v>
      </c>
      <c r="E268" s="28">
        <f>26.3414 * CHOOSE(CONTROL!$C$15, $E$9, 100%, $G$9) + CHOOSE(CONTROL!$C$38, 0.0369, 0)</f>
        <v>26.378299999999999</v>
      </c>
      <c r="F268" s="27">
        <f>26.3414 * CHOOSE(CONTROL!$C$15, $E$9, 100%, $G$9) + CHOOSE(CONTROL!$C$38, 0.0278, 0)</f>
        <v>26.369199999999999</v>
      </c>
      <c r="G268" s="10">
        <f>24.3668 * CHOOSE(CONTROL!$C$15, $E$9, 100%, $G$9) + CHOOSE(CONTROL!$C$38, 0.0369, 0)</f>
        <v>24.403700000000001</v>
      </c>
      <c r="H268" s="10">
        <f>24.3668 * CHOOSE(CONTROL!$C$15, $E$9, 100%, $G$9) + CHOOSE(CONTROL!$C$38, 0.0369, 0)</f>
        <v>24.403700000000001</v>
      </c>
      <c r="I268" s="10">
        <f>24.3683 * CHOOSE(CONTROL!$C$15, $E$9, 100%, $G$9) + CHOOSE(CONTROL!$C$38, 0.0369, 0)</f>
        <v>24.405200000000001</v>
      </c>
      <c r="J268" s="26">
        <f>181.7496</f>
        <v>181.74959999999999</v>
      </c>
    </row>
    <row r="269" spans="1:10" ht="15" x14ac:dyDescent="0.2">
      <c r="A269" s="16">
        <v>49096</v>
      </c>
      <c r="B269" s="10">
        <f>26.1359 * CHOOSE(CONTROL!$C$15, $E$9, 100%, $G$9) + CHOOSE(CONTROL!$C$38, 0.0278, 0)</f>
        <v>26.163699999999999</v>
      </c>
      <c r="C269" s="10">
        <f>24.0065 * CHOOSE(CONTROL!$C$15, $E$9, 100%, $G$9) + CHOOSE(CONTROL!$C$38, 0.0369, 0)</f>
        <v>24.043399999999998</v>
      </c>
      <c r="D269" s="10">
        <f>23.9987 * CHOOSE(CONTROL!$C$15, $E$9, 100%, $G$9) + CHOOSE(CONTROL!$C$38, 0.0369, 0)</f>
        <v>24.035599999999999</v>
      </c>
      <c r="E269" s="28">
        <f>25.9796 * CHOOSE(CONTROL!$C$15, $E$9, 100%, $G$9) + CHOOSE(CONTROL!$C$38, 0.0369, 0)</f>
        <v>26.016500000000001</v>
      </c>
      <c r="F269" s="27">
        <f>25.9796 * CHOOSE(CONTROL!$C$15, $E$9, 100%, $G$9) + CHOOSE(CONTROL!$C$38, 0.0278, 0)</f>
        <v>26.007400000000001</v>
      </c>
      <c r="G269" s="10">
        <f>24.0049 * CHOOSE(CONTROL!$C$15, $E$9, 100%, $G$9) + CHOOSE(CONTROL!$C$38, 0.0369, 0)</f>
        <v>24.041799999999999</v>
      </c>
      <c r="H269" s="10">
        <f>24.0049 * CHOOSE(CONTROL!$C$15, $E$9, 100%, $G$9) + CHOOSE(CONTROL!$C$38, 0.0369, 0)</f>
        <v>24.041799999999999</v>
      </c>
      <c r="I269" s="10">
        <f>24.0065 * CHOOSE(CONTROL!$C$15, $E$9, 100%, $G$9) + CHOOSE(CONTROL!$C$38, 0.0369, 0)</f>
        <v>24.043399999999998</v>
      </c>
      <c r="J269" s="26">
        <f>184.3684</f>
        <v>184.36840000000001</v>
      </c>
    </row>
    <row r="270" spans="1:10" ht="15" x14ac:dyDescent="0.2">
      <c r="A270" s="16">
        <v>49126</v>
      </c>
      <c r="B270" s="10">
        <f>25.9294 * CHOOSE(CONTROL!$C$15, $E$9, 100%, $G$9) + CHOOSE(CONTROL!$C$38, 0.0278, 0)</f>
        <v>25.9572</v>
      </c>
      <c r="C270" s="10">
        <f>23.8 * CHOOSE(CONTROL!$C$15, $E$9, 100%, $G$9) + CHOOSE(CONTROL!$C$38, 0.0369, 0)</f>
        <v>23.8369</v>
      </c>
      <c r="D270" s="10">
        <f>23.7922 * CHOOSE(CONTROL!$C$15, $E$9, 100%, $G$9) + CHOOSE(CONTROL!$C$38, 0.0369, 0)</f>
        <v>23.8291</v>
      </c>
      <c r="E270" s="28">
        <f>25.7731 * CHOOSE(CONTROL!$C$15, $E$9, 100%, $G$9) + CHOOSE(CONTROL!$C$38, 0.0369, 0)</f>
        <v>25.81</v>
      </c>
      <c r="F270" s="27">
        <f>25.7731 * CHOOSE(CONTROL!$C$15, $E$9, 100%, $G$9) + CHOOSE(CONTROL!$C$38, 0.0278, 0)</f>
        <v>25.800899999999999</v>
      </c>
      <c r="G270" s="10">
        <f>23.7984 * CHOOSE(CONTROL!$C$15, $E$9, 100%, $G$9) + CHOOSE(CONTROL!$C$38, 0.0369, 0)</f>
        <v>23.8353</v>
      </c>
      <c r="H270" s="10">
        <f>23.7984 * CHOOSE(CONTROL!$C$15, $E$9, 100%, $G$9) + CHOOSE(CONTROL!$C$38, 0.0369, 0)</f>
        <v>23.8353</v>
      </c>
      <c r="I270" s="10">
        <f>23.8 * CHOOSE(CONTROL!$C$15, $E$9, 100%, $G$9) + CHOOSE(CONTROL!$C$38, 0.0369, 0)</f>
        <v>23.8369</v>
      </c>
      <c r="J270" s="26">
        <f>183.5062</f>
        <v>183.50620000000001</v>
      </c>
    </row>
    <row r="271" spans="1:10" ht="15" x14ac:dyDescent="0.2">
      <c r="A271" s="16">
        <v>49157</v>
      </c>
      <c r="B271" s="10">
        <f>26.0313 * CHOOSE(CONTROL!$C$15, $E$9, 100%, $G$9) + CHOOSE(CONTROL!$C$38, 0.0278, 0)</f>
        <v>26.059100000000001</v>
      </c>
      <c r="C271" s="10">
        <f>23.9019 * CHOOSE(CONTROL!$C$15, $E$9, 100%, $G$9) + CHOOSE(CONTROL!$C$38, 0.0369, 0)</f>
        <v>23.938800000000001</v>
      </c>
      <c r="D271" s="10">
        <f>23.8941 * CHOOSE(CONTROL!$C$15, $E$9, 100%, $G$9) + CHOOSE(CONTROL!$C$38, 0.0369, 0)</f>
        <v>23.931000000000001</v>
      </c>
      <c r="E271" s="28">
        <f>25.875 * CHOOSE(CONTROL!$C$15, $E$9, 100%, $G$9) + CHOOSE(CONTROL!$C$38, 0.0369, 0)</f>
        <v>25.911899999999999</v>
      </c>
      <c r="F271" s="27">
        <f>25.875 * CHOOSE(CONTROL!$C$15, $E$9, 100%, $G$9) + CHOOSE(CONTROL!$C$38, 0.0278, 0)</f>
        <v>25.902799999999999</v>
      </c>
      <c r="G271" s="10">
        <f>23.9003 * CHOOSE(CONTROL!$C$15, $E$9, 100%, $G$9) + CHOOSE(CONTROL!$C$38, 0.0369, 0)</f>
        <v>23.937200000000001</v>
      </c>
      <c r="H271" s="10">
        <f>23.9003 * CHOOSE(CONTROL!$C$15, $E$9, 100%, $G$9) + CHOOSE(CONTROL!$C$38, 0.0369, 0)</f>
        <v>23.937200000000001</v>
      </c>
      <c r="I271" s="10">
        <f>23.9019 * CHOOSE(CONTROL!$C$15, $E$9, 100%, $G$9) + CHOOSE(CONTROL!$C$38, 0.0369, 0)</f>
        <v>23.938800000000001</v>
      </c>
      <c r="J271" s="26">
        <f>179.2342</f>
        <v>179.23419999999999</v>
      </c>
    </row>
    <row r="272" spans="1:10" ht="15" x14ac:dyDescent="0.2">
      <c r="A272" s="16">
        <v>49188</v>
      </c>
      <c r="B272" s="10">
        <f>26.3081 * CHOOSE(CONTROL!$C$15, $E$9, 100%, $G$9) + CHOOSE(CONTROL!$C$38, 0.0278, 0)</f>
        <v>26.335899999999999</v>
      </c>
      <c r="C272" s="10">
        <f>24.1787 * CHOOSE(CONTROL!$C$15, $E$9, 100%, $G$9) + CHOOSE(CONTROL!$C$38, 0.0369, 0)</f>
        <v>24.215599999999998</v>
      </c>
      <c r="D272" s="10">
        <f>24.1709 * CHOOSE(CONTROL!$C$15, $E$9, 100%, $G$9) + CHOOSE(CONTROL!$C$38, 0.0369, 0)</f>
        <v>24.207799999999999</v>
      </c>
      <c r="E272" s="28">
        <f>26.1518 * CHOOSE(CONTROL!$C$15, $E$9, 100%, $G$9) + CHOOSE(CONTROL!$C$38, 0.0369, 0)</f>
        <v>26.188700000000001</v>
      </c>
      <c r="F272" s="27">
        <f>26.1518 * CHOOSE(CONTROL!$C$15, $E$9, 100%, $G$9) + CHOOSE(CONTROL!$C$38, 0.0278, 0)</f>
        <v>26.179600000000001</v>
      </c>
      <c r="G272" s="10">
        <f>24.1771 * CHOOSE(CONTROL!$C$15, $E$9, 100%, $G$9) + CHOOSE(CONTROL!$C$38, 0.0369, 0)</f>
        <v>24.213999999999999</v>
      </c>
      <c r="H272" s="10">
        <f>24.1771 * CHOOSE(CONTROL!$C$15, $E$9, 100%, $G$9) + CHOOSE(CONTROL!$C$38, 0.0369, 0)</f>
        <v>24.213999999999999</v>
      </c>
      <c r="I272" s="10">
        <f>24.1787 * CHOOSE(CONTROL!$C$15, $E$9, 100%, $G$9) + CHOOSE(CONTROL!$C$38, 0.0369, 0)</f>
        <v>24.215599999999998</v>
      </c>
      <c r="J272" s="26">
        <f>173.2768</f>
        <v>173.27680000000001</v>
      </c>
    </row>
    <row r="273" spans="1:10" ht="15" x14ac:dyDescent="0.2">
      <c r="A273" s="16">
        <v>49218</v>
      </c>
      <c r="B273" s="10">
        <f>26.5399 * CHOOSE(CONTROL!$C$15, $E$9, 100%, $G$9) + CHOOSE(CONTROL!$C$38, 0.0256, 0)</f>
        <v>26.5655</v>
      </c>
      <c r="C273" s="10">
        <f>24.4105 * CHOOSE(CONTROL!$C$15, $E$9, 100%, $G$9) + CHOOSE(CONTROL!$C$38, 0.0347, 0)</f>
        <v>24.4452</v>
      </c>
      <c r="D273" s="10">
        <f>24.4027 * CHOOSE(CONTROL!$C$15, $E$9, 100%, $G$9) + CHOOSE(CONTROL!$C$38, 0.0347, 0)</f>
        <v>24.4374</v>
      </c>
      <c r="E273" s="28">
        <f>26.3836 * CHOOSE(CONTROL!$C$15, $E$9, 100%, $G$9) + CHOOSE(CONTROL!$C$38, 0.0347, 0)</f>
        <v>26.418300000000002</v>
      </c>
      <c r="F273" s="27">
        <f>26.3836 * CHOOSE(CONTROL!$C$15, $E$9, 100%, $G$9) + CHOOSE(CONTROL!$C$38, 0.0256, 0)</f>
        <v>26.409200000000002</v>
      </c>
      <c r="G273" s="10">
        <f>24.409 * CHOOSE(CONTROL!$C$15, $E$9, 100%, $G$9) + CHOOSE(CONTROL!$C$38, 0.0347, 0)</f>
        <v>24.4437</v>
      </c>
      <c r="H273" s="10">
        <f>24.409 * CHOOSE(CONTROL!$C$15, $E$9, 100%, $G$9) + CHOOSE(CONTROL!$C$38, 0.0347, 0)</f>
        <v>24.4437</v>
      </c>
      <c r="I273" s="10">
        <f>24.4105 * CHOOSE(CONTROL!$C$15, $E$9, 100%, $G$9) + CHOOSE(CONTROL!$C$38, 0.0347, 0)</f>
        <v>24.4452</v>
      </c>
      <c r="J273" s="26">
        <f>167.2847</f>
        <v>167.28469999999999</v>
      </c>
    </row>
    <row r="274" spans="1:10" ht="15" x14ac:dyDescent="0.2">
      <c r="A274" s="16">
        <v>49249</v>
      </c>
      <c r="B274" s="10">
        <f>26.7333 * CHOOSE(CONTROL!$C$15, $E$9, 100%, $G$9) + CHOOSE(CONTROL!$C$38, 0.0256, 0)</f>
        <v>26.758900000000001</v>
      </c>
      <c r="C274" s="10">
        <f>24.604 * CHOOSE(CONTROL!$C$15, $E$9, 100%, $G$9) + CHOOSE(CONTROL!$C$38, 0.0347, 0)</f>
        <v>24.6387</v>
      </c>
      <c r="D274" s="10">
        <f>24.5962 * CHOOSE(CONTROL!$C$15, $E$9, 100%, $G$9) + CHOOSE(CONTROL!$C$38, 0.0347, 0)</f>
        <v>24.6309</v>
      </c>
      <c r="E274" s="28">
        <f>26.5771 * CHOOSE(CONTROL!$C$15, $E$9, 100%, $G$9) + CHOOSE(CONTROL!$C$38, 0.0347, 0)</f>
        <v>26.611800000000002</v>
      </c>
      <c r="F274" s="27">
        <f>26.5771 * CHOOSE(CONTROL!$C$15, $E$9, 100%, $G$9) + CHOOSE(CONTROL!$C$38, 0.0256, 0)</f>
        <v>26.602700000000002</v>
      </c>
      <c r="G274" s="10">
        <f>24.6024 * CHOOSE(CONTROL!$C$15, $E$9, 100%, $G$9) + CHOOSE(CONTROL!$C$38, 0.0347, 0)</f>
        <v>24.6371</v>
      </c>
      <c r="H274" s="10">
        <f>24.6024 * CHOOSE(CONTROL!$C$15, $E$9, 100%, $G$9) + CHOOSE(CONTROL!$C$38, 0.0347, 0)</f>
        <v>24.6371</v>
      </c>
      <c r="I274" s="10">
        <f>24.604 * CHOOSE(CONTROL!$C$15, $E$9, 100%, $G$9) + CHOOSE(CONTROL!$C$38, 0.0347, 0)</f>
        <v>24.6387</v>
      </c>
      <c r="J274" s="26">
        <f>166.0928</f>
        <v>166.09280000000001</v>
      </c>
    </row>
    <row r="275" spans="1:10" ht="15" x14ac:dyDescent="0.2">
      <c r="A275" s="16">
        <v>49279</v>
      </c>
      <c r="B275" s="10">
        <f>27.3294 * CHOOSE(CONTROL!$C$15, $E$9, 100%, $G$9) + CHOOSE(CONTROL!$C$38, 0.0256, 0)</f>
        <v>27.355</v>
      </c>
      <c r="C275" s="10">
        <f>25.2 * CHOOSE(CONTROL!$C$15, $E$9, 100%, $G$9) + CHOOSE(CONTROL!$C$38, 0.0347, 0)</f>
        <v>25.2347</v>
      </c>
      <c r="D275" s="10">
        <f>25.1922 * CHOOSE(CONTROL!$C$15, $E$9, 100%, $G$9) + CHOOSE(CONTROL!$C$38, 0.0347, 0)</f>
        <v>25.226900000000001</v>
      </c>
      <c r="E275" s="28">
        <f>27.1732 * CHOOSE(CONTROL!$C$15, $E$9, 100%, $G$9) + CHOOSE(CONTROL!$C$38, 0.0347, 0)</f>
        <v>27.207900000000002</v>
      </c>
      <c r="F275" s="27">
        <f>27.1732 * CHOOSE(CONTROL!$C$15, $E$9, 100%, $G$9) + CHOOSE(CONTROL!$C$38, 0.0256, 0)</f>
        <v>27.198800000000002</v>
      </c>
      <c r="G275" s="10">
        <f>25.1985 * CHOOSE(CONTROL!$C$15, $E$9, 100%, $G$9) + CHOOSE(CONTROL!$C$38, 0.0347, 0)</f>
        <v>25.2332</v>
      </c>
      <c r="H275" s="10">
        <f>25.1985 * CHOOSE(CONTROL!$C$15, $E$9, 100%, $G$9) + CHOOSE(CONTROL!$C$38, 0.0347, 0)</f>
        <v>25.2332</v>
      </c>
      <c r="I275" s="10">
        <f>25.2 * CHOOSE(CONTROL!$C$15, $E$9, 100%, $G$9) + CHOOSE(CONTROL!$C$38, 0.0347, 0)</f>
        <v>25.2347</v>
      </c>
      <c r="J275" s="26">
        <f>161.164</f>
        <v>161.16399999999999</v>
      </c>
    </row>
    <row r="276" spans="1:10" ht="15" x14ac:dyDescent="0.2">
      <c r="A276" s="16">
        <v>49310</v>
      </c>
      <c r="B276" s="10">
        <f>28.2289 * CHOOSE(CONTROL!$C$15, $E$9, 100%, $G$9) + CHOOSE(CONTROL!$C$38, 0.0256, 0)</f>
        <v>28.2545</v>
      </c>
      <c r="C276" s="10">
        <f>26.0671 * CHOOSE(CONTROL!$C$15, $E$9, 100%, $G$9) + CHOOSE(CONTROL!$C$38, 0.0347, 0)</f>
        <v>26.101800000000001</v>
      </c>
      <c r="D276" s="10">
        <f>26.0593 * CHOOSE(CONTROL!$C$15, $E$9, 100%, $G$9) + CHOOSE(CONTROL!$C$38, 0.0347, 0)</f>
        <v>26.094000000000001</v>
      </c>
      <c r="E276" s="28">
        <f>28.0726 * CHOOSE(CONTROL!$C$15, $E$9, 100%, $G$9) + CHOOSE(CONTROL!$C$38, 0.0347, 0)</f>
        <v>28.107300000000002</v>
      </c>
      <c r="F276" s="27">
        <f>28.0726 * CHOOSE(CONTROL!$C$15, $E$9, 100%, $G$9) + CHOOSE(CONTROL!$C$38, 0.0256, 0)</f>
        <v>28.098200000000002</v>
      </c>
      <c r="G276" s="10">
        <f>26.0656 * CHOOSE(CONTROL!$C$15, $E$9, 100%, $G$9) + CHOOSE(CONTROL!$C$38, 0.0347, 0)</f>
        <v>26.100300000000001</v>
      </c>
      <c r="H276" s="10">
        <f>26.0656 * CHOOSE(CONTROL!$C$15, $E$9, 100%, $G$9) + CHOOSE(CONTROL!$C$38, 0.0347, 0)</f>
        <v>26.100300000000001</v>
      </c>
      <c r="I276" s="10">
        <f>26.0671 * CHOOSE(CONTROL!$C$15, $E$9, 100%, $G$9) + CHOOSE(CONTROL!$C$38, 0.0347, 0)</f>
        <v>26.101800000000001</v>
      </c>
      <c r="J276" s="26">
        <f>160.8562</f>
        <v>160.8562</v>
      </c>
    </row>
    <row r="277" spans="1:10" ht="15" x14ac:dyDescent="0.2">
      <c r="A277" s="16">
        <v>49341</v>
      </c>
      <c r="B277" s="10">
        <f>28.4496 * CHOOSE(CONTROL!$C$15, $E$9, 100%, $G$9) + CHOOSE(CONTROL!$C$38, 0.0256, 0)</f>
        <v>28.475200000000001</v>
      </c>
      <c r="C277" s="10">
        <f>26.2879 * CHOOSE(CONTROL!$C$15, $E$9, 100%, $G$9) + CHOOSE(CONTROL!$C$38, 0.0347, 0)</f>
        <v>26.322600000000001</v>
      </c>
      <c r="D277" s="10">
        <f>26.2801 * CHOOSE(CONTROL!$C$15, $E$9, 100%, $G$9) + CHOOSE(CONTROL!$C$38, 0.0347, 0)</f>
        <v>26.314800000000002</v>
      </c>
      <c r="E277" s="28">
        <f>28.2934 * CHOOSE(CONTROL!$C$15, $E$9, 100%, $G$9) + CHOOSE(CONTROL!$C$38, 0.0347, 0)</f>
        <v>28.328099999999999</v>
      </c>
      <c r="F277" s="27">
        <f>28.2934 * CHOOSE(CONTROL!$C$15, $E$9, 100%, $G$9) + CHOOSE(CONTROL!$C$38, 0.0256, 0)</f>
        <v>28.318999999999999</v>
      </c>
      <c r="G277" s="10">
        <f>26.2863 * CHOOSE(CONTROL!$C$15, $E$9, 100%, $G$9) + CHOOSE(CONTROL!$C$38, 0.0347, 0)</f>
        <v>26.321000000000002</v>
      </c>
      <c r="H277" s="10">
        <f>26.2863 * CHOOSE(CONTROL!$C$15, $E$9, 100%, $G$9) + CHOOSE(CONTROL!$C$38, 0.0347, 0)</f>
        <v>26.321000000000002</v>
      </c>
      <c r="I277" s="10">
        <f>26.2879 * CHOOSE(CONTROL!$C$15, $E$9, 100%, $G$9) + CHOOSE(CONTROL!$C$38, 0.0347, 0)</f>
        <v>26.322600000000001</v>
      </c>
      <c r="J277" s="26">
        <f>160.409</f>
        <v>160.40899999999999</v>
      </c>
    </row>
    <row r="278" spans="1:10" ht="15" x14ac:dyDescent="0.2">
      <c r="A278" s="16">
        <v>49369</v>
      </c>
      <c r="B278" s="10">
        <f>27.9386 * CHOOSE(CONTROL!$C$15, $E$9, 100%, $G$9) + CHOOSE(CONTROL!$C$38, 0.0256, 0)</f>
        <v>27.964200000000002</v>
      </c>
      <c r="C278" s="10">
        <f>25.7769 * CHOOSE(CONTROL!$C$15, $E$9, 100%, $G$9) + CHOOSE(CONTROL!$C$38, 0.0347, 0)</f>
        <v>25.811600000000002</v>
      </c>
      <c r="D278" s="10">
        <f>25.7691 * CHOOSE(CONTROL!$C$15, $E$9, 100%, $G$9) + CHOOSE(CONTROL!$C$38, 0.0347, 0)</f>
        <v>25.803800000000003</v>
      </c>
      <c r="E278" s="28">
        <f>27.7823 * CHOOSE(CONTROL!$C$15, $E$9, 100%, $G$9) + CHOOSE(CONTROL!$C$38, 0.0347, 0)</f>
        <v>27.817</v>
      </c>
      <c r="F278" s="27">
        <f>27.7823 * CHOOSE(CONTROL!$C$15, $E$9, 100%, $G$9) + CHOOSE(CONTROL!$C$38, 0.0256, 0)</f>
        <v>27.8079</v>
      </c>
      <c r="G278" s="10">
        <f>25.7753 * CHOOSE(CONTROL!$C$15, $E$9, 100%, $G$9) + CHOOSE(CONTROL!$C$38, 0.0347, 0)</f>
        <v>25.810000000000002</v>
      </c>
      <c r="H278" s="10">
        <f>25.7753 * CHOOSE(CONTROL!$C$15, $E$9, 100%, $G$9) + CHOOSE(CONTROL!$C$38, 0.0347, 0)</f>
        <v>25.810000000000002</v>
      </c>
      <c r="I278" s="10">
        <f>25.7769 * CHOOSE(CONTROL!$C$15, $E$9, 100%, $G$9) + CHOOSE(CONTROL!$C$38, 0.0347, 0)</f>
        <v>25.811600000000002</v>
      </c>
      <c r="J278" s="26">
        <f>168.8635</f>
        <v>168.86349999999999</v>
      </c>
    </row>
    <row r="279" spans="1:10" ht="15" x14ac:dyDescent="0.2">
      <c r="A279" s="16">
        <v>49400</v>
      </c>
      <c r="B279" s="10">
        <f>27.4434 * CHOOSE(CONTROL!$C$15, $E$9, 100%, $G$9) + CHOOSE(CONTROL!$C$38, 0.0256, 0)</f>
        <v>27.469000000000001</v>
      </c>
      <c r="C279" s="10">
        <f>25.2817 * CHOOSE(CONTROL!$C$15, $E$9, 100%, $G$9) + CHOOSE(CONTROL!$C$38, 0.0347, 0)</f>
        <v>25.316400000000002</v>
      </c>
      <c r="D279" s="10">
        <f>25.2739 * CHOOSE(CONTROL!$C$15, $E$9, 100%, $G$9) + CHOOSE(CONTROL!$C$38, 0.0347, 0)</f>
        <v>25.308600000000002</v>
      </c>
      <c r="E279" s="28">
        <f>27.2872 * CHOOSE(CONTROL!$C$15, $E$9, 100%, $G$9) + CHOOSE(CONTROL!$C$38, 0.0347, 0)</f>
        <v>27.321899999999999</v>
      </c>
      <c r="F279" s="27">
        <f>27.2872 * CHOOSE(CONTROL!$C$15, $E$9, 100%, $G$9) + CHOOSE(CONTROL!$C$38, 0.0256, 0)</f>
        <v>27.312799999999999</v>
      </c>
      <c r="G279" s="10">
        <f>25.2801 * CHOOSE(CONTROL!$C$15, $E$9, 100%, $G$9) + CHOOSE(CONTROL!$C$38, 0.0347, 0)</f>
        <v>25.314800000000002</v>
      </c>
      <c r="H279" s="10">
        <f>25.2801 * CHOOSE(CONTROL!$C$15, $E$9, 100%, $G$9) + CHOOSE(CONTROL!$C$38, 0.0347, 0)</f>
        <v>25.314800000000002</v>
      </c>
      <c r="I279" s="10">
        <f>25.2817 * CHOOSE(CONTROL!$C$15, $E$9, 100%, $G$9) + CHOOSE(CONTROL!$C$38, 0.0347, 0)</f>
        <v>25.316400000000002</v>
      </c>
      <c r="J279" s="26">
        <f>179.827</f>
        <v>179.827</v>
      </c>
    </row>
    <row r="280" spans="1:10" ht="15" x14ac:dyDescent="0.2">
      <c r="A280" s="16">
        <v>49430</v>
      </c>
      <c r="B280" s="10">
        <f>26.9273 * CHOOSE(CONTROL!$C$15, $E$9, 100%, $G$9) + CHOOSE(CONTROL!$C$38, 0.0278, 0)</f>
        <v>26.955099999999998</v>
      </c>
      <c r="C280" s="10">
        <f>24.7656 * CHOOSE(CONTROL!$C$15, $E$9, 100%, $G$9) + CHOOSE(CONTROL!$C$38, 0.0369, 0)</f>
        <v>24.802499999999998</v>
      </c>
      <c r="D280" s="10">
        <f>24.7578 * CHOOSE(CONTROL!$C$15, $E$9, 100%, $G$9) + CHOOSE(CONTROL!$C$38, 0.0369, 0)</f>
        <v>24.794699999999999</v>
      </c>
      <c r="E280" s="28">
        <f>26.771 * CHOOSE(CONTROL!$C$15, $E$9, 100%, $G$9) + CHOOSE(CONTROL!$C$38, 0.0369, 0)</f>
        <v>26.8079</v>
      </c>
      <c r="F280" s="27">
        <f>26.771 * CHOOSE(CONTROL!$C$15, $E$9, 100%, $G$9) + CHOOSE(CONTROL!$C$38, 0.0278, 0)</f>
        <v>26.7988</v>
      </c>
      <c r="G280" s="10">
        <f>24.764 * CHOOSE(CONTROL!$C$15, $E$9, 100%, $G$9) + CHOOSE(CONTROL!$C$38, 0.0369, 0)</f>
        <v>24.800899999999999</v>
      </c>
      <c r="H280" s="10">
        <f>24.764 * CHOOSE(CONTROL!$C$15, $E$9, 100%, $G$9) + CHOOSE(CONTROL!$C$38, 0.0369, 0)</f>
        <v>24.800899999999999</v>
      </c>
      <c r="I280" s="10">
        <f>24.7656 * CHOOSE(CONTROL!$C$15, $E$9, 100%, $G$9) + CHOOSE(CONTROL!$C$38, 0.0369, 0)</f>
        <v>24.802499999999998</v>
      </c>
      <c r="J280" s="26">
        <f>185.8616</f>
        <v>185.86160000000001</v>
      </c>
    </row>
    <row r="281" spans="1:10" ht="15" x14ac:dyDescent="0.2">
      <c r="A281" s="15">
        <v>49461</v>
      </c>
      <c r="B281" s="10">
        <f>26.5655 * CHOOSE(CONTROL!$C$15, $E$9, 100%, $G$9) + CHOOSE(CONTROL!$C$38, 0.0278, 0)</f>
        <v>26.593299999999999</v>
      </c>
      <c r="C281" s="10">
        <f>24.4037 * CHOOSE(CONTROL!$C$15, $E$9, 100%, $G$9) + CHOOSE(CONTROL!$C$38, 0.0369, 0)</f>
        <v>24.4406</v>
      </c>
      <c r="D281" s="10">
        <f>24.3959 * CHOOSE(CONTROL!$C$15, $E$9, 100%, $G$9) + CHOOSE(CONTROL!$C$38, 0.0369, 0)</f>
        <v>24.4328</v>
      </c>
      <c r="E281" s="28">
        <f>26.4092 * CHOOSE(CONTROL!$C$15, $E$9, 100%, $G$9) + CHOOSE(CONTROL!$C$38, 0.0369, 0)</f>
        <v>26.446099999999998</v>
      </c>
      <c r="F281" s="27">
        <f>26.4092 * CHOOSE(CONTROL!$C$15, $E$9, 100%, $G$9) + CHOOSE(CONTROL!$C$38, 0.0278, 0)</f>
        <v>26.436999999999998</v>
      </c>
      <c r="G281" s="10">
        <f>24.4022 * CHOOSE(CONTROL!$C$15, $E$9, 100%, $G$9) + CHOOSE(CONTROL!$C$38, 0.0369, 0)</f>
        <v>24.4391</v>
      </c>
      <c r="H281" s="10">
        <f>24.4022 * CHOOSE(CONTROL!$C$15, $E$9, 100%, $G$9) + CHOOSE(CONTROL!$C$38, 0.0369, 0)</f>
        <v>24.4391</v>
      </c>
      <c r="I281" s="10">
        <f>24.4037 * CHOOSE(CONTROL!$C$15, $E$9, 100%, $G$9) + CHOOSE(CONTROL!$C$38, 0.0369, 0)</f>
        <v>24.4406</v>
      </c>
      <c r="J281" s="26">
        <f>188.5397</f>
        <v>188.53970000000001</v>
      </c>
    </row>
    <row r="282" spans="1:10" ht="15" x14ac:dyDescent="0.2">
      <c r="A282" s="15">
        <v>49491</v>
      </c>
      <c r="B282" s="10">
        <f>26.359 * CHOOSE(CONTROL!$C$15, $E$9, 100%, $G$9) + CHOOSE(CONTROL!$C$38, 0.0278, 0)</f>
        <v>26.386800000000001</v>
      </c>
      <c r="C282" s="10">
        <f>24.1973 * CHOOSE(CONTROL!$C$15, $E$9, 100%, $G$9) + CHOOSE(CONTROL!$C$38, 0.0369, 0)</f>
        <v>24.234199999999998</v>
      </c>
      <c r="D282" s="10">
        <f>24.1894 * CHOOSE(CONTROL!$C$15, $E$9, 100%, $G$9) + CHOOSE(CONTROL!$C$38, 0.0369, 0)</f>
        <v>24.226299999999998</v>
      </c>
      <c r="E282" s="28">
        <f>26.2027 * CHOOSE(CONTROL!$C$15, $E$9, 100%, $G$9) + CHOOSE(CONTROL!$C$38, 0.0369, 0)</f>
        <v>26.239599999999999</v>
      </c>
      <c r="F282" s="27">
        <f>26.2027 * CHOOSE(CONTROL!$C$15, $E$9, 100%, $G$9) + CHOOSE(CONTROL!$C$38, 0.0278, 0)</f>
        <v>26.230499999999999</v>
      </c>
      <c r="G282" s="10">
        <f>24.1957 * CHOOSE(CONTROL!$C$15, $E$9, 100%, $G$9) + CHOOSE(CONTROL!$C$38, 0.0369, 0)</f>
        <v>24.232599999999998</v>
      </c>
      <c r="H282" s="10">
        <f>24.1957 * CHOOSE(CONTROL!$C$15, $E$9, 100%, $G$9) + CHOOSE(CONTROL!$C$38, 0.0369, 0)</f>
        <v>24.232599999999998</v>
      </c>
      <c r="I282" s="10">
        <f>24.1973 * CHOOSE(CONTROL!$C$15, $E$9, 100%, $G$9) + CHOOSE(CONTROL!$C$38, 0.0369, 0)</f>
        <v>24.234199999999998</v>
      </c>
      <c r="J282" s="26">
        <f>187.6579</f>
        <v>187.65790000000001</v>
      </c>
    </row>
    <row r="283" spans="1:10" ht="15" x14ac:dyDescent="0.2">
      <c r="A283" s="15">
        <v>49522</v>
      </c>
      <c r="B283" s="10">
        <f>26.4609 * CHOOSE(CONTROL!$C$15, $E$9, 100%, $G$9) + CHOOSE(CONTROL!$C$38, 0.0278, 0)</f>
        <v>26.488699999999998</v>
      </c>
      <c r="C283" s="10">
        <f>24.2992 * CHOOSE(CONTROL!$C$15, $E$9, 100%, $G$9) + CHOOSE(CONTROL!$C$38, 0.0369, 0)</f>
        <v>24.336099999999998</v>
      </c>
      <c r="D283" s="10">
        <f>24.2913 * CHOOSE(CONTROL!$C$15, $E$9, 100%, $G$9) + CHOOSE(CONTROL!$C$38, 0.0369, 0)</f>
        <v>24.328199999999999</v>
      </c>
      <c r="E283" s="28">
        <f>26.3046 * CHOOSE(CONTROL!$C$15, $E$9, 100%, $G$9) + CHOOSE(CONTROL!$C$38, 0.0369, 0)</f>
        <v>26.3415</v>
      </c>
      <c r="F283" s="27">
        <f>26.3046 * CHOOSE(CONTROL!$C$15, $E$9, 100%, $G$9) + CHOOSE(CONTROL!$C$38, 0.0278, 0)</f>
        <v>26.3324</v>
      </c>
      <c r="G283" s="10">
        <f>24.2976 * CHOOSE(CONTROL!$C$15, $E$9, 100%, $G$9) + CHOOSE(CONTROL!$C$38, 0.0369, 0)</f>
        <v>24.334499999999998</v>
      </c>
      <c r="H283" s="10">
        <f>24.2976 * CHOOSE(CONTROL!$C$15, $E$9, 100%, $G$9) + CHOOSE(CONTROL!$C$38, 0.0369, 0)</f>
        <v>24.334499999999998</v>
      </c>
      <c r="I283" s="10">
        <f>24.2992 * CHOOSE(CONTROL!$C$15, $E$9, 100%, $G$9) + CHOOSE(CONTROL!$C$38, 0.0369, 0)</f>
        <v>24.336099999999998</v>
      </c>
      <c r="J283" s="26">
        <f>183.2893</f>
        <v>183.2893</v>
      </c>
    </row>
    <row r="284" spans="1:10" ht="15" x14ac:dyDescent="0.2">
      <c r="A284" s="15">
        <v>49553</v>
      </c>
      <c r="B284" s="10">
        <f>26.7377 * CHOOSE(CONTROL!$C$15, $E$9, 100%, $G$9) + CHOOSE(CONTROL!$C$38, 0.0278, 0)</f>
        <v>26.765499999999999</v>
      </c>
      <c r="C284" s="10">
        <f>24.576 * CHOOSE(CONTROL!$C$15, $E$9, 100%, $G$9) + CHOOSE(CONTROL!$C$38, 0.0369, 0)</f>
        <v>24.6129</v>
      </c>
      <c r="D284" s="10">
        <f>24.5681 * CHOOSE(CONTROL!$C$15, $E$9, 100%, $G$9) + CHOOSE(CONTROL!$C$38, 0.0369, 0)</f>
        <v>24.605</v>
      </c>
      <c r="E284" s="28">
        <f>26.5814 * CHOOSE(CONTROL!$C$15, $E$9, 100%, $G$9) + CHOOSE(CONTROL!$C$38, 0.0369, 0)</f>
        <v>26.618299999999998</v>
      </c>
      <c r="F284" s="27">
        <f>26.5814 * CHOOSE(CONTROL!$C$15, $E$9, 100%, $G$9) + CHOOSE(CONTROL!$C$38, 0.0278, 0)</f>
        <v>26.609199999999998</v>
      </c>
      <c r="G284" s="10">
        <f>24.5744 * CHOOSE(CONTROL!$C$15, $E$9, 100%, $G$9) + CHOOSE(CONTROL!$C$38, 0.0369, 0)</f>
        <v>24.6113</v>
      </c>
      <c r="H284" s="10">
        <f>24.5744 * CHOOSE(CONTROL!$C$15, $E$9, 100%, $G$9) + CHOOSE(CONTROL!$C$38, 0.0369, 0)</f>
        <v>24.6113</v>
      </c>
      <c r="I284" s="10">
        <f>24.576 * CHOOSE(CONTROL!$C$15, $E$9, 100%, $G$9) + CHOOSE(CONTROL!$C$38, 0.0369, 0)</f>
        <v>24.6129</v>
      </c>
      <c r="J284" s="26">
        <f>177.1971</f>
        <v>177.19710000000001</v>
      </c>
    </row>
    <row r="285" spans="1:10" ht="15" x14ac:dyDescent="0.2">
      <c r="A285" s="15">
        <v>49583</v>
      </c>
      <c r="B285" s="10">
        <f>26.9695 * CHOOSE(CONTROL!$C$15, $E$9, 100%, $G$9) + CHOOSE(CONTROL!$C$38, 0.0256, 0)</f>
        <v>26.995100000000001</v>
      </c>
      <c r="C285" s="10">
        <f>24.8078 * CHOOSE(CONTROL!$C$15, $E$9, 100%, $G$9) + CHOOSE(CONTROL!$C$38, 0.0347, 0)</f>
        <v>24.842500000000001</v>
      </c>
      <c r="D285" s="10">
        <f>24.8 * CHOOSE(CONTROL!$C$15, $E$9, 100%, $G$9) + CHOOSE(CONTROL!$C$38, 0.0347, 0)</f>
        <v>24.834700000000002</v>
      </c>
      <c r="E285" s="28">
        <f>26.8133 * CHOOSE(CONTROL!$C$15, $E$9, 100%, $G$9) + CHOOSE(CONTROL!$C$38, 0.0347, 0)</f>
        <v>26.848000000000003</v>
      </c>
      <c r="F285" s="27">
        <f>26.8133 * CHOOSE(CONTROL!$C$15, $E$9, 100%, $G$9) + CHOOSE(CONTROL!$C$38, 0.0256, 0)</f>
        <v>26.838900000000002</v>
      </c>
      <c r="G285" s="10">
        <f>24.8062 * CHOOSE(CONTROL!$C$15, $E$9, 100%, $G$9) + CHOOSE(CONTROL!$C$38, 0.0347, 0)</f>
        <v>24.840900000000001</v>
      </c>
      <c r="H285" s="10">
        <f>24.8062 * CHOOSE(CONTROL!$C$15, $E$9, 100%, $G$9) + CHOOSE(CONTROL!$C$38, 0.0347, 0)</f>
        <v>24.840900000000001</v>
      </c>
      <c r="I285" s="10">
        <f>24.8078 * CHOOSE(CONTROL!$C$15, $E$9, 100%, $G$9) + CHOOSE(CONTROL!$C$38, 0.0347, 0)</f>
        <v>24.842500000000001</v>
      </c>
      <c r="J285" s="26">
        <f>171.0695</f>
        <v>171.06950000000001</v>
      </c>
    </row>
    <row r="286" spans="1:10" ht="15" x14ac:dyDescent="0.2">
      <c r="A286" s="15">
        <v>49614</v>
      </c>
      <c r="B286" s="10">
        <f>27.1629 * CHOOSE(CONTROL!$C$15, $E$9, 100%, $G$9) + CHOOSE(CONTROL!$C$38, 0.0256, 0)</f>
        <v>27.188500000000001</v>
      </c>
      <c r="C286" s="10">
        <f>25.0012 * CHOOSE(CONTROL!$C$15, $E$9, 100%, $G$9) + CHOOSE(CONTROL!$C$38, 0.0347, 0)</f>
        <v>25.035900000000002</v>
      </c>
      <c r="D286" s="10">
        <f>24.9934 * CHOOSE(CONTROL!$C$15, $E$9, 100%, $G$9) + CHOOSE(CONTROL!$C$38, 0.0347, 0)</f>
        <v>25.028100000000002</v>
      </c>
      <c r="E286" s="28">
        <f>27.0067 * CHOOSE(CONTROL!$C$15, $E$9, 100%, $G$9) + CHOOSE(CONTROL!$C$38, 0.0347, 0)</f>
        <v>27.041399999999999</v>
      </c>
      <c r="F286" s="27">
        <f>27.0067 * CHOOSE(CONTROL!$C$15, $E$9, 100%, $G$9) + CHOOSE(CONTROL!$C$38, 0.0256, 0)</f>
        <v>27.032299999999999</v>
      </c>
      <c r="G286" s="10">
        <f>24.9997 * CHOOSE(CONTROL!$C$15, $E$9, 100%, $G$9) + CHOOSE(CONTROL!$C$38, 0.0347, 0)</f>
        <v>25.034400000000002</v>
      </c>
      <c r="H286" s="10">
        <f>24.9997 * CHOOSE(CONTROL!$C$15, $E$9, 100%, $G$9) + CHOOSE(CONTROL!$C$38, 0.0347, 0)</f>
        <v>25.034400000000002</v>
      </c>
      <c r="I286" s="10">
        <f>25.0012 * CHOOSE(CONTROL!$C$15, $E$9, 100%, $G$9) + CHOOSE(CONTROL!$C$38, 0.0347, 0)</f>
        <v>25.035900000000002</v>
      </c>
      <c r="J286" s="26">
        <f>169.8505</f>
        <v>169.85050000000001</v>
      </c>
    </row>
    <row r="287" spans="1:10" ht="15" x14ac:dyDescent="0.2">
      <c r="A287" s="15">
        <v>49644</v>
      </c>
      <c r="B287" s="10">
        <f>27.759 * CHOOSE(CONTROL!$C$15, $E$9, 100%, $G$9) + CHOOSE(CONTROL!$C$38, 0.0256, 0)</f>
        <v>27.784600000000001</v>
      </c>
      <c r="C287" s="10">
        <f>25.5973 * CHOOSE(CONTROL!$C$15, $E$9, 100%, $G$9) + CHOOSE(CONTROL!$C$38, 0.0347, 0)</f>
        <v>25.632000000000001</v>
      </c>
      <c r="D287" s="10">
        <f>25.5895 * CHOOSE(CONTROL!$C$15, $E$9, 100%, $G$9) + CHOOSE(CONTROL!$C$38, 0.0347, 0)</f>
        <v>25.624200000000002</v>
      </c>
      <c r="E287" s="28">
        <f>27.6028 * CHOOSE(CONTROL!$C$15, $E$9, 100%, $G$9) + CHOOSE(CONTROL!$C$38, 0.0347, 0)</f>
        <v>27.637499999999999</v>
      </c>
      <c r="F287" s="27">
        <f>27.6028 * CHOOSE(CONTROL!$C$15, $E$9, 100%, $G$9) + CHOOSE(CONTROL!$C$38, 0.0256, 0)</f>
        <v>27.628399999999999</v>
      </c>
      <c r="G287" s="10">
        <f>25.5957 * CHOOSE(CONTROL!$C$15, $E$9, 100%, $G$9) + CHOOSE(CONTROL!$C$38, 0.0347, 0)</f>
        <v>25.630400000000002</v>
      </c>
      <c r="H287" s="10">
        <f>25.5957 * CHOOSE(CONTROL!$C$15, $E$9, 100%, $G$9) + CHOOSE(CONTROL!$C$38, 0.0347, 0)</f>
        <v>25.630400000000002</v>
      </c>
      <c r="I287" s="10">
        <f>25.5973 * CHOOSE(CONTROL!$C$15, $E$9, 100%, $G$9) + CHOOSE(CONTROL!$C$38, 0.0347, 0)</f>
        <v>25.632000000000001</v>
      </c>
      <c r="J287" s="26">
        <f>164.8102</f>
        <v>164.81020000000001</v>
      </c>
    </row>
    <row r="288" spans="1:10" ht="15" x14ac:dyDescent="0.2">
      <c r="A288" s="15">
        <v>49675</v>
      </c>
      <c r="B288" s="10">
        <f>28.6655 * CHOOSE(CONTROL!$C$15, $E$9, 100%, $G$9) + CHOOSE(CONTROL!$C$38, 0.0256, 0)</f>
        <v>28.691100000000002</v>
      </c>
      <c r="C288" s="10">
        <f>26.4709 * CHOOSE(CONTROL!$C$15, $E$9, 100%, $G$9) + CHOOSE(CONTROL!$C$38, 0.0347, 0)</f>
        <v>26.505600000000001</v>
      </c>
      <c r="D288" s="10">
        <f>26.4631 * CHOOSE(CONTROL!$C$15, $E$9, 100%, $G$9) + CHOOSE(CONTROL!$C$38, 0.0347, 0)</f>
        <v>26.497800000000002</v>
      </c>
      <c r="E288" s="28">
        <f>28.5093 * CHOOSE(CONTROL!$C$15, $E$9, 100%, $G$9) + CHOOSE(CONTROL!$C$38, 0.0347, 0)</f>
        <v>28.544</v>
      </c>
      <c r="F288" s="27">
        <f>28.5093 * CHOOSE(CONTROL!$C$15, $E$9, 100%, $G$9) + CHOOSE(CONTROL!$C$38, 0.0256, 0)</f>
        <v>28.5349</v>
      </c>
      <c r="G288" s="10">
        <f>26.4694 * CHOOSE(CONTROL!$C$15, $E$9, 100%, $G$9) + CHOOSE(CONTROL!$C$38, 0.0347, 0)</f>
        <v>26.504100000000001</v>
      </c>
      <c r="H288" s="10">
        <f>26.4694 * CHOOSE(CONTROL!$C$15, $E$9, 100%, $G$9) + CHOOSE(CONTROL!$C$38, 0.0347, 0)</f>
        <v>26.504100000000001</v>
      </c>
      <c r="I288" s="10">
        <f>26.4709 * CHOOSE(CONTROL!$C$15, $E$9, 100%, $G$9) + CHOOSE(CONTROL!$C$38, 0.0347, 0)</f>
        <v>26.505600000000001</v>
      </c>
      <c r="J288" s="26">
        <f>164.4955</f>
        <v>164.49549999999999</v>
      </c>
    </row>
    <row r="289" spans="1:10" ht="15" x14ac:dyDescent="0.2">
      <c r="A289" s="15">
        <v>49706</v>
      </c>
      <c r="B289" s="10">
        <f>28.8863 * CHOOSE(CONTROL!$C$15, $E$9, 100%, $G$9) + CHOOSE(CONTROL!$C$38, 0.0256, 0)</f>
        <v>28.911899999999999</v>
      </c>
      <c r="C289" s="10">
        <f>26.6917 * CHOOSE(CONTROL!$C$15, $E$9, 100%, $G$9) + CHOOSE(CONTROL!$C$38, 0.0347, 0)</f>
        <v>26.726400000000002</v>
      </c>
      <c r="D289" s="10">
        <f>26.6839 * CHOOSE(CONTROL!$C$15, $E$9, 100%, $G$9) + CHOOSE(CONTROL!$C$38, 0.0347, 0)</f>
        <v>26.718600000000002</v>
      </c>
      <c r="E289" s="28">
        <f>28.73 * CHOOSE(CONTROL!$C$15, $E$9, 100%, $G$9) + CHOOSE(CONTROL!$C$38, 0.0347, 0)</f>
        <v>28.764700000000001</v>
      </c>
      <c r="F289" s="27">
        <f>28.73 * CHOOSE(CONTROL!$C$15, $E$9, 100%, $G$9) + CHOOSE(CONTROL!$C$38, 0.0256, 0)</f>
        <v>28.755600000000001</v>
      </c>
      <c r="G289" s="10">
        <f>26.6901 * CHOOSE(CONTROL!$C$15, $E$9, 100%, $G$9) + CHOOSE(CONTROL!$C$38, 0.0347, 0)</f>
        <v>26.724800000000002</v>
      </c>
      <c r="H289" s="10">
        <f>26.6901 * CHOOSE(CONTROL!$C$15, $E$9, 100%, $G$9) + CHOOSE(CONTROL!$C$38, 0.0347, 0)</f>
        <v>26.724800000000002</v>
      </c>
      <c r="I289" s="10">
        <f>26.6917 * CHOOSE(CONTROL!$C$15, $E$9, 100%, $G$9) + CHOOSE(CONTROL!$C$38, 0.0347, 0)</f>
        <v>26.726400000000002</v>
      </c>
      <c r="J289" s="26">
        <f>164.0382</f>
        <v>164.03819999999999</v>
      </c>
    </row>
    <row r="290" spans="1:10" ht="15" x14ac:dyDescent="0.2">
      <c r="A290" s="15">
        <v>49735</v>
      </c>
      <c r="B290" s="10">
        <f>28.3752 * CHOOSE(CONTROL!$C$15, $E$9, 100%, $G$9) + CHOOSE(CONTROL!$C$38, 0.0256, 0)</f>
        <v>28.4008</v>
      </c>
      <c r="C290" s="10">
        <f>26.1806 * CHOOSE(CONTROL!$C$15, $E$9, 100%, $G$9) + CHOOSE(CONTROL!$C$38, 0.0347, 0)</f>
        <v>26.215299999999999</v>
      </c>
      <c r="D290" s="10">
        <f>26.1728 * CHOOSE(CONTROL!$C$15, $E$9, 100%, $G$9) + CHOOSE(CONTROL!$C$38, 0.0347, 0)</f>
        <v>26.2075</v>
      </c>
      <c r="E290" s="28">
        <f>28.219 * CHOOSE(CONTROL!$C$15, $E$9, 100%, $G$9) + CHOOSE(CONTROL!$C$38, 0.0347, 0)</f>
        <v>28.253700000000002</v>
      </c>
      <c r="F290" s="27">
        <f>28.219 * CHOOSE(CONTROL!$C$15, $E$9, 100%, $G$9) + CHOOSE(CONTROL!$C$38, 0.0256, 0)</f>
        <v>28.244600000000002</v>
      </c>
      <c r="G290" s="10">
        <f>26.1791 * CHOOSE(CONTROL!$C$15, $E$9, 100%, $G$9) + CHOOSE(CONTROL!$C$38, 0.0347, 0)</f>
        <v>26.213799999999999</v>
      </c>
      <c r="H290" s="10">
        <f>26.1791 * CHOOSE(CONTROL!$C$15, $E$9, 100%, $G$9) + CHOOSE(CONTROL!$C$38, 0.0347, 0)</f>
        <v>26.213799999999999</v>
      </c>
      <c r="I290" s="10">
        <f>26.1806 * CHOOSE(CONTROL!$C$15, $E$9, 100%, $G$9) + CHOOSE(CONTROL!$C$38, 0.0347, 0)</f>
        <v>26.215299999999999</v>
      </c>
      <c r="J290" s="26">
        <f>172.684</f>
        <v>172.684</v>
      </c>
    </row>
    <row r="291" spans="1:10" ht="15" x14ac:dyDescent="0.2">
      <c r="A291" s="15">
        <v>49766</v>
      </c>
      <c r="B291" s="10">
        <f>27.8801 * CHOOSE(CONTROL!$C$15, $E$9, 100%, $G$9) + CHOOSE(CONTROL!$C$38, 0.0256, 0)</f>
        <v>27.9057</v>
      </c>
      <c r="C291" s="10">
        <f>25.6855 * CHOOSE(CONTROL!$C$15, $E$9, 100%, $G$9) + CHOOSE(CONTROL!$C$38, 0.0347, 0)</f>
        <v>25.720200000000002</v>
      </c>
      <c r="D291" s="10">
        <f>25.6777 * CHOOSE(CONTROL!$C$15, $E$9, 100%, $G$9) + CHOOSE(CONTROL!$C$38, 0.0347, 0)</f>
        <v>25.712400000000002</v>
      </c>
      <c r="E291" s="28">
        <f>27.7238 * CHOOSE(CONTROL!$C$15, $E$9, 100%, $G$9) + CHOOSE(CONTROL!$C$38, 0.0347, 0)</f>
        <v>27.758500000000002</v>
      </c>
      <c r="F291" s="27">
        <f>27.7238 * CHOOSE(CONTROL!$C$15, $E$9, 100%, $G$9) + CHOOSE(CONTROL!$C$38, 0.0256, 0)</f>
        <v>27.749400000000001</v>
      </c>
      <c r="G291" s="10">
        <f>25.6839 * CHOOSE(CONTROL!$C$15, $E$9, 100%, $G$9) + CHOOSE(CONTROL!$C$38, 0.0347, 0)</f>
        <v>25.718600000000002</v>
      </c>
      <c r="H291" s="10">
        <f>25.6839 * CHOOSE(CONTROL!$C$15, $E$9, 100%, $G$9) + CHOOSE(CONTROL!$C$38, 0.0347, 0)</f>
        <v>25.718600000000002</v>
      </c>
      <c r="I291" s="10">
        <f>25.6855 * CHOOSE(CONTROL!$C$15, $E$9, 100%, $G$9) + CHOOSE(CONTROL!$C$38, 0.0347, 0)</f>
        <v>25.720200000000002</v>
      </c>
      <c r="J291" s="26">
        <f>183.8955</f>
        <v>183.8955</v>
      </c>
    </row>
    <row r="292" spans="1:10" ht="15" x14ac:dyDescent="0.2">
      <c r="A292" s="15">
        <v>49796</v>
      </c>
      <c r="B292" s="10">
        <f>27.364 * CHOOSE(CONTROL!$C$15, $E$9, 100%, $G$9) + CHOOSE(CONTROL!$C$38, 0.0278, 0)</f>
        <v>27.3918</v>
      </c>
      <c r="C292" s="10">
        <f>25.1694 * CHOOSE(CONTROL!$C$15, $E$9, 100%, $G$9) + CHOOSE(CONTROL!$C$38, 0.0369, 0)</f>
        <v>25.206299999999999</v>
      </c>
      <c r="D292" s="10">
        <f>25.1615 * CHOOSE(CONTROL!$C$15, $E$9, 100%, $G$9) + CHOOSE(CONTROL!$C$38, 0.0369, 0)</f>
        <v>25.198399999999999</v>
      </c>
      <c r="E292" s="28">
        <f>27.2077 * CHOOSE(CONTROL!$C$15, $E$9, 100%, $G$9) + CHOOSE(CONTROL!$C$38, 0.0369, 0)</f>
        <v>27.244599999999998</v>
      </c>
      <c r="F292" s="27">
        <f>27.2077 * CHOOSE(CONTROL!$C$15, $E$9, 100%, $G$9) + CHOOSE(CONTROL!$C$38, 0.0278, 0)</f>
        <v>27.235499999999998</v>
      </c>
      <c r="G292" s="10">
        <f>25.1678 * CHOOSE(CONTROL!$C$15, $E$9, 100%, $G$9) + CHOOSE(CONTROL!$C$38, 0.0369, 0)</f>
        <v>25.204699999999999</v>
      </c>
      <c r="H292" s="10">
        <f>25.1678 * CHOOSE(CONTROL!$C$15, $E$9, 100%, $G$9) + CHOOSE(CONTROL!$C$38, 0.0369, 0)</f>
        <v>25.204699999999999</v>
      </c>
      <c r="I292" s="10">
        <f>25.1694 * CHOOSE(CONTROL!$C$15, $E$9, 100%, $G$9) + CHOOSE(CONTROL!$C$38, 0.0369, 0)</f>
        <v>25.206299999999999</v>
      </c>
      <c r="J292" s="26">
        <f>190.0666</f>
        <v>190.06659999999999</v>
      </c>
    </row>
    <row r="293" spans="1:10" ht="15" x14ac:dyDescent="0.2">
      <c r="A293" s="15">
        <v>49827</v>
      </c>
      <c r="B293" s="10">
        <f>27.0021 * CHOOSE(CONTROL!$C$15, $E$9, 100%, $G$9) + CHOOSE(CONTROL!$C$38, 0.0278, 0)</f>
        <v>27.029899999999998</v>
      </c>
      <c r="C293" s="10">
        <f>24.8075 * CHOOSE(CONTROL!$C$15, $E$9, 100%, $G$9) + CHOOSE(CONTROL!$C$38, 0.0369, 0)</f>
        <v>24.8444</v>
      </c>
      <c r="D293" s="10">
        <f>24.7997 * CHOOSE(CONTROL!$C$15, $E$9, 100%, $G$9) + CHOOSE(CONTROL!$C$38, 0.0369, 0)</f>
        <v>24.836600000000001</v>
      </c>
      <c r="E293" s="28">
        <f>26.8459 * CHOOSE(CONTROL!$C$15, $E$9, 100%, $G$9) + CHOOSE(CONTROL!$C$38, 0.0369, 0)</f>
        <v>26.8828</v>
      </c>
      <c r="F293" s="27">
        <f>26.8459 * CHOOSE(CONTROL!$C$15, $E$9, 100%, $G$9) + CHOOSE(CONTROL!$C$38, 0.0278, 0)</f>
        <v>26.873699999999999</v>
      </c>
      <c r="G293" s="10">
        <f>24.806 * CHOOSE(CONTROL!$C$15, $E$9, 100%, $G$9) + CHOOSE(CONTROL!$C$38, 0.0369, 0)</f>
        <v>24.8429</v>
      </c>
      <c r="H293" s="10">
        <f>24.806 * CHOOSE(CONTROL!$C$15, $E$9, 100%, $G$9) + CHOOSE(CONTROL!$C$38, 0.0369, 0)</f>
        <v>24.8429</v>
      </c>
      <c r="I293" s="10">
        <f>24.8075 * CHOOSE(CONTROL!$C$15, $E$9, 100%, $G$9) + CHOOSE(CONTROL!$C$38, 0.0369, 0)</f>
        <v>24.8444</v>
      </c>
      <c r="J293" s="26">
        <f>192.8053</f>
        <v>192.80529999999999</v>
      </c>
    </row>
    <row r="294" spans="1:10" ht="15" x14ac:dyDescent="0.2">
      <c r="A294" s="15">
        <v>49857</v>
      </c>
      <c r="B294" s="10">
        <f>26.7956 * CHOOSE(CONTROL!$C$15, $E$9, 100%, $G$9) + CHOOSE(CONTROL!$C$38, 0.0278, 0)</f>
        <v>26.823399999999999</v>
      </c>
      <c r="C294" s="10">
        <f>24.601 * CHOOSE(CONTROL!$C$15, $E$9, 100%, $G$9) + CHOOSE(CONTROL!$C$38, 0.0369, 0)</f>
        <v>24.637899999999998</v>
      </c>
      <c r="D294" s="10">
        <f>24.5932 * CHOOSE(CONTROL!$C$15, $E$9, 100%, $G$9) + CHOOSE(CONTROL!$C$38, 0.0369, 0)</f>
        <v>24.630099999999999</v>
      </c>
      <c r="E294" s="28">
        <f>26.6394 * CHOOSE(CONTROL!$C$15, $E$9, 100%, $G$9) + CHOOSE(CONTROL!$C$38, 0.0369, 0)</f>
        <v>26.676299999999998</v>
      </c>
      <c r="F294" s="27">
        <f>26.6394 * CHOOSE(CONTROL!$C$15, $E$9, 100%, $G$9) + CHOOSE(CONTROL!$C$38, 0.0278, 0)</f>
        <v>26.667199999999998</v>
      </c>
      <c r="G294" s="10">
        <f>24.5995 * CHOOSE(CONTROL!$C$15, $E$9, 100%, $G$9) + CHOOSE(CONTROL!$C$38, 0.0369, 0)</f>
        <v>24.636399999999998</v>
      </c>
      <c r="H294" s="10">
        <f>24.5995 * CHOOSE(CONTROL!$C$15, $E$9, 100%, $G$9) + CHOOSE(CONTROL!$C$38, 0.0369, 0)</f>
        <v>24.636399999999998</v>
      </c>
      <c r="I294" s="10">
        <f>24.601 * CHOOSE(CONTROL!$C$15, $E$9, 100%, $G$9) + CHOOSE(CONTROL!$C$38, 0.0369, 0)</f>
        <v>24.637899999999998</v>
      </c>
      <c r="J294" s="26">
        <f>191.9036</f>
        <v>191.90360000000001</v>
      </c>
    </row>
    <row r="295" spans="1:10" ht="15" x14ac:dyDescent="0.2">
      <c r="A295" s="15">
        <v>49888</v>
      </c>
      <c r="B295" s="10">
        <f>26.8975 * CHOOSE(CONTROL!$C$15, $E$9, 100%, $G$9) + CHOOSE(CONTROL!$C$38, 0.0278, 0)</f>
        <v>26.9253</v>
      </c>
      <c r="C295" s="10">
        <f>24.7029 * CHOOSE(CONTROL!$C$15, $E$9, 100%, $G$9) + CHOOSE(CONTROL!$C$38, 0.0369, 0)</f>
        <v>24.739799999999999</v>
      </c>
      <c r="D295" s="10">
        <f>24.6951 * CHOOSE(CONTROL!$C$15, $E$9, 100%, $G$9) + CHOOSE(CONTROL!$C$38, 0.0369, 0)</f>
        <v>24.731999999999999</v>
      </c>
      <c r="E295" s="28">
        <f>26.7413 * CHOOSE(CONTROL!$C$15, $E$9, 100%, $G$9) + CHOOSE(CONTROL!$C$38, 0.0369, 0)</f>
        <v>26.778199999999998</v>
      </c>
      <c r="F295" s="27">
        <f>26.7413 * CHOOSE(CONTROL!$C$15, $E$9, 100%, $G$9) + CHOOSE(CONTROL!$C$38, 0.0278, 0)</f>
        <v>26.769099999999998</v>
      </c>
      <c r="G295" s="10">
        <f>24.7014 * CHOOSE(CONTROL!$C$15, $E$9, 100%, $G$9) + CHOOSE(CONTROL!$C$38, 0.0369, 0)</f>
        <v>24.738299999999999</v>
      </c>
      <c r="H295" s="10">
        <f>24.7014 * CHOOSE(CONTROL!$C$15, $E$9, 100%, $G$9) + CHOOSE(CONTROL!$C$38, 0.0369, 0)</f>
        <v>24.738299999999999</v>
      </c>
      <c r="I295" s="10">
        <f>24.7029 * CHOOSE(CONTROL!$C$15, $E$9, 100%, $G$9) + CHOOSE(CONTROL!$C$38, 0.0369, 0)</f>
        <v>24.739799999999999</v>
      </c>
      <c r="J295" s="26">
        <f>187.4362</f>
        <v>187.43620000000001</v>
      </c>
    </row>
    <row r="296" spans="1:10" ht="15" x14ac:dyDescent="0.2">
      <c r="A296" s="15">
        <v>49919</v>
      </c>
      <c r="B296" s="10">
        <f>27.1743 * CHOOSE(CONTROL!$C$15, $E$9, 100%, $G$9) + CHOOSE(CONTROL!$C$38, 0.0278, 0)</f>
        <v>27.202099999999998</v>
      </c>
      <c r="C296" s="10">
        <f>24.9797 * CHOOSE(CONTROL!$C$15, $E$9, 100%, $G$9) + CHOOSE(CONTROL!$C$38, 0.0369, 0)</f>
        <v>25.0166</v>
      </c>
      <c r="D296" s="10">
        <f>24.9719 * CHOOSE(CONTROL!$C$15, $E$9, 100%, $G$9) + CHOOSE(CONTROL!$C$38, 0.0369, 0)</f>
        <v>25.008800000000001</v>
      </c>
      <c r="E296" s="28">
        <f>27.0181 * CHOOSE(CONTROL!$C$15, $E$9, 100%, $G$9) + CHOOSE(CONTROL!$C$38, 0.0369, 0)</f>
        <v>27.055</v>
      </c>
      <c r="F296" s="27">
        <f>27.0181 * CHOOSE(CONTROL!$C$15, $E$9, 100%, $G$9) + CHOOSE(CONTROL!$C$38, 0.0278, 0)</f>
        <v>27.0459</v>
      </c>
      <c r="G296" s="10">
        <f>24.9782 * CHOOSE(CONTROL!$C$15, $E$9, 100%, $G$9) + CHOOSE(CONTROL!$C$38, 0.0369, 0)</f>
        <v>25.0151</v>
      </c>
      <c r="H296" s="10">
        <f>24.9782 * CHOOSE(CONTROL!$C$15, $E$9, 100%, $G$9) + CHOOSE(CONTROL!$C$38, 0.0369, 0)</f>
        <v>25.0151</v>
      </c>
      <c r="I296" s="10">
        <f>24.9797 * CHOOSE(CONTROL!$C$15, $E$9, 100%, $G$9) + CHOOSE(CONTROL!$C$38, 0.0369, 0)</f>
        <v>25.0166</v>
      </c>
      <c r="J296" s="26">
        <f>181.2061</f>
        <v>181.20609999999999</v>
      </c>
    </row>
    <row r="297" spans="1:10" ht="15" x14ac:dyDescent="0.2">
      <c r="A297" s="15">
        <v>49949</v>
      </c>
      <c r="B297" s="10">
        <f>27.4062 * CHOOSE(CONTROL!$C$15, $E$9, 100%, $G$9) + CHOOSE(CONTROL!$C$38, 0.0256, 0)</f>
        <v>27.431799999999999</v>
      </c>
      <c r="C297" s="10">
        <f>25.2116 * CHOOSE(CONTROL!$C$15, $E$9, 100%, $G$9) + CHOOSE(CONTROL!$C$38, 0.0347, 0)</f>
        <v>25.246300000000002</v>
      </c>
      <c r="D297" s="10">
        <f>25.2037 * CHOOSE(CONTROL!$C$15, $E$9, 100%, $G$9) + CHOOSE(CONTROL!$C$38, 0.0347, 0)</f>
        <v>25.238400000000002</v>
      </c>
      <c r="E297" s="28">
        <f>27.2499 * CHOOSE(CONTROL!$C$15, $E$9, 100%, $G$9) + CHOOSE(CONTROL!$C$38, 0.0347, 0)</f>
        <v>27.284600000000001</v>
      </c>
      <c r="F297" s="27">
        <f>27.2499 * CHOOSE(CONTROL!$C$15, $E$9, 100%, $G$9) + CHOOSE(CONTROL!$C$38, 0.0256, 0)</f>
        <v>27.275500000000001</v>
      </c>
      <c r="G297" s="10">
        <f>25.21 * CHOOSE(CONTROL!$C$15, $E$9, 100%, $G$9) + CHOOSE(CONTROL!$C$38, 0.0347, 0)</f>
        <v>25.244700000000002</v>
      </c>
      <c r="H297" s="10">
        <f>25.21 * CHOOSE(CONTROL!$C$15, $E$9, 100%, $G$9) + CHOOSE(CONTROL!$C$38, 0.0347, 0)</f>
        <v>25.244700000000002</v>
      </c>
      <c r="I297" s="10">
        <f>25.2116 * CHOOSE(CONTROL!$C$15, $E$9, 100%, $G$9) + CHOOSE(CONTROL!$C$38, 0.0347, 0)</f>
        <v>25.246300000000002</v>
      </c>
      <c r="J297" s="26">
        <f>174.9398</f>
        <v>174.93979999999999</v>
      </c>
    </row>
    <row r="298" spans="1:10" ht="15" x14ac:dyDescent="0.2">
      <c r="A298" s="15">
        <v>49980</v>
      </c>
      <c r="B298" s="10">
        <f>27.5996 * CHOOSE(CONTROL!$C$15, $E$9, 100%, $G$9) + CHOOSE(CONTROL!$C$38, 0.0256, 0)</f>
        <v>27.6252</v>
      </c>
      <c r="C298" s="10">
        <f>25.405 * CHOOSE(CONTROL!$C$15, $E$9, 100%, $G$9) + CHOOSE(CONTROL!$C$38, 0.0347, 0)</f>
        <v>25.439700000000002</v>
      </c>
      <c r="D298" s="10">
        <f>25.3972 * CHOOSE(CONTROL!$C$15, $E$9, 100%, $G$9) + CHOOSE(CONTROL!$C$38, 0.0347, 0)</f>
        <v>25.431900000000002</v>
      </c>
      <c r="E298" s="28">
        <f>27.4433 * CHOOSE(CONTROL!$C$15, $E$9, 100%, $G$9) + CHOOSE(CONTROL!$C$38, 0.0347, 0)</f>
        <v>27.478000000000002</v>
      </c>
      <c r="F298" s="27">
        <f>27.4433 * CHOOSE(CONTROL!$C$15, $E$9, 100%, $G$9) + CHOOSE(CONTROL!$C$38, 0.0256, 0)</f>
        <v>27.468900000000001</v>
      </c>
      <c r="G298" s="10">
        <f>25.4034 * CHOOSE(CONTROL!$C$15, $E$9, 100%, $G$9) + CHOOSE(CONTROL!$C$38, 0.0347, 0)</f>
        <v>25.438100000000002</v>
      </c>
      <c r="H298" s="10">
        <f>25.4034 * CHOOSE(CONTROL!$C$15, $E$9, 100%, $G$9) + CHOOSE(CONTROL!$C$38, 0.0347, 0)</f>
        <v>25.438100000000002</v>
      </c>
      <c r="I298" s="10">
        <f>25.405 * CHOOSE(CONTROL!$C$15, $E$9, 100%, $G$9) + CHOOSE(CONTROL!$C$38, 0.0347, 0)</f>
        <v>25.439700000000002</v>
      </c>
      <c r="J298" s="26">
        <f>173.6933</f>
        <v>173.69329999999999</v>
      </c>
    </row>
    <row r="299" spans="1:10" ht="15" x14ac:dyDescent="0.2">
      <c r="A299" s="15">
        <v>50010</v>
      </c>
      <c r="B299" s="10">
        <f>28.1957 * CHOOSE(CONTROL!$C$15, $E$9, 100%, $G$9) + CHOOSE(CONTROL!$C$38, 0.0256, 0)</f>
        <v>28.221299999999999</v>
      </c>
      <c r="C299" s="10">
        <f>26.0011 * CHOOSE(CONTROL!$C$15, $E$9, 100%, $G$9) + CHOOSE(CONTROL!$C$38, 0.0347, 0)</f>
        <v>26.035800000000002</v>
      </c>
      <c r="D299" s="10">
        <f>25.9933 * CHOOSE(CONTROL!$C$15, $E$9, 100%, $G$9) + CHOOSE(CONTROL!$C$38, 0.0347, 0)</f>
        <v>26.028000000000002</v>
      </c>
      <c r="E299" s="28">
        <f>28.0394 * CHOOSE(CONTROL!$C$15, $E$9, 100%, $G$9) + CHOOSE(CONTROL!$C$38, 0.0347, 0)</f>
        <v>28.074100000000001</v>
      </c>
      <c r="F299" s="27">
        <f>28.0394 * CHOOSE(CONTROL!$C$15, $E$9, 100%, $G$9) + CHOOSE(CONTROL!$C$38, 0.0256, 0)</f>
        <v>28.065000000000001</v>
      </c>
      <c r="G299" s="10">
        <f>25.9995 * CHOOSE(CONTROL!$C$15, $E$9, 100%, $G$9) + CHOOSE(CONTROL!$C$38, 0.0347, 0)</f>
        <v>26.034200000000002</v>
      </c>
      <c r="H299" s="10">
        <f>25.9995 * CHOOSE(CONTROL!$C$15, $E$9, 100%, $G$9) + CHOOSE(CONTROL!$C$38, 0.0347, 0)</f>
        <v>26.034200000000002</v>
      </c>
      <c r="I299" s="10">
        <f>26.0011 * CHOOSE(CONTROL!$C$15, $E$9, 100%, $G$9) + CHOOSE(CONTROL!$C$38, 0.0347, 0)</f>
        <v>26.035800000000002</v>
      </c>
      <c r="J299" s="26">
        <f>168.539</f>
        <v>168.53899999999999</v>
      </c>
    </row>
    <row r="300" spans="1:10" ht="15" x14ac:dyDescent="0.2">
      <c r="A300" s="15">
        <v>50041</v>
      </c>
      <c r="B300" s="10">
        <f>29.1093 * CHOOSE(CONTROL!$C$15, $E$9, 100%, $G$9) + CHOOSE(CONTROL!$C$38, 0.0256, 0)</f>
        <v>29.134900000000002</v>
      </c>
      <c r="C300" s="10">
        <f>26.8813 * CHOOSE(CONTROL!$C$15, $E$9, 100%, $G$9) + CHOOSE(CONTROL!$C$38, 0.0347, 0)</f>
        <v>26.916</v>
      </c>
      <c r="D300" s="10">
        <f>26.8735 * CHOOSE(CONTROL!$C$15, $E$9, 100%, $G$9) + CHOOSE(CONTROL!$C$38, 0.0347, 0)</f>
        <v>26.908200000000001</v>
      </c>
      <c r="E300" s="28">
        <f>28.9531 * CHOOSE(CONTROL!$C$15, $E$9, 100%, $G$9) + CHOOSE(CONTROL!$C$38, 0.0347, 0)</f>
        <v>28.9878</v>
      </c>
      <c r="F300" s="27">
        <f>28.9531 * CHOOSE(CONTROL!$C$15, $E$9, 100%, $G$9) + CHOOSE(CONTROL!$C$38, 0.0256, 0)</f>
        <v>28.9787</v>
      </c>
      <c r="G300" s="10">
        <f>26.8797 * CHOOSE(CONTROL!$C$15, $E$9, 100%, $G$9) + CHOOSE(CONTROL!$C$38, 0.0347, 0)</f>
        <v>26.914400000000001</v>
      </c>
      <c r="H300" s="10">
        <f>26.8797 * CHOOSE(CONTROL!$C$15, $E$9, 100%, $G$9) + CHOOSE(CONTROL!$C$38, 0.0347, 0)</f>
        <v>26.914400000000001</v>
      </c>
      <c r="I300" s="10">
        <f>26.8813 * CHOOSE(CONTROL!$C$15, $E$9, 100%, $G$9) + CHOOSE(CONTROL!$C$38, 0.0347, 0)</f>
        <v>26.916</v>
      </c>
      <c r="J300" s="26">
        <f>168.2171</f>
        <v>168.21709999999999</v>
      </c>
    </row>
    <row r="301" spans="1:10" ht="15" x14ac:dyDescent="0.2">
      <c r="A301" s="15">
        <v>50072</v>
      </c>
      <c r="B301" s="10">
        <f>29.3301 * CHOOSE(CONTROL!$C$15, $E$9, 100%, $G$9) + CHOOSE(CONTROL!$C$38, 0.0256, 0)</f>
        <v>29.355700000000002</v>
      </c>
      <c r="C301" s="10">
        <f>27.1021 * CHOOSE(CONTROL!$C$15, $E$9, 100%, $G$9) + CHOOSE(CONTROL!$C$38, 0.0347, 0)</f>
        <v>27.136800000000001</v>
      </c>
      <c r="D301" s="10">
        <f>27.0943 * CHOOSE(CONTROL!$C$15, $E$9, 100%, $G$9) + CHOOSE(CONTROL!$C$38, 0.0347, 0)</f>
        <v>27.129000000000001</v>
      </c>
      <c r="E301" s="28">
        <f>29.1738 * CHOOSE(CONTROL!$C$15, $E$9, 100%, $G$9) + CHOOSE(CONTROL!$C$38, 0.0347, 0)</f>
        <v>29.208500000000001</v>
      </c>
      <c r="F301" s="27">
        <f>29.1738 * CHOOSE(CONTROL!$C$15, $E$9, 100%, $G$9) + CHOOSE(CONTROL!$C$38, 0.0256, 0)</f>
        <v>29.199400000000001</v>
      </c>
      <c r="G301" s="10">
        <f>27.1005 * CHOOSE(CONTROL!$C$15, $E$9, 100%, $G$9) + CHOOSE(CONTROL!$C$38, 0.0347, 0)</f>
        <v>27.135200000000001</v>
      </c>
      <c r="H301" s="10">
        <f>27.1005 * CHOOSE(CONTROL!$C$15, $E$9, 100%, $G$9) + CHOOSE(CONTROL!$C$38, 0.0347, 0)</f>
        <v>27.135200000000001</v>
      </c>
      <c r="I301" s="10">
        <f>27.1021 * CHOOSE(CONTROL!$C$15, $E$9, 100%, $G$9) + CHOOSE(CONTROL!$C$38, 0.0347, 0)</f>
        <v>27.136800000000001</v>
      </c>
      <c r="J301" s="26">
        <f>167.7495</f>
        <v>167.74950000000001</v>
      </c>
    </row>
    <row r="302" spans="1:10" ht="15" x14ac:dyDescent="0.2">
      <c r="A302" s="15">
        <v>50100</v>
      </c>
      <c r="B302" s="10">
        <f>28.8191 * CHOOSE(CONTROL!$C$15, $E$9, 100%, $G$9) + CHOOSE(CONTROL!$C$38, 0.0256, 0)</f>
        <v>28.8447</v>
      </c>
      <c r="C302" s="10">
        <f>26.591 * CHOOSE(CONTROL!$C$15, $E$9, 100%, $G$9) + CHOOSE(CONTROL!$C$38, 0.0347, 0)</f>
        <v>26.625700000000002</v>
      </c>
      <c r="D302" s="10">
        <f>26.5832 * CHOOSE(CONTROL!$C$15, $E$9, 100%, $G$9) + CHOOSE(CONTROL!$C$38, 0.0347, 0)</f>
        <v>26.617900000000002</v>
      </c>
      <c r="E302" s="28">
        <f>28.6628 * CHOOSE(CONTROL!$C$15, $E$9, 100%, $G$9) + CHOOSE(CONTROL!$C$38, 0.0347, 0)</f>
        <v>28.697500000000002</v>
      </c>
      <c r="F302" s="27">
        <f>28.6628 * CHOOSE(CONTROL!$C$15, $E$9, 100%, $G$9) + CHOOSE(CONTROL!$C$38, 0.0256, 0)</f>
        <v>28.688400000000001</v>
      </c>
      <c r="G302" s="10">
        <f>26.5895 * CHOOSE(CONTROL!$C$15, $E$9, 100%, $G$9) + CHOOSE(CONTROL!$C$38, 0.0347, 0)</f>
        <v>26.624200000000002</v>
      </c>
      <c r="H302" s="10">
        <f>26.5895 * CHOOSE(CONTROL!$C$15, $E$9, 100%, $G$9) + CHOOSE(CONTROL!$C$38, 0.0347, 0)</f>
        <v>26.624200000000002</v>
      </c>
      <c r="I302" s="10">
        <f>26.591 * CHOOSE(CONTROL!$C$15, $E$9, 100%, $G$9) + CHOOSE(CONTROL!$C$38, 0.0347, 0)</f>
        <v>26.625700000000002</v>
      </c>
      <c r="J302" s="26">
        <f>176.5909</f>
        <v>176.5909</v>
      </c>
    </row>
    <row r="303" spans="1:10" ht="15" x14ac:dyDescent="0.2">
      <c r="A303" s="15">
        <v>50131</v>
      </c>
      <c r="B303" s="10">
        <f>28.3239 * CHOOSE(CONTROL!$C$15, $E$9, 100%, $G$9) + CHOOSE(CONTROL!$C$38, 0.0256, 0)</f>
        <v>28.349499999999999</v>
      </c>
      <c r="C303" s="10">
        <f>26.0959 * CHOOSE(CONTROL!$C$15, $E$9, 100%, $G$9) + CHOOSE(CONTROL!$C$38, 0.0347, 0)</f>
        <v>26.130600000000001</v>
      </c>
      <c r="D303" s="10">
        <f>26.088 * CHOOSE(CONTROL!$C$15, $E$9, 100%, $G$9) + CHOOSE(CONTROL!$C$38, 0.0347, 0)</f>
        <v>26.122700000000002</v>
      </c>
      <c r="E303" s="28">
        <f>28.1676 * CHOOSE(CONTROL!$C$15, $E$9, 100%, $G$9) + CHOOSE(CONTROL!$C$38, 0.0347, 0)</f>
        <v>28.202300000000001</v>
      </c>
      <c r="F303" s="27">
        <f>28.1676 * CHOOSE(CONTROL!$C$15, $E$9, 100%, $G$9) + CHOOSE(CONTROL!$C$38, 0.0256, 0)</f>
        <v>28.193200000000001</v>
      </c>
      <c r="G303" s="10">
        <f>26.0943 * CHOOSE(CONTROL!$C$15, $E$9, 100%, $G$9) + CHOOSE(CONTROL!$C$38, 0.0347, 0)</f>
        <v>26.129000000000001</v>
      </c>
      <c r="H303" s="10">
        <f>26.0943 * CHOOSE(CONTROL!$C$15, $E$9, 100%, $G$9) + CHOOSE(CONTROL!$C$38, 0.0347, 0)</f>
        <v>26.129000000000001</v>
      </c>
      <c r="I303" s="10">
        <f>26.0959 * CHOOSE(CONTROL!$C$15, $E$9, 100%, $G$9) + CHOOSE(CONTROL!$C$38, 0.0347, 0)</f>
        <v>26.130600000000001</v>
      </c>
      <c r="J303" s="26">
        <f>188.056</f>
        <v>188.05600000000001</v>
      </c>
    </row>
    <row r="304" spans="1:10" ht="15" x14ac:dyDescent="0.2">
      <c r="A304" s="15">
        <v>50161</v>
      </c>
      <c r="B304" s="10">
        <f>27.8078 * CHOOSE(CONTROL!$C$15, $E$9, 100%, $G$9) + CHOOSE(CONTROL!$C$38, 0.0278, 0)</f>
        <v>27.835599999999999</v>
      </c>
      <c r="C304" s="10">
        <f>25.5797 * CHOOSE(CONTROL!$C$15, $E$9, 100%, $G$9) + CHOOSE(CONTROL!$C$38, 0.0369, 0)</f>
        <v>25.616599999999998</v>
      </c>
      <c r="D304" s="10">
        <f>25.5719 * CHOOSE(CONTROL!$C$15, $E$9, 100%, $G$9) + CHOOSE(CONTROL!$C$38, 0.0369, 0)</f>
        <v>25.608799999999999</v>
      </c>
      <c r="E304" s="28">
        <f>27.6515 * CHOOSE(CONTROL!$C$15, $E$9, 100%, $G$9) + CHOOSE(CONTROL!$C$38, 0.0369, 0)</f>
        <v>27.688399999999998</v>
      </c>
      <c r="F304" s="27">
        <f>27.6515 * CHOOSE(CONTROL!$C$15, $E$9, 100%, $G$9) + CHOOSE(CONTROL!$C$38, 0.0278, 0)</f>
        <v>27.679299999999998</v>
      </c>
      <c r="G304" s="10">
        <f>25.5782 * CHOOSE(CONTROL!$C$15, $E$9, 100%, $G$9) + CHOOSE(CONTROL!$C$38, 0.0369, 0)</f>
        <v>25.615099999999998</v>
      </c>
      <c r="H304" s="10">
        <f>25.5782 * CHOOSE(CONTROL!$C$15, $E$9, 100%, $G$9) + CHOOSE(CONTROL!$C$38, 0.0369, 0)</f>
        <v>25.615099999999998</v>
      </c>
      <c r="I304" s="10">
        <f>25.5797 * CHOOSE(CONTROL!$C$15, $E$9, 100%, $G$9) + CHOOSE(CONTROL!$C$38, 0.0369, 0)</f>
        <v>25.616599999999998</v>
      </c>
      <c r="J304" s="26">
        <f>194.3668</f>
        <v>194.36680000000001</v>
      </c>
    </row>
    <row r="305" spans="1:10" ht="15" x14ac:dyDescent="0.2">
      <c r="A305" s="15">
        <v>50192</v>
      </c>
      <c r="B305" s="10">
        <f>27.4459 * CHOOSE(CONTROL!$C$15, $E$9, 100%, $G$9) + CHOOSE(CONTROL!$C$38, 0.0278, 0)</f>
        <v>27.473700000000001</v>
      </c>
      <c r="C305" s="10">
        <f>25.2179 * CHOOSE(CONTROL!$C$15, $E$9, 100%, $G$9) + CHOOSE(CONTROL!$C$38, 0.0369, 0)</f>
        <v>25.254799999999999</v>
      </c>
      <c r="D305" s="10">
        <f>25.2101 * CHOOSE(CONTROL!$C$15, $E$9, 100%, $G$9) + CHOOSE(CONTROL!$C$38, 0.0369, 0)</f>
        <v>25.247</v>
      </c>
      <c r="E305" s="28">
        <f>27.2897 * CHOOSE(CONTROL!$C$15, $E$9, 100%, $G$9) + CHOOSE(CONTROL!$C$38, 0.0369, 0)</f>
        <v>27.326599999999999</v>
      </c>
      <c r="F305" s="27">
        <f>27.2897 * CHOOSE(CONTROL!$C$15, $E$9, 100%, $G$9) + CHOOSE(CONTROL!$C$38, 0.0278, 0)</f>
        <v>27.317499999999999</v>
      </c>
      <c r="G305" s="10">
        <f>25.2163 * CHOOSE(CONTROL!$C$15, $E$9, 100%, $G$9) + CHOOSE(CONTROL!$C$38, 0.0369, 0)</f>
        <v>25.2532</v>
      </c>
      <c r="H305" s="10">
        <f>25.2163 * CHOOSE(CONTROL!$C$15, $E$9, 100%, $G$9) + CHOOSE(CONTROL!$C$38, 0.0369, 0)</f>
        <v>25.2532</v>
      </c>
      <c r="I305" s="10">
        <f>25.2179 * CHOOSE(CONTROL!$C$15, $E$9, 100%, $G$9) + CHOOSE(CONTROL!$C$38, 0.0369, 0)</f>
        <v>25.254799999999999</v>
      </c>
      <c r="J305" s="26">
        <f>197.1674</f>
        <v>197.16739999999999</v>
      </c>
    </row>
    <row r="306" spans="1:10" ht="15" x14ac:dyDescent="0.2">
      <c r="A306" s="15">
        <v>50222</v>
      </c>
      <c r="B306" s="10">
        <f>27.2394 * CHOOSE(CONTROL!$C$15, $E$9, 100%, $G$9) + CHOOSE(CONTROL!$C$38, 0.0278, 0)</f>
        <v>27.267199999999999</v>
      </c>
      <c r="C306" s="10">
        <f>25.0114 * CHOOSE(CONTROL!$C$15, $E$9, 100%, $G$9) + CHOOSE(CONTROL!$C$38, 0.0369, 0)</f>
        <v>25.048299999999998</v>
      </c>
      <c r="D306" s="10">
        <f>25.0036 * CHOOSE(CONTROL!$C$15, $E$9, 100%, $G$9) + CHOOSE(CONTROL!$C$38, 0.0369, 0)</f>
        <v>25.040499999999998</v>
      </c>
      <c r="E306" s="28">
        <f>27.0832 * CHOOSE(CONTROL!$C$15, $E$9, 100%, $G$9) + CHOOSE(CONTROL!$C$38, 0.0369, 0)</f>
        <v>27.120100000000001</v>
      </c>
      <c r="F306" s="27">
        <f>27.0832 * CHOOSE(CONTROL!$C$15, $E$9, 100%, $G$9) + CHOOSE(CONTROL!$C$38, 0.0278, 0)</f>
        <v>27.111000000000001</v>
      </c>
      <c r="G306" s="10">
        <f>25.0099 * CHOOSE(CONTROL!$C$15, $E$9, 100%, $G$9) + CHOOSE(CONTROL!$C$38, 0.0369, 0)</f>
        <v>25.046799999999998</v>
      </c>
      <c r="H306" s="10">
        <f>25.0099 * CHOOSE(CONTROL!$C$15, $E$9, 100%, $G$9) + CHOOSE(CONTROL!$C$38, 0.0369, 0)</f>
        <v>25.046799999999998</v>
      </c>
      <c r="I306" s="10">
        <f>25.0114 * CHOOSE(CONTROL!$C$15, $E$9, 100%, $G$9) + CHOOSE(CONTROL!$C$38, 0.0369, 0)</f>
        <v>25.048299999999998</v>
      </c>
      <c r="J306" s="26">
        <f>196.2453</f>
        <v>196.24529999999999</v>
      </c>
    </row>
    <row r="307" spans="1:10" ht="15" x14ac:dyDescent="0.2">
      <c r="A307" s="15">
        <v>50253</v>
      </c>
      <c r="B307" s="10">
        <f>27.3414 * CHOOSE(CONTROL!$C$15, $E$9, 100%, $G$9) + CHOOSE(CONTROL!$C$38, 0.0278, 0)</f>
        <v>27.369199999999999</v>
      </c>
      <c r="C307" s="10">
        <f>25.1133 * CHOOSE(CONTROL!$C$15, $E$9, 100%, $G$9) + CHOOSE(CONTROL!$C$38, 0.0369, 0)</f>
        <v>25.150199999999998</v>
      </c>
      <c r="D307" s="10">
        <f>25.1055 * CHOOSE(CONTROL!$C$15, $E$9, 100%, $G$9) + CHOOSE(CONTROL!$C$38, 0.0369, 0)</f>
        <v>25.142399999999999</v>
      </c>
      <c r="E307" s="28">
        <f>27.1851 * CHOOSE(CONTROL!$C$15, $E$9, 100%, $G$9) + CHOOSE(CONTROL!$C$38, 0.0369, 0)</f>
        <v>27.221999999999998</v>
      </c>
      <c r="F307" s="27">
        <f>27.1851 * CHOOSE(CONTROL!$C$15, $E$9, 100%, $G$9) + CHOOSE(CONTROL!$C$38, 0.0278, 0)</f>
        <v>27.212899999999998</v>
      </c>
      <c r="G307" s="10">
        <f>25.1118 * CHOOSE(CONTROL!$C$15, $E$9, 100%, $G$9) + CHOOSE(CONTROL!$C$38, 0.0369, 0)</f>
        <v>25.148699999999998</v>
      </c>
      <c r="H307" s="10">
        <f>25.1118 * CHOOSE(CONTROL!$C$15, $E$9, 100%, $G$9) + CHOOSE(CONTROL!$C$38, 0.0369, 0)</f>
        <v>25.148699999999998</v>
      </c>
      <c r="I307" s="10">
        <f>25.1133 * CHOOSE(CONTROL!$C$15, $E$9, 100%, $G$9) + CHOOSE(CONTROL!$C$38, 0.0369, 0)</f>
        <v>25.150199999999998</v>
      </c>
      <c r="J307" s="26">
        <f>191.6768</f>
        <v>191.67679999999999</v>
      </c>
    </row>
    <row r="308" spans="1:10" ht="15" x14ac:dyDescent="0.2">
      <c r="A308" s="15">
        <v>50284</v>
      </c>
      <c r="B308" s="10">
        <f>27.6181 * CHOOSE(CONTROL!$C$15, $E$9, 100%, $G$9) + CHOOSE(CONTROL!$C$38, 0.0278, 0)</f>
        <v>27.645899999999997</v>
      </c>
      <c r="C308" s="10">
        <f>25.3901 * CHOOSE(CONTROL!$C$15, $E$9, 100%, $G$9) + CHOOSE(CONTROL!$C$38, 0.0369, 0)</f>
        <v>25.427</v>
      </c>
      <c r="D308" s="10">
        <f>25.3823 * CHOOSE(CONTROL!$C$15, $E$9, 100%, $G$9) + CHOOSE(CONTROL!$C$38, 0.0369, 0)</f>
        <v>25.4192</v>
      </c>
      <c r="E308" s="28">
        <f>27.4619 * CHOOSE(CONTROL!$C$15, $E$9, 100%, $G$9) + CHOOSE(CONTROL!$C$38, 0.0369, 0)</f>
        <v>27.498799999999999</v>
      </c>
      <c r="F308" s="27">
        <f>27.4619 * CHOOSE(CONTROL!$C$15, $E$9, 100%, $G$9) + CHOOSE(CONTROL!$C$38, 0.0278, 0)</f>
        <v>27.489699999999999</v>
      </c>
      <c r="G308" s="10">
        <f>25.3886 * CHOOSE(CONTROL!$C$15, $E$9, 100%, $G$9) + CHOOSE(CONTROL!$C$38, 0.0369, 0)</f>
        <v>25.4255</v>
      </c>
      <c r="H308" s="10">
        <f>25.3886 * CHOOSE(CONTROL!$C$15, $E$9, 100%, $G$9) + CHOOSE(CONTROL!$C$38, 0.0369, 0)</f>
        <v>25.4255</v>
      </c>
      <c r="I308" s="10">
        <f>25.3901 * CHOOSE(CONTROL!$C$15, $E$9, 100%, $G$9) + CHOOSE(CONTROL!$C$38, 0.0369, 0)</f>
        <v>25.427</v>
      </c>
      <c r="J308" s="26">
        <f>185.3058</f>
        <v>185.3058</v>
      </c>
    </row>
    <row r="309" spans="1:10" ht="15" x14ac:dyDescent="0.2">
      <c r="A309" s="15">
        <v>50314</v>
      </c>
      <c r="B309" s="10">
        <f>27.85 * CHOOSE(CONTROL!$C$15, $E$9, 100%, $G$9) + CHOOSE(CONTROL!$C$38, 0.0256, 0)</f>
        <v>27.875600000000002</v>
      </c>
      <c r="C309" s="10">
        <f>25.6219 * CHOOSE(CONTROL!$C$15, $E$9, 100%, $G$9) + CHOOSE(CONTROL!$C$38, 0.0347, 0)</f>
        <v>25.656600000000001</v>
      </c>
      <c r="D309" s="10">
        <f>25.6141 * CHOOSE(CONTROL!$C$15, $E$9, 100%, $G$9) + CHOOSE(CONTROL!$C$38, 0.0347, 0)</f>
        <v>25.648800000000001</v>
      </c>
      <c r="E309" s="28">
        <f>27.6937 * CHOOSE(CONTROL!$C$15, $E$9, 100%, $G$9) + CHOOSE(CONTROL!$C$38, 0.0347, 0)</f>
        <v>27.728400000000001</v>
      </c>
      <c r="F309" s="27">
        <f>27.6937 * CHOOSE(CONTROL!$C$15, $E$9, 100%, $G$9) + CHOOSE(CONTROL!$C$38, 0.0256, 0)</f>
        <v>27.7193</v>
      </c>
      <c r="G309" s="10">
        <f>25.6204 * CHOOSE(CONTROL!$C$15, $E$9, 100%, $G$9) + CHOOSE(CONTROL!$C$38, 0.0347, 0)</f>
        <v>25.655100000000001</v>
      </c>
      <c r="H309" s="10">
        <f>25.6204 * CHOOSE(CONTROL!$C$15, $E$9, 100%, $G$9) + CHOOSE(CONTROL!$C$38, 0.0347, 0)</f>
        <v>25.655100000000001</v>
      </c>
      <c r="I309" s="10">
        <f>25.6219 * CHOOSE(CONTROL!$C$15, $E$9, 100%, $G$9) + CHOOSE(CONTROL!$C$38, 0.0347, 0)</f>
        <v>25.656600000000001</v>
      </c>
      <c r="J309" s="26">
        <f>178.8977</f>
        <v>178.89769999999999</v>
      </c>
    </row>
    <row r="310" spans="1:10" ht="15" x14ac:dyDescent="0.2">
      <c r="A310" s="15">
        <v>50345</v>
      </c>
      <c r="B310" s="10">
        <f>28.0434 * CHOOSE(CONTROL!$C$15, $E$9, 100%, $G$9) + CHOOSE(CONTROL!$C$38, 0.0256, 0)</f>
        <v>28.068999999999999</v>
      </c>
      <c r="C310" s="10">
        <f>25.8154 * CHOOSE(CONTROL!$C$15, $E$9, 100%, $G$9) + CHOOSE(CONTROL!$C$38, 0.0347, 0)</f>
        <v>25.850100000000001</v>
      </c>
      <c r="D310" s="10">
        <f>25.8076 * CHOOSE(CONTROL!$C$15, $E$9, 100%, $G$9) + CHOOSE(CONTROL!$C$38, 0.0347, 0)</f>
        <v>25.842300000000002</v>
      </c>
      <c r="E310" s="28">
        <f>27.8872 * CHOOSE(CONTROL!$C$15, $E$9, 100%, $G$9) + CHOOSE(CONTROL!$C$38, 0.0347, 0)</f>
        <v>27.921900000000001</v>
      </c>
      <c r="F310" s="27">
        <f>27.8872 * CHOOSE(CONTROL!$C$15, $E$9, 100%, $G$9) + CHOOSE(CONTROL!$C$38, 0.0256, 0)</f>
        <v>27.912800000000001</v>
      </c>
      <c r="G310" s="10">
        <f>25.8138 * CHOOSE(CONTROL!$C$15, $E$9, 100%, $G$9) + CHOOSE(CONTROL!$C$38, 0.0347, 0)</f>
        <v>25.848500000000001</v>
      </c>
      <c r="H310" s="10">
        <f>25.8138 * CHOOSE(CONTROL!$C$15, $E$9, 100%, $G$9) + CHOOSE(CONTROL!$C$38, 0.0347, 0)</f>
        <v>25.848500000000001</v>
      </c>
      <c r="I310" s="10">
        <f>25.8154 * CHOOSE(CONTROL!$C$15, $E$9, 100%, $G$9) + CHOOSE(CONTROL!$C$38, 0.0347, 0)</f>
        <v>25.850100000000001</v>
      </c>
      <c r="J310" s="26">
        <f>177.623</f>
        <v>177.62299999999999</v>
      </c>
    </row>
    <row r="311" spans="1:10" ht="15" x14ac:dyDescent="0.2">
      <c r="A311" s="15">
        <v>50375</v>
      </c>
      <c r="B311" s="10">
        <f>28.6395 * CHOOSE(CONTROL!$C$15, $E$9, 100%, $G$9) + CHOOSE(CONTROL!$C$38, 0.0256, 0)</f>
        <v>28.665100000000002</v>
      </c>
      <c r="C311" s="10">
        <f>26.4115 * CHOOSE(CONTROL!$C$15, $E$9, 100%, $G$9) + CHOOSE(CONTROL!$C$38, 0.0347, 0)</f>
        <v>26.446200000000001</v>
      </c>
      <c r="D311" s="10">
        <f>26.4036 * CHOOSE(CONTROL!$C$15, $E$9, 100%, $G$9) + CHOOSE(CONTROL!$C$38, 0.0347, 0)</f>
        <v>26.438300000000002</v>
      </c>
      <c r="E311" s="28">
        <f>28.4832 * CHOOSE(CONTROL!$C$15, $E$9, 100%, $G$9) + CHOOSE(CONTROL!$C$38, 0.0347, 0)</f>
        <v>28.517900000000001</v>
      </c>
      <c r="F311" s="27">
        <f>28.4832 * CHOOSE(CONTROL!$C$15, $E$9, 100%, $G$9) + CHOOSE(CONTROL!$C$38, 0.0256, 0)</f>
        <v>28.508800000000001</v>
      </c>
      <c r="G311" s="10">
        <f>26.4099 * CHOOSE(CONTROL!$C$15, $E$9, 100%, $G$9) + CHOOSE(CONTROL!$C$38, 0.0347, 0)</f>
        <v>26.444600000000001</v>
      </c>
      <c r="H311" s="10">
        <f>26.4099 * CHOOSE(CONTROL!$C$15, $E$9, 100%, $G$9) + CHOOSE(CONTROL!$C$38, 0.0347, 0)</f>
        <v>26.444600000000001</v>
      </c>
      <c r="I311" s="10">
        <f>26.4115 * CHOOSE(CONTROL!$C$15, $E$9, 100%, $G$9) + CHOOSE(CONTROL!$C$38, 0.0347, 0)</f>
        <v>26.446200000000001</v>
      </c>
      <c r="J311" s="26">
        <f>172.3521</f>
        <v>172.35210000000001</v>
      </c>
    </row>
    <row r="312" spans="1:10" ht="15.75" x14ac:dyDescent="0.25">
      <c r="A312" s="14">
        <v>50436</v>
      </c>
      <c r="B312" s="10">
        <f>29.5604 * CHOOSE(CONTROL!$C$15, $E$9, 100%, $G$9) + CHOOSE(CONTROL!$C$38, 0.0256, 0)</f>
        <v>29.586000000000002</v>
      </c>
      <c r="C312" s="10">
        <f>27.2984 * CHOOSE(CONTROL!$C$15, $E$9, 100%, $G$9) + CHOOSE(CONTROL!$C$38, 0.0347, 0)</f>
        <v>27.333100000000002</v>
      </c>
      <c r="D312" s="10">
        <f>27.2906 * CHOOSE(CONTROL!$C$15, $E$9, 100%, $G$9) + CHOOSE(CONTROL!$C$38, 0.0347, 0)</f>
        <v>27.325300000000002</v>
      </c>
      <c r="E312" s="28">
        <f>29.4042 * CHOOSE(CONTROL!$C$15, $E$9, 100%, $G$9) + CHOOSE(CONTROL!$C$38, 0.0347, 0)</f>
        <v>29.4389</v>
      </c>
      <c r="F312" s="27">
        <f>29.4042 * CHOOSE(CONTROL!$C$15, $E$9, 100%, $G$9) + CHOOSE(CONTROL!$C$38, 0.0256, 0)</f>
        <v>29.4298</v>
      </c>
      <c r="G312" s="10">
        <f>27.2969 * CHOOSE(CONTROL!$C$15, $E$9, 100%, $G$9) + CHOOSE(CONTROL!$C$38, 0.0347, 0)</f>
        <v>27.331600000000002</v>
      </c>
      <c r="H312" s="10">
        <f>27.2969 * CHOOSE(CONTROL!$C$15, $E$9, 100%, $G$9) + CHOOSE(CONTROL!$C$38, 0.0347, 0)</f>
        <v>27.331600000000002</v>
      </c>
      <c r="I312" s="10">
        <f>27.2984 * CHOOSE(CONTROL!$C$15, $E$9, 100%, $G$9) + CHOOSE(CONTROL!$C$38, 0.0347, 0)</f>
        <v>27.333100000000002</v>
      </c>
      <c r="J312" s="26">
        <f>172.0229</f>
        <v>172.02289999999999</v>
      </c>
    </row>
    <row r="313" spans="1:10" ht="15.75" x14ac:dyDescent="0.25">
      <c r="A313" s="14">
        <v>50464</v>
      </c>
      <c r="B313" s="10">
        <f>29.7812 * CHOOSE(CONTROL!$C$15, $E$9, 100%, $G$9) + CHOOSE(CONTROL!$C$38, 0.0256, 0)</f>
        <v>29.806799999999999</v>
      </c>
      <c r="C313" s="10">
        <f>27.5192 * CHOOSE(CONTROL!$C$15, $E$9, 100%, $G$9) + CHOOSE(CONTROL!$C$38, 0.0347, 0)</f>
        <v>27.553900000000002</v>
      </c>
      <c r="D313" s="10">
        <f>27.5114 * CHOOSE(CONTROL!$C$15, $E$9, 100%, $G$9) + CHOOSE(CONTROL!$C$38, 0.0347, 0)</f>
        <v>27.546099999999999</v>
      </c>
      <c r="E313" s="28">
        <f>29.6249 * CHOOSE(CONTROL!$C$15, $E$9, 100%, $G$9) + CHOOSE(CONTROL!$C$38, 0.0347, 0)</f>
        <v>29.659600000000001</v>
      </c>
      <c r="F313" s="27">
        <f>29.6249 * CHOOSE(CONTROL!$C$15, $E$9, 100%, $G$9) + CHOOSE(CONTROL!$C$38, 0.0256, 0)</f>
        <v>29.650500000000001</v>
      </c>
      <c r="G313" s="10">
        <f>27.5176 * CHOOSE(CONTROL!$C$15, $E$9, 100%, $G$9) + CHOOSE(CONTROL!$C$38, 0.0347, 0)</f>
        <v>27.552300000000002</v>
      </c>
      <c r="H313" s="10">
        <f>27.5176 * CHOOSE(CONTROL!$C$15, $E$9, 100%, $G$9) + CHOOSE(CONTROL!$C$38, 0.0347, 0)</f>
        <v>27.552300000000002</v>
      </c>
      <c r="I313" s="10">
        <f>27.5192 * CHOOSE(CONTROL!$C$15, $E$9, 100%, $G$9) + CHOOSE(CONTROL!$C$38, 0.0347, 0)</f>
        <v>27.553900000000002</v>
      </c>
      <c r="J313" s="26">
        <f>171.5447</f>
        <v>171.54470000000001</v>
      </c>
    </row>
    <row r="314" spans="1:10" ht="15.75" x14ac:dyDescent="0.25">
      <c r="A314" s="14">
        <v>50495</v>
      </c>
      <c r="B314" s="10">
        <f>29.2701 * CHOOSE(CONTROL!$C$15, $E$9, 100%, $G$9) + CHOOSE(CONTROL!$C$38, 0.0256, 0)</f>
        <v>29.2957</v>
      </c>
      <c r="C314" s="10">
        <f>27.0082 * CHOOSE(CONTROL!$C$15, $E$9, 100%, $G$9) + CHOOSE(CONTROL!$C$38, 0.0347, 0)</f>
        <v>27.042899999999999</v>
      </c>
      <c r="D314" s="10">
        <f>27.0003 * CHOOSE(CONTROL!$C$15, $E$9, 100%, $G$9) + CHOOSE(CONTROL!$C$38, 0.0347, 0)</f>
        <v>27.035</v>
      </c>
      <c r="E314" s="28">
        <f>29.1139 * CHOOSE(CONTROL!$C$15, $E$9, 100%, $G$9) + CHOOSE(CONTROL!$C$38, 0.0347, 0)</f>
        <v>29.148600000000002</v>
      </c>
      <c r="F314" s="27">
        <f>29.1139 * CHOOSE(CONTROL!$C$15, $E$9, 100%, $G$9) + CHOOSE(CONTROL!$C$38, 0.0256, 0)</f>
        <v>29.139500000000002</v>
      </c>
      <c r="G314" s="10">
        <f>27.0066 * CHOOSE(CONTROL!$C$15, $E$9, 100%, $G$9) + CHOOSE(CONTROL!$C$38, 0.0347, 0)</f>
        <v>27.0413</v>
      </c>
      <c r="H314" s="10">
        <f>27.0066 * CHOOSE(CONTROL!$C$15, $E$9, 100%, $G$9) + CHOOSE(CONTROL!$C$38, 0.0347, 0)</f>
        <v>27.0413</v>
      </c>
      <c r="I314" s="10">
        <f>27.0082 * CHOOSE(CONTROL!$C$15, $E$9, 100%, $G$9) + CHOOSE(CONTROL!$C$38, 0.0347, 0)</f>
        <v>27.042899999999999</v>
      </c>
      <c r="J314" s="26">
        <f>180.5861</f>
        <v>180.58609999999999</v>
      </c>
    </row>
    <row r="315" spans="1:10" ht="15.75" x14ac:dyDescent="0.25">
      <c r="A315" s="14">
        <v>50525</v>
      </c>
      <c r="B315" s="10">
        <f>28.775 * CHOOSE(CONTROL!$C$15, $E$9, 100%, $G$9) + CHOOSE(CONTROL!$C$38, 0.0256, 0)</f>
        <v>28.800599999999999</v>
      </c>
      <c r="C315" s="10">
        <f>26.513 * CHOOSE(CONTROL!$C$15, $E$9, 100%, $G$9) + CHOOSE(CONTROL!$C$38, 0.0347, 0)</f>
        <v>26.547700000000003</v>
      </c>
      <c r="D315" s="10">
        <f>26.5052 * CHOOSE(CONTROL!$C$15, $E$9, 100%, $G$9) + CHOOSE(CONTROL!$C$38, 0.0347, 0)</f>
        <v>26.539899999999999</v>
      </c>
      <c r="E315" s="28">
        <f>28.6187 * CHOOSE(CONTROL!$C$15, $E$9, 100%, $G$9) + CHOOSE(CONTROL!$C$38, 0.0347, 0)</f>
        <v>28.653400000000001</v>
      </c>
      <c r="F315" s="27">
        <f>28.6187 * CHOOSE(CONTROL!$C$15, $E$9, 100%, $G$9) + CHOOSE(CONTROL!$C$38, 0.0256, 0)</f>
        <v>28.644300000000001</v>
      </c>
      <c r="G315" s="10">
        <f>26.5114 * CHOOSE(CONTROL!$C$15, $E$9, 100%, $G$9) + CHOOSE(CONTROL!$C$38, 0.0347, 0)</f>
        <v>26.546099999999999</v>
      </c>
      <c r="H315" s="10">
        <f>26.5114 * CHOOSE(CONTROL!$C$15, $E$9, 100%, $G$9) + CHOOSE(CONTROL!$C$38, 0.0347, 0)</f>
        <v>26.546099999999999</v>
      </c>
      <c r="I315" s="10">
        <f>26.513 * CHOOSE(CONTROL!$C$15, $E$9, 100%, $G$9) + CHOOSE(CONTROL!$C$38, 0.0347, 0)</f>
        <v>26.547700000000003</v>
      </c>
      <c r="J315" s="26">
        <f>192.3107</f>
        <v>192.3107</v>
      </c>
    </row>
    <row r="316" spans="1:10" ht="15.75" x14ac:dyDescent="0.25">
      <c r="A316" s="14">
        <v>50556</v>
      </c>
      <c r="B316" s="10">
        <f>28.2589 * CHOOSE(CONTROL!$C$15, $E$9, 100%, $G$9) + CHOOSE(CONTROL!$C$38, 0.0278, 0)</f>
        <v>28.2867</v>
      </c>
      <c r="C316" s="10">
        <f>25.9969 * CHOOSE(CONTROL!$C$15, $E$9, 100%, $G$9) + CHOOSE(CONTROL!$C$38, 0.0369, 0)</f>
        <v>26.033799999999999</v>
      </c>
      <c r="D316" s="10">
        <f>25.9891 * CHOOSE(CONTROL!$C$15, $E$9, 100%, $G$9) + CHOOSE(CONTROL!$C$38, 0.0369, 0)</f>
        <v>26.026</v>
      </c>
      <c r="E316" s="28">
        <f>28.1026 * CHOOSE(CONTROL!$C$15, $E$9, 100%, $G$9) + CHOOSE(CONTROL!$C$38, 0.0369, 0)</f>
        <v>28.139499999999998</v>
      </c>
      <c r="F316" s="27">
        <f>28.1026 * CHOOSE(CONTROL!$C$15, $E$9, 100%, $G$9) + CHOOSE(CONTROL!$C$38, 0.0278, 0)</f>
        <v>28.130399999999998</v>
      </c>
      <c r="G316" s="10">
        <f>25.9953 * CHOOSE(CONTROL!$C$15, $E$9, 100%, $G$9) + CHOOSE(CONTROL!$C$38, 0.0369, 0)</f>
        <v>26.0322</v>
      </c>
      <c r="H316" s="10">
        <f>25.9953 * CHOOSE(CONTROL!$C$15, $E$9, 100%, $G$9) + CHOOSE(CONTROL!$C$38, 0.0369, 0)</f>
        <v>26.0322</v>
      </c>
      <c r="I316" s="10">
        <f>25.9969 * CHOOSE(CONTROL!$C$15, $E$9, 100%, $G$9) + CHOOSE(CONTROL!$C$38, 0.0369, 0)</f>
        <v>26.033799999999999</v>
      </c>
      <c r="J316" s="26">
        <f>198.7642</f>
        <v>198.76419999999999</v>
      </c>
    </row>
    <row r="317" spans="1:10" ht="15.75" x14ac:dyDescent="0.25">
      <c r="A317" s="14">
        <v>50586</v>
      </c>
      <c r="B317" s="10">
        <f>27.897 * CHOOSE(CONTROL!$C$15, $E$9, 100%, $G$9) + CHOOSE(CONTROL!$C$38, 0.0278, 0)</f>
        <v>27.924799999999998</v>
      </c>
      <c r="C317" s="10">
        <f>25.635 * CHOOSE(CONTROL!$C$15, $E$9, 100%, $G$9) + CHOOSE(CONTROL!$C$38, 0.0369, 0)</f>
        <v>25.671900000000001</v>
      </c>
      <c r="D317" s="10">
        <f>25.6272 * CHOOSE(CONTROL!$C$15, $E$9, 100%, $G$9) + CHOOSE(CONTROL!$C$38, 0.0369, 0)</f>
        <v>25.664099999999998</v>
      </c>
      <c r="E317" s="28">
        <f>27.7408 * CHOOSE(CONTROL!$C$15, $E$9, 100%, $G$9) + CHOOSE(CONTROL!$C$38, 0.0369, 0)</f>
        <v>27.777699999999999</v>
      </c>
      <c r="F317" s="27">
        <f>27.7408 * CHOOSE(CONTROL!$C$15, $E$9, 100%, $G$9) + CHOOSE(CONTROL!$C$38, 0.0278, 0)</f>
        <v>27.768599999999999</v>
      </c>
      <c r="G317" s="10">
        <f>25.6335 * CHOOSE(CONTROL!$C$15, $E$9, 100%, $G$9) + CHOOSE(CONTROL!$C$38, 0.0369, 0)</f>
        <v>25.670400000000001</v>
      </c>
      <c r="H317" s="10">
        <f>25.6335 * CHOOSE(CONTROL!$C$15, $E$9, 100%, $G$9) + CHOOSE(CONTROL!$C$38, 0.0369, 0)</f>
        <v>25.670400000000001</v>
      </c>
      <c r="I317" s="10">
        <f>25.635 * CHOOSE(CONTROL!$C$15, $E$9, 100%, $G$9) + CHOOSE(CONTROL!$C$38, 0.0369, 0)</f>
        <v>25.671900000000001</v>
      </c>
      <c r="J317" s="26">
        <f>201.6282</f>
        <v>201.62819999999999</v>
      </c>
    </row>
    <row r="318" spans="1:10" ht="15.75" x14ac:dyDescent="0.25">
      <c r="A318" s="14">
        <v>50617</v>
      </c>
      <c r="B318" s="10">
        <f>27.6905 * CHOOSE(CONTROL!$C$15, $E$9, 100%, $G$9) + CHOOSE(CONTROL!$C$38, 0.0278, 0)</f>
        <v>27.718299999999999</v>
      </c>
      <c r="C318" s="10">
        <f>25.4285 * CHOOSE(CONTROL!$C$15, $E$9, 100%, $G$9) + CHOOSE(CONTROL!$C$38, 0.0369, 0)</f>
        <v>25.465399999999999</v>
      </c>
      <c r="D318" s="10">
        <f>25.4207 * CHOOSE(CONTROL!$C$15, $E$9, 100%, $G$9) + CHOOSE(CONTROL!$C$38, 0.0369, 0)</f>
        <v>25.457599999999999</v>
      </c>
      <c r="E318" s="28">
        <f>27.5343 * CHOOSE(CONTROL!$C$15, $E$9, 100%, $G$9) + CHOOSE(CONTROL!$C$38, 0.0369, 0)</f>
        <v>27.571200000000001</v>
      </c>
      <c r="F318" s="27">
        <f>27.5343 * CHOOSE(CONTROL!$C$15, $E$9, 100%, $G$9) + CHOOSE(CONTROL!$C$38, 0.0278, 0)</f>
        <v>27.562100000000001</v>
      </c>
      <c r="G318" s="10">
        <f>25.427 * CHOOSE(CONTROL!$C$15, $E$9, 100%, $G$9) + CHOOSE(CONTROL!$C$38, 0.0369, 0)</f>
        <v>25.463899999999999</v>
      </c>
      <c r="H318" s="10">
        <f>25.427 * CHOOSE(CONTROL!$C$15, $E$9, 100%, $G$9) + CHOOSE(CONTROL!$C$38, 0.0369, 0)</f>
        <v>25.463899999999999</v>
      </c>
      <c r="I318" s="10">
        <f>25.4285 * CHOOSE(CONTROL!$C$15, $E$9, 100%, $G$9) + CHOOSE(CONTROL!$C$38, 0.0369, 0)</f>
        <v>25.465399999999999</v>
      </c>
      <c r="J318" s="26">
        <f>200.6853</f>
        <v>200.68530000000001</v>
      </c>
    </row>
    <row r="319" spans="1:10" ht="15.75" x14ac:dyDescent="0.25">
      <c r="A319" s="14">
        <v>50648</v>
      </c>
      <c r="B319" s="10">
        <f>27.7924 * CHOOSE(CONTROL!$C$15, $E$9, 100%, $G$9) + CHOOSE(CONTROL!$C$38, 0.0278, 0)</f>
        <v>27.8202</v>
      </c>
      <c r="C319" s="10">
        <f>25.5305 * CHOOSE(CONTROL!$C$15, $E$9, 100%, $G$9) + CHOOSE(CONTROL!$C$38, 0.0369, 0)</f>
        <v>25.567399999999999</v>
      </c>
      <c r="D319" s="10">
        <f>25.5226 * CHOOSE(CONTROL!$C$15, $E$9, 100%, $G$9) + CHOOSE(CONTROL!$C$38, 0.0369, 0)</f>
        <v>25.5595</v>
      </c>
      <c r="E319" s="28">
        <f>27.6362 * CHOOSE(CONTROL!$C$15, $E$9, 100%, $G$9) + CHOOSE(CONTROL!$C$38, 0.0369, 0)</f>
        <v>27.673099999999998</v>
      </c>
      <c r="F319" s="27">
        <f>27.6362 * CHOOSE(CONTROL!$C$15, $E$9, 100%, $G$9) + CHOOSE(CONTROL!$C$38, 0.0278, 0)</f>
        <v>27.663999999999998</v>
      </c>
      <c r="G319" s="10">
        <f>25.5289 * CHOOSE(CONTROL!$C$15, $E$9, 100%, $G$9) + CHOOSE(CONTROL!$C$38, 0.0369, 0)</f>
        <v>25.565799999999999</v>
      </c>
      <c r="H319" s="10">
        <f>25.5289 * CHOOSE(CONTROL!$C$15, $E$9, 100%, $G$9) + CHOOSE(CONTROL!$C$38, 0.0369, 0)</f>
        <v>25.565799999999999</v>
      </c>
      <c r="I319" s="10">
        <f>25.5305 * CHOOSE(CONTROL!$C$15, $E$9, 100%, $G$9) + CHOOSE(CONTROL!$C$38, 0.0369, 0)</f>
        <v>25.567399999999999</v>
      </c>
      <c r="J319" s="26">
        <f>196.0134</f>
        <v>196.01339999999999</v>
      </c>
    </row>
    <row r="320" spans="1:10" ht="15.75" x14ac:dyDescent="0.25">
      <c r="A320" s="14">
        <v>50678</v>
      </c>
      <c r="B320" s="10">
        <f>28.0692 * CHOOSE(CONTROL!$C$15, $E$9, 100%, $G$9) + CHOOSE(CONTROL!$C$38, 0.0278, 0)</f>
        <v>28.096999999999998</v>
      </c>
      <c r="C320" s="10">
        <f>25.8072 * CHOOSE(CONTROL!$C$15, $E$9, 100%, $G$9) + CHOOSE(CONTROL!$C$38, 0.0369, 0)</f>
        <v>25.844100000000001</v>
      </c>
      <c r="D320" s="10">
        <f>25.7994 * CHOOSE(CONTROL!$C$15, $E$9, 100%, $G$9) + CHOOSE(CONTROL!$C$38, 0.0369, 0)</f>
        <v>25.836299999999998</v>
      </c>
      <c r="E320" s="28">
        <f>27.913 * CHOOSE(CONTROL!$C$15, $E$9, 100%, $G$9) + CHOOSE(CONTROL!$C$38, 0.0369, 0)</f>
        <v>27.9499</v>
      </c>
      <c r="F320" s="27">
        <f>27.913 * CHOOSE(CONTROL!$C$15, $E$9, 100%, $G$9) + CHOOSE(CONTROL!$C$38, 0.0278, 0)</f>
        <v>27.940799999999999</v>
      </c>
      <c r="G320" s="10">
        <f>25.8057 * CHOOSE(CONTROL!$C$15, $E$9, 100%, $G$9) + CHOOSE(CONTROL!$C$38, 0.0369, 0)</f>
        <v>25.842600000000001</v>
      </c>
      <c r="H320" s="10">
        <f>25.8057 * CHOOSE(CONTROL!$C$15, $E$9, 100%, $G$9) + CHOOSE(CONTROL!$C$38, 0.0369, 0)</f>
        <v>25.842600000000001</v>
      </c>
      <c r="I320" s="10">
        <f>25.8072 * CHOOSE(CONTROL!$C$15, $E$9, 100%, $G$9) + CHOOSE(CONTROL!$C$38, 0.0369, 0)</f>
        <v>25.844100000000001</v>
      </c>
      <c r="J320" s="26">
        <f>189.4983</f>
        <v>189.4983</v>
      </c>
    </row>
    <row r="321" spans="1:10" ht="15.75" x14ac:dyDescent="0.25">
      <c r="A321" s="14">
        <v>50709</v>
      </c>
      <c r="B321" s="10">
        <f>28.3011 * CHOOSE(CONTROL!$C$15, $E$9, 100%, $G$9) + CHOOSE(CONTROL!$C$38, 0.0256, 0)</f>
        <v>28.326700000000002</v>
      </c>
      <c r="C321" s="10">
        <f>26.0391 * CHOOSE(CONTROL!$C$15, $E$9, 100%, $G$9) + CHOOSE(CONTROL!$C$38, 0.0347, 0)</f>
        <v>26.073800000000002</v>
      </c>
      <c r="D321" s="10">
        <f>26.0313 * CHOOSE(CONTROL!$C$15, $E$9, 100%, $G$9) + CHOOSE(CONTROL!$C$38, 0.0347, 0)</f>
        <v>26.066000000000003</v>
      </c>
      <c r="E321" s="28">
        <f>28.1448 * CHOOSE(CONTROL!$C$15, $E$9, 100%, $G$9) + CHOOSE(CONTROL!$C$38, 0.0347, 0)</f>
        <v>28.179500000000001</v>
      </c>
      <c r="F321" s="27">
        <f>28.1448 * CHOOSE(CONTROL!$C$15, $E$9, 100%, $G$9) + CHOOSE(CONTROL!$C$38, 0.0256, 0)</f>
        <v>28.170400000000001</v>
      </c>
      <c r="G321" s="10">
        <f>26.0375 * CHOOSE(CONTROL!$C$15, $E$9, 100%, $G$9) + CHOOSE(CONTROL!$C$38, 0.0347, 0)</f>
        <v>26.072200000000002</v>
      </c>
      <c r="H321" s="10">
        <f>26.0375 * CHOOSE(CONTROL!$C$15, $E$9, 100%, $G$9) + CHOOSE(CONTROL!$C$38, 0.0347, 0)</f>
        <v>26.072200000000002</v>
      </c>
      <c r="I321" s="10">
        <f>26.0391 * CHOOSE(CONTROL!$C$15, $E$9, 100%, $G$9) + CHOOSE(CONTROL!$C$38, 0.0347, 0)</f>
        <v>26.073800000000002</v>
      </c>
      <c r="J321" s="26">
        <f>182.9452</f>
        <v>182.9452</v>
      </c>
    </row>
    <row r="322" spans="1:10" ht="15.75" x14ac:dyDescent="0.25">
      <c r="A322" s="14">
        <v>50739</v>
      </c>
      <c r="B322" s="10">
        <f>28.4945 * CHOOSE(CONTROL!$C$15, $E$9, 100%, $G$9) + CHOOSE(CONTROL!$C$38, 0.0256, 0)</f>
        <v>28.520099999999999</v>
      </c>
      <c r="C322" s="10">
        <f>26.2325 * CHOOSE(CONTROL!$C$15, $E$9, 100%, $G$9) + CHOOSE(CONTROL!$C$38, 0.0347, 0)</f>
        <v>26.267200000000003</v>
      </c>
      <c r="D322" s="10">
        <f>26.2247 * CHOOSE(CONTROL!$C$15, $E$9, 100%, $G$9) + CHOOSE(CONTROL!$C$38, 0.0347, 0)</f>
        <v>26.259399999999999</v>
      </c>
      <c r="E322" s="28">
        <f>28.3383 * CHOOSE(CONTROL!$C$15, $E$9, 100%, $G$9) + CHOOSE(CONTROL!$C$38, 0.0347, 0)</f>
        <v>28.373000000000001</v>
      </c>
      <c r="F322" s="27">
        <f>28.3383 * CHOOSE(CONTROL!$C$15, $E$9, 100%, $G$9) + CHOOSE(CONTROL!$C$38, 0.0256, 0)</f>
        <v>28.363900000000001</v>
      </c>
      <c r="G322" s="10">
        <f>26.231 * CHOOSE(CONTROL!$C$15, $E$9, 100%, $G$9) + CHOOSE(CONTROL!$C$38, 0.0347, 0)</f>
        <v>26.265700000000002</v>
      </c>
      <c r="H322" s="10">
        <f>26.231 * CHOOSE(CONTROL!$C$15, $E$9, 100%, $G$9) + CHOOSE(CONTROL!$C$38, 0.0347, 0)</f>
        <v>26.265700000000002</v>
      </c>
      <c r="I322" s="10">
        <f>26.2325 * CHOOSE(CONTROL!$C$15, $E$9, 100%, $G$9) + CHOOSE(CONTROL!$C$38, 0.0347, 0)</f>
        <v>26.267200000000003</v>
      </c>
      <c r="J322" s="26">
        <f>181.6417</f>
        <v>181.64169999999999</v>
      </c>
    </row>
    <row r="323" spans="1:10" ht="15.75" x14ac:dyDescent="0.25">
      <c r="A323" s="14">
        <v>50770</v>
      </c>
      <c r="B323" s="10">
        <f>29.0906 * CHOOSE(CONTROL!$C$15, $E$9, 100%, $G$9) + CHOOSE(CONTROL!$C$38, 0.0256, 0)</f>
        <v>29.116199999999999</v>
      </c>
      <c r="C323" s="10">
        <f>26.8286 * CHOOSE(CONTROL!$C$15, $E$9, 100%, $G$9) + CHOOSE(CONTROL!$C$38, 0.0347, 0)</f>
        <v>26.863300000000002</v>
      </c>
      <c r="D323" s="10">
        <f>26.8208 * CHOOSE(CONTROL!$C$15, $E$9, 100%, $G$9) + CHOOSE(CONTROL!$C$38, 0.0347, 0)</f>
        <v>26.855499999999999</v>
      </c>
      <c r="E323" s="28">
        <f>28.9343 * CHOOSE(CONTROL!$C$15, $E$9, 100%, $G$9) + CHOOSE(CONTROL!$C$38, 0.0347, 0)</f>
        <v>28.969000000000001</v>
      </c>
      <c r="F323" s="27">
        <f>28.9343 * CHOOSE(CONTROL!$C$15, $E$9, 100%, $G$9) + CHOOSE(CONTROL!$C$38, 0.0256, 0)</f>
        <v>28.959900000000001</v>
      </c>
      <c r="G323" s="10">
        <f>26.827 * CHOOSE(CONTROL!$C$15, $E$9, 100%, $G$9) + CHOOSE(CONTROL!$C$38, 0.0347, 0)</f>
        <v>26.861700000000003</v>
      </c>
      <c r="H323" s="10">
        <f>26.827 * CHOOSE(CONTROL!$C$15, $E$9, 100%, $G$9) + CHOOSE(CONTROL!$C$38, 0.0347, 0)</f>
        <v>26.861700000000003</v>
      </c>
      <c r="I323" s="10">
        <f>26.8286 * CHOOSE(CONTROL!$C$15, $E$9, 100%, $G$9) + CHOOSE(CONTROL!$C$38, 0.0347, 0)</f>
        <v>26.863300000000002</v>
      </c>
      <c r="J323" s="26">
        <f>176.2514</f>
        <v>176.25139999999999</v>
      </c>
    </row>
    <row r="324" spans="1:10" ht="15.75" x14ac:dyDescent="0.25">
      <c r="A324" s="14">
        <v>50801</v>
      </c>
      <c r="B324" s="10">
        <f>30.0189 * CHOOSE(CONTROL!$C$15, $E$9, 100%, $G$9) + CHOOSE(CONTROL!$C$38, 0.0256, 0)</f>
        <v>30.044499999999999</v>
      </c>
      <c r="C324" s="10">
        <f>27.7224 * CHOOSE(CONTROL!$C$15, $E$9, 100%, $G$9) + CHOOSE(CONTROL!$C$38, 0.0347, 0)</f>
        <v>27.757100000000001</v>
      </c>
      <c r="D324" s="10">
        <f>27.7146 * CHOOSE(CONTROL!$C$15, $E$9, 100%, $G$9) + CHOOSE(CONTROL!$C$38, 0.0347, 0)</f>
        <v>27.749300000000002</v>
      </c>
      <c r="E324" s="28">
        <f>29.8627 * CHOOSE(CONTROL!$C$15, $E$9, 100%, $G$9) + CHOOSE(CONTROL!$C$38, 0.0347, 0)</f>
        <v>29.897400000000001</v>
      </c>
      <c r="F324" s="27">
        <f>29.8627 * CHOOSE(CONTROL!$C$15, $E$9, 100%, $G$9) + CHOOSE(CONTROL!$C$38, 0.0256, 0)</f>
        <v>29.888300000000001</v>
      </c>
      <c r="G324" s="10">
        <f>27.7208 * CHOOSE(CONTROL!$C$15, $E$9, 100%, $G$9) + CHOOSE(CONTROL!$C$38, 0.0347, 0)</f>
        <v>27.755500000000001</v>
      </c>
      <c r="H324" s="10">
        <f>27.7208 * CHOOSE(CONTROL!$C$15, $E$9, 100%, $G$9) + CHOOSE(CONTROL!$C$38, 0.0347, 0)</f>
        <v>27.755500000000001</v>
      </c>
      <c r="I324" s="10">
        <f>27.7224 * CHOOSE(CONTROL!$C$15, $E$9, 100%, $G$9) + CHOOSE(CONTROL!$C$38, 0.0347, 0)</f>
        <v>27.757100000000001</v>
      </c>
      <c r="J324" s="26">
        <f>175.9148</f>
        <v>175.91480000000001</v>
      </c>
    </row>
    <row r="325" spans="1:10" ht="15.75" x14ac:dyDescent="0.25">
      <c r="A325" s="14">
        <v>50829</v>
      </c>
      <c r="B325" s="10">
        <f>30.2397 * CHOOSE(CONTROL!$C$15, $E$9, 100%, $G$9) + CHOOSE(CONTROL!$C$38, 0.0256, 0)</f>
        <v>30.2653</v>
      </c>
      <c r="C325" s="10">
        <f>27.9432 * CHOOSE(CONTROL!$C$15, $E$9, 100%, $G$9) + CHOOSE(CONTROL!$C$38, 0.0347, 0)</f>
        <v>27.977900000000002</v>
      </c>
      <c r="D325" s="10">
        <f>27.9353 * CHOOSE(CONTROL!$C$15, $E$9, 100%, $G$9) + CHOOSE(CONTROL!$C$38, 0.0347, 0)</f>
        <v>27.970000000000002</v>
      </c>
      <c r="E325" s="28">
        <f>30.0834 * CHOOSE(CONTROL!$C$15, $E$9, 100%, $G$9) + CHOOSE(CONTROL!$C$38, 0.0347, 0)</f>
        <v>30.118100000000002</v>
      </c>
      <c r="F325" s="27">
        <f>30.0834 * CHOOSE(CONTROL!$C$15, $E$9, 100%, $G$9) + CHOOSE(CONTROL!$C$38, 0.0256, 0)</f>
        <v>30.109000000000002</v>
      </c>
      <c r="G325" s="10">
        <f>27.9416 * CHOOSE(CONTROL!$C$15, $E$9, 100%, $G$9) + CHOOSE(CONTROL!$C$38, 0.0347, 0)</f>
        <v>27.976300000000002</v>
      </c>
      <c r="H325" s="10">
        <f>27.9416 * CHOOSE(CONTROL!$C$15, $E$9, 100%, $G$9) + CHOOSE(CONTROL!$C$38, 0.0347, 0)</f>
        <v>27.976300000000002</v>
      </c>
      <c r="I325" s="10">
        <f>27.9432 * CHOOSE(CONTROL!$C$15, $E$9, 100%, $G$9) + CHOOSE(CONTROL!$C$38, 0.0347, 0)</f>
        <v>27.977900000000002</v>
      </c>
      <c r="J325" s="26">
        <f>175.4259</f>
        <v>175.42590000000001</v>
      </c>
    </row>
    <row r="326" spans="1:10" ht="15.75" x14ac:dyDescent="0.25">
      <c r="A326" s="14">
        <v>50860</v>
      </c>
      <c r="B326" s="10">
        <f>29.7286 * CHOOSE(CONTROL!$C$15, $E$9, 100%, $G$9) + CHOOSE(CONTROL!$C$38, 0.0256, 0)</f>
        <v>29.754200000000001</v>
      </c>
      <c r="C326" s="10">
        <f>27.4321 * CHOOSE(CONTROL!$C$15, $E$9, 100%, $G$9) + CHOOSE(CONTROL!$C$38, 0.0347, 0)</f>
        <v>27.466799999999999</v>
      </c>
      <c r="D326" s="10">
        <f>27.4243 * CHOOSE(CONTROL!$C$15, $E$9, 100%, $G$9) + CHOOSE(CONTROL!$C$38, 0.0347, 0)</f>
        <v>27.459</v>
      </c>
      <c r="E326" s="28">
        <f>29.5724 * CHOOSE(CONTROL!$C$15, $E$9, 100%, $G$9) + CHOOSE(CONTROL!$C$38, 0.0347, 0)</f>
        <v>29.607099999999999</v>
      </c>
      <c r="F326" s="27">
        <f>29.5724 * CHOOSE(CONTROL!$C$15, $E$9, 100%, $G$9) + CHOOSE(CONTROL!$C$38, 0.0256, 0)</f>
        <v>29.597999999999999</v>
      </c>
      <c r="G326" s="10">
        <f>27.4306 * CHOOSE(CONTROL!$C$15, $E$9, 100%, $G$9) + CHOOSE(CONTROL!$C$38, 0.0347, 0)</f>
        <v>27.465299999999999</v>
      </c>
      <c r="H326" s="10">
        <f>27.4306 * CHOOSE(CONTROL!$C$15, $E$9, 100%, $G$9) + CHOOSE(CONTROL!$C$38, 0.0347, 0)</f>
        <v>27.465299999999999</v>
      </c>
      <c r="I326" s="10">
        <f>27.4321 * CHOOSE(CONTROL!$C$15, $E$9, 100%, $G$9) + CHOOSE(CONTROL!$C$38, 0.0347, 0)</f>
        <v>27.466799999999999</v>
      </c>
      <c r="J326" s="26">
        <f>184.6718</f>
        <v>184.67179999999999</v>
      </c>
    </row>
    <row r="327" spans="1:10" ht="15.75" x14ac:dyDescent="0.25">
      <c r="A327" s="14">
        <v>50890</v>
      </c>
      <c r="B327" s="10">
        <f>29.2335 * CHOOSE(CONTROL!$C$15, $E$9, 100%, $G$9) + CHOOSE(CONTROL!$C$38, 0.0256, 0)</f>
        <v>29.2591</v>
      </c>
      <c r="C327" s="10">
        <f>26.9369 * CHOOSE(CONTROL!$C$15, $E$9, 100%, $G$9) + CHOOSE(CONTROL!$C$38, 0.0347, 0)</f>
        <v>26.971600000000002</v>
      </c>
      <c r="D327" s="10">
        <f>26.9291 * CHOOSE(CONTROL!$C$15, $E$9, 100%, $G$9) + CHOOSE(CONTROL!$C$38, 0.0347, 0)</f>
        <v>26.963799999999999</v>
      </c>
      <c r="E327" s="28">
        <f>29.0772 * CHOOSE(CONTROL!$C$15, $E$9, 100%, $G$9) + CHOOSE(CONTROL!$C$38, 0.0347, 0)</f>
        <v>29.111900000000002</v>
      </c>
      <c r="F327" s="27">
        <f>29.0772 * CHOOSE(CONTROL!$C$15, $E$9, 100%, $G$9) + CHOOSE(CONTROL!$C$38, 0.0256, 0)</f>
        <v>29.102800000000002</v>
      </c>
      <c r="G327" s="10">
        <f>26.9354 * CHOOSE(CONTROL!$C$15, $E$9, 100%, $G$9) + CHOOSE(CONTROL!$C$38, 0.0347, 0)</f>
        <v>26.970100000000002</v>
      </c>
      <c r="H327" s="10">
        <f>26.9354 * CHOOSE(CONTROL!$C$15, $E$9, 100%, $G$9) + CHOOSE(CONTROL!$C$38, 0.0347, 0)</f>
        <v>26.970100000000002</v>
      </c>
      <c r="I327" s="10">
        <f>26.9369 * CHOOSE(CONTROL!$C$15, $E$9, 100%, $G$9) + CHOOSE(CONTROL!$C$38, 0.0347, 0)</f>
        <v>26.971600000000002</v>
      </c>
      <c r="J327" s="26">
        <f>196.6616</f>
        <v>196.66159999999999</v>
      </c>
    </row>
    <row r="328" spans="1:10" ht="15.75" x14ac:dyDescent="0.25">
      <c r="A328" s="14">
        <v>50921</v>
      </c>
      <c r="B328" s="10">
        <f>28.7173 * CHOOSE(CONTROL!$C$15, $E$9, 100%, $G$9) + CHOOSE(CONTROL!$C$38, 0.0278, 0)</f>
        <v>28.745100000000001</v>
      </c>
      <c r="C328" s="10">
        <f>26.4208 * CHOOSE(CONTROL!$C$15, $E$9, 100%, $G$9) + CHOOSE(CONTROL!$C$38, 0.0369, 0)</f>
        <v>26.457699999999999</v>
      </c>
      <c r="D328" s="10">
        <f>26.413 * CHOOSE(CONTROL!$C$15, $E$9, 100%, $G$9) + CHOOSE(CONTROL!$C$38, 0.0369, 0)</f>
        <v>26.4499</v>
      </c>
      <c r="E328" s="28">
        <f>28.5611 * CHOOSE(CONTROL!$C$15, $E$9, 100%, $G$9) + CHOOSE(CONTROL!$C$38, 0.0369, 0)</f>
        <v>28.597999999999999</v>
      </c>
      <c r="F328" s="27">
        <f>28.5611 * CHOOSE(CONTROL!$C$15, $E$9, 100%, $G$9) + CHOOSE(CONTROL!$C$38, 0.0278, 0)</f>
        <v>28.588899999999999</v>
      </c>
      <c r="G328" s="10">
        <f>26.4193 * CHOOSE(CONTROL!$C$15, $E$9, 100%, $G$9) + CHOOSE(CONTROL!$C$38, 0.0369, 0)</f>
        <v>26.456199999999999</v>
      </c>
      <c r="H328" s="10">
        <f>26.4193 * CHOOSE(CONTROL!$C$15, $E$9, 100%, $G$9) + CHOOSE(CONTROL!$C$38, 0.0369, 0)</f>
        <v>26.456199999999999</v>
      </c>
      <c r="I328" s="10">
        <f>26.4208 * CHOOSE(CONTROL!$C$15, $E$9, 100%, $G$9) + CHOOSE(CONTROL!$C$38, 0.0369, 0)</f>
        <v>26.457699999999999</v>
      </c>
      <c r="J328" s="26">
        <f>203.2612</f>
        <v>203.2612</v>
      </c>
    </row>
    <row r="329" spans="1:10" ht="15.75" x14ac:dyDescent="0.25">
      <c r="A329" s="14">
        <v>50951</v>
      </c>
      <c r="B329" s="10">
        <f>28.3555 * CHOOSE(CONTROL!$C$15, $E$9, 100%, $G$9) + CHOOSE(CONTROL!$C$38, 0.0278, 0)</f>
        <v>28.383299999999998</v>
      </c>
      <c r="C329" s="10">
        <f>26.059 * CHOOSE(CONTROL!$C$15, $E$9, 100%, $G$9) + CHOOSE(CONTROL!$C$38, 0.0369, 0)</f>
        <v>26.0959</v>
      </c>
      <c r="D329" s="10">
        <f>26.0512 * CHOOSE(CONTROL!$C$15, $E$9, 100%, $G$9) + CHOOSE(CONTROL!$C$38, 0.0369, 0)</f>
        <v>26.088100000000001</v>
      </c>
      <c r="E329" s="28">
        <f>28.1993 * CHOOSE(CONTROL!$C$15, $E$9, 100%, $G$9) + CHOOSE(CONTROL!$C$38, 0.0369, 0)</f>
        <v>28.2362</v>
      </c>
      <c r="F329" s="27">
        <f>28.1993 * CHOOSE(CONTROL!$C$15, $E$9, 100%, $G$9) + CHOOSE(CONTROL!$C$38, 0.0278, 0)</f>
        <v>28.2271</v>
      </c>
      <c r="G329" s="10">
        <f>26.0574 * CHOOSE(CONTROL!$C$15, $E$9, 100%, $G$9) + CHOOSE(CONTROL!$C$38, 0.0369, 0)</f>
        <v>26.0943</v>
      </c>
      <c r="H329" s="10">
        <f>26.0574 * CHOOSE(CONTROL!$C$15, $E$9, 100%, $G$9) + CHOOSE(CONTROL!$C$38, 0.0369, 0)</f>
        <v>26.0943</v>
      </c>
      <c r="I329" s="10">
        <f>26.059 * CHOOSE(CONTROL!$C$15, $E$9, 100%, $G$9) + CHOOSE(CONTROL!$C$38, 0.0369, 0)</f>
        <v>26.0959</v>
      </c>
      <c r="J329" s="26">
        <f>206.19</f>
        <v>206.19</v>
      </c>
    </row>
    <row r="330" spans="1:10" ht="15.75" x14ac:dyDescent="0.25">
      <c r="A330" s="14">
        <v>50982</v>
      </c>
      <c r="B330" s="10">
        <f>28.149 * CHOOSE(CONTROL!$C$15, $E$9, 100%, $G$9) + CHOOSE(CONTROL!$C$38, 0.0278, 0)</f>
        <v>28.1768</v>
      </c>
      <c r="C330" s="10">
        <f>25.8525 * CHOOSE(CONTROL!$C$15, $E$9, 100%, $G$9) + CHOOSE(CONTROL!$C$38, 0.0369, 0)</f>
        <v>25.889399999999998</v>
      </c>
      <c r="D330" s="10">
        <f>25.8447 * CHOOSE(CONTROL!$C$15, $E$9, 100%, $G$9) + CHOOSE(CONTROL!$C$38, 0.0369, 0)</f>
        <v>25.881599999999999</v>
      </c>
      <c r="E330" s="28">
        <f>27.9928 * CHOOSE(CONTROL!$C$15, $E$9, 100%, $G$9) + CHOOSE(CONTROL!$C$38, 0.0369, 0)</f>
        <v>28.029699999999998</v>
      </c>
      <c r="F330" s="27">
        <f>27.9928 * CHOOSE(CONTROL!$C$15, $E$9, 100%, $G$9) + CHOOSE(CONTROL!$C$38, 0.0278, 0)</f>
        <v>28.020599999999998</v>
      </c>
      <c r="G330" s="10">
        <f>25.8509 * CHOOSE(CONTROL!$C$15, $E$9, 100%, $G$9) + CHOOSE(CONTROL!$C$38, 0.0369, 0)</f>
        <v>25.887799999999999</v>
      </c>
      <c r="H330" s="10">
        <f>25.8509 * CHOOSE(CONTROL!$C$15, $E$9, 100%, $G$9) + CHOOSE(CONTROL!$C$38, 0.0369, 0)</f>
        <v>25.887799999999999</v>
      </c>
      <c r="I330" s="10">
        <f>25.8525 * CHOOSE(CONTROL!$C$15, $E$9, 100%, $G$9) + CHOOSE(CONTROL!$C$38, 0.0369, 0)</f>
        <v>25.889399999999998</v>
      </c>
      <c r="J330" s="26">
        <f>205.2257</f>
        <v>205.22569999999999</v>
      </c>
    </row>
    <row r="331" spans="1:10" ht="15.75" x14ac:dyDescent="0.25">
      <c r="A331" s="14">
        <v>51013</v>
      </c>
      <c r="B331" s="10">
        <f>28.2509 * CHOOSE(CONTROL!$C$15, $E$9, 100%, $G$9) + CHOOSE(CONTROL!$C$38, 0.0278, 0)</f>
        <v>28.278700000000001</v>
      </c>
      <c r="C331" s="10">
        <f>25.9544 * CHOOSE(CONTROL!$C$15, $E$9, 100%, $G$9) + CHOOSE(CONTROL!$C$38, 0.0369, 0)</f>
        <v>25.991299999999999</v>
      </c>
      <c r="D331" s="10">
        <f>25.9466 * CHOOSE(CONTROL!$C$15, $E$9, 100%, $G$9) + CHOOSE(CONTROL!$C$38, 0.0369, 0)</f>
        <v>25.983499999999999</v>
      </c>
      <c r="E331" s="28">
        <f>28.0947 * CHOOSE(CONTROL!$C$15, $E$9, 100%, $G$9) + CHOOSE(CONTROL!$C$38, 0.0369, 0)</f>
        <v>28.131599999999999</v>
      </c>
      <c r="F331" s="27">
        <f>28.0947 * CHOOSE(CONTROL!$C$15, $E$9, 100%, $G$9) + CHOOSE(CONTROL!$C$38, 0.0278, 0)</f>
        <v>28.122499999999999</v>
      </c>
      <c r="G331" s="10">
        <f>25.9529 * CHOOSE(CONTROL!$C$15, $E$9, 100%, $G$9) + CHOOSE(CONTROL!$C$38, 0.0369, 0)</f>
        <v>25.989799999999999</v>
      </c>
      <c r="H331" s="10">
        <f>25.9529 * CHOOSE(CONTROL!$C$15, $E$9, 100%, $G$9) + CHOOSE(CONTROL!$C$38, 0.0369, 0)</f>
        <v>25.989799999999999</v>
      </c>
      <c r="I331" s="10">
        <f>25.9544 * CHOOSE(CONTROL!$C$15, $E$9, 100%, $G$9) + CHOOSE(CONTROL!$C$38, 0.0369, 0)</f>
        <v>25.991299999999999</v>
      </c>
      <c r="J331" s="26">
        <f>200.4481</f>
        <v>200.44810000000001</v>
      </c>
    </row>
    <row r="332" spans="1:10" ht="15.75" x14ac:dyDescent="0.25">
      <c r="A332" s="14">
        <v>51043</v>
      </c>
      <c r="B332" s="10">
        <f>28.5277 * CHOOSE(CONTROL!$C$15, $E$9, 100%, $G$9) + CHOOSE(CONTROL!$C$38, 0.0278, 0)</f>
        <v>28.555499999999999</v>
      </c>
      <c r="C332" s="10">
        <f>26.2312 * CHOOSE(CONTROL!$C$15, $E$9, 100%, $G$9) + CHOOSE(CONTROL!$C$38, 0.0369, 0)</f>
        <v>26.2681</v>
      </c>
      <c r="D332" s="10">
        <f>26.2234 * CHOOSE(CONTROL!$C$15, $E$9, 100%, $G$9) + CHOOSE(CONTROL!$C$38, 0.0369, 0)</f>
        <v>26.260300000000001</v>
      </c>
      <c r="E332" s="28">
        <f>28.3715 * CHOOSE(CONTROL!$C$15, $E$9, 100%, $G$9) + CHOOSE(CONTROL!$C$38, 0.0369, 0)</f>
        <v>28.4084</v>
      </c>
      <c r="F332" s="27">
        <f>28.3715 * CHOOSE(CONTROL!$C$15, $E$9, 100%, $G$9) + CHOOSE(CONTROL!$C$38, 0.0278, 0)</f>
        <v>28.3993</v>
      </c>
      <c r="G332" s="10">
        <f>26.2296 * CHOOSE(CONTROL!$C$15, $E$9, 100%, $G$9) + CHOOSE(CONTROL!$C$38, 0.0369, 0)</f>
        <v>26.266500000000001</v>
      </c>
      <c r="H332" s="10">
        <f>26.2296 * CHOOSE(CONTROL!$C$15, $E$9, 100%, $G$9) + CHOOSE(CONTROL!$C$38, 0.0369, 0)</f>
        <v>26.266500000000001</v>
      </c>
      <c r="I332" s="10">
        <f>26.2312 * CHOOSE(CONTROL!$C$15, $E$9, 100%, $G$9) + CHOOSE(CONTROL!$C$38, 0.0369, 0)</f>
        <v>26.2681</v>
      </c>
      <c r="J332" s="26">
        <f>193.7856</f>
        <v>193.78559999999999</v>
      </c>
    </row>
    <row r="333" spans="1:10" ht="15.75" x14ac:dyDescent="0.25">
      <c r="A333" s="14">
        <v>51074</v>
      </c>
      <c r="B333" s="10">
        <f>28.7595 * CHOOSE(CONTROL!$C$15, $E$9, 100%, $G$9) + CHOOSE(CONTROL!$C$38, 0.0256, 0)</f>
        <v>28.7851</v>
      </c>
      <c r="C333" s="10">
        <f>26.463 * CHOOSE(CONTROL!$C$15, $E$9, 100%, $G$9) + CHOOSE(CONTROL!$C$38, 0.0347, 0)</f>
        <v>26.497700000000002</v>
      </c>
      <c r="D333" s="10">
        <f>26.4552 * CHOOSE(CONTROL!$C$15, $E$9, 100%, $G$9) + CHOOSE(CONTROL!$C$38, 0.0347, 0)</f>
        <v>26.489900000000002</v>
      </c>
      <c r="E333" s="28">
        <f>28.6033 * CHOOSE(CONTROL!$C$15, $E$9, 100%, $G$9) + CHOOSE(CONTROL!$C$38, 0.0347, 0)</f>
        <v>28.638000000000002</v>
      </c>
      <c r="F333" s="27">
        <f>28.6033 * CHOOSE(CONTROL!$C$15, $E$9, 100%, $G$9) + CHOOSE(CONTROL!$C$38, 0.0256, 0)</f>
        <v>28.628900000000002</v>
      </c>
      <c r="G333" s="10">
        <f>26.4615 * CHOOSE(CONTROL!$C$15, $E$9, 100%, $G$9) + CHOOSE(CONTROL!$C$38, 0.0347, 0)</f>
        <v>26.496200000000002</v>
      </c>
      <c r="H333" s="10">
        <f>26.4615 * CHOOSE(CONTROL!$C$15, $E$9, 100%, $G$9) + CHOOSE(CONTROL!$C$38, 0.0347, 0)</f>
        <v>26.496200000000002</v>
      </c>
      <c r="I333" s="10">
        <f>26.463 * CHOOSE(CONTROL!$C$15, $E$9, 100%, $G$9) + CHOOSE(CONTROL!$C$38, 0.0347, 0)</f>
        <v>26.497700000000002</v>
      </c>
      <c r="J333" s="26">
        <f>187.0843</f>
        <v>187.08430000000001</v>
      </c>
    </row>
    <row r="334" spans="1:10" ht="15.75" x14ac:dyDescent="0.25">
      <c r="A334" s="14">
        <v>51104</v>
      </c>
      <c r="B334" s="10">
        <f>28.953 * CHOOSE(CONTROL!$C$15, $E$9, 100%, $G$9) + CHOOSE(CONTROL!$C$38, 0.0256, 0)</f>
        <v>28.9786</v>
      </c>
      <c r="C334" s="10">
        <f>26.6565 * CHOOSE(CONTROL!$C$15, $E$9, 100%, $G$9) + CHOOSE(CONTROL!$C$38, 0.0347, 0)</f>
        <v>26.691200000000002</v>
      </c>
      <c r="D334" s="10">
        <f>26.6487 * CHOOSE(CONTROL!$C$15, $E$9, 100%, $G$9) + CHOOSE(CONTROL!$C$38, 0.0347, 0)</f>
        <v>26.683400000000002</v>
      </c>
      <c r="E334" s="28">
        <f>28.7967 * CHOOSE(CONTROL!$C$15, $E$9, 100%, $G$9) + CHOOSE(CONTROL!$C$38, 0.0347, 0)</f>
        <v>28.831400000000002</v>
      </c>
      <c r="F334" s="27">
        <f>28.7967 * CHOOSE(CONTROL!$C$15, $E$9, 100%, $G$9) + CHOOSE(CONTROL!$C$38, 0.0256, 0)</f>
        <v>28.822300000000002</v>
      </c>
      <c r="G334" s="10">
        <f>26.6549 * CHOOSE(CONTROL!$C$15, $E$9, 100%, $G$9) + CHOOSE(CONTROL!$C$38, 0.0347, 0)</f>
        <v>26.689600000000002</v>
      </c>
      <c r="H334" s="10">
        <f>26.6549 * CHOOSE(CONTROL!$C$15, $E$9, 100%, $G$9) + CHOOSE(CONTROL!$C$38, 0.0347, 0)</f>
        <v>26.689600000000002</v>
      </c>
      <c r="I334" s="10">
        <f>26.6565 * CHOOSE(CONTROL!$C$15, $E$9, 100%, $G$9) + CHOOSE(CONTROL!$C$38, 0.0347, 0)</f>
        <v>26.691200000000002</v>
      </c>
      <c r="J334" s="26">
        <f>185.7512</f>
        <v>185.75120000000001</v>
      </c>
    </row>
    <row r="335" spans="1:10" ht="15.75" x14ac:dyDescent="0.25">
      <c r="A335" s="14">
        <v>51135</v>
      </c>
      <c r="B335" s="10">
        <f>29.5491 * CHOOSE(CONTROL!$C$15, $E$9, 100%, $G$9) + CHOOSE(CONTROL!$C$38, 0.0256, 0)</f>
        <v>29.5747</v>
      </c>
      <c r="C335" s="10">
        <f>27.2525 * CHOOSE(CONTROL!$C$15, $E$9, 100%, $G$9) + CHOOSE(CONTROL!$C$38, 0.0347, 0)</f>
        <v>27.287200000000002</v>
      </c>
      <c r="D335" s="10">
        <f>27.2447 * CHOOSE(CONTROL!$C$15, $E$9, 100%, $G$9) + CHOOSE(CONTROL!$C$38, 0.0347, 0)</f>
        <v>27.279400000000003</v>
      </c>
      <c r="E335" s="28">
        <f>29.3928 * CHOOSE(CONTROL!$C$15, $E$9, 100%, $G$9) + CHOOSE(CONTROL!$C$38, 0.0347, 0)</f>
        <v>29.427500000000002</v>
      </c>
      <c r="F335" s="27">
        <f>29.3928 * CHOOSE(CONTROL!$C$15, $E$9, 100%, $G$9) + CHOOSE(CONTROL!$C$38, 0.0256, 0)</f>
        <v>29.418400000000002</v>
      </c>
      <c r="G335" s="10">
        <f>27.251 * CHOOSE(CONTROL!$C$15, $E$9, 100%, $G$9) + CHOOSE(CONTROL!$C$38, 0.0347, 0)</f>
        <v>27.285700000000002</v>
      </c>
      <c r="H335" s="10">
        <f>27.251 * CHOOSE(CONTROL!$C$15, $E$9, 100%, $G$9) + CHOOSE(CONTROL!$C$38, 0.0347, 0)</f>
        <v>27.285700000000002</v>
      </c>
      <c r="I335" s="10">
        <f>27.2525 * CHOOSE(CONTROL!$C$15, $E$9, 100%, $G$9) + CHOOSE(CONTROL!$C$38, 0.0347, 0)</f>
        <v>27.287200000000002</v>
      </c>
      <c r="J335" s="26">
        <f>180.239</f>
        <v>180.239</v>
      </c>
    </row>
    <row r="336" spans="1:10" ht="15.75" x14ac:dyDescent="0.25">
      <c r="A336" s="14">
        <v>51166</v>
      </c>
      <c r="B336" s="10">
        <f>30.4849 * CHOOSE(CONTROL!$C$15, $E$9, 100%, $G$9) + CHOOSE(CONTROL!$C$38, 0.0256, 0)</f>
        <v>30.5105</v>
      </c>
      <c r="C336" s="10">
        <f>28.1533 * CHOOSE(CONTROL!$C$15, $E$9, 100%, $G$9) + CHOOSE(CONTROL!$C$38, 0.0347, 0)</f>
        <v>28.188000000000002</v>
      </c>
      <c r="D336" s="10">
        <f>28.1455 * CHOOSE(CONTROL!$C$15, $E$9, 100%, $G$9) + CHOOSE(CONTROL!$C$38, 0.0347, 0)</f>
        <v>28.180199999999999</v>
      </c>
      <c r="E336" s="28">
        <f>30.3287 * CHOOSE(CONTROL!$C$15, $E$9, 100%, $G$9) + CHOOSE(CONTROL!$C$38, 0.0347, 0)</f>
        <v>30.363400000000002</v>
      </c>
      <c r="F336" s="27">
        <f>30.3287 * CHOOSE(CONTROL!$C$15, $E$9, 100%, $G$9) + CHOOSE(CONTROL!$C$38, 0.0256, 0)</f>
        <v>30.354300000000002</v>
      </c>
      <c r="G336" s="10">
        <f>28.1517 * CHOOSE(CONTROL!$C$15, $E$9, 100%, $G$9) + CHOOSE(CONTROL!$C$38, 0.0347, 0)</f>
        <v>28.186400000000003</v>
      </c>
      <c r="H336" s="10">
        <f>28.1517 * CHOOSE(CONTROL!$C$15, $E$9, 100%, $G$9) + CHOOSE(CONTROL!$C$38, 0.0347, 0)</f>
        <v>28.186400000000003</v>
      </c>
      <c r="I336" s="10">
        <f>28.1533 * CHOOSE(CONTROL!$C$15, $E$9, 100%, $G$9) + CHOOSE(CONTROL!$C$38, 0.0347, 0)</f>
        <v>28.188000000000002</v>
      </c>
      <c r="J336" s="26">
        <f>179.8948</f>
        <v>179.8948</v>
      </c>
    </row>
    <row r="337" spans="1:10" ht="15.75" x14ac:dyDescent="0.25">
      <c r="A337" s="14">
        <v>51194</v>
      </c>
      <c r="B337" s="10">
        <f>30.7057 * CHOOSE(CONTROL!$C$15, $E$9, 100%, $G$9) + CHOOSE(CONTROL!$C$38, 0.0256, 0)</f>
        <v>30.731300000000001</v>
      </c>
      <c r="C337" s="10">
        <f>28.3741 * CHOOSE(CONTROL!$C$15, $E$9, 100%, $G$9) + CHOOSE(CONTROL!$C$38, 0.0347, 0)</f>
        <v>28.408799999999999</v>
      </c>
      <c r="D337" s="10">
        <f>28.3663 * CHOOSE(CONTROL!$C$15, $E$9, 100%, $G$9) + CHOOSE(CONTROL!$C$38, 0.0347, 0)</f>
        <v>28.401</v>
      </c>
      <c r="E337" s="28">
        <f>30.5494 * CHOOSE(CONTROL!$C$15, $E$9, 100%, $G$9) + CHOOSE(CONTROL!$C$38, 0.0347, 0)</f>
        <v>30.584099999999999</v>
      </c>
      <c r="F337" s="27">
        <f>30.5494 * CHOOSE(CONTROL!$C$15, $E$9, 100%, $G$9) + CHOOSE(CONTROL!$C$38, 0.0256, 0)</f>
        <v>30.574999999999999</v>
      </c>
      <c r="G337" s="10">
        <f>28.3725 * CHOOSE(CONTROL!$C$15, $E$9, 100%, $G$9) + CHOOSE(CONTROL!$C$38, 0.0347, 0)</f>
        <v>28.4072</v>
      </c>
      <c r="H337" s="10">
        <f>28.3725 * CHOOSE(CONTROL!$C$15, $E$9, 100%, $G$9) + CHOOSE(CONTROL!$C$38, 0.0347, 0)</f>
        <v>28.4072</v>
      </c>
      <c r="I337" s="10">
        <f>28.3741 * CHOOSE(CONTROL!$C$15, $E$9, 100%, $G$9) + CHOOSE(CONTROL!$C$38, 0.0347, 0)</f>
        <v>28.408799999999999</v>
      </c>
      <c r="J337" s="26">
        <f>179.3948</f>
        <v>179.3948</v>
      </c>
    </row>
    <row r="338" spans="1:10" ht="15.75" x14ac:dyDescent="0.25">
      <c r="A338" s="14">
        <v>51226</v>
      </c>
      <c r="B338" s="10">
        <f>30.1946 * CHOOSE(CONTROL!$C$15, $E$9, 100%, $G$9) + CHOOSE(CONTROL!$C$38, 0.0256, 0)</f>
        <v>30.220200000000002</v>
      </c>
      <c r="C338" s="10">
        <f>27.863 * CHOOSE(CONTROL!$C$15, $E$9, 100%, $G$9) + CHOOSE(CONTROL!$C$38, 0.0347, 0)</f>
        <v>27.8977</v>
      </c>
      <c r="D338" s="10">
        <f>27.8552 * CHOOSE(CONTROL!$C$15, $E$9, 100%, $G$9) + CHOOSE(CONTROL!$C$38, 0.0347, 0)</f>
        <v>27.889900000000001</v>
      </c>
      <c r="E338" s="28">
        <f>30.0384 * CHOOSE(CONTROL!$C$15, $E$9, 100%, $G$9) + CHOOSE(CONTROL!$C$38, 0.0347, 0)</f>
        <v>30.0731</v>
      </c>
      <c r="F338" s="27">
        <f>30.0384 * CHOOSE(CONTROL!$C$15, $E$9, 100%, $G$9) + CHOOSE(CONTROL!$C$38, 0.0256, 0)</f>
        <v>30.064</v>
      </c>
      <c r="G338" s="10">
        <f>27.8615 * CHOOSE(CONTROL!$C$15, $E$9, 100%, $G$9) + CHOOSE(CONTROL!$C$38, 0.0347, 0)</f>
        <v>27.8962</v>
      </c>
      <c r="H338" s="10">
        <f>27.8615 * CHOOSE(CONTROL!$C$15, $E$9, 100%, $G$9) + CHOOSE(CONTROL!$C$38, 0.0347, 0)</f>
        <v>27.8962</v>
      </c>
      <c r="I338" s="10">
        <f>27.863 * CHOOSE(CONTROL!$C$15, $E$9, 100%, $G$9) + CHOOSE(CONTROL!$C$38, 0.0347, 0)</f>
        <v>27.8977</v>
      </c>
      <c r="J338" s="26">
        <f>188.8499</f>
        <v>188.84989999999999</v>
      </c>
    </row>
    <row r="339" spans="1:10" ht="15.75" x14ac:dyDescent="0.25">
      <c r="A339" s="14">
        <v>51256</v>
      </c>
      <c r="B339" s="10">
        <f>29.6995 * CHOOSE(CONTROL!$C$15, $E$9, 100%, $G$9) + CHOOSE(CONTROL!$C$38, 0.0256, 0)</f>
        <v>29.725100000000001</v>
      </c>
      <c r="C339" s="10">
        <f>27.3679 * CHOOSE(CONTROL!$C$15, $E$9, 100%, $G$9) + CHOOSE(CONTROL!$C$38, 0.0347, 0)</f>
        <v>27.4026</v>
      </c>
      <c r="D339" s="10">
        <f>27.36 * CHOOSE(CONTROL!$C$15, $E$9, 100%, $G$9) + CHOOSE(CONTROL!$C$38, 0.0347, 0)</f>
        <v>27.3947</v>
      </c>
      <c r="E339" s="28">
        <f>29.5432 * CHOOSE(CONTROL!$C$15, $E$9, 100%, $G$9) + CHOOSE(CONTROL!$C$38, 0.0347, 0)</f>
        <v>29.5779</v>
      </c>
      <c r="F339" s="27">
        <f>29.5432 * CHOOSE(CONTROL!$C$15, $E$9, 100%, $G$9) + CHOOSE(CONTROL!$C$38, 0.0256, 0)</f>
        <v>29.5688</v>
      </c>
      <c r="G339" s="10">
        <f>27.3663 * CHOOSE(CONTROL!$C$15, $E$9, 100%, $G$9) + CHOOSE(CONTROL!$C$38, 0.0347, 0)</f>
        <v>27.401</v>
      </c>
      <c r="H339" s="10">
        <f>27.3663 * CHOOSE(CONTROL!$C$15, $E$9, 100%, $G$9) + CHOOSE(CONTROL!$C$38, 0.0347, 0)</f>
        <v>27.401</v>
      </c>
      <c r="I339" s="10">
        <f>27.3679 * CHOOSE(CONTROL!$C$15, $E$9, 100%, $G$9) + CHOOSE(CONTROL!$C$38, 0.0347, 0)</f>
        <v>27.4026</v>
      </c>
      <c r="J339" s="26">
        <f>201.111</f>
        <v>201.11099999999999</v>
      </c>
    </row>
    <row r="340" spans="1:10" ht="15.75" x14ac:dyDescent="0.25">
      <c r="A340" s="14">
        <v>51287</v>
      </c>
      <c r="B340" s="10">
        <f>29.1833 * CHOOSE(CONTROL!$C$15, $E$9, 100%, $G$9) + CHOOSE(CONTROL!$C$38, 0.0278, 0)</f>
        <v>29.211099999999998</v>
      </c>
      <c r="C340" s="10">
        <f>26.8517 * CHOOSE(CONTROL!$C$15, $E$9, 100%, $G$9) + CHOOSE(CONTROL!$C$38, 0.0369, 0)</f>
        <v>26.8886</v>
      </c>
      <c r="D340" s="10">
        <f>26.8439 * CHOOSE(CONTROL!$C$15, $E$9, 100%, $G$9) + CHOOSE(CONTROL!$C$38, 0.0369, 0)</f>
        <v>26.880800000000001</v>
      </c>
      <c r="E340" s="28">
        <f>29.0271 * CHOOSE(CONTROL!$C$15, $E$9, 100%, $G$9) + CHOOSE(CONTROL!$C$38, 0.0369, 0)</f>
        <v>29.064</v>
      </c>
      <c r="F340" s="27">
        <f>29.0271 * CHOOSE(CONTROL!$C$15, $E$9, 100%, $G$9) + CHOOSE(CONTROL!$C$38, 0.0278, 0)</f>
        <v>29.0549</v>
      </c>
      <c r="G340" s="10">
        <f>26.8502 * CHOOSE(CONTROL!$C$15, $E$9, 100%, $G$9) + CHOOSE(CONTROL!$C$38, 0.0369, 0)</f>
        <v>26.8871</v>
      </c>
      <c r="H340" s="10">
        <f>26.8502 * CHOOSE(CONTROL!$C$15, $E$9, 100%, $G$9) + CHOOSE(CONTROL!$C$38, 0.0369, 0)</f>
        <v>26.8871</v>
      </c>
      <c r="I340" s="10">
        <f>26.8517 * CHOOSE(CONTROL!$C$15, $E$9, 100%, $G$9) + CHOOSE(CONTROL!$C$38, 0.0369, 0)</f>
        <v>26.8886</v>
      </c>
      <c r="J340" s="26">
        <f>207.8599</f>
        <v>207.85990000000001</v>
      </c>
    </row>
    <row r="341" spans="1:10" ht="15.75" x14ac:dyDescent="0.25">
      <c r="A341" s="14">
        <v>51317</v>
      </c>
      <c r="B341" s="10">
        <f>28.8215 * CHOOSE(CONTROL!$C$15, $E$9, 100%, $G$9) + CHOOSE(CONTROL!$C$38, 0.0278, 0)</f>
        <v>28.849299999999999</v>
      </c>
      <c r="C341" s="10">
        <f>26.4899 * CHOOSE(CONTROL!$C$15, $E$9, 100%, $G$9) + CHOOSE(CONTROL!$C$38, 0.0369, 0)</f>
        <v>26.526799999999998</v>
      </c>
      <c r="D341" s="10">
        <f>26.4821 * CHOOSE(CONTROL!$C$15, $E$9, 100%, $G$9) + CHOOSE(CONTROL!$C$38, 0.0369, 0)</f>
        <v>26.518999999999998</v>
      </c>
      <c r="E341" s="28">
        <f>28.6653 * CHOOSE(CONTROL!$C$15, $E$9, 100%, $G$9) + CHOOSE(CONTROL!$C$38, 0.0369, 0)</f>
        <v>28.702199999999998</v>
      </c>
      <c r="F341" s="27">
        <f>28.6653 * CHOOSE(CONTROL!$C$15, $E$9, 100%, $G$9) + CHOOSE(CONTROL!$C$38, 0.0278, 0)</f>
        <v>28.693099999999998</v>
      </c>
      <c r="G341" s="10">
        <f>26.4883 * CHOOSE(CONTROL!$C$15, $E$9, 100%, $G$9) + CHOOSE(CONTROL!$C$38, 0.0369, 0)</f>
        <v>26.525199999999998</v>
      </c>
      <c r="H341" s="10">
        <f>26.4883 * CHOOSE(CONTROL!$C$15, $E$9, 100%, $G$9) + CHOOSE(CONTROL!$C$38, 0.0369, 0)</f>
        <v>26.525199999999998</v>
      </c>
      <c r="I341" s="10">
        <f>26.4899 * CHOOSE(CONTROL!$C$15, $E$9, 100%, $G$9) + CHOOSE(CONTROL!$C$38, 0.0369, 0)</f>
        <v>26.526799999999998</v>
      </c>
      <c r="J341" s="26">
        <f>210.8549</f>
        <v>210.85489999999999</v>
      </c>
    </row>
    <row r="342" spans="1:10" ht="15.75" x14ac:dyDescent="0.25">
      <c r="A342" s="14">
        <v>51348</v>
      </c>
      <c r="B342" s="10">
        <f>28.615 * CHOOSE(CONTROL!$C$15, $E$9, 100%, $G$9) + CHOOSE(CONTROL!$C$38, 0.0278, 0)</f>
        <v>28.642799999999998</v>
      </c>
      <c r="C342" s="10">
        <f>26.2834 * CHOOSE(CONTROL!$C$15, $E$9, 100%, $G$9) + CHOOSE(CONTROL!$C$38, 0.0369, 0)</f>
        <v>26.3203</v>
      </c>
      <c r="D342" s="10">
        <f>26.2756 * CHOOSE(CONTROL!$C$15, $E$9, 100%, $G$9) + CHOOSE(CONTROL!$C$38, 0.0369, 0)</f>
        <v>26.3125</v>
      </c>
      <c r="E342" s="28">
        <f>28.4588 * CHOOSE(CONTROL!$C$15, $E$9, 100%, $G$9) + CHOOSE(CONTROL!$C$38, 0.0369, 0)</f>
        <v>28.495699999999999</v>
      </c>
      <c r="F342" s="27">
        <f>28.4588 * CHOOSE(CONTROL!$C$15, $E$9, 100%, $G$9) + CHOOSE(CONTROL!$C$38, 0.0278, 0)</f>
        <v>28.486599999999999</v>
      </c>
      <c r="G342" s="10">
        <f>26.2819 * CHOOSE(CONTROL!$C$15, $E$9, 100%, $G$9) + CHOOSE(CONTROL!$C$38, 0.0369, 0)</f>
        <v>26.3188</v>
      </c>
      <c r="H342" s="10">
        <f>26.2819 * CHOOSE(CONTROL!$C$15, $E$9, 100%, $G$9) + CHOOSE(CONTROL!$C$38, 0.0369, 0)</f>
        <v>26.3188</v>
      </c>
      <c r="I342" s="10">
        <f>26.2834 * CHOOSE(CONTROL!$C$15, $E$9, 100%, $G$9) + CHOOSE(CONTROL!$C$38, 0.0369, 0)</f>
        <v>26.3203</v>
      </c>
      <c r="J342" s="26">
        <f>209.8688</f>
        <v>209.86879999999999</v>
      </c>
    </row>
    <row r="343" spans="1:10" ht="15.75" x14ac:dyDescent="0.25">
      <c r="A343" s="14">
        <v>51379</v>
      </c>
      <c r="B343" s="10">
        <f>28.7169 * CHOOSE(CONTROL!$C$15, $E$9, 100%, $G$9) + CHOOSE(CONTROL!$C$38, 0.0278, 0)</f>
        <v>28.744699999999998</v>
      </c>
      <c r="C343" s="10">
        <f>26.3853 * CHOOSE(CONTROL!$C$15, $E$9, 100%, $G$9) + CHOOSE(CONTROL!$C$38, 0.0369, 0)</f>
        <v>26.4222</v>
      </c>
      <c r="D343" s="10">
        <f>26.3775 * CHOOSE(CONTROL!$C$15, $E$9, 100%, $G$9) + CHOOSE(CONTROL!$C$38, 0.0369, 0)</f>
        <v>26.414400000000001</v>
      </c>
      <c r="E343" s="28">
        <f>28.5607 * CHOOSE(CONTROL!$C$15, $E$9, 100%, $G$9) + CHOOSE(CONTROL!$C$38, 0.0369, 0)</f>
        <v>28.5976</v>
      </c>
      <c r="F343" s="27">
        <f>28.5607 * CHOOSE(CONTROL!$C$15, $E$9, 100%, $G$9) + CHOOSE(CONTROL!$C$38, 0.0278, 0)</f>
        <v>28.5885</v>
      </c>
      <c r="G343" s="10">
        <f>26.3838 * CHOOSE(CONTROL!$C$15, $E$9, 100%, $G$9) + CHOOSE(CONTROL!$C$38, 0.0369, 0)</f>
        <v>26.4207</v>
      </c>
      <c r="H343" s="10">
        <f>26.3838 * CHOOSE(CONTROL!$C$15, $E$9, 100%, $G$9) + CHOOSE(CONTROL!$C$38, 0.0369, 0)</f>
        <v>26.4207</v>
      </c>
      <c r="I343" s="10">
        <f>26.3853 * CHOOSE(CONTROL!$C$15, $E$9, 100%, $G$9) + CHOOSE(CONTROL!$C$38, 0.0369, 0)</f>
        <v>26.4222</v>
      </c>
      <c r="J343" s="26">
        <f>204.9831</f>
        <v>204.98310000000001</v>
      </c>
    </row>
    <row r="344" spans="1:10" ht="15.75" x14ac:dyDescent="0.25">
      <c r="A344" s="14">
        <v>51409</v>
      </c>
      <c r="B344" s="10">
        <f>28.9937 * CHOOSE(CONTROL!$C$15, $E$9, 100%, $G$9) + CHOOSE(CONTROL!$C$38, 0.0278, 0)</f>
        <v>29.0215</v>
      </c>
      <c r="C344" s="10">
        <f>26.6621 * CHOOSE(CONTROL!$C$15, $E$9, 100%, $G$9) + CHOOSE(CONTROL!$C$38, 0.0369, 0)</f>
        <v>26.698999999999998</v>
      </c>
      <c r="D344" s="10">
        <f>26.6543 * CHOOSE(CONTROL!$C$15, $E$9, 100%, $G$9) + CHOOSE(CONTROL!$C$38, 0.0369, 0)</f>
        <v>26.691199999999998</v>
      </c>
      <c r="E344" s="28">
        <f>28.8375 * CHOOSE(CONTROL!$C$15, $E$9, 100%, $G$9) + CHOOSE(CONTROL!$C$38, 0.0369, 0)</f>
        <v>28.874399999999998</v>
      </c>
      <c r="F344" s="27">
        <f>28.8375 * CHOOSE(CONTROL!$C$15, $E$9, 100%, $G$9) + CHOOSE(CONTROL!$C$38, 0.0278, 0)</f>
        <v>28.865299999999998</v>
      </c>
      <c r="G344" s="10">
        <f>26.6606 * CHOOSE(CONTROL!$C$15, $E$9, 100%, $G$9) + CHOOSE(CONTROL!$C$38, 0.0369, 0)</f>
        <v>26.697499999999998</v>
      </c>
      <c r="H344" s="10">
        <f>26.6606 * CHOOSE(CONTROL!$C$15, $E$9, 100%, $G$9) + CHOOSE(CONTROL!$C$38, 0.0369, 0)</f>
        <v>26.697499999999998</v>
      </c>
      <c r="I344" s="10">
        <f>26.6621 * CHOOSE(CONTROL!$C$15, $E$9, 100%, $G$9) + CHOOSE(CONTROL!$C$38, 0.0369, 0)</f>
        <v>26.698999999999998</v>
      </c>
      <c r="J344" s="26">
        <f>198.1699</f>
        <v>198.16990000000001</v>
      </c>
    </row>
    <row r="345" spans="1:10" ht="15.75" x14ac:dyDescent="0.25">
      <c r="A345" s="14">
        <v>51440</v>
      </c>
      <c r="B345" s="10">
        <f>29.2255 * CHOOSE(CONTROL!$C$15, $E$9, 100%, $G$9) + CHOOSE(CONTROL!$C$38, 0.0256, 0)</f>
        <v>29.251100000000001</v>
      </c>
      <c r="C345" s="10">
        <f>26.8939 * CHOOSE(CONTROL!$C$15, $E$9, 100%, $G$9) + CHOOSE(CONTROL!$C$38, 0.0347, 0)</f>
        <v>26.928599999999999</v>
      </c>
      <c r="D345" s="10">
        <f>26.8861 * CHOOSE(CONTROL!$C$15, $E$9, 100%, $G$9) + CHOOSE(CONTROL!$C$38, 0.0347, 0)</f>
        <v>26.9208</v>
      </c>
      <c r="E345" s="28">
        <f>29.0693 * CHOOSE(CONTROL!$C$15, $E$9, 100%, $G$9) + CHOOSE(CONTROL!$C$38, 0.0347, 0)</f>
        <v>29.103999999999999</v>
      </c>
      <c r="F345" s="27">
        <f>29.0693 * CHOOSE(CONTROL!$C$15, $E$9, 100%, $G$9) + CHOOSE(CONTROL!$C$38, 0.0256, 0)</f>
        <v>29.094899999999999</v>
      </c>
      <c r="G345" s="10">
        <f>26.8924 * CHOOSE(CONTROL!$C$15, $E$9, 100%, $G$9) + CHOOSE(CONTROL!$C$38, 0.0347, 0)</f>
        <v>26.927099999999999</v>
      </c>
      <c r="H345" s="10">
        <f>26.8924 * CHOOSE(CONTROL!$C$15, $E$9, 100%, $G$9) + CHOOSE(CONTROL!$C$38, 0.0347, 0)</f>
        <v>26.927099999999999</v>
      </c>
      <c r="I345" s="10">
        <f>26.8939 * CHOOSE(CONTROL!$C$15, $E$9, 100%, $G$9) + CHOOSE(CONTROL!$C$38, 0.0347, 0)</f>
        <v>26.928599999999999</v>
      </c>
      <c r="J345" s="26">
        <f>191.3169</f>
        <v>191.3169</v>
      </c>
    </row>
    <row r="346" spans="1:10" ht="15.75" x14ac:dyDescent="0.25">
      <c r="A346" s="14">
        <v>51470</v>
      </c>
      <c r="B346" s="10">
        <f>29.419 * CHOOSE(CONTROL!$C$15, $E$9, 100%, $G$9) + CHOOSE(CONTROL!$C$38, 0.0256, 0)</f>
        <v>29.444600000000001</v>
      </c>
      <c r="C346" s="10">
        <f>27.0874 * CHOOSE(CONTROL!$C$15, $E$9, 100%, $G$9) + CHOOSE(CONTROL!$C$38, 0.0347, 0)</f>
        <v>27.1221</v>
      </c>
      <c r="D346" s="10">
        <f>27.0796 * CHOOSE(CONTROL!$C$15, $E$9, 100%, $G$9) + CHOOSE(CONTROL!$C$38, 0.0347, 0)</f>
        <v>27.1143</v>
      </c>
      <c r="E346" s="28">
        <f>29.2627 * CHOOSE(CONTROL!$C$15, $E$9, 100%, $G$9) + CHOOSE(CONTROL!$C$38, 0.0347, 0)</f>
        <v>29.2974</v>
      </c>
      <c r="F346" s="27">
        <f>29.2627 * CHOOSE(CONTROL!$C$15, $E$9, 100%, $G$9) + CHOOSE(CONTROL!$C$38, 0.0256, 0)</f>
        <v>29.2883</v>
      </c>
      <c r="G346" s="10">
        <f>27.0858 * CHOOSE(CONTROL!$C$15, $E$9, 100%, $G$9) + CHOOSE(CONTROL!$C$38, 0.0347, 0)</f>
        <v>27.1205</v>
      </c>
      <c r="H346" s="10">
        <f>27.0858 * CHOOSE(CONTROL!$C$15, $E$9, 100%, $G$9) + CHOOSE(CONTROL!$C$38, 0.0347, 0)</f>
        <v>27.1205</v>
      </c>
      <c r="I346" s="10">
        <f>27.0874 * CHOOSE(CONTROL!$C$15, $E$9, 100%, $G$9) + CHOOSE(CONTROL!$C$38, 0.0347, 0)</f>
        <v>27.1221</v>
      </c>
      <c r="J346" s="26">
        <f>189.9538</f>
        <v>189.9538</v>
      </c>
    </row>
    <row r="347" spans="1:10" ht="15.75" x14ac:dyDescent="0.25">
      <c r="A347" s="14">
        <v>51501</v>
      </c>
      <c r="B347" s="10">
        <f>30.0151 * CHOOSE(CONTROL!$C$15, $E$9, 100%, $G$9) + CHOOSE(CONTROL!$C$38, 0.0256, 0)</f>
        <v>30.040700000000001</v>
      </c>
      <c r="C347" s="10">
        <f>27.6835 * CHOOSE(CONTROL!$C$15, $E$9, 100%, $G$9) + CHOOSE(CONTROL!$C$38, 0.0347, 0)</f>
        <v>27.7182</v>
      </c>
      <c r="D347" s="10">
        <f>27.6756 * CHOOSE(CONTROL!$C$15, $E$9, 100%, $G$9) + CHOOSE(CONTROL!$C$38, 0.0347, 0)</f>
        <v>27.7103</v>
      </c>
      <c r="E347" s="28">
        <f>29.8588 * CHOOSE(CONTROL!$C$15, $E$9, 100%, $G$9) + CHOOSE(CONTROL!$C$38, 0.0347, 0)</f>
        <v>29.8935</v>
      </c>
      <c r="F347" s="27">
        <f>29.8588 * CHOOSE(CONTROL!$C$15, $E$9, 100%, $G$9) + CHOOSE(CONTROL!$C$38, 0.0256, 0)</f>
        <v>29.884399999999999</v>
      </c>
      <c r="G347" s="10">
        <f>27.6819 * CHOOSE(CONTROL!$C$15, $E$9, 100%, $G$9) + CHOOSE(CONTROL!$C$38, 0.0347, 0)</f>
        <v>27.7166</v>
      </c>
      <c r="H347" s="10">
        <f>27.6819 * CHOOSE(CONTROL!$C$15, $E$9, 100%, $G$9) + CHOOSE(CONTROL!$C$38, 0.0347, 0)</f>
        <v>27.7166</v>
      </c>
      <c r="I347" s="10">
        <f>27.6835 * CHOOSE(CONTROL!$C$15, $E$9, 100%, $G$9) + CHOOSE(CONTROL!$C$38, 0.0347, 0)</f>
        <v>27.7182</v>
      </c>
      <c r="J347" s="26">
        <f>184.3169</f>
        <v>184.3169</v>
      </c>
    </row>
    <row r="348" spans="1:10" ht="15.75" x14ac:dyDescent="0.25">
      <c r="A348" s="14">
        <v>51532</v>
      </c>
      <c r="B348" s="10">
        <f>30.9585 * CHOOSE(CONTROL!$C$15, $E$9, 100%, $G$9) + CHOOSE(CONTROL!$C$38, 0.0256, 0)</f>
        <v>30.984100000000002</v>
      </c>
      <c r="C348" s="10">
        <f>28.5913 * CHOOSE(CONTROL!$C$15, $E$9, 100%, $G$9) + CHOOSE(CONTROL!$C$38, 0.0347, 0)</f>
        <v>28.626000000000001</v>
      </c>
      <c r="D348" s="10">
        <f>28.5835 * CHOOSE(CONTROL!$C$15, $E$9, 100%, $G$9) + CHOOSE(CONTROL!$C$38, 0.0347, 0)</f>
        <v>28.618200000000002</v>
      </c>
      <c r="E348" s="28">
        <f>30.8023 * CHOOSE(CONTROL!$C$15, $E$9, 100%, $G$9) + CHOOSE(CONTROL!$C$38, 0.0347, 0)</f>
        <v>30.837</v>
      </c>
      <c r="F348" s="27">
        <f>30.8023 * CHOOSE(CONTROL!$C$15, $E$9, 100%, $G$9) + CHOOSE(CONTROL!$C$38, 0.0256, 0)</f>
        <v>30.8279</v>
      </c>
      <c r="G348" s="10">
        <f>28.5897 * CHOOSE(CONTROL!$C$15, $E$9, 100%, $G$9) + CHOOSE(CONTROL!$C$38, 0.0347, 0)</f>
        <v>28.624400000000001</v>
      </c>
      <c r="H348" s="10">
        <f>28.5897 * CHOOSE(CONTROL!$C$15, $E$9, 100%, $G$9) + CHOOSE(CONTROL!$C$38, 0.0347, 0)</f>
        <v>28.624400000000001</v>
      </c>
      <c r="I348" s="10">
        <f>28.5913 * CHOOSE(CONTROL!$C$15, $E$9, 100%, $G$9) + CHOOSE(CONTROL!$C$38, 0.0347, 0)</f>
        <v>28.626000000000001</v>
      </c>
      <c r="J348" s="26">
        <f>183.9649</f>
        <v>183.9649</v>
      </c>
    </row>
    <row r="349" spans="1:10" ht="15.75" x14ac:dyDescent="0.25">
      <c r="A349" s="14">
        <v>51560</v>
      </c>
      <c r="B349" s="10">
        <f>31.1793 * CHOOSE(CONTROL!$C$15, $E$9, 100%, $G$9) + CHOOSE(CONTROL!$C$38, 0.0256, 0)</f>
        <v>31.204900000000002</v>
      </c>
      <c r="C349" s="10">
        <f>28.812 * CHOOSE(CONTROL!$C$15, $E$9, 100%, $G$9) + CHOOSE(CONTROL!$C$38, 0.0347, 0)</f>
        <v>28.846700000000002</v>
      </c>
      <c r="D349" s="10">
        <f>28.8042 * CHOOSE(CONTROL!$C$15, $E$9, 100%, $G$9) + CHOOSE(CONTROL!$C$38, 0.0347, 0)</f>
        <v>28.838900000000002</v>
      </c>
      <c r="E349" s="28">
        <f>31.0231 * CHOOSE(CONTROL!$C$15, $E$9, 100%, $G$9) + CHOOSE(CONTROL!$C$38, 0.0347, 0)</f>
        <v>31.0578</v>
      </c>
      <c r="F349" s="27">
        <f>31.0231 * CHOOSE(CONTROL!$C$15, $E$9, 100%, $G$9) + CHOOSE(CONTROL!$C$38, 0.0256, 0)</f>
        <v>31.0487</v>
      </c>
      <c r="G349" s="10">
        <f>28.8105 * CHOOSE(CONTROL!$C$15, $E$9, 100%, $G$9) + CHOOSE(CONTROL!$C$38, 0.0347, 0)</f>
        <v>28.845200000000002</v>
      </c>
      <c r="H349" s="10">
        <f>28.8105 * CHOOSE(CONTROL!$C$15, $E$9, 100%, $G$9) + CHOOSE(CONTROL!$C$38, 0.0347, 0)</f>
        <v>28.845200000000002</v>
      </c>
      <c r="I349" s="10">
        <f>28.812 * CHOOSE(CONTROL!$C$15, $E$9, 100%, $G$9) + CHOOSE(CONTROL!$C$38, 0.0347, 0)</f>
        <v>28.846700000000002</v>
      </c>
      <c r="J349" s="26">
        <f>183.4535</f>
        <v>183.45349999999999</v>
      </c>
    </row>
    <row r="350" spans="1:10" ht="15.75" x14ac:dyDescent="0.25">
      <c r="A350" s="14">
        <v>51591</v>
      </c>
      <c r="B350" s="10">
        <f>30.6683 * CHOOSE(CONTROL!$C$15, $E$9, 100%, $G$9) + CHOOSE(CONTROL!$C$38, 0.0256, 0)</f>
        <v>30.693899999999999</v>
      </c>
      <c r="C350" s="10">
        <f>28.301 * CHOOSE(CONTROL!$C$15, $E$9, 100%, $G$9) + CHOOSE(CONTROL!$C$38, 0.0347, 0)</f>
        <v>28.335699999999999</v>
      </c>
      <c r="D350" s="10">
        <f>28.2932 * CHOOSE(CONTROL!$C$15, $E$9, 100%, $G$9) + CHOOSE(CONTROL!$C$38, 0.0347, 0)</f>
        <v>28.3279</v>
      </c>
      <c r="E350" s="28">
        <f>30.512 * CHOOSE(CONTROL!$C$15, $E$9, 100%, $G$9) + CHOOSE(CONTROL!$C$38, 0.0347, 0)</f>
        <v>30.546700000000001</v>
      </c>
      <c r="F350" s="27">
        <f>30.512 * CHOOSE(CONTROL!$C$15, $E$9, 100%, $G$9) + CHOOSE(CONTROL!$C$38, 0.0256, 0)</f>
        <v>30.537600000000001</v>
      </c>
      <c r="G350" s="10">
        <f>28.2994 * CHOOSE(CONTROL!$C$15, $E$9, 100%, $G$9) + CHOOSE(CONTROL!$C$38, 0.0347, 0)</f>
        <v>28.334099999999999</v>
      </c>
      <c r="H350" s="10">
        <f>28.2994 * CHOOSE(CONTROL!$C$15, $E$9, 100%, $G$9) + CHOOSE(CONTROL!$C$38, 0.0347, 0)</f>
        <v>28.334099999999999</v>
      </c>
      <c r="I350" s="10">
        <f>28.301 * CHOOSE(CONTROL!$C$15, $E$9, 100%, $G$9) + CHOOSE(CONTROL!$C$38, 0.0347, 0)</f>
        <v>28.335699999999999</v>
      </c>
      <c r="J350" s="26">
        <f>193.1226</f>
        <v>193.12260000000001</v>
      </c>
    </row>
    <row r="351" spans="1:10" ht="15.75" x14ac:dyDescent="0.25">
      <c r="A351" s="14">
        <v>51621</v>
      </c>
      <c r="B351" s="10">
        <f>30.1731 * CHOOSE(CONTROL!$C$15, $E$9, 100%, $G$9) + CHOOSE(CONTROL!$C$38, 0.0256, 0)</f>
        <v>30.198700000000002</v>
      </c>
      <c r="C351" s="10">
        <f>27.8058 * CHOOSE(CONTROL!$C$15, $E$9, 100%, $G$9) + CHOOSE(CONTROL!$C$38, 0.0347, 0)</f>
        <v>27.840500000000002</v>
      </c>
      <c r="D351" s="10">
        <f>27.798 * CHOOSE(CONTROL!$C$15, $E$9, 100%, $G$9) + CHOOSE(CONTROL!$C$38, 0.0347, 0)</f>
        <v>27.832699999999999</v>
      </c>
      <c r="E351" s="28">
        <f>30.0168 * CHOOSE(CONTROL!$C$15, $E$9, 100%, $G$9) + CHOOSE(CONTROL!$C$38, 0.0347, 0)</f>
        <v>30.051500000000001</v>
      </c>
      <c r="F351" s="27">
        <f>30.0168 * CHOOSE(CONTROL!$C$15, $E$9, 100%, $G$9) + CHOOSE(CONTROL!$C$38, 0.0256, 0)</f>
        <v>30.042400000000001</v>
      </c>
      <c r="G351" s="10">
        <f>27.8043 * CHOOSE(CONTROL!$C$15, $E$9, 100%, $G$9) + CHOOSE(CONTROL!$C$38, 0.0347, 0)</f>
        <v>27.839000000000002</v>
      </c>
      <c r="H351" s="10">
        <f>27.8043 * CHOOSE(CONTROL!$C$15, $E$9, 100%, $G$9) + CHOOSE(CONTROL!$C$38, 0.0347, 0)</f>
        <v>27.839000000000002</v>
      </c>
      <c r="I351" s="10">
        <f>27.8058 * CHOOSE(CONTROL!$C$15, $E$9, 100%, $G$9) + CHOOSE(CONTROL!$C$38, 0.0347, 0)</f>
        <v>27.840500000000002</v>
      </c>
      <c r="J351" s="26">
        <f>205.661</f>
        <v>205.661</v>
      </c>
    </row>
    <row r="352" spans="1:10" ht="15.75" x14ac:dyDescent="0.25">
      <c r="A352" s="14">
        <v>51652</v>
      </c>
      <c r="B352" s="10">
        <f>29.657 * CHOOSE(CONTROL!$C$15, $E$9, 100%, $G$9) + CHOOSE(CONTROL!$C$38, 0.0278, 0)</f>
        <v>29.684799999999999</v>
      </c>
      <c r="C352" s="10">
        <f>27.2897 * CHOOSE(CONTROL!$C$15, $E$9, 100%, $G$9) + CHOOSE(CONTROL!$C$38, 0.0369, 0)</f>
        <v>27.326599999999999</v>
      </c>
      <c r="D352" s="10">
        <f>27.2819 * CHOOSE(CONTROL!$C$15, $E$9, 100%, $G$9) + CHOOSE(CONTROL!$C$38, 0.0369, 0)</f>
        <v>27.3188</v>
      </c>
      <c r="E352" s="28">
        <f>29.5007 * CHOOSE(CONTROL!$C$15, $E$9, 100%, $G$9) + CHOOSE(CONTROL!$C$38, 0.0369, 0)</f>
        <v>29.537599999999998</v>
      </c>
      <c r="F352" s="27">
        <f>29.5007 * CHOOSE(CONTROL!$C$15, $E$9, 100%, $G$9) + CHOOSE(CONTROL!$C$38, 0.0278, 0)</f>
        <v>29.528499999999998</v>
      </c>
      <c r="G352" s="10">
        <f>27.2882 * CHOOSE(CONTROL!$C$15, $E$9, 100%, $G$9) + CHOOSE(CONTROL!$C$38, 0.0369, 0)</f>
        <v>27.325099999999999</v>
      </c>
      <c r="H352" s="10">
        <f>27.2882 * CHOOSE(CONTROL!$C$15, $E$9, 100%, $G$9) + CHOOSE(CONTROL!$C$38, 0.0369, 0)</f>
        <v>27.325099999999999</v>
      </c>
      <c r="I352" s="10">
        <f>27.2897 * CHOOSE(CONTROL!$C$15, $E$9, 100%, $G$9) + CHOOSE(CONTROL!$C$38, 0.0369, 0)</f>
        <v>27.326599999999999</v>
      </c>
      <c r="J352" s="26">
        <f>212.5626</f>
        <v>212.5626</v>
      </c>
    </row>
    <row r="353" spans="1:10" ht="15.75" x14ac:dyDescent="0.25">
      <c r="A353" s="14">
        <v>51682</v>
      </c>
      <c r="B353" s="10">
        <f>29.2951 * CHOOSE(CONTROL!$C$15, $E$9, 100%, $G$9) + CHOOSE(CONTROL!$C$38, 0.0278, 0)</f>
        <v>29.322900000000001</v>
      </c>
      <c r="C353" s="10">
        <f>26.9279 * CHOOSE(CONTROL!$C$15, $E$9, 100%, $G$9) + CHOOSE(CONTROL!$C$38, 0.0369, 0)</f>
        <v>26.9648</v>
      </c>
      <c r="D353" s="10">
        <f>26.9201 * CHOOSE(CONTROL!$C$15, $E$9, 100%, $G$9) + CHOOSE(CONTROL!$C$38, 0.0369, 0)</f>
        <v>26.957000000000001</v>
      </c>
      <c r="E353" s="28">
        <f>29.1389 * CHOOSE(CONTROL!$C$15, $E$9, 100%, $G$9) + CHOOSE(CONTROL!$C$38, 0.0369, 0)</f>
        <v>29.175799999999999</v>
      </c>
      <c r="F353" s="27">
        <f>29.1389 * CHOOSE(CONTROL!$C$15, $E$9, 100%, $G$9) + CHOOSE(CONTROL!$C$38, 0.0278, 0)</f>
        <v>29.166699999999999</v>
      </c>
      <c r="G353" s="10">
        <f>26.9263 * CHOOSE(CONTROL!$C$15, $E$9, 100%, $G$9) + CHOOSE(CONTROL!$C$38, 0.0369, 0)</f>
        <v>26.963200000000001</v>
      </c>
      <c r="H353" s="10">
        <f>26.9263 * CHOOSE(CONTROL!$C$15, $E$9, 100%, $G$9) + CHOOSE(CONTROL!$C$38, 0.0369, 0)</f>
        <v>26.963200000000001</v>
      </c>
      <c r="I353" s="10">
        <f>26.9279 * CHOOSE(CONTROL!$C$15, $E$9, 100%, $G$9) + CHOOSE(CONTROL!$C$38, 0.0369, 0)</f>
        <v>26.9648</v>
      </c>
      <c r="J353" s="26">
        <f>215.6254</f>
        <v>215.62540000000001</v>
      </c>
    </row>
    <row r="354" spans="1:10" ht="15.75" x14ac:dyDescent="0.25">
      <c r="A354" s="14">
        <v>51713</v>
      </c>
      <c r="B354" s="10">
        <f>29.0887 * CHOOSE(CONTROL!$C$15, $E$9, 100%, $G$9) + CHOOSE(CONTROL!$C$38, 0.0278, 0)</f>
        <v>29.116499999999998</v>
      </c>
      <c r="C354" s="10">
        <f>26.7214 * CHOOSE(CONTROL!$C$15, $E$9, 100%, $G$9) + CHOOSE(CONTROL!$C$38, 0.0369, 0)</f>
        <v>26.758299999999998</v>
      </c>
      <c r="D354" s="10">
        <f>26.7136 * CHOOSE(CONTROL!$C$15, $E$9, 100%, $G$9) + CHOOSE(CONTROL!$C$38, 0.0369, 0)</f>
        <v>26.750499999999999</v>
      </c>
      <c r="E354" s="28">
        <f>28.9324 * CHOOSE(CONTROL!$C$15, $E$9, 100%, $G$9) + CHOOSE(CONTROL!$C$38, 0.0369, 0)</f>
        <v>28.9693</v>
      </c>
      <c r="F354" s="27">
        <f>28.9324 * CHOOSE(CONTROL!$C$15, $E$9, 100%, $G$9) + CHOOSE(CONTROL!$C$38, 0.0278, 0)</f>
        <v>28.9602</v>
      </c>
      <c r="G354" s="10">
        <f>26.7198 * CHOOSE(CONTROL!$C$15, $E$9, 100%, $G$9) + CHOOSE(CONTROL!$C$38, 0.0369, 0)</f>
        <v>26.756699999999999</v>
      </c>
      <c r="H354" s="10">
        <f>26.7198 * CHOOSE(CONTROL!$C$15, $E$9, 100%, $G$9) + CHOOSE(CONTROL!$C$38, 0.0369, 0)</f>
        <v>26.756699999999999</v>
      </c>
      <c r="I354" s="10">
        <f>26.7214 * CHOOSE(CONTROL!$C$15, $E$9, 100%, $G$9) + CHOOSE(CONTROL!$C$38, 0.0369, 0)</f>
        <v>26.758299999999998</v>
      </c>
      <c r="J354" s="26">
        <f>214.617</f>
        <v>214.61699999999999</v>
      </c>
    </row>
    <row r="355" spans="1:10" ht="15.75" x14ac:dyDescent="0.25">
      <c r="A355" s="14">
        <v>51744</v>
      </c>
      <c r="B355" s="10">
        <f>29.1906 * CHOOSE(CONTROL!$C$15, $E$9, 100%, $G$9) + CHOOSE(CONTROL!$C$38, 0.0278, 0)</f>
        <v>29.218399999999999</v>
      </c>
      <c r="C355" s="10">
        <f>26.8233 * CHOOSE(CONTROL!$C$15, $E$9, 100%, $G$9) + CHOOSE(CONTROL!$C$38, 0.0369, 0)</f>
        <v>26.860199999999999</v>
      </c>
      <c r="D355" s="10">
        <f>26.8155 * CHOOSE(CONTROL!$C$15, $E$9, 100%, $G$9) + CHOOSE(CONTROL!$C$38, 0.0369, 0)</f>
        <v>26.852399999999999</v>
      </c>
      <c r="E355" s="28">
        <f>29.0343 * CHOOSE(CONTROL!$C$15, $E$9, 100%, $G$9) + CHOOSE(CONTROL!$C$38, 0.0369, 0)</f>
        <v>29.071200000000001</v>
      </c>
      <c r="F355" s="27">
        <f>29.0343 * CHOOSE(CONTROL!$C$15, $E$9, 100%, $G$9) + CHOOSE(CONTROL!$C$38, 0.0278, 0)</f>
        <v>29.062100000000001</v>
      </c>
      <c r="G355" s="10">
        <f>26.8217 * CHOOSE(CONTROL!$C$15, $E$9, 100%, $G$9) + CHOOSE(CONTROL!$C$38, 0.0369, 0)</f>
        <v>26.858599999999999</v>
      </c>
      <c r="H355" s="10">
        <f>26.8217 * CHOOSE(CONTROL!$C$15, $E$9, 100%, $G$9) + CHOOSE(CONTROL!$C$38, 0.0369, 0)</f>
        <v>26.858599999999999</v>
      </c>
      <c r="I355" s="10">
        <f>26.8233 * CHOOSE(CONTROL!$C$15, $E$9, 100%, $G$9) + CHOOSE(CONTROL!$C$38, 0.0369, 0)</f>
        <v>26.860199999999999</v>
      </c>
      <c r="J355" s="26">
        <f>209.6208</f>
        <v>209.6208</v>
      </c>
    </row>
    <row r="356" spans="1:10" ht="15.75" x14ac:dyDescent="0.25">
      <c r="A356" s="14">
        <v>51774</v>
      </c>
      <c r="B356" s="10">
        <f>29.4674 * CHOOSE(CONTROL!$C$15, $E$9, 100%, $G$9) + CHOOSE(CONTROL!$C$38, 0.0278, 0)</f>
        <v>29.495200000000001</v>
      </c>
      <c r="C356" s="10">
        <f>27.1001 * CHOOSE(CONTROL!$C$15, $E$9, 100%, $G$9) + CHOOSE(CONTROL!$C$38, 0.0369, 0)</f>
        <v>27.137</v>
      </c>
      <c r="D356" s="10">
        <f>27.0923 * CHOOSE(CONTROL!$C$15, $E$9, 100%, $G$9) + CHOOSE(CONTROL!$C$38, 0.0369, 0)</f>
        <v>27.129200000000001</v>
      </c>
      <c r="E356" s="28">
        <f>29.3111 * CHOOSE(CONTROL!$C$15, $E$9, 100%, $G$9) + CHOOSE(CONTROL!$C$38, 0.0369, 0)</f>
        <v>29.347999999999999</v>
      </c>
      <c r="F356" s="27">
        <f>29.3111 * CHOOSE(CONTROL!$C$15, $E$9, 100%, $G$9) + CHOOSE(CONTROL!$C$38, 0.0278, 0)</f>
        <v>29.338899999999999</v>
      </c>
      <c r="G356" s="10">
        <f>27.0985 * CHOOSE(CONTROL!$C$15, $E$9, 100%, $G$9) + CHOOSE(CONTROL!$C$38, 0.0369, 0)</f>
        <v>27.135400000000001</v>
      </c>
      <c r="H356" s="10">
        <f>27.0985 * CHOOSE(CONTROL!$C$15, $E$9, 100%, $G$9) + CHOOSE(CONTROL!$C$38, 0.0369, 0)</f>
        <v>27.135400000000001</v>
      </c>
      <c r="I356" s="10">
        <f>27.1001 * CHOOSE(CONTROL!$C$15, $E$9, 100%, $G$9) + CHOOSE(CONTROL!$C$38, 0.0369, 0)</f>
        <v>27.137</v>
      </c>
      <c r="J356" s="26">
        <f>202.6534</f>
        <v>202.6534</v>
      </c>
    </row>
    <row r="357" spans="1:10" ht="15.75" x14ac:dyDescent="0.25">
      <c r="A357" s="14">
        <v>51805</v>
      </c>
      <c r="B357" s="10">
        <f>29.6992 * CHOOSE(CONTROL!$C$15, $E$9, 100%, $G$9) + CHOOSE(CONTROL!$C$38, 0.0256, 0)</f>
        <v>29.724800000000002</v>
      </c>
      <c r="C357" s="10">
        <f>27.3319 * CHOOSE(CONTROL!$C$15, $E$9, 100%, $G$9) + CHOOSE(CONTROL!$C$38, 0.0347, 0)</f>
        <v>27.366600000000002</v>
      </c>
      <c r="D357" s="10">
        <f>27.3241 * CHOOSE(CONTROL!$C$15, $E$9, 100%, $G$9) + CHOOSE(CONTROL!$C$38, 0.0347, 0)</f>
        <v>27.358800000000002</v>
      </c>
      <c r="E357" s="28">
        <f>29.5429 * CHOOSE(CONTROL!$C$15, $E$9, 100%, $G$9) + CHOOSE(CONTROL!$C$38, 0.0347, 0)</f>
        <v>29.5776</v>
      </c>
      <c r="F357" s="27">
        <f>29.5429 * CHOOSE(CONTROL!$C$15, $E$9, 100%, $G$9) + CHOOSE(CONTROL!$C$38, 0.0256, 0)</f>
        <v>29.5685</v>
      </c>
      <c r="G357" s="10">
        <f>27.3304 * CHOOSE(CONTROL!$C$15, $E$9, 100%, $G$9) + CHOOSE(CONTROL!$C$38, 0.0347, 0)</f>
        <v>27.365100000000002</v>
      </c>
      <c r="H357" s="10">
        <f>27.3304 * CHOOSE(CONTROL!$C$15, $E$9, 100%, $G$9) + CHOOSE(CONTROL!$C$38, 0.0347, 0)</f>
        <v>27.365100000000002</v>
      </c>
      <c r="I357" s="10">
        <f>27.3319 * CHOOSE(CONTROL!$C$15, $E$9, 100%, $G$9) + CHOOSE(CONTROL!$C$38, 0.0347, 0)</f>
        <v>27.366600000000002</v>
      </c>
      <c r="J357" s="26">
        <f>195.6454</f>
        <v>195.6454</v>
      </c>
    </row>
    <row r="358" spans="1:10" ht="15.75" x14ac:dyDescent="0.25">
      <c r="A358" s="14">
        <v>51835</v>
      </c>
      <c r="B358" s="10">
        <f>29.8926 * CHOOSE(CONTROL!$C$15, $E$9, 100%, $G$9) + CHOOSE(CONTROL!$C$38, 0.0256, 0)</f>
        <v>29.918200000000002</v>
      </c>
      <c r="C358" s="10">
        <f>27.5254 * CHOOSE(CONTROL!$C$15, $E$9, 100%, $G$9) + CHOOSE(CONTROL!$C$38, 0.0347, 0)</f>
        <v>27.560100000000002</v>
      </c>
      <c r="D358" s="10">
        <f>27.5176 * CHOOSE(CONTROL!$C$15, $E$9, 100%, $G$9) + CHOOSE(CONTROL!$C$38, 0.0347, 0)</f>
        <v>27.552300000000002</v>
      </c>
      <c r="E358" s="28">
        <f>29.7364 * CHOOSE(CONTROL!$C$15, $E$9, 100%, $G$9) + CHOOSE(CONTROL!$C$38, 0.0347, 0)</f>
        <v>29.771100000000001</v>
      </c>
      <c r="F358" s="27">
        <f>29.7364 * CHOOSE(CONTROL!$C$15, $E$9, 100%, $G$9) + CHOOSE(CONTROL!$C$38, 0.0256, 0)</f>
        <v>29.762</v>
      </c>
      <c r="G358" s="10">
        <f>27.5238 * CHOOSE(CONTROL!$C$15, $E$9, 100%, $G$9) + CHOOSE(CONTROL!$C$38, 0.0347, 0)</f>
        <v>27.558500000000002</v>
      </c>
      <c r="H358" s="10">
        <f>27.5238 * CHOOSE(CONTROL!$C$15, $E$9, 100%, $G$9) + CHOOSE(CONTROL!$C$38, 0.0347, 0)</f>
        <v>27.558500000000002</v>
      </c>
      <c r="I358" s="10">
        <f>27.5254 * CHOOSE(CONTROL!$C$15, $E$9, 100%, $G$9) + CHOOSE(CONTROL!$C$38, 0.0347, 0)</f>
        <v>27.560100000000002</v>
      </c>
      <c r="J358" s="26">
        <f>194.2514</f>
        <v>194.25139999999999</v>
      </c>
    </row>
    <row r="359" spans="1:10" ht="15.75" x14ac:dyDescent="0.25">
      <c r="A359" s="14">
        <v>51866</v>
      </c>
      <c r="B359" s="10">
        <f>30.4887 * CHOOSE(CONTROL!$C$15, $E$9, 100%, $G$9) + CHOOSE(CONTROL!$C$38, 0.0256, 0)</f>
        <v>30.514300000000002</v>
      </c>
      <c r="C359" s="10">
        <f>28.1214 * CHOOSE(CONTROL!$C$15, $E$9, 100%, $G$9) + CHOOSE(CONTROL!$C$38, 0.0347, 0)</f>
        <v>28.156100000000002</v>
      </c>
      <c r="D359" s="10">
        <f>28.1136 * CHOOSE(CONTROL!$C$15, $E$9, 100%, $G$9) + CHOOSE(CONTROL!$C$38, 0.0347, 0)</f>
        <v>28.148300000000003</v>
      </c>
      <c r="E359" s="28">
        <f>30.3324 * CHOOSE(CONTROL!$C$15, $E$9, 100%, $G$9) + CHOOSE(CONTROL!$C$38, 0.0347, 0)</f>
        <v>30.367100000000001</v>
      </c>
      <c r="F359" s="27">
        <f>30.3324 * CHOOSE(CONTROL!$C$15, $E$9, 100%, $G$9) + CHOOSE(CONTROL!$C$38, 0.0256, 0)</f>
        <v>30.358000000000001</v>
      </c>
      <c r="G359" s="10">
        <f>28.1199 * CHOOSE(CONTROL!$C$15, $E$9, 100%, $G$9) + CHOOSE(CONTROL!$C$38, 0.0347, 0)</f>
        <v>28.154600000000002</v>
      </c>
      <c r="H359" s="10">
        <f>28.1199 * CHOOSE(CONTROL!$C$15, $E$9, 100%, $G$9) + CHOOSE(CONTROL!$C$38, 0.0347, 0)</f>
        <v>28.154600000000002</v>
      </c>
      <c r="I359" s="10">
        <f>28.1214 * CHOOSE(CONTROL!$C$15, $E$9, 100%, $G$9) + CHOOSE(CONTROL!$C$38, 0.0347, 0)</f>
        <v>28.156100000000002</v>
      </c>
      <c r="J359" s="26">
        <f>188.4869</f>
        <v>188.48689999999999</v>
      </c>
    </row>
    <row r="360" spans="1:10" ht="15.75" x14ac:dyDescent="0.25">
      <c r="A360" s="14">
        <v>51897</v>
      </c>
      <c r="B360" s="10">
        <f>31.44 * CHOOSE(CONTROL!$C$15, $E$9, 100%, $G$9) + CHOOSE(CONTROL!$C$38, 0.0256, 0)</f>
        <v>31.465600000000002</v>
      </c>
      <c r="C360" s="10">
        <f>29.0364 * CHOOSE(CONTROL!$C$15, $E$9, 100%, $G$9) + CHOOSE(CONTROL!$C$38, 0.0347, 0)</f>
        <v>29.071100000000001</v>
      </c>
      <c r="D360" s="10">
        <f>29.0286 * CHOOSE(CONTROL!$C$15, $E$9, 100%, $G$9) + CHOOSE(CONTROL!$C$38, 0.0347, 0)</f>
        <v>29.063300000000002</v>
      </c>
      <c r="E360" s="28">
        <f>31.2837 * CHOOSE(CONTROL!$C$15, $E$9, 100%, $G$9) + CHOOSE(CONTROL!$C$38, 0.0347, 0)</f>
        <v>31.3184</v>
      </c>
      <c r="F360" s="27">
        <f>31.2837 * CHOOSE(CONTROL!$C$15, $E$9, 100%, $G$9) + CHOOSE(CONTROL!$C$38, 0.0256, 0)</f>
        <v>31.3093</v>
      </c>
      <c r="G360" s="10">
        <f>29.0349 * CHOOSE(CONTROL!$C$15, $E$9, 100%, $G$9) + CHOOSE(CONTROL!$C$38, 0.0347, 0)</f>
        <v>29.069600000000001</v>
      </c>
      <c r="H360" s="10">
        <f>29.0349 * CHOOSE(CONTROL!$C$15, $E$9, 100%, $G$9) + CHOOSE(CONTROL!$C$38, 0.0347, 0)</f>
        <v>29.069600000000001</v>
      </c>
      <c r="I360" s="10">
        <f>29.0364 * CHOOSE(CONTROL!$C$15, $E$9, 100%, $G$9) + CHOOSE(CONTROL!$C$38, 0.0347, 0)</f>
        <v>29.071100000000001</v>
      </c>
      <c r="J360" s="26">
        <f>188.127</f>
        <v>188.12700000000001</v>
      </c>
    </row>
    <row r="361" spans="1:10" ht="15.75" x14ac:dyDescent="0.25">
      <c r="A361" s="14">
        <v>51925</v>
      </c>
      <c r="B361" s="10">
        <f>31.6607 * CHOOSE(CONTROL!$C$15, $E$9, 100%, $G$9) + CHOOSE(CONTROL!$C$38, 0.0256, 0)</f>
        <v>31.686299999999999</v>
      </c>
      <c r="C361" s="10">
        <f>29.2572 * CHOOSE(CONTROL!$C$15, $E$9, 100%, $G$9) + CHOOSE(CONTROL!$C$38, 0.0347, 0)</f>
        <v>29.291900000000002</v>
      </c>
      <c r="D361" s="10">
        <f>29.2494 * CHOOSE(CONTROL!$C$15, $E$9, 100%, $G$9) + CHOOSE(CONTROL!$C$38, 0.0347, 0)</f>
        <v>29.284100000000002</v>
      </c>
      <c r="E361" s="28">
        <f>31.5045 * CHOOSE(CONTROL!$C$15, $E$9, 100%, $G$9) + CHOOSE(CONTROL!$C$38, 0.0347, 0)</f>
        <v>31.539200000000001</v>
      </c>
      <c r="F361" s="27">
        <f>31.5045 * CHOOSE(CONTROL!$C$15, $E$9, 100%, $G$9) + CHOOSE(CONTROL!$C$38, 0.0256, 0)</f>
        <v>31.530100000000001</v>
      </c>
      <c r="G361" s="10">
        <f>29.2556 * CHOOSE(CONTROL!$C$15, $E$9, 100%, $G$9) + CHOOSE(CONTROL!$C$38, 0.0347, 0)</f>
        <v>29.290300000000002</v>
      </c>
      <c r="H361" s="10">
        <f>29.2556 * CHOOSE(CONTROL!$C$15, $E$9, 100%, $G$9) + CHOOSE(CONTROL!$C$38, 0.0347, 0)</f>
        <v>29.290300000000002</v>
      </c>
      <c r="I361" s="10">
        <f>29.2572 * CHOOSE(CONTROL!$C$15, $E$9, 100%, $G$9) + CHOOSE(CONTROL!$C$38, 0.0347, 0)</f>
        <v>29.291900000000002</v>
      </c>
      <c r="J361" s="26">
        <f>187.604</f>
        <v>187.60400000000001</v>
      </c>
    </row>
    <row r="362" spans="1:10" ht="15.75" x14ac:dyDescent="0.25">
      <c r="A362" s="14">
        <v>51956</v>
      </c>
      <c r="B362" s="10">
        <f>31.1497 * CHOOSE(CONTROL!$C$15, $E$9, 100%, $G$9) + CHOOSE(CONTROL!$C$38, 0.0256, 0)</f>
        <v>31.1753</v>
      </c>
      <c r="C362" s="10">
        <f>28.7462 * CHOOSE(CONTROL!$C$15, $E$9, 100%, $G$9) + CHOOSE(CONTROL!$C$38, 0.0347, 0)</f>
        <v>28.780900000000003</v>
      </c>
      <c r="D362" s="10">
        <f>28.7384 * CHOOSE(CONTROL!$C$15, $E$9, 100%, $G$9) + CHOOSE(CONTROL!$C$38, 0.0347, 0)</f>
        <v>28.773099999999999</v>
      </c>
      <c r="E362" s="28">
        <f>30.9934 * CHOOSE(CONTROL!$C$15, $E$9, 100%, $G$9) + CHOOSE(CONTROL!$C$38, 0.0347, 0)</f>
        <v>31.028100000000002</v>
      </c>
      <c r="F362" s="27">
        <f>30.9934 * CHOOSE(CONTROL!$C$15, $E$9, 100%, $G$9) + CHOOSE(CONTROL!$C$38, 0.0256, 0)</f>
        <v>31.019000000000002</v>
      </c>
      <c r="G362" s="10">
        <f>28.7446 * CHOOSE(CONTROL!$C$15, $E$9, 100%, $G$9) + CHOOSE(CONTROL!$C$38, 0.0347, 0)</f>
        <v>28.779299999999999</v>
      </c>
      <c r="H362" s="10">
        <f>28.7446 * CHOOSE(CONTROL!$C$15, $E$9, 100%, $G$9) + CHOOSE(CONTROL!$C$38, 0.0347, 0)</f>
        <v>28.779299999999999</v>
      </c>
      <c r="I362" s="10">
        <f>28.7462 * CHOOSE(CONTROL!$C$15, $E$9, 100%, $G$9) + CHOOSE(CONTROL!$C$38, 0.0347, 0)</f>
        <v>28.780900000000003</v>
      </c>
      <c r="J362" s="26">
        <f>197.4919</f>
        <v>197.49189999999999</v>
      </c>
    </row>
    <row r="363" spans="1:10" ht="15.75" x14ac:dyDescent="0.25">
      <c r="A363" s="14">
        <v>51986</v>
      </c>
      <c r="B363" s="10">
        <f>30.6545 * CHOOSE(CONTROL!$C$15, $E$9, 100%, $G$9) + CHOOSE(CONTROL!$C$38, 0.0256, 0)</f>
        <v>30.680099999999999</v>
      </c>
      <c r="C363" s="10">
        <f>28.251 * CHOOSE(CONTROL!$C$15, $E$9, 100%, $G$9) + CHOOSE(CONTROL!$C$38, 0.0347, 0)</f>
        <v>28.285700000000002</v>
      </c>
      <c r="D363" s="10">
        <f>28.2432 * CHOOSE(CONTROL!$C$15, $E$9, 100%, $G$9) + CHOOSE(CONTROL!$C$38, 0.0347, 0)</f>
        <v>28.277900000000002</v>
      </c>
      <c r="E363" s="28">
        <f>30.4983 * CHOOSE(CONTROL!$C$15, $E$9, 100%, $G$9) + CHOOSE(CONTROL!$C$38, 0.0347, 0)</f>
        <v>30.533000000000001</v>
      </c>
      <c r="F363" s="27">
        <f>30.4983 * CHOOSE(CONTROL!$C$15, $E$9, 100%, $G$9) + CHOOSE(CONTROL!$C$38, 0.0256, 0)</f>
        <v>30.523900000000001</v>
      </c>
      <c r="G363" s="10">
        <f>28.2494 * CHOOSE(CONTROL!$C$15, $E$9, 100%, $G$9) + CHOOSE(CONTROL!$C$38, 0.0347, 0)</f>
        <v>28.284100000000002</v>
      </c>
      <c r="H363" s="10">
        <f>28.2494 * CHOOSE(CONTROL!$C$15, $E$9, 100%, $G$9) + CHOOSE(CONTROL!$C$38, 0.0347, 0)</f>
        <v>28.284100000000002</v>
      </c>
      <c r="I363" s="10">
        <f>28.251 * CHOOSE(CONTROL!$C$15, $E$9, 100%, $G$9) + CHOOSE(CONTROL!$C$38, 0.0347, 0)</f>
        <v>28.285700000000002</v>
      </c>
      <c r="J363" s="26">
        <f>210.314</f>
        <v>210.31399999999999</v>
      </c>
    </row>
    <row r="364" spans="1:10" ht="15.75" x14ac:dyDescent="0.25">
      <c r="A364" s="14">
        <v>52017</v>
      </c>
      <c r="B364" s="10">
        <f>30.1384 * CHOOSE(CONTROL!$C$15, $E$9, 100%, $G$9) + CHOOSE(CONTROL!$C$38, 0.0278, 0)</f>
        <v>30.1662</v>
      </c>
      <c r="C364" s="10">
        <f>27.7349 * CHOOSE(CONTROL!$C$15, $E$9, 100%, $G$9) + CHOOSE(CONTROL!$C$38, 0.0369, 0)</f>
        <v>27.771799999999999</v>
      </c>
      <c r="D364" s="10">
        <f>27.7271 * CHOOSE(CONTROL!$C$15, $E$9, 100%, $G$9) + CHOOSE(CONTROL!$C$38, 0.0369, 0)</f>
        <v>27.763999999999999</v>
      </c>
      <c r="E364" s="28">
        <f>29.9821 * CHOOSE(CONTROL!$C$15, $E$9, 100%, $G$9) + CHOOSE(CONTROL!$C$38, 0.0369, 0)</f>
        <v>30.018999999999998</v>
      </c>
      <c r="F364" s="27">
        <f>29.9821 * CHOOSE(CONTROL!$C$15, $E$9, 100%, $G$9) + CHOOSE(CONTROL!$C$38, 0.0278, 0)</f>
        <v>30.009899999999998</v>
      </c>
      <c r="G364" s="10">
        <f>27.7333 * CHOOSE(CONTROL!$C$15, $E$9, 100%, $G$9) + CHOOSE(CONTROL!$C$38, 0.0369, 0)</f>
        <v>27.770199999999999</v>
      </c>
      <c r="H364" s="10">
        <f>27.7333 * CHOOSE(CONTROL!$C$15, $E$9, 100%, $G$9) + CHOOSE(CONTROL!$C$38, 0.0369, 0)</f>
        <v>27.770199999999999</v>
      </c>
      <c r="I364" s="10">
        <f>27.7349 * CHOOSE(CONTROL!$C$15, $E$9, 100%, $G$9) + CHOOSE(CONTROL!$C$38, 0.0369, 0)</f>
        <v>27.771799999999999</v>
      </c>
      <c r="J364" s="26">
        <f>217.3717</f>
        <v>217.3717</v>
      </c>
    </row>
    <row r="365" spans="1:10" ht="15.75" x14ac:dyDescent="0.25">
      <c r="A365" s="14">
        <v>52047</v>
      </c>
      <c r="B365" s="10">
        <f>29.7766 * CHOOSE(CONTROL!$C$15, $E$9, 100%, $G$9) + CHOOSE(CONTROL!$C$38, 0.0278, 0)</f>
        <v>29.804399999999998</v>
      </c>
      <c r="C365" s="10">
        <f>27.373 * CHOOSE(CONTROL!$C$15, $E$9, 100%, $G$9) + CHOOSE(CONTROL!$C$38, 0.0369, 0)</f>
        <v>27.4099</v>
      </c>
      <c r="D365" s="10">
        <f>27.3652 * CHOOSE(CONTROL!$C$15, $E$9, 100%, $G$9) + CHOOSE(CONTROL!$C$38, 0.0369, 0)</f>
        <v>27.402100000000001</v>
      </c>
      <c r="E365" s="28">
        <f>29.6203 * CHOOSE(CONTROL!$C$15, $E$9, 100%, $G$9) + CHOOSE(CONTROL!$C$38, 0.0369, 0)</f>
        <v>29.6572</v>
      </c>
      <c r="F365" s="27">
        <f>29.6203 * CHOOSE(CONTROL!$C$15, $E$9, 100%, $G$9) + CHOOSE(CONTROL!$C$38, 0.0278, 0)</f>
        <v>29.648099999999999</v>
      </c>
      <c r="G365" s="10">
        <f>27.3715 * CHOOSE(CONTROL!$C$15, $E$9, 100%, $G$9) + CHOOSE(CONTROL!$C$38, 0.0369, 0)</f>
        <v>27.4084</v>
      </c>
      <c r="H365" s="10">
        <f>27.3715 * CHOOSE(CONTROL!$C$15, $E$9, 100%, $G$9) + CHOOSE(CONTROL!$C$38, 0.0369, 0)</f>
        <v>27.4084</v>
      </c>
      <c r="I365" s="10">
        <f>27.373 * CHOOSE(CONTROL!$C$15, $E$9, 100%, $G$9) + CHOOSE(CONTROL!$C$38, 0.0369, 0)</f>
        <v>27.4099</v>
      </c>
      <c r="J365" s="26">
        <f>220.5038</f>
        <v>220.50380000000001</v>
      </c>
    </row>
    <row r="366" spans="1:10" ht="15.75" x14ac:dyDescent="0.25">
      <c r="A366" s="14">
        <v>52078</v>
      </c>
      <c r="B366" s="10">
        <f>29.5701 * CHOOSE(CONTROL!$C$15, $E$9, 100%, $G$9) + CHOOSE(CONTROL!$C$38, 0.0278, 0)</f>
        <v>29.597899999999999</v>
      </c>
      <c r="C366" s="10">
        <f>27.1665 * CHOOSE(CONTROL!$C$15, $E$9, 100%, $G$9) + CHOOSE(CONTROL!$C$38, 0.0369, 0)</f>
        <v>27.203399999999998</v>
      </c>
      <c r="D366" s="10">
        <f>27.1587 * CHOOSE(CONTROL!$C$15, $E$9, 100%, $G$9) + CHOOSE(CONTROL!$C$38, 0.0369, 0)</f>
        <v>27.195599999999999</v>
      </c>
      <c r="E366" s="28">
        <f>29.4138 * CHOOSE(CONTROL!$C$15, $E$9, 100%, $G$9) + CHOOSE(CONTROL!$C$38, 0.0369, 0)</f>
        <v>29.450699999999998</v>
      </c>
      <c r="F366" s="27">
        <f>29.4138 * CHOOSE(CONTROL!$C$15, $E$9, 100%, $G$9) + CHOOSE(CONTROL!$C$38, 0.0278, 0)</f>
        <v>29.441599999999998</v>
      </c>
      <c r="G366" s="10">
        <f>27.165 * CHOOSE(CONTROL!$C$15, $E$9, 100%, $G$9) + CHOOSE(CONTROL!$C$38, 0.0369, 0)</f>
        <v>27.201899999999998</v>
      </c>
      <c r="H366" s="10">
        <f>27.165 * CHOOSE(CONTROL!$C$15, $E$9, 100%, $G$9) + CHOOSE(CONTROL!$C$38, 0.0369, 0)</f>
        <v>27.201899999999998</v>
      </c>
      <c r="I366" s="10">
        <f>27.1665 * CHOOSE(CONTROL!$C$15, $E$9, 100%, $G$9) + CHOOSE(CONTROL!$C$38, 0.0369, 0)</f>
        <v>27.203399999999998</v>
      </c>
      <c r="J366" s="26">
        <f>219.4726</f>
        <v>219.4726</v>
      </c>
    </row>
    <row r="367" spans="1:10" ht="15.75" x14ac:dyDescent="0.25">
      <c r="A367" s="14">
        <v>52109</v>
      </c>
      <c r="B367" s="10">
        <f>29.672 * CHOOSE(CONTROL!$C$15, $E$9, 100%, $G$9) + CHOOSE(CONTROL!$C$38, 0.0278, 0)</f>
        <v>29.6998</v>
      </c>
      <c r="C367" s="10">
        <f>27.2685 * CHOOSE(CONTROL!$C$15, $E$9, 100%, $G$9) + CHOOSE(CONTROL!$C$38, 0.0369, 0)</f>
        <v>27.305399999999999</v>
      </c>
      <c r="D367" s="10">
        <f>27.2606 * CHOOSE(CONTROL!$C$15, $E$9, 100%, $G$9) + CHOOSE(CONTROL!$C$38, 0.0369, 0)</f>
        <v>27.297499999999999</v>
      </c>
      <c r="E367" s="28">
        <f>29.5157 * CHOOSE(CONTROL!$C$15, $E$9, 100%, $G$9) + CHOOSE(CONTROL!$C$38, 0.0369, 0)</f>
        <v>29.552599999999998</v>
      </c>
      <c r="F367" s="27">
        <f>29.5157 * CHOOSE(CONTROL!$C$15, $E$9, 100%, $G$9) + CHOOSE(CONTROL!$C$38, 0.0278, 0)</f>
        <v>29.543499999999998</v>
      </c>
      <c r="G367" s="10">
        <f>27.2669 * CHOOSE(CONTROL!$C$15, $E$9, 100%, $G$9) + CHOOSE(CONTROL!$C$38, 0.0369, 0)</f>
        <v>27.303799999999999</v>
      </c>
      <c r="H367" s="10">
        <f>27.2669 * CHOOSE(CONTROL!$C$15, $E$9, 100%, $G$9) + CHOOSE(CONTROL!$C$38, 0.0369, 0)</f>
        <v>27.303799999999999</v>
      </c>
      <c r="I367" s="10">
        <f>27.2685 * CHOOSE(CONTROL!$C$15, $E$9, 100%, $G$9) + CHOOSE(CONTROL!$C$38, 0.0369, 0)</f>
        <v>27.305399999999999</v>
      </c>
      <c r="J367" s="26">
        <f>214.3634</f>
        <v>214.36340000000001</v>
      </c>
    </row>
    <row r="368" spans="1:10" ht="15.75" x14ac:dyDescent="0.25">
      <c r="A368" s="14">
        <v>52139</v>
      </c>
      <c r="B368" s="10">
        <f>29.9488 * CHOOSE(CONTROL!$C$15, $E$9, 100%, $G$9) + CHOOSE(CONTROL!$C$38, 0.0278, 0)</f>
        <v>29.976599999999998</v>
      </c>
      <c r="C368" s="10">
        <f>27.5453 * CHOOSE(CONTROL!$C$15, $E$9, 100%, $G$9) + CHOOSE(CONTROL!$C$38, 0.0369, 0)</f>
        <v>27.5822</v>
      </c>
      <c r="D368" s="10">
        <f>27.5374 * CHOOSE(CONTROL!$C$15, $E$9, 100%, $G$9) + CHOOSE(CONTROL!$C$38, 0.0369, 0)</f>
        <v>27.574300000000001</v>
      </c>
      <c r="E368" s="28">
        <f>29.7925 * CHOOSE(CONTROL!$C$15, $E$9, 100%, $G$9) + CHOOSE(CONTROL!$C$38, 0.0369, 0)</f>
        <v>29.8294</v>
      </c>
      <c r="F368" s="27">
        <f>29.7925 * CHOOSE(CONTROL!$C$15, $E$9, 100%, $G$9) + CHOOSE(CONTROL!$C$38, 0.0278, 0)</f>
        <v>29.8203</v>
      </c>
      <c r="G368" s="10">
        <f>27.5437 * CHOOSE(CONTROL!$C$15, $E$9, 100%, $G$9) + CHOOSE(CONTROL!$C$38, 0.0369, 0)</f>
        <v>27.5806</v>
      </c>
      <c r="H368" s="10">
        <f>27.5437 * CHOOSE(CONTROL!$C$15, $E$9, 100%, $G$9) + CHOOSE(CONTROL!$C$38, 0.0369, 0)</f>
        <v>27.5806</v>
      </c>
      <c r="I368" s="10">
        <f>27.5453 * CHOOSE(CONTROL!$C$15, $E$9, 100%, $G$9) + CHOOSE(CONTROL!$C$38, 0.0369, 0)</f>
        <v>27.5822</v>
      </c>
      <c r="J368" s="26">
        <f>207.2383</f>
        <v>207.23830000000001</v>
      </c>
    </row>
    <row r="369" spans="1:10" ht="15.75" x14ac:dyDescent="0.25">
      <c r="A369" s="14">
        <v>52170</v>
      </c>
      <c r="B369" s="10">
        <f>30.1806 * CHOOSE(CONTROL!$C$15, $E$9, 100%, $G$9) + CHOOSE(CONTROL!$C$38, 0.0256, 0)</f>
        <v>30.206199999999999</v>
      </c>
      <c r="C369" s="10">
        <f>27.7771 * CHOOSE(CONTROL!$C$15, $E$9, 100%, $G$9) + CHOOSE(CONTROL!$C$38, 0.0347, 0)</f>
        <v>27.811800000000002</v>
      </c>
      <c r="D369" s="10">
        <f>27.7693 * CHOOSE(CONTROL!$C$15, $E$9, 100%, $G$9) + CHOOSE(CONTROL!$C$38, 0.0347, 0)</f>
        <v>27.804000000000002</v>
      </c>
      <c r="E369" s="28">
        <f>30.0243 * CHOOSE(CONTROL!$C$15, $E$9, 100%, $G$9) + CHOOSE(CONTROL!$C$38, 0.0347, 0)</f>
        <v>30.059000000000001</v>
      </c>
      <c r="F369" s="27">
        <f>30.0243 * CHOOSE(CONTROL!$C$15, $E$9, 100%, $G$9) + CHOOSE(CONTROL!$C$38, 0.0256, 0)</f>
        <v>30.049900000000001</v>
      </c>
      <c r="G369" s="10">
        <f>27.7755 * CHOOSE(CONTROL!$C$15, $E$9, 100%, $G$9) + CHOOSE(CONTROL!$C$38, 0.0347, 0)</f>
        <v>27.810200000000002</v>
      </c>
      <c r="H369" s="10">
        <f>27.7755 * CHOOSE(CONTROL!$C$15, $E$9, 100%, $G$9) + CHOOSE(CONTROL!$C$38, 0.0347, 0)</f>
        <v>27.810200000000002</v>
      </c>
      <c r="I369" s="10">
        <f>27.7771 * CHOOSE(CONTROL!$C$15, $E$9, 100%, $G$9) + CHOOSE(CONTROL!$C$38, 0.0347, 0)</f>
        <v>27.811800000000002</v>
      </c>
      <c r="J369" s="26">
        <f>200.0718</f>
        <v>200.0718</v>
      </c>
    </row>
    <row r="370" spans="1:10" ht="15.75" x14ac:dyDescent="0.25">
      <c r="A370" s="14">
        <v>52200</v>
      </c>
      <c r="B370" s="10">
        <f>30.374 * CHOOSE(CONTROL!$C$15, $E$9, 100%, $G$9) + CHOOSE(CONTROL!$C$38, 0.0256, 0)</f>
        <v>30.3996</v>
      </c>
      <c r="C370" s="10">
        <f>27.9705 * CHOOSE(CONTROL!$C$15, $E$9, 100%, $G$9) + CHOOSE(CONTROL!$C$38, 0.0347, 0)</f>
        <v>28.005200000000002</v>
      </c>
      <c r="D370" s="10">
        <f>27.9627 * CHOOSE(CONTROL!$C$15, $E$9, 100%, $G$9) + CHOOSE(CONTROL!$C$38, 0.0347, 0)</f>
        <v>27.997400000000003</v>
      </c>
      <c r="E370" s="28">
        <f>30.2178 * CHOOSE(CONTROL!$C$15, $E$9, 100%, $G$9) + CHOOSE(CONTROL!$C$38, 0.0347, 0)</f>
        <v>30.252500000000001</v>
      </c>
      <c r="F370" s="27">
        <f>30.2178 * CHOOSE(CONTROL!$C$15, $E$9, 100%, $G$9) + CHOOSE(CONTROL!$C$38, 0.0256, 0)</f>
        <v>30.243400000000001</v>
      </c>
      <c r="G370" s="10">
        <f>27.969 * CHOOSE(CONTROL!$C$15, $E$9, 100%, $G$9) + CHOOSE(CONTROL!$C$38, 0.0347, 0)</f>
        <v>28.003700000000002</v>
      </c>
      <c r="H370" s="10">
        <f>27.969 * CHOOSE(CONTROL!$C$15, $E$9, 100%, $G$9) + CHOOSE(CONTROL!$C$38, 0.0347, 0)</f>
        <v>28.003700000000002</v>
      </c>
      <c r="I370" s="10">
        <f>27.9705 * CHOOSE(CONTROL!$C$15, $E$9, 100%, $G$9) + CHOOSE(CONTROL!$C$38, 0.0347, 0)</f>
        <v>28.005200000000002</v>
      </c>
      <c r="J370" s="26">
        <f>198.6462</f>
        <v>198.64619999999999</v>
      </c>
    </row>
    <row r="371" spans="1:10" ht="15.75" x14ac:dyDescent="0.25">
      <c r="A371" s="14">
        <v>52231</v>
      </c>
      <c r="B371" s="10">
        <f>30.9701 * CHOOSE(CONTROL!$C$15, $E$9, 100%, $G$9) + CHOOSE(CONTROL!$C$38, 0.0256, 0)</f>
        <v>30.995699999999999</v>
      </c>
      <c r="C371" s="10">
        <f>28.5666 * CHOOSE(CONTROL!$C$15, $E$9, 100%, $G$9) + CHOOSE(CONTROL!$C$38, 0.0347, 0)</f>
        <v>28.601300000000002</v>
      </c>
      <c r="D371" s="10">
        <f>28.5588 * CHOOSE(CONTROL!$C$15, $E$9, 100%, $G$9) + CHOOSE(CONTROL!$C$38, 0.0347, 0)</f>
        <v>28.593500000000002</v>
      </c>
      <c r="E371" s="28">
        <f>30.8139 * CHOOSE(CONTROL!$C$15, $E$9, 100%, $G$9) + CHOOSE(CONTROL!$C$38, 0.0347, 0)</f>
        <v>30.848600000000001</v>
      </c>
      <c r="F371" s="27">
        <f>30.8139 * CHOOSE(CONTROL!$C$15, $E$9, 100%, $G$9) + CHOOSE(CONTROL!$C$38, 0.0256, 0)</f>
        <v>30.839500000000001</v>
      </c>
      <c r="G371" s="10">
        <f>28.565 * CHOOSE(CONTROL!$C$15, $E$9, 100%, $G$9) + CHOOSE(CONTROL!$C$38, 0.0347, 0)</f>
        <v>28.599700000000002</v>
      </c>
      <c r="H371" s="10">
        <f>28.565 * CHOOSE(CONTROL!$C$15, $E$9, 100%, $G$9) + CHOOSE(CONTROL!$C$38, 0.0347, 0)</f>
        <v>28.599700000000002</v>
      </c>
      <c r="I371" s="10">
        <f>28.5666 * CHOOSE(CONTROL!$C$15, $E$9, 100%, $G$9) + CHOOSE(CONTROL!$C$38, 0.0347, 0)</f>
        <v>28.601300000000002</v>
      </c>
      <c r="J371" s="26">
        <f>192.7514</f>
        <v>192.75139999999999</v>
      </c>
    </row>
    <row r="372" spans="1:10" ht="15.75" x14ac:dyDescent="0.25">
      <c r="A372" s="14">
        <v>52262</v>
      </c>
      <c r="B372" s="10">
        <f>31.9293 * CHOOSE(CONTROL!$C$15, $E$9, 100%, $G$9) + CHOOSE(CONTROL!$C$38, 0.0256, 0)</f>
        <v>31.954900000000002</v>
      </c>
      <c r="C372" s="10">
        <f>29.4889 * CHOOSE(CONTROL!$C$15, $E$9, 100%, $G$9) + CHOOSE(CONTROL!$C$38, 0.0347, 0)</f>
        <v>29.523600000000002</v>
      </c>
      <c r="D372" s="10">
        <f>29.4811 * CHOOSE(CONTROL!$C$15, $E$9, 100%, $G$9) + CHOOSE(CONTROL!$C$38, 0.0347, 0)</f>
        <v>29.515800000000002</v>
      </c>
      <c r="E372" s="28">
        <f>31.773 * CHOOSE(CONTROL!$C$15, $E$9, 100%, $G$9) + CHOOSE(CONTROL!$C$38, 0.0347, 0)</f>
        <v>31.807700000000001</v>
      </c>
      <c r="F372" s="27">
        <f>31.773 * CHOOSE(CONTROL!$C$15, $E$9, 100%, $G$9) + CHOOSE(CONTROL!$C$38, 0.0256, 0)</f>
        <v>31.7986</v>
      </c>
      <c r="G372" s="10">
        <f>29.4873 * CHOOSE(CONTROL!$C$15, $E$9, 100%, $G$9) + CHOOSE(CONTROL!$C$38, 0.0347, 0)</f>
        <v>29.522000000000002</v>
      </c>
      <c r="H372" s="10">
        <f>29.4873 * CHOOSE(CONTROL!$C$15, $E$9, 100%, $G$9) + CHOOSE(CONTROL!$C$38, 0.0347, 0)</f>
        <v>29.522000000000002</v>
      </c>
      <c r="I372" s="10">
        <f>29.4889 * CHOOSE(CONTROL!$C$15, $E$9, 100%, $G$9) + CHOOSE(CONTROL!$C$38, 0.0347, 0)</f>
        <v>29.523600000000002</v>
      </c>
      <c r="J372" s="26">
        <f>192.3833</f>
        <v>192.38329999999999</v>
      </c>
    </row>
    <row r="373" spans="1:10" ht="15.75" x14ac:dyDescent="0.25">
      <c r="A373" s="14">
        <v>52290</v>
      </c>
      <c r="B373" s="10">
        <f>32.15 * CHOOSE(CONTROL!$C$15, $E$9, 100%, $G$9) + CHOOSE(CONTROL!$C$38, 0.0256, 0)</f>
        <v>32.175599999999996</v>
      </c>
      <c r="C373" s="10">
        <f>29.7097 * CHOOSE(CONTROL!$C$15, $E$9, 100%, $G$9) + CHOOSE(CONTROL!$C$38, 0.0347, 0)</f>
        <v>29.744400000000002</v>
      </c>
      <c r="D373" s="10">
        <f>29.7018 * CHOOSE(CONTROL!$C$15, $E$9, 100%, $G$9) + CHOOSE(CONTROL!$C$38, 0.0347, 0)</f>
        <v>29.736499999999999</v>
      </c>
      <c r="E373" s="28">
        <f>31.9938 * CHOOSE(CONTROL!$C$15, $E$9, 100%, $G$9) + CHOOSE(CONTROL!$C$38, 0.0347, 0)</f>
        <v>32.028500000000001</v>
      </c>
      <c r="F373" s="27">
        <f>31.9938 * CHOOSE(CONTROL!$C$15, $E$9, 100%, $G$9) + CHOOSE(CONTROL!$C$38, 0.0256, 0)</f>
        <v>32.019399999999997</v>
      </c>
      <c r="G373" s="10">
        <f>29.7081 * CHOOSE(CONTROL!$C$15, $E$9, 100%, $G$9) + CHOOSE(CONTROL!$C$38, 0.0347, 0)</f>
        <v>29.742800000000003</v>
      </c>
      <c r="H373" s="10">
        <f>29.7081 * CHOOSE(CONTROL!$C$15, $E$9, 100%, $G$9) + CHOOSE(CONTROL!$C$38, 0.0347, 0)</f>
        <v>29.742800000000003</v>
      </c>
      <c r="I373" s="10">
        <f>29.7097 * CHOOSE(CONTROL!$C$15, $E$9, 100%, $G$9) + CHOOSE(CONTROL!$C$38, 0.0347, 0)</f>
        <v>29.744400000000002</v>
      </c>
      <c r="J373" s="26">
        <f>191.8485</f>
        <v>191.8485</v>
      </c>
    </row>
    <row r="374" spans="1:10" ht="15.75" x14ac:dyDescent="0.25">
      <c r="A374" s="14">
        <v>52321</v>
      </c>
      <c r="B374" s="10">
        <f>31.639 * CHOOSE(CONTROL!$C$15, $E$9, 100%, $G$9) + CHOOSE(CONTROL!$C$38, 0.0256, 0)</f>
        <v>31.6646</v>
      </c>
      <c r="C374" s="10">
        <f>29.1986 * CHOOSE(CONTROL!$C$15, $E$9, 100%, $G$9) + CHOOSE(CONTROL!$C$38, 0.0347, 0)</f>
        <v>29.2333</v>
      </c>
      <c r="D374" s="10">
        <f>29.1908 * CHOOSE(CONTROL!$C$15, $E$9, 100%, $G$9) + CHOOSE(CONTROL!$C$38, 0.0347, 0)</f>
        <v>29.2255</v>
      </c>
      <c r="E374" s="28">
        <f>31.4827 * CHOOSE(CONTROL!$C$15, $E$9, 100%, $G$9) + CHOOSE(CONTROL!$C$38, 0.0347, 0)</f>
        <v>31.517400000000002</v>
      </c>
      <c r="F374" s="27">
        <f>31.4827 * CHOOSE(CONTROL!$C$15, $E$9, 100%, $G$9) + CHOOSE(CONTROL!$C$38, 0.0256, 0)</f>
        <v>31.508300000000002</v>
      </c>
      <c r="G374" s="10">
        <f>29.1971 * CHOOSE(CONTROL!$C$15, $E$9, 100%, $G$9) + CHOOSE(CONTROL!$C$38, 0.0347, 0)</f>
        <v>29.2318</v>
      </c>
      <c r="H374" s="10">
        <f>29.1971 * CHOOSE(CONTROL!$C$15, $E$9, 100%, $G$9) + CHOOSE(CONTROL!$C$38, 0.0347, 0)</f>
        <v>29.2318</v>
      </c>
      <c r="I374" s="10">
        <f>29.1986 * CHOOSE(CONTROL!$C$15, $E$9, 100%, $G$9) + CHOOSE(CONTROL!$C$38, 0.0347, 0)</f>
        <v>29.2333</v>
      </c>
      <c r="J374" s="26">
        <f>201.96</f>
        <v>201.96</v>
      </c>
    </row>
    <row r="375" spans="1:10" ht="15.75" x14ac:dyDescent="0.25">
      <c r="A375" s="14">
        <v>52351</v>
      </c>
      <c r="B375" s="10">
        <f>31.1438 * CHOOSE(CONTROL!$C$15, $E$9, 100%, $G$9) + CHOOSE(CONTROL!$C$38, 0.0256, 0)</f>
        <v>31.1694</v>
      </c>
      <c r="C375" s="10">
        <f>28.7034 * CHOOSE(CONTROL!$C$15, $E$9, 100%, $G$9) + CHOOSE(CONTROL!$C$38, 0.0347, 0)</f>
        <v>28.738099999999999</v>
      </c>
      <c r="D375" s="10">
        <f>28.6956 * CHOOSE(CONTROL!$C$15, $E$9, 100%, $G$9) + CHOOSE(CONTROL!$C$38, 0.0347, 0)</f>
        <v>28.7303</v>
      </c>
      <c r="E375" s="28">
        <f>30.9876 * CHOOSE(CONTROL!$C$15, $E$9, 100%, $G$9) + CHOOSE(CONTROL!$C$38, 0.0347, 0)</f>
        <v>31.022300000000001</v>
      </c>
      <c r="F375" s="27">
        <f>30.9876 * CHOOSE(CONTROL!$C$15, $E$9, 100%, $G$9) + CHOOSE(CONTROL!$C$38, 0.0256, 0)</f>
        <v>31.013200000000001</v>
      </c>
      <c r="G375" s="10">
        <f>28.7019 * CHOOSE(CONTROL!$C$15, $E$9, 100%, $G$9) + CHOOSE(CONTROL!$C$38, 0.0347, 0)</f>
        <v>28.736599999999999</v>
      </c>
      <c r="H375" s="10">
        <f>28.7019 * CHOOSE(CONTROL!$C$15, $E$9, 100%, $G$9) + CHOOSE(CONTROL!$C$38, 0.0347, 0)</f>
        <v>28.736599999999999</v>
      </c>
      <c r="I375" s="10">
        <f>28.7034 * CHOOSE(CONTROL!$C$15, $E$9, 100%, $G$9) + CHOOSE(CONTROL!$C$38, 0.0347, 0)</f>
        <v>28.738099999999999</v>
      </c>
      <c r="J375" s="26">
        <f>215.0722</f>
        <v>215.07220000000001</v>
      </c>
    </row>
    <row r="376" spans="1:10" ht="15.75" x14ac:dyDescent="0.25">
      <c r="A376" s="14">
        <v>52382</v>
      </c>
      <c r="B376" s="10">
        <f>30.6277 * CHOOSE(CONTROL!$C$15, $E$9, 100%, $G$9) + CHOOSE(CONTROL!$C$38, 0.0278, 0)</f>
        <v>30.6555</v>
      </c>
      <c r="C376" s="10">
        <f>28.1873 * CHOOSE(CONTROL!$C$15, $E$9, 100%, $G$9) + CHOOSE(CONTROL!$C$38, 0.0369, 0)</f>
        <v>28.2242</v>
      </c>
      <c r="D376" s="10">
        <f>28.1795 * CHOOSE(CONTROL!$C$15, $E$9, 100%, $G$9) + CHOOSE(CONTROL!$C$38, 0.0369, 0)</f>
        <v>28.2164</v>
      </c>
      <c r="E376" s="28">
        <f>30.4714 * CHOOSE(CONTROL!$C$15, $E$9, 100%, $G$9) + CHOOSE(CONTROL!$C$38, 0.0369, 0)</f>
        <v>30.508299999999998</v>
      </c>
      <c r="F376" s="27">
        <f>30.4714 * CHOOSE(CONTROL!$C$15, $E$9, 100%, $G$9) + CHOOSE(CONTROL!$C$38, 0.0278, 0)</f>
        <v>30.499199999999998</v>
      </c>
      <c r="G376" s="10">
        <f>28.1858 * CHOOSE(CONTROL!$C$15, $E$9, 100%, $G$9) + CHOOSE(CONTROL!$C$38, 0.0369, 0)</f>
        <v>28.2227</v>
      </c>
      <c r="H376" s="10">
        <f>28.1858 * CHOOSE(CONTROL!$C$15, $E$9, 100%, $G$9) + CHOOSE(CONTROL!$C$38, 0.0369, 0)</f>
        <v>28.2227</v>
      </c>
      <c r="I376" s="10">
        <f>28.1873 * CHOOSE(CONTROL!$C$15, $E$9, 100%, $G$9) + CHOOSE(CONTROL!$C$38, 0.0369, 0)</f>
        <v>28.2242</v>
      </c>
      <c r="J376" s="26">
        <f>222.2896</f>
        <v>222.28960000000001</v>
      </c>
    </row>
    <row r="377" spans="1:10" ht="15.75" x14ac:dyDescent="0.25">
      <c r="A377" s="14">
        <v>52412</v>
      </c>
      <c r="B377" s="10">
        <f>30.2659 * CHOOSE(CONTROL!$C$15, $E$9, 100%, $G$9) + CHOOSE(CONTROL!$C$38, 0.0278, 0)</f>
        <v>30.293699999999998</v>
      </c>
      <c r="C377" s="10">
        <f>27.8255 * CHOOSE(CONTROL!$C$15, $E$9, 100%, $G$9) + CHOOSE(CONTROL!$C$38, 0.0369, 0)</f>
        <v>27.862400000000001</v>
      </c>
      <c r="D377" s="10">
        <f>27.8177 * CHOOSE(CONTROL!$C$15, $E$9, 100%, $G$9) + CHOOSE(CONTROL!$C$38, 0.0369, 0)</f>
        <v>27.854599999999998</v>
      </c>
      <c r="E377" s="28">
        <f>30.1096 * CHOOSE(CONTROL!$C$15, $E$9, 100%, $G$9) + CHOOSE(CONTROL!$C$38, 0.0369, 0)</f>
        <v>30.1465</v>
      </c>
      <c r="F377" s="27">
        <f>30.1096 * CHOOSE(CONTROL!$C$15, $E$9, 100%, $G$9) + CHOOSE(CONTROL!$C$38, 0.0278, 0)</f>
        <v>30.1374</v>
      </c>
      <c r="G377" s="10">
        <f>27.8239 * CHOOSE(CONTROL!$C$15, $E$9, 100%, $G$9) + CHOOSE(CONTROL!$C$38, 0.0369, 0)</f>
        <v>27.860799999999998</v>
      </c>
      <c r="H377" s="10">
        <f>27.8239 * CHOOSE(CONTROL!$C$15, $E$9, 100%, $G$9) + CHOOSE(CONTROL!$C$38, 0.0369, 0)</f>
        <v>27.860799999999998</v>
      </c>
      <c r="I377" s="10">
        <f>27.8255 * CHOOSE(CONTROL!$C$15, $E$9, 100%, $G$9) + CHOOSE(CONTROL!$C$38, 0.0369, 0)</f>
        <v>27.862400000000001</v>
      </c>
      <c r="J377" s="26">
        <f>225.4926</f>
        <v>225.49260000000001</v>
      </c>
    </row>
    <row r="378" spans="1:10" ht="15.75" x14ac:dyDescent="0.25">
      <c r="A378" s="14">
        <v>52443</v>
      </c>
      <c r="B378" s="10">
        <f>30.0594 * CHOOSE(CONTROL!$C$15, $E$9, 100%, $G$9) + CHOOSE(CONTROL!$C$38, 0.0278, 0)</f>
        <v>30.087199999999999</v>
      </c>
      <c r="C378" s="10">
        <f>27.619 * CHOOSE(CONTROL!$C$15, $E$9, 100%, $G$9) + CHOOSE(CONTROL!$C$38, 0.0369, 0)</f>
        <v>27.655899999999999</v>
      </c>
      <c r="D378" s="10">
        <f>27.6112 * CHOOSE(CONTROL!$C$15, $E$9, 100%, $G$9) + CHOOSE(CONTROL!$C$38, 0.0369, 0)</f>
        <v>27.648099999999999</v>
      </c>
      <c r="E378" s="28">
        <f>29.9031 * CHOOSE(CONTROL!$C$15, $E$9, 100%, $G$9) + CHOOSE(CONTROL!$C$38, 0.0369, 0)</f>
        <v>29.939999999999998</v>
      </c>
      <c r="F378" s="27">
        <f>29.9031 * CHOOSE(CONTROL!$C$15, $E$9, 100%, $G$9) + CHOOSE(CONTROL!$C$38, 0.0278, 0)</f>
        <v>29.930899999999998</v>
      </c>
      <c r="G378" s="10">
        <f>27.6174 * CHOOSE(CONTROL!$C$15, $E$9, 100%, $G$9) + CHOOSE(CONTROL!$C$38, 0.0369, 0)</f>
        <v>27.654299999999999</v>
      </c>
      <c r="H378" s="10">
        <f>27.6174 * CHOOSE(CONTROL!$C$15, $E$9, 100%, $G$9) + CHOOSE(CONTROL!$C$38, 0.0369, 0)</f>
        <v>27.654299999999999</v>
      </c>
      <c r="I378" s="10">
        <f>27.619 * CHOOSE(CONTROL!$C$15, $E$9, 100%, $G$9) + CHOOSE(CONTROL!$C$38, 0.0369, 0)</f>
        <v>27.655899999999999</v>
      </c>
      <c r="J378" s="26">
        <f>224.438</f>
        <v>224.43799999999999</v>
      </c>
    </row>
    <row r="379" spans="1:10" ht="15.75" x14ac:dyDescent="0.25">
      <c r="A379" s="14">
        <v>52474</v>
      </c>
      <c r="B379" s="10">
        <f>30.1613 * CHOOSE(CONTROL!$C$15, $E$9, 100%, $G$9) + CHOOSE(CONTROL!$C$38, 0.0278, 0)</f>
        <v>30.1891</v>
      </c>
      <c r="C379" s="10">
        <f>27.7209 * CHOOSE(CONTROL!$C$15, $E$9, 100%, $G$9) + CHOOSE(CONTROL!$C$38, 0.0369, 0)</f>
        <v>27.7578</v>
      </c>
      <c r="D379" s="10">
        <f>27.7131 * CHOOSE(CONTROL!$C$15, $E$9, 100%, $G$9) + CHOOSE(CONTROL!$C$38, 0.0369, 0)</f>
        <v>27.75</v>
      </c>
      <c r="E379" s="28">
        <f>30.005 * CHOOSE(CONTROL!$C$15, $E$9, 100%, $G$9) + CHOOSE(CONTROL!$C$38, 0.0369, 0)</f>
        <v>30.041899999999998</v>
      </c>
      <c r="F379" s="27">
        <f>30.005 * CHOOSE(CONTROL!$C$15, $E$9, 100%, $G$9) + CHOOSE(CONTROL!$C$38, 0.0278, 0)</f>
        <v>30.032799999999998</v>
      </c>
      <c r="G379" s="10">
        <f>27.7194 * CHOOSE(CONTROL!$C$15, $E$9, 100%, $G$9) + CHOOSE(CONTROL!$C$38, 0.0369, 0)</f>
        <v>27.7563</v>
      </c>
      <c r="H379" s="10">
        <f>27.7194 * CHOOSE(CONTROL!$C$15, $E$9, 100%, $G$9) + CHOOSE(CONTROL!$C$38, 0.0369, 0)</f>
        <v>27.7563</v>
      </c>
      <c r="I379" s="10">
        <f>27.7209 * CHOOSE(CONTROL!$C$15, $E$9, 100%, $G$9) + CHOOSE(CONTROL!$C$38, 0.0369, 0)</f>
        <v>27.7578</v>
      </c>
      <c r="J379" s="26">
        <f>219.2132</f>
        <v>219.2132</v>
      </c>
    </row>
    <row r="380" spans="1:10" ht="15.75" x14ac:dyDescent="0.25">
      <c r="A380" s="14">
        <v>52504</v>
      </c>
      <c r="B380" s="10">
        <f>30.4381 * CHOOSE(CONTROL!$C$15, $E$9, 100%, $G$9) + CHOOSE(CONTROL!$C$38, 0.0278, 0)</f>
        <v>30.465899999999998</v>
      </c>
      <c r="C380" s="10">
        <f>27.9977 * CHOOSE(CONTROL!$C$15, $E$9, 100%, $G$9) + CHOOSE(CONTROL!$C$38, 0.0369, 0)</f>
        <v>28.034599999999998</v>
      </c>
      <c r="D380" s="10">
        <f>27.9899 * CHOOSE(CONTROL!$C$15, $E$9, 100%, $G$9) + CHOOSE(CONTROL!$C$38, 0.0369, 0)</f>
        <v>28.026799999999998</v>
      </c>
      <c r="E380" s="28">
        <f>30.2818 * CHOOSE(CONTROL!$C$15, $E$9, 100%, $G$9) + CHOOSE(CONTROL!$C$38, 0.0369, 0)</f>
        <v>30.3187</v>
      </c>
      <c r="F380" s="27">
        <f>30.2818 * CHOOSE(CONTROL!$C$15, $E$9, 100%, $G$9) + CHOOSE(CONTROL!$C$38, 0.0278, 0)</f>
        <v>30.3096</v>
      </c>
      <c r="G380" s="10">
        <f>27.9961 * CHOOSE(CONTROL!$C$15, $E$9, 100%, $G$9) + CHOOSE(CONTROL!$C$38, 0.0369, 0)</f>
        <v>28.032999999999998</v>
      </c>
      <c r="H380" s="10">
        <f>27.9961 * CHOOSE(CONTROL!$C$15, $E$9, 100%, $G$9) + CHOOSE(CONTROL!$C$38, 0.0369, 0)</f>
        <v>28.032999999999998</v>
      </c>
      <c r="I380" s="10">
        <f>27.9977 * CHOOSE(CONTROL!$C$15, $E$9, 100%, $G$9) + CHOOSE(CONTROL!$C$38, 0.0369, 0)</f>
        <v>28.034599999999998</v>
      </c>
      <c r="J380" s="26">
        <f>211.9269</f>
        <v>211.92689999999999</v>
      </c>
    </row>
    <row r="381" spans="1:10" ht="15.75" x14ac:dyDescent="0.25">
      <c r="A381" s="14">
        <v>52535</v>
      </c>
      <c r="B381" s="10">
        <f>30.6699 * CHOOSE(CONTROL!$C$15, $E$9, 100%, $G$9) + CHOOSE(CONTROL!$C$38, 0.0256, 0)</f>
        <v>30.695499999999999</v>
      </c>
      <c r="C381" s="10">
        <f>28.2295 * CHOOSE(CONTROL!$C$15, $E$9, 100%, $G$9) + CHOOSE(CONTROL!$C$38, 0.0347, 0)</f>
        <v>28.264200000000002</v>
      </c>
      <c r="D381" s="10">
        <f>28.2217 * CHOOSE(CONTROL!$C$15, $E$9, 100%, $G$9) + CHOOSE(CONTROL!$C$38, 0.0347, 0)</f>
        <v>28.256399999999999</v>
      </c>
      <c r="E381" s="28">
        <f>30.5136 * CHOOSE(CONTROL!$C$15, $E$9, 100%, $G$9) + CHOOSE(CONTROL!$C$38, 0.0347, 0)</f>
        <v>30.548300000000001</v>
      </c>
      <c r="F381" s="27">
        <f>30.5136 * CHOOSE(CONTROL!$C$15, $E$9, 100%, $G$9) + CHOOSE(CONTROL!$C$38, 0.0256, 0)</f>
        <v>30.539200000000001</v>
      </c>
      <c r="G381" s="10">
        <f>28.228 * CHOOSE(CONTROL!$C$15, $E$9, 100%, $G$9) + CHOOSE(CONTROL!$C$38, 0.0347, 0)</f>
        <v>28.262700000000002</v>
      </c>
      <c r="H381" s="10">
        <f>28.228 * CHOOSE(CONTROL!$C$15, $E$9, 100%, $G$9) + CHOOSE(CONTROL!$C$38, 0.0347, 0)</f>
        <v>28.262700000000002</v>
      </c>
      <c r="I381" s="10">
        <f>28.2295 * CHOOSE(CONTROL!$C$15, $E$9, 100%, $G$9) + CHOOSE(CONTROL!$C$38, 0.0347, 0)</f>
        <v>28.264200000000002</v>
      </c>
      <c r="J381" s="26">
        <f>204.5983</f>
        <v>204.59829999999999</v>
      </c>
    </row>
    <row r="382" spans="1:10" ht="15.75" x14ac:dyDescent="0.25">
      <c r="A382" s="14">
        <v>52565</v>
      </c>
      <c r="B382" s="10">
        <f>30.8633 * CHOOSE(CONTROL!$C$15, $E$9, 100%, $G$9) + CHOOSE(CONTROL!$C$38, 0.0256, 0)</f>
        <v>30.8889</v>
      </c>
      <c r="C382" s="10">
        <f>28.423 * CHOOSE(CONTROL!$C$15, $E$9, 100%, $G$9) + CHOOSE(CONTROL!$C$38, 0.0347, 0)</f>
        <v>28.457699999999999</v>
      </c>
      <c r="D382" s="10">
        <f>28.4152 * CHOOSE(CONTROL!$C$15, $E$9, 100%, $G$9) + CHOOSE(CONTROL!$C$38, 0.0347, 0)</f>
        <v>28.4499</v>
      </c>
      <c r="E382" s="28">
        <f>30.7071 * CHOOSE(CONTROL!$C$15, $E$9, 100%, $G$9) + CHOOSE(CONTROL!$C$38, 0.0347, 0)</f>
        <v>30.741800000000001</v>
      </c>
      <c r="F382" s="27">
        <f>30.7071 * CHOOSE(CONTROL!$C$15, $E$9, 100%, $G$9) + CHOOSE(CONTROL!$C$38, 0.0256, 0)</f>
        <v>30.732700000000001</v>
      </c>
      <c r="G382" s="10">
        <f>28.4214 * CHOOSE(CONTROL!$C$15, $E$9, 100%, $G$9) + CHOOSE(CONTROL!$C$38, 0.0347, 0)</f>
        <v>28.456099999999999</v>
      </c>
      <c r="H382" s="10">
        <f>28.4214 * CHOOSE(CONTROL!$C$15, $E$9, 100%, $G$9) + CHOOSE(CONTROL!$C$38, 0.0347, 0)</f>
        <v>28.456099999999999</v>
      </c>
      <c r="I382" s="10">
        <f>28.423 * CHOOSE(CONTROL!$C$15, $E$9, 100%, $G$9) + CHOOSE(CONTROL!$C$38, 0.0347, 0)</f>
        <v>28.457699999999999</v>
      </c>
      <c r="J382" s="26">
        <f>203.1405</f>
        <v>203.1405</v>
      </c>
    </row>
    <row r="383" spans="1:10" ht="15.75" x14ac:dyDescent="0.25">
      <c r="A383" s="14">
        <v>52596</v>
      </c>
      <c r="B383" s="10">
        <f>31.4594 * CHOOSE(CONTROL!$C$15, $E$9, 100%, $G$9) + CHOOSE(CONTROL!$C$38, 0.0256, 0)</f>
        <v>31.484999999999999</v>
      </c>
      <c r="C383" s="10">
        <f>29.019 * CHOOSE(CONTROL!$C$15, $E$9, 100%, $G$9) + CHOOSE(CONTROL!$C$38, 0.0347, 0)</f>
        <v>29.053699999999999</v>
      </c>
      <c r="D383" s="10">
        <f>29.0112 * CHOOSE(CONTROL!$C$15, $E$9, 100%, $G$9) + CHOOSE(CONTROL!$C$38, 0.0347, 0)</f>
        <v>29.0459</v>
      </c>
      <c r="E383" s="28">
        <f>31.3032 * CHOOSE(CONTROL!$C$15, $E$9, 100%, $G$9) + CHOOSE(CONTROL!$C$38, 0.0347, 0)</f>
        <v>31.337900000000001</v>
      </c>
      <c r="F383" s="27">
        <f>31.3032 * CHOOSE(CONTROL!$C$15, $E$9, 100%, $G$9) + CHOOSE(CONTROL!$C$38, 0.0256, 0)</f>
        <v>31.328800000000001</v>
      </c>
      <c r="G383" s="10">
        <f>29.0175 * CHOOSE(CONTROL!$C$15, $E$9, 100%, $G$9) + CHOOSE(CONTROL!$C$38, 0.0347, 0)</f>
        <v>29.052199999999999</v>
      </c>
      <c r="H383" s="10">
        <f>29.0175 * CHOOSE(CONTROL!$C$15, $E$9, 100%, $G$9) + CHOOSE(CONTROL!$C$38, 0.0347, 0)</f>
        <v>29.052199999999999</v>
      </c>
      <c r="I383" s="10">
        <f>29.019 * CHOOSE(CONTROL!$C$15, $E$9, 100%, $G$9) + CHOOSE(CONTROL!$C$38, 0.0347, 0)</f>
        <v>29.053699999999999</v>
      </c>
      <c r="J383" s="26">
        <f>197.1123</f>
        <v>197.1123</v>
      </c>
    </row>
    <row r="384" spans="1:10" ht="15.75" x14ac:dyDescent="0.25">
      <c r="A384" s="14">
        <v>52627</v>
      </c>
      <c r="B384" s="10">
        <f>32.4266 * CHOOSE(CONTROL!$C$15, $E$9, 100%, $G$9) + CHOOSE(CONTROL!$C$38, 0.0256, 0)</f>
        <v>32.452199999999998</v>
      </c>
      <c r="C384" s="10">
        <f>29.9488 * CHOOSE(CONTROL!$C$15, $E$9, 100%, $G$9) + CHOOSE(CONTROL!$C$38, 0.0347, 0)</f>
        <v>29.983499999999999</v>
      </c>
      <c r="D384" s="10">
        <f>29.941 * CHOOSE(CONTROL!$C$15, $E$9, 100%, $G$9) + CHOOSE(CONTROL!$C$38, 0.0347, 0)</f>
        <v>29.9757</v>
      </c>
      <c r="E384" s="28">
        <f>32.2703 * CHOOSE(CONTROL!$C$15, $E$9, 100%, $G$9) + CHOOSE(CONTROL!$C$38, 0.0347, 0)</f>
        <v>32.305</v>
      </c>
      <c r="F384" s="27">
        <f>32.2703 * CHOOSE(CONTROL!$C$15, $E$9, 100%, $G$9) + CHOOSE(CONTROL!$C$38, 0.0256, 0)</f>
        <v>32.295899999999996</v>
      </c>
      <c r="G384" s="10">
        <f>29.9472 * CHOOSE(CONTROL!$C$15, $E$9, 100%, $G$9) + CHOOSE(CONTROL!$C$38, 0.0347, 0)</f>
        <v>29.9819</v>
      </c>
      <c r="H384" s="10">
        <f>29.9472 * CHOOSE(CONTROL!$C$15, $E$9, 100%, $G$9) + CHOOSE(CONTROL!$C$38, 0.0347, 0)</f>
        <v>29.9819</v>
      </c>
      <c r="I384" s="10">
        <f>29.9488 * CHOOSE(CONTROL!$C$15, $E$9, 100%, $G$9) + CHOOSE(CONTROL!$C$38, 0.0347, 0)</f>
        <v>29.983499999999999</v>
      </c>
      <c r="J384" s="26">
        <f>196.7358</f>
        <v>196.73580000000001</v>
      </c>
    </row>
    <row r="385" spans="1:10" ht="15.75" x14ac:dyDescent="0.25">
      <c r="A385" s="14">
        <v>52655</v>
      </c>
      <c r="B385" s="10">
        <f>32.6473 * CHOOSE(CONTROL!$C$15, $E$9, 100%, $G$9) + CHOOSE(CONTROL!$C$38, 0.0256, 0)</f>
        <v>32.672899999999998</v>
      </c>
      <c r="C385" s="10">
        <f>30.1695 * CHOOSE(CONTROL!$C$15, $E$9, 100%, $G$9) + CHOOSE(CONTROL!$C$38, 0.0347, 0)</f>
        <v>30.2042</v>
      </c>
      <c r="D385" s="10">
        <f>30.1617 * CHOOSE(CONTROL!$C$15, $E$9, 100%, $G$9) + CHOOSE(CONTROL!$C$38, 0.0347, 0)</f>
        <v>30.196400000000001</v>
      </c>
      <c r="E385" s="28">
        <f>32.4911 * CHOOSE(CONTROL!$C$15, $E$9, 100%, $G$9) + CHOOSE(CONTROL!$C$38, 0.0347, 0)</f>
        <v>32.525800000000004</v>
      </c>
      <c r="F385" s="27">
        <f>32.4911 * CHOOSE(CONTROL!$C$15, $E$9, 100%, $G$9) + CHOOSE(CONTROL!$C$38, 0.0256, 0)</f>
        <v>32.5167</v>
      </c>
      <c r="G385" s="10">
        <f>30.168 * CHOOSE(CONTROL!$C$15, $E$9, 100%, $G$9) + CHOOSE(CONTROL!$C$38, 0.0347, 0)</f>
        <v>30.2027</v>
      </c>
      <c r="H385" s="10">
        <f>30.168 * CHOOSE(CONTROL!$C$15, $E$9, 100%, $G$9) + CHOOSE(CONTROL!$C$38, 0.0347, 0)</f>
        <v>30.2027</v>
      </c>
      <c r="I385" s="10">
        <f>30.1695 * CHOOSE(CONTROL!$C$15, $E$9, 100%, $G$9) + CHOOSE(CONTROL!$C$38, 0.0347, 0)</f>
        <v>30.2042</v>
      </c>
      <c r="J385" s="26">
        <f>196.189</f>
        <v>196.18899999999999</v>
      </c>
    </row>
    <row r="386" spans="1:10" ht="15.75" x14ac:dyDescent="0.25">
      <c r="A386" s="14">
        <v>52687</v>
      </c>
      <c r="B386" s="10">
        <f>32.1363 * CHOOSE(CONTROL!$C$15, $E$9, 100%, $G$9) + CHOOSE(CONTROL!$C$38, 0.0256, 0)</f>
        <v>32.161899999999996</v>
      </c>
      <c r="C386" s="10">
        <f>29.6585 * CHOOSE(CONTROL!$C$15, $E$9, 100%, $G$9) + CHOOSE(CONTROL!$C$38, 0.0347, 0)</f>
        <v>29.693200000000001</v>
      </c>
      <c r="D386" s="10">
        <f>29.6507 * CHOOSE(CONTROL!$C$15, $E$9, 100%, $G$9) + CHOOSE(CONTROL!$C$38, 0.0347, 0)</f>
        <v>29.685400000000001</v>
      </c>
      <c r="E386" s="28">
        <f>31.9801 * CHOOSE(CONTROL!$C$15, $E$9, 100%, $G$9) + CHOOSE(CONTROL!$C$38, 0.0347, 0)</f>
        <v>32.014800000000001</v>
      </c>
      <c r="F386" s="27">
        <f>31.9801 * CHOOSE(CONTROL!$C$15, $E$9, 100%, $G$9) + CHOOSE(CONTROL!$C$38, 0.0256, 0)</f>
        <v>32.005699999999997</v>
      </c>
      <c r="G386" s="10">
        <f>29.6569 * CHOOSE(CONTROL!$C$15, $E$9, 100%, $G$9) + CHOOSE(CONTROL!$C$38, 0.0347, 0)</f>
        <v>29.691600000000001</v>
      </c>
      <c r="H386" s="10">
        <f>29.6569 * CHOOSE(CONTROL!$C$15, $E$9, 100%, $G$9) + CHOOSE(CONTROL!$C$38, 0.0347, 0)</f>
        <v>29.691600000000001</v>
      </c>
      <c r="I386" s="10">
        <f>29.6585 * CHOOSE(CONTROL!$C$15, $E$9, 100%, $G$9) + CHOOSE(CONTROL!$C$38, 0.0347, 0)</f>
        <v>29.693200000000001</v>
      </c>
      <c r="J386" s="26">
        <f>206.5293</f>
        <v>206.52930000000001</v>
      </c>
    </row>
    <row r="387" spans="1:10" ht="15.75" x14ac:dyDescent="0.25">
      <c r="A387" s="14">
        <v>52717</v>
      </c>
      <c r="B387" s="10">
        <f>31.6411 * CHOOSE(CONTROL!$C$15, $E$9, 100%, $G$9) + CHOOSE(CONTROL!$C$38, 0.0256, 0)</f>
        <v>31.666700000000002</v>
      </c>
      <c r="C387" s="10">
        <f>29.1633 * CHOOSE(CONTROL!$C$15, $E$9, 100%, $G$9) + CHOOSE(CONTROL!$C$38, 0.0347, 0)</f>
        <v>29.198</v>
      </c>
      <c r="D387" s="10">
        <f>29.1555 * CHOOSE(CONTROL!$C$15, $E$9, 100%, $G$9) + CHOOSE(CONTROL!$C$38, 0.0347, 0)</f>
        <v>29.190200000000001</v>
      </c>
      <c r="E387" s="28">
        <f>31.4849 * CHOOSE(CONTROL!$C$15, $E$9, 100%, $G$9) + CHOOSE(CONTROL!$C$38, 0.0347, 0)</f>
        <v>31.519600000000001</v>
      </c>
      <c r="F387" s="27">
        <f>31.4849 * CHOOSE(CONTROL!$C$15, $E$9, 100%, $G$9) + CHOOSE(CONTROL!$C$38, 0.0256, 0)</f>
        <v>31.5105</v>
      </c>
      <c r="G387" s="10">
        <f>29.1618 * CHOOSE(CONTROL!$C$15, $E$9, 100%, $G$9) + CHOOSE(CONTROL!$C$38, 0.0347, 0)</f>
        <v>29.1965</v>
      </c>
      <c r="H387" s="10">
        <f>29.1618 * CHOOSE(CONTROL!$C$15, $E$9, 100%, $G$9) + CHOOSE(CONTROL!$C$38, 0.0347, 0)</f>
        <v>29.1965</v>
      </c>
      <c r="I387" s="10">
        <f>29.1633 * CHOOSE(CONTROL!$C$15, $E$9, 100%, $G$9) + CHOOSE(CONTROL!$C$38, 0.0347, 0)</f>
        <v>29.198</v>
      </c>
      <c r="J387" s="26">
        <f>219.9381</f>
        <v>219.93809999999999</v>
      </c>
    </row>
    <row r="388" spans="1:10" ht="15.75" x14ac:dyDescent="0.25">
      <c r="A388" s="14">
        <v>52748</v>
      </c>
      <c r="B388" s="10">
        <f>31.125 * CHOOSE(CONTROL!$C$15, $E$9, 100%, $G$9) + CHOOSE(CONTROL!$C$38, 0.0278, 0)</f>
        <v>31.152799999999999</v>
      </c>
      <c r="C388" s="10">
        <f>28.6472 * CHOOSE(CONTROL!$C$15, $E$9, 100%, $G$9) + CHOOSE(CONTROL!$C$38, 0.0369, 0)</f>
        <v>28.684100000000001</v>
      </c>
      <c r="D388" s="10">
        <f>28.6394 * CHOOSE(CONTROL!$C$15, $E$9, 100%, $G$9) + CHOOSE(CONTROL!$C$38, 0.0369, 0)</f>
        <v>28.676299999999998</v>
      </c>
      <c r="E388" s="28">
        <f>30.9688 * CHOOSE(CONTROL!$C$15, $E$9, 100%, $G$9) + CHOOSE(CONTROL!$C$38, 0.0369, 0)</f>
        <v>31.005700000000001</v>
      </c>
      <c r="F388" s="27">
        <f>30.9688 * CHOOSE(CONTROL!$C$15, $E$9, 100%, $G$9) + CHOOSE(CONTROL!$C$38, 0.0278, 0)</f>
        <v>30.996600000000001</v>
      </c>
      <c r="G388" s="10">
        <f>28.6456 * CHOOSE(CONTROL!$C$15, $E$9, 100%, $G$9) + CHOOSE(CONTROL!$C$38, 0.0369, 0)</f>
        <v>28.682500000000001</v>
      </c>
      <c r="H388" s="10">
        <f>28.6456 * CHOOSE(CONTROL!$C$15, $E$9, 100%, $G$9) + CHOOSE(CONTROL!$C$38, 0.0369, 0)</f>
        <v>28.682500000000001</v>
      </c>
      <c r="I388" s="10">
        <f>28.6472 * CHOOSE(CONTROL!$C$15, $E$9, 100%, $G$9) + CHOOSE(CONTROL!$C$38, 0.0369, 0)</f>
        <v>28.684100000000001</v>
      </c>
      <c r="J388" s="26">
        <f>227.3188</f>
        <v>227.31880000000001</v>
      </c>
    </row>
    <row r="389" spans="1:10" ht="15.75" x14ac:dyDescent="0.25">
      <c r="A389" s="14">
        <v>52778</v>
      </c>
      <c r="B389" s="10">
        <f>30.7632 * CHOOSE(CONTROL!$C$15, $E$9, 100%, $G$9) + CHOOSE(CONTROL!$C$38, 0.0278, 0)</f>
        <v>30.791</v>
      </c>
      <c r="C389" s="10">
        <f>28.2854 * CHOOSE(CONTROL!$C$15, $E$9, 100%, $G$9) + CHOOSE(CONTROL!$C$38, 0.0369, 0)</f>
        <v>28.322299999999998</v>
      </c>
      <c r="D389" s="10">
        <f>28.2776 * CHOOSE(CONTROL!$C$15, $E$9, 100%, $G$9) + CHOOSE(CONTROL!$C$38, 0.0369, 0)</f>
        <v>28.314499999999999</v>
      </c>
      <c r="E389" s="28">
        <f>30.6069 * CHOOSE(CONTROL!$C$15, $E$9, 100%, $G$9) + CHOOSE(CONTROL!$C$38, 0.0369, 0)</f>
        <v>30.643799999999999</v>
      </c>
      <c r="F389" s="27">
        <f>30.6069 * CHOOSE(CONTROL!$C$15, $E$9, 100%, $G$9) + CHOOSE(CONTROL!$C$38, 0.0278, 0)</f>
        <v>30.634699999999999</v>
      </c>
      <c r="G389" s="10">
        <f>28.2838 * CHOOSE(CONTROL!$C$15, $E$9, 100%, $G$9) + CHOOSE(CONTROL!$C$38, 0.0369, 0)</f>
        <v>28.320699999999999</v>
      </c>
      <c r="H389" s="10">
        <f>28.2838 * CHOOSE(CONTROL!$C$15, $E$9, 100%, $G$9) + CHOOSE(CONTROL!$C$38, 0.0369, 0)</f>
        <v>28.320699999999999</v>
      </c>
      <c r="I389" s="10">
        <f>28.2854 * CHOOSE(CONTROL!$C$15, $E$9, 100%, $G$9) + CHOOSE(CONTROL!$C$38, 0.0369, 0)</f>
        <v>28.322299999999998</v>
      </c>
      <c r="J389" s="26">
        <f>230.5943</f>
        <v>230.5943</v>
      </c>
    </row>
    <row r="390" spans="1:10" ht="15.75" x14ac:dyDescent="0.25">
      <c r="A390" s="14">
        <v>52809</v>
      </c>
      <c r="B390" s="10">
        <f>30.5567 * CHOOSE(CONTROL!$C$15, $E$9, 100%, $G$9) + CHOOSE(CONTROL!$C$38, 0.0278, 0)</f>
        <v>30.584499999999998</v>
      </c>
      <c r="C390" s="10">
        <f>28.0789 * CHOOSE(CONTROL!$C$15, $E$9, 100%, $G$9) + CHOOSE(CONTROL!$C$38, 0.0369, 0)</f>
        <v>28.1158</v>
      </c>
      <c r="D390" s="10">
        <f>28.0711 * CHOOSE(CONTROL!$C$15, $E$9, 100%, $G$9) + CHOOSE(CONTROL!$C$38, 0.0369, 0)</f>
        <v>28.108000000000001</v>
      </c>
      <c r="E390" s="28">
        <f>30.4004 * CHOOSE(CONTROL!$C$15, $E$9, 100%, $G$9) + CHOOSE(CONTROL!$C$38, 0.0369, 0)</f>
        <v>30.4373</v>
      </c>
      <c r="F390" s="27">
        <f>30.4004 * CHOOSE(CONTROL!$C$15, $E$9, 100%, $G$9) + CHOOSE(CONTROL!$C$38, 0.0278, 0)</f>
        <v>30.4282</v>
      </c>
      <c r="G390" s="10">
        <f>28.0773 * CHOOSE(CONTROL!$C$15, $E$9, 100%, $G$9) + CHOOSE(CONTROL!$C$38, 0.0369, 0)</f>
        <v>28.1142</v>
      </c>
      <c r="H390" s="10">
        <f>28.0773 * CHOOSE(CONTROL!$C$15, $E$9, 100%, $G$9) + CHOOSE(CONTROL!$C$38, 0.0369, 0)</f>
        <v>28.1142</v>
      </c>
      <c r="I390" s="10">
        <f>28.0789 * CHOOSE(CONTROL!$C$15, $E$9, 100%, $G$9) + CHOOSE(CONTROL!$C$38, 0.0369, 0)</f>
        <v>28.1158</v>
      </c>
      <c r="J390" s="26">
        <f>229.5158</f>
        <v>229.51580000000001</v>
      </c>
    </row>
    <row r="391" spans="1:10" ht="15.75" x14ac:dyDescent="0.25">
      <c r="A391" s="14">
        <v>52840</v>
      </c>
      <c r="B391" s="10">
        <f>30.6586 * CHOOSE(CONTROL!$C$15, $E$9, 100%, $G$9) + CHOOSE(CONTROL!$C$38, 0.0278, 0)</f>
        <v>30.686399999999999</v>
      </c>
      <c r="C391" s="10">
        <f>28.1808 * CHOOSE(CONTROL!$C$15, $E$9, 100%, $G$9) + CHOOSE(CONTROL!$C$38, 0.0369, 0)</f>
        <v>28.217700000000001</v>
      </c>
      <c r="D391" s="10">
        <f>28.173 * CHOOSE(CONTROL!$C$15, $E$9, 100%, $G$9) + CHOOSE(CONTROL!$C$38, 0.0369, 0)</f>
        <v>28.209899999999998</v>
      </c>
      <c r="E391" s="28">
        <f>30.5023 * CHOOSE(CONTROL!$C$15, $E$9, 100%, $G$9) + CHOOSE(CONTROL!$C$38, 0.0369, 0)</f>
        <v>30.539200000000001</v>
      </c>
      <c r="F391" s="27">
        <f>30.5023 * CHOOSE(CONTROL!$C$15, $E$9, 100%, $G$9) + CHOOSE(CONTROL!$C$38, 0.0278, 0)</f>
        <v>30.530100000000001</v>
      </c>
      <c r="G391" s="10">
        <f>28.1792 * CHOOSE(CONTROL!$C$15, $E$9, 100%, $G$9) + CHOOSE(CONTROL!$C$38, 0.0369, 0)</f>
        <v>28.216100000000001</v>
      </c>
      <c r="H391" s="10">
        <f>28.1792 * CHOOSE(CONTROL!$C$15, $E$9, 100%, $G$9) + CHOOSE(CONTROL!$C$38, 0.0369, 0)</f>
        <v>28.216100000000001</v>
      </c>
      <c r="I391" s="10">
        <f>28.1808 * CHOOSE(CONTROL!$C$15, $E$9, 100%, $G$9) + CHOOSE(CONTROL!$C$38, 0.0369, 0)</f>
        <v>28.217700000000001</v>
      </c>
      <c r="J391" s="26">
        <f>224.1728</f>
        <v>224.1728</v>
      </c>
    </row>
    <row r="392" spans="1:10" ht="15.75" x14ac:dyDescent="0.25">
      <c r="A392" s="14">
        <v>52870</v>
      </c>
      <c r="B392" s="10">
        <f>30.9354 * CHOOSE(CONTROL!$C$15, $E$9, 100%, $G$9) + CHOOSE(CONTROL!$C$38, 0.0278, 0)</f>
        <v>30.963200000000001</v>
      </c>
      <c r="C392" s="10">
        <f>28.4576 * CHOOSE(CONTROL!$C$15, $E$9, 100%, $G$9) + CHOOSE(CONTROL!$C$38, 0.0369, 0)</f>
        <v>28.494499999999999</v>
      </c>
      <c r="D392" s="10">
        <f>28.4498 * CHOOSE(CONTROL!$C$15, $E$9, 100%, $G$9) + CHOOSE(CONTROL!$C$38, 0.0369, 0)</f>
        <v>28.486699999999999</v>
      </c>
      <c r="E392" s="28">
        <f>30.7791 * CHOOSE(CONTROL!$C$15, $E$9, 100%, $G$9) + CHOOSE(CONTROL!$C$38, 0.0369, 0)</f>
        <v>30.815999999999999</v>
      </c>
      <c r="F392" s="27">
        <f>30.7791 * CHOOSE(CONTROL!$C$15, $E$9, 100%, $G$9) + CHOOSE(CONTROL!$C$38, 0.0278, 0)</f>
        <v>30.806899999999999</v>
      </c>
      <c r="G392" s="10">
        <f>28.456 * CHOOSE(CONTROL!$C$15, $E$9, 100%, $G$9) + CHOOSE(CONTROL!$C$38, 0.0369, 0)</f>
        <v>28.492899999999999</v>
      </c>
      <c r="H392" s="10">
        <f>28.456 * CHOOSE(CONTROL!$C$15, $E$9, 100%, $G$9) + CHOOSE(CONTROL!$C$38, 0.0369, 0)</f>
        <v>28.492899999999999</v>
      </c>
      <c r="I392" s="10">
        <f>28.4576 * CHOOSE(CONTROL!$C$15, $E$9, 100%, $G$9) + CHOOSE(CONTROL!$C$38, 0.0369, 0)</f>
        <v>28.494499999999999</v>
      </c>
      <c r="J392" s="26">
        <f>216.7217</f>
        <v>216.7217</v>
      </c>
    </row>
    <row r="393" spans="1:10" ht="15.75" x14ac:dyDescent="0.25">
      <c r="A393" s="14">
        <v>52901</v>
      </c>
      <c r="B393" s="10">
        <f>31.1672 * CHOOSE(CONTROL!$C$15, $E$9, 100%, $G$9) + CHOOSE(CONTROL!$C$38, 0.0256, 0)</f>
        <v>31.192800000000002</v>
      </c>
      <c r="C393" s="10">
        <f>28.6894 * CHOOSE(CONTROL!$C$15, $E$9, 100%, $G$9) + CHOOSE(CONTROL!$C$38, 0.0347, 0)</f>
        <v>28.7241</v>
      </c>
      <c r="D393" s="10">
        <f>28.6816 * CHOOSE(CONTROL!$C$15, $E$9, 100%, $G$9) + CHOOSE(CONTROL!$C$38, 0.0347, 0)</f>
        <v>28.7163</v>
      </c>
      <c r="E393" s="28">
        <f>31.011 * CHOOSE(CONTROL!$C$15, $E$9, 100%, $G$9) + CHOOSE(CONTROL!$C$38, 0.0347, 0)</f>
        <v>31.0457</v>
      </c>
      <c r="F393" s="27">
        <f>31.011 * CHOOSE(CONTROL!$C$15, $E$9, 100%, $G$9) + CHOOSE(CONTROL!$C$38, 0.0256, 0)</f>
        <v>31.0366</v>
      </c>
      <c r="G393" s="10">
        <f>28.6878 * CHOOSE(CONTROL!$C$15, $E$9, 100%, $G$9) + CHOOSE(CONTROL!$C$38, 0.0347, 0)</f>
        <v>28.7225</v>
      </c>
      <c r="H393" s="10">
        <f>28.6878 * CHOOSE(CONTROL!$C$15, $E$9, 100%, $G$9) + CHOOSE(CONTROL!$C$38, 0.0347, 0)</f>
        <v>28.7225</v>
      </c>
      <c r="I393" s="10">
        <f>28.6894 * CHOOSE(CONTROL!$C$15, $E$9, 100%, $G$9) + CHOOSE(CONTROL!$C$38, 0.0347, 0)</f>
        <v>28.7241</v>
      </c>
      <c r="J393" s="26">
        <f>209.2272</f>
        <v>209.22720000000001</v>
      </c>
    </row>
    <row r="394" spans="1:10" ht="15.75" x14ac:dyDescent="0.25">
      <c r="A394" s="14">
        <v>52931</v>
      </c>
      <c r="B394" s="10">
        <f>31.3607 * CHOOSE(CONTROL!$C$15, $E$9, 100%, $G$9) + CHOOSE(CONTROL!$C$38, 0.0256, 0)</f>
        <v>31.386300000000002</v>
      </c>
      <c r="C394" s="10">
        <f>28.8829 * CHOOSE(CONTROL!$C$15, $E$9, 100%, $G$9) + CHOOSE(CONTROL!$C$38, 0.0347, 0)</f>
        <v>28.9176</v>
      </c>
      <c r="D394" s="10">
        <f>28.875 * CHOOSE(CONTROL!$C$15, $E$9, 100%, $G$9) + CHOOSE(CONTROL!$C$38, 0.0347, 0)</f>
        <v>28.909700000000001</v>
      </c>
      <c r="E394" s="28">
        <f>31.2044 * CHOOSE(CONTROL!$C$15, $E$9, 100%, $G$9) + CHOOSE(CONTROL!$C$38, 0.0347, 0)</f>
        <v>31.239100000000001</v>
      </c>
      <c r="F394" s="27">
        <f>31.2044 * CHOOSE(CONTROL!$C$15, $E$9, 100%, $G$9) + CHOOSE(CONTROL!$C$38, 0.0256, 0)</f>
        <v>31.23</v>
      </c>
      <c r="G394" s="10">
        <f>28.8813 * CHOOSE(CONTROL!$C$15, $E$9, 100%, $G$9) + CHOOSE(CONTROL!$C$38, 0.0347, 0)</f>
        <v>28.916</v>
      </c>
      <c r="H394" s="10">
        <f>28.8813 * CHOOSE(CONTROL!$C$15, $E$9, 100%, $G$9) + CHOOSE(CONTROL!$C$38, 0.0347, 0)</f>
        <v>28.916</v>
      </c>
      <c r="I394" s="10">
        <f>28.8829 * CHOOSE(CONTROL!$C$15, $E$9, 100%, $G$9) + CHOOSE(CONTROL!$C$38, 0.0347, 0)</f>
        <v>28.9176</v>
      </c>
      <c r="J394" s="26">
        <f>207.7364</f>
        <v>207.7364</v>
      </c>
    </row>
    <row r="395" spans="1:10" ht="15.75" x14ac:dyDescent="0.25">
      <c r="A395" s="14">
        <v>52962</v>
      </c>
      <c r="B395" s="10">
        <f>31.9567 * CHOOSE(CONTROL!$C$15, $E$9, 100%, $G$9) + CHOOSE(CONTROL!$C$38, 0.0256, 0)</f>
        <v>31.982300000000002</v>
      </c>
      <c r="C395" s="10">
        <f>29.4789 * CHOOSE(CONTROL!$C$15, $E$9, 100%, $G$9) + CHOOSE(CONTROL!$C$38, 0.0347, 0)</f>
        <v>29.5136</v>
      </c>
      <c r="D395" s="10">
        <f>29.4711 * CHOOSE(CONTROL!$C$15, $E$9, 100%, $G$9) + CHOOSE(CONTROL!$C$38, 0.0347, 0)</f>
        <v>29.505800000000001</v>
      </c>
      <c r="E395" s="28">
        <f>31.8005 * CHOOSE(CONTROL!$C$15, $E$9, 100%, $G$9) + CHOOSE(CONTROL!$C$38, 0.0347, 0)</f>
        <v>31.8352</v>
      </c>
      <c r="F395" s="27">
        <f>31.8005 * CHOOSE(CONTROL!$C$15, $E$9, 100%, $G$9) + CHOOSE(CONTROL!$C$38, 0.0256, 0)</f>
        <v>31.8261</v>
      </c>
      <c r="G395" s="10">
        <f>29.4774 * CHOOSE(CONTROL!$C$15, $E$9, 100%, $G$9) + CHOOSE(CONTROL!$C$38, 0.0347, 0)</f>
        <v>29.5121</v>
      </c>
      <c r="H395" s="10">
        <f>29.4774 * CHOOSE(CONTROL!$C$15, $E$9, 100%, $G$9) + CHOOSE(CONTROL!$C$38, 0.0347, 0)</f>
        <v>29.5121</v>
      </c>
      <c r="I395" s="10">
        <f>29.4789 * CHOOSE(CONTROL!$C$15, $E$9, 100%, $G$9) + CHOOSE(CONTROL!$C$38, 0.0347, 0)</f>
        <v>29.5136</v>
      </c>
      <c r="J395" s="26">
        <f>201.5718</f>
        <v>201.5718</v>
      </c>
    </row>
    <row r="396" spans="1:10" ht="15.75" x14ac:dyDescent="0.25">
      <c r="A396" s="14">
        <v>52993</v>
      </c>
      <c r="B396" s="10">
        <f>32.9321 * CHOOSE(CONTROL!$C$15, $E$9, 100%, $G$9) + CHOOSE(CONTROL!$C$38, 0.0256, 0)</f>
        <v>32.957699999999996</v>
      </c>
      <c r="C396" s="10">
        <f>30.4162 * CHOOSE(CONTROL!$C$15, $E$9, 100%, $G$9) + CHOOSE(CONTROL!$C$38, 0.0347, 0)</f>
        <v>30.450900000000001</v>
      </c>
      <c r="D396" s="10">
        <f>30.4084 * CHOOSE(CONTROL!$C$15, $E$9, 100%, $G$9) + CHOOSE(CONTROL!$C$38, 0.0347, 0)</f>
        <v>30.443100000000001</v>
      </c>
      <c r="E396" s="28">
        <f>32.7758 * CHOOSE(CONTROL!$C$15, $E$9, 100%, $G$9) + CHOOSE(CONTROL!$C$38, 0.0347, 0)</f>
        <v>32.810499999999998</v>
      </c>
      <c r="F396" s="27">
        <f>32.7758 * CHOOSE(CONTROL!$C$15, $E$9, 100%, $G$9) + CHOOSE(CONTROL!$C$38, 0.0256, 0)</f>
        <v>32.801399999999994</v>
      </c>
      <c r="G396" s="10">
        <f>30.4146 * CHOOSE(CONTROL!$C$15, $E$9, 100%, $G$9) + CHOOSE(CONTROL!$C$38, 0.0347, 0)</f>
        <v>30.449300000000001</v>
      </c>
      <c r="H396" s="10">
        <f>30.4146 * CHOOSE(CONTROL!$C$15, $E$9, 100%, $G$9) + CHOOSE(CONTROL!$C$38, 0.0347, 0)</f>
        <v>30.449300000000001</v>
      </c>
      <c r="I396" s="10">
        <f>30.4162 * CHOOSE(CONTROL!$C$15, $E$9, 100%, $G$9) + CHOOSE(CONTROL!$C$38, 0.0347, 0)</f>
        <v>30.450900000000001</v>
      </c>
      <c r="J396" s="26">
        <f>201.1869</f>
        <v>201.18690000000001</v>
      </c>
    </row>
    <row r="397" spans="1:10" ht="15.75" x14ac:dyDescent="0.25">
      <c r="A397" s="14">
        <v>53021</v>
      </c>
      <c r="B397" s="10">
        <f>33.1528 * CHOOSE(CONTROL!$C$15, $E$9, 100%, $G$9) + CHOOSE(CONTROL!$C$38, 0.0256, 0)</f>
        <v>33.178399999999996</v>
      </c>
      <c r="C397" s="10">
        <f>30.6369 * CHOOSE(CONTROL!$C$15, $E$9, 100%, $G$9) + CHOOSE(CONTROL!$C$38, 0.0347, 0)</f>
        <v>30.671600000000002</v>
      </c>
      <c r="D397" s="10">
        <f>30.6291 * CHOOSE(CONTROL!$C$15, $E$9, 100%, $G$9) + CHOOSE(CONTROL!$C$38, 0.0347, 0)</f>
        <v>30.663800000000002</v>
      </c>
      <c r="E397" s="28">
        <f>32.9966 * CHOOSE(CONTROL!$C$15, $E$9, 100%, $G$9) + CHOOSE(CONTROL!$C$38, 0.0347, 0)</f>
        <v>33.031300000000002</v>
      </c>
      <c r="F397" s="27">
        <f>32.9966 * CHOOSE(CONTROL!$C$15, $E$9, 100%, $G$9) + CHOOSE(CONTROL!$C$38, 0.0256, 0)</f>
        <v>33.022199999999998</v>
      </c>
      <c r="G397" s="10">
        <f>30.6354 * CHOOSE(CONTROL!$C$15, $E$9, 100%, $G$9) + CHOOSE(CONTROL!$C$38, 0.0347, 0)</f>
        <v>30.670100000000001</v>
      </c>
      <c r="H397" s="10">
        <f>30.6354 * CHOOSE(CONTROL!$C$15, $E$9, 100%, $G$9) + CHOOSE(CONTROL!$C$38, 0.0347, 0)</f>
        <v>30.670100000000001</v>
      </c>
      <c r="I397" s="10">
        <f>30.6369 * CHOOSE(CONTROL!$C$15, $E$9, 100%, $G$9) + CHOOSE(CONTROL!$C$38, 0.0347, 0)</f>
        <v>30.671600000000002</v>
      </c>
      <c r="J397" s="26">
        <f>200.6276</f>
        <v>200.6276</v>
      </c>
    </row>
    <row r="398" spans="1:10" ht="15.75" x14ac:dyDescent="0.25">
      <c r="A398" s="14">
        <v>53052</v>
      </c>
      <c r="B398" s="10">
        <f>32.6418 * CHOOSE(CONTROL!$C$15, $E$9, 100%, $G$9) + CHOOSE(CONTROL!$C$38, 0.0256, 0)</f>
        <v>32.667400000000001</v>
      </c>
      <c r="C398" s="10">
        <f>30.1259 * CHOOSE(CONTROL!$C$15, $E$9, 100%, $G$9) + CHOOSE(CONTROL!$C$38, 0.0347, 0)</f>
        <v>30.160600000000002</v>
      </c>
      <c r="D398" s="10">
        <f>30.1181 * CHOOSE(CONTROL!$C$15, $E$9, 100%, $G$9) + CHOOSE(CONTROL!$C$38, 0.0347, 0)</f>
        <v>30.152799999999999</v>
      </c>
      <c r="E398" s="28">
        <f>32.4855 * CHOOSE(CONTROL!$C$15, $E$9, 100%, $G$9) + CHOOSE(CONTROL!$C$38, 0.0347, 0)</f>
        <v>32.520200000000003</v>
      </c>
      <c r="F398" s="27">
        <f>32.4855 * CHOOSE(CONTROL!$C$15, $E$9, 100%, $G$9) + CHOOSE(CONTROL!$C$38, 0.0256, 0)</f>
        <v>32.511099999999999</v>
      </c>
      <c r="G398" s="10">
        <f>30.1243 * CHOOSE(CONTROL!$C$15, $E$9, 100%, $G$9) + CHOOSE(CONTROL!$C$38, 0.0347, 0)</f>
        <v>30.159000000000002</v>
      </c>
      <c r="H398" s="10">
        <f>30.1243 * CHOOSE(CONTROL!$C$15, $E$9, 100%, $G$9) + CHOOSE(CONTROL!$C$38, 0.0347, 0)</f>
        <v>30.159000000000002</v>
      </c>
      <c r="I398" s="10">
        <f>30.1259 * CHOOSE(CONTROL!$C$15, $E$9, 100%, $G$9) + CHOOSE(CONTROL!$C$38, 0.0347, 0)</f>
        <v>30.160600000000002</v>
      </c>
      <c r="J398" s="26">
        <f>211.2019</f>
        <v>211.20189999999999</v>
      </c>
    </row>
    <row r="399" spans="1:10" ht="15.75" x14ac:dyDescent="0.25">
      <c r="A399" s="14">
        <v>53082</v>
      </c>
      <c r="B399" s="10">
        <f>32.1466 * CHOOSE(CONTROL!$C$15, $E$9, 100%, $G$9) + CHOOSE(CONTROL!$C$38, 0.0256, 0)</f>
        <v>32.172199999999997</v>
      </c>
      <c r="C399" s="10">
        <f>29.6307 * CHOOSE(CONTROL!$C$15, $E$9, 100%, $G$9) + CHOOSE(CONTROL!$C$38, 0.0347, 0)</f>
        <v>29.665400000000002</v>
      </c>
      <c r="D399" s="10">
        <f>29.6229 * CHOOSE(CONTROL!$C$15, $E$9, 100%, $G$9) + CHOOSE(CONTROL!$C$38, 0.0347, 0)</f>
        <v>29.657600000000002</v>
      </c>
      <c r="E399" s="28">
        <f>31.9904 * CHOOSE(CONTROL!$C$15, $E$9, 100%, $G$9) + CHOOSE(CONTROL!$C$38, 0.0347, 0)</f>
        <v>32.025100000000002</v>
      </c>
      <c r="F399" s="27">
        <f>31.9904 * CHOOSE(CONTROL!$C$15, $E$9, 100%, $G$9) + CHOOSE(CONTROL!$C$38, 0.0256, 0)</f>
        <v>32.015999999999998</v>
      </c>
      <c r="G399" s="10">
        <f>29.6292 * CHOOSE(CONTROL!$C$15, $E$9, 100%, $G$9) + CHOOSE(CONTROL!$C$38, 0.0347, 0)</f>
        <v>29.663900000000002</v>
      </c>
      <c r="H399" s="10">
        <f>29.6292 * CHOOSE(CONTROL!$C$15, $E$9, 100%, $G$9) + CHOOSE(CONTROL!$C$38, 0.0347, 0)</f>
        <v>29.663900000000002</v>
      </c>
      <c r="I399" s="10">
        <f>29.6307 * CHOOSE(CONTROL!$C$15, $E$9, 100%, $G$9) + CHOOSE(CONTROL!$C$38, 0.0347, 0)</f>
        <v>29.665400000000002</v>
      </c>
      <c r="J399" s="26">
        <f>224.9141</f>
        <v>224.91409999999999</v>
      </c>
    </row>
    <row r="400" spans="1:10" ht="15.75" x14ac:dyDescent="0.25">
      <c r="A400" s="14">
        <v>53113</v>
      </c>
      <c r="B400" s="10">
        <f>31.6305 * CHOOSE(CONTROL!$C$15, $E$9, 100%, $G$9) + CHOOSE(CONTROL!$C$38, 0.0278, 0)</f>
        <v>31.658300000000001</v>
      </c>
      <c r="C400" s="10">
        <f>29.1146 * CHOOSE(CONTROL!$C$15, $E$9, 100%, $G$9) + CHOOSE(CONTROL!$C$38, 0.0369, 0)</f>
        <v>29.151499999999999</v>
      </c>
      <c r="D400" s="10">
        <f>29.1068 * CHOOSE(CONTROL!$C$15, $E$9, 100%, $G$9) + CHOOSE(CONTROL!$C$38, 0.0369, 0)</f>
        <v>29.143699999999999</v>
      </c>
      <c r="E400" s="28">
        <f>31.4742 * CHOOSE(CONTROL!$C$15, $E$9, 100%, $G$9) + CHOOSE(CONTROL!$C$38, 0.0369, 0)</f>
        <v>31.511099999999999</v>
      </c>
      <c r="F400" s="27">
        <f>31.4742 * CHOOSE(CONTROL!$C$15, $E$9, 100%, $G$9) + CHOOSE(CONTROL!$C$38, 0.0278, 0)</f>
        <v>31.501999999999999</v>
      </c>
      <c r="G400" s="10">
        <f>29.1131 * CHOOSE(CONTROL!$C$15, $E$9, 100%, $G$9) + CHOOSE(CONTROL!$C$38, 0.0369, 0)</f>
        <v>29.15</v>
      </c>
      <c r="H400" s="10">
        <f>29.1131 * CHOOSE(CONTROL!$C$15, $E$9, 100%, $G$9) + CHOOSE(CONTROL!$C$38, 0.0369, 0)</f>
        <v>29.15</v>
      </c>
      <c r="I400" s="10">
        <f>29.1146 * CHOOSE(CONTROL!$C$15, $E$9, 100%, $G$9) + CHOOSE(CONTROL!$C$38, 0.0369, 0)</f>
        <v>29.151499999999999</v>
      </c>
      <c r="J400" s="26">
        <f>232.4618</f>
        <v>232.46180000000001</v>
      </c>
    </row>
    <row r="401" spans="1:10" ht="15.75" x14ac:dyDescent="0.25">
      <c r="A401" s="14">
        <v>53143</v>
      </c>
      <c r="B401" s="10">
        <f>31.2687 * CHOOSE(CONTROL!$C$15, $E$9, 100%, $G$9) + CHOOSE(CONTROL!$C$38, 0.0278, 0)</f>
        <v>31.296499999999998</v>
      </c>
      <c r="C401" s="10">
        <f>28.7528 * CHOOSE(CONTROL!$C$15, $E$9, 100%, $G$9) + CHOOSE(CONTROL!$C$38, 0.0369, 0)</f>
        <v>28.7897</v>
      </c>
      <c r="D401" s="10">
        <f>28.745 * CHOOSE(CONTROL!$C$15, $E$9, 100%, $G$9) + CHOOSE(CONTROL!$C$38, 0.0369, 0)</f>
        <v>28.7819</v>
      </c>
      <c r="E401" s="28">
        <f>31.1124 * CHOOSE(CONTROL!$C$15, $E$9, 100%, $G$9) + CHOOSE(CONTROL!$C$38, 0.0369, 0)</f>
        <v>31.1493</v>
      </c>
      <c r="F401" s="27">
        <f>31.1124 * CHOOSE(CONTROL!$C$15, $E$9, 100%, $G$9) + CHOOSE(CONTROL!$C$38, 0.0278, 0)</f>
        <v>31.1402</v>
      </c>
      <c r="G401" s="10">
        <f>28.7512 * CHOOSE(CONTROL!$C$15, $E$9, 100%, $G$9) + CHOOSE(CONTROL!$C$38, 0.0369, 0)</f>
        <v>28.7881</v>
      </c>
      <c r="H401" s="10">
        <f>28.7512 * CHOOSE(CONTROL!$C$15, $E$9, 100%, $G$9) + CHOOSE(CONTROL!$C$38, 0.0369, 0)</f>
        <v>28.7881</v>
      </c>
      <c r="I401" s="10">
        <f>28.7528 * CHOOSE(CONTROL!$C$15, $E$9, 100%, $G$9) + CHOOSE(CONTROL!$C$38, 0.0369, 0)</f>
        <v>28.7897</v>
      </c>
      <c r="J401" s="26">
        <f>235.8113</f>
        <v>235.81129999999999</v>
      </c>
    </row>
    <row r="402" spans="1:10" ht="15.75" x14ac:dyDescent="0.25">
      <c r="A402" s="14">
        <v>53174</v>
      </c>
      <c r="B402" s="10">
        <f>31.0622 * CHOOSE(CONTROL!$C$15, $E$9, 100%, $G$9) + CHOOSE(CONTROL!$C$38, 0.0278, 0)</f>
        <v>31.09</v>
      </c>
      <c r="C402" s="10">
        <f>28.5463 * CHOOSE(CONTROL!$C$15, $E$9, 100%, $G$9) + CHOOSE(CONTROL!$C$38, 0.0369, 0)</f>
        <v>28.583199999999998</v>
      </c>
      <c r="D402" s="10">
        <f>28.5385 * CHOOSE(CONTROL!$C$15, $E$9, 100%, $G$9) + CHOOSE(CONTROL!$C$38, 0.0369, 0)</f>
        <v>28.575399999999998</v>
      </c>
      <c r="E402" s="28">
        <f>30.9059 * CHOOSE(CONTROL!$C$15, $E$9, 100%, $G$9) + CHOOSE(CONTROL!$C$38, 0.0369, 0)</f>
        <v>30.942799999999998</v>
      </c>
      <c r="F402" s="27">
        <f>30.9059 * CHOOSE(CONTROL!$C$15, $E$9, 100%, $G$9) + CHOOSE(CONTROL!$C$38, 0.0278, 0)</f>
        <v>30.933699999999998</v>
      </c>
      <c r="G402" s="10">
        <f>28.5447 * CHOOSE(CONTROL!$C$15, $E$9, 100%, $G$9) + CHOOSE(CONTROL!$C$38, 0.0369, 0)</f>
        <v>28.581599999999998</v>
      </c>
      <c r="H402" s="10">
        <f>28.5447 * CHOOSE(CONTROL!$C$15, $E$9, 100%, $G$9) + CHOOSE(CONTROL!$C$38, 0.0369, 0)</f>
        <v>28.581599999999998</v>
      </c>
      <c r="I402" s="10">
        <f>28.5463 * CHOOSE(CONTROL!$C$15, $E$9, 100%, $G$9) + CHOOSE(CONTROL!$C$38, 0.0369, 0)</f>
        <v>28.583199999999998</v>
      </c>
      <c r="J402" s="26">
        <f>234.7085</f>
        <v>234.70849999999999</v>
      </c>
    </row>
    <row r="403" spans="1:10" ht="15.75" x14ac:dyDescent="0.25">
      <c r="A403" s="14">
        <v>53205</v>
      </c>
      <c r="B403" s="10">
        <f>31.1641 * CHOOSE(CONTROL!$C$15, $E$9, 100%, $G$9) + CHOOSE(CONTROL!$C$38, 0.0278, 0)</f>
        <v>31.1919</v>
      </c>
      <c r="C403" s="10">
        <f>28.6482 * CHOOSE(CONTROL!$C$15, $E$9, 100%, $G$9) + CHOOSE(CONTROL!$C$38, 0.0369, 0)</f>
        <v>28.685099999999998</v>
      </c>
      <c r="D403" s="10">
        <f>28.6404 * CHOOSE(CONTROL!$C$15, $E$9, 100%, $G$9) + CHOOSE(CONTROL!$C$38, 0.0369, 0)</f>
        <v>28.677299999999999</v>
      </c>
      <c r="E403" s="28">
        <f>31.0078 * CHOOSE(CONTROL!$C$15, $E$9, 100%, $G$9) + CHOOSE(CONTROL!$C$38, 0.0369, 0)</f>
        <v>31.044699999999999</v>
      </c>
      <c r="F403" s="27">
        <f>31.0078 * CHOOSE(CONTROL!$C$15, $E$9, 100%, $G$9) + CHOOSE(CONTROL!$C$38, 0.0278, 0)</f>
        <v>31.035599999999999</v>
      </c>
      <c r="G403" s="10">
        <f>28.6466 * CHOOSE(CONTROL!$C$15, $E$9, 100%, $G$9) + CHOOSE(CONTROL!$C$38, 0.0369, 0)</f>
        <v>28.683499999999999</v>
      </c>
      <c r="H403" s="10">
        <f>28.6466 * CHOOSE(CONTROL!$C$15, $E$9, 100%, $G$9) + CHOOSE(CONTROL!$C$38, 0.0369, 0)</f>
        <v>28.683499999999999</v>
      </c>
      <c r="I403" s="10">
        <f>28.6482 * CHOOSE(CONTROL!$C$15, $E$9, 100%, $G$9) + CHOOSE(CONTROL!$C$38, 0.0369, 0)</f>
        <v>28.685099999999998</v>
      </c>
      <c r="J403" s="26">
        <f>229.2446</f>
        <v>229.24459999999999</v>
      </c>
    </row>
    <row r="404" spans="1:10" ht="15.75" x14ac:dyDescent="0.25">
      <c r="A404" s="14">
        <v>53235</v>
      </c>
      <c r="B404" s="10">
        <f>31.4409 * CHOOSE(CONTROL!$C$15, $E$9, 100%, $G$9) + CHOOSE(CONTROL!$C$38, 0.0278, 0)</f>
        <v>31.468699999999998</v>
      </c>
      <c r="C404" s="10">
        <f>28.925 * CHOOSE(CONTROL!$C$15, $E$9, 100%, $G$9) + CHOOSE(CONTROL!$C$38, 0.0369, 0)</f>
        <v>28.9619</v>
      </c>
      <c r="D404" s="10">
        <f>28.9172 * CHOOSE(CONTROL!$C$15, $E$9, 100%, $G$9) + CHOOSE(CONTROL!$C$38, 0.0369, 0)</f>
        <v>28.9541</v>
      </c>
      <c r="E404" s="28">
        <f>31.2846 * CHOOSE(CONTROL!$C$15, $E$9, 100%, $G$9) + CHOOSE(CONTROL!$C$38, 0.0369, 0)</f>
        <v>31.3215</v>
      </c>
      <c r="F404" s="27">
        <f>31.2846 * CHOOSE(CONTROL!$C$15, $E$9, 100%, $G$9) + CHOOSE(CONTROL!$C$38, 0.0278, 0)</f>
        <v>31.3124</v>
      </c>
      <c r="G404" s="10">
        <f>28.9234 * CHOOSE(CONTROL!$C$15, $E$9, 100%, $G$9) + CHOOSE(CONTROL!$C$38, 0.0369, 0)</f>
        <v>28.9603</v>
      </c>
      <c r="H404" s="10">
        <f>28.9234 * CHOOSE(CONTROL!$C$15, $E$9, 100%, $G$9) + CHOOSE(CONTROL!$C$38, 0.0369, 0)</f>
        <v>28.9603</v>
      </c>
      <c r="I404" s="10">
        <f>28.925 * CHOOSE(CONTROL!$C$15, $E$9, 100%, $G$9) + CHOOSE(CONTROL!$C$38, 0.0369, 0)</f>
        <v>28.9619</v>
      </c>
      <c r="J404" s="26">
        <f>221.6249</f>
        <v>221.6249</v>
      </c>
    </row>
    <row r="405" spans="1:10" ht="15.75" x14ac:dyDescent="0.25">
      <c r="A405" s="14">
        <v>53266</v>
      </c>
      <c r="B405" s="10">
        <f>31.6727 * CHOOSE(CONTROL!$C$15, $E$9, 100%, $G$9) + CHOOSE(CONTROL!$C$38, 0.0256, 0)</f>
        <v>31.6983</v>
      </c>
      <c r="C405" s="10">
        <f>29.1568 * CHOOSE(CONTROL!$C$15, $E$9, 100%, $G$9) + CHOOSE(CONTROL!$C$38, 0.0347, 0)</f>
        <v>29.191500000000001</v>
      </c>
      <c r="D405" s="10">
        <f>29.149 * CHOOSE(CONTROL!$C$15, $E$9, 100%, $G$9) + CHOOSE(CONTROL!$C$38, 0.0347, 0)</f>
        <v>29.183700000000002</v>
      </c>
      <c r="E405" s="28">
        <f>31.5164 * CHOOSE(CONTROL!$C$15, $E$9, 100%, $G$9) + CHOOSE(CONTROL!$C$38, 0.0347, 0)</f>
        <v>31.551100000000002</v>
      </c>
      <c r="F405" s="27">
        <f>31.5164 * CHOOSE(CONTROL!$C$15, $E$9, 100%, $G$9) + CHOOSE(CONTROL!$C$38, 0.0256, 0)</f>
        <v>31.542000000000002</v>
      </c>
      <c r="G405" s="10">
        <f>29.1553 * CHOOSE(CONTROL!$C$15, $E$9, 100%, $G$9) + CHOOSE(CONTROL!$C$38, 0.0347, 0)</f>
        <v>29.19</v>
      </c>
      <c r="H405" s="10">
        <f>29.1553 * CHOOSE(CONTROL!$C$15, $E$9, 100%, $G$9) + CHOOSE(CONTROL!$C$38, 0.0347, 0)</f>
        <v>29.19</v>
      </c>
      <c r="I405" s="10">
        <f>29.1568 * CHOOSE(CONTROL!$C$15, $E$9, 100%, $G$9) + CHOOSE(CONTROL!$C$38, 0.0347, 0)</f>
        <v>29.191500000000001</v>
      </c>
      <c r="J405" s="26">
        <f>213.9609</f>
        <v>213.96090000000001</v>
      </c>
    </row>
    <row r="406" spans="1:10" ht="15.75" x14ac:dyDescent="0.25">
      <c r="A406" s="14">
        <v>53296</v>
      </c>
      <c r="B406" s="10">
        <f>31.8661 * CHOOSE(CONTROL!$C$15, $E$9, 100%, $G$9) + CHOOSE(CONTROL!$C$38, 0.0256, 0)</f>
        <v>31.8917</v>
      </c>
      <c r="C406" s="10">
        <f>29.3503 * CHOOSE(CONTROL!$C$15, $E$9, 100%, $G$9) + CHOOSE(CONTROL!$C$38, 0.0347, 0)</f>
        <v>29.385000000000002</v>
      </c>
      <c r="D406" s="10">
        <f>29.3425 * CHOOSE(CONTROL!$C$15, $E$9, 100%, $G$9) + CHOOSE(CONTROL!$C$38, 0.0347, 0)</f>
        <v>29.377200000000002</v>
      </c>
      <c r="E406" s="28">
        <f>31.7099 * CHOOSE(CONTROL!$C$15, $E$9, 100%, $G$9) + CHOOSE(CONTROL!$C$38, 0.0347, 0)</f>
        <v>31.744600000000002</v>
      </c>
      <c r="F406" s="27">
        <f>31.7099 * CHOOSE(CONTROL!$C$15, $E$9, 100%, $G$9) + CHOOSE(CONTROL!$C$38, 0.0256, 0)</f>
        <v>31.735500000000002</v>
      </c>
      <c r="G406" s="10">
        <f>29.3487 * CHOOSE(CONTROL!$C$15, $E$9, 100%, $G$9) + CHOOSE(CONTROL!$C$38, 0.0347, 0)</f>
        <v>29.383400000000002</v>
      </c>
      <c r="H406" s="10">
        <f>29.3487 * CHOOSE(CONTROL!$C$15, $E$9, 100%, $G$9) + CHOOSE(CONTROL!$C$38, 0.0347, 0)</f>
        <v>29.383400000000002</v>
      </c>
      <c r="I406" s="10">
        <f>29.3503 * CHOOSE(CONTROL!$C$15, $E$9, 100%, $G$9) + CHOOSE(CONTROL!$C$38, 0.0347, 0)</f>
        <v>29.385000000000002</v>
      </c>
      <c r="J406" s="26">
        <f>212.4364</f>
        <v>212.43639999999999</v>
      </c>
    </row>
    <row r="407" spans="1:10" ht="15.75" x14ac:dyDescent="0.25">
      <c r="A407" s="14">
        <v>53327</v>
      </c>
      <c r="B407" s="10">
        <f>32.4622 * CHOOSE(CONTROL!$C$15, $E$9, 100%, $G$9) + CHOOSE(CONTROL!$C$38, 0.0256, 0)</f>
        <v>32.4878</v>
      </c>
      <c r="C407" s="10">
        <f>29.9463 * CHOOSE(CONTROL!$C$15, $E$9, 100%, $G$9) + CHOOSE(CONTROL!$C$38, 0.0347, 0)</f>
        <v>29.981000000000002</v>
      </c>
      <c r="D407" s="10">
        <f>29.9385 * CHOOSE(CONTROL!$C$15, $E$9, 100%, $G$9) + CHOOSE(CONTROL!$C$38, 0.0347, 0)</f>
        <v>29.973200000000002</v>
      </c>
      <c r="E407" s="28">
        <f>32.306 * CHOOSE(CONTROL!$C$15, $E$9, 100%, $G$9) + CHOOSE(CONTROL!$C$38, 0.0347, 0)</f>
        <v>32.340699999999998</v>
      </c>
      <c r="F407" s="27">
        <f>32.306 * CHOOSE(CONTROL!$C$15, $E$9, 100%, $G$9) + CHOOSE(CONTROL!$C$38, 0.0256, 0)</f>
        <v>32.331599999999995</v>
      </c>
      <c r="G407" s="10">
        <f>29.9448 * CHOOSE(CONTROL!$C$15, $E$9, 100%, $G$9) + CHOOSE(CONTROL!$C$38, 0.0347, 0)</f>
        <v>29.979500000000002</v>
      </c>
      <c r="H407" s="10">
        <f>29.9448 * CHOOSE(CONTROL!$C$15, $E$9, 100%, $G$9) + CHOOSE(CONTROL!$C$38, 0.0347, 0)</f>
        <v>29.979500000000002</v>
      </c>
      <c r="I407" s="10">
        <f>29.9463 * CHOOSE(CONTROL!$C$15, $E$9, 100%, $G$9) + CHOOSE(CONTROL!$C$38, 0.0347, 0)</f>
        <v>29.981000000000002</v>
      </c>
      <c r="J407" s="26">
        <f>206.1323</f>
        <v>206.13229999999999</v>
      </c>
    </row>
    <row r="408" spans="1:10" ht="15.75" x14ac:dyDescent="0.25">
      <c r="A408" s="14">
        <v>53358</v>
      </c>
      <c r="B408" s="10">
        <f>33.4458 * CHOOSE(CONTROL!$C$15, $E$9, 100%, $G$9) + CHOOSE(CONTROL!$C$38, 0.0256, 0)</f>
        <v>33.471399999999996</v>
      </c>
      <c r="C408" s="10">
        <f>30.8913 * CHOOSE(CONTROL!$C$15, $E$9, 100%, $G$9) + CHOOSE(CONTROL!$C$38, 0.0347, 0)</f>
        <v>30.926000000000002</v>
      </c>
      <c r="D408" s="10">
        <f>30.8834 * CHOOSE(CONTROL!$C$15, $E$9, 100%, $G$9) + CHOOSE(CONTROL!$C$38, 0.0347, 0)</f>
        <v>30.918100000000003</v>
      </c>
      <c r="E408" s="28">
        <f>33.2896 * CHOOSE(CONTROL!$C$15, $E$9, 100%, $G$9) + CHOOSE(CONTROL!$C$38, 0.0347, 0)</f>
        <v>33.324300000000001</v>
      </c>
      <c r="F408" s="27">
        <f>33.2896 * CHOOSE(CONTROL!$C$15, $E$9, 100%, $G$9) + CHOOSE(CONTROL!$C$38, 0.0256, 0)</f>
        <v>33.315199999999997</v>
      </c>
      <c r="G408" s="10">
        <f>30.8897 * CHOOSE(CONTROL!$C$15, $E$9, 100%, $G$9) + CHOOSE(CONTROL!$C$38, 0.0347, 0)</f>
        <v>30.924400000000002</v>
      </c>
      <c r="H408" s="10">
        <f>30.8897 * CHOOSE(CONTROL!$C$15, $E$9, 100%, $G$9) + CHOOSE(CONTROL!$C$38, 0.0347, 0)</f>
        <v>30.924400000000002</v>
      </c>
      <c r="I408" s="10">
        <f>30.8913 * CHOOSE(CONTROL!$C$15, $E$9, 100%, $G$9) + CHOOSE(CONTROL!$C$38, 0.0347, 0)</f>
        <v>30.926000000000002</v>
      </c>
      <c r="J408" s="26">
        <f>205.7386</f>
        <v>205.73859999999999</v>
      </c>
    </row>
    <row r="409" spans="1:10" ht="15.75" x14ac:dyDescent="0.25">
      <c r="A409" s="14">
        <v>53386</v>
      </c>
      <c r="B409" s="10">
        <f>33.6666 * CHOOSE(CONTROL!$C$15, $E$9, 100%, $G$9) + CHOOSE(CONTROL!$C$38, 0.0256, 0)</f>
        <v>33.6922</v>
      </c>
      <c r="C409" s="10">
        <f>31.112 * CHOOSE(CONTROL!$C$15, $E$9, 100%, $G$9) + CHOOSE(CONTROL!$C$38, 0.0347, 0)</f>
        <v>31.146699999999999</v>
      </c>
      <c r="D409" s="10">
        <f>31.1042 * CHOOSE(CONTROL!$C$15, $E$9, 100%, $G$9) + CHOOSE(CONTROL!$C$38, 0.0347, 0)</f>
        <v>31.1389</v>
      </c>
      <c r="E409" s="28">
        <f>33.5103 * CHOOSE(CONTROL!$C$15, $E$9, 100%, $G$9) + CHOOSE(CONTROL!$C$38, 0.0347, 0)</f>
        <v>33.545000000000002</v>
      </c>
      <c r="F409" s="27">
        <f>33.5103 * CHOOSE(CONTROL!$C$15, $E$9, 100%, $G$9) + CHOOSE(CONTROL!$C$38, 0.0256, 0)</f>
        <v>33.535899999999998</v>
      </c>
      <c r="G409" s="10">
        <f>31.1105 * CHOOSE(CONTROL!$C$15, $E$9, 100%, $G$9) + CHOOSE(CONTROL!$C$38, 0.0347, 0)</f>
        <v>31.145199999999999</v>
      </c>
      <c r="H409" s="10">
        <f>31.1105 * CHOOSE(CONTROL!$C$15, $E$9, 100%, $G$9) + CHOOSE(CONTROL!$C$38, 0.0347, 0)</f>
        <v>31.145199999999999</v>
      </c>
      <c r="I409" s="10">
        <f>31.112 * CHOOSE(CONTROL!$C$15, $E$9, 100%, $G$9) + CHOOSE(CONTROL!$C$38, 0.0347, 0)</f>
        <v>31.146699999999999</v>
      </c>
      <c r="J409" s="26">
        <f>205.1667</f>
        <v>205.16669999999999</v>
      </c>
    </row>
    <row r="410" spans="1:10" ht="15.75" x14ac:dyDescent="0.25">
      <c r="A410" s="14">
        <v>53417</v>
      </c>
      <c r="B410" s="10">
        <f>33.1555 * CHOOSE(CONTROL!$C$15, $E$9, 100%, $G$9) + CHOOSE(CONTROL!$C$38, 0.0256, 0)</f>
        <v>33.181100000000001</v>
      </c>
      <c r="C410" s="10">
        <f>30.601 * CHOOSE(CONTROL!$C$15, $E$9, 100%, $G$9) + CHOOSE(CONTROL!$C$38, 0.0347, 0)</f>
        <v>30.6357</v>
      </c>
      <c r="D410" s="10">
        <f>30.5932 * CHOOSE(CONTROL!$C$15, $E$9, 100%, $G$9) + CHOOSE(CONTROL!$C$38, 0.0347, 0)</f>
        <v>30.6279</v>
      </c>
      <c r="E410" s="28">
        <f>32.9993 * CHOOSE(CONTROL!$C$15, $E$9, 100%, $G$9) + CHOOSE(CONTROL!$C$38, 0.0347, 0)</f>
        <v>33.033999999999999</v>
      </c>
      <c r="F410" s="27">
        <f>32.9993 * CHOOSE(CONTROL!$C$15, $E$9, 100%, $G$9) + CHOOSE(CONTROL!$C$38, 0.0256, 0)</f>
        <v>33.024899999999995</v>
      </c>
      <c r="G410" s="10">
        <f>30.5994 * CHOOSE(CONTROL!$C$15, $E$9, 100%, $G$9) + CHOOSE(CONTROL!$C$38, 0.0347, 0)</f>
        <v>30.6341</v>
      </c>
      <c r="H410" s="10">
        <f>30.5994 * CHOOSE(CONTROL!$C$15, $E$9, 100%, $G$9) + CHOOSE(CONTROL!$C$38, 0.0347, 0)</f>
        <v>30.6341</v>
      </c>
      <c r="I410" s="10">
        <f>30.601 * CHOOSE(CONTROL!$C$15, $E$9, 100%, $G$9) + CHOOSE(CONTROL!$C$38, 0.0347, 0)</f>
        <v>30.6357</v>
      </c>
      <c r="J410" s="26">
        <f>215.9802</f>
        <v>215.9802</v>
      </c>
    </row>
    <row r="411" spans="1:10" ht="15.75" x14ac:dyDescent="0.25">
      <c r="A411" s="14">
        <v>53447</v>
      </c>
      <c r="B411" s="10">
        <f>32.6604 * CHOOSE(CONTROL!$C$15, $E$9, 100%, $G$9) + CHOOSE(CONTROL!$C$38, 0.0256, 0)</f>
        <v>32.686</v>
      </c>
      <c r="C411" s="10">
        <f>30.1058 * CHOOSE(CONTROL!$C$15, $E$9, 100%, $G$9) + CHOOSE(CONTROL!$C$38, 0.0347, 0)</f>
        <v>30.140499999999999</v>
      </c>
      <c r="D411" s="10">
        <f>30.098 * CHOOSE(CONTROL!$C$15, $E$9, 100%, $G$9) + CHOOSE(CONTROL!$C$38, 0.0347, 0)</f>
        <v>30.1327</v>
      </c>
      <c r="E411" s="28">
        <f>32.5041 * CHOOSE(CONTROL!$C$15, $E$9, 100%, $G$9) + CHOOSE(CONTROL!$C$38, 0.0347, 0)</f>
        <v>32.538800000000002</v>
      </c>
      <c r="F411" s="27">
        <f>32.5041 * CHOOSE(CONTROL!$C$15, $E$9, 100%, $G$9) + CHOOSE(CONTROL!$C$38, 0.0256, 0)</f>
        <v>32.529699999999998</v>
      </c>
      <c r="G411" s="10">
        <f>30.1042 * CHOOSE(CONTROL!$C$15, $E$9, 100%, $G$9) + CHOOSE(CONTROL!$C$38, 0.0347, 0)</f>
        <v>30.1389</v>
      </c>
      <c r="H411" s="10">
        <f>30.1042 * CHOOSE(CONTROL!$C$15, $E$9, 100%, $G$9) + CHOOSE(CONTROL!$C$38, 0.0347, 0)</f>
        <v>30.1389</v>
      </c>
      <c r="I411" s="10">
        <f>30.1058 * CHOOSE(CONTROL!$C$15, $E$9, 100%, $G$9) + CHOOSE(CONTROL!$C$38, 0.0347, 0)</f>
        <v>30.140499999999999</v>
      </c>
      <c r="J411" s="26">
        <f>230.0027</f>
        <v>230.0027</v>
      </c>
    </row>
    <row r="412" spans="1:10" ht="15.75" x14ac:dyDescent="0.25">
      <c r="A412" s="14">
        <v>53478</v>
      </c>
      <c r="B412" s="10">
        <f>32.1443 * CHOOSE(CONTROL!$C$15, $E$9, 100%, $G$9) + CHOOSE(CONTROL!$C$38, 0.0278, 0)</f>
        <v>32.1721</v>
      </c>
      <c r="C412" s="10">
        <f>29.5897 * CHOOSE(CONTROL!$C$15, $E$9, 100%, $G$9) + CHOOSE(CONTROL!$C$38, 0.0369, 0)</f>
        <v>29.6266</v>
      </c>
      <c r="D412" s="10">
        <f>29.5819 * CHOOSE(CONTROL!$C$15, $E$9, 100%, $G$9) + CHOOSE(CONTROL!$C$38, 0.0369, 0)</f>
        <v>29.6188</v>
      </c>
      <c r="E412" s="28">
        <f>31.988 * CHOOSE(CONTROL!$C$15, $E$9, 100%, $G$9) + CHOOSE(CONTROL!$C$38, 0.0369, 0)</f>
        <v>32.024900000000002</v>
      </c>
      <c r="F412" s="27">
        <f>31.988 * CHOOSE(CONTROL!$C$15, $E$9, 100%, $G$9) + CHOOSE(CONTROL!$C$38, 0.0278, 0)</f>
        <v>32.015799999999999</v>
      </c>
      <c r="G412" s="10">
        <f>29.5881 * CHOOSE(CONTROL!$C$15, $E$9, 100%, $G$9) + CHOOSE(CONTROL!$C$38, 0.0369, 0)</f>
        <v>29.625</v>
      </c>
      <c r="H412" s="10">
        <f>29.5881 * CHOOSE(CONTROL!$C$15, $E$9, 100%, $G$9) + CHOOSE(CONTROL!$C$38, 0.0369, 0)</f>
        <v>29.625</v>
      </c>
      <c r="I412" s="10">
        <f>29.5897 * CHOOSE(CONTROL!$C$15, $E$9, 100%, $G$9) + CHOOSE(CONTROL!$C$38, 0.0369, 0)</f>
        <v>29.6266</v>
      </c>
      <c r="J412" s="26">
        <f>237.7211</f>
        <v>237.72110000000001</v>
      </c>
    </row>
    <row r="413" spans="1:10" ht="15.75" x14ac:dyDescent="0.25">
      <c r="A413" s="14">
        <v>53508</v>
      </c>
      <c r="B413" s="10">
        <f>31.7824 * CHOOSE(CONTROL!$C$15, $E$9, 100%, $G$9) + CHOOSE(CONTROL!$C$38, 0.0278, 0)</f>
        <v>31.810199999999998</v>
      </c>
      <c r="C413" s="10">
        <f>29.2279 * CHOOSE(CONTROL!$C$15, $E$9, 100%, $G$9) + CHOOSE(CONTROL!$C$38, 0.0369, 0)</f>
        <v>29.264800000000001</v>
      </c>
      <c r="D413" s="10">
        <f>29.22 * CHOOSE(CONTROL!$C$15, $E$9, 100%, $G$9) + CHOOSE(CONTROL!$C$38, 0.0369, 0)</f>
        <v>29.256899999999998</v>
      </c>
      <c r="E413" s="28">
        <f>31.6262 * CHOOSE(CONTROL!$C$15, $E$9, 100%, $G$9) + CHOOSE(CONTROL!$C$38, 0.0369, 0)</f>
        <v>31.6631</v>
      </c>
      <c r="F413" s="27">
        <f>31.6262 * CHOOSE(CONTROL!$C$15, $E$9, 100%, $G$9) + CHOOSE(CONTROL!$C$38, 0.0278, 0)</f>
        <v>31.654</v>
      </c>
      <c r="G413" s="10">
        <f>29.2263 * CHOOSE(CONTROL!$C$15, $E$9, 100%, $G$9) + CHOOSE(CONTROL!$C$38, 0.0369, 0)</f>
        <v>29.263199999999998</v>
      </c>
      <c r="H413" s="10">
        <f>29.2263 * CHOOSE(CONTROL!$C$15, $E$9, 100%, $G$9) + CHOOSE(CONTROL!$C$38, 0.0369, 0)</f>
        <v>29.263199999999998</v>
      </c>
      <c r="I413" s="10">
        <f>29.2279 * CHOOSE(CONTROL!$C$15, $E$9, 100%, $G$9) + CHOOSE(CONTROL!$C$38, 0.0369, 0)</f>
        <v>29.264800000000001</v>
      </c>
      <c r="J413" s="26">
        <f>241.1464</f>
        <v>241.1464</v>
      </c>
    </row>
    <row r="414" spans="1:10" ht="15.75" x14ac:dyDescent="0.25">
      <c r="A414" s="14">
        <v>53539</v>
      </c>
      <c r="B414" s="10">
        <f>31.5759 * CHOOSE(CONTROL!$C$15, $E$9, 100%, $G$9) + CHOOSE(CONTROL!$C$38, 0.0278, 0)</f>
        <v>31.6037</v>
      </c>
      <c r="C414" s="10">
        <f>29.0214 * CHOOSE(CONTROL!$C$15, $E$9, 100%, $G$9) + CHOOSE(CONTROL!$C$38, 0.0369, 0)</f>
        <v>29.058299999999999</v>
      </c>
      <c r="D414" s="10">
        <f>29.0136 * CHOOSE(CONTROL!$C$15, $E$9, 100%, $G$9) + CHOOSE(CONTROL!$C$38, 0.0369, 0)</f>
        <v>29.0505</v>
      </c>
      <c r="E414" s="28">
        <f>31.4197 * CHOOSE(CONTROL!$C$15, $E$9, 100%, $G$9) + CHOOSE(CONTROL!$C$38, 0.0369, 0)</f>
        <v>31.456599999999998</v>
      </c>
      <c r="F414" s="27">
        <f>31.4197 * CHOOSE(CONTROL!$C$15, $E$9, 100%, $G$9) + CHOOSE(CONTROL!$C$38, 0.0278, 0)</f>
        <v>31.447499999999998</v>
      </c>
      <c r="G414" s="10">
        <f>29.0198 * CHOOSE(CONTROL!$C$15, $E$9, 100%, $G$9) + CHOOSE(CONTROL!$C$38, 0.0369, 0)</f>
        <v>29.056699999999999</v>
      </c>
      <c r="H414" s="10">
        <f>29.0198 * CHOOSE(CONTROL!$C$15, $E$9, 100%, $G$9) + CHOOSE(CONTROL!$C$38, 0.0369, 0)</f>
        <v>29.056699999999999</v>
      </c>
      <c r="I414" s="10">
        <f>29.0214 * CHOOSE(CONTROL!$C$15, $E$9, 100%, $G$9) + CHOOSE(CONTROL!$C$38, 0.0369, 0)</f>
        <v>29.058299999999999</v>
      </c>
      <c r="J414" s="26">
        <f>240.0187</f>
        <v>240.0187</v>
      </c>
    </row>
    <row r="415" spans="1:10" ht="15.75" x14ac:dyDescent="0.25">
      <c r="A415" s="14">
        <v>53570</v>
      </c>
      <c r="B415" s="10">
        <f>31.6778 * CHOOSE(CONTROL!$C$15, $E$9, 100%, $G$9) + CHOOSE(CONTROL!$C$38, 0.0278, 0)</f>
        <v>31.7056</v>
      </c>
      <c r="C415" s="10">
        <f>29.1233 * CHOOSE(CONTROL!$C$15, $E$9, 100%, $G$9) + CHOOSE(CONTROL!$C$38, 0.0369, 0)</f>
        <v>29.1602</v>
      </c>
      <c r="D415" s="10">
        <f>29.1155 * CHOOSE(CONTROL!$C$15, $E$9, 100%, $G$9) + CHOOSE(CONTROL!$C$38, 0.0369, 0)</f>
        <v>29.1524</v>
      </c>
      <c r="E415" s="28">
        <f>31.5216 * CHOOSE(CONTROL!$C$15, $E$9, 100%, $G$9) + CHOOSE(CONTROL!$C$38, 0.0369, 0)</f>
        <v>31.558499999999999</v>
      </c>
      <c r="F415" s="27">
        <f>31.5216 * CHOOSE(CONTROL!$C$15, $E$9, 100%, $G$9) + CHOOSE(CONTROL!$C$38, 0.0278, 0)</f>
        <v>31.549399999999999</v>
      </c>
      <c r="G415" s="10">
        <f>29.1217 * CHOOSE(CONTROL!$C$15, $E$9, 100%, $G$9) + CHOOSE(CONTROL!$C$38, 0.0369, 0)</f>
        <v>29.1586</v>
      </c>
      <c r="H415" s="10">
        <f>29.1217 * CHOOSE(CONTROL!$C$15, $E$9, 100%, $G$9) + CHOOSE(CONTROL!$C$38, 0.0369, 0)</f>
        <v>29.1586</v>
      </c>
      <c r="I415" s="10">
        <f>29.1233 * CHOOSE(CONTROL!$C$15, $E$9, 100%, $G$9) + CHOOSE(CONTROL!$C$38, 0.0369, 0)</f>
        <v>29.1602</v>
      </c>
      <c r="J415" s="26">
        <f>234.4311</f>
        <v>234.43109999999999</v>
      </c>
    </row>
    <row r="416" spans="1:10" ht="15.75" x14ac:dyDescent="0.25">
      <c r="A416" s="14">
        <v>53600</v>
      </c>
      <c r="B416" s="10">
        <f>31.9546 * CHOOSE(CONTROL!$C$15, $E$9, 100%, $G$9) + CHOOSE(CONTROL!$C$38, 0.0278, 0)</f>
        <v>31.982399999999998</v>
      </c>
      <c r="C416" s="10">
        <f>29.4001 * CHOOSE(CONTROL!$C$15, $E$9, 100%, $G$9) + CHOOSE(CONTROL!$C$38, 0.0369, 0)</f>
        <v>29.436999999999998</v>
      </c>
      <c r="D416" s="10">
        <f>29.3923 * CHOOSE(CONTROL!$C$15, $E$9, 100%, $G$9) + CHOOSE(CONTROL!$C$38, 0.0369, 0)</f>
        <v>29.429199999999998</v>
      </c>
      <c r="E416" s="28">
        <f>31.7984 * CHOOSE(CONTROL!$C$15, $E$9, 100%, $G$9) + CHOOSE(CONTROL!$C$38, 0.0369, 0)</f>
        <v>31.8353</v>
      </c>
      <c r="F416" s="27">
        <f>31.7984 * CHOOSE(CONTROL!$C$15, $E$9, 100%, $G$9) + CHOOSE(CONTROL!$C$38, 0.0278, 0)</f>
        <v>31.8262</v>
      </c>
      <c r="G416" s="10">
        <f>29.3985 * CHOOSE(CONTROL!$C$15, $E$9, 100%, $G$9) + CHOOSE(CONTROL!$C$38, 0.0369, 0)</f>
        <v>29.435399999999998</v>
      </c>
      <c r="H416" s="10">
        <f>29.3985 * CHOOSE(CONTROL!$C$15, $E$9, 100%, $G$9) + CHOOSE(CONTROL!$C$38, 0.0369, 0)</f>
        <v>29.435399999999998</v>
      </c>
      <c r="I416" s="10">
        <f>29.4001 * CHOOSE(CONTROL!$C$15, $E$9, 100%, $G$9) + CHOOSE(CONTROL!$C$38, 0.0369, 0)</f>
        <v>29.436999999999998</v>
      </c>
      <c r="J416" s="26">
        <f>226.6391</f>
        <v>226.63910000000001</v>
      </c>
    </row>
    <row r="417" spans="1:10" ht="15.75" x14ac:dyDescent="0.25">
      <c r="A417" s="14">
        <v>53631</v>
      </c>
      <c r="B417" s="10">
        <f>32.1865 * CHOOSE(CONTROL!$C$15, $E$9, 100%, $G$9) + CHOOSE(CONTROL!$C$38, 0.0256, 0)</f>
        <v>32.2121</v>
      </c>
      <c r="C417" s="10">
        <f>29.6319 * CHOOSE(CONTROL!$C$15, $E$9, 100%, $G$9) + CHOOSE(CONTROL!$C$38, 0.0347, 0)</f>
        <v>29.666600000000003</v>
      </c>
      <c r="D417" s="10">
        <f>29.6241 * CHOOSE(CONTROL!$C$15, $E$9, 100%, $G$9) + CHOOSE(CONTROL!$C$38, 0.0347, 0)</f>
        <v>29.658799999999999</v>
      </c>
      <c r="E417" s="28">
        <f>32.0302 * CHOOSE(CONTROL!$C$15, $E$9, 100%, $G$9) + CHOOSE(CONTROL!$C$38, 0.0347, 0)</f>
        <v>32.064900000000002</v>
      </c>
      <c r="F417" s="27">
        <f>32.0302 * CHOOSE(CONTROL!$C$15, $E$9, 100%, $G$9) + CHOOSE(CONTROL!$C$38, 0.0256, 0)</f>
        <v>32.055799999999998</v>
      </c>
      <c r="G417" s="10">
        <f>29.6303 * CHOOSE(CONTROL!$C$15, $E$9, 100%, $G$9) + CHOOSE(CONTROL!$C$38, 0.0347, 0)</f>
        <v>29.664999999999999</v>
      </c>
      <c r="H417" s="10">
        <f>29.6303 * CHOOSE(CONTROL!$C$15, $E$9, 100%, $G$9) + CHOOSE(CONTROL!$C$38, 0.0347, 0)</f>
        <v>29.664999999999999</v>
      </c>
      <c r="I417" s="10">
        <f>29.6319 * CHOOSE(CONTROL!$C$15, $E$9, 100%, $G$9) + CHOOSE(CONTROL!$C$38, 0.0347, 0)</f>
        <v>29.666600000000003</v>
      </c>
      <c r="J417" s="26">
        <f>218.8016</f>
        <v>218.80160000000001</v>
      </c>
    </row>
    <row r="418" spans="1:10" ht="15.75" x14ac:dyDescent="0.25">
      <c r="A418" s="14">
        <v>53661</v>
      </c>
      <c r="B418" s="10">
        <f>32.3799 * CHOOSE(CONTROL!$C$15, $E$9, 100%, $G$9) + CHOOSE(CONTROL!$C$38, 0.0256, 0)</f>
        <v>32.405499999999996</v>
      </c>
      <c r="C418" s="10">
        <f>29.8253 * CHOOSE(CONTROL!$C$15, $E$9, 100%, $G$9) + CHOOSE(CONTROL!$C$38, 0.0347, 0)</f>
        <v>29.86</v>
      </c>
      <c r="D418" s="10">
        <f>29.8175 * CHOOSE(CONTROL!$C$15, $E$9, 100%, $G$9) + CHOOSE(CONTROL!$C$38, 0.0347, 0)</f>
        <v>29.8522</v>
      </c>
      <c r="E418" s="28">
        <f>32.2237 * CHOOSE(CONTROL!$C$15, $E$9, 100%, $G$9) + CHOOSE(CONTROL!$C$38, 0.0347, 0)</f>
        <v>32.258400000000002</v>
      </c>
      <c r="F418" s="27">
        <f>32.2237 * CHOOSE(CONTROL!$C$15, $E$9, 100%, $G$9) + CHOOSE(CONTROL!$C$38, 0.0256, 0)</f>
        <v>32.249299999999998</v>
      </c>
      <c r="G418" s="10">
        <f>29.8238 * CHOOSE(CONTROL!$C$15, $E$9, 100%, $G$9) + CHOOSE(CONTROL!$C$38, 0.0347, 0)</f>
        <v>29.858499999999999</v>
      </c>
      <c r="H418" s="10">
        <f>29.8238 * CHOOSE(CONTROL!$C$15, $E$9, 100%, $G$9) + CHOOSE(CONTROL!$C$38, 0.0347, 0)</f>
        <v>29.858499999999999</v>
      </c>
      <c r="I418" s="10">
        <f>29.8253 * CHOOSE(CONTROL!$C$15, $E$9, 100%, $G$9) + CHOOSE(CONTROL!$C$38, 0.0347, 0)</f>
        <v>29.86</v>
      </c>
      <c r="J418" s="26">
        <f>217.2426</f>
        <v>217.24260000000001</v>
      </c>
    </row>
    <row r="419" spans="1:10" ht="15.75" x14ac:dyDescent="0.25">
      <c r="A419" s="14">
        <v>53692</v>
      </c>
      <c r="B419" s="10">
        <f>32.976 * CHOOSE(CONTROL!$C$15, $E$9, 100%, $G$9) + CHOOSE(CONTROL!$C$38, 0.0256, 0)</f>
        <v>33.001599999999996</v>
      </c>
      <c r="C419" s="10">
        <f>30.4214 * CHOOSE(CONTROL!$C$15, $E$9, 100%, $G$9) + CHOOSE(CONTROL!$C$38, 0.0347, 0)</f>
        <v>30.456099999999999</v>
      </c>
      <c r="D419" s="10">
        <f>30.4136 * CHOOSE(CONTROL!$C$15, $E$9, 100%, $G$9) + CHOOSE(CONTROL!$C$38, 0.0347, 0)</f>
        <v>30.4483</v>
      </c>
      <c r="E419" s="28">
        <f>32.8197 * CHOOSE(CONTROL!$C$15, $E$9, 100%, $G$9) + CHOOSE(CONTROL!$C$38, 0.0347, 0)</f>
        <v>32.854399999999998</v>
      </c>
      <c r="F419" s="27">
        <f>32.8197 * CHOOSE(CONTROL!$C$15, $E$9, 100%, $G$9) + CHOOSE(CONTROL!$C$38, 0.0256, 0)</f>
        <v>32.845299999999995</v>
      </c>
      <c r="G419" s="10">
        <f>30.4198 * CHOOSE(CONTROL!$C$15, $E$9, 100%, $G$9) + CHOOSE(CONTROL!$C$38, 0.0347, 0)</f>
        <v>30.454499999999999</v>
      </c>
      <c r="H419" s="10">
        <f>30.4198 * CHOOSE(CONTROL!$C$15, $E$9, 100%, $G$9) + CHOOSE(CONTROL!$C$38, 0.0347, 0)</f>
        <v>30.454499999999999</v>
      </c>
      <c r="I419" s="10">
        <f>30.4214 * CHOOSE(CONTROL!$C$15, $E$9, 100%, $G$9) + CHOOSE(CONTROL!$C$38, 0.0347, 0)</f>
        <v>30.456099999999999</v>
      </c>
      <c r="J419" s="26">
        <f>210.7959</f>
        <v>210.79589999999999</v>
      </c>
    </row>
    <row r="420" spans="1:10" ht="15.75" x14ac:dyDescent="0.25">
      <c r="A420" s="14">
        <v>53723</v>
      </c>
      <c r="B420" s="10">
        <f>33.968 * CHOOSE(CONTROL!$C$15, $E$9, 100%, $G$9) + CHOOSE(CONTROL!$C$38, 0.0256, 0)</f>
        <v>33.993600000000001</v>
      </c>
      <c r="C420" s="10">
        <f>31.3741 * CHOOSE(CONTROL!$C$15, $E$9, 100%, $G$9) + CHOOSE(CONTROL!$C$38, 0.0347, 0)</f>
        <v>31.408799999999999</v>
      </c>
      <c r="D420" s="10">
        <f>31.3663 * CHOOSE(CONTROL!$C$15, $E$9, 100%, $G$9) + CHOOSE(CONTROL!$C$38, 0.0347, 0)</f>
        <v>31.401</v>
      </c>
      <c r="E420" s="28">
        <f>33.8118 * CHOOSE(CONTROL!$C$15, $E$9, 100%, $G$9) + CHOOSE(CONTROL!$C$38, 0.0347, 0)</f>
        <v>33.846499999999999</v>
      </c>
      <c r="F420" s="27">
        <f>33.8118 * CHOOSE(CONTROL!$C$15, $E$9, 100%, $G$9) + CHOOSE(CONTROL!$C$38, 0.0256, 0)</f>
        <v>33.837399999999995</v>
      </c>
      <c r="G420" s="10">
        <f>31.3726 * CHOOSE(CONTROL!$C$15, $E$9, 100%, $G$9) + CHOOSE(CONTROL!$C$38, 0.0347, 0)</f>
        <v>31.407299999999999</v>
      </c>
      <c r="H420" s="10">
        <f>31.3726 * CHOOSE(CONTROL!$C$15, $E$9, 100%, $G$9) + CHOOSE(CONTROL!$C$38, 0.0347, 0)</f>
        <v>31.407299999999999</v>
      </c>
      <c r="I420" s="10">
        <f>31.3741 * CHOOSE(CONTROL!$C$15, $E$9, 100%, $G$9) + CHOOSE(CONTROL!$C$38, 0.0347, 0)</f>
        <v>31.408799999999999</v>
      </c>
      <c r="J420" s="26">
        <f>210.3934</f>
        <v>210.39340000000001</v>
      </c>
    </row>
    <row r="421" spans="1:10" ht="15.75" x14ac:dyDescent="0.25">
      <c r="A421" s="14">
        <v>53751</v>
      </c>
      <c r="B421" s="10">
        <f>34.1888 * CHOOSE(CONTROL!$C$15, $E$9, 100%, $G$9) + CHOOSE(CONTROL!$C$38, 0.0256, 0)</f>
        <v>34.214399999999998</v>
      </c>
      <c r="C421" s="10">
        <f>31.5949 * CHOOSE(CONTROL!$C$15, $E$9, 100%, $G$9) + CHOOSE(CONTROL!$C$38, 0.0347, 0)</f>
        <v>31.6296</v>
      </c>
      <c r="D421" s="10">
        <f>31.5871 * CHOOSE(CONTROL!$C$15, $E$9, 100%, $G$9) + CHOOSE(CONTROL!$C$38, 0.0347, 0)</f>
        <v>31.6218</v>
      </c>
      <c r="E421" s="28">
        <f>34.0325 * CHOOSE(CONTROL!$C$15, $E$9, 100%, $G$9) + CHOOSE(CONTROL!$C$38, 0.0347, 0)</f>
        <v>34.0672</v>
      </c>
      <c r="F421" s="27">
        <f>34.0325 * CHOOSE(CONTROL!$C$15, $E$9, 100%, $G$9) + CHOOSE(CONTROL!$C$38, 0.0256, 0)</f>
        <v>34.058099999999996</v>
      </c>
      <c r="G421" s="10">
        <f>31.5933 * CHOOSE(CONTROL!$C$15, $E$9, 100%, $G$9) + CHOOSE(CONTROL!$C$38, 0.0347, 0)</f>
        <v>31.628</v>
      </c>
      <c r="H421" s="10">
        <f>31.5933 * CHOOSE(CONTROL!$C$15, $E$9, 100%, $G$9) + CHOOSE(CONTROL!$C$38, 0.0347, 0)</f>
        <v>31.628</v>
      </c>
      <c r="I421" s="10">
        <f>31.5949 * CHOOSE(CONTROL!$C$15, $E$9, 100%, $G$9) + CHOOSE(CONTROL!$C$38, 0.0347, 0)</f>
        <v>31.6296</v>
      </c>
      <c r="J421" s="26">
        <f>209.8085</f>
        <v>209.80850000000001</v>
      </c>
    </row>
    <row r="422" spans="1:10" ht="15.75" x14ac:dyDescent="0.25">
      <c r="A422" s="14">
        <v>53782</v>
      </c>
      <c r="B422" s="10">
        <f>33.6777 * CHOOSE(CONTROL!$C$15, $E$9, 100%, $G$9) + CHOOSE(CONTROL!$C$38, 0.0256, 0)</f>
        <v>33.703299999999999</v>
      </c>
      <c r="C422" s="10">
        <f>31.0839 * CHOOSE(CONTROL!$C$15, $E$9, 100%, $G$9) + CHOOSE(CONTROL!$C$38, 0.0347, 0)</f>
        <v>31.118600000000001</v>
      </c>
      <c r="D422" s="10">
        <f>31.076 * CHOOSE(CONTROL!$C$15, $E$9, 100%, $G$9) + CHOOSE(CONTROL!$C$38, 0.0347, 0)</f>
        <v>31.110700000000001</v>
      </c>
      <c r="E422" s="28">
        <f>33.5215 * CHOOSE(CONTROL!$C$15, $E$9, 100%, $G$9) + CHOOSE(CONTROL!$C$38, 0.0347, 0)</f>
        <v>33.556200000000004</v>
      </c>
      <c r="F422" s="27">
        <f>33.5215 * CHOOSE(CONTROL!$C$15, $E$9, 100%, $G$9) + CHOOSE(CONTROL!$C$38, 0.0256, 0)</f>
        <v>33.5471</v>
      </c>
      <c r="G422" s="10">
        <f>31.0823 * CHOOSE(CONTROL!$C$15, $E$9, 100%, $G$9) + CHOOSE(CONTROL!$C$38, 0.0347, 0)</f>
        <v>31.117000000000001</v>
      </c>
      <c r="H422" s="10">
        <f>31.0823 * CHOOSE(CONTROL!$C$15, $E$9, 100%, $G$9) + CHOOSE(CONTROL!$C$38, 0.0347, 0)</f>
        <v>31.117000000000001</v>
      </c>
      <c r="I422" s="10">
        <f>31.0839 * CHOOSE(CONTROL!$C$15, $E$9, 100%, $G$9) + CHOOSE(CONTROL!$C$38, 0.0347, 0)</f>
        <v>31.118600000000001</v>
      </c>
      <c r="J422" s="26">
        <f>220.8667</f>
        <v>220.86670000000001</v>
      </c>
    </row>
    <row r="423" spans="1:10" ht="15.75" x14ac:dyDescent="0.25">
      <c r="A423" s="14">
        <v>53812</v>
      </c>
      <c r="B423" s="10">
        <f>33.1826 * CHOOSE(CONTROL!$C$15, $E$9, 100%, $G$9) + CHOOSE(CONTROL!$C$38, 0.0256, 0)</f>
        <v>33.208199999999998</v>
      </c>
      <c r="C423" s="10">
        <f>30.5887 * CHOOSE(CONTROL!$C$15, $E$9, 100%, $G$9) + CHOOSE(CONTROL!$C$38, 0.0347, 0)</f>
        <v>30.6234</v>
      </c>
      <c r="D423" s="10">
        <f>30.5809 * CHOOSE(CONTROL!$C$15, $E$9, 100%, $G$9) + CHOOSE(CONTROL!$C$38, 0.0347, 0)</f>
        <v>30.615600000000001</v>
      </c>
      <c r="E423" s="28">
        <f>33.0263 * CHOOSE(CONTROL!$C$15, $E$9, 100%, $G$9) + CHOOSE(CONTROL!$C$38, 0.0347, 0)</f>
        <v>33.061</v>
      </c>
      <c r="F423" s="27">
        <f>33.0263 * CHOOSE(CONTROL!$C$15, $E$9, 100%, $G$9) + CHOOSE(CONTROL!$C$38, 0.0256, 0)</f>
        <v>33.051899999999996</v>
      </c>
      <c r="G423" s="10">
        <f>30.5871 * CHOOSE(CONTROL!$C$15, $E$9, 100%, $G$9) + CHOOSE(CONTROL!$C$38, 0.0347, 0)</f>
        <v>30.6218</v>
      </c>
      <c r="H423" s="10">
        <f>30.5871 * CHOOSE(CONTROL!$C$15, $E$9, 100%, $G$9) + CHOOSE(CONTROL!$C$38, 0.0347, 0)</f>
        <v>30.6218</v>
      </c>
      <c r="I423" s="10">
        <f>30.5887 * CHOOSE(CONTROL!$C$15, $E$9, 100%, $G$9) + CHOOSE(CONTROL!$C$38, 0.0347, 0)</f>
        <v>30.6234</v>
      </c>
      <c r="J423" s="26">
        <f>235.2064</f>
        <v>235.2064</v>
      </c>
    </row>
    <row r="424" spans="1:10" ht="15.75" x14ac:dyDescent="0.25">
      <c r="A424" s="14">
        <v>53843</v>
      </c>
      <c r="B424" s="10">
        <f>32.6664 * CHOOSE(CONTROL!$C$15, $E$9, 100%, $G$9) + CHOOSE(CONTROL!$C$38, 0.0278, 0)</f>
        <v>32.694200000000002</v>
      </c>
      <c r="C424" s="10">
        <f>30.0726 * CHOOSE(CONTROL!$C$15, $E$9, 100%, $G$9) + CHOOSE(CONTROL!$C$38, 0.0369, 0)</f>
        <v>30.109500000000001</v>
      </c>
      <c r="D424" s="10">
        <f>30.0647 * CHOOSE(CONTROL!$C$15, $E$9, 100%, $G$9) + CHOOSE(CONTROL!$C$38, 0.0369, 0)</f>
        <v>30.101599999999998</v>
      </c>
      <c r="E424" s="28">
        <f>32.5102 * CHOOSE(CONTROL!$C$15, $E$9, 100%, $G$9) + CHOOSE(CONTROL!$C$38, 0.0369, 0)</f>
        <v>32.5471</v>
      </c>
      <c r="F424" s="27">
        <f>32.5102 * CHOOSE(CONTROL!$C$15, $E$9, 100%, $G$9) + CHOOSE(CONTROL!$C$38, 0.0278, 0)</f>
        <v>32.537999999999997</v>
      </c>
      <c r="G424" s="10">
        <f>30.071 * CHOOSE(CONTROL!$C$15, $E$9, 100%, $G$9) + CHOOSE(CONTROL!$C$38, 0.0369, 0)</f>
        <v>30.107900000000001</v>
      </c>
      <c r="H424" s="10">
        <f>30.071 * CHOOSE(CONTROL!$C$15, $E$9, 100%, $G$9) + CHOOSE(CONTROL!$C$38, 0.0369, 0)</f>
        <v>30.107900000000001</v>
      </c>
      <c r="I424" s="10">
        <f>30.0726 * CHOOSE(CONTROL!$C$15, $E$9, 100%, $G$9) + CHOOSE(CONTROL!$C$38, 0.0369, 0)</f>
        <v>30.109500000000001</v>
      </c>
      <c r="J424" s="26">
        <f>243.0995</f>
        <v>243.09950000000001</v>
      </c>
    </row>
    <row r="425" spans="1:10" ht="15.75" x14ac:dyDescent="0.25">
      <c r="A425" s="14">
        <v>53873</v>
      </c>
      <c r="B425" s="10">
        <f>32.3046 * CHOOSE(CONTROL!$C$15, $E$9, 100%, $G$9) + CHOOSE(CONTROL!$C$38, 0.0278, 0)</f>
        <v>32.3324</v>
      </c>
      <c r="C425" s="10">
        <f>29.7107 * CHOOSE(CONTROL!$C$15, $E$9, 100%, $G$9) + CHOOSE(CONTROL!$C$38, 0.0369, 0)</f>
        <v>29.747599999999998</v>
      </c>
      <c r="D425" s="10">
        <f>29.7029 * CHOOSE(CONTROL!$C$15, $E$9, 100%, $G$9) + CHOOSE(CONTROL!$C$38, 0.0369, 0)</f>
        <v>29.739799999999999</v>
      </c>
      <c r="E425" s="28">
        <f>32.1484 * CHOOSE(CONTROL!$C$15, $E$9, 100%, $G$9) + CHOOSE(CONTROL!$C$38, 0.0369, 0)</f>
        <v>32.185300000000005</v>
      </c>
      <c r="F425" s="27">
        <f>32.1484 * CHOOSE(CONTROL!$C$15, $E$9, 100%, $G$9) + CHOOSE(CONTROL!$C$38, 0.0278, 0)</f>
        <v>32.176200000000001</v>
      </c>
      <c r="G425" s="10">
        <f>29.7092 * CHOOSE(CONTROL!$C$15, $E$9, 100%, $G$9) + CHOOSE(CONTROL!$C$38, 0.0369, 0)</f>
        <v>29.746099999999998</v>
      </c>
      <c r="H425" s="10">
        <f>29.7092 * CHOOSE(CONTROL!$C$15, $E$9, 100%, $G$9) + CHOOSE(CONTROL!$C$38, 0.0369, 0)</f>
        <v>29.746099999999998</v>
      </c>
      <c r="I425" s="10">
        <f>29.7107 * CHOOSE(CONTROL!$C$15, $E$9, 100%, $G$9) + CHOOSE(CONTROL!$C$38, 0.0369, 0)</f>
        <v>29.747599999999998</v>
      </c>
      <c r="J425" s="26">
        <f>246.6023</f>
        <v>246.60230000000001</v>
      </c>
    </row>
    <row r="426" spans="1:10" ht="15.75" x14ac:dyDescent="0.25">
      <c r="A426" s="14">
        <v>53904</v>
      </c>
      <c r="B426" s="10">
        <f>32.0981 * CHOOSE(CONTROL!$C$15, $E$9, 100%, $G$9) + CHOOSE(CONTROL!$C$38, 0.0278, 0)</f>
        <v>32.125900000000001</v>
      </c>
      <c r="C426" s="10">
        <f>29.5042 * CHOOSE(CONTROL!$C$15, $E$9, 100%, $G$9) + CHOOSE(CONTROL!$C$38, 0.0369, 0)</f>
        <v>29.5411</v>
      </c>
      <c r="D426" s="10">
        <f>29.4964 * CHOOSE(CONTROL!$C$15, $E$9, 100%, $G$9) + CHOOSE(CONTROL!$C$38, 0.0369, 0)</f>
        <v>29.533300000000001</v>
      </c>
      <c r="E426" s="28">
        <f>31.9419 * CHOOSE(CONTROL!$C$15, $E$9, 100%, $G$9) + CHOOSE(CONTROL!$C$38, 0.0369, 0)</f>
        <v>31.9788</v>
      </c>
      <c r="F426" s="27">
        <f>31.9419 * CHOOSE(CONTROL!$C$15, $E$9, 100%, $G$9) + CHOOSE(CONTROL!$C$38, 0.0278, 0)</f>
        <v>31.9697</v>
      </c>
      <c r="G426" s="10">
        <f>29.5027 * CHOOSE(CONTROL!$C$15, $E$9, 100%, $G$9) + CHOOSE(CONTROL!$C$38, 0.0369, 0)</f>
        <v>29.5396</v>
      </c>
      <c r="H426" s="10">
        <f>29.5027 * CHOOSE(CONTROL!$C$15, $E$9, 100%, $G$9) + CHOOSE(CONTROL!$C$38, 0.0369, 0)</f>
        <v>29.5396</v>
      </c>
      <c r="I426" s="10">
        <f>29.5042 * CHOOSE(CONTROL!$C$15, $E$9, 100%, $G$9) + CHOOSE(CONTROL!$C$38, 0.0369, 0)</f>
        <v>29.5411</v>
      </c>
      <c r="J426" s="26">
        <f>245.449</f>
        <v>245.44900000000001</v>
      </c>
    </row>
    <row r="427" spans="1:10" ht="15.75" x14ac:dyDescent="0.25">
      <c r="A427" s="14">
        <v>53935</v>
      </c>
      <c r="B427" s="10">
        <f>32.2 * CHOOSE(CONTROL!$C$15, $E$9, 100%, $G$9) + CHOOSE(CONTROL!$C$38, 0.0278, 0)</f>
        <v>32.227800000000002</v>
      </c>
      <c r="C427" s="10">
        <f>29.6061 * CHOOSE(CONTROL!$C$15, $E$9, 100%, $G$9) + CHOOSE(CONTROL!$C$38, 0.0369, 0)</f>
        <v>29.643000000000001</v>
      </c>
      <c r="D427" s="10">
        <f>29.5983 * CHOOSE(CONTROL!$C$15, $E$9, 100%, $G$9) + CHOOSE(CONTROL!$C$38, 0.0369, 0)</f>
        <v>29.635199999999998</v>
      </c>
      <c r="E427" s="28">
        <f>32.0438 * CHOOSE(CONTROL!$C$15, $E$9, 100%, $G$9) + CHOOSE(CONTROL!$C$38, 0.0369, 0)</f>
        <v>32.0807</v>
      </c>
      <c r="F427" s="27">
        <f>32.0438 * CHOOSE(CONTROL!$C$15, $E$9, 100%, $G$9) + CHOOSE(CONTROL!$C$38, 0.0278, 0)</f>
        <v>32.071599999999997</v>
      </c>
      <c r="G427" s="10">
        <f>29.6046 * CHOOSE(CONTROL!$C$15, $E$9, 100%, $G$9) + CHOOSE(CONTROL!$C$38, 0.0369, 0)</f>
        <v>29.641500000000001</v>
      </c>
      <c r="H427" s="10">
        <f>29.6046 * CHOOSE(CONTROL!$C$15, $E$9, 100%, $G$9) + CHOOSE(CONTROL!$C$38, 0.0369, 0)</f>
        <v>29.641500000000001</v>
      </c>
      <c r="I427" s="10">
        <f>29.6061 * CHOOSE(CONTROL!$C$15, $E$9, 100%, $G$9) + CHOOSE(CONTROL!$C$38, 0.0369, 0)</f>
        <v>29.643000000000001</v>
      </c>
      <c r="J427" s="26">
        <f>239.735</f>
        <v>239.73500000000001</v>
      </c>
    </row>
    <row r="428" spans="1:10" ht="15.75" x14ac:dyDescent="0.25">
      <c r="A428" s="14">
        <v>53965</v>
      </c>
      <c r="B428" s="10">
        <f>32.4768 * CHOOSE(CONTROL!$C$15, $E$9, 100%, $G$9) + CHOOSE(CONTROL!$C$38, 0.0278, 0)</f>
        <v>32.504599999999996</v>
      </c>
      <c r="C428" s="10">
        <f>29.8829 * CHOOSE(CONTROL!$C$15, $E$9, 100%, $G$9) + CHOOSE(CONTROL!$C$38, 0.0369, 0)</f>
        <v>29.919799999999999</v>
      </c>
      <c r="D428" s="10">
        <f>29.8751 * CHOOSE(CONTROL!$C$15, $E$9, 100%, $G$9) + CHOOSE(CONTROL!$C$38, 0.0369, 0)</f>
        <v>29.911999999999999</v>
      </c>
      <c r="E428" s="28">
        <f>32.3206 * CHOOSE(CONTROL!$C$15, $E$9, 100%, $G$9) + CHOOSE(CONTROL!$C$38, 0.0369, 0)</f>
        <v>32.357500000000002</v>
      </c>
      <c r="F428" s="27">
        <f>32.3206 * CHOOSE(CONTROL!$C$15, $E$9, 100%, $G$9) + CHOOSE(CONTROL!$C$38, 0.0278, 0)</f>
        <v>32.348399999999998</v>
      </c>
      <c r="G428" s="10">
        <f>29.8814 * CHOOSE(CONTROL!$C$15, $E$9, 100%, $G$9) + CHOOSE(CONTROL!$C$38, 0.0369, 0)</f>
        <v>29.918299999999999</v>
      </c>
      <c r="H428" s="10">
        <f>29.8814 * CHOOSE(CONTROL!$C$15, $E$9, 100%, $G$9) + CHOOSE(CONTROL!$C$38, 0.0369, 0)</f>
        <v>29.918299999999999</v>
      </c>
      <c r="I428" s="10">
        <f>29.8829 * CHOOSE(CONTROL!$C$15, $E$9, 100%, $G$9) + CHOOSE(CONTROL!$C$38, 0.0369, 0)</f>
        <v>29.919799999999999</v>
      </c>
      <c r="J428" s="26">
        <f>231.7667</f>
        <v>231.76669999999999</v>
      </c>
    </row>
    <row r="429" spans="1:10" ht="15.75" x14ac:dyDescent="0.25">
      <c r="A429" s="14">
        <v>53996</v>
      </c>
      <c r="B429" s="10">
        <f>32.7086 * CHOOSE(CONTROL!$C$15, $E$9, 100%, $G$9) + CHOOSE(CONTROL!$C$38, 0.0256, 0)</f>
        <v>32.734199999999994</v>
      </c>
      <c r="C429" s="10">
        <f>30.1148 * CHOOSE(CONTROL!$C$15, $E$9, 100%, $G$9) + CHOOSE(CONTROL!$C$38, 0.0347, 0)</f>
        <v>30.1495</v>
      </c>
      <c r="D429" s="10">
        <f>30.107 * CHOOSE(CONTROL!$C$15, $E$9, 100%, $G$9) + CHOOSE(CONTROL!$C$38, 0.0347, 0)</f>
        <v>30.1417</v>
      </c>
      <c r="E429" s="28">
        <f>32.5524 * CHOOSE(CONTROL!$C$15, $E$9, 100%, $G$9) + CHOOSE(CONTROL!$C$38, 0.0347, 0)</f>
        <v>32.5871</v>
      </c>
      <c r="F429" s="27">
        <f>32.5524 * CHOOSE(CONTROL!$C$15, $E$9, 100%, $G$9) + CHOOSE(CONTROL!$C$38, 0.0256, 0)</f>
        <v>32.577999999999996</v>
      </c>
      <c r="G429" s="10">
        <f>30.1132 * CHOOSE(CONTROL!$C$15, $E$9, 100%, $G$9) + CHOOSE(CONTROL!$C$38, 0.0347, 0)</f>
        <v>30.1479</v>
      </c>
      <c r="H429" s="10">
        <f>30.1132 * CHOOSE(CONTROL!$C$15, $E$9, 100%, $G$9) + CHOOSE(CONTROL!$C$38, 0.0347, 0)</f>
        <v>30.1479</v>
      </c>
      <c r="I429" s="10">
        <f>30.1148 * CHOOSE(CONTROL!$C$15, $E$9, 100%, $G$9) + CHOOSE(CONTROL!$C$38, 0.0347, 0)</f>
        <v>30.1495</v>
      </c>
      <c r="J429" s="26">
        <f>223.7519</f>
        <v>223.75190000000001</v>
      </c>
    </row>
    <row r="430" spans="1:10" ht="15.75" x14ac:dyDescent="0.25">
      <c r="A430" s="14">
        <v>54026</v>
      </c>
      <c r="B430" s="10">
        <f>32.9021 * CHOOSE(CONTROL!$C$15, $E$9, 100%, $G$9) + CHOOSE(CONTROL!$C$38, 0.0256, 0)</f>
        <v>32.927699999999994</v>
      </c>
      <c r="C430" s="10">
        <f>30.3082 * CHOOSE(CONTROL!$C$15, $E$9, 100%, $G$9) + CHOOSE(CONTROL!$C$38, 0.0347, 0)</f>
        <v>30.3429</v>
      </c>
      <c r="D430" s="10">
        <f>30.3004 * CHOOSE(CONTROL!$C$15, $E$9, 100%, $G$9) + CHOOSE(CONTROL!$C$38, 0.0347, 0)</f>
        <v>30.335100000000001</v>
      </c>
      <c r="E430" s="28">
        <f>32.7458 * CHOOSE(CONTROL!$C$15, $E$9, 100%, $G$9) + CHOOSE(CONTROL!$C$38, 0.0347, 0)</f>
        <v>32.780500000000004</v>
      </c>
      <c r="F430" s="27">
        <f>32.7458 * CHOOSE(CONTROL!$C$15, $E$9, 100%, $G$9) + CHOOSE(CONTROL!$C$38, 0.0256, 0)</f>
        <v>32.7714</v>
      </c>
      <c r="G430" s="10">
        <f>30.3066 * CHOOSE(CONTROL!$C$15, $E$9, 100%, $G$9) + CHOOSE(CONTROL!$C$38, 0.0347, 0)</f>
        <v>30.3413</v>
      </c>
      <c r="H430" s="10">
        <f>30.3066 * CHOOSE(CONTROL!$C$15, $E$9, 100%, $G$9) + CHOOSE(CONTROL!$C$38, 0.0347, 0)</f>
        <v>30.3413</v>
      </c>
      <c r="I430" s="10">
        <f>30.3082 * CHOOSE(CONTROL!$C$15, $E$9, 100%, $G$9) + CHOOSE(CONTROL!$C$38, 0.0347, 0)</f>
        <v>30.3429</v>
      </c>
      <c r="J430" s="26">
        <f>222.1576</f>
        <v>222.1576</v>
      </c>
    </row>
    <row r="431" spans="1:10" ht="15.75" x14ac:dyDescent="0.25">
      <c r="A431" s="14">
        <v>54057</v>
      </c>
      <c r="B431" s="10">
        <f>33.4982 * CHOOSE(CONTROL!$C$15, $E$9, 100%, $G$9) + CHOOSE(CONTROL!$C$38, 0.0256, 0)</f>
        <v>33.523799999999994</v>
      </c>
      <c r="C431" s="10">
        <f>30.9043 * CHOOSE(CONTROL!$C$15, $E$9, 100%, $G$9) + CHOOSE(CONTROL!$C$38, 0.0347, 0)</f>
        <v>30.939</v>
      </c>
      <c r="D431" s="10">
        <f>30.8965 * CHOOSE(CONTROL!$C$15, $E$9, 100%, $G$9) + CHOOSE(CONTROL!$C$38, 0.0347, 0)</f>
        <v>30.9312</v>
      </c>
      <c r="E431" s="28">
        <f>33.3419 * CHOOSE(CONTROL!$C$15, $E$9, 100%, $G$9) + CHOOSE(CONTROL!$C$38, 0.0347, 0)</f>
        <v>33.376600000000003</v>
      </c>
      <c r="F431" s="27">
        <f>33.3419 * CHOOSE(CONTROL!$C$15, $E$9, 100%, $G$9) + CHOOSE(CONTROL!$C$38, 0.0256, 0)</f>
        <v>33.3675</v>
      </c>
      <c r="G431" s="10">
        <f>30.9027 * CHOOSE(CONTROL!$C$15, $E$9, 100%, $G$9) + CHOOSE(CONTROL!$C$38, 0.0347, 0)</f>
        <v>30.9374</v>
      </c>
      <c r="H431" s="10">
        <f>30.9027 * CHOOSE(CONTROL!$C$15, $E$9, 100%, $G$9) + CHOOSE(CONTROL!$C$38, 0.0347, 0)</f>
        <v>30.9374</v>
      </c>
      <c r="I431" s="10">
        <f>30.9043 * CHOOSE(CONTROL!$C$15, $E$9, 100%, $G$9) + CHOOSE(CONTROL!$C$38, 0.0347, 0)</f>
        <v>30.939</v>
      </c>
      <c r="J431" s="26">
        <f>215.5651</f>
        <v>215.5651</v>
      </c>
    </row>
    <row r="432" spans="1:10" ht="15.75" x14ac:dyDescent="0.25">
      <c r="A432" s="14">
        <v>54088</v>
      </c>
      <c r="B432" s="10">
        <f>34.4988 * CHOOSE(CONTROL!$C$15, $E$9, 100%, $G$9) + CHOOSE(CONTROL!$C$38, 0.0256, 0)</f>
        <v>34.5244</v>
      </c>
      <c r="C432" s="10">
        <f>31.8649 * CHOOSE(CONTROL!$C$15, $E$9, 100%, $G$9) + CHOOSE(CONTROL!$C$38, 0.0347, 0)</f>
        <v>31.8996</v>
      </c>
      <c r="D432" s="10">
        <f>31.8571 * CHOOSE(CONTROL!$C$15, $E$9, 100%, $G$9) + CHOOSE(CONTROL!$C$38, 0.0347, 0)</f>
        <v>31.8918</v>
      </c>
      <c r="E432" s="28">
        <f>34.3425 * CHOOSE(CONTROL!$C$15, $E$9, 100%, $G$9) + CHOOSE(CONTROL!$C$38, 0.0347, 0)</f>
        <v>34.377200000000002</v>
      </c>
      <c r="F432" s="27">
        <f>34.3425 * CHOOSE(CONTROL!$C$15, $E$9, 100%, $G$9) + CHOOSE(CONTROL!$C$38, 0.0256, 0)</f>
        <v>34.368099999999998</v>
      </c>
      <c r="G432" s="10">
        <f>31.8633 * CHOOSE(CONTROL!$C$15, $E$9, 100%, $G$9) + CHOOSE(CONTROL!$C$38, 0.0347, 0)</f>
        <v>31.898</v>
      </c>
      <c r="H432" s="10">
        <f>31.8633 * CHOOSE(CONTROL!$C$15, $E$9, 100%, $G$9) + CHOOSE(CONTROL!$C$38, 0.0347, 0)</f>
        <v>31.898</v>
      </c>
      <c r="I432" s="10">
        <f>31.8649 * CHOOSE(CONTROL!$C$15, $E$9, 100%, $G$9) + CHOOSE(CONTROL!$C$38, 0.0347, 0)</f>
        <v>31.8996</v>
      </c>
      <c r="J432" s="26">
        <f>215.1534</f>
        <v>215.1534</v>
      </c>
    </row>
    <row r="433" spans="1:10" ht="15.75" x14ac:dyDescent="0.25">
      <c r="A433" s="14">
        <v>54116</v>
      </c>
      <c r="B433" s="10">
        <f>34.7195 * CHOOSE(CONTROL!$C$15, $E$9, 100%, $G$9) + CHOOSE(CONTROL!$C$38, 0.0256, 0)</f>
        <v>34.745099999999994</v>
      </c>
      <c r="C433" s="10">
        <f>32.0857 * CHOOSE(CONTROL!$C$15, $E$9, 100%, $G$9) + CHOOSE(CONTROL!$C$38, 0.0347, 0)</f>
        <v>32.120400000000004</v>
      </c>
      <c r="D433" s="10">
        <f>32.0779 * CHOOSE(CONTROL!$C$15, $E$9, 100%, $G$9) + CHOOSE(CONTROL!$C$38, 0.0347, 0)</f>
        <v>32.1126</v>
      </c>
      <c r="E433" s="28">
        <f>34.5633 * CHOOSE(CONTROL!$C$15, $E$9, 100%, $G$9) + CHOOSE(CONTROL!$C$38, 0.0347, 0)</f>
        <v>34.597999999999999</v>
      </c>
      <c r="F433" s="27">
        <f>34.5633 * CHOOSE(CONTROL!$C$15, $E$9, 100%, $G$9) + CHOOSE(CONTROL!$C$38, 0.0256, 0)</f>
        <v>34.588899999999995</v>
      </c>
      <c r="G433" s="10">
        <f>32.0841 * CHOOSE(CONTROL!$C$15, $E$9, 100%, $G$9) + CHOOSE(CONTROL!$C$38, 0.0347, 0)</f>
        <v>32.1188</v>
      </c>
      <c r="H433" s="10">
        <f>32.0841 * CHOOSE(CONTROL!$C$15, $E$9, 100%, $G$9) + CHOOSE(CONTROL!$C$38, 0.0347, 0)</f>
        <v>32.1188</v>
      </c>
      <c r="I433" s="10">
        <f>32.0857 * CHOOSE(CONTROL!$C$15, $E$9, 100%, $G$9) + CHOOSE(CONTROL!$C$38, 0.0347, 0)</f>
        <v>32.120400000000004</v>
      </c>
      <c r="J433" s="26">
        <f>214.5554</f>
        <v>214.55539999999999</v>
      </c>
    </row>
    <row r="434" spans="1:10" ht="15.75" x14ac:dyDescent="0.25">
      <c r="A434" s="14">
        <v>54148</v>
      </c>
      <c r="B434" s="10">
        <f>34.2085 * CHOOSE(CONTROL!$C$15, $E$9, 100%, $G$9) + CHOOSE(CONTROL!$C$38, 0.0256, 0)</f>
        <v>34.234099999999998</v>
      </c>
      <c r="C434" s="10">
        <f>31.5746 * CHOOSE(CONTROL!$C$15, $E$9, 100%, $G$9) + CHOOSE(CONTROL!$C$38, 0.0347, 0)</f>
        <v>31.609300000000001</v>
      </c>
      <c r="D434" s="10">
        <f>31.5668 * CHOOSE(CONTROL!$C$15, $E$9, 100%, $G$9) + CHOOSE(CONTROL!$C$38, 0.0347, 0)</f>
        <v>31.601500000000001</v>
      </c>
      <c r="E434" s="28">
        <f>34.0522 * CHOOSE(CONTROL!$C$15, $E$9, 100%, $G$9) + CHOOSE(CONTROL!$C$38, 0.0347, 0)</f>
        <v>34.0869</v>
      </c>
      <c r="F434" s="27">
        <f>34.0522 * CHOOSE(CONTROL!$C$15, $E$9, 100%, $G$9) + CHOOSE(CONTROL!$C$38, 0.0256, 0)</f>
        <v>34.077799999999996</v>
      </c>
      <c r="G434" s="10">
        <f>31.5731 * CHOOSE(CONTROL!$C$15, $E$9, 100%, $G$9) + CHOOSE(CONTROL!$C$38, 0.0347, 0)</f>
        <v>31.607800000000001</v>
      </c>
      <c r="H434" s="10">
        <f>31.5731 * CHOOSE(CONTROL!$C$15, $E$9, 100%, $G$9) + CHOOSE(CONTROL!$C$38, 0.0347, 0)</f>
        <v>31.607800000000001</v>
      </c>
      <c r="I434" s="10">
        <f>31.5746 * CHOOSE(CONTROL!$C$15, $E$9, 100%, $G$9) + CHOOSE(CONTROL!$C$38, 0.0347, 0)</f>
        <v>31.609300000000001</v>
      </c>
      <c r="J434" s="26">
        <f>225.8637</f>
        <v>225.86369999999999</v>
      </c>
    </row>
    <row r="435" spans="1:10" ht="15.75" x14ac:dyDescent="0.25">
      <c r="A435" s="14">
        <v>54178</v>
      </c>
      <c r="B435" s="10">
        <f>33.7133 * CHOOSE(CONTROL!$C$15, $E$9, 100%, $G$9) + CHOOSE(CONTROL!$C$38, 0.0256, 0)</f>
        <v>33.738899999999994</v>
      </c>
      <c r="C435" s="10">
        <f>31.0795 * CHOOSE(CONTROL!$C$15, $E$9, 100%, $G$9) + CHOOSE(CONTROL!$C$38, 0.0347, 0)</f>
        <v>31.1142</v>
      </c>
      <c r="D435" s="10">
        <f>31.0716 * CHOOSE(CONTROL!$C$15, $E$9, 100%, $G$9) + CHOOSE(CONTROL!$C$38, 0.0347, 0)</f>
        <v>31.106300000000001</v>
      </c>
      <c r="E435" s="28">
        <f>33.5571 * CHOOSE(CONTROL!$C$15, $E$9, 100%, $G$9) + CHOOSE(CONTROL!$C$38, 0.0347, 0)</f>
        <v>33.591799999999999</v>
      </c>
      <c r="F435" s="27">
        <f>33.5571 * CHOOSE(CONTROL!$C$15, $E$9, 100%, $G$9) + CHOOSE(CONTROL!$C$38, 0.0256, 0)</f>
        <v>33.582699999999996</v>
      </c>
      <c r="G435" s="10">
        <f>31.0779 * CHOOSE(CONTROL!$C$15, $E$9, 100%, $G$9) + CHOOSE(CONTROL!$C$38, 0.0347, 0)</f>
        <v>31.1126</v>
      </c>
      <c r="H435" s="10">
        <f>31.0779 * CHOOSE(CONTROL!$C$15, $E$9, 100%, $G$9) + CHOOSE(CONTROL!$C$38, 0.0347, 0)</f>
        <v>31.1126</v>
      </c>
      <c r="I435" s="10">
        <f>31.0795 * CHOOSE(CONTROL!$C$15, $E$9, 100%, $G$9) + CHOOSE(CONTROL!$C$38, 0.0347, 0)</f>
        <v>31.1142</v>
      </c>
      <c r="J435" s="26">
        <f>240.5278</f>
        <v>240.52780000000001</v>
      </c>
    </row>
    <row r="436" spans="1:10" ht="15.75" x14ac:dyDescent="0.25">
      <c r="A436" s="14">
        <v>54209</v>
      </c>
      <c r="B436" s="10">
        <f>33.1972 * CHOOSE(CONTROL!$C$15, $E$9, 100%, $G$9) + CHOOSE(CONTROL!$C$38, 0.0278, 0)</f>
        <v>33.225000000000001</v>
      </c>
      <c r="C436" s="10">
        <f>30.5633 * CHOOSE(CONTROL!$C$15, $E$9, 100%, $G$9) + CHOOSE(CONTROL!$C$38, 0.0369, 0)</f>
        <v>30.600200000000001</v>
      </c>
      <c r="D436" s="10">
        <f>30.5555 * CHOOSE(CONTROL!$C$15, $E$9, 100%, $G$9) + CHOOSE(CONTROL!$C$38, 0.0369, 0)</f>
        <v>30.592399999999998</v>
      </c>
      <c r="E436" s="28">
        <f>33.0409 * CHOOSE(CONTROL!$C$15, $E$9, 100%, $G$9) + CHOOSE(CONTROL!$C$38, 0.0369, 0)</f>
        <v>33.077800000000003</v>
      </c>
      <c r="F436" s="27">
        <f>33.0409 * CHOOSE(CONTROL!$C$15, $E$9, 100%, $G$9) + CHOOSE(CONTROL!$C$38, 0.0278, 0)</f>
        <v>33.0687</v>
      </c>
      <c r="G436" s="10">
        <f>30.5618 * CHOOSE(CONTROL!$C$15, $E$9, 100%, $G$9) + CHOOSE(CONTROL!$C$38, 0.0369, 0)</f>
        <v>30.598700000000001</v>
      </c>
      <c r="H436" s="10">
        <f>30.5618 * CHOOSE(CONTROL!$C$15, $E$9, 100%, $G$9) + CHOOSE(CONTROL!$C$38, 0.0369, 0)</f>
        <v>30.598700000000001</v>
      </c>
      <c r="I436" s="10">
        <f>30.5633 * CHOOSE(CONTROL!$C$15, $E$9, 100%, $G$9) + CHOOSE(CONTROL!$C$38, 0.0369, 0)</f>
        <v>30.600200000000001</v>
      </c>
      <c r="J436" s="26">
        <f>248.5995</f>
        <v>248.59950000000001</v>
      </c>
    </row>
    <row r="437" spans="1:10" ht="15.75" x14ac:dyDescent="0.25">
      <c r="A437" s="14">
        <v>54239</v>
      </c>
      <c r="B437" s="10">
        <f>32.8354 * CHOOSE(CONTROL!$C$15, $E$9, 100%, $G$9) + CHOOSE(CONTROL!$C$38, 0.0278, 0)</f>
        <v>32.863199999999999</v>
      </c>
      <c r="C437" s="10">
        <f>30.2015 * CHOOSE(CONTROL!$C$15, $E$9, 100%, $G$9) + CHOOSE(CONTROL!$C$38, 0.0369, 0)</f>
        <v>30.238399999999999</v>
      </c>
      <c r="D437" s="10">
        <f>30.1937 * CHOOSE(CONTROL!$C$15, $E$9, 100%, $G$9) + CHOOSE(CONTROL!$C$38, 0.0369, 0)</f>
        <v>30.230599999999999</v>
      </c>
      <c r="E437" s="28">
        <f>32.6791 * CHOOSE(CONTROL!$C$15, $E$9, 100%, $G$9) + CHOOSE(CONTROL!$C$38, 0.0369, 0)</f>
        <v>32.716000000000001</v>
      </c>
      <c r="F437" s="27">
        <f>32.6791 * CHOOSE(CONTROL!$C$15, $E$9, 100%, $G$9) + CHOOSE(CONTROL!$C$38, 0.0278, 0)</f>
        <v>32.706899999999997</v>
      </c>
      <c r="G437" s="10">
        <f>30.1999 * CHOOSE(CONTROL!$C$15, $E$9, 100%, $G$9) + CHOOSE(CONTROL!$C$38, 0.0369, 0)</f>
        <v>30.236799999999999</v>
      </c>
      <c r="H437" s="10">
        <f>30.1999 * CHOOSE(CONTROL!$C$15, $E$9, 100%, $G$9) + CHOOSE(CONTROL!$C$38, 0.0369, 0)</f>
        <v>30.236799999999999</v>
      </c>
      <c r="I437" s="10">
        <f>30.2015 * CHOOSE(CONTROL!$C$15, $E$9, 100%, $G$9) + CHOOSE(CONTROL!$C$38, 0.0369, 0)</f>
        <v>30.238399999999999</v>
      </c>
      <c r="J437" s="26">
        <f>252.1815</f>
        <v>252.1815</v>
      </c>
    </row>
    <row r="438" spans="1:10" ht="15.75" x14ac:dyDescent="0.25">
      <c r="A438" s="14">
        <v>54270</v>
      </c>
      <c r="B438" s="10">
        <f>32.6289 * CHOOSE(CONTROL!$C$15, $E$9, 100%, $G$9) + CHOOSE(CONTROL!$C$38, 0.0278, 0)</f>
        <v>32.656700000000001</v>
      </c>
      <c r="C438" s="10">
        <f>29.995 * CHOOSE(CONTROL!$C$15, $E$9, 100%, $G$9) + CHOOSE(CONTROL!$C$38, 0.0369, 0)</f>
        <v>30.0319</v>
      </c>
      <c r="D438" s="10">
        <f>29.9872 * CHOOSE(CONTROL!$C$15, $E$9, 100%, $G$9) + CHOOSE(CONTROL!$C$38, 0.0369, 0)</f>
        <v>30.024100000000001</v>
      </c>
      <c r="E438" s="28">
        <f>32.4726 * CHOOSE(CONTROL!$C$15, $E$9, 100%, $G$9) + CHOOSE(CONTROL!$C$38, 0.0369, 0)</f>
        <v>32.509500000000003</v>
      </c>
      <c r="F438" s="27">
        <f>32.4726 * CHOOSE(CONTROL!$C$15, $E$9, 100%, $G$9) + CHOOSE(CONTROL!$C$38, 0.0278, 0)</f>
        <v>32.500399999999999</v>
      </c>
      <c r="G438" s="10">
        <f>29.9935 * CHOOSE(CONTROL!$C$15, $E$9, 100%, $G$9) + CHOOSE(CONTROL!$C$38, 0.0369, 0)</f>
        <v>30.0304</v>
      </c>
      <c r="H438" s="10">
        <f>29.9935 * CHOOSE(CONTROL!$C$15, $E$9, 100%, $G$9) + CHOOSE(CONTROL!$C$38, 0.0369, 0)</f>
        <v>30.0304</v>
      </c>
      <c r="I438" s="10">
        <f>29.995 * CHOOSE(CONTROL!$C$15, $E$9, 100%, $G$9) + CHOOSE(CONTROL!$C$38, 0.0369, 0)</f>
        <v>30.0319</v>
      </c>
      <c r="J438" s="26">
        <f>251.0021</f>
        <v>251.00210000000001</v>
      </c>
    </row>
    <row r="439" spans="1:10" ht="15.75" x14ac:dyDescent="0.25">
      <c r="A439" s="14">
        <v>54301</v>
      </c>
      <c r="B439" s="10">
        <f>32.7308 * CHOOSE(CONTROL!$C$15, $E$9, 100%, $G$9) + CHOOSE(CONTROL!$C$38, 0.0278, 0)</f>
        <v>32.758600000000001</v>
      </c>
      <c r="C439" s="10">
        <f>30.0969 * CHOOSE(CONTROL!$C$15, $E$9, 100%, $G$9) + CHOOSE(CONTROL!$C$38, 0.0369, 0)</f>
        <v>30.133800000000001</v>
      </c>
      <c r="D439" s="10">
        <f>30.0891 * CHOOSE(CONTROL!$C$15, $E$9, 100%, $G$9) + CHOOSE(CONTROL!$C$38, 0.0369, 0)</f>
        <v>30.125999999999998</v>
      </c>
      <c r="E439" s="28">
        <f>32.5745 * CHOOSE(CONTROL!$C$15, $E$9, 100%, $G$9) + CHOOSE(CONTROL!$C$38, 0.0369, 0)</f>
        <v>32.611400000000003</v>
      </c>
      <c r="F439" s="27">
        <f>32.5745 * CHOOSE(CONTROL!$C$15, $E$9, 100%, $G$9) + CHOOSE(CONTROL!$C$38, 0.0278, 0)</f>
        <v>32.6023</v>
      </c>
      <c r="G439" s="10">
        <f>30.0954 * CHOOSE(CONTROL!$C$15, $E$9, 100%, $G$9) + CHOOSE(CONTROL!$C$38, 0.0369, 0)</f>
        <v>30.132300000000001</v>
      </c>
      <c r="H439" s="10">
        <f>30.0954 * CHOOSE(CONTROL!$C$15, $E$9, 100%, $G$9) + CHOOSE(CONTROL!$C$38, 0.0369, 0)</f>
        <v>30.132300000000001</v>
      </c>
      <c r="I439" s="10">
        <f>30.0969 * CHOOSE(CONTROL!$C$15, $E$9, 100%, $G$9) + CHOOSE(CONTROL!$C$38, 0.0369, 0)</f>
        <v>30.133800000000001</v>
      </c>
      <c r="J439" s="26">
        <f>245.1589</f>
        <v>245.15889999999999</v>
      </c>
    </row>
    <row r="440" spans="1:10" ht="15.75" x14ac:dyDescent="0.25">
      <c r="A440" s="14">
        <v>54331</v>
      </c>
      <c r="B440" s="10">
        <f>33.0076 * CHOOSE(CONTROL!$C$15, $E$9, 100%, $G$9) + CHOOSE(CONTROL!$C$38, 0.0278, 0)</f>
        <v>33.035399999999996</v>
      </c>
      <c r="C440" s="10">
        <f>30.3737 * CHOOSE(CONTROL!$C$15, $E$9, 100%, $G$9) + CHOOSE(CONTROL!$C$38, 0.0369, 0)</f>
        <v>30.410599999999999</v>
      </c>
      <c r="D440" s="10">
        <f>30.3659 * CHOOSE(CONTROL!$C$15, $E$9, 100%, $G$9) + CHOOSE(CONTROL!$C$38, 0.0369, 0)</f>
        <v>30.402799999999999</v>
      </c>
      <c r="E440" s="28">
        <f>32.8513 * CHOOSE(CONTROL!$C$15, $E$9, 100%, $G$9) + CHOOSE(CONTROL!$C$38, 0.0369, 0)</f>
        <v>32.888200000000005</v>
      </c>
      <c r="F440" s="27">
        <f>32.8513 * CHOOSE(CONTROL!$C$15, $E$9, 100%, $G$9) + CHOOSE(CONTROL!$C$38, 0.0278, 0)</f>
        <v>32.879100000000001</v>
      </c>
      <c r="G440" s="10">
        <f>30.3722 * CHOOSE(CONTROL!$C$15, $E$9, 100%, $G$9) + CHOOSE(CONTROL!$C$38, 0.0369, 0)</f>
        <v>30.409099999999999</v>
      </c>
      <c r="H440" s="10">
        <f>30.3722 * CHOOSE(CONTROL!$C$15, $E$9, 100%, $G$9) + CHOOSE(CONTROL!$C$38, 0.0369, 0)</f>
        <v>30.409099999999999</v>
      </c>
      <c r="I440" s="10">
        <f>30.3737 * CHOOSE(CONTROL!$C$15, $E$9, 100%, $G$9) + CHOOSE(CONTROL!$C$38, 0.0369, 0)</f>
        <v>30.410599999999999</v>
      </c>
      <c r="J440" s="26">
        <f>237.0103</f>
        <v>237.0103</v>
      </c>
    </row>
    <row r="441" spans="1:10" ht="15.75" x14ac:dyDescent="0.25">
      <c r="A441" s="14">
        <v>54362</v>
      </c>
      <c r="B441" s="10">
        <f>33.2394 * CHOOSE(CONTROL!$C$15, $E$9, 100%, $G$9) + CHOOSE(CONTROL!$C$38, 0.0256, 0)</f>
        <v>33.265000000000001</v>
      </c>
      <c r="C441" s="10">
        <f>30.6055 * CHOOSE(CONTROL!$C$15, $E$9, 100%, $G$9) + CHOOSE(CONTROL!$C$38, 0.0347, 0)</f>
        <v>30.6402</v>
      </c>
      <c r="D441" s="10">
        <f>30.5977 * CHOOSE(CONTROL!$C$15, $E$9, 100%, $G$9) + CHOOSE(CONTROL!$C$38, 0.0347, 0)</f>
        <v>30.632400000000001</v>
      </c>
      <c r="E441" s="28">
        <f>33.0831 * CHOOSE(CONTROL!$C$15, $E$9, 100%, $G$9) + CHOOSE(CONTROL!$C$38, 0.0347, 0)</f>
        <v>33.117800000000003</v>
      </c>
      <c r="F441" s="27">
        <f>33.0831 * CHOOSE(CONTROL!$C$15, $E$9, 100%, $G$9) + CHOOSE(CONTROL!$C$38, 0.0256, 0)</f>
        <v>33.108699999999999</v>
      </c>
      <c r="G441" s="10">
        <f>30.604 * CHOOSE(CONTROL!$C$15, $E$9, 100%, $G$9) + CHOOSE(CONTROL!$C$38, 0.0347, 0)</f>
        <v>30.6387</v>
      </c>
      <c r="H441" s="10">
        <f>30.604 * CHOOSE(CONTROL!$C$15, $E$9, 100%, $G$9) + CHOOSE(CONTROL!$C$38, 0.0347, 0)</f>
        <v>30.6387</v>
      </c>
      <c r="I441" s="10">
        <f>30.6055 * CHOOSE(CONTROL!$C$15, $E$9, 100%, $G$9) + CHOOSE(CONTROL!$C$38, 0.0347, 0)</f>
        <v>30.6402</v>
      </c>
      <c r="J441" s="26">
        <f>228.8142</f>
        <v>228.8142</v>
      </c>
    </row>
    <row r="442" spans="1:10" ht="15.75" x14ac:dyDescent="0.25">
      <c r="A442" s="14">
        <v>54392</v>
      </c>
      <c r="B442" s="10">
        <f>33.4328 * CHOOSE(CONTROL!$C$15, $E$9, 100%, $G$9) + CHOOSE(CONTROL!$C$38, 0.0256, 0)</f>
        <v>33.458399999999997</v>
      </c>
      <c r="C442" s="10">
        <f>30.799 * CHOOSE(CONTROL!$C$15, $E$9, 100%, $G$9) + CHOOSE(CONTROL!$C$38, 0.0347, 0)</f>
        <v>30.8337</v>
      </c>
      <c r="D442" s="10">
        <f>30.7912 * CHOOSE(CONTROL!$C$15, $E$9, 100%, $G$9) + CHOOSE(CONTROL!$C$38, 0.0347, 0)</f>
        <v>30.825900000000001</v>
      </c>
      <c r="E442" s="28">
        <f>33.2766 * CHOOSE(CONTROL!$C$15, $E$9, 100%, $G$9) + CHOOSE(CONTROL!$C$38, 0.0347, 0)</f>
        <v>33.311300000000003</v>
      </c>
      <c r="F442" s="27">
        <f>33.2766 * CHOOSE(CONTROL!$C$15, $E$9, 100%, $G$9) + CHOOSE(CONTROL!$C$38, 0.0256, 0)</f>
        <v>33.302199999999999</v>
      </c>
      <c r="G442" s="10">
        <f>30.7974 * CHOOSE(CONTROL!$C$15, $E$9, 100%, $G$9) + CHOOSE(CONTROL!$C$38, 0.0347, 0)</f>
        <v>30.832100000000001</v>
      </c>
      <c r="H442" s="10">
        <f>30.7974 * CHOOSE(CONTROL!$C$15, $E$9, 100%, $G$9) + CHOOSE(CONTROL!$C$38, 0.0347, 0)</f>
        <v>30.832100000000001</v>
      </c>
      <c r="I442" s="10">
        <f>30.799 * CHOOSE(CONTROL!$C$15, $E$9, 100%, $G$9) + CHOOSE(CONTROL!$C$38, 0.0347, 0)</f>
        <v>30.8337</v>
      </c>
      <c r="J442" s="26">
        <f>227.1838</f>
        <v>227.18379999999999</v>
      </c>
    </row>
    <row r="443" spans="1:10" ht="15.75" x14ac:dyDescent="0.25">
      <c r="A443" s="14">
        <v>54423</v>
      </c>
      <c r="B443" s="10">
        <f>34.0289 * CHOOSE(CONTROL!$C$15, $E$9, 100%, $G$9) + CHOOSE(CONTROL!$C$38, 0.0256, 0)</f>
        <v>34.054499999999997</v>
      </c>
      <c r="C443" s="10">
        <f>31.3951 * CHOOSE(CONTROL!$C$15, $E$9, 100%, $G$9) + CHOOSE(CONTROL!$C$38, 0.0347, 0)</f>
        <v>31.4298</v>
      </c>
      <c r="D443" s="10">
        <f>31.3872 * CHOOSE(CONTROL!$C$15, $E$9, 100%, $G$9) + CHOOSE(CONTROL!$C$38, 0.0347, 0)</f>
        <v>31.421900000000001</v>
      </c>
      <c r="E443" s="28">
        <f>33.8727 * CHOOSE(CONTROL!$C$15, $E$9, 100%, $G$9) + CHOOSE(CONTROL!$C$38, 0.0347, 0)</f>
        <v>33.907400000000003</v>
      </c>
      <c r="F443" s="27">
        <f>33.8727 * CHOOSE(CONTROL!$C$15, $E$9, 100%, $G$9) + CHOOSE(CONTROL!$C$38, 0.0256, 0)</f>
        <v>33.898299999999999</v>
      </c>
      <c r="G443" s="10">
        <f>31.3935 * CHOOSE(CONTROL!$C$15, $E$9, 100%, $G$9) + CHOOSE(CONTROL!$C$38, 0.0347, 0)</f>
        <v>31.4282</v>
      </c>
      <c r="H443" s="10">
        <f>31.3935 * CHOOSE(CONTROL!$C$15, $E$9, 100%, $G$9) + CHOOSE(CONTROL!$C$38, 0.0347, 0)</f>
        <v>31.4282</v>
      </c>
      <c r="I443" s="10">
        <f>31.3951 * CHOOSE(CONTROL!$C$15, $E$9, 100%, $G$9) + CHOOSE(CONTROL!$C$38, 0.0347, 0)</f>
        <v>31.4298</v>
      </c>
      <c r="J443" s="26">
        <f>220.4421</f>
        <v>220.44210000000001</v>
      </c>
    </row>
    <row r="444" spans="1:10" ht="15.75" x14ac:dyDescent="0.25">
      <c r="A444" s="14">
        <v>54454</v>
      </c>
      <c r="B444" s="10">
        <f>35.0382 * CHOOSE(CONTROL!$C$15, $E$9, 100%, $G$9) + CHOOSE(CONTROL!$C$38, 0.0256, 0)</f>
        <v>35.063800000000001</v>
      </c>
      <c r="C444" s="10">
        <f>32.3637 * CHOOSE(CONTROL!$C$15, $E$9, 100%, $G$9) + CHOOSE(CONTROL!$C$38, 0.0347, 0)</f>
        <v>32.398400000000002</v>
      </c>
      <c r="D444" s="10">
        <f>32.3559 * CHOOSE(CONTROL!$C$15, $E$9, 100%, $G$9) + CHOOSE(CONTROL!$C$38, 0.0347, 0)</f>
        <v>32.390599999999999</v>
      </c>
      <c r="E444" s="28">
        <f>34.882 * CHOOSE(CONTROL!$C$15, $E$9, 100%, $G$9) + CHOOSE(CONTROL!$C$38, 0.0347, 0)</f>
        <v>34.916699999999999</v>
      </c>
      <c r="F444" s="27">
        <f>34.882 * CHOOSE(CONTROL!$C$15, $E$9, 100%, $G$9) + CHOOSE(CONTROL!$C$38, 0.0256, 0)</f>
        <v>34.907599999999995</v>
      </c>
      <c r="G444" s="10">
        <f>32.3622 * CHOOSE(CONTROL!$C$15, $E$9, 100%, $G$9) + CHOOSE(CONTROL!$C$38, 0.0347, 0)</f>
        <v>32.396900000000002</v>
      </c>
      <c r="H444" s="10">
        <f>32.3622 * CHOOSE(CONTROL!$C$15, $E$9, 100%, $G$9) + CHOOSE(CONTROL!$C$38, 0.0347, 0)</f>
        <v>32.396900000000002</v>
      </c>
      <c r="I444" s="10">
        <f>32.3637 * CHOOSE(CONTROL!$C$15, $E$9, 100%, $G$9) + CHOOSE(CONTROL!$C$38, 0.0347, 0)</f>
        <v>32.398400000000002</v>
      </c>
      <c r="J444" s="26">
        <f>220.0211</f>
        <v>220.02109999999999</v>
      </c>
    </row>
    <row r="445" spans="1:10" ht="15.75" x14ac:dyDescent="0.25">
      <c r="A445" s="14">
        <v>54482</v>
      </c>
      <c r="B445" s="10">
        <f>35.259 * CHOOSE(CONTROL!$C$15, $E$9, 100%, $G$9) + CHOOSE(CONTROL!$C$38, 0.0256, 0)</f>
        <v>35.284599999999998</v>
      </c>
      <c r="C445" s="10">
        <f>32.5845 * CHOOSE(CONTROL!$C$15, $E$9, 100%, $G$9) + CHOOSE(CONTROL!$C$38, 0.0347, 0)</f>
        <v>32.619199999999999</v>
      </c>
      <c r="D445" s="10">
        <f>32.5767 * CHOOSE(CONTROL!$C$15, $E$9, 100%, $G$9) + CHOOSE(CONTROL!$C$38, 0.0347, 0)</f>
        <v>32.611400000000003</v>
      </c>
      <c r="E445" s="28">
        <f>35.1027 * CHOOSE(CONTROL!$C$15, $E$9, 100%, $G$9) + CHOOSE(CONTROL!$C$38, 0.0347, 0)</f>
        <v>35.1374</v>
      </c>
      <c r="F445" s="27">
        <f>35.1027 * CHOOSE(CONTROL!$C$15, $E$9, 100%, $G$9) + CHOOSE(CONTROL!$C$38, 0.0256, 0)</f>
        <v>35.128299999999996</v>
      </c>
      <c r="G445" s="10">
        <f>32.5829 * CHOOSE(CONTROL!$C$15, $E$9, 100%, $G$9) + CHOOSE(CONTROL!$C$38, 0.0347, 0)</f>
        <v>32.617600000000003</v>
      </c>
      <c r="H445" s="10">
        <f>32.5829 * CHOOSE(CONTROL!$C$15, $E$9, 100%, $G$9) + CHOOSE(CONTROL!$C$38, 0.0347, 0)</f>
        <v>32.617600000000003</v>
      </c>
      <c r="I445" s="10">
        <f>32.5845 * CHOOSE(CONTROL!$C$15, $E$9, 100%, $G$9) + CHOOSE(CONTROL!$C$38, 0.0347, 0)</f>
        <v>32.619199999999999</v>
      </c>
      <c r="J445" s="26">
        <f>219.4096</f>
        <v>219.40960000000001</v>
      </c>
    </row>
    <row r="446" spans="1:10" ht="15.75" x14ac:dyDescent="0.25">
      <c r="A446" s="14">
        <v>54513</v>
      </c>
      <c r="B446" s="10">
        <f>34.7479 * CHOOSE(CONTROL!$C$15, $E$9, 100%, $G$9) + CHOOSE(CONTROL!$C$38, 0.0256, 0)</f>
        <v>34.773499999999999</v>
      </c>
      <c r="C446" s="10">
        <f>32.0735 * CHOOSE(CONTROL!$C$15, $E$9, 100%, $G$9) + CHOOSE(CONTROL!$C$38, 0.0347, 0)</f>
        <v>32.108200000000004</v>
      </c>
      <c r="D446" s="10">
        <f>32.0657 * CHOOSE(CONTROL!$C$15, $E$9, 100%, $G$9) + CHOOSE(CONTROL!$C$38, 0.0347, 0)</f>
        <v>32.1004</v>
      </c>
      <c r="E446" s="28">
        <f>34.5917 * CHOOSE(CONTROL!$C$15, $E$9, 100%, $G$9) + CHOOSE(CONTROL!$C$38, 0.0347, 0)</f>
        <v>34.626400000000004</v>
      </c>
      <c r="F446" s="27">
        <f>34.5917 * CHOOSE(CONTROL!$C$15, $E$9, 100%, $G$9) + CHOOSE(CONTROL!$C$38, 0.0256, 0)</f>
        <v>34.6173</v>
      </c>
      <c r="G446" s="10">
        <f>32.0719 * CHOOSE(CONTROL!$C$15, $E$9, 100%, $G$9) + CHOOSE(CONTROL!$C$38, 0.0347, 0)</f>
        <v>32.1066</v>
      </c>
      <c r="H446" s="10">
        <f>32.0719 * CHOOSE(CONTROL!$C$15, $E$9, 100%, $G$9) + CHOOSE(CONTROL!$C$38, 0.0347, 0)</f>
        <v>32.1066</v>
      </c>
      <c r="I446" s="10">
        <f>32.0735 * CHOOSE(CONTROL!$C$15, $E$9, 100%, $G$9) + CHOOSE(CONTROL!$C$38, 0.0347, 0)</f>
        <v>32.108200000000004</v>
      </c>
      <c r="J446" s="26">
        <f>230.9737</f>
        <v>230.97370000000001</v>
      </c>
    </row>
    <row r="447" spans="1:10" ht="15.75" x14ac:dyDescent="0.25">
      <c r="A447" s="14">
        <v>54543</v>
      </c>
      <c r="B447" s="10">
        <f>34.2528 * CHOOSE(CONTROL!$C$15, $E$9, 100%, $G$9) + CHOOSE(CONTROL!$C$38, 0.0256, 0)</f>
        <v>34.278399999999998</v>
      </c>
      <c r="C447" s="10">
        <f>31.5783 * CHOOSE(CONTROL!$C$15, $E$9, 100%, $G$9) + CHOOSE(CONTROL!$C$38, 0.0347, 0)</f>
        <v>31.613</v>
      </c>
      <c r="D447" s="10">
        <f>31.5705 * CHOOSE(CONTROL!$C$15, $E$9, 100%, $G$9) + CHOOSE(CONTROL!$C$38, 0.0347, 0)</f>
        <v>31.6052</v>
      </c>
      <c r="E447" s="28">
        <f>34.0965 * CHOOSE(CONTROL!$C$15, $E$9, 100%, $G$9) + CHOOSE(CONTROL!$C$38, 0.0347, 0)</f>
        <v>34.1312</v>
      </c>
      <c r="F447" s="27">
        <f>34.0965 * CHOOSE(CONTROL!$C$15, $E$9, 100%, $G$9) + CHOOSE(CONTROL!$C$38, 0.0256, 0)</f>
        <v>34.122099999999996</v>
      </c>
      <c r="G447" s="10">
        <f>31.5767 * CHOOSE(CONTROL!$C$15, $E$9, 100%, $G$9) + CHOOSE(CONTROL!$C$38, 0.0347, 0)</f>
        <v>31.6114</v>
      </c>
      <c r="H447" s="10">
        <f>31.5767 * CHOOSE(CONTROL!$C$15, $E$9, 100%, $G$9) + CHOOSE(CONTROL!$C$38, 0.0347, 0)</f>
        <v>31.6114</v>
      </c>
      <c r="I447" s="10">
        <f>31.5783 * CHOOSE(CONTROL!$C$15, $E$9, 100%, $G$9) + CHOOSE(CONTROL!$C$38, 0.0347, 0)</f>
        <v>31.613</v>
      </c>
      <c r="J447" s="26">
        <f>245.9697</f>
        <v>245.96969999999999</v>
      </c>
    </row>
    <row r="448" spans="1:10" ht="15.75" x14ac:dyDescent="0.25">
      <c r="A448" s="14">
        <v>54574</v>
      </c>
      <c r="B448" s="10">
        <f>33.7366 * CHOOSE(CONTROL!$C$15, $E$9, 100%, $G$9) + CHOOSE(CONTROL!$C$38, 0.0278, 0)</f>
        <v>33.764400000000002</v>
      </c>
      <c r="C448" s="10">
        <f>31.0622 * CHOOSE(CONTROL!$C$15, $E$9, 100%, $G$9) + CHOOSE(CONTROL!$C$38, 0.0369, 0)</f>
        <v>31.0991</v>
      </c>
      <c r="D448" s="10">
        <f>31.0544 * CHOOSE(CONTROL!$C$15, $E$9, 100%, $G$9) + CHOOSE(CONTROL!$C$38, 0.0369, 0)</f>
        <v>31.0913</v>
      </c>
      <c r="E448" s="28">
        <f>33.5804 * CHOOSE(CONTROL!$C$15, $E$9, 100%, $G$9) + CHOOSE(CONTROL!$C$38, 0.0369, 0)</f>
        <v>33.6173</v>
      </c>
      <c r="F448" s="27">
        <f>33.5804 * CHOOSE(CONTROL!$C$15, $E$9, 100%, $G$9) + CHOOSE(CONTROL!$C$38, 0.0278, 0)</f>
        <v>33.608199999999997</v>
      </c>
      <c r="G448" s="10">
        <f>31.0606 * CHOOSE(CONTROL!$C$15, $E$9, 100%, $G$9) + CHOOSE(CONTROL!$C$38, 0.0369, 0)</f>
        <v>31.0975</v>
      </c>
      <c r="H448" s="10">
        <f>31.0606 * CHOOSE(CONTROL!$C$15, $E$9, 100%, $G$9) + CHOOSE(CONTROL!$C$38, 0.0369, 0)</f>
        <v>31.0975</v>
      </c>
      <c r="I448" s="10">
        <f>31.0622 * CHOOSE(CONTROL!$C$15, $E$9, 100%, $G$9) + CHOOSE(CONTROL!$C$38, 0.0369, 0)</f>
        <v>31.0991</v>
      </c>
      <c r="J448" s="26">
        <f>254.2239</f>
        <v>254.22389999999999</v>
      </c>
    </row>
    <row r="449" spans="1:10" ht="15.75" x14ac:dyDescent="0.25">
      <c r="A449" s="14">
        <v>54604</v>
      </c>
      <c r="B449" s="10">
        <f>33.3748 * CHOOSE(CONTROL!$C$15, $E$9, 100%, $G$9) + CHOOSE(CONTROL!$C$38, 0.0278, 0)</f>
        <v>33.4026</v>
      </c>
      <c r="C449" s="10">
        <f>30.7003 * CHOOSE(CONTROL!$C$15, $E$9, 100%, $G$9) + CHOOSE(CONTROL!$C$38, 0.0369, 0)</f>
        <v>30.737199999999998</v>
      </c>
      <c r="D449" s="10">
        <f>30.6925 * CHOOSE(CONTROL!$C$15, $E$9, 100%, $G$9) + CHOOSE(CONTROL!$C$38, 0.0369, 0)</f>
        <v>30.729399999999998</v>
      </c>
      <c r="E449" s="28">
        <f>33.2186 * CHOOSE(CONTROL!$C$15, $E$9, 100%, $G$9) + CHOOSE(CONTROL!$C$38, 0.0369, 0)</f>
        <v>33.255500000000005</v>
      </c>
      <c r="F449" s="27">
        <f>33.2186 * CHOOSE(CONTROL!$C$15, $E$9, 100%, $G$9) + CHOOSE(CONTROL!$C$38, 0.0278, 0)</f>
        <v>33.246400000000001</v>
      </c>
      <c r="G449" s="10">
        <f>30.6988 * CHOOSE(CONTROL!$C$15, $E$9, 100%, $G$9) + CHOOSE(CONTROL!$C$38, 0.0369, 0)</f>
        <v>30.735699999999998</v>
      </c>
      <c r="H449" s="10">
        <f>30.6988 * CHOOSE(CONTROL!$C$15, $E$9, 100%, $G$9) + CHOOSE(CONTROL!$C$38, 0.0369, 0)</f>
        <v>30.735699999999998</v>
      </c>
      <c r="I449" s="10">
        <f>30.7003 * CHOOSE(CONTROL!$C$15, $E$9, 100%, $G$9) + CHOOSE(CONTROL!$C$38, 0.0369, 0)</f>
        <v>30.737199999999998</v>
      </c>
      <c r="J449" s="26">
        <f>257.887</f>
        <v>257.887</v>
      </c>
    </row>
    <row r="450" spans="1:10" ht="15.75" x14ac:dyDescent="0.25">
      <c r="A450" s="14">
        <v>54635</v>
      </c>
      <c r="B450" s="10">
        <f>33.1683 * CHOOSE(CONTROL!$C$15, $E$9, 100%, $G$9) + CHOOSE(CONTROL!$C$38, 0.0278, 0)</f>
        <v>33.196100000000001</v>
      </c>
      <c r="C450" s="10">
        <f>30.4938 * CHOOSE(CONTROL!$C$15, $E$9, 100%, $G$9) + CHOOSE(CONTROL!$C$38, 0.0369, 0)</f>
        <v>30.5307</v>
      </c>
      <c r="D450" s="10">
        <f>30.486 * CHOOSE(CONTROL!$C$15, $E$9, 100%, $G$9) + CHOOSE(CONTROL!$C$38, 0.0369, 0)</f>
        <v>30.5229</v>
      </c>
      <c r="E450" s="28">
        <f>33.0121 * CHOOSE(CONTROL!$C$15, $E$9, 100%, $G$9) + CHOOSE(CONTROL!$C$38, 0.0369, 0)</f>
        <v>33.048999999999999</v>
      </c>
      <c r="F450" s="27">
        <f>33.0121 * CHOOSE(CONTROL!$C$15, $E$9, 100%, $G$9) + CHOOSE(CONTROL!$C$38, 0.0278, 0)</f>
        <v>33.039899999999996</v>
      </c>
      <c r="G450" s="10">
        <f>30.4923 * CHOOSE(CONTROL!$C$15, $E$9, 100%, $G$9) + CHOOSE(CONTROL!$C$38, 0.0369, 0)</f>
        <v>30.529199999999999</v>
      </c>
      <c r="H450" s="10">
        <f>30.4923 * CHOOSE(CONTROL!$C$15, $E$9, 100%, $G$9) + CHOOSE(CONTROL!$C$38, 0.0369, 0)</f>
        <v>30.529199999999999</v>
      </c>
      <c r="I450" s="10">
        <f>30.4938 * CHOOSE(CONTROL!$C$15, $E$9, 100%, $G$9) + CHOOSE(CONTROL!$C$38, 0.0369, 0)</f>
        <v>30.5307</v>
      </c>
      <c r="J450" s="26">
        <f>256.6809</f>
        <v>256.68090000000001</v>
      </c>
    </row>
    <row r="451" spans="1:10" ht="15.75" x14ac:dyDescent="0.25">
      <c r="A451" s="14">
        <v>54666</v>
      </c>
      <c r="B451" s="10">
        <f>33.2702 * CHOOSE(CONTROL!$C$15, $E$9, 100%, $G$9) + CHOOSE(CONTROL!$C$38, 0.0278, 0)</f>
        <v>33.298000000000002</v>
      </c>
      <c r="C451" s="10">
        <f>30.5958 * CHOOSE(CONTROL!$C$15, $E$9, 100%, $G$9) + CHOOSE(CONTROL!$C$38, 0.0369, 0)</f>
        <v>30.6327</v>
      </c>
      <c r="D451" s="10">
        <f>30.5879 * CHOOSE(CONTROL!$C$15, $E$9, 100%, $G$9) + CHOOSE(CONTROL!$C$38, 0.0369, 0)</f>
        <v>30.6248</v>
      </c>
      <c r="E451" s="28">
        <f>33.114 * CHOOSE(CONTROL!$C$15, $E$9, 100%, $G$9) + CHOOSE(CONTROL!$C$38, 0.0369, 0)</f>
        <v>33.1509</v>
      </c>
      <c r="F451" s="27">
        <f>33.114 * CHOOSE(CONTROL!$C$15, $E$9, 100%, $G$9) + CHOOSE(CONTROL!$C$38, 0.0278, 0)</f>
        <v>33.141799999999996</v>
      </c>
      <c r="G451" s="10">
        <f>30.5942 * CHOOSE(CONTROL!$C$15, $E$9, 100%, $G$9) + CHOOSE(CONTROL!$C$38, 0.0369, 0)</f>
        <v>30.6311</v>
      </c>
      <c r="H451" s="10">
        <f>30.5942 * CHOOSE(CONTROL!$C$15, $E$9, 100%, $G$9) + CHOOSE(CONTROL!$C$38, 0.0369, 0)</f>
        <v>30.6311</v>
      </c>
      <c r="I451" s="10">
        <f>30.5958 * CHOOSE(CONTROL!$C$15, $E$9, 100%, $G$9) + CHOOSE(CONTROL!$C$38, 0.0369, 0)</f>
        <v>30.6327</v>
      </c>
      <c r="J451" s="26">
        <f>250.7055</f>
        <v>250.7055</v>
      </c>
    </row>
    <row r="452" spans="1:10" ht="15.75" x14ac:dyDescent="0.25">
      <c r="A452" s="14">
        <v>54696</v>
      </c>
      <c r="B452" s="10">
        <f>33.547 * CHOOSE(CONTROL!$C$15, $E$9, 100%, $G$9) + CHOOSE(CONTROL!$C$38, 0.0278, 0)</f>
        <v>33.574799999999996</v>
      </c>
      <c r="C452" s="10">
        <f>30.8726 * CHOOSE(CONTROL!$C$15, $E$9, 100%, $G$9) + CHOOSE(CONTROL!$C$38, 0.0369, 0)</f>
        <v>30.909499999999998</v>
      </c>
      <c r="D452" s="10">
        <f>30.8647 * CHOOSE(CONTROL!$C$15, $E$9, 100%, $G$9) + CHOOSE(CONTROL!$C$38, 0.0369, 0)</f>
        <v>30.901599999999998</v>
      </c>
      <c r="E452" s="28">
        <f>33.3908 * CHOOSE(CONTROL!$C$15, $E$9, 100%, $G$9) + CHOOSE(CONTROL!$C$38, 0.0369, 0)</f>
        <v>33.427700000000002</v>
      </c>
      <c r="F452" s="27">
        <f>33.3908 * CHOOSE(CONTROL!$C$15, $E$9, 100%, $G$9) + CHOOSE(CONTROL!$C$38, 0.0278, 0)</f>
        <v>33.418599999999998</v>
      </c>
      <c r="G452" s="10">
        <f>30.871 * CHOOSE(CONTROL!$C$15, $E$9, 100%, $G$9) + CHOOSE(CONTROL!$C$38, 0.0369, 0)</f>
        <v>30.907899999999998</v>
      </c>
      <c r="H452" s="10">
        <f>30.871 * CHOOSE(CONTROL!$C$15, $E$9, 100%, $G$9) + CHOOSE(CONTROL!$C$38, 0.0369, 0)</f>
        <v>30.907899999999998</v>
      </c>
      <c r="I452" s="10">
        <f>30.8726 * CHOOSE(CONTROL!$C$15, $E$9, 100%, $G$9) + CHOOSE(CONTROL!$C$38, 0.0369, 0)</f>
        <v>30.909499999999998</v>
      </c>
      <c r="J452" s="26">
        <f>242.3725</f>
        <v>242.3725</v>
      </c>
    </row>
    <row r="453" spans="1:10" ht="15.75" x14ac:dyDescent="0.25">
      <c r="A453" s="14">
        <v>54727</v>
      </c>
      <c r="B453" s="10">
        <f>33.7788 * CHOOSE(CONTROL!$C$15, $E$9, 100%, $G$9) + CHOOSE(CONTROL!$C$38, 0.0256, 0)</f>
        <v>33.804399999999994</v>
      </c>
      <c r="C453" s="10">
        <f>31.1044 * CHOOSE(CONTROL!$C$15, $E$9, 100%, $G$9) + CHOOSE(CONTROL!$C$38, 0.0347, 0)</f>
        <v>31.139099999999999</v>
      </c>
      <c r="D453" s="10">
        <f>31.0966 * CHOOSE(CONTROL!$C$15, $E$9, 100%, $G$9) + CHOOSE(CONTROL!$C$38, 0.0347, 0)</f>
        <v>31.1313</v>
      </c>
      <c r="E453" s="28">
        <f>33.6226 * CHOOSE(CONTROL!$C$15, $E$9, 100%, $G$9) + CHOOSE(CONTROL!$C$38, 0.0347, 0)</f>
        <v>33.657299999999999</v>
      </c>
      <c r="F453" s="27">
        <f>33.6226 * CHOOSE(CONTROL!$C$15, $E$9, 100%, $G$9) + CHOOSE(CONTROL!$C$38, 0.0256, 0)</f>
        <v>33.648199999999996</v>
      </c>
      <c r="G453" s="10">
        <f>31.1028 * CHOOSE(CONTROL!$C$15, $E$9, 100%, $G$9) + CHOOSE(CONTROL!$C$38, 0.0347, 0)</f>
        <v>31.137499999999999</v>
      </c>
      <c r="H453" s="10">
        <f>31.1028 * CHOOSE(CONTROL!$C$15, $E$9, 100%, $G$9) + CHOOSE(CONTROL!$C$38, 0.0347, 0)</f>
        <v>31.137499999999999</v>
      </c>
      <c r="I453" s="10">
        <f>31.1044 * CHOOSE(CONTROL!$C$15, $E$9, 100%, $G$9) + CHOOSE(CONTROL!$C$38, 0.0347, 0)</f>
        <v>31.139099999999999</v>
      </c>
      <c r="J453" s="26">
        <f>233.991</f>
        <v>233.99100000000001</v>
      </c>
    </row>
    <row r="454" spans="1:10" ht="15.75" x14ac:dyDescent="0.25">
      <c r="A454" s="14">
        <v>54757</v>
      </c>
      <c r="B454" s="10">
        <f>33.9723 * CHOOSE(CONTROL!$C$15, $E$9, 100%, $G$9) + CHOOSE(CONTROL!$C$38, 0.0256, 0)</f>
        <v>33.997899999999994</v>
      </c>
      <c r="C454" s="10">
        <f>31.2978 * CHOOSE(CONTROL!$C$15, $E$9, 100%, $G$9) + CHOOSE(CONTROL!$C$38, 0.0347, 0)</f>
        <v>31.3325</v>
      </c>
      <c r="D454" s="10">
        <f>31.29 * CHOOSE(CONTROL!$C$15, $E$9, 100%, $G$9) + CHOOSE(CONTROL!$C$38, 0.0347, 0)</f>
        <v>31.3247</v>
      </c>
      <c r="E454" s="28">
        <f>33.816 * CHOOSE(CONTROL!$C$15, $E$9, 100%, $G$9) + CHOOSE(CONTROL!$C$38, 0.0347, 0)</f>
        <v>33.850700000000003</v>
      </c>
      <c r="F454" s="27">
        <f>33.816 * CHOOSE(CONTROL!$C$15, $E$9, 100%, $G$9) + CHOOSE(CONTROL!$C$38, 0.0256, 0)</f>
        <v>33.8416</v>
      </c>
      <c r="G454" s="10">
        <f>31.2963 * CHOOSE(CONTROL!$C$15, $E$9, 100%, $G$9) + CHOOSE(CONTROL!$C$38, 0.0347, 0)</f>
        <v>31.331</v>
      </c>
      <c r="H454" s="10">
        <f>31.2963 * CHOOSE(CONTROL!$C$15, $E$9, 100%, $G$9) + CHOOSE(CONTROL!$C$38, 0.0347, 0)</f>
        <v>31.331</v>
      </c>
      <c r="I454" s="10">
        <f>31.2978 * CHOOSE(CONTROL!$C$15, $E$9, 100%, $G$9) + CHOOSE(CONTROL!$C$38, 0.0347, 0)</f>
        <v>31.3325</v>
      </c>
      <c r="J454" s="26">
        <f>232.3238</f>
        <v>232.32380000000001</v>
      </c>
    </row>
    <row r="455" spans="1:10" ht="15.75" x14ac:dyDescent="0.25">
      <c r="A455" s="14">
        <v>54788</v>
      </c>
      <c r="B455" s="10">
        <f>34.5684 * CHOOSE(CONTROL!$C$15, $E$9, 100%, $G$9) + CHOOSE(CONTROL!$C$38, 0.0256, 0)</f>
        <v>34.593999999999994</v>
      </c>
      <c r="C455" s="10">
        <f>31.8939 * CHOOSE(CONTROL!$C$15, $E$9, 100%, $G$9) + CHOOSE(CONTROL!$C$38, 0.0347, 0)</f>
        <v>31.928599999999999</v>
      </c>
      <c r="D455" s="10">
        <f>31.8861 * CHOOSE(CONTROL!$C$15, $E$9, 100%, $G$9) + CHOOSE(CONTROL!$C$38, 0.0347, 0)</f>
        <v>31.9208</v>
      </c>
      <c r="E455" s="28">
        <f>34.4121 * CHOOSE(CONTROL!$C$15, $E$9, 100%, $G$9) + CHOOSE(CONTROL!$C$38, 0.0347, 0)</f>
        <v>34.446800000000003</v>
      </c>
      <c r="F455" s="27">
        <f>34.4121 * CHOOSE(CONTROL!$C$15, $E$9, 100%, $G$9) + CHOOSE(CONTROL!$C$38, 0.0256, 0)</f>
        <v>34.4377</v>
      </c>
      <c r="G455" s="10">
        <f>31.8923 * CHOOSE(CONTROL!$C$15, $E$9, 100%, $G$9) + CHOOSE(CONTROL!$C$38, 0.0347, 0)</f>
        <v>31.927</v>
      </c>
      <c r="H455" s="10">
        <f>31.8923 * CHOOSE(CONTROL!$C$15, $E$9, 100%, $G$9) + CHOOSE(CONTROL!$C$38, 0.0347, 0)</f>
        <v>31.927</v>
      </c>
      <c r="I455" s="10">
        <f>31.8939 * CHOOSE(CONTROL!$C$15, $E$9, 100%, $G$9) + CHOOSE(CONTROL!$C$38, 0.0347, 0)</f>
        <v>31.928599999999999</v>
      </c>
      <c r="J455" s="26">
        <f>225.4295</f>
        <v>225.42949999999999</v>
      </c>
    </row>
    <row r="456" spans="1:10" ht="15.75" x14ac:dyDescent="0.25">
      <c r="A456" s="14">
        <v>54819</v>
      </c>
      <c r="B456" s="10">
        <f>35.5865 * CHOOSE(CONTROL!$C$15, $E$9, 100%, $G$9) + CHOOSE(CONTROL!$C$38, 0.0256, 0)</f>
        <v>35.612099999999998</v>
      </c>
      <c r="C456" s="10">
        <f>32.8707 * CHOOSE(CONTROL!$C$15, $E$9, 100%, $G$9) + CHOOSE(CONTROL!$C$38, 0.0347, 0)</f>
        <v>32.9054</v>
      </c>
      <c r="D456" s="10">
        <f>32.8629 * CHOOSE(CONTROL!$C$15, $E$9, 100%, $G$9) + CHOOSE(CONTROL!$C$38, 0.0347, 0)</f>
        <v>32.897600000000004</v>
      </c>
      <c r="E456" s="28">
        <f>35.4302 * CHOOSE(CONTROL!$C$15, $E$9, 100%, $G$9) + CHOOSE(CONTROL!$C$38, 0.0347, 0)</f>
        <v>35.4649</v>
      </c>
      <c r="F456" s="27">
        <f>35.4302 * CHOOSE(CONTROL!$C$15, $E$9, 100%, $G$9) + CHOOSE(CONTROL!$C$38, 0.0256, 0)</f>
        <v>35.455799999999996</v>
      </c>
      <c r="G456" s="10">
        <f>32.8692 * CHOOSE(CONTROL!$C$15, $E$9, 100%, $G$9) + CHOOSE(CONTROL!$C$38, 0.0347, 0)</f>
        <v>32.9039</v>
      </c>
      <c r="H456" s="10">
        <f>32.8692 * CHOOSE(CONTROL!$C$15, $E$9, 100%, $G$9) + CHOOSE(CONTROL!$C$38, 0.0347, 0)</f>
        <v>32.9039</v>
      </c>
      <c r="I456" s="10">
        <f>32.8707 * CHOOSE(CONTROL!$C$15, $E$9, 100%, $G$9) + CHOOSE(CONTROL!$C$38, 0.0347, 0)</f>
        <v>32.9054</v>
      </c>
      <c r="J456" s="26">
        <f>224.999</f>
        <v>224.999</v>
      </c>
    </row>
    <row r="457" spans="1:10" ht="15.75" x14ac:dyDescent="0.25">
      <c r="A457" s="14">
        <v>54847</v>
      </c>
      <c r="B457" s="10">
        <f>35.8073 * CHOOSE(CONTROL!$C$15, $E$9, 100%, $G$9) + CHOOSE(CONTROL!$C$38, 0.0256, 0)</f>
        <v>35.832899999999995</v>
      </c>
      <c r="C457" s="10">
        <f>33.0915 * CHOOSE(CONTROL!$C$15, $E$9, 100%, $G$9) + CHOOSE(CONTROL!$C$38, 0.0347, 0)</f>
        <v>33.126200000000004</v>
      </c>
      <c r="D457" s="10">
        <f>33.0837 * CHOOSE(CONTROL!$C$15, $E$9, 100%, $G$9) + CHOOSE(CONTROL!$C$38, 0.0347, 0)</f>
        <v>33.118400000000001</v>
      </c>
      <c r="E457" s="28">
        <f>35.651 * CHOOSE(CONTROL!$C$15, $E$9, 100%, $G$9) + CHOOSE(CONTROL!$C$38, 0.0347, 0)</f>
        <v>35.685700000000004</v>
      </c>
      <c r="F457" s="27">
        <f>35.651 * CHOOSE(CONTROL!$C$15, $E$9, 100%, $G$9) + CHOOSE(CONTROL!$C$38, 0.0256, 0)</f>
        <v>35.676600000000001</v>
      </c>
      <c r="G457" s="10">
        <f>33.0899 * CHOOSE(CONTROL!$C$15, $E$9, 100%, $G$9) + CHOOSE(CONTROL!$C$38, 0.0347, 0)</f>
        <v>33.124600000000001</v>
      </c>
      <c r="H457" s="10">
        <f>33.0899 * CHOOSE(CONTROL!$C$15, $E$9, 100%, $G$9) + CHOOSE(CONTROL!$C$38, 0.0347, 0)</f>
        <v>33.124600000000001</v>
      </c>
      <c r="I457" s="10">
        <f>33.0915 * CHOOSE(CONTROL!$C$15, $E$9, 100%, $G$9) + CHOOSE(CONTROL!$C$38, 0.0347, 0)</f>
        <v>33.126200000000004</v>
      </c>
      <c r="J457" s="26">
        <f>224.3736</f>
        <v>224.37360000000001</v>
      </c>
    </row>
    <row r="458" spans="1:10" ht="15.75" x14ac:dyDescent="0.25">
      <c r="A458" s="14">
        <v>54878</v>
      </c>
      <c r="B458" s="10">
        <f>35.2962 * CHOOSE(CONTROL!$C$15, $E$9, 100%, $G$9) + CHOOSE(CONTROL!$C$38, 0.0256, 0)</f>
        <v>35.321799999999996</v>
      </c>
      <c r="C458" s="10">
        <f>32.5805 * CHOOSE(CONTROL!$C$15, $E$9, 100%, $G$9) + CHOOSE(CONTROL!$C$38, 0.0347, 0)</f>
        <v>32.615200000000002</v>
      </c>
      <c r="D458" s="10">
        <f>32.5727 * CHOOSE(CONTROL!$C$15, $E$9, 100%, $G$9) + CHOOSE(CONTROL!$C$38, 0.0347, 0)</f>
        <v>32.607399999999998</v>
      </c>
      <c r="E458" s="28">
        <f>35.14 * CHOOSE(CONTROL!$C$15, $E$9, 100%, $G$9) + CHOOSE(CONTROL!$C$38, 0.0347, 0)</f>
        <v>35.174700000000001</v>
      </c>
      <c r="F458" s="27">
        <f>35.14 * CHOOSE(CONTROL!$C$15, $E$9, 100%, $G$9) + CHOOSE(CONTROL!$C$38, 0.0256, 0)</f>
        <v>35.165599999999998</v>
      </c>
      <c r="G458" s="10">
        <f>32.5789 * CHOOSE(CONTROL!$C$15, $E$9, 100%, $G$9) + CHOOSE(CONTROL!$C$38, 0.0347, 0)</f>
        <v>32.613599999999998</v>
      </c>
      <c r="H458" s="10">
        <f>32.5789 * CHOOSE(CONTROL!$C$15, $E$9, 100%, $G$9) + CHOOSE(CONTROL!$C$38, 0.0347, 0)</f>
        <v>32.613599999999998</v>
      </c>
      <c r="I458" s="10">
        <f>32.5805 * CHOOSE(CONTROL!$C$15, $E$9, 100%, $G$9) + CHOOSE(CONTROL!$C$38, 0.0347, 0)</f>
        <v>32.615200000000002</v>
      </c>
      <c r="J458" s="26">
        <f>236.1994</f>
        <v>236.1994</v>
      </c>
    </row>
    <row r="459" spans="1:10" ht="15.75" x14ac:dyDescent="0.25">
      <c r="A459" s="14">
        <v>54908</v>
      </c>
      <c r="B459" s="10">
        <f>34.801 * CHOOSE(CONTROL!$C$15, $E$9, 100%, $G$9) + CHOOSE(CONTROL!$C$38, 0.0256, 0)</f>
        <v>34.826599999999999</v>
      </c>
      <c r="C459" s="10">
        <f>32.0853 * CHOOSE(CONTROL!$C$15, $E$9, 100%, $G$9) + CHOOSE(CONTROL!$C$38, 0.0347, 0)</f>
        <v>32.119999999999997</v>
      </c>
      <c r="D459" s="10">
        <f>32.0775 * CHOOSE(CONTROL!$C$15, $E$9, 100%, $G$9) + CHOOSE(CONTROL!$C$38, 0.0347, 0)</f>
        <v>32.112200000000001</v>
      </c>
      <c r="E459" s="28">
        <f>34.6448 * CHOOSE(CONTROL!$C$15, $E$9, 100%, $G$9) + CHOOSE(CONTROL!$C$38, 0.0347, 0)</f>
        <v>34.679499999999997</v>
      </c>
      <c r="F459" s="27">
        <f>34.6448 * CHOOSE(CONTROL!$C$15, $E$9, 100%, $G$9) + CHOOSE(CONTROL!$C$38, 0.0256, 0)</f>
        <v>34.670399999999994</v>
      </c>
      <c r="G459" s="10">
        <f>32.0837 * CHOOSE(CONTROL!$C$15, $E$9, 100%, $G$9) + CHOOSE(CONTROL!$C$38, 0.0347, 0)</f>
        <v>32.118400000000001</v>
      </c>
      <c r="H459" s="10">
        <f>32.0837 * CHOOSE(CONTROL!$C$15, $E$9, 100%, $G$9) + CHOOSE(CONTROL!$C$38, 0.0347, 0)</f>
        <v>32.118400000000001</v>
      </c>
      <c r="I459" s="10">
        <f>32.0853 * CHOOSE(CONTROL!$C$15, $E$9, 100%, $G$9) + CHOOSE(CONTROL!$C$38, 0.0347, 0)</f>
        <v>32.119999999999997</v>
      </c>
      <c r="J459" s="26">
        <f>251.5346</f>
        <v>251.53460000000001</v>
      </c>
    </row>
    <row r="460" spans="1:10" ht="15.75" x14ac:dyDescent="0.25">
      <c r="A460" s="14">
        <v>54939</v>
      </c>
      <c r="B460" s="10">
        <f>34.2849 * CHOOSE(CONTROL!$C$15, $E$9, 100%, $G$9) + CHOOSE(CONTROL!$C$38, 0.0278, 0)</f>
        <v>34.3127</v>
      </c>
      <c r="C460" s="10">
        <f>31.5692 * CHOOSE(CONTROL!$C$15, $E$9, 100%, $G$9) + CHOOSE(CONTROL!$C$38, 0.0369, 0)</f>
        <v>31.606099999999998</v>
      </c>
      <c r="D460" s="10">
        <f>31.5614 * CHOOSE(CONTROL!$C$15, $E$9, 100%, $G$9) + CHOOSE(CONTROL!$C$38, 0.0369, 0)</f>
        <v>31.598299999999998</v>
      </c>
      <c r="E460" s="28">
        <f>34.1287 * CHOOSE(CONTROL!$C$15, $E$9, 100%, $G$9) + CHOOSE(CONTROL!$C$38, 0.0369, 0)</f>
        <v>34.165600000000005</v>
      </c>
      <c r="F460" s="27">
        <f>34.1287 * CHOOSE(CONTROL!$C$15, $E$9, 100%, $G$9) + CHOOSE(CONTROL!$C$38, 0.0278, 0)</f>
        <v>34.156500000000001</v>
      </c>
      <c r="G460" s="10">
        <f>31.5676 * CHOOSE(CONTROL!$C$15, $E$9, 100%, $G$9) + CHOOSE(CONTROL!$C$38, 0.0369, 0)</f>
        <v>31.604499999999998</v>
      </c>
      <c r="H460" s="10">
        <f>31.5676 * CHOOSE(CONTROL!$C$15, $E$9, 100%, $G$9) + CHOOSE(CONTROL!$C$38, 0.0369, 0)</f>
        <v>31.604499999999998</v>
      </c>
      <c r="I460" s="10">
        <f>31.5692 * CHOOSE(CONTROL!$C$15, $E$9, 100%, $G$9) + CHOOSE(CONTROL!$C$38, 0.0369, 0)</f>
        <v>31.606099999999998</v>
      </c>
      <c r="J460" s="26">
        <f>259.9756</f>
        <v>259.97559999999999</v>
      </c>
    </row>
    <row r="461" spans="1:10" ht="15.75" x14ac:dyDescent="0.25">
      <c r="A461" s="14">
        <v>54969</v>
      </c>
      <c r="B461" s="10">
        <f>33.9231 * CHOOSE(CONTROL!$C$15, $E$9, 100%, $G$9) + CHOOSE(CONTROL!$C$38, 0.0278, 0)</f>
        <v>33.950899999999997</v>
      </c>
      <c r="C461" s="10">
        <f>31.2073 * CHOOSE(CONTROL!$C$15, $E$9, 100%, $G$9) + CHOOSE(CONTROL!$C$38, 0.0369, 0)</f>
        <v>31.244199999999999</v>
      </c>
      <c r="D461" s="10">
        <f>31.1995 * CHOOSE(CONTROL!$C$15, $E$9, 100%, $G$9) + CHOOSE(CONTROL!$C$38, 0.0369, 0)</f>
        <v>31.2364</v>
      </c>
      <c r="E461" s="28">
        <f>33.7668 * CHOOSE(CONTROL!$C$15, $E$9, 100%, $G$9) + CHOOSE(CONTROL!$C$38, 0.0369, 0)</f>
        <v>33.803700000000006</v>
      </c>
      <c r="F461" s="27">
        <f>33.7668 * CHOOSE(CONTROL!$C$15, $E$9, 100%, $G$9) + CHOOSE(CONTROL!$C$38, 0.0278, 0)</f>
        <v>33.794600000000003</v>
      </c>
      <c r="G461" s="10">
        <f>31.2058 * CHOOSE(CONTROL!$C$15, $E$9, 100%, $G$9) + CHOOSE(CONTROL!$C$38, 0.0369, 0)</f>
        <v>31.242699999999999</v>
      </c>
      <c r="H461" s="10">
        <f>31.2058 * CHOOSE(CONTROL!$C$15, $E$9, 100%, $G$9) + CHOOSE(CONTROL!$C$38, 0.0369, 0)</f>
        <v>31.242699999999999</v>
      </c>
      <c r="I461" s="10">
        <f>31.2073 * CHOOSE(CONTROL!$C$15, $E$9, 100%, $G$9) + CHOOSE(CONTROL!$C$38, 0.0369, 0)</f>
        <v>31.244199999999999</v>
      </c>
      <c r="J461" s="26">
        <f>263.7216</f>
        <v>263.72160000000002</v>
      </c>
    </row>
    <row r="462" spans="1:10" ht="15.75" x14ac:dyDescent="0.25">
      <c r="A462" s="14">
        <v>55000</v>
      </c>
      <c r="B462" s="10">
        <f>33.7166 * CHOOSE(CONTROL!$C$15, $E$9, 100%, $G$9) + CHOOSE(CONTROL!$C$38, 0.0278, 0)</f>
        <v>33.744399999999999</v>
      </c>
      <c r="C462" s="10">
        <f>31.0009 * CHOOSE(CONTROL!$C$15, $E$9, 100%, $G$9) + CHOOSE(CONTROL!$C$38, 0.0369, 0)</f>
        <v>31.037800000000001</v>
      </c>
      <c r="D462" s="10">
        <f>30.993 * CHOOSE(CONTROL!$C$15, $E$9, 100%, $G$9) + CHOOSE(CONTROL!$C$38, 0.0369, 0)</f>
        <v>31.029899999999998</v>
      </c>
      <c r="E462" s="28">
        <f>33.5604 * CHOOSE(CONTROL!$C$15, $E$9, 100%, $G$9) + CHOOSE(CONTROL!$C$38, 0.0369, 0)</f>
        <v>33.597300000000004</v>
      </c>
      <c r="F462" s="27">
        <f>33.5604 * CHOOSE(CONTROL!$C$15, $E$9, 100%, $G$9) + CHOOSE(CONTROL!$C$38, 0.0278, 0)</f>
        <v>33.588200000000001</v>
      </c>
      <c r="G462" s="10">
        <f>30.9993 * CHOOSE(CONTROL!$C$15, $E$9, 100%, $G$9) + CHOOSE(CONTROL!$C$38, 0.0369, 0)</f>
        <v>31.036200000000001</v>
      </c>
      <c r="H462" s="10">
        <f>30.9993 * CHOOSE(CONTROL!$C$15, $E$9, 100%, $G$9) + CHOOSE(CONTROL!$C$38, 0.0369, 0)</f>
        <v>31.036200000000001</v>
      </c>
      <c r="I462" s="10">
        <f>31.0009 * CHOOSE(CONTROL!$C$15, $E$9, 100%, $G$9) + CHOOSE(CONTROL!$C$38, 0.0369, 0)</f>
        <v>31.037800000000001</v>
      </c>
      <c r="J462" s="26">
        <f>262.4882</f>
        <v>262.48820000000001</v>
      </c>
    </row>
    <row r="463" spans="1:10" ht="15.75" x14ac:dyDescent="0.25">
      <c r="A463" s="14">
        <v>55031</v>
      </c>
      <c r="B463" s="10">
        <f>33.8185 * CHOOSE(CONTROL!$C$15, $E$9, 100%, $G$9) + CHOOSE(CONTROL!$C$38, 0.0278, 0)</f>
        <v>33.846299999999999</v>
      </c>
      <c r="C463" s="10">
        <f>31.1028 * CHOOSE(CONTROL!$C$15, $E$9, 100%, $G$9) + CHOOSE(CONTROL!$C$38, 0.0369, 0)</f>
        <v>31.139699999999998</v>
      </c>
      <c r="D463" s="10">
        <f>31.095 * CHOOSE(CONTROL!$C$15, $E$9, 100%, $G$9) + CHOOSE(CONTROL!$C$38, 0.0369, 0)</f>
        <v>31.131899999999998</v>
      </c>
      <c r="E463" s="28">
        <f>33.6623 * CHOOSE(CONTROL!$C$15, $E$9, 100%, $G$9) + CHOOSE(CONTROL!$C$38, 0.0369, 0)</f>
        <v>33.699200000000005</v>
      </c>
      <c r="F463" s="27">
        <f>33.6623 * CHOOSE(CONTROL!$C$15, $E$9, 100%, $G$9) + CHOOSE(CONTROL!$C$38, 0.0278, 0)</f>
        <v>33.690100000000001</v>
      </c>
      <c r="G463" s="10">
        <f>31.1012 * CHOOSE(CONTROL!$C$15, $E$9, 100%, $G$9) + CHOOSE(CONTROL!$C$38, 0.0369, 0)</f>
        <v>31.138099999999998</v>
      </c>
      <c r="H463" s="10">
        <f>31.1012 * CHOOSE(CONTROL!$C$15, $E$9, 100%, $G$9) + CHOOSE(CONTROL!$C$38, 0.0369, 0)</f>
        <v>31.138099999999998</v>
      </c>
      <c r="I463" s="10">
        <f>31.1028 * CHOOSE(CONTROL!$C$15, $E$9, 100%, $G$9) + CHOOSE(CONTROL!$C$38, 0.0369, 0)</f>
        <v>31.139699999999998</v>
      </c>
      <c r="J463" s="26">
        <f>256.3776</f>
        <v>256.37759999999997</v>
      </c>
    </row>
    <row r="464" spans="1:10" ht="15.75" x14ac:dyDescent="0.25">
      <c r="A464" s="14">
        <v>55061</v>
      </c>
      <c r="B464" s="10">
        <f>34.0953 * CHOOSE(CONTROL!$C$15, $E$9, 100%, $G$9) + CHOOSE(CONTROL!$C$38, 0.0278, 0)</f>
        <v>34.123100000000001</v>
      </c>
      <c r="C464" s="10">
        <f>31.3796 * CHOOSE(CONTROL!$C$15, $E$9, 100%, $G$9) + CHOOSE(CONTROL!$C$38, 0.0369, 0)</f>
        <v>31.416499999999999</v>
      </c>
      <c r="D464" s="10">
        <f>31.3718 * CHOOSE(CONTROL!$C$15, $E$9, 100%, $G$9) + CHOOSE(CONTROL!$C$38, 0.0369, 0)</f>
        <v>31.4087</v>
      </c>
      <c r="E464" s="28">
        <f>33.9391 * CHOOSE(CONTROL!$C$15, $E$9, 100%, $G$9) + CHOOSE(CONTROL!$C$38, 0.0369, 0)</f>
        <v>33.976000000000006</v>
      </c>
      <c r="F464" s="27">
        <f>33.9391 * CHOOSE(CONTROL!$C$15, $E$9, 100%, $G$9) + CHOOSE(CONTROL!$C$38, 0.0278, 0)</f>
        <v>33.966900000000003</v>
      </c>
      <c r="G464" s="10">
        <f>31.378 * CHOOSE(CONTROL!$C$15, $E$9, 100%, $G$9) + CHOOSE(CONTROL!$C$38, 0.0369, 0)</f>
        <v>31.414899999999999</v>
      </c>
      <c r="H464" s="10">
        <f>31.378 * CHOOSE(CONTROL!$C$15, $E$9, 100%, $G$9) + CHOOSE(CONTROL!$C$38, 0.0369, 0)</f>
        <v>31.414899999999999</v>
      </c>
      <c r="I464" s="10">
        <f>31.3796 * CHOOSE(CONTROL!$C$15, $E$9, 100%, $G$9) + CHOOSE(CONTROL!$C$38, 0.0369, 0)</f>
        <v>31.416499999999999</v>
      </c>
      <c r="J464" s="26">
        <f>247.8561</f>
        <v>247.8561</v>
      </c>
    </row>
    <row r="465" spans="1:10" ht="15.75" x14ac:dyDescent="0.25">
      <c r="A465" s="14">
        <v>55092</v>
      </c>
      <c r="B465" s="10">
        <f>34.3271 * CHOOSE(CONTROL!$C$15, $E$9, 100%, $G$9) + CHOOSE(CONTROL!$C$38, 0.0256, 0)</f>
        <v>34.352699999999999</v>
      </c>
      <c r="C465" s="10">
        <f>31.6114 * CHOOSE(CONTROL!$C$15, $E$9, 100%, $G$9) + CHOOSE(CONTROL!$C$38, 0.0347, 0)</f>
        <v>31.646100000000001</v>
      </c>
      <c r="D465" s="10">
        <f>31.6036 * CHOOSE(CONTROL!$C$15, $E$9, 100%, $G$9) + CHOOSE(CONTROL!$C$38, 0.0347, 0)</f>
        <v>31.638300000000001</v>
      </c>
      <c r="E465" s="28">
        <f>34.1709 * CHOOSE(CONTROL!$C$15, $E$9, 100%, $G$9) + CHOOSE(CONTROL!$C$38, 0.0347, 0)</f>
        <v>34.205600000000004</v>
      </c>
      <c r="F465" s="27">
        <f>34.1709 * CHOOSE(CONTROL!$C$15, $E$9, 100%, $G$9) + CHOOSE(CONTROL!$C$38, 0.0256, 0)</f>
        <v>34.1965</v>
      </c>
      <c r="G465" s="10">
        <f>31.6098 * CHOOSE(CONTROL!$C$15, $E$9, 100%, $G$9) + CHOOSE(CONTROL!$C$38, 0.0347, 0)</f>
        <v>31.644500000000001</v>
      </c>
      <c r="H465" s="10">
        <f>31.6098 * CHOOSE(CONTROL!$C$15, $E$9, 100%, $G$9) + CHOOSE(CONTROL!$C$38, 0.0347, 0)</f>
        <v>31.644500000000001</v>
      </c>
      <c r="I465" s="10">
        <f>31.6114 * CHOOSE(CONTROL!$C$15, $E$9, 100%, $G$9) + CHOOSE(CONTROL!$C$38, 0.0347, 0)</f>
        <v>31.646100000000001</v>
      </c>
      <c r="J465" s="26">
        <f>239.2849</f>
        <v>239.28489999999999</v>
      </c>
    </row>
    <row r="466" spans="1:10" ht="15.75" x14ac:dyDescent="0.25">
      <c r="A466" s="14">
        <v>55122</v>
      </c>
      <c r="B466" s="10">
        <f>34.5206 * CHOOSE(CONTROL!$C$15, $E$9, 100%, $G$9) + CHOOSE(CONTROL!$C$38, 0.0256, 0)</f>
        <v>34.546199999999999</v>
      </c>
      <c r="C466" s="10">
        <f>31.8048 * CHOOSE(CONTROL!$C$15, $E$9, 100%, $G$9) + CHOOSE(CONTROL!$C$38, 0.0347, 0)</f>
        <v>31.839500000000001</v>
      </c>
      <c r="D466" s="10">
        <f>31.797 * CHOOSE(CONTROL!$C$15, $E$9, 100%, $G$9) + CHOOSE(CONTROL!$C$38, 0.0347, 0)</f>
        <v>31.831700000000001</v>
      </c>
      <c r="E466" s="28">
        <f>34.3643 * CHOOSE(CONTROL!$C$15, $E$9, 100%, $G$9) + CHOOSE(CONTROL!$C$38, 0.0347, 0)</f>
        <v>34.399000000000001</v>
      </c>
      <c r="F466" s="27">
        <f>34.3643 * CHOOSE(CONTROL!$C$15, $E$9, 100%, $G$9) + CHOOSE(CONTROL!$C$38, 0.0256, 0)</f>
        <v>34.389899999999997</v>
      </c>
      <c r="G466" s="10">
        <f>31.8033 * CHOOSE(CONTROL!$C$15, $E$9, 100%, $G$9) + CHOOSE(CONTROL!$C$38, 0.0347, 0)</f>
        <v>31.838000000000001</v>
      </c>
      <c r="H466" s="10">
        <f>31.8033 * CHOOSE(CONTROL!$C$15, $E$9, 100%, $G$9) + CHOOSE(CONTROL!$C$38, 0.0347, 0)</f>
        <v>31.838000000000001</v>
      </c>
      <c r="I466" s="10">
        <f>31.8048 * CHOOSE(CONTROL!$C$15, $E$9, 100%, $G$9) + CHOOSE(CONTROL!$C$38, 0.0347, 0)</f>
        <v>31.839500000000001</v>
      </c>
      <c r="J466" s="26">
        <f>237.58</f>
        <v>237.58</v>
      </c>
    </row>
    <row r="467" spans="1:10" ht="15.75" x14ac:dyDescent="0.25">
      <c r="A467" s="14">
        <v>55153</v>
      </c>
      <c r="B467" s="10">
        <f>35.1166 * CHOOSE(CONTROL!$C$15, $E$9, 100%, $G$9) + CHOOSE(CONTROL!$C$38, 0.0256, 0)</f>
        <v>35.142199999999995</v>
      </c>
      <c r="C467" s="10">
        <f>32.4009 * CHOOSE(CONTROL!$C$15, $E$9, 100%, $G$9) + CHOOSE(CONTROL!$C$38, 0.0347, 0)</f>
        <v>32.435600000000001</v>
      </c>
      <c r="D467" s="10">
        <f>32.3931 * CHOOSE(CONTROL!$C$15, $E$9, 100%, $G$9) + CHOOSE(CONTROL!$C$38, 0.0347, 0)</f>
        <v>32.427799999999998</v>
      </c>
      <c r="E467" s="28">
        <f>34.9604 * CHOOSE(CONTROL!$C$15, $E$9, 100%, $G$9) + CHOOSE(CONTROL!$C$38, 0.0347, 0)</f>
        <v>34.995100000000001</v>
      </c>
      <c r="F467" s="27">
        <f>34.9604 * CHOOSE(CONTROL!$C$15, $E$9, 100%, $G$9) + CHOOSE(CONTROL!$C$38, 0.0256, 0)</f>
        <v>34.985999999999997</v>
      </c>
      <c r="G467" s="10">
        <f>32.3993 * CHOOSE(CONTROL!$C$15, $E$9, 100%, $G$9) + CHOOSE(CONTROL!$C$38, 0.0347, 0)</f>
        <v>32.433999999999997</v>
      </c>
      <c r="H467" s="10">
        <f>32.3993 * CHOOSE(CONTROL!$C$15, $E$9, 100%, $G$9) + CHOOSE(CONTROL!$C$38, 0.0347, 0)</f>
        <v>32.433999999999997</v>
      </c>
      <c r="I467" s="10">
        <f>32.4009 * CHOOSE(CONTROL!$C$15, $E$9, 100%, $G$9) + CHOOSE(CONTROL!$C$38, 0.0347, 0)</f>
        <v>32.435600000000001</v>
      </c>
      <c r="J467" s="26">
        <f>230.5298</f>
        <v>230.52979999999999</v>
      </c>
    </row>
    <row r="468" spans="1:10" ht="15.75" x14ac:dyDescent="0.25">
      <c r="A468" s="14">
        <v>55184</v>
      </c>
      <c r="B468" s="10">
        <f>36.1438 * CHOOSE(CONTROL!$C$15, $E$9, 100%, $G$9) + CHOOSE(CONTROL!$C$38, 0.0256, 0)</f>
        <v>36.169399999999996</v>
      </c>
      <c r="C468" s="10">
        <f>33.3861 * CHOOSE(CONTROL!$C$15, $E$9, 100%, $G$9) + CHOOSE(CONTROL!$C$38, 0.0347, 0)</f>
        <v>33.4208</v>
      </c>
      <c r="D468" s="10">
        <f>33.3783 * CHOOSE(CONTROL!$C$15, $E$9, 100%, $G$9) + CHOOSE(CONTROL!$C$38, 0.0347, 0)</f>
        <v>33.413000000000004</v>
      </c>
      <c r="E468" s="28">
        <f>35.9875 * CHOOSE(CONTROL!$C$15, $E$9, 100%, $G$9) + CHOOSE(CONTROL!$C$38, 0.0347, 0)</f>
        <v>36.022199999999998</v>
      </c>
      <c r="F468" s="27">
        <f>35.9875 * CHOOSE(CONTROL!$C$15, $E$9, 100%, $G$9) + CHOOSE(CONTROL!$C$38, 0.0256, 0)</f>
        <v>36.013099999999994</v>
      </c>
      <c r="G468" s="10">
        <f>33.3845 * CHOOSE(CONTROL!$C$15, $E$9, 100%, $G$9) + CHOOSE(CONTROL!$C$38, 0.0347, 0)</f>
        <v>33.419200000000004</v>
      </c>
      <c r="H468" s="10">
        <f>33.3845 * CHOOSE(CONTROL!$C$15, $E$9, 100%, $G$9) + CHOOSE(CONTROL!$C$38, 0.0347, 0)</f>
        <v>33.419200000000004</v>
      </c>
      <c r="I468" s="10">
        <f>33.3861 * CHOOSE(CONTROL!$C$15, $E$9, 100%, $G$9) + CHOOSE(CONTROL!$C$38, 0.0347, 0)</f>
        <v>33.4208</v>
      </c>
      <c r="J468" s="26">
        <f>230.0895</f>
        <v>230.08949999999999</v>
      </c>
    </row>
    <row r="469" spans="1:10" ht="15.75" x14ac:dyDescent="0.25">
      <c r="A469" s="14">
        <v>55212</v>
      </c>
      <c r="B469" s="10">
        <f>36.3645 * CHOOSE(CONTROL!$C$15, $E$9, 100%, $G$9) + CHOOSE(CONTROL!$C$38, 0.0256, 0)</f>
        <v>36.390099999999997</v>
      </c>
      <c r="C469" s="10">
        <f>33.6068 * CHOOSE(CONTROL!$C$15, $E$9, 100%, $G$9) + CHOOSE(CONTROL!$C$38, 0.0347, 0)</f>
        <v>33.641500000000001</v>
      </c>
      <c r="D469" s="10">
        <f>33.599 * CHOOSE(CONTROL!$C$15, $E$9, 100%, $G$9) + CHOOSE(CONTROL!$C$38, 0.0347, 0)</f>
        <v>33.633699999999997</v>
      </c>
      <c r="E469" s="28">
        <f>36.2083 * CHOOSE(CONTROL!$C$15, $E$9, 100%, $G$9) + CHOOSE(CONTROL!$C$38, 0.0347, 0)</f>
        <v>36.243000000000002</v>
      </c>
      <c r="F469" s="27">
        <f>36.2083 * CHOOSE(CONTROL!$C$15, $E$9, 100%, $G$9) + CHOOSE(CONTROL!$C$38, 0.0256, 0)</f>
        <v>36.233899999999998</v>
      </c>
      <c r="G469" s="10">
        <f>33.6053 * CHOOSE(CONTROL!$C$15, $E$9, 100%, $G$9) + CHOOSE(CONTROL!$C$38, 0.0347, 0)</f>
        <v>33.64</v>
      </c>
      <c r="H469" s="10">
        <f>33.6053 * CHOOSE(CONTROL!$C$15, $E$9, 100%, $G$9) + CHOOSE(CONTROL!$C$38, 0.0347, 0)</f>
        <v>33.64</v>
      </c>
      <c r="I469" s="10">
        <f>33.6068 * CHOOSE(CONTROL!$C$15, $E$9, 100%, $G$9) + CHOOSE(CONTROL!$C$38, 0.0347, 0)</f>
        <v>33.641500000000001</v>
      </c>
      <c r="J469" s="26">
        <f>229.4499</f>
        <v>229.44990000000001</v>
      </c>
    </row>
    <row r="470" spans="1:10" ht="15.75" x14ac:dyDescent="0.25">
      <c r="A470" s="14">
        <v>55243</v>
      </c>
      <c r="B470" s="10">
        <f>35.8535 * CHOOSE(CONTROL!$C$15, $E$9, 100%, $G$9) + CHOOSE(CONTROL!$C$38, 0.0256, 0)</f>
        <v>35.879099999999994</v>
      </c>
      <c r="C470" s="10">
        <f>33.0958 * CHOOSE(CONTROL!$C$15, $E$9, 100%, $G$9) + CHOOSE(CONTROL!$C$38, 0.0347, 0)</f>
        <v>33.130499999999998</v>
      </c>
      <c r="D470" s="10">
        <f>33.088 * CHOOSE(CONTROL!$C$15, $E$9, 100%, $G$9) + CHOOSE(CONTROL!$C$38, 0.0347, 0)</f>
        <v>33.122700000000002</v>
      </c>
      <c r="E470" s="28">
        <f>35.6973 * CHOOSE(CONTROL!$C$15, $E$9, 100%, $G$9) + CHOOSE(CONTROL!$C$38, 0.0347, 0)</f>
        <v>35.731999999999999</v>
      </c>
      <c r="F470" s="27">
        <f>35.6973 * CHOOSE(CONTROL!$C$15, $E$9, 100%, $G$9) + CHOOSE(CONTROL!$C$38, 0.0256, 0)</f>
        <v>35.722899999999996</v>
      </c>
      <c r="G470" s="10">
        <f>33.0942 * CHOOSE(CONTROL!$C$15, $E$9, 100%, $G$9) + CHOOSE(CONTROL!$C$38, 0.0347, 0)</f>
        <v>33.128900000000002</v>
      </c>
      <c r="H470" s="10">
        <f>33.0942 * CHOOSE(CONTROL!$C$15, $E$9, 100%, $G$9) + CHOOSE(CONTROL!$C$38, 0.0347, 0)</f>
        <v>33.128900000000002</v>
      </c>
      <c r="I470" s="10">
        <f>33.0958 * CHOOSE(CONTROL!$C$15, $E$9, 100%, $G$9) + CHOOSE(CONTROL!$C$38, 0.0347, 0)</f>
        <v>33.130499999999998</v>
      </c>
      <c r="J470" s="26">
        <f>241.5433</f>
        <v>241.54329999999999</v>
      </c>
    </row>
    <row r="471" spans="1:10" ht="15.75" x14ac:dyDescent="0.25">
      <c r="A471" s="14">
        <v>55273</v>
      </c>
      <c r="B471" s="10">
        <f>35.3583 * CHOOSE(CONTROL!$C$15, $E$9, 100%, $G$9) + CHOOSE(CONTROL!$C$38, 0.0256, 0)</f>
        <v>35.383899999999997</v>
      </c>
      <c r="C471" s="10">
        <f>32.6006 * CHOOSE(CONTROL!$C$15, $E$9, 100%, $G$9) + CHOOSE(CONTROL!$C$38, 0.0347, 0)</f>
        <v>32.635300000000001</v>
      </c>
      <c r="D471" s="10">
        <f>32.5928 * CHOOSE(CONTROL!$C$15, $E$9, 100%, $G$9) + CHOOSE(CONTROL!$C$38, 0.0347, 0)</f>
        <v>32.627499999999998</v>
      </c>
      <c r="E471" s="28">
        <f>35.2021 * CHOOSE(CONTROL!$C$15, $E$9, 100%, $G$9) + CHOOSE(CONTROL!$C$38, 0.0347, 0)</f>
        <v>35.236800000000002</v>
      </c>
      <c r="F471" s="27">
        <f>35.2021 * CHOOSE(CONTROL!$C$15, $E$9, 100%, $G$9) + CHOOSE(CONTROL!$C$38, 0.0256, 0)</f>
        <v>35.227699999999999</v>
      </c>
      <c r="G471" s="10">
        <f>32.5991 * CHOOSE(CONTROL!$C$15, $E$9, 100%, $G$9) + CHOOSE(CONTROL!$C$38, 0.0347, 0)</f>
        <v>32.633800000000001</v>
      </c>
      <c r="H471" s="10">
        <f>32.5991 * CHOOSE(CONTROL!$C$15, $E$9, 100%, $G$9) + CHOOSE(CONTROL!$C$38, 0.0347, 0)</f>
        <v>32.633800000000001</v>
      </c>
      <c r="I471" s="10">
        <f>32.6006 * CHOOSE(CONTROL!$C$15, $E$9, 100%, $G$9) + CHOOSE(CONTROL!$C$38, 0.0347, 0)</f>
        <v>32.635300000000001</v>
      </c>
      <c r="J471" s="26">
        <f>257.2254</f>
        <v>257.22539999999998</v>
      </c>
    </row>
    <row r="472" spans="1:10" ht="15.75" x14ac:dyDescent="0.25">
      <c r="A472" s="14">
        <v>55304</v>
      </c>
      <c r="B472" s="10">
        <f>34.8422 * CHOOSE(CONTROL!$C$15, $E$9, 100%, $G$9) + CHOOSE(CONTROL!$C$38, 0.0278, 0)</f>
        <v>34.869999999999997</v>
      </c>
      <c r="C472" s="10">
        <f>32.0845 * CHOOSE(CONTROL!$C$15, $E$9, 100%, $G$9) + CHOOSE(CONTROL!$C$38, 0.0369, 0)</f>
        <v>32.121400000000001</v>
      </c>
      <c r="D472" s="10">
        <f>32.0767 * CHOOSE(CONTROL!$C$15, $E$9, 100%, $G$9) + CHOOSE(CONTROL!$C$38, 0.0369, 0)</f>
        <v>32.113600000000005</v>
      </c>
      <c r="E472" s="28">
        <f>34.686 * CHOOSE(CONTROL!$C$15, $E$9, 100%, $G$9) + CHOOSE(CONTROL!$C$38, 0.0369, 0)</f>
        <v>34.722900000000003</v>
      </c>
      <c r="F472" s="27">
        <f>34.686 * CHOOSE(CONTROL!$C$15, $E$9, 100%, $G$9) + CHOOSE(CONTROL!$C$38, 0.0278, 0)</f>
        <v>34.713799999999999</v>
      </c>
      <c r="G472" s="10">
        <f>32.0829 * CHOOSE(CONTROL!$C$15, $E$9, 100%, $G$9) + CHOOSE(CONTROL!$C$38, 0.0369, 0)</f>
        <v>32.119800000000005</v>
      </c>
      <c r="H472" s="10">
        <f>32.0829 * CHOOSE(CONTROL!$C$15, $E$9, 100%, $G$9) + CHOOSE(CONTROL!$C$38, 0.0369, 0)</f>
        <v>32.119800000000005</v>
      </c>
      <c r="I472" s="10">
        <f>32.0845 * CHOOSE(CONTROL!$C$15, $E$9, 100%, $G$9) + CHOOSE(CONTROL!$C$38, 0.0369, 0)</f>
        <v>32.121400000000001</v>
      </c>
      <c r="J472" s="26">
        <f>265.8574</f>
        <v>265.85739999999998</v>
      </c>
    </row>
    <row r="473" spans="1:10" ht="15.75" x14ac:dyDescent="0.25">
      <c r="A473" s="14">
        <v>55334</v>
      </c>
      <c r="B473" s="10">
        <f>34.4804 * CHOOSE(CONTROL!$C$15, $E$9, 100%, $G$9) + CHOOSE(CONTROL!$C$38, 0.0278, 0)</f>
        <v>34.508200000000002</v>
      </c>
      <c r="C473" s="10">
        <f>31.7227 * CHOOSE(CONTROL!$C$15, $E$9, 100%, $G$9) + CHOOSE(CONTROL!$C$38, 0.0369, 0)</f>
        <v>31.759599999999999</v>
      </c>
      <c r="D473" s="10">
        <f>31.7149 * CHOOSE(CONTROL!$C$15, $E$9, 100%, $G$9) + CHOOSE(CONTROL!$C$38, 0.0369, 0)</f>
        <v>31.751799999999999</v>
      </c>
      <c r="E473" s="28">
        <f>34.3241 * CHOOSE(CONTROL!$C$15, $E$9, 100%, $G$9) + CHOOSE(CONTROL!$C$38, 0.0369, 0)</f>
        <v>34.361000000000004</v>
      </c>
      <c r="F473" s="27">
        <f>34.3241 * CHOOSE(CONTROL!$C$15, $E$9, 100%, $G$9) + CHOOSE(CONTROL!$C$38, 0.0278, 0)</f>
        <v>34.351900000000001</v>
      </c>
      <c r="G473" s="10">
        <f>31.7211 * CHOOSE(CONTROL!$C$15, $E$9, 100%, $G$9) + CHOOSE(CONTROL!$C$38, 0.0369, 0)</f>
        <v>31.757999999999999</v>
      </c>
      <c r="H473" s="10">
        <f>31.7211 * CHOOSE(CONTROL!$C$15, $E$9, 100%, $G$9) + CHOOSE(CONTROL!$C$38, 0.0369, 0)</f>
        <v>31.757999999999999</v>
      </c>
      <c r="I473" s="10">
        <f>31.7227 * CHOOSE(CONTROL!$C$15, $E$9, 100%, $G$9) + CHOOSE(CONTROL!$C$38, 0.0369, 0)</f>
        <v>31.759599999999999</v>
      </c>
      <c r="J473" s="26">
        <f>269.6881</f>
        <v>269.68810000000002</v>
      </c>
    </row>
    <row r="474" spans="1:10" ht="15.75" x14ac:dyDescent="0.25">
      <c r="A474" s="14">
        <v>55365</v>
      </c>
      <c r="B474" s="10">
        <f>34.2739 * CHOOSE(CONTROL!$C$15, $E$9, 100%, $G$9) + CHOOSE(CONTROL!$C$38, 0.0278, 0)</f>
        <v>34.301699999999997</v>
      </c>
      <c r="C474" s="10">
        <f>31.5162 * CHOOSE(CONTROL!$C$15, $E$9, 100%, $G$9) + CHOOSE(CONTROL!$C$38, 0.0369, 0)</f>
        <v>31.553100000000001</v>
      </c>
      <c r="D474" s="10">
        <f>31.5084 * CHOOSE(CONTROL!$C$15, $E$9, 100%, $G$9) + CHOOSE(CONTROL!$C$38, 0.0369, 0)</f>
        <v>31.545300000000001</v>
      </c>
      <c r="E474" s="28">
        <f>34.1176 * CHOOSE(CONTROL!$C$15, $E$9, 100%, $G$9) + CHOOSE(CONTROL!$C$38, 0.0369, 0)</f>
        <v>34.154500000000006</v>
      </c>
      <c r="F474" s="27">
        <f>34.1176 * CHOOSE(CONTROL!$C$15, $E$9, 100%, $G$9) + CHOOSE(CONTROL!$C$38, 0.0278, 0)</f>
        <v>34.145400000000002</v>
      </c>
      <c r="G474" s="10">
        <f>31.5146 * CHOOSE(CONTROL!$C$15, $E$9, 100%, $G$9) + CHOOSE(CONTROL!$C$38, 0.0369, 0)</f>
        <v>31.551500000000001</v>
      </c>
      <c r="H474" s="10">
        <f>31.5146 * CHOOSE(CONTROL!$C$15, $E$9, 100%, $G$9) + CHOOSE(CONTROL!$C$38, 0.0369, 0)</f>
        <v>31.551500000000001</v>
      </c>
      <c r="I474" s="10">
        <f>31.5162 * CHOOSE(CONTROL!$C$15, $E$9, 100%, $G$9) + CHOOSE(CONTROL!$C$38, 0.0369, 0)</f>
        <v>31.553100000000001</v>
      </c>
      <c r="J474" s="26">
        <f>268.4269</f>
        <v>268.42689999999999</v>
      </c>
    </row>
    <row r="475" spans="1:10" ht="15.75" x14ac:dyDescent="0.25">
      <c r="A475" s="14">
        <v>55396</v>
      </c>
      <c r="B475" s="10">
        <f>34.3758 * CHOOSE(CONTROL!$C$15, $E$9, 100%, $G$9) + CHOOSE(CONTROL!$C$38, 0.0278, 0)</f>
        <v>34.403599999999997</v>
      </c>
      <c r="C475" s="10">
        <f>31.6181 * CHOOSE(CONTROL!$C$15, $E$9, 100%, $G$9) + CHOOSE(CONTROL!$C$38, 0.0369, 0)</f>
        <v>31.654999999999998</v>
      </c>
      <c r="D475" s="10">
        <f>31.6103 * CHOOSE(CONTROL!$C$15, $E$9, 100%, $G$9) + CHOOSE(CONTROL!$C$38, 0.0369, 0)</f>
        <v>31.647199999999998</v>
      </c>
      <c r="E475" s="28">
        <f>34.2196 * CHOOSE(CONTROL!$C$15, $E$9, 100%, $G$9) + CHOOSE(CONTROL!$C$38, 0.0369, 0)</f>
        <v>34.256500000000003</v>
      </c>
      <c r="F475" s="27">
        <f>34.2196 * CHOOSE(CONTROL!$C$15, $E$9, 100%, $G$9) + CHOOSE(CONTROL!$C$38, 0.0278, 0)</f>
        <v>34.247399999999999</v>
      </c>
      <c r="G475" s="10">
        <f>31.6165 * CHOOSE(CONTROL!$C$15, $E$9, 100%, $G$9) + CHOOSE(CONTROL!$C$38, 0.0369, 0)</f>
        <v>31.653399999999998</v>
      </c>
      <c r="H475" s="10">
        <f>31.6165 * CHOOSE(CONTROL!$C$15, $E$9, 100%, $G$9) + CHOOSE(CONTROL!$C$38, 0.0369, 0)</f>
        <v>31.653399999999998</v>
      </c>
      <c r="I475" s="10">
        <f>31.6181 * CHOOSE(CONTROL!$C$15, $E$9, 100%, $G$9) + CHOOSE(CONTROL!$C$38, 0.0369, 0)</f>
        <v>31.654999999999998</v>
      </c>
      <c r="J475" s="26">
        <f>262.178</f>
        <v>262.178</v>
      </c>
    </row>
    <row r="476" spans="1:10" ht="15.75" x14ac:dyDescent="0.25">
      <c r="A476" s="14">
        <v>55426</v>
      </c>
      <c r="B476" s="10">
        <f>34.6526 * CHOOSE(CONTROL!$C$15, $E$9, 100%, $G$9) + CHOOSE(CONTROL!$C$38, 0.0278, 0)</f>
        <v>34.680399999999999</v>
      </c>
      <c r="C476" s="10">
        <f>31.8949 * CHOOSE(CONTROL!$C$15, $E$9, 100%, $G$9) + CHOOSE(CONTROL!$C$38, 0.0369, 0)</f>
        <v>31.931799999999999</v>
      </c>
      <c r="D476" s="10">
        <f>31.8871 * CHOOSE(CONTROL!$C$15, $E$9, 100%, $G$9) + CHOOSE(CONTROL!$C$38, 0.0369, 0)</f>
        <v>31.923999999999999</v>
      </c>
      <c r="E476" s="28">
        <f>34.4963 * CHOOSE(CONTROL!$C$15, $E$9, 100%, $G$9) + CHOOSE(CONTROL!$C$38, 0.0369, 0)</f>
        <v>34.533200000000001</v>
      </c>
      <c r="F476" s="27">
        <f>34.4963 * CHOOSE(CONTROL!$C$15, $E$9, 100%, $G$9) + CHOOSE(CONTROL!$C$38, 0.0278, 0)</f>
        <v>34.524099999999997</v>
      </c>
      <c r="G476" s="10">
        <f>31.8933 * CHOOSE(CONTROL!$C$15, $E$9, 100%, $G$9) + CHOOSE(CONTROL!$C$38, 0.0369, 0)</f>
        <v>31.930199999999999</v>
      </c>
      <c r="H476" s="10">
        <f>31.8933 * CHOOSE(CONTROL!$C$15, $E$9, 100%, $G$9) + CHOOSE(CONTROL!$C$38, 0.0369, 0)</f>
        <v>31.930199999999999</v>
      </c>
      <c r="I476" s="10">
        <f>31.8949 * CHOOSE(CONTROL!$C$15, $E$9, 100%, $G$9) + CHOOSE(CONTROL!$C$38, 0.0369, 0)</f>
        <v>31.931799999999999</v>
      </c>
      <c r="J476" s="26">
        <f>253.4637</f>
        <v>253.46369999999999</v>
      </c>
    </row>
    <row r="477" spans="1:10" ht="15.75" x14ac:dyDescent="0.25">
      <c r="A477" s="14">
        <v>55457</v>
      </c>
      <c r="B477" s="10">
        <f>34.8844 * CHOOSE(CONTROL!$C$15, $E$9, 100%, $G$9) + CHOOSE(CONTROL!$C$38, 0.0256, 0)</f>
        <v>34.909999999999997</v>
      </c>
      <c r="C477" s="10">
        <f>32.1267 * CHOOSE(CONTROL!$C$15, $E$9, 100%, $G$9) + CHOOSE(CONTROL!$C$38, 0.0347, 0)</f>
        <v>32.1614</v>
      </c>
      <c r="D477" s="10">
        <f>32.1189 * CHOOSE(CONTROL!$C$15, $E$9, 100%, $G$9) + CHOOSE(CONTROL!$C$38, 0.0347, 0)</f>
        <v>32.153599999999997</v>
      </c>
      <c r="E477" s="28">
        <f>34.7282 * CHOOSE(CONTROL!$C$15, $E$9, 100%, $G$9) + CHOOSE(CONTROL!$C$38, 0.0347, 0)</f>
        <v>34.762900000000002</v>
      </c>
      <c r="F477" s="27">
        <f>34.7282 * CHOOSE(CONTROL!$C$15, $E$9, 100%, $G$9) + CHOOSE(CONTROL!$C$38, 0.0256, 0)</f>
        <v>34.753799999999998</v>
      </c>
      <c r="G477" s="10">
        <f>32.1251 * CHOOSE(CONTROL!$C$15, $E$9, 100%, $G$9) + CHOOSE(CONTROL!$C$38, 0.0347, 0)</f>
        <v>32.159800000000004</v>
      </c>
      <c r="H477" s="10">
        <f>32.1251 * CHOOSE(CONTROL!$C$15, $E$9, 100%, $G$9) + CHOOSE(CONTROL!$C$38, 0.0347, 0)</f>
        <v>32.159800000000004</v>
      </c>
      <c r="I477" s="10">
        <f>32.1267 * CHOOSE(CONTROL!$C$15, $E$9, 100%, $G$9) + CHOOSE(CONTROL!$C$38, 0.0347, 0)</f>
        <v>32.1614</v>
      </c>
      <c r="J477" s="26">
        <f>244.6986</f>
        <v>244.6986</v>
      </c>
    </row>
    <row r="478" spans="1:10" ht="15.75" x14ac:dyDescent="0.25">
      <c r="A478" s="14">
        <v>55487</v>
      </c>
      <c r="B478" s="10">
        <f>35.0779 * CHOOSE(CONTROL!$C$15, $E$9, 100%, $G$9) + CHOOSE(CONTROL!$C$38, 0.0256, 0)</f>
        <v>35.103499999999997</v>
      </c>
      <c r="C478" s="10">
        <f>32.3201 * CHOOSE(CONTROL!$C$15, $E$9, 100%, $G$9) + CHOOSE(CONTROL!$C$38, 0.0347, 0)</f>
        <v>32.354799999999997</v>
      </c>
      <c r="D478" s="10">
        <f>32.3123 * CHOOSE(CONTROL!$C$15, $E$9, 100%, $G$9) + CHOOSE(CONTROL!$C$38, 0.0347, 0)</f>
        <v>32.347000000000001</v>
      </c>
      <c r="E478" s="28">
        <f>34.9216 * CHOOSE(CONTROL!$C$15, $E$9, 100%, $G$9) + CHOOSE(CONTROL!$C$38, 0.0347, 0)</f>
        <v>34.956299999999999</v>
      </c>
      <c r="F478" s="27">
        <f>34.9216 * CHOOSE(CONTROL!$C$15, $E$9, 100%, $G$9) + CHOOSE(CONTROL!$C$38, 0.0256, 0)</f>
        <v>34.947199999999995</v>
      </c>
      <c r="G478" s="10">
        <f>32.3186 * CHOOSE(CONTROL!$C$15, $E$9, 100%, $G$9) + CHOOSE(CONTROL!$C$38, 0.0347, 0)</f>
        <v>32.353300000000004</v>
      </c>
      <c r="H478" s="10">
        <f>32.3186 * CHOOSE(CONTROL!$C$15, $E$9, 100%, $G$9) + CHOOSE(CONTROL!$C$38, 0.0347, 0)</f>
        <v>32.353300000000004</v>
      </c>
      <c r="I478" s="10">
        <f>32.3201 * CHOOSE(CONTROL!$C$15, $E$9, 100%, $G$9) + CHOOSE(CONTROL!$C$38, 0.0347, 0)</f>
        <v>32.354799999999997</v>
      </c>
      <c r="J478" s="26">
        <f>242.9551</f>
        <v>242.95509999999999</v>
      </c>
    </row>
    <row r="479" spans="1:10" ht="15.75" x14ac:dyDescent="0.25">
      <c r="A479" s="14">
        <v>55518</v>
      </c>
      <c r="B479" s="10">
        <f>35.6739 * CHOOSE(CONTROL!$C$15, $E$9, 100%, $G$9) + CHOOSE(CONTROL!$C$38, 0.0256, 0)</f>
        <v>35.6995</v>
      </c>
      <c r="C479" s="10">
        <f>32.9162 * CHOOSE(CONTROL!$C$15, $E$9, 100%, $G$9) + CHOOSE(CONTROL!$C$38, 0.0347, 0)</f>
        <v>32.950900000000004</v>
      </c>
      <c r="D479" s="10">
        <f>32.9084 * CHOOSE(CONTROL!$C$15, $E$9, 100%, $G$9) + CHOOSE(CONTROL!$C$38, 0.0347, 0)</f>
        <v>32.943100000000001</v>
      </c>
      <c r="E479" s="28">
        <f>35.5177 * CHOOSE(CONTROL!$C$15, $E$9, 100%, $G$9) + CHOOSE(CONTROL!$C$38, 0.0347, 0)</f>
        <v>35.552399999999999</v>
      </c>
      <c r="F479" s="27">
        <f>35.5177 * CHOOSE(CONTROL!$C$15, $E$9, 100%, $G$9) + CHOOSE(CONTROL!$C$38, 0.0256, 0)</f>
        <v>35.543299999999995</v>
      </c>
      <c r="G479" s="10">
        <f>32.9147 * CHOOSE(CONTROL!$C$15, $E$9, 100%, $G$9) + CHOOSE(CONTROL!$C$38, 0.0347, 0)</f>
        <v>32.949400000000004</v>
      </c>
      <c r="H479" s="10">
        <f>32.9147 * CHOOSE(CONTROL!$C$15, $E$9, 100%, $G$9) + CHOOSE(CONTROL!$C$38, 0.0347, 0)</f>
        <v>32.949400000000004</v>
      </c>
      <c r="I479" s="10">
        <f>32.9162 * CHOOSE(CONTROL!$C$15, $E$9, 100%, $G$9) + CHOOSE(CONTROL!$C$38, 0.0347, 0)</f>
        <v>32.950900000000004</v>
      </c>
      <c r="J479" s="26">
        <f>235.7454</f>
        <v>235.74539999999999</v>
      </c>
    </row>
    <row r="480" spans="1:10" ht="15.75" x14ac:dyDescent="0.25">
      <c r="A480" s="14">
        <v>55549</v>
      </c>
      <c r="B480" s="10">
        <f>36.7102 * CHOOSE(CONTROL!$C$15, $E$9, 100%, $G$9) + CHOOSE(CONTROL!$C$38, 0.0256, 0)</f>
        <v>36.735799999999998</v>
      </c>
      <c r="C480" s="10">
        <f>33.9098 * CHOOSE(CONTROL!$C$15, $E$9, 100%, $G$9) + CHOOSE(CONTROL!$C$38, 0.0347, 0)</f>
        <v>33.944499999999998</v>
      </c>
      <c r="D480" s="10">
        <f>33.902 * CHOOSE(CONTROL!$C$15, $E$9, 100%, $G$9) + CHOOSE(CONTROL!$C$38, 0.0347, 0)</f>
        <v>33.936700000000002</v>
      </c>
      <c r="E480" s="28">
        <f>36.554 * CHOOSE(CONTROL!$C$15, $E$9, 100%, $G$9) + CHOOSE(CONTROL!$C$38, 0.0347, 0)</f>
        <v>36.588700000000003</v>
      </c>
      <c r="F480" s="27">
        <f>36.554 * CHOOSE(CONTROL!$C$15, $E$9, 100%, $G$9) + CHOOSE(CONTROL!$C$38, 0.0256, 0)</f>
        <v>36.579599999999999</v>
      </c>
      <c r="G480" s="10">
        <f>33.9083 * CHOOSE(CONTROL!$C$15, $E$9, 100%, $G$9) + CHOOSE(CONTROL!$C$38, 0.0347, 0)</f>
        <v>33.942999999999998</v>
      </c>
      <c r="H480" s="10">
        <f>33.9083 * CHOOSE(CONTROL!$C$15, $E$9, 100%, $G$9) + CHOOSE(CONTROL!$C$38, 0.0347, 0)</f>
        <v>33.942999999999998</v>
      </c>
      <c r="I480" s="10">
        <f>33.9098 * CHOOSE(CONTROL!$C$15, $E$9, 100%, $G$9) + CHOOSE(CONTROL!$C$38, 0.0347, 0)</f>
        <v>33.944499999999998</v>
      </c>
      <c r="J480" s="26">
        <f>235.2952</f>
        <v>235.29519999999999</v>
      </c>
    </row>
    <row r="481" spans="1:10" ht="15.75" x14ac:dyDescent="0.25">
      <c r="A481" s="14">
        <v>55577</v>
      </c>
      <c r="B481" s="10">
        <f>36.931 * CHOOSE(CONTROL!$C$15, $E$9, 100%, $G$9) + CHOOSE(CONTROL!$C$38, 0.0256, 0)</f>
        <v>36.956599999999995</v>
      </c>
      <c r="C481" s="10">
        <f>34.1306 * CHOOSE(CONTROL!$C$15, $E$9, 100%, $G$9) + CHOOSE(CONTROL!$C$38, 0.0347, 0)</f>
        <v>34.165300000000002</v>
      </c>
      <c r="D481" s="10">
        <f>34.1228 * CHOOSE(CONTROL!$C$15, $E$9, 100%, $G$9) + CHOOSE(CONTROL!$C$38, 0.0347, 0)</f>
        <v>34.157499999999999</v>
      </c>
      <c r="E481" s="28">
        <f>36.7747 * CHOOSE(CONTROL!$C$15, $E$9, 100%, $G$9) + CHOOSE(CONTROL!$C$38, 0.0347, 0)</f>
        <v>36.809400000000004</v>
      </c>
      <c r="F481" s="27">
        <f>36.7747 * CHOOSE(CONTROL!$C$15, $E$9, 100%, $G$9) + CHOOSE(CONTROL!$C$38, 0.0256, 0)</f>
        <v>36.8003</v>
      </c>
      <c r="G481" s="10">
        <f>34.129 * CHOOSE(CONTROL!$C$15, $E$9, 100%, $G$9) + CHOOSE(CONTROL!$C$38, 0.0347, 0)</f>
        <v>34.163699999999999</v>
      </c>
      <c r="H481" s="10">
        <f>34.129 * CHOOSE(CONTROL!$C$15, $E$9, 100%, $G$9) + CHOOSE(CONTROL!$C$38, 0.0347, 0)</f>
        <v>34.163699999999999</v>
      </c>
      <c r="I481" s="10">
        <f>34.1306 * CHOOSE(CONTROL!$C$15, $E$9, 100%, $G$9) + CHOOSE(CONTROL!$C$38, 0.0347, 0)</f>
        <v>34.165300000000002</v>
      </c>
      <c r="J481" s="26">
        <f>234.6411</f>
        <v>234.64109999999999</v>
      </c>
    </row>
    <row r="482" spans="1:10" ht="15.75" x14ac:dyDescent="0.25">
      <c r="A482" s="14">
        <v>55609</v>
      </c>
      <c r="B482" s="10">
        <f>36.4199 * CHOOSE(CONTROL!$C$15, $E$9, 100%, $G$9) + CHOOSE(CONTROL!$C$38, 0.0256, 0)</f>
        <v>36.445499999999996</v>
      </c>
      <c r="C482" s="10">
        <f>33.6196 * CHOOSE(CONTROL!$C$15, $E$9, 100%, $G$9) + CHOOSE(CONTROL!$C$38, 0.0347, 0)</f>
        <v>33.654299999999999</v>
      </c>
      <c r="D482" s="10">
        <f>33.6118 * CHOOSE(CONTROL!$C$15, $E$9, 100%, $G$9) + CHOOSE(CONTROL!$C$38, 0.0347, 0)</f>
        <v>33.646500000000003</v>
      </c>
      <c r="E482" s="28">
        <f>36.2637 * CHOOSE(CONTROL!$C$15, $E$9, 100%, $G$9) + CHOOSE(CONTROL!$C$38, 0.0347, 0)</f>
        <v>36.298400000000001</v>
      </c>
      <c r="F482" s="27">
        <f>36.2637 * CHOOSE(CONTROL!$C$15, $E$9, 100%, $G$9) + CHOOSE(CONTROL!$C$38, 0.0256, 0)</f>
        <v>36.289299999999997</v>
      </c>
      <c r="G482" s="10">
        <f>33.618 * CHOOSE(CONTROL!$C$15, $E$9, 100%, $G$9) + CHOOSE(CONTROL!$C$38, 0.0347, 0)</f>
        <v>33.652700000000003</v>
      </c>
      <c r="H482" s="10">
        <f>33.618 * CHOOSE(CONTROL!$C$15, $E$9, 100%, $G$9) + CHOOSE(CONTROL!$C$38, 0.0347, 0)</f>
        <v>33.652700000000003</v>
      </c>
      <c r="I482" s="10">
        <f>33.6196 * CHOOSE(CONTROL!$C$15, $E$9, 100%, $G$9) + CHOOSE(CONTROL!$C$38, 0.0347, 0)</f>
        <v>33.654299999999999</v>
      </c>
      <c r="J482" s="26">
        <f>247.0081</f>
        <v>247.00810000000001</v>
      </c>
    </row>
    <row r="483" spans="1:10" ht="15.75" x14ac:dyDescent="0.25">
      <c r="A483" s="14">
        <v>55639</v>
      </c>
      <c r="B483" s="10">
        <f>35.9248 * CHOOSE(CONTROL!$C$15, $E$9, 100%, $G$9) + CHOOSE(CONTROL!$C$38, 0.0256, 0)</f>
        <v>35.950399999999995</v>
      </c>
      <c r="C483" s="10">
        <f>33.1244 * CHOOSE(CONTROL!$C$15, $E$9, 100%, $G$9) + CHOOSE(CONTROL!$C$38, 0.0347, 0)</f>
        <v>33.159100000000002</v>
      </c>
      <c r="D483" s="10">
        <f>33.1166 * CHOOSE(CONTROL!$C$15, $E$9, 100%, $G$9) + CHOOSE(CONTROL!$C$38, 0.0347, 0)</f>
        <v>33.151299999999999</v>
      </c>
      <c r="E483" s="28">
        <f>35.7685 * CHOOSE(CONTROL!$C$15, $E$9, 100%, $G$9) + CHOOSE(CONTROL!$C$38, 0.0347, 0)</f>
        <v>35.803200000000004</v>
      </c>
      <c r="F483" s="27">
        <f>35.7685 * CHOOSE(CONTROL!$C$15, $E$9, 100%, $G$9) + CHOOSE(CONTROL!$C$38, 0.0256, 0)</f>
        <v>35.7941</v>
      </c>
      <c r="G483" s="10">
        <f>33.1228 * CHOOSE(CONTROL!$C$15, $E$9, 100%, $G$9) + CHOOSE(CONTROL!$C$38, 0.0347, 0)</f>
        <v>33.157499999999999</v>
      </c>
      <c r="H483" s="10">
        <f>33.1228 * CHOOSE(CONTROL!$C$15, $E$9, 100%, $G$9) + CHOOSE(CONTROL!$C$38, 0.0347, 0)</f>
        <v>33.157499999999999</v>
      </c>
      <c r="I483" s="10">
        <f>33.1244 * CHOOSE(CONTROL!$C$15, $E$9, 100%, $G$9) + CHOOSE(CONTROL!$C$38, 0.0347, 0)</f>
        <v>33.159100000000002</v>
      </c>
      <c r="J483" s="26">
        <f>263.045</f>
        <v>263.04500000000002</v>
      </c>
    </row>
    <row r="484" spans="1:10" ht="15.75" x14ac:dyDescent="0.25">
      <c r="A484" s="14">
        <v>55670</v>
      </c>
      <c r="B484" s="10">
        <f>35.4086 * CHOOSE(CONTROL!$C$15, $E$9, 100%, $G$9) + CHOOSE(CONTROL!$C$38, 0.0278, 0)</f>
        <v>35.436399999999999</v>
      </c>
      <c r="C484" s="10">
        <f>32.6083 * CHOOSE(CONTROL!$C$15, $E$9, 100%, $G$9) + CHOOSE(CONTROL!$C$38, 0.0369, 0)</f>
        <v>32.645200000000003</v>
      </c>
      <c r="D484" s="10">
        <f>32.6005 * CHOOSE(CONTROL!$C$15, $E$9, 100%, $G$9) + CHOOSE(CONTROL!$C$38, 0.0369, 0)</f>
        <v>32.6374</v>
      </c>
      <c r="E484" s="28">
        <f>35.2524 * CHOOSE(CONTROL!$C$15, $E$9, 100%, $G$9) + CHOOSE(CONTROL!$C$38, 0.0369, 0)</f>
        <v>35.289300000000004</v>
      </c>
      <c r="F484" s="27">
        <f>35.2524 * CHOOSE(CONTROL!$C$15, $E$9, 100%, $G$9) + CHOOSE(CONTROL!$C$38, 0.0278, 0)</f>
        <v>35.280200000000001</v>
      </c>
      <c r="G484" s="10">
        <f>32.6067 * CHOOSE(CONTROL!$C$15, $E$9, 100%, $G$9) + CHOOSE(CONTROL!$C$38, 0.0369, 0)</f>
        <v>32.643599999999999</v>
      </c>
      <c r="H484" s="10">
        <f>32.6067 * CHOOSE(CONTROL!$C$15, $E$9, 100%, $G$9) + CHOOSE(CONTROL!$C$38, 0.0369, 0)</f>
        <v>32.643599999999999</v>
      </c>
      <c r="I484" s="10">
        <f>32.6083 * CHOOSE(CONTROL!$C$15, $E$9, 100%, $G$9) + CHOOSE(CONTROL!$C$38, 0.0369, 0)</f>
        <v>32.645200000000003</v>
      </c>
      <c r="J484" s="26">
        <f>271.8723</f>
        <v>271.8723</v>
      </c>
    </row>
    <row r="485" spans="1:10" ht="15.75" x14ac:dyDescent="0.25">
      <c r="A485" s="14">
        <v>55700</v>
      </c>
      <c r="B485" s="10">
        <f>35.0468 * CHOOSE(CONTROL!$C$15, $E$9, 100%, $G$9) + CHOOSE(CONTROL!$C$38, 0.0278, 0)</f>
        <v>35.074599999999997</v>
      </c>
      <c r="C485" s="10">
        <f>32.2464 * CHOOSE(CONTROL!$C$15, $E$9, 100%, $G$9) + CHOOSE(CONTROL!$C$38, 0.0369, 0)</f>
        <v>32.283300000000004</v>
      </c>
      <c r="D485" s="10">
        <f>32.2386 * CHOOSE(CONTROL!$C$15, $E$9, 100%, $G$9) + CHOOSE(CONTROL!$C$38, 0.0369, 0)</f>
        <v>32.275500000000001</v>
      </c>
      <c r="E485" s="28">
        <f>34.8906 * CHOOSE(CONTROL!$C$15, $E$9, 100%, $G$9) + CHOOSE(CONTROL!$C$38, 0.0369, 0)</f>
        <v>34.927500000000002</v>
      </c>
      <c r="F485" s="27">
        <f>34.8906 * CHOOSE(CONTROL!$C$15, $E$9, 100%, $G$9) + CHOOSE(CONTROL!$C$38, 0.0278, 0)</f>
        <v>34.918399999999998</v>
      </c>
      <c r="G485" s="10">
        <f>32.2449 * CHOOSE(CONTROL!$C$15, $E$9, 100%, $G$9) + CHOOSE(CONTROL!$C$38, 0.0369, 0)</f>
        <v>32.281800000000004</v>
      </c>
      <c r="H485" s="10">
        <f>32.2449 * CHOOSE(CONTROL!$C$15, $E$9, 100%, $G$9) + CHOOSE(CONTROL!$C$38, 0.0369, 0)</f>
        <v>32.281800000000004</v>
      </c>
      <c r="I485" s="10">
        <f>32.2464 * CHOOSE(CONTROL!$C$15, $E$9, 100%, $G$9) + CHOOSE(CONTROL!$C$38, 0.0369, 0)</f>
        <v>32.283300000000004</v>
      </c>
      <c r="J485" s="26">
        <f>275.7897</f>
        <v>275.78969999999998</v>
      </c>
    </row>
    <row r="486" spans="1:10" ht="15.75" x14ac:dyDescent="0.25">
      <c r="A486" s="14">
        <v>55731</v>
      </c>
      <c r="B486" s="10">
        <f>34.8403 * CHOOSE(CONTROL!$C$15, $E$9, 100%, $G$9) + CHOOSE(CONTROL!$C$38, 0.0278, 0)</f>
        <v>34.868099999999998</v>
      </c>
      <c r="C486" s="10">
        <f>32.0399 * CHOOSE(CONTROL!$C$15, $E$9, 100%, $G$9) + CHOOSE(CONTROL!$C$38, 0.0369, 0)</f>
        <v>32.076800000000006</v>
      </c>
      <c r="D486" s="10">
        <f>32.0321 * CHOOSE(CONTROL!$C$15, $E$9, 100%, $G$9) + CHOOSE(CONTROL!$C$38, 0.0369, 0)</f>
        <v>32.069000000000003</v>
      </c>
      <c r="E486" s="28">
        <f>34.6841 * CHOOSE(CONTROL!$C$15, $E$9, 100%, $G$9) + CHOOSE(CONTROL!$C$38, 0.0369, 0)</f>
        <v>34.721000000000004</v>
      </c>
      <c r="F486" s="27">
        <f>34.6841 * CHOOSE(CONTROL!$C$15, $E$9, 100%, $G$9) + CHOOSE(CONTROL!$C$38, 0.0278, 0)</f>
        <v>34.7119</v>
      </c>
      <c r="G486" s="10">
        <f>32.0384 * CHOOSE(CONTROL!$C$15, $E$9, 100%, $G$9) + CHOOSE(CONTROL!$C$38, 0.0369, 0)</f>
        <v>32.075300000000006</v>
      </c>
      <c r="H486" s="10">
        <f>32.0384 * CHOOSE(CONTROL!$C$15, $E$9, 100%, $G$9) + CHOOSE(CONTROL!$C$38, 0.0369, 0)</f>
        <v>32.075300000000006</v>
      </c>
      <c r="I486" s="10">
        <f>32.0399 * CHOOSE(CONTROL!$C$15, $E$9, 100%, $G$9) + CHOOSE(CONTROL!$C$38, 0.0369, 0)</f>
        <v>32.076800000000006</v>
      </c>
      <c r="J486" s="26">
        <f>274.4999</f>
        <v>274.49990000000003</v>
      </c>
    </row>
    <row r="487" spans="1:10" ht="15.75" x14ac:dyDescent="0.25">
      <c r="A487" s="14">
        <v>55762</v>
      </c>
      <c r="B487" s="10">
        <f>34.9422 * CHOOSE(CONTROL!$C$15, $E$9, 100%, $G$9) + CHOOSE(CONTROL!$C$38, 0.0278, 0)</f>
        <v>34.97</v>
      </c>
      <c r="C487" s="10">
        <f>32.1419 * CHOOSE(CONTROL!$C$15, $E$9, 100%, $G$9) + CHOOSE(CONTROL!$C$38, 0.0369, 0)</f>
        <v>32.178800000000003</v>
      </c>
      <c r="D487" s="10">
        <f>32.134 * CHOOSE(CONTROL!$C$15, $E$9, 100%, $G$9) + CHOOSE(CONTROL!$C$38, 0.0369, 0)</f>
        <v>32.170900000000003</v>
      </c>
      <c r="E487" s="28">
        <f>34.786 * CHOOSE(CONTROL!$C$15, $E$9, 100%, $G$9) + CHOOSE(CONTROL!$C$38, 0.0369, 0)</f>
        <v>34.822900000000004</v>
      </c>
      <c r="F487" s="27">
        <f>34.786 * CHOOSE(CONTROL!$C$15, $E$9, 100%, $G$9) + CHOOSE(CONTROL!$C$38, 0.0278, 0)</f>
        <v>34.813800000000001</v>
      </c>
      <c r="G487" s="10">
        <f>32.1403 * CHOOSE(CONTROL!$C$15, $E$9, 100%, $G$9) + CHOOSE(CONTROL!$C$38, 0.0369, 0)</f>
        <v>32.177200000000006</v>
      </c>
      <c r="H487" s="10">
        <f>32.1403 * CHOOSE(CONTROL!$C$15, $E$9, 100%, $G$9) + CHOOSE(CONTROL!$C$38, 0.0369, 0)</f>
        <v>32.177200000000006</v>
      </c>
      <c r="I487" s="10">
        <f>32.1419 * CHOOSE(CONTROL!$C$15, $E$9, 100%, $G$9) + CHOOSE(CONTROL!$C$38, 0.0369, 0)</f>
        <v>32.178800000000003</v>
      </c>
      <c r="J487" s="26">
        <f>268.1097</f>
        <v>268.10969999999998</v>
      </c>
    </row>
    <row r="488" spans="1:10" ht="15.75" x14ac:dyDescent="0.25">
      <c r="A488" s="14">
        <v>55792</v>
      </c>
      <c r="B488" s="10">
        <f>35.219 * CHOOSE(CONTROL!$C$15, $E$9, 100%, $G$9) + CHOOSE(CONTROL!$C$38, 0.0278, 0)</f>
        <v>35.2468</v>
      </c>
      <c r="C488" s="10">
        <f>32.4187 * CHOOSE(CONTROL!$C$15, $E$9, 100%, $G$9) + CHOOSE(CONTROL!$C$38, 0.0369, 0)</f>
        <v>32.455600000000004</v>
      </c>
      <c r="D488" s="10">
        <f>32.4108 * CHOOSE(CONTROL!$C$15, $E$9, 100%, $G$9) + CHOOSE(CONTROL!$C$38, 0.0369, 0)</f>
        <v>32.447700000000005</v>
      </c>
      <c r="E488" s="28">
        <f>35.0628 * CHOOSE(CONTROL!$C$15, $E$9, 100%, $G$9) + CHOOSE(CONTROL!$C$38, 0.0369, 0)</f>
        <v>35.099700000000006</v>
      </c>
      <c r="F488" s="27">
        <f>35.0628 * CHOOSE(CONTROL!$C$15, $E$9, 100%, $G$9) + CHOOSE(CONTROL!$C$38, 0.0278, 0)</f>
        <v>35.090600000000002</v>
      </c>
      <c r="G488" s="10">
        <f>32.4171 * CHOOSE(CONTROL!$C$15, $E$9, 100%, $G$9) + CHOOSE(CONTROL!$C$38, 0.0369, 0)</f>
        <v>32.454000000000001</v>
      </c>
      <c r="H488" s="10">
        <f>32.4171 * CHOOSE(CONTROL!$C$15, $E$9, 100%, $G$9) + CHOOSE(CONTROL!$C$38, 0.0369, 0)</f>
        <v>32.454000000000001</v>
      </c>
      <c r="I488" s="10">
        <f>32.4187 * CHOOSE(CONTROL!$C$15, $E$9, 100%, $G$9) + CHOOSE(CONTROL!$C$38, 0.0369, 0)</f>
        <v>32.455600000000004</v>
      </c>
      <c r="J488" s="26">
        <f>259.1982</f>
        <v>259.19819999999999</v>
      </c>
    </row>
    <row r="489" spans="1:10" ht="15.75" x14ac:dyDescent="0.25">
      <c r="A489" s="14">
        <v>55823</v>
      </c>
      <c r="B489" s="10">
        <f>35.4508 * CHOOSE(CONTROL!$C$15, $E$9, 100%, $G$9) + CHOOSE(CONTROL!$C$38, 0.0256, 0)</f>
        <v>35.476399999999998</v>
      </c>
      <c r="C489" s="10">
        <f>32.6505 * CHOOSE(CONTROL!$C$15, $E$9, 100%, $G$9) + CHOOSE(CONTROL!$C$38, 0.0347, 0)</f>
        <v>32.685200000000002</v>
      </c>
      <c r="D489" s="10">
        <f>32.6427 * CHOOSE(CONTROL!$C$15, $E$9, 100%, $G$9) + CHOOSE(CONTROL!$C$38, 0.0347, 0)</f>
        <v>32.677399999999999</v>
      </c>
      <c r="E489" s="28">
        <f>35.2946 * CHOOSE(CONTROL!$C$15, $E$9, 100%, $G$9) + CHOOSE(CONTROL!$C$38, 0.0347, 0)</f>
        <v>35.329300000000003</v>
      </c>
      <c r="F489" s="27">
        <f>35.2946 * CHOOSE(CONTROL!$C$15, $E$9, 100%, $G$9) + CHOOSE(CONTROL!$C$38, 0.0256, 0)</f>
        <v>35.3202</v>
      </c>
      <c r="G489" s="10">
        <f>32.6489 * CHOOSE(CONTROL!$C$15, $E$9, 100%, $G$9) + CHOOSE(CONTROL!$C$38, 0.0347, 0)</f>
        <v>32.683599999999998</v>
      </c>
      <c r="H489" s="10">
        <f>32.6489 * CHOOSE(CONTROL!$C$15, $E$9, 100%, $G$9) + CHOOSE(CONTROL!$C$38, 0.0347, 0)</f>
        <v>32.683599999999998</v>
      </c>
      <c r="I489" s="10">
        <f>32.6505 * CHOOSE(CONTROL!$C$15, $E$9, 100%, $G$9) + CHOOSE(CONTROL!$C$38, 0.0347, 0)</f>
        <v>32.685200000000002</v>
      </c>
      <c r="J489" s="26">
        <f>250.2348</f>
        <v>250.23480000000001</v>
      </c>
    </row>
    <row r="490" spans="1:10" ht="15.75" x14ac:dyDescent="0.25">
      <c r="A490" s="14">
        <v>55853</v>
      </c>
      <c r="B490" s="10">
        <f>35.6443 * CHOOSE(CONTROL!$C$15, $E$9, 100%, $G$9) + CHOOSE(CONTROL!$C$38, 0.0256, 0)</f>
        <v>35.669899999999998</v>
      </c>
      <c r="C490" s="10">
        <f>32.8439 * CHOOSE(CONTROL!$C$15, $E$9, 100%, $G$9) + CHOOSE(CONTROL!$C$38, 0.0347, 0)</f>
        <v>32.878599999999999</v>
      </c>
      <c r="D490" s="10">
        <f>32.8361 * CHOOSE(CONTROL!$C$15, $E$9, 100%, $G$9) + CHOOSE(CONTROL!$C$38, 0.0347, 0)</f>
        <v>32.870800000000003</v>
      </c>
      <c r="E490" s="28">
        <f>35.488 * CHOOSE(CONTROL!$C$15, $E$9, 100%, $G$9) + CHOOSE(CONTROL!$C$38, 0.0347, 0)</f>
        <v>35.5227</v>
      </c>
      <c r="F490" s="27">
        <f>35.488 * CHOOSE(CONTROL!$C$15, $E$9, 100%, $G$9) + CHOOSE(CONTROL!$C$38, 0.0256, 0)</f>
        <v>35.513599999999997</v>
      </c>
      <c r="G490" s="10">
        <f>32.8424 * CHOOSE(CONTROL!$C$15, $E$9, 100%, $G$9) + CHOOSE(CONTROL!$C$38, 0.0347, 0)</f>
        <v>32.877099999999999</v>
      </c>
      <c r="H490" s="10">
        <f>32.8424 * CHOOSE(CONTROL!$C$15, $E$9, 100%, $G$9) + CHOOSE(CONTROL!$C$38, 0.0347, 0)</f>
        <v>32.877099999999999</v>
      </c>
      <c r="I490" s="10">
        <f>32.8439 * CHOOSE(CONTROL!$C$15, $E$9, 100%, $G$9) + CHOOSE(CONTROL!$C$38, 0.0347, 0)</f>
        <v>32.878599999999999</v>
      </c>
      <c r="J490" s="26">
        <f>248.4518</f>
        <v>248.45179999999999</v>
      </c>
    </row>
    <row r="491" spans="1:10" ht="15.75" x14ac:dyDescent="0.25">
      <c r="A491" s="14">
        <v>55884</v>
      </c>
      <c r="B491" s="10">
        <f>36.2404 * CHOOSE(CONTROL!$C$15, $E$9, 100%, $G$9) + CHOOSE(CONTROL!$C$38, 0.0256, 0)</f>
        <v>36.265999999999998</v>
      </c>
      <c r="C491" s="10">
        <f>33.44 * CHOOSE(CONTROL!$C$15, $E$9, 100%, $G$9) + CHOOSE(CONTROL!$C$38, 0.0347, 0)</f>
        <v>33.474699999999999</v>
      </c>
      <c r="D491" s="10">
        <f>33.4322 * CHOOSE(CONTROL!$C$15, $E$9, 100%, $G$9) + CHOOSE(CONTROL!$C$38, 0.0347, 0)</f>
        <v>33.466900000000003</v>
      </c>
      <c r="E491" s="28">
        <f>36.0841 * CHOOSE(CONTROL!$C$15, $E$9, 100%, $G$9) + CHOOSE(CONTROL!$C$38, 0.0347, 0)</f>
        <v>36.1188</v>
      </c>
      <c r="F491" s="27">
        <f>36.0841 * CHOOSE(CONTROL!$C$15, $E$9, 100%, $G$9) + CHOOSE(CONTROL!$C$38, 0.0256, 0)</f>
        <v>36.109699999999997</v>
      </c>
      <c r="G491" s="10">
        <f>33.4384 * CHOOSE(CONTROL!$C$15, $E$9, 100%, $G$9) + CHOOSE(CONTROL!$C$38, 0.0347, 0)</f>
        <v>33.473100000000002</v>
      </c>
      <c r="H491" s="10">
        <f>33.4384 * CHOOSE(CONTROL!$C$15, $E$9, 100%, $G$9) + CHOOSE(CONTROL!$C$38, 0.0347, 0)</f>
        <v>33.473100000000002</v>
      </c>
      <c r="I491" s="10">
        <f>33.44 * CHOOSE(CONTROL!$C$15, $E$9, 100%, $G$9) + CHOOSE(CONTROL!$C$38, 0.0347, 0)</f>
        <v>33.474699999999999</v>
      </c>
      <c r="J491" s="26">
        <f>241.079</f>
        <v>241.07900000000001</v>
      </c>
    </row>
    <row r="492" spans="1:10" ht="15.75" x14ac:dyDescent="0.25">
      <c r="A492" s="14">
        <v>55915</v>
      </c>
      <c r="B492" s="10">
        <f>37.2859 * CHOOSE(CONTROL!$C$15, $E$9, 100%, $G$9) + CHOOSE(CONTROL!$C$38, 0.0256, 0)</f>
        <v>37.311499999999995</v>
      </c>
      <c r="C492" s="10">
        <f>34.4422 * CHOOSE(CONTROL!$C$15, $E$9, 100%, $G$9) + CHOOSE(CONTROL!$C$38, 0.0347, 0)</f>
        <v>34.476900000000001</v>
      </c>
      <c r="D492" s="10">
        <f>34.4344 * CHOOSE(CONTROL!$C$15, $E$9, 100%, $G$9) + CHOOSE(CONTROL!$C$38, 0.0347, 0)</f>
        <v>34.469099999999997</v>
      </c>
      <c r="E492" s="28">
        <f>37.1297 * CHOOSE(CONTROL!$C$15, $E$9, 100%, $G$9) + CHOOSE(CONTROL!$C$38, 0.0347, 0)</f>
        <v>37.164400000000001</v>
      </c>
      <c r="F492" s="27">
        <f>37.1297 * CHOOSE(CONTROL!$C$15, $E$9, 100%, $G$9) + CHOOSE(CONTROL!$C$38, 0.0256, 0)</f>
        <v>37.155299999999997</v>
      </c>
      <c r="G492" s="10">
        <f>34.4406 * CHOOSE(CONTROL!$C$15, $E$9, 100%, $G$9) + CHOOSE(CONTROL!$C$38, 0.0347, 0)</f>
        <v>34.475300000000004</v>
      </c>
      <c r="H492" s="10">
        <f>34.4406 * CHOOSE(CONTROL!$C$15, $E$9, 100%, $G$9) + CHOOSE(CONTROL!$C$38, 0.0347, 0)</f>
        <v>34.475300000000004</v>
      </c>
      <c r="I492" s="10">
        <f>34.4422 * CHOOSE(CONTROL!$C$15, $E$9, 100%, $G$9) + CHOOSE(CONTROL!$C$38, 0.0347, 0)</f>
        <v>34.476900000000001</v>
      </c>
      <c r="J492" s="26">
        <f>240.6186</f>
        <v>240.61859999999999</v>
      </c>
    </row>
    <row r="493" spans="1:10" ht="15.75" x14ac:dyDescent="0.25">
      <c r="A493" s="14">
        <v>55943</v>
      </c>
      <c r="B493" s="10">
        <f>37.5067 * CHOOSE(CONTROL!$C$15, $E$9, 100%, $G$9) + CHOOSE(CONTROL!$C$38, 0.0256, 0)</f>
        <v>37.532299999999999</v>
      </c>
      <c r="C493" s="10">
        <f>34.663 * CHOOSE(CONTROL!$C$15, $E$9, 100%, $G$9) + CHOOSE(CONTROL!$C$38, 0.0347, 0)</f>
        <v>34.697699999999998</v>
      </c>
      <c r="D493" s="10">
        <f>34.6551 * CHOOSE(CONTROL!$C$15, $E$9, 100%, $G$9) + CHOOSE(CONTROL!$C$38, 0.0347, 0)</f>
        <v>34.689799999999998</v>
      </c>
      <c r="E493" s="28">
        <f>37.3504 * CHOOSE(CONTROL!$C$15, $E$9, 100%, $G$9) + CHOOSE(CONTROL!$C$38, 0.0347, 0)</f>
        <v>37.385100000000001</v>
      </c>
      <c r="F493" s="27">
        <f>37.3504 * CHOOSE(CONTROL!$C$15, $E$9, 100%, $G$9) + CHOOSE(CONTROL!$C$38, 0.0256, 0)</f>
        <v>37.375999999999998</v>
      </c>
      <c r="G493" s="10">
        <f>34.6614 * CHOOSE(CONTROL!$C$15, $E$9, 100%, $G$9) + CHOOSE(CONTROL!$C$38, 0.0347, 0)</f>
        <v>34.696100000000001</v>
      </c>
      <c r="H493" s="10">
        <f>34.6614 * CHOOSE(CONTROL!$C$15, $E$9, 100%, $G$9) + CHOOSE(CONTROL!$C$38, 0.0347, 0)</f>
        <v>34.696100000000001</v>
      </c>
      <c r="I493" s="10">
        <f>34.663 * CHOOSE(CONTROL!$C$15, $E$9, 100%, $G$9) + CHOOSE(CONTROL!$C$38, 0.0347, 0)</f>
        <v>34.697699999999998</v>
      </c>
      <c r="J493" s="26">
        <f>239.9498</f>
        <v>239.94980000000001</v>
      </c>
    </row>
    <row r="494" spans="1:10" ht="15.75" x14ac:dyDescent="0.25">
      <c r="A494" s="14">
        <v>55974</v>
      </c>
      <c r="B494" s="10">
        <f>36.9956 * CHOOSE(CONTROL!$C$15, $E$9, 100%, $G$9) + CHOOSE(CONTROL!$C$38, 0.0256, 0)</f>
        <v>37.0212</v>
      </c>
      <c r="C494" s="10">
        <f>34.1519 * CHOOSE(CONTROL!$C$15, $E$9, 100%, $G$9) + CHOOSE(CONTROL!$C$38, 0.0347, 0)</f>
        <v>34.186599999999999</v>
      </c>
      <c r="D494" s="10">
        <f>34.1441 * CHOOSE(CONTROL!$C$15, $E$9, 100%, $G$9) + CHOOSE(CONTROL!$C$38, 0.0347, 0)</f>
        <v>34.178800000000003</v>
      </c>
      <c r="E494" s="28">
        <f>36.8394 * CHOOSE(CONTROL!$C$15, $E$9, 100%, $G$9) + CHOOSE(CONTROL!$C$38, 0.0347, 0)</f>
        <v>36.874099999999999</v>
      </c>
      <c r="F494" s="27">
        <f>36.8394 * CHOOSE(CONTROL!$C$15, $E$9, 100%, $G$9) + CHOOSE(CONTROL!$C$38, 0.0256, 0)</f>
        <v>36.864999999999995</v>
      </c>
      <c r="G494" s="10">
        <f>34.1504 * CHOOSE(CONTROL!$C$15, $E$9, 100%, $G$9) + CHOOSE(CONTROL!$C$38, 0.0347, 0)</f>
        <v>34.185099999999998</v>
      </c>
      <c r="H494" s="10">
        <f>34.1504 * CHOOSE(CONTROL!$C$15, $E$9, 100%, $G$9) + CHOOSE(CONTROL!$C$38, 0.0347, 0)</f>
        <v>34.185099999999998</v>
      </c>
      <c r="I494" s="10">
        <f>34.1519 * CHOOSE(CONTROL!$C$15, $E$9, 100%, $G$9) + CHOOSE(CONTROL!$C$38, 0.0347, 0)</f>
        <v>34.186599999999999</v>
      </c>
      <c r="J494" s="26">
        <f>252.5965</f>
        <v>252.59649999999999</v>
      </c>
    </row>
    <row r="495" spans="1:10" ht="15.75" x14ac:dyDescent="0.25">
      <c r="A495" s="14">
        <v>56004</v>
      </c>
      <c r="B495" s="10">
        <f>36.5005 * CHOOSE(CONTROL!$C$15, $E$9, 100%, $G$9) + CHOOSE(CONTROL!$C$38, 0.0256, 0)</f>
        <v>36.5261</v>
      </c>
      <c r="C495" s="10">
        <f>33.6567 * CHOOSE(CONTROL!$C$15, $E$9, 100%, $G$9) + CHOOSE(CONTROL!$C$38, 0.0347, 0)</f>
        <v>33.691400000000002</v>
      </c>
      <c r="D495" s="10">
        <f>33.6489 * CHOOSE(CONTROL!$C$15, $E$9, 100%, $G$9) + CHOOSE(CONTROL!$C$38, 0.0347, 0)</f>
        <v>33.683599999999998</v>
      </c>
      <c r="E495" s="28">
        <f>36.3442 * CHOOSE(CONTROL!$C$15, $E$9, 100%, $G$9) + CHOOSE(CONTROL!$C$38, 0.0347, 0)</f>
        <v>36.378900000000002</v>
      </c>
      <c r="F495" s="27">
        <f>36.3442 * CHOOSE(CONTROL!$C$15, $E$9, 100%, $G$9) + CHOOSE(CONTROL!$C$38, 0.0256, 0)</f>
        <v>36.369799999999998</v>
      </c>
      <c r="G495" s="10">
        <f>33.6552 * CHOOSE(CONTROL!$C$15, $E$9, 100%, $G$9) + CHOOSE(CONTROL!$C$38, 0.0347, 0)</f>
        <v>33.689900000000002</v>
      </c>
      <c r="H495" s="10">
        <f>33.6552 * CHOOSE(CONTROL!$C$15, $E$9, 100%, $G$9) + CHOOSE(CONTROL!$C$38, 0.0347, 0)</f>
        <v>33.689900000000002</v>
      </c>
      <c r="I495" s="10">
        <f>33.6567 * CHOOSE(CONTROL!$C$15, $E$9, 100%, $G$9) + CHOOSE(CONTROL!$C$38, 0.0347, 0)</f>
        <v>33.691400000000002</v>
      </c>
      <c r="J495" s="26">
        <f>268.9963</f>
        <v>268.99630000000002</v>
      </c>
    </row>
    <row r="496" spans="1:10" ht="15.75" x14ac:dyDescent="0.25">
      <c r="A496" s="14">
        <v>56035</v>
      </c>
      <c r="B496" s="10">
        <f>35.9843 * CHOOSE(CONTROL!$C$15, $E$9, 100%, $G$9) + CHOOSE(CONTROL!$C$38, 0.0278, 0)</f>
        <v>36.012099999999997</v>
      </c>
      <c r="C496" s="10">
        <f>33.1406 * CHOOSE(CONTROL!$C$15, $E$9, 100%, $G$9) + CHOOSE(CONTROL!$C$38, 0.0369, 0)</f>
        <v>33.177500000000002</v>
      </c>
      <c r="D496" s="10">
        <f>33.1328 * CHOOSE(CONTROL!$C$15, $E$9, 100%, $G$9) + CHOOSE(CONTROL!$C$38, 0.0369, 0)</f>
        <v>33.169700000000006</v>
      </c>
      <c r="E496" s="28">
        <f>35.8281 * CHOOSE(CONTROL!$C$15, $E$9, 100%, $G$9) + CHOOSE(CONTROL!$C$38, 0.0369, 0)</f>
        <v>35.865000000000002</v>
      </c>
      <c r="F496" s="27">
        <f>35.8281 * CHOOSE(CONTROL!$C$15, $E$9, 100%, $G$9) + CHOOSE(CONTROL!$C$38, 0.0278, 0)</f>
        <v>35.855899999999998</v>
      </c>
      <c r="G496" s="10">
        <f>33.1391 * CHOOSE(CONTROL!$C$15, $E$9, 100%, $G$9) + CHOOSE(CONTROL!$C$38, 0.0369, 0)</f>
        <v>33.176000000000002</v>
      </c>
      <c r="H496" s="10">
        <f>33.1391 * CHOOSE(CONTROL!$C$15, $E$9, 100%, $G$9) + CHOOSE(CONTROL!$C$38, 0.0369, 0)</f>
        <v>33.176000000000002</v>
      </c>
      <c r="I496" s="10">
        <f>33.1406 * CHOOSE(CONTROL!$C$15, $E$9, 100%, $G$9) + CHOOSE(CONTROL!$C$38, 0.0369, 0)</f>
        <v>33.177500000000002</v>
      </c>
      <c r="J496" s="26">
        <f>278.0233</f>
        <v>278.02330000000001</v>
      </c>
    </row>
    <row r="497" spans="1:10" ht="15.75" x14ac:dyDescent="0.25">
      <c r="A497" s="14">
        <v>56065</v>
      </c>
      <c r="B497" s="10">
        <f>35.6225 * CHOOSE(CONTROL!$C$15, $E$9, 100%, $G$9) + CHOOSE(CONTROL!$C$38, 0.0278, 0)</f>
        <v>35.650300000000001</v>
      </c>
      <c r="C497" s="10">
        <f>32.7788 * CHOOSE(CONTROL!$C$15, $E$9, 100%, $G$9) + CHOOSE(CONTROL!$C$38, 0.0369, 0)</f>
        <v>32.8157</v>
      </c>
      <c r="D497" s="10">
        <f>32.771 * CHOOSE(CONTROL!$C$15, $E$9, 100%, $G$9) + CHOOSE(CONTROL!$C$38, 0.0369, 0)</f>
        <v>32.807900000000004</v>
      </c>
      <c r="E497" s="28">
        <f>35.4663 * CHOOSE(CONTROL!$C$15, $E$9, 100%, $G$9) + CHOOSE(CONTROL!$C$38, 0.0369, 0)</f>
        <v>35.5032</v>
      </c>
      <c r="F497" s="27">
        <f>35.4663 * CHOOSE(CONTROL!$C$15, $E$9, 100%, $G$9) + CHOOSE(CONTROL!$C$38, 0.0278, 0)</f>
        <v>35.494099999999996</v>
      </c>
      <c r="G497" s="10">
        <f>32.7772 * CHOOSE(CONTROL!$C$15, $E$9, 100%, $G$9) + CHOOSE(CONTROL!$C$38, 0.0369, 0)</f>
        <v>32.814100000000003</v>
      </c>
      <c r="H497" s="10">
        <f>32.7772 * CHOOSE(CONTROL!$C$15, $E$9, 100%, $G$9) + CHOOSE(CONTROL!$C$38, 0.0369, 0)</f>
        <v>32.814100000000003</v>
      </c>
      <c r="I497" s="10">
        <f>32.7788 * CHOOSE(CONTROL!$C$15, $E$9, 100%, $G$9) + CHOOSE(CONTROL!$C$38, 0.0369, 0)</f>
        <v>32.8157</v>
      </c>
      <c r="J497" s="26">
        <f>282.0293</f>
        <v>282.02929999999998</v>
      </c>
    </row>
    <row r="498" spans="1:10" ht="15.75" x14ac:dyDescent="0.25">
      <c r="A498" s="14">
        <v>56096</v>
      </c>
      <c r="B498" s="10">
        <f>35.416 * CHOOSE(CONTROL!$C$15, $E$9, 100%, $G$9) + CHOOSE(CONTROL!$C$38, 0.0278, 0)</f>
        <v>35.443799999999996</v>
      </c>
      <c r="C498" s="10">
        <f>32.5723 * CHOOSE(CONTROL!$C$15, $E$9, 100%, $G$9) + CHOOSE(CONTROL!$C$38, 0.0369, 0)</f>
        <v>32.609200000000001</v>
      </c>
      <c r="D498" s="10">
        <f>32.5645 * CHOOSE(CONTROL!$C$15, $E$9, 100%, $G$9) + CHOOSE(CONTROL!$C$38, 0.0369, 0)</f>
        <v>32.601400000000005</v>
      </c>
      <c r="E498" s="28">
        <f>35.2598 * CHOOSE(CONTROL!$C$15, $E$9, 100%, $G$9) + CHOOSE(CONTROL!$C$38, 0.0369, 0)</f>
        <v>35.296700000000001</v>
      </c>
      <c r="F498" s="27">
        <f>35.2598 * CHOOSE(CONTROL!$C$15, $E$9, 100%, $G$9) + CHOOSE(CONTROL!$C$38, 0.0278, 0)</f>
        <v>35.287599999999998</v>
      </c>
      <c r="G498" s="10">
        <f>32.5707 * CHOOSE(CONTROL!$C$15, $E$9, 100%, $G$9) + CHOOSE(CONTROL!$C$38, 0.0369, 0)</f>
        <v>32.607600000000005</v>
      </c>
      <c r="H498" s="10">
        <f>32.5707 * CHOOSE(CONTROL!$C$15, $E$9, 100%, $G$9) + CHOOSE(CONTROL!$C$38, 0.0369, 0)</f>
        <v>32.607600000000005</v>
      </c>
      <c r="I498" s="10">
        <f>32.5723 * CHOOSE(CONTROL!$C$15, $E$9, 100%, $G$9) + CHOOSE(CONTROL!$C$38, 0.0369, 0)</f>
        <v>32.609200000000001</v>
      </c>
      <c r="J498" s="26">
        <f>280.7103</f>
        <v>280.71030000000002</v>
      </c>
    </row>
    <row r="499" spans="1:10" ht="15.75" x14ac:dyDescent="0.25">
      <c r="A499" s="14">
        <v>56127</v>
      </c>
      <c r="B499" s="10">
        <f>35.5179 * CHOOSE(CONTROL!$C$15, $E$9, 100%, $G$9) + CHOOSE(CONTROL!$C$38, 0.0278, 0)</f>
        <v>35.545699999999997</v>
      </c>
      <c r="C499" s="10">
        <f>32.6742 * CHOOSE(CONTROL!$C$15, $E$9, 100%, $G$9) + CHOOSE(CONTROL!$C$38, 0.0369, 0)</f>
        <v>32.711100000000002</v>
      </c>
      <c r="D499" s="10">
        <f>32.6664 * CHOOSE(CONTROL!$C$15, $E$9, 100%, $G$9) + CHOOSE(CONTROL!$C$38, 0.0369, 0)</f>
        <v>32.703300000000006</v>
      </c>
      <c r="E499" s="28">
        <f>35.3617 * CHOOSE(CONTROL!$C$15, $E$9, 100%, $G$9) + CHOOSE(CONTROL!$C$38, 0.0369, 0)</f>
        <v>35.398600000000002</v>
      </c>
      <c r="F499" s="27">
        <f>35.3617 * CHOOSE(CONTROL!$C$15, $E$9, 100%, $G$9) + CHOOSE(CONTROL!$C$38, 0.0278, 0)</f>
        <v>35.389499999999998</v>
      </c>
      <c r="G499" s="10">
        <f>32.6726 * CHOOSE(CONTROL!$C$15, $E$9, 100%, $G$9) + CHOOSE(CONTROL!$C$38, 0.0369, 0)</f>
        <v>32.709500000000006</v>
      </c>
      <c r="H499" s="10">
        <f>32.6726 * CHOOSE(CONTROL!$C$15, $E$9, 100%, $G$9) + CHOOSE(CONTROL!$C$38, 0.0369, 0)</f>
        <v>32.709500000000006</v>
      </c>
      <c r="I499" s="10">
        <f>32.6742 * CHOOSE(CONTROL!$C$15, $E$9, 100%, $G$9) + CHOOSE(CONTROL!$C$38, 0.0369, 0)</f>
        <v>32.711100000000002</v>
      </c>
      <c r="J499" s="26">
        <f>274.1755</f>
        <v>274.1755</v>
      </c>
    </row>
    <row r="500" spans="1:10" ht="15.75" x14ac:dyDescent="0.25">
      <c r="A500" s="14">
        <v>56157</v>
      </c>
      <c r="B500" s="10">
        <f>35.7947 * CHOOSE(CONTROL!$C$15, $E$9, 100%, $G$9) + CHOOSE(CONTROL!$C$38, 0.0278, 0)</f>
        <v>35.822499999999998</v>
      </c>
      <c r="C500" s="10">
        <f>32.951 * CHOOSE(CONTROL!$C$15, $E$9, 100%, $G$9) + CHOOSE(CONTROL!$C$38, 0.0369, 0)</f>
        <v>32.987900000000003</v>
      </c>
      <c r="D500" s="10">
        <f>32.9432 * CHOOSE(CONTROL!$C$15, $E$9, 100%, $G$9) + CHOOSE(CONTROL!$C$38, 0.0369, 0)</f>
        <v>32.9801</v>
      </c>
      <c r="E500" s="28">
        <f>35.6385 * CHOOSE(CONTROL!$C$15, $E$9, 100%, $G$9) + CHOOSE(CONTROL!$C$38, 0.0369, 0)</f>
        <v>35.675400000000003</v>
      </c>
      <c r="F500" s="27">
        <f>35.6385 * CHOOSE(CONTROL!$C$15, $E$9, 100%, $G$9) + CHOOSE(CONTROL!$C$38, 0.0278, 0)</f>
        <v>35.6663</v>
      </c>
      <c r="G500" s="10">
        <f>32.9494 * CHOOSE(CONTROL!$C$15, $E$9, 100%, $G$9) + CHOOSE(CONTROL!$C$38, 0.0369, 0)</f>
        <v>32.9863</v>
      </c>
      <c r="H500" s="10">
        <f>32.9494 * CHOOSE(CONTROL!$C$15, $E$9, 100%, $G$9) + CHOOSE(CONTROL!$C$38, 0.0369, 0)</f>
        <v>32.9863</v>
      </c>
      <c r="I500" s="10">
        <f>32.951 * CHOOSE(CONTROL!$C$15, $E$9, 100%, $G$9) + CHOOSE(CONTROL!$C$38, 0.0369, 0)</f>
        <v>32.987900000000003</v>
      </c>
      <c r="J500" s="26">
        <f>265.0624</f>
        <v>265.06240000000003</v>
      </c>
    </row>
    <row r="501" spans="1:10" ht="15.75" x14ac:dyDescent="0.25">
      <c r="A501" s="14">
        <v>56188</v>
      </c>
      <c r="B501" s="10">
        <f>36.0266 * CHOOSE(CONTROL!$C$15, $E$9, 100%, $G$9) + CHOOSE(CONTROL!$C$38, 0.0256, 0)</f>
        <v>36.052199999999999</v>
      </c>
      <c r="C501" s="10">
        <f>33.1828 * CHOOSE(CONTROL!$C$15, $E$9, 100%, $G$9) + CHOOSE(CONTROL!$C$38, 0.0347, 0)</f>
        <v>33.217500000000001</v>
      </c>
      <c r="D501" s="10">
        <f>33.175 * CHOOSE(CONTROL!$C$15, $E$9, 100%, $G$9) + CHOOSE(CONTROL!$C$38, 0.0347, 0)</f>
        <v>33.209699999999998</v>
      </c>
      <c r="E501" s="28">
        <f>35.8703 * CHOOSE(CONTROL!$C$15, $E$9, 100%, $G$9) + CHOOSE(CONTROL!$C$38, 0.0347, 0)</f>
        <v>35.905000000000001</v>
      </c>
      <c r="F501" s="27">
        <f>35.8703 * CHOOSE(CONTROL!$C$15, $E$9, 100%, $G$9) + CHOOSE(CONTROL!$C$38, 0.0256, 0)</f>
        <v>35.895899999999997</v>
      </c>
      <c r="G501" s="10">
        <f>33.1813 * CHOOSE(CONTROL!$C$15, $E$9, 100%, $G$9) + CHOOSE(CONTROL!$C$38, 0.0347, 0)</f>
        <v>33.216000000000001</v>
      </c>
      <c r="H501" s="10">
        <f>33.1813 * CHOOSE(CONTROL!$C$15, $E$9, 100%, $G$9) + CHOOSE(CONTROL!$C$38, 0.0347, 0)</f>
        <v>33.216000000000001</v>
      </c>
      <c r="I501" s="10">
        <f>33.1828 * CHOOSE(CONTROL!$C$15, $E$9, 100%, $G$9) + CHOOSE(CONTROL!$C$38, 0.0347, 0)</f>
        <v>33.217500000000001</v>
      </c>
      <c r="J501" s="26">
        <f>255.8963</f>
        <v>255.8963</v>
      </c>
    </row>
    <row r="502" spans="1:10" ht="15.75" x14ac:dyDescent="0.25">
      <c r="A502" s="14">
        <v>56218</v>
      </c>
      <c r="B502" s="10">
        <f>36.22 * CHOOSE(CONTROL!$C$15, $E$9, 100%, $G$9) + CHOOSE(CONTROL!$C$38, 0.0256, 0)</f>
        <v>36.245599999999996</v>
      </c>
      <c r="C502" s="10">
        <f>33.3763 * CHOOSE(CONTROL!$C$15, $E$9, 100%, $G$9) + CHOOSE(CONTROL!$C$38, 0.0347, 0)</f>
        <v>33.411000000000001</v>
      </c>
      <c r="D502" s="10">
        <f>33.3685 * CHOOSE(CONTROL!$C$15, $E$9, 100%, $G$9) + CHOOSE(CONTROL!$C$38, 0.0347, 0)</f>
        <v>33.403199999999998</v>
      </c>
      <c r="E502" s="28">
        <f>36.0637 * CHOOSE(CONTROL!$C$15, $E$9, 100%, $G$9) + CHOOSE(CONTROL!$C$38, 0.0347, 0)</f>
        <v>36.098399999999998</v>
      </c>
      <c r="F502" s="27">
        <f>36.0637 * CHOOSE(CONTROL!$C$15, $E$9, 100%, $G$9) + CHOOSE(CONTROL!$C$38, 0.0256, 0)</f>
        <v>36.089299999999994</v>
      </c>
      <c r="G502" s="10">
        <f>33.3747 * CHOOSE(CONTROL!$C$15, $E$9, 100%, $G$9) + CHOOSE(CONTROL!$C$38, 0.0347, 0)</f>
        <v>33.409399999999998</v>
      </c>
      <c r="H502" s="10">
        <f>33.3747 * CHOOSE(CONTROL!$C$15, $E$9, 100%, $G$9) + CHOOSE(CONTROL!$C$38, 0.0347, 0)</f>
        <v>33.409399999999998</v>
      </c>
      <c r="I502" s="10">
        <f>33.3763 * CHOOSE(CONTROL!$C$15, $E$9, 100%, $G$9) + CHOOSE(CONTROL!$C$38, 0.0347, 0)</f>
        <v>33.411000000000001</v>
      </c>
      <c r="J502" s="26">
        <f>254.0729</f>
        <v>254.0729</v>
      </c>
    </row>
    <row r="503" spans="1:10" ht="15.75" x14ac:dyDescent="0.25">
      <c r="A503" s="14">
        <v>56249</v>
      </c>
      <c r="B503" s="10">
        <f>36.8161 * CHOOSE(CONTROL!$C$15, $E$9, 100%, $G$9) + CHOOSE(CONTROL!$C$38, 0.0256, 0)</f>
        <v>36.841699999999996</v>
      </c>
      <c r="C503" s="10">
        <f>33.9723 * CHOOSE(CONTROL!$C$15, $E$9, 100%, $G$9) + CHOOSE(CONTROL!$C$38, 0.0347, 0)</f>
        <v>34.006999999999998</v>
      </c>
      <c r="D503" s="10">
        <f>33.9645 * CHOOSE(CONTROL!$C$15, $E$9, 100%, $G$9) + CHOOSE(CONTROL!$C$38, 0.0347, 0)</f>
        <v>33.999200000000002</v>
      </c>
      <c r="E503" s="28">
        <f>36.6598 * CHOOSE(CONTROL!$C$15, $E$9, 100%, $G$9) + CHOOSE(CONTROL!$C$38, 0.0347, 0)</f>
        <v>36.694499999999998</v>
      </c>
      <c r="F503" s="27">
        <f>36.6598 * CHOOSE(CONTROL!$C$15, $E$9, 100%, $G$9) + CHOOSE(CONTROL!$C$38, 0.0256, 0)</f>
        <v>36.685399999999994</v>
      </c>
      <c r="G503" s="10">
        <f>33.9708 * CHOOSE(CONTROL!$C$15, $E$9, 100%, $G$9) + CHOOSE(CONTROL!$C$38, 0.0347, 0)</f>
        <v>34.005499999999998</v>
      </c>
      <c r="H503" s="10">
        <f>33.9708 * CHOOSE(CONTROL!$C$15, $E$9, 100%, $G$9) + CHOOSE(CONTROL!$C$38, 0.0347, 0)</f>
        <v>34.005499999999998</v>
      </c>
      <c r="I503" s="10">
        <f>33.9723 * CHOOSE(CONTROL!$C$15, $E$9, 100%, $G$9) + CHOOSE(CONTROL!$C$38, 0.0347, 0)</f>
        <v>34.006999999999998</v>
      </c>
      <c r="J503" s="26">
        <f>246.5333</f>
        <v>246.5333</v>
      </c>
    </row>
    <row r="504" spans="1:10" ht="15.75" x14ac:dyDescent="0.25">
      <c r="A504" s="14">
        <v>56280</v>
      </c>
      <c r="B504" s="10">
        <f>37.8711 * CHOOSE(CONTROL!$C$15, $E$9, 100%, $G$9) + CHOOSE(CONTROL!$C$38, 0.0256, 0)</f>
        <v>37.896699999999996</v>
      </c>
      <c r="C504" s="10">
        <f>34.9833 * CHOOSE(CONTROL!$C$15, $E$9, 100%, $G$9) + CHOOSE(CONTROL!$C$38, 0.0347, 0)</f>
        <v>35.018000000000001</v>
      </c>
      <c r="D504" s="10">
        <f>34.9755 * CHOOSE(CONTROL!$C$15, $E$9, 100%, $G$9) + CHOOSE(CONTROL!$C$38, 0.0347, 0)</f>
        <v>35.010199999999998</v>
      </c>
      <c r="E504" s="28">
        <f>37.7148 * CHOOSE(CONTROL!$C$15, $E$9, 100%, $G$9) + CHOOSE(CONTROL!$C$38, 0.0347, 0)</f>
        <v>37.749499999999998</v>
      </c>
      <c r="F504" s="27">
        <f>37.7148 * CHOOSE(CONTROL!$C$15, $E$9, 100%, $G$9) + CHOOSE(CONTROL!$C$38, 0.0256, 0)</f>
        <v>37.740399999999994</v>
      </c>
      <c r="G504" s="10">
        <f>34.9817 * CHOOSE(CONTROL!$C$15, $E$9, 100%, $G$9) + CHOOSE(CONTROL!$C$38, 0.0347, 0)</f>
        <v>35.016399999999997</v>
      </c>
      <c r="H504" s="10">
        <f>34.9817 * CHOOSE(CONTROL!$C$15, $E$9, 100%, $G$9) + CHOOSE(CONTROL!$C$38, 0.0347, 0)</f>
        <v>35.016399999999997</v>
      </c>
      <c r="I504" s="10">
        <f>34.9833 * CHOOSE(CONTROL!$C$15, $E$9, 100%, $G$9) + CHOOSE(CONTROL!$C$38, 0.0347, 0)</f>
        <v>35.018000000000001</v>
      </c>
      <c r="J504" s="26">
        <f>246.0625</f>
        <v>246.0625</v>
      </c>
    </row>
    <row r="505" spans="1:10" ht="15.75" x14ac:dyDescent="0.25">
      <c r="A505" s="14">
        <v>56308</v>
      </c>
      <c r="B505" s="10">
        <f>38.0918 * CHOOSE(CONTROL!$C$15, $E$9, 100%, $G$9) + CHOOSE(CONTROL!$C$38, 0.0256, 0)</f>
        <v>38.117399999999996</v>
      </c>
      <c r="C505" s="10">
        <f>35.204 * CHOOSE(CONTROL!$C$15, $E$9, 100%, $G$9) + CHOOSE(CONTROL!$C$38, 0.0347, 0)</f>
        <v>35.238700000000001</v>
      </c>
      <c r="D505" s="10">
        <f>35.1962 * CHOOSE(CONTROL!$C$15, $E$9, 100%, $G$9) + CHOOSE(CONTROL!$C$38, 0.0347, 0)</f>
        <v>35.230899999999998</v>
      </c>
      <c r="E505" s="28">
        <f>37.9356 * CHOOSE(CONTROL!$C$15, $E$9, 100%, $G$9) + CHOOSE(CONTROL!$C$38, 0.0347, 0)</f>
        <v>37.970300000000002</v>
      </c>
      <c r="F505" s="27">
        <f>37.9356 * CHOOSE(CONTROL!$C$15, $E$9, 100%, $G$9) + CHOOSE(CONTROL!$C$38, 0.0256, 0)</f>
        <v>37.961199999999998</v>
      </c>
      <c r="G505" s="10">
        <f>35.2025 * CHOOSE(CONTROL!$C$15, $E$9, 100%, $G$9) + CHOOSE(CONTROL!$C$38, 0.0347, 0)</f>
        <v>35.237200000000001</v>
      </c>
      <c r="H505" s="10">
        <f>35.2025 * CHOOSE(CONTROL!$C$15, $E$9, 100%, $G$9) + CHOOSE(CONTROL!$C$38, 0.0347, 0)</f>
        <v>35.237200000000001</v>
      </c>
      <c r="I505" s="10">
        <f>35.204 * CHOOSE(CONTROL!$C$15, $E$9, 100%, $G$9) + CHOOSE(CONTROL!$C$38, 0.0347, 0)</f>
        <v>35.238700000000001</v>
      </c>
      <c r="J505" s="26">
        <f>245.3785</f>
        <v>245.3785</v>
      </c>
    </row>
    <row r="506" spans="1:10" ht="15.75" x14ac:dyDescent="0.25">
      <c r="A506" s="14">
        <v>56339</v>
      </c>
      <c r="B506" s="10">
        <f>37.5808 * CHOOSE(CONTROL!$C$15, $E$9, 100%, $G$9) + CHOOSE(CONTROL!$C$38, 0.0256, 0)</f>
        <v>37.606400000000001</v>
      </c>
      <c r="C506" s="10">
        <f>34.693 * CHOOSE(CONTROL!$C$15, $E$9, 100%, $G$9) + CHOOSE(CONTROL!$C$38, 0.0347, 0)</f>
        <v>34.727699999999999</v>
      </c>
      <c r="D506" s="10">
        <f>34.6852 * CHOOSE(CONTROL!$C$15, $E$9, 100%, $G$9) + CHOOSE(CONTROL!$C$38, 0.0347, 0)</f>
        <v>34.719900000000003</v>
      </c>
      <c r="E506" s="28">
        <f>37.4245 * CHOOSE(CONTROL!$C$15, $E$9, 100%, $G$9) + CHOOSE(CONTROL!$C$38, 0.0347, 0)</f>
        <v>37.459200000000003</v>
      </c>
      <c r="F506" s="27">
        <f>37.4245 * CHOOSE(CONTROL!$C$15, $E$9, 100%, $G$9) + CHOOSE(CONTROL!$C$38, 0.0256, 0)</f>
        <v>37.450099999999999</v>
      </c>
      <c r="G506" s="10">
        <f>34.6914 * CHOOSE(CONTROL!$C$15, $E$9, 100%, $G$9) + CHOOSE(CONTROL!$C$38, 0.0347, 0)</f>
        <v>34.726100000000002</v>
      </c>
      <c r="H506" s="10">
        <f>34.6914 * CHOOSE(CONTROL!$C$15, $E$9, 100%, $G$9) + CHOOSE(CONTROL!$C$38, 0.0347, 0)</f>
        <v>34.726100000000002</v>
      </c>
      <c r="I506" s="10">
        <f>34.693 * CHOOSE(CONTROL!$C$15, $E$9, 100%, $G$9) + CHOOSE(CONTROL!$C$38, 0.0347, 0)</f>
        <v>34.727699999999999</v>
      </c>
      <c r="J506" s="26">
        <f>258.3114</f>
        <v>258.31139999999999</v>
      </c>
    </row>
    <row r="507" spans="1:10" ht="15.75" x14ac:dyDescent="0.25">
      <c r="A507" s="14">
        <v>56369</v>
      </c>
      <c r="B507" s="10">
        <f>37.0856 * CHOOSE(CONTROL!$C$15, $E$9, 100%, $G$9) + CHOOSE(CONTROL!$C$38, 0.0256, 0)</f>
        <v>37.111199999999997</v>
      </c>
      <c r="C507" s="10">
        <f>34.1978 * CHOOSE(CONTROL!$C$15, $E$9, 100%, $G$9) + CHOOSE(CONTROL!$C$38, 0.0347, 0)</f>
        <v>34.232500000000002</v>
      </c>
      <c r="D507" s="10">
        <f>34.19 * CHOOSE(CONTROL!$C$15, $E$9, 100%, $G$9) + CHOOSE(CONTROL!$C$38, 0.0347, 0)</f>
        <v>34.224699999999999</v>
      </c>
      <c r="E507" s="28">
        <f>36.9294 * CHOOSE(CONTROL!$C$15, $E$9, 100%, $G$9) + CHOOSE(CONTROL!$C$38, 0.0347, 0)</f>
        <v>36.964100000000002</v>
      </c>
      <c r="F507" s="27">
        <f>36.9294 * CHOOSE(CONTROL!$C$15, $E$9, 100%, $G$9) + CHOOSE(CONTROL!$C$38, 0.0256, 0)</f>
        <v>36.954999999999998</v>
      </c>
      <c r="G507" s="10">
        <f>34.1963 * CHOOSE(CONTROL!$C$15, $E$9, 100%, $G$9) + CHOOSE(CONTROL!$C$38, 0.0347, 0)</f>
        <v>34.231000000000002</v>
      </c>
      <c r="H507" s="10">
        <f>34.1963 * CHOOSE(CONTROL!$C$15, $E$9, 100%, $G$9) + CHOOSE(CONTROL!$C$38, 0.0347, 0)</f>
        <v>34.231000000000002</v>
      </c>
      <c r="I507" s="10">
        <f>34.1978 * CHOOSE(CONTROL!$C$15, $E$9, 100%, $G$9) + CHOOSE(CONTROL!$C$38, 0.0347, 0)</f>
        <v>34.232500000000002</v>
      </c>
      <c r="J507" s="26">
        <f>275.0822</f>
        <v>275.0822</v>
      </c>
    </row>
    <row r="508" spans="1:10" ht="15.75" x14ac:dyDescent="0.25">
      <c r="A508" s="14">
        <v>56400</v>
      </c>
      <c r="B508" s="10">
        <f>36.5695 * CHOOSE(CONTROL!$C$15, $E$9, 100%, $G$9) + CHOOSE(CONTROL!$C$38, 0.0278, 0)</f>
        <v>36.597299999999997</v>
      </c>
      <c r="C508" s="10">
        <f>33.6817 * CHOOSE(CONTROL!$C$15, $E$9, 100%, $G$9) + CHOOSE(CONTROL!$C$38, 0.0369, 0)</f>
        <v>33.718600000000002</v>
      </c>
      <c r="D508" s="10">
        <f>33.6739 * CHOOSE(CONTROL!$C$15, $E$9, 100%, $G$9) + CHOOSE(CONTROL!$C$38, 0.0369, 0)</f>
        <v>33.710800000000006</v>
      </c>
      <c r="E508" s="28">
        <f>36.4132 * CHOOSE(CONTROL!$C$15, $E$9, 100%, $G$9) + CHOOSE(CONTROL!$C$38, 0.0369, 0)</f>
        <v>36.450100000000006</v>
      </c>
      <c r="F508" s="27">
        <f>36.4132 * CHOOSE(CONTROL!$C$15, $E$9, 100%, $G$9) + CHOOSE(CONTROL!$C$38, 0.0278, 0)</f>
        <v>36.441000000000003</v>
      </c>
      <c r="G508" s="10">
        <f>33.6801 * CHOOSE(CONTROL!$C$15, $E$9, 100%, $G$9) + CHOOSE(CONTROL!$C$38, 0.0369, 0)</f>
        <v>33.717000000000006</v>
      </c>
      <c r="H508" s="10">
        <f>33.6801 * CHOOSE(CONTROL!$C$15, $E$9, 100%, $G$9) + CHOOSE(CONTROL!$C$38, 0.0369, 0)</f>
        <v>33.717000000000006</v>
      </c>
      <c r="I508" s="10">
        <f>33.6817 * CHOOSE(CONTROL!$C$15, $E$9, 100%, $G$9) + CHOOSE(CONTROL!$C$38, 0.0369, 0)</f>
        <v>33.718600000000002</v>
      </c>
      <c r="J508" s="26">
        <f>284.3134</f>
        <v>284.3134</v>
      </c>
    </row>
    <row r="509" spans="1:10" ht="15.75" x14ac:dyDescent="0.25">
      <c r="A509" s="14">
        <v>56430</v>
      </c>
      <c r="B509" s="10">
        <f>36.2077 * CHOOSE(CONTROL!$C$15, $E$9, 100%, $G$9) + CHOOSE(CONTROL!$C$38, 0.0278, 0)</f>
        <v>36.235500000000002</v>
      </c>
      <c r="C509" s="10">
        <f>33.3199 * CHOOSE(CONTROL!$C$15, $E$9, 100%, $G$9) + CHOOSE(CONTROL!$C$38, 0.0369, 0)</f>
        <v>33.3568</v>
      </c>
      <c r="D509" s="10">
        <f>33.3121 * CHOOSE(CONTROL!$C$15, $E$9, 100%, $G$9) + CHOOSE(CONTROL!$C$38, 0.0369, 0)</f>
        <v>33.349000000000004</v>
      </c>
      <c r="E509" s="28">
        <f>36.0514 * CHOOSE(CONTROL!$C$15, $E$9, 100%, $G$9) + CHOOSE(CONTROL!$C$38, 0.0369, 0)</f>
        <v>36.088300000000004</v>
      </c>
      <c r="F509" s="27">
        <f>36.0514 * CHOOSE(CONTROL!$C$15, $E$9, 100%, $G$9) + CHOOSE(CONTROL!$C$38, 0.0278, 0)</f>
        <v>36.0792</v>
      </c>
      <c r="G509" s="10">
        <f>33.3183 * CHOOSE(CONTROL!$C$15, $E$9, 100%, $G$9) + CHOOSE(CONTROL!$C$38, 0.0369, 0)</f>
        <v>33.355200000000004</v>
      </c>
      <c r="H509" s="10">
        <f>33.3183 * CHOOSE(CONTROL!$C$15, $E$9, 100%, $G$9) + CHOOSE(CONTROL!$C$38, 0.0369, 0)</f>
        <v>33.355200000000004</v>
      </c>
      <c r="I509" s="10">
        <f>33.3199 * CHOOSE(CONTROL!$C$15, $E$9, 100%, $G$9) + CHOOSE(CONTROL!$C$38, 0.0369, 0)</f>
        <v>33.3568</v>
      </c>
      <c r="J509" s="26">
        <f>288.4101</f>
        <v>288.4101</v>
      </c>
    </row>
    <row r="510" spans="1:10" ht="15.75" x14ac:dyDescent="0.25">
      <c r="A510" s="14">
        <v>56461</v>
      </c>
      <c r="B510" s="10">
        <f>36.0012 * CHOOSE(CONTROL!$C$15, $E$9, 100%, $G$9) + CHOOSE(CONTROL!$C$38, 0.0278, 0)</f>
        <v>36.028999999999996</v>
      </c>
      <c r="C510" s="10">
        <f>33.1134 * CHOOSE(CONTROL!$C$15, $E$9, 100%, $G$9) + CHOOSE(CONTROL!$C$38, 0.0369, 0)</f>
        <v>33.150300000000001</v>
      </c>
      <c r="D510" s="10">
        <f>33.1056 * CHOOSE(CONTROL!$C$15, $E$9, 100%, $G$9) + CHOOSE(CONTROL!$C$38, 0.0369, 0)</f>
        <v>33.142500000000005</v>
      </c>
      <c r="E510" s="28">
        <f>35.8449 * CHOOSE(CONTROL!$C$15, $E$9, 100%, $G$9) + CHOOSE(CONTROL!$C$38, 0.0369, 0)</f>
        <v>35.881800000000005</v>
      </c>
      <c r="F510" s="27">
        <f>35.8449 * CHOOSE(CONTROL!$C$15, $E$9, 100%, $G$9) + CHOOSE(CONTROL!$C$38, 0.0278, 0)</f>
        <v>35.872700000000002</v>
      </c>
      <c r="G510" s="10">
        <f>33.1118 * CHOOSE(CONTROL!$C$15, $E$9, 100%, $G$9) + CHOOSE(CONTROL!$C$38, 0.0369, 0)</f>
        <v>33.148700000000005</v>
      </c>
      <c r="H510" s="10">
        <f>33.1118 * CHOOSE(CONTROL!$C$15, $E$9, 100%, $G$9) + CHOOSE(CONTROL!$C$38, 0.0369, 0)</f>
        <v>33.148700000000005</v>
      </c>
      <c r="I510" s="10">
        <f>33.1134 * CHOOSE(CONTROL!$C$15, $E$9, 100%, $G$9) + CHOOSE(CONTROL!$C$38, 0.0369, 0)</f>
        <v>33.150300000000001</v>
      </c>
      <c r="J510" s="26">
        <f>287.0613</f>
        <v>287.06130000000002</v>
      </c>
    </row>
    <row r="511" spans="1:10" ht="15.75" x14ac:dyDescent="0.25">
      <c r="A511" s="14">
        <v>56492</v>
      </c>
      <c r="B511" s="10">
        <f>36.1031 * CHOOSE(CONTROL!$C$15, $E$9, 100%, $G$9) + CHOOSE(CONTROL!$C$38, 0.0278, 0)</f>
        <v>36.130899999999997</v>
      </c>
      <c r="C511" s="10">
        <f>33.2153 * CHOOSE(CONTROL!$C$15, $E$9, 100%, $G$9) + CHOOSE(CONTROL!$C$38, 0.0369, 0)</f>
        <v>33.252200000000002</v>
      </c>
      <c r="D511" s="10">
        <f>33.2075 * CHOOSE(CONTROL!$C$15, $E$9, 100%, $G$9) + CHOOSE(CONTROL!$C$38, 0.0369, 0)</f>
        <v>33.244400000000006</v>
      </c>
      <c r="E511" s="28">
        <f>35.9468 * CHOOSE(CONTROL!$C$15, $E$9, 100%, $G$9) + CHOOSE(CONTROL!$C$38, 0.0369, 0)</f>
        <v>35.983700000000006</v>
      </c>
      <c r="F511" s="27">
        <f>35.9468 * CHOOSE(CONTROL!$C$15, $E$9, 100%, $G$9) + CHOOSE(CONTROL!$C$38, 0.0278, 0)</f>
        <v>35.974600000000002</v>
      </c>
      <c r="G511" s="10">
        <f>33.2137 * CHOOSE(CONTROL!$C$15, $E$9, 100%, $G$9) + CHOOSE(CONTROL!$C$38, 0.0369, 0)</f>
        <v>33.250600000000006</v>
      </c>
      <c r="H511" s="10">
        <f>33.2137 * CHOOSE(CONTROL!$C$15, $E$9, 100%, $G$9) + CHOOSE(CONTROL!$C$38, 0.0369, 0)</f>
        <v>33.250600000000006</v>
      </c>
      <c r="I511" s="10">
        <f>33.2153 * CHOOSE(CONTROL!$C$15, $E$9, 100%, $G$9) + CHOOSE(CONTROL!$C$38, 0.0369, 0)</f>
        <v>33.252200000000002</v>
      </c>
      <c r="J511" s="26">
        <f>280.3786</f>
        <v>280.37860000000001</v>
      </c>
    </row>
    <row r="512" spans="1:10" ht="15.75" x14ac:dyDescent="0.25">
      <c r="A512" s="14">
        <v>56522</v>
      </c>
      <c r="B512" s="10">
        <f>36.3799 * CHOOSE(CONTROL!$C$15, $E$9, 100%, $G$9) + CHOOSE(CONTROL!$C$38, 0.0278, 0)</f>
        <v>36.407699999999998</v>
      </c>
      <c r="C512" s="10">
        <f>33.4921 * CHOOSE(CONTROL!$C$15, $E$9, 100%, $G$9) + CHOOSE(CONTROL!$C$38, 0.0369, 0)</f>
        <v>33.529000000000003</v>
      </c>
      <c r="D512" s="10">
        <f>33.4843 * CHOOSE(CONTROL!$C$15, $E$9, 100%, $G$9) + CHOOSE(CONTROL!$C$38, 0.0369, 0)</f>
        <v>33.5212</v>
      </c>
      <c r="E512" s="28">
        <f>36.2236 * CHOOSE(CONTROL!$C$15, $E$9, 100%, $G$9) + CHOOSE(CONTROL!$C$38, 0.0369, 0)</f>
        <v>36.2605</v>
      </c>
      <c r="F512" s="27">
        <f>36.2236 * CHOOSE(CONTROL!$C$15, $E$9, 100%, $G$9) + CHOOSE(CONTROL!$C$38, 0.0278, 0)</f>
        <v>36.251399999999997</v>
      </c>
      <c r="G512" s="10">
        <f>33.4905 * CHOOSE(CONTROL!$C$15, $E$9, 100%, $G$9) + CHOOSE(CONTROL!$C$38, 0.0369, 0)</f>
        <v>33.5274</v>
      </c>
      <c r="H512" s="10">
        <f>33.4905 * CHOOSE(CONTROL!$C$15, $E$9, 100%, $G$9) + CHOOSE(CONTROL!$C$38, 0.0369, 0)</f>
        <v>33.5274</v>
      </c>
      <c r="I512" s="10">
        <f>33.4921 * CHOOSE(CONTROL!$C$15, $E$9, 100%, $G$9) + CHOOSE(CONTROL!$C$38, 0.0369, 0)</f>
        <v>33.529000000000003</v>
      </c>
      <c r="J512" s="26">
        <f>271.0593</f>
        <v>271.05930000000001</v>
      </c>
    </row>
    <row r="513" spans="1:10" ht="15.75" x14ac:dyDescent="0.25">
      <c r="A513" s="14">
        <v>56553</v>
      </c>
      <c r="B513" s="10">
        <f>36.6117 * CHOOSE(CONTROL!$C$15, $E$9, 100%, $G$9) + CHOOSE(CONTROL!$C$38, 0.0256, 0)</f>
        <v>36.637299999999996</v>
      </c>
      <c r="C513" s="10">
        <f>33.7239 * CHOOSE(CONTROL!$C$15, $E$9, 100%, $G$9) + CHOOSE(CONTROL!$C$38, 0.0347, 0)</f>
        <v>33.758600000000001</v>
      </c>
      <c r="D513" s="10">
        <f>33.7161 * CHOOSE(CONTROL!$C$15, $E$9, 100%, $G$9) + CHOOSE(CONTROL!$C$38, 0.0347, 0)</f>
        <v>33.750799999999998</v>
      </c>
      <c r="E513" s="28">
        <f>36.4554 * CHOOSE(CONTROL!$C$15, $E$9, 100%, $G$9) + CHOOSE(CONTROL!$C$38, 0.0347, 0)</f>
        <v>36.490099999999998</v>
      </c>
      <c r="F513" s="27">
        <f>36.4554 * CHOOSE(CONTROL!$C$15, $E$9, 100%, $G$9) + CHOOSE(CONTROL!$C$38, 0.0256, 0)</f>
        <v>36.480999999999995</v>
      </c>
      <c r="G513" s="10">
        <f>33.7224 * CHOOSE(CONTROL!$C$15, $E$9, 100%, $G$9) + CHOOSE(CONTROL!$C$38, 0.0347, 0)</f>
        <v>33.757100000000001</v>
      </c>
      <c r="H513" s="10">
        <f>33.7224 * CHOOSE(CONTROL!$C$15, $E$9, 100%, $G$9) + CHOOSE(CONTROL!$C$38, 0.0347, 0)</f>
        <v>33.757100000000001</v>
      </c>
      <c r="I513" s="10">
        <f>33.7239 * CHOOSE(CONTROL!$C$15, $E$9, 100%, $G$9) + CHOOSE(CONTROL!$C$38, 0.0347, 0)</f>
        <v>33.758600000000001</v>
      </c>
      <c r="J513" s="26">
        <f>261.6858</f>
        <v>261.68579999999997</v>
      </c>
    </row>
    <row r="514" spans="1:10" ht="15.75" x14ac:dyDescent="0.25">
      <c r="A514" s="14">
        <v>56583</v>
      </c>
      <c r="B514" s="10">
        <f>36.8051 * CHOOSE(CONTROL!$C$15, $E$9, 100%, $G$9) + CHOOSE(CONTROL!$C$38, 0.0256, 0)</f>
        <v>36.8307</v>
      </c>
      <c r="C514" s="10">
        <f>33.9174 * CHOOSE(CONTROL!$C$15, $E$9, 100%, $G$9) + CHOOSE(CONTROL!$C$38, 0.0347, 0)</f>
        <v>33.952100000000002</v>
      </c>
      <c r="D514" s="10">
        <f>33.9095 * CHOOSE(CONTROL!$C$15, $E$9, 100%, $G$9) + CHOOSE(CONTROL!$C$38, 0.0347, 0)</f>
        <v>33.944200000000002</v>
      </c>
      <c r="E514" s="28">
        <f>36.6489 * CHOOSE(CONTROL!$C$15, $E$9, 100%, $G$9) + CHOOSE(CONTROL!$C$38, 0.0347, 0)</f>
        <v>36.683599999999998</v>
      </c>
      <c r="F514" s="27">
        <f>36.6489 * CHOOSE(CONTROL!$C$15, $E$9, 100%, $G$9) + CHOOSE(CONTROL!$C$38, 0.0256, 0)</f>
        <v>36.674499999999995</v>
      </c>
      <c r="G514" s="10">
        <f>33.9158 * CHOOSE(CONTROL!$C$15, $E$9, 100%, $G$9) + CHOOSE(CONTROL!$C$38, 0.0347, 0)</f>
        <v>33.950499999999998</v>
      </c>
      <c r="H514" s="10">
        <f>33.9158 * CHOOSE(CONTROL!$C$15, $E$9, 100%, $G$9) + CHOOSE(CONTROL!$C$38, 0.0347, 0)</f>
        <v>33.950499999999998</v>
      </c>
      <c r="I514" s="10">
        <f>33.9174 * CHOOSE(CONTROL!$C$15, $E$9, 100%, $G$9) + CHOOSE(CONTROL!$C$38, 0.0347, 0)</f>
        <v>33.952100000000002</v>
      </c>
      <c r="J514" s="26">
        <f>259.8212</f>
        <v>259.82119999999998</v>
      </c>
    </row>
    <row r="515" spans="1:10" ht="15.75" x14ac:dyDescent="0.25">
      <c r="A515" s="14">
        <v>56614</v>
      </c>
      <c r="B515" s="10">
        <f>37.4012 * CHOOSE(CONTROL!$C$15, $E$9, 100%, $G$9) + CHOOSE(CONTROL!$C$38, 0.0256, 0)</f>
        <v>37.4268</v>
      </c>
      <c r="C515" s="10">
        <f>34.5134 * CHOOSE(CONTROL!$C$15, $E$9, 100%, $G$9) + CHOOSE(CONTROL!$C$38, 0.0347, 0)</f>
        <v>34.548099999999998</v>
      </c>
      <c r="D515" s="10">
        <f>34.5056 * CHOOSE(CONTROL!$C$15, $E$9, 100%, $G$9) + CHOOSE(CONTROL!$C$38, 0.0347, 0)</f>
        <v>34.540300000000002</v>
      </c>
      <c r="E515" s="28">
        <f>37.245 * CHOOSE(CONTROL!$C$15, $E$9, 100%, $G$9) + CHOOSE(CONTROL!$C$38, 0.0347, 0)</f>
        <v>37.279699999999998</v>
      </c>
      <c r="F515" s="27">
        <f>37.245 * CHOOSE(CONTROL!$C$15, $E$9, 100%, $G$9) + CHOOSE(CONTROL!$C$38, 0.0256, 0)</f>
        <v>37.270599999999995</v>
      </c>
      <c r="G515" s="10">
        <f>34.5119 * CHOOSE(CONTROL!$C$15, $E$9, 100%, $G$9) + CHOOSE(CONTROL!$C$38, 0.0347, 0)</f>
        <v>34.546599999999998</v>
      </c>
      <c r="H515" s="10">
        <f>34.5119 * CHOOSE(CONTROL!$C$15, $E$9, 100%, $G$9) + CHOOSE(CONTROL!$C$38, 0.0347, 0)</f>
        <v>34.546599999999998</v>
      </c>
      <c r="I515" s="10">
        <f>34.5134 * CHOOSE(CONTROL!$C$15, $E$9, 100%, $G$9) + CHOOSE(CONTROL!$C$38, 0.0347, 0)</f>
        <v>34.548099999999998</v>
      </c>
      <c r="J515" s="26">
        <f>252.111</f>
        <v>252.11099999999999</v>
      </c>
    </row>
    <row r="516" spans="1:10" ht="15.75" x14ac:dyDescent="0.25">
      <c r="A516" s="13">
        <v>56645</v>
      </c>
      <c r="B516" s="10">
        <f>38.4658 * CHOOSE(CONTROL!$C$15, $E$9, 100%, $G$9) + CHOOSE(CONTROL!$C$38, 0.0256, 0)</f>
        <v>38.491399999999999</v>
      </c>
      <c r="C516" s="10">
        <f>35.5332 * CHOOSE(CONTROL!$C$15, $E$9, 100%, $G$9) + CHOOSE(CONTROL!$C$38, 0.0347, 0)</f>
        <v>35.567900000000002</v>
      </c>
      <c r="D516" s="10">
        <f>35.5254 * CHOOSE(CONTROL!$C$15, $E$9, 100%, $G$9) + CHOOSE(CONTROL!$C$38, 0.0347, 0)</f>
        <v>35.560099999999998</v>
      </c>
      <c r="E516" s="28">
        <f>38.3095 * CHOOSE(CONTROL!$C$15, $E$9, 100%, $G$9) + CHOOSE(CONTROL!$C$38, 0.0347, 0)</f>
        <v>38.344200000000001</v>
      </c>
      <c r="F516" s="27">
        <f>38.3095 * CHOOSE(CONTROL!$C$15, $E$9, 100%, $G$9) + CHOOSE(CONTROL!$C$38, 0.0256, 0)</f>
        <v>38.335099999999997</v>
      </c>
      <c r="G516" s="10">
        <f>35.5317 * CHOOSE(CONTROL!$C$15, $E$9, 100%, $G$9) + CHOOSE(CONTROL!$C$38, 0.0347, 0)</f>
        <v>35.566400000000002</v>
      </c>
      <c r="H516" s="10">
        <f>35.5317 * CHOOSE(CONTROL!$C$15, $E$9, 100%, $G$9) + CHOOSE(CONTROL!$C$38, 0.0347, 0)</f>
        <v>35.566400000000002</v>
      </c>
      <c r="I516" s="10">
        <f>35.5332 * CHOOSE(CONTROL!$C$15, $E$9, 100%, $G$9) + CHOOSE(CONTROL!$C$38, 0.0347, 0)</f>
        <v>35.567900000000002</v>
      </c>
      <c r="J516" s="26">
        <f>251.6295</f>
        <v>251.62950000000001</v>
      </c>
    </row>
    <row r="517" spans="1:10" ht="15.75" x14ac:dyDescent="0.25">
      <c r="A517" s="13">
        <v>56673</v>
      </c>
      <c r="B517" s="10">
        <f>38.6866 * CHOOSE(CONTROL!$C$15, $E$9, 100%, $G$9) + CHOOSE(CONTROL!$C$38, 0.0256, 0)</f>
        <v>38.712199999999996</v>
      </c>
      <c r="C517" s="10">
        <f>35.754 * CHOOSE(CONTROL!$C$15, $E$9, 100%, $G$9) + CHOOSE(CONTROL!$C$38, 0.0347, 0)</f>
        <v>35.788699999999999</v>
      </c>
      <c r="D517" s="10">
        <f>35.7462 * CHOOSE(CONTROL!$C$15, $E$9, 100%, $G$9) + CHOOSE(CONTROL!$C$38, 0.0347, 0)</f>
        <v>35.780900000000003</v>
      </c>
      <c r="E517" s="28">
        <f>38.5303 * CHOOSE(CONTROL!$C$15, $E$9, 100%, $G$9) + CHOOSE(CONTROL!$C$38, 0.0347, 0)</f>
        <v>38.564999999999998</v>
      </c>
      <c r="F517" s="27">
        <f>38.5303 * CHOOSE(CONTROL!$C$15, $E$9, 100%, $G$9) + CHOOSE(CONTROL!$C$38, 0.0256, 0)</f>
        <v>38.555899999999994</v>
      </c>
      <c r="G517" s="10">
        <f>35.7524 * CHOOSE(CONTROL!$C$15, $E$9, 100%, $G$9) + CHOOSE(CONTROL!$C$38, 0.0347, 0)</f>
        <v>35.787100000000002</v>
      </c>
      <c r="H517" s="10">
        <f>35.7524 * CHOOSE(CONTROL!$C$15, $E$9, 100%, $G$9) + CHOOSE(CONTROL!$C$38, 0.0347, 0)</f>
        <v>35.787100000000002</v>
      </c>
      <c r="I517" s="10">
        <f>35.754 * CHOOSE(CONTROL!$C$15, $E$9, 100%, $G$9) + CHOOSE(CONTROL!$C$38, 0.0347, 0)</f>
        <v>35.788699999999999</v>
      </c>
      <c r="J517" s="26">
        <f>250.9301</f>
        <v>250.93010000000001</v>
      </c>
    </row>
    <row r="518" spans="1:10" ht="15.75" x14ac:dyDescent="0.25">
      <c r="A518" s="13">
        <v>56704</v>
      </c>
      <c r="B518" s="10">
        <f>38.1755 * CHOOSE(CONTROL!$C$15, $E$9, 100%, $G$9) + CHOOSE(CONTROL!$C$38, 0.0256, 0)</f>
        <v>38.201099999999997</v>
      </c>
      <c r="C518" s="10">
        <f>35.243 * CHOOSE(CONTROL!$C$15, $E$9, 100%, $G$9) + CHOOSE(CONTROL!$C$38, 0.0347, 0)</f>
        <v>35.277700000000003</v>
      </c>
      <c r="D518" s="10">
        <f>35.2351 * CHOOSE(CONTROL!$C$15, $E$9, 100%, $G$9) + CHOOSE(CONTROL!$C$38, 0.0347, 0)</f>
        <v>35.269800000000004</v>
      </c>
      <c r="E518" s="28">
        <f>38.0193 * CHOOSE(CONTROL!$C$15, $E$9, 100%, $G$9) + CHOOSE(CONTROL!$C$38, 0.0347, 0)</f>
        <v>38.054000000000002</v>
      </c>
      <c r="F518" s="27">
        <f>38.0193 * CHOOSE(CONTROL!$C$15, $E$9, 100%, $G$9) + CHOOSE(CONTROL!$C$38, 0.0256, 0)</f>
        <v>38.044899999999998</v>
      </c>
      <c r="G518" s="10">
        <f>35.2414 * CHOOSE(CONTROL!$C$15, $E$9, 100%, $G$9) + CHOOSE(CONTROL!$C$38, 0.0347, 0)</f>
        <v>35.2761</v>
      </c>
      <c r="H518" s="10">
        <f>35.2414 * CHOOSE(CONTROL!$C$15, $E$9, 100%, $G$9) + CHOOSE(CONTROL!$C$38, 0.0347, 0)</f>
        <v>35.2761</v>
      </c>
      <c r="I518" s="10">
        <f>35.243 * CHOOSE(CONTROL!$C$15, $E$9, 100%, $G$9) + CHOOSE(CONTROL!$C$38, 0.0347, 0)</f>
        <v>35.277700000000003</v>
      </c>
      <c r="J518" s="26">
        <f>264.1555</f>
        <v>264.15550000000002</v>
      </c>
    </row>
    <row r="519" spans="1:10" ht="15.75" x14ac:dyDescent="0.25">
      <c r="A519" s="13">
        <v>56734</v>
      </c>
      <c r="B519" s="10">
        <f>37.6803 * CHOOSE(CONTROL!$C$15, $E$9, 100%, $G$9) + CHOOSE(CONTROL!$C$38, 0.0256, 0)</f>
        <v>37.7059</v>
      </c>
      <c r="C519" s="10">
        <f>34.7478 * CHOOSE(CONTROL!$C$15, $E$9, 100%, $G$9) + CHOOSE(CONTROL!$C$38, 0.0347, 0)</f>
        <v>34.782499999999999</v>
      </c>
      <c r="D519" s="10">
        <f>34.74 * CHOOSE(CONTROL!$C$15, $E$9, 100%, $G$9) + CHOOSE(CONTROL!$C$38, 0.0347, 0)</f>
        <v>34.774700000000003</v>
      </c>
      <c r="E519" s="28">
        <f>37.5241 * CHOOSE(CONTROL!$C$15, $E$9, 100%, $G$9) + CHOOSE(CONTROL!$C$38, 0.0347, 0)</f>
        <v>37.558799999999998</v>
      </c>
      <c r="F519" s="27">
        <f>37.5241 * CHOOSE(CONTROL!$C$15, $E$9, 100%, $G$9) + CHOOSE(CONTROL!$C$38, 0.0256, 0)</f>
        <v>37.549699999999994</v>
      </c>
      <c r="G519" s="10">
        <f>34.7462 * CHOOSE(CONTROL!$C$15, $E$9, 100%, $G$9) + CHOOSE(CONTROL!$C$38, 0.0347, 0)</f>
        <v>34.780900000000003</v>
      </c>
      <c r="H519" s="10">
        <f>34.7462 * CHOOSE(CONTROL!$C$15, $E$9, 100%, $G$9) + CHOOSE(CONTROL!$C$38, 0.0347, 0)</f>
        <v>34.780900000000003</v>
      </c>
      <c r="I519" s="10">
        <f>34.7478 * CHOOSE(CONTROL!$C$15, $E$9, 100%, $G$9) + CHOOSE(CONTROL!$C$38, 0.0347, 0)</f>
        <v>34.782499999999999</v>
      </c>
      <c r="J519" s="26">
        <f>281.3058</f>
        <v>281.30579999999998</v>
      </c>
    </row>
    <row r="520" spans="1:10" ht="15.75" x14ac:dyDescent="0.25">
      <c r="A520" s="13">
        <v>56765</v>
      </c>
      <c r="B520" s="10">
        <f>37.1642 * CHOOSE(CONTROL!$C$15, $E$9, 100%, $G$9) + CHOOSE(CONTROL!$C$38, 0.0278, 0)</f>
        <v>37.192</v>
      </c>
      <c r="C520" s="10">
        <f>34.2317 * CHOOSE(CONTROL!$C$15, $E$9, 100%, $G$9) + CHOOSE(CONTROL!$C$38, 0.0369, 0)</f>
        <v>34.268599999999999</v>
      </c>
      <c r="D520" s="10">
        <f>34.2239 * CHOOSE(CONTROL!$C$15, $E$9, 100%, $G$9) + CHOOSE(CONTROL!$C$38, 0.0369, 0)</f>
        <v>34.260800000000003</v>
      </c>
      <c r="E520" s="28">
        <f>37.008 * CHOOSE(CONTROL!$C$15, $E$9, 100%, $G$9) + CHOOSE(CONTROL!$C$38, 0.0369, 0)</f>
        <v>37.044900000000005</v>
      </c>
      <c r="F520" s="27">
        <f>37.008 * CHOOSE(CONTROL!$C$15, $E$9, 100%, $G$9) + CHOOSE(CONTROL!$C$38, 0.0278, 0)</f>
        <v>37.035800000000002</v>
      </c>
      <c r="G520" s="10">
        <f>34.2301 * CHOOSE(CONTROL!$C$15, $E$9, 100%, $G$9) + CHOOSE(CONTROL!$C$38, 0.0369, 0)</f>
        <v>34.267000000000003</v>
      </c>
      <c r="H520" s="10">
        <f>34.2301 * CHOOSE(CONTROL!$C$15, $E$9, 100%, $G$9) + CHOOSE(CONTROL!$C$38, 0.0369, 0)</f>
        <v>34.267000000000003</v>
      </c>
      <c r="I520" s="10">
        <f>34.2317 * CHOOSE(CONTROL!$C$15, $E$9, 100%, $G$9) + CHOOSE(CONTROL!$C$38, 0.0369, 0)</f>
        <v>34.268599999999999</v>
      </c>
      <c r="J520" s="26">
        <f>290.7459</f>
        <v>290.74590000000001</v>
      </c>
    </row>
    <row r="521" spans="1:10" ht="15.75" x14ac:dyDescent="0.25">
      <c r="A521" s="13">
        <v>56795</v>
      </c>
      <c r="B521" s="10">
        <f>36.8024 * CHOOSE(CONTROL!$C$15, $E$9, 100%, $G$9) + CHOOSE(CONTROL!$C$38, 0.0278, 0)</f>
        <v>36.830199999999998</v>
      </c>
      <c r="C521" s="10">
        <f>33.8698 * CHOOSE(CONTROL!$C$15, $E$9, 100%, $G$9) + CHOOSE(CONTROL!$C$38, 0.0369, 0)</f>
        <v>33.906700000000001</v>
      </c>
      <c r="D521" s="10">
        <f>33.862 * CHOOSE(CONTROL!$C$15, $E$9, 100%, $G$9) + CHOOSE(CONTROL!$C$38, 0.0369, 0)</f>
        <v>33.898900000000005</v>
      </c>
      <c r="E521" s="28">
        <f>36.6461 * CHOOSE(CONTROL!$C$15, $E$9, 100%, $G$9) + CHOOSE(CONTROL!$C$38, 0.0369, 0)</f>
        <v>36.683</v>
      </c>
      <c r="F521" s="27">
        <f>36.6461 * CHOOSE(CONTROL!$C$15, $E$9, 100%, $G$9) + CHOOSE(CONTROL!$C$38, 0.0278, 0)</f>
        <v>36.673899999999996</v>
      </c>
      <c r="G521" s="10">
        <f>33.8683 * CHOOSE(CONTROL!$C$15, $E$9, 100%, $G$9) + CHOOSE(CONTROL!$C$38, 0.0369, 0)</f>
        <v>33.905200000000001</v>
      </c>
      <c r="H521" s="10">
        <f>33.8683 * CHOOSE(CONTROL!$C$15, $E$9, 100%, $G$9) + CHOOSE(CONTROL!$C$38, 0.0369, 0)</f>
        <v>33.905200000000001</v>
      </c>
      <c r="I521" s="10">
        <f>33.8698 * CHOOSE(CONTROL!$C$15, $E$9, 100%, $G$9) + CHOOSE(CONTROL!$C$38, 0.0369, 0)</f>
        <v>33.906700000000001</v>
      </c>
      <c r="J521" s="26">
        <f>294.9352</f>
        <v>294.93520000000001</v>
      </c>
    </row>
    <row r="522" spans="1:10" ht="15.75" x14ac:dyDescent="0.25">
      <c r="A522" s="13">
        <v>56826</v>
      </c>
      <c r="B522" s="10">
        <f>36.5959 * CHOOSE(CONTROL!$C$15, $E$9, 100%, $G$9) + CHOOSE(CONTROL!$C$38, 0.0278, 0)</f>
        <v>36.623699999999999</v>
      </c>
      <c r="C522" s="10">
        <f>33.6633 * CHOOSE(CONTROL!$C$15, $E$9, 100%, $G$9) + CHOOSE(CONTROL!$C$38, 0.0369, 0)</f>
        <v>33.700200000000002</v>
      </c>
      <c r="D522" s="10">
        <f>33.6555 * CHOOSE(CONTROL!$C$15, $E$9, 100%, $G$9) + CHOOSE(CONTROL!$C$38, 0.0369, 0)</f>
        <v>33.692400000000006</v>
      </c>
      <c r="E522" s="28">
        <f>36.4397 * CHOOSE(CONTROL!$C$15, $E$9, 100%, $G$9) + CHOOSE(CONTROL!$C$38, 0.0369, 0)</f>
        <v>36.476600000000005</v>
      </c>
      <c r="F522" s="27">
        <f>36.4397 * CHOOSE(CONTROL!$C$15, $E$9, 100%, $G$9) + CHOOSE(CONTROL!$C$38, 0.0278, 0)</f>
        <v>36.467500000000001</v>
      </c>
      <c r="G522" s="10">
        <f>33.6618 * CHOOSE(CONTROL!$C$15, $E$9, 100%, $G$9) + CHOOSE(CONTROL!$C$38, 0.0369, 0)</f>
        <v>33.698700000000002</v>
      </c>
      <c r="H522" s="10">
        <f>33.6618 * CHOOSE(CONTROL!$C$15, $E$9, 100%, $G$9) + CHOOSE(CONTROL!$C$38, 0.0369, 0)</f>
        <v>33.698700000000002</v>
      </c>
      <c r="I522" s="10">
        <f>33.6633 * CHOOSE(CONTROL!$C$15, $E$9, 100%, $G$9) + CHOOSE(CONTROL!$C$38, 0.0369, 0)</f>
        <v>33.700200000000002</v>
      </c>
      <c r="J522" s="26">
        <f>293.5559</f>
        <v>293.55590000000001</v>
      </c>
    </row>
    <row r="523" spans="1:10" ht="15.75" x14ac:dyDescent="0.25">
      <c r="A523" s="13">
        <v>56857</v>
      </c>
      <c r="B523" s="10">
        <f>36.6978 * CHOOSE(CONTROL!$C$15, $E$9, 100%, $G$9) + CHOOSE(CONTROL!$C$38, 0.0278, 0)</f>
        <v>36.7256</v>
      </c>
      <c r="C523" s="10">
        <f>33.7653 * CHOOSE(CONTROL!$C$15, $E$9, 100%, $G$9) + CHOOSE(CONTROL!$C$38, 0.0369, 0)</f>
        <v>33.802200000000006</v>
      </c>
      <c r="D523" s="10">
        <f>33.7574 * CHOOSE(CONTROL!$C$15, $E$9, 100%, $G$9) + CHOOSE(CONTROL!$C$38, 0.0369, 0)</f>
        <v>33.7943</v>
      </c>
      <c r="E523" s="28">
        <f>36.5416 * CHOOSE(CONTROL!$C$15, $E$9, 100%, $G$9) + CHOOSE(CONTROL!$C$38, 0.0369, 0)</f>
        <v>36.578500000000005</v>
      </c>
      <c r="F523" s="27">
        <f>36.5416 * CHOOSE(CONTROL!$C$15, $E$9, 100%, $G$9) + CHOOSE(CONTROL!$C$38, 0.0278, 0)</f>
        <v>36.569400000000002</v>
      </c>
      <c r="G523" s="10">
        <f>33.7637 * CHOOSE(CONTROL!$C$15, $E$9, 100%, $G$9) + CHOOSE(CONTROL!$C$38, 0.0369, 0)</f>
        <v>33.800600000000003</v>
      </c>
      <c r="H523" s="10">
        <f>33.7637 * CHOOSE(CONTROL!$C$15, $E$9, 100%, $G$9) + CHOOSE(CONTROL!$C$38, 0.0369, 0)</f>
        <v>33.800600000000003</v>
      </c>
      <c r="I523" s="10">
        <f>33.7653 * CHOOSE(CONTROL!$C$15, $E$9, 100%, $G$9) + CHOOSE(CONTROL!$C$38, 0.0369, 0)</f>
        <v>33.802200000000006</v>
      </c>
      <c r="J523" s="26">
        <f>286.722</f>
        <v>286.72199999999998</v>
      </c>
    </row>
    <row r="524" spans="1:10" ht="15.75" x14ac:dyDescent="0.25">
      <c r="A524" s="13">
        <v>56887</v>
      </c>
      <c r="B524" s="10">
        <f>36.9746 * CHOOSE(CONTROL!$C$15, $E$9, 100%, $G$9) + CHOOSE(CONTROL!$C$38, 0.0278, 0)</f>
        <v>37.002400000000002</v>
      </c>
      <c r="C524" s="10">
        <f>34.042 * CHOOSE(CONTROL!$C$15, $E$9, 100%, $G$9) + CHOOSE(CONTROL!$C$38, 0.0369, 0)</f>
        <v>34.078900000000004</v>
      </c>
      <c r="D524" s="10">
        <f>34.0342 * CHOOSE(CONTROL!$C$15, $E$9, 100%, $G$9) + CHOOSE(CONTROL!$C$38, 0.0369, 0)</f>
        <v>34.071100000000001</v>
      </c>
      <c r="E524" s="28">
        <f>36.8184 * CHOOSE(CONTROL!$C$15, $E$9, 100%, $G$9) + CHOOSE(CONTROL!$C$38, 0.0369, 0)</f>
        <v>36.8553</v>
      </c>
      <c r="F524" s="27">
        <f>36.8184 * CHOOSE(CONTROL!$C$15, $E$9, 100%, $G$9) + CHOOSE(CONTROL!$C$38, 0.0278, 0)</f>
        <v>36.846199999999996</v>
      </c>
      <c r="G524" s="10">
        <f>34.0405 * CHOOSE(CONTROL!$C$15, $E$9, 100%, $G$9) + CHOOSE(CONTROL!$C$38, 0.0369, 0)</f>
        <v>34.077400000000004</v>
      </c>
      <c r="H524" s="10">
        <f>34.0405 * CHOOSE(CONTROL!$C$15, $E$9, 100%, $G$9) + CHOOSE(CONTROL!$C$38, 0.0369, 0)</f>
        <v>34.077400000000004</v>
      </c>
      <c r="I524" s="10">
        <f>34.042 * CHOOSE(CONTROL!$C$15, $E$9, 100%, $G$9) + CHOOSE(CONTROL!$C$38, 0.0369, 0)</f>
        <v>34.078900000000004</v>
      </c>
      <c r="J524" s="26">
        <f>277.1919</f>
        <v>277.19189999999998</v>
      </c>
    </row>
    <row r="525" spans="1:10" ht="15.75" x14ac:dyDescent="0.25">
      <c r="A525" s="13">
        <v>56918</v>
      </c>
      <c r="B525" s="10">
        <f>37.2064 * CHOOSE(CONTROL!$C$15, $E$9, 100%, $G$9) + CHOOSE(CONTROL!$C$38, 0.0256, 0)</f>
        <v>37.231999999999999</v>
      </c>
      <c r="C525" s="10">
        <f>34.2739 * CHOOSE(CONTROL!$C$15, $E$9, 100%, $G$9) + CHOOSE(CONTROL!$C$38, 0.0347, 0)</f>
        <v>34.308599999999998</v>
      </c>
      <c r="D525" s="10">
        <f>34.2661 * CHOOSE(CONTROL!$C$15, $E$9, 100%, $G$9) + CHOOSE(CONTROL!$C$38, 0.0347, 0)</f>
        <v>34.300800000000002</v>
      </c>
      <c r="E525" s="28">
        <f>37.0502 * CHOOSE(CONTROL!$C$15, $E$9, 100%, $G$9) + CHOOSE(CONTROL!$C$38, 0.0347, 0)</f>
        <v>37.084899999999998</v>
      </c>
      <c r="F525" s="27">
        <f>37.0502 * CHOOSE(CONTROL!$C$15, $E$9, 100%, $G$9) + CHOOSE(CONTROL!$C$38, 0.0256, 0)</f>
        <v>37.075799999999994</v>
      </c>
      <c r="G525" s="10">
        <f>34.2723 * CHOOSE(CONTROL!$C$15, $E$9, 100%, $G$9) + CHOOSE(CONTROL!$C$38, 0.0347, 0)</f>
        <v>34.307000000000002</v>
      </c>
      <c r="H525" s="10">
        <f>34.2723 * CHOOSE(CONTROL!$C$15, $E$9, 100%, $G$9) + CHOOSE(CONTROL!$C$38, 0.0347, 0)</f>
        <v>34.307000000000002</v>
      </c>
      <c r="I525" s="10">
        <f>34.2739 * CHOOSE(CONTROL!$C$15, $E$9, 100%, $G$9) + CHOOSE(CONTROL!$C$38, 0.0347, 0)</f>
        <v>34.308599999999998</v>
      </c>
      <c r="J525" s="26">
        <f>267.6063</f>
        <v>267.60629999999998</v>
      </c>
    </row>
    <row r="526" spans="1:10" ht="15.75" x14ac:dyDescent="0.25">
      <c r="A526" s="13">
        <v>56948</v>
      </c>
      <c r="B526" s="10">
        <f>37.3999 * CHOOSE(CONTROL!$C$15, $E$9, 100%, $G$9) + CHOOSE(CONTROL!$C$38, 0.0256, 0)</f>
        <v>37.4255</v>
      </c>
      <c r="C526" s="10">
        <f>34.4673 * CHOOSE(CONTROL!$C$15, $E$9, 100%, $G$9) + CHOOSE(CONTROL!$C$38, 0.0347, 0)</f>
        <v>34.502000000000002</v>
      </c>
      <c r="D526" s="10">
        <f>34.4595 * CHOOSE(CONTROL!$C$15, $E$9, 100%, $G$9) + CHOOSE(CONTROL!$C$38, 0.0347, 0)</f>
        <v>34.494199999999999</v>
      </c>
      <c r="E526" s="28">
        <f>37.2436 * CHOOSE(CONTROL!$C$15, $E$9, 100%, $G$9) + CHOOSE(CONTROL!$C$38, 0.0347, 0)</f>
        <v>37.278300000000002</v>
      </c>
      <c r="F526" s="27">
        <f>37.2436 * CHOOSE(CONTROL!$C$15, $E$9, 100%, $G$9) + CHOOSE(CONTROL!$C$38, 0.0256, 0)</f>
        <v>37.269199999999998</v>
      </c>
      <c r="G526" s="10">
        <f>34.4658 * CHOOSE(CONTROL!$C$15, $E$9, 100%, $G$9) + CHOOSE(CONTROL!$C$38, 0.0347, 0)</f>
        <v>34.500500000000002</v>
      </c>
      <c r="H526" s="10">
        <f>34.4658 * CHOOSE(CONTROL!$C$15, $E$9, 100%, $G$9) + CHOOSE(CONTROL!$C$38, 0.0347, 0)</f>
        <v>34.500500000000002</v>
      </c>
      <c r="I526" s="10">
        <f>34.4673 * CHOOSE(CONTROL!$C$15, $E$9, 100%, $G$9) + CHOOSE(CONTROL!$C$38, 0.0347, 0)</f>
        <v>34.502000000000002</v>
      </c>
      <c r="J526" s="26">
        <f>265.6995</f>
        <v>265.6995</v>
      </c>
    </row>
    <row r="527" spans="1:10" ht="15.75" x14ac:dyDescent="0.25">
      <c r="A527" s="13">
        <v>56979</v>
      </c>
      <c r="B527" s="10">
        <f>37.9959 * CHOOSE(CONTROL!$C$15, $E$9, 100%, $G$9) + CHOOSE(CONTROL!$C$38, 0.0256, 0)</f>
        <v>38.021499999999996</v>
      </c>
      <c r="C527" s="10">
        <f>35.0634 * CHOOSE(CONTROL!$C$15, $E$9, 100%, $G$9) + CHOOSE(CONTROL!$C$38, 0.0347, 0)</f>
        <v>35.098100000000002</v>
      </c>
      <c r="D527" s="10">
        <f>35.0556 * CHOOSE(CONTROL!$C$15, $E$9, 100%, $G$9) + CHOOSE(CONTROL!$C$38, 0.0347, 0)</f>
        <v>35.090299999999999</v>
      </c>
      <c r="E527" s="28">
        <f>37.8397 * CHOOSE(CONTROL!$C$15, $E$9, 100%, $G$9) + CHOOSE(CONTROL!$C$38, 0.0347, 0)</f>
        <v>37.874400000000001</v>
      </c>
      <c r="F527" s="27">
        <f>37.8397 * CHOOSE(CONTROL!$C$15, $E$9, 100%, $G$9) + CHOOSE(CONTROL!$C$38, 0.0256, 0)</f>
        <v>37.865299999999998</v>
      </c>
      <c r="G527" s="10">
        <f>35.0618 * CHOOSE(CONTROL!$C$15, $E$9, 100%, $G$9) + CHOOSE(CONTROL!$C$38, 0.0347, 0)</f>
        <v>35.096499999999999</v>
      </c>
      <c r="H527" s="10">
        <f>35.0618 * CHOOSE(CONTROL!$C$15, $E$9, 100%, $G$9) + CHOOSE(CONTROL!$C$38, 0.0347, 0)</f>
        <v>35.096499999999999</v>
      </c>
      <c r="I527" s="10">
        <f>35.0634 * CHOOSE(CONTROL!$C$15, $E$9, 100%, $G$9) + CHOOSE(CONTROL!$C$38, 0.0347, 0)</f>
        <v>35.098100000000002</v>
      </c>
      <c r="J527" s="26">
        <f>257.8149</f>
        <v>257.81490000000002</v>
      </c>
    </row>
    <row r="528" spans="1:10" ht="15.75" x14ac:dyDescent="0.25">
      <c r="A528" s="13">
        <v>57010</v>
      </c>
      <c r="B528" s="10">
        <f>39.0703 * CHOOSE(CONTROL!$C$15, $E$9, 100%, $G$9) + CHOOSE(CONTROL!$C$38, 0.0256, 0)</f>
        <v>39.0959</v>
      </c>
      <c r="C528" s="10">
        <f>36.0922 * CHOOSE(CONTROL!$C$15, $E$9, 100%, $G$9) + CHOOSE(CONTROL!$C$38, 0.0347, 0)</f>
        <v>36.126899999999999</v>
      </c>
      <c r="D528" s="10">
        <f>36.0844 * CHOOSE(CONTROL!$C$15, $E$9, 100%, $G$9) + CHOOSE(CONTROL!$C$38, 0.0347, 0)</f>
        <v>36.119100000000003</v>
      </c>
      <c r="E528" s="28">
        <f>38.914 * CHOOSE(CONTROL!$C$15, $E$9, 100%, $G$9) + CHOOSE(CONTROL!$C$38, 0.0347, 0)</f>
        <v>38.948700000000002</v>
      </c>
      <c r="F528" s="27">
        <f>38.914 * CHOOSE(CONTROL!$C$15, $E$9, 100%, $G$9) + CHOOSE(CONTROL!$C$38, 0.0256, 0)</f>
        <v>38.939599999999999</v>
      </c>
      <c r="G528" s="10">
        <f>36.0906 * CHOOSE(CONTROL!$C$15, $E$9, 100%, $G$9) + CHOOSE(CONTROL!$C$38, 0.0347, 0)</f>
        <v>36.125300000000003</v>
      </c>
      <c r="H528" s="10">
        <f>36.0906 * CHOOSE(CONTROL!$C$15, $E$9, 100%, $G$9) + CHOOSE(CONTROL!$C$38, 0.0347, 0)</f>
        <v>36.125300000000003</v>
      </c>
      <c r="I528" s="10">
        <f>36.0922 * CHOOSE(CONTROL!$C$15, $E$9, 100%, $G$9) + CHOOSE(CONTROL!$C$38, 0.0347, 0)</f>
        <v>36.126899999999999</v>
      </c>
      <c r="J528" s="26">
        <f>257.3225</f>
        <v>257.32249999999999</v>
      </c>
    </row>
    <row r="529" spans="1:10" ht="15.75" x14ac:dyDescent="0.25">
      <c r="A529" s="13">
        <v>57038</v>
      </c>
      <c r="B529" s="10">
        <f>39.291 * CHOOSE(CONTROL!$C$15, $E$9, 100%, $G$9) + CHOOSE(CONTROL!$C$38, 0.0256, 0)</f>
        <v>39.316599999999994</v>
      </c>
      <c r="C529" s="10">
        <f>36.313 * CHOOSE(CONTROL!$C$15, $E$9, 100%, $G$9) + CHOOSE(CONTROL!$C$38, 0.0347, 0)</f>
        <v>36.347700000000003</v>
      </c>
      <c r="D529" s="10">
        <f>36.3052 * CHOOSE(CONTROL!$C$15, $E$9, 100%, $G$9) + CHOOSE(CONTROL!$C$38, 0.0347, 0)</f>
        <v>36.3399</v>
      </c>
      <c r="E529" s="28">
        <f>39.1348 * CHOOSE(CONTROL!$C$15, $E$9, 100%, $G$9) + CHOOSE(CONTROL!$C$38, 0.0347, 0)</f>
        <v>39.169499999999999</v>
      </c>
      <c r="F529" s="27">
        <f>39.1348 * CHOOSE(CONTROL!$C$15, $E$9, 100%, $G$9) + CHOOSE(CONTROL!$C$38, 0.0256, 0)</f>
        <v>39.160399999999996</v>
      </c>
      <c r="G529" s="10">
        <f>36.3114 * CHOOSE(CONTROL!$C$15, $E$9, 100%, $G$9) + CHOOSE(CONTROL!$C$38, 0.0347, 0)</f>
        <v>36.3461</v>
      </c>
      <c r="H529" s="10">
        <f>36.3114 * CHOOSE(CONTROL!$C$15, $E$9, 100%, $G$9) + CHOOSE(CONTROL!$C$38, 0.0347, 0)</f>
        <v>36.3461</v>
      </c>
      <c r="I529" s="10">
        <f>36.313 * CHOOSE(CONTROL!$C$15, $E$9, 100%, $G$9) + CHOOSE(CONTROL!$C$38, 0.0347, 0)</f>
        <v>36.347700000000003</v>
      </c>
      <c r="J529" s="26">
        <f>256.6072</f>
        <v>256.60719999999998</v>
      </c>
    </row>
    <row r="530" spans="1:10" ht="15.75" x14ac:dyDescent="0.25">
      <c r="A530" s="13">
        <v>57070</v>
      </c>
      <c r="B530" s="10">
        <f>38.78 * CHOOSE(CONTROL!$C$15, $E$9, 100%, $G$9) + CHOOSE(CONTROL!$C$38, 0.0256, 0)</f>
        <v>38.805599999999998</v>
      </c>
      <c r="C530" s="10">
        <f>35.8019 * CHOOSE(CONTROL!$C$15, $E$9, 100%, $G$9) + CHOOSE(CONTROL!$C$38, 0.0347, 0)</f>
        <v>35.836600000000004</v>
      </c>
      <c r="D530" s="10">
        <f>35.7941 * CHOOSE(CONTROL!$C$15, $E$9, 100%, $G$9) + CHOOSE(CONTROL!$C$38, 0.0347, 0)</f>
        <v>35.828800000000001</v>
      </c>
      <c r="E530" s="28">
        <f>38.6238 * CHOOSE(CONTROL!$C$15, $E$9, 100%, $G$9) + CHOOSE(CONTROL!$C$38, 0.0347, 0)</f>
        <v>38.658500000000004</v>
      </c>
      <c r="F530" s="27">
        <f>38.6238 * CHOOSE(CONTROL!$C$15, $E$9, 100%, $G$9) + CHOOSE(CONTROL!$C$38, 0.0256, 0)</f>
        <v>38.6494</v>
      </c>
      <c r="G530" s="10">
        <f>35.8004 * CHOOSE(CONTROL!$C$15, $E$9, 100%, $G$9) + CHOOSE(CONTROL!$C$38, 0.0347, 0)</f>
        <v>35.835100000000004</v>
      </c>
      <c r="H530" s="10">
        <f>35.8004 * CHOOSE(CONTROL!$C$15, $E$9, 100%, $G$9) + CHOOSE(CONTROL!$C$38, 0.0347, 0)</f>
        <v>35.835100000000004</v>
      </c>
      <c r="I530" s="10">
        <f>35.8019 * CHOOSE(CONTROL!$C$15, $E$9, 100%, $G$9) + CHOOSE(CONTROL!$C$38, 0.0347, 0)</f>
        <v>35.836600000000004</v>
      </c>
      <c r="J530" s="26">
        <f>270.1319</f>
        <v>270.13189999999997</v>
      </c>
    </row>
    <row r="531" spans="1:10" ht="15.75" x14ac:dyDescent="0.25">
      <c r="A531" s="13">
        <v>57100</v>
      </c>
      <c r="B531" s="10">
        <f>38.2848 * CHOOSE(CONTROL!$C$15, $E$9, 100%, $G$9) + CHOOSE(CONTROL!$C$38, 0.0256, 0)</f>
        <v>38.310399999999994</v>
      </c>
      <c r="C531" s="10">
        <f>35.3068 * CHOOSE(CONTROL!$C$15, $E$9, 100%, $G$9) + CHOOSE(CONTROL!$C$38, 0.0347, 0)</f>
        <v>35.341500000000003</v>
      </c>
      <c r="D531" s="10">
        <f>35.2989 * CHOOSE(CONTROL!$C$15, $E$9, 100%, $G$9) + CHOOSE(CONTROL!$C$38, 0.0347, 0)</f>
        <v>35.333600000000004</v>
      </c>
      <c r="E531" s="28">
        <f>38.1286 * CHOOSE(CONTROL!$C$15, $E$9, 100%, $G$9) + CHOOSE(CONTROL!$C$38, 0.0347, 0)</f>
        <v>38.1633</v>
      </c>
      <c r="F531" s="27">
        <f>38.1286 * CHOOSE(CONTROL!$C$15, $E$9, 100%, $G$9) + CHOOSE(CONTROL!$C$38, 0.0256, 0)</f>
        <v>38.154199999999996</v>
      </c>
      <c r="G531" s="10">
        <f>35.3052 * CHOOSE(CONTROL!$C$15, $E$9, 100%, $G$9) + CHOOSE(CONTROL!$C$38, 0.0347, 0)</f>
        <v>35.3399</v>
      </c>
      <c r="H531" s="10">
        <f>35.3052 * CHOOSE(CONTROL!$C$15, $E$9, 100%, $G$9) + CHOOSE(CONTROL!$C$38, 0.0347, 0)</f>
        <v>35.3399</v>
      </c>
      <c r="I531" s="10">
        <f>35.3068 * CHOOSE(CONTROL!$C$15, $E$9, 100%, $G$9) + CHOOSE(CONTROL!$C$38, 0.0347, 0)</f>
        <v>35.341500000000003</v>
      </c>
      <c r="J531" s="26">
        <f>287.6702</f>
        <v>287.67020000000002</v>
      </c>
    </row>
    <row r="532" spans="1:10" ht="15.75" x14ac:dyDescent="0.25">
      <c r="A532" s="13">
        <v>57131</v>
      </c>
      <c r="B532" s="10">
        <f>37.7687 * CHOOSE(CONTROL!$C$15, $E$9, 100%, $G$9) + CHOOSE(CONTROL!$C$38, 0.0278, 0)</f>
        <v>37.796500000000002</v>
      </c>
      <c r="C532" s="10">
        <f>34.7906 * CHOOSE(CONTROL!$C$15, $E$9, 100%, $G$9) + CHOOSE(CONTROL!$C$38, 0.0369, 0)</f>
        <v>34.827500000000001</v>
      </c>
      <c r="D532" s="10">
        <f>34.7828 * CHOOSE(CONTROL!$C$15, $E$9, 100%, $G$9) + CHOOSE(CONTROL!$C$38, 0.0369, 0)</f>
        <v>34.819700000000005</v>
      </c>
      <c r="E532" s="28">
        <f>37.6125 * CHOOSE(CONTROL!$C$15, $E$9, 100%, $G$9) + CHOOSE(CONTROL!$C$38, 0.0369, 0)</f>
        <v>37.6494</v>
      </c>
      <c r="F532" s="27">
        <f>37.6125 * CHOOSE(CONTROL!$C$15, $E$9, 100%, $G$9) + CHOOSE(CONTROL!$C$38, 0.0278, 0)</f>
        <v>37.640299999999996</v>
      </c>
      <c r="G532" s="10">
        <f>34.7891 * CHOOSE(CONTROL!$C$15, $E$9, 100%, $G$9) + CHOOSE(CONTROL!$C$38, 0.0369, 0)</f>
        <v>34.826000000000001</v>
      </c>
      <c r="H532" s="10">
        <f>34.7891 * CHOOSE(CONTROL!$C$15, $E$9, 100%, $G$9) + CHOOSE(CONTROL!$C$38, 0.0369, 0)</f>
        <v>34.826000000000001</v>
      </c>
      <c r="I532" s="10">
        <f>34.7906 * CHOOSE(CONTROL!$C$15, $E$9, 100%, $G$9) + CHOOSE(CONTROL!$C$38, 0.0369, 0)</f>
        <v>34.827500000000001</v>
      </c>
      <c r="J532" s="26">
        <f>297.3238</f>
        <v>297.32380000000001</v>
      </c>
    </row>
    <row r="533" spans="1:10" ht="15.75" x14ac:dyDescent="0.25">
      <c r="A533" s="13">
        <v>57161</v>
      </c>
      <c r="B533" s="10">
        <f>37.4069 * CHOOSE(CONTROL!$C$15, $E$9, 100%, $G$9) + CHOOSE(CONTROL!$C$38, 0.0278, 0)</f>
        <v>37.434699999999999</v>
      </c>
      <c r="C533" s="10">
        <f>34.4288 * CHOOSE(CONTROL!$C$15, $E$9, 100%, $G$9) + CHOOSE(CONTROL!$C$38, 0.0369, 0)</f>
        <v>34.465700000000005</v>
      </c>
      <c r="D533" s="10">
        <f>34.421 * CHOOSE(CONTROL!$C$15, $E$9, 100%, $G$9) + CHOOSE(CONTROL!$C$38, 0.0369, 0)</f>
        <v>34.457900000000002</v>
      </c>
      <c r="E533" s="28">
        <f>37.2506 * CHOOSE(CONTROL!$C$15, $E$9, 100%, $G$9) + CHOOSE(CONTROL!$C$38, 0.0369, 0)</f>
        <v>37.287500000000001</v>
      </c>
      <c r="F533" s="27">
        <f>37.2506 * CHOOSE(CONTROL!$C$15, $E$9, 100%, $G$9) + CHOOSE(CONTROL!$C$38, 0.0278, 0)</f>
        <v>37.278399999999998</v>
      </c>
      <c r="G533" s="10">
        <f>34.4272 * CHOOSE(CONTROL!$C$15, $E$9, 100%, $G$9) + CHOOSE(CONTROL!$C$38, 0.0369, 0)</f>
        <v>34.464100000000002</v>
      </c>
      <c r="H533" s="10">
        <f>34.4272 * CHOOSE(CONTROL!$C$15, $E$9, 100%, $G$9) + CHOOSE(CONTROL!$C$38, 0.0369, 0)</f>
        <v>34.464100000000002</v>
      </c>
      <c r="I533" s="10">
        <f>34.4288 * CHOOSE(CONTROL!$C$15, $E$9, 100%, $G$9) + CHOOSE(CONTROL!$C$38, 0.0369, 0)</f>
        <v>34.465700000000005</v>
      </c>
      <c r="J533" s="26">
        <f>301.608</f>
        <v>301.608</v>
      </c>
    </row>
    <row r="534" spans="1:10" ht="15.75" x14ac:dyDescent="0.25">
      <c r="A534" s="13">
        <v>57192</v>
      </c>
      <c r="B534" s="10">
        <f>37.2004 * CHOOSE(CONTROL!$C$15, $E$9, 100%, $G$9) + CHOOSE(CONTROL!$C$38, 0.0278, 0)</f>
        <v>37.228200000000001</v>
      </c>
      <c r="C534" s="10">
        <f>34.2223 * CHOOSE(CONTROL!$C$15, $E$9, 100%, $G$9) + CHOOSE(CONTROL!$C$38, 0.0369, 0)</f>
        <v>34.2592</v>
      </c>
      <c r="D534" s="10">
        <f>34.2145 * CHOOSE(CONTROL!$C$15, $E$9, 100%, $G$9) + CHOOSE(CONTROL!$C$38, 0.0369, 0)</f>
        <v>34.251400000000004</v>
      </c>
      <c r="E534" s="28">
        <f>37.0441 * CHOOSE(CONTROL!$C$15, $E$9, 100%, $G$9) + CHOOSE(CONTROL!$C$38, 0.0369, 0)</f>
        <v>37.081000000000003</v>
      </c>
      <c r="F534" s="27">
        <f>37.0441 * CHOOSE(CONTROL!$C$15, $E$9, 100%, $G$9) + CHOOSE(CONTROL!$C$38, 0.0278, 0)</f>
        <v>37.071899999999999</v>
      </c>
      <c r="G534" s="10">
        <f>34.2208 * CHOOSE(CONTROL!$C$15, $E$9, 100%, $G$9) + CHOOSE(CONTROL!$C$38, 0.0369, 0)</f>
        <v>34.2577</v>
      </c>
      <c r="H534" s="10">
        <f>34.2208 * CHOOSE(CONTROL!$C$15, $E$9, 100%, $G$9) + CHOOSE(CONTROL!$C$38, 0.0369, 0)</f>
        <v>34.2577</v>
      </c>
      <c r="I534" s="10">
        <f>34.2223 * CHOOSE(CONTROL!$C$15, $E$9, 100%, $G$9) + CHOOSE(CONTROL!$C$38, 0.0369, 0)</f>
        <v>34.2592</v>
      </c>
      <c r="J534" s="26">
        <f>300.1974</f>
        <v>300.19740000000002</v>
      </c>
    </row>
    <row r="535" spans="1:10" ht="15.75" x14ac:dyDescent="0.25">
      <c r="A535" s="13">
        <v>57223</v>
      </c>
      <c r="B535" s="10">
        <f>37.3023 * CHOOSE(CONTROL!$C$15, $E$9, 100%, $G$9) + CHOOSE(CONTROL!$C$38, 0.0278, 0)</f>
        <v>37.330100000000002</v>
      </c>
      <c r="C535" s="10">
        <f>34.3242 * CHOOSE(CONTROL!$C$15, $E$9, 100%, $G$9) + CHOOSE(CONTROL!$C$38, 0.0369, 0)</f>
        <v>34.3611</v>
      </c>
      <c r="D535" s="10">
        <f>34.3164 * CHOOSE(CONTROL!$C$15, $E$9, 100%, $G$9) + CHOOSE(CONTROL!$C$38, 0.0369, 0)</f>
        <v>34.353300000000004</v>
      </c>
      <c r="E535" s="28">
        <f>37.1461 * CHOOSE(CONTROL!$C$15, $E$9, 100%, $G$9) + CHOOSE(CONTROL!$C$38, 0.0369, 0)</f>
        <v>37.183</v>
      </c>
      <c r="F535" s="27">
        <f>37.1461 * CHOOSE(CONTROL!$C$15, $E$9, 100%, $G$9) + CHOOSE(CONTROL!$C$38, 0.0278, 0)</f>
        <v>37.173899999999996</v>
      </c>
      <c r="G535" s="10">
        <f>34.3227 * CHOOSE(CONTROL!$C$15, $E$9, 100%, $G$9) + CHOOSE(CONTROL!$C$38, 0.0369, 0)</f>
        <v>34.3596</v>
      </c>
      <c r="H535" s="10">
        <f>34.3227 * CHOOSE(CONTROL!$C$15, $E$9, 100%, $G$9) + CHOOSE(CONTROL!$C$38, 0.0369, 0)</f>
        <v>34.3596</v>
      </c>
      <c r="I535" s="10">
        <f>34.3242 * CHOOSE(CONTROL!$C$15, $E$9, 100%, $G$9) + CHOOSE(CONTROL!$C$38, 0.0369, 0)</f>
        <v>34.3611</v>
      </c>
      <c r="J535" s="26">
        <f>293.209</f>
        <v>293.209</v>
      </c>
    </row>
    <row r="536" spans="1:10" ht="15.75" x14ac:dyDescent="0.25">
      <c r="A536" s="13">
        <v>57253</v>
      </c>
      <c r="B536" s="10">
        <f>37.5791 * CHOOSE(CONTROL!$C$15, $E$9, 100%, $G$9) + CHOOSE(CONTROL!$C$38, 0.0278, 0)</f>
        <v>37.606899999999996</v>
      </c>
      <c r="C536" s="10">
        <f>34.601 * CHOOSE(CONTROL!$C$15, $E$9, 100%, $G$9) + CHOOSE(CONTROL!$C$38, 0.0369, 0)</f>
        <v>34.637900000000002</v>
      </c>
      <c r="D536" s="10">
        <f>34.5932 * CHOOSE(CONTROL!$C$15, $E$9, 100%, $G$9) + CHOOSE(CONTROL!$C$38, 0.0369, 0)</f>
        <v>34.630100000000006</v>
      </c>
      <c r="E536" s="28">
        <f>37.4229 * CHOOSE(CONTROL!$C$15, $E$9, 100%, $G$9) + CHOOSE(CONTROL!$C$38, 0.0369, 0)</f>
        <v>37.459800000000001</v>
      </c>
      <c r="F536" s="27">
        <f>37.4229 * CHOOSE(CONTROL!$C$15, $E$9, 100%, $G$9) + CHOOSE(CONTROL!$C$38, 0.0278, 0)</f>
        <v>37.450699999999998</v>
      </c>
      <c r="G536" s="10">
        <f>34.5995 * CHOOSE(CONTROL!$C$15, $E$9, 100%, $G$9) + CHOOSE(CONTROL!$C$38, 0.0369, 0)</f>
        <v>34.636400000000002</v>
      </c>
      <c r="H536" s="10">
        <f>34.5995 * CHOOSE(CONTROL!$C$15, $E$9, 100%, $G$9) + CHOOSE(CONTROL!$C$38, 0.0369, 0)</f>
        <v>34.636400000000002</v>
      </c>
      <c r="I536" s="10">
        <f>34.601 * CHOOSE(CONTROL!$C$15, $E$9, 100%, $G$9) + CHOOSE(CONTROL!$C$38, 0.0369, 0)</f>
        <v>34.637900000000002</v>
      </c>
      <c r="J536" s="26">
        <f>283.4632</f>
        <v>283.46319999999997</v>
      </c>
    </row>
    <row r="537" spans="1:10" ht="15.75" x14ac:dyDescent="0.25">
      <c r="A537" s="13">
        <v>57284</v>
      </c>
      <c r="B537" s="10">
        <f>37.8109 * CHOOSE(CONTROL!$C$15, $E$9, 100%, $G$9) + CHOOSE(CONTROL!$C$38, 0.0256, 0)</f>
        <v>37.836499999999994</v>
      </c>
      <c r="C537" s="10">
        <f>34.8328 * CHOOSE(CONTROL!$C$15, $E$9, 100%, $G$9) + CHOOSE(CONTROL!$C$38, 0.0347, 0)</f>
        <v>34.8675</v>
      </c>
      <c r="D537" s="10">
        <f>34.825 * CHOOSE(CONTROL!$C$15, $E$9, 100%, $G$9) + CHOOSE(CONTROL!$C$38, 0.0347, 0)</f>
        <v>34.859700000000004</v>
      </c>
      <c r="E537" s="28">
        <f>37.6547 * CHOOSE(CONTROL!$C$15, $E$9, 100%, $G$9) + CHOOSE(CONTROL!$C$38, 0.0347, 0)</f>
        <v>37.689399999999999</v>
      </c>
      <c r="F537" s="27">
        <f>37.6547 * CHOOSE(CONTROL!$C$15, $E$9, 100%, $G$9) + CHOOSE(CONTROL!$C$38, 0.0256, 0)</f>
        <v>37.680299999999995</v>
      </c>
      <c r="G537" s="10">
        <f>34.8313 * CHOOSE(CONTROL!$C$15, $E$9, 100%, $G$9) + CHOOSE(CONTROL!$C$38, 0.0347, 0)</f>
        <v>34.866</v>
      </c>
      <c r="H537" s="10">
        <f>34.8313 * CHOOSE(CONTROL!$C$15, $E$9, 100%, $G$9) + CHOOSE(CONTROL!$C$38, 0.0347, 0)</f>
        <v>34.866</v>
      </c>
      <c r="I537" s="10">
        <f>34.8328 * CHOOSE(CONTROL!$C$15, $E$9, 100%, $G$9) + CHOOSE(CONTROL!$C$38, 0.0347, 0)</f>
        <v>34.8675</v>
      </c>
      <c r="J537" s="26">
        <f>273.6607</f>
        <v>273.66070000000002</v>
      </c>
    </row>
    <row r="538" spans="1:10" ht="15.75" x14ac:dyDescent="0.25">
      <c r="A538" s="13">
        <v>57314</v>
      </c>
      <c r="B538" s="10">
        <f>38.0044 * CHOOSE(CONTROL!$C$15, $E$9, 100%, $G$9) + CHOOSE(CONTROL!$C$38, 0.0256, 0)</f>
        <v>38.029999999999994</v>
      </c>
      <c r="C538" s="10">
        <f>35.0263 * CHOOSE(CONTROL!$C$15, $E$9, 100%, $G$9) + CHOOSE(CONTROL!$C$38, 0.0347, 0)</f>
        <v>35.061</v>
      </c>
      <c r="D538" s="10">
        <f>35.0185 * CHOOSE(CONTROL!$C$15, $E$9, 100%, $G$9) + CHOOSE(CONTROL!$C$38, 0.0347, 0)</f>
        <v>35.053200000000004</v>
      </c>
      <c r="E538" s="28">
        <f>37.8481 * CHOOSE(CONTROL!$C$15, $E$9, 100%, $G$9) + CHOOSE(CONTROL!$C$38, 0.0347, 0)</f>
        <v>37.882800000000003</v>
      </c>
      <c r="F538" s="27">
        <f>37.8481 * CHOOSE(CONTROL!$C$15, $E$9, 100%, $G$9) + CHOOSE(CONTROL!$C$38, 0.0256, 0)</f>
        <v>37.873699999999999</v>
      </c>
      <c r="G538" s="10">
        <f>35.0247 * CHOOSE(CONTROL!$C$15, $E$9, 100%, $G$9) + CHOOSE(CONTROL!$C$38, 0.0347, 0)</f>
        <v>35.059400000000004</v>
      </c>
      <c r="H538" s="10">
        <f>35.0247 * CHOOSE(CONTROL!$C$15, $E$9, 100%, $G$9) + CHOOSE(CONTROL!$C$38, 0.0347, 0)</f>
        <v>35.059400000000004</v>
      </c>
      <c r="I538" s="10">
        <f>35.0263 * CHOOSE(CONTROL!$C$15, $E$9, 100%, $G$9) + CHOOSE(CONTROL!$C$38, 0.0347, 0)</f>
        <v>35.061</v>
      </c>
      <c r="J538" s="26">
        <f>271.7108</f>
        <v>271.71080000000001</v>
      </c>
    </row>
    <row r="539" spans="1:10" ht="15.75" x14ac:dyDescent="0.25">
      <c r="A539" s="13">
        <v>57345</v>
      </c>
      <c r="B539" s="10">
        <f>38.6004 * CHOOSE(CONTROL!$C$15, $E$9, 100%, $G$9) + CHOOSE(CONTROL!$C$38, 0.0256, 0)</f>
        <v>38.625999999999998</v>
      </c>
      <c r="C539" s="10">
        <f>35.6224 * CHOOSE(CONTROL!$C$15, $E$9, 100%, $G$9) + CHOOSE(CONTROL!$C$38, 0.0347, 0)</f>
        <v>35.6571</v>
      </c>
      <c r="D539" s="10">
        <f>35.6145 * CHOOSE(CONTROL!$C$15, $E$9, 100%, $G$9) + CHOOSE(CONTROL!$C$38, 0.0347, 0)</f>
        <v>35.6492</v>
      </c>
      <c r="E539" s="28">
        <f>38.4442 * CHOOSE(CONTROL!$C$15, $E$9, 100%, $G$9) + CHOOSE(CONTROL!$C$38, 0.0347, 0)</f>
        <v>38.478900000000003</v>
      </c>
      <c r="F539" s="27">
        <f>38.4442 * CHOOSE(CONTROL!$C$15, $E$9, 100%, $G$9) + CHOOSE(CONTROL!$C$38, 0.0256, 0)</f>
        <v>38.469799999999999</v>
      </c>
      <c r="G539" s="10">
        <f>35.6208 * CHOOSE(CONTROL!$C$15, $E$9, 100%, $G$9) + CHOOSE(CONTROL!$C$38, 0.0347, 0)</f>
        <v>35.655500000000004</v>
      </c>
      <c r="H539" s="10">
        <f>35.6208 * CHOOSE(CONTROL!$C$15, $E$9, 100%, $G$9) + CHOOSE(CONTROL!$C$38, 0.0347, 0)</f>
        <v>35.655500000000004</v>
      </c>
      <c r="I539" s="10">
        <f>35.6224 * CHOOSE(CONTROL!$C$15, $E$9, 100%, $G$9) + CHOOSE(CONTROL!$C$38, 0.0347, 0)</f>
        <v>35.6571</v>
      </c>
      <c r="J539" s="26">
        <f>263.6478</f>
        <v>263.64780000000002</v>
      </c>
    </row>
    <row r="540" spans="1:10" ht="15.75" x14ac:dyDescent="0.25">
      <c r="A540" s="13">
        <v>57376</v>
      </c>
      <c r="B540" s="10">
        <f>39.6847 * CHOOSE(CONTROL!$C$15, $E$9, 100%, $G$9) + CHOOSE(CONTROL!$C$38, 0.0256, 0)</f>
        <v>39.710299999999997</v>
      </c>
      <c r="C540" s="10">
        <f>36.6603 * CHOOSE(CONTROL!$C$15, $E$9, 100%, $G$9) + CHOOSE(CONTROL!$C$38, 0.0347, 0)</f>
        <v>36.695</v>
      </c>
      <c r="D540" s="10">
        <f>36.6525 * CHOOSE(CONTROL!$C$15, $E$9, 100%, $G$9) + CHOOSE(CONTROL!$C$38, 0.0347, 0)</f>
        <v>36.687200000000004</v>
      </c>
      <c r="E540" s="28">
        <f>39.5284 * CHOOSE(CONTROL!$C$15, $E$9, 100%, $G$9) + CHOOSE(CONTROL!$C$38, 0.0347, 0)</f>
        <v>39.563099999999999</v>
      </c>
      <c r="F540" s="27">
        <f>39.5284 * CHOOSE(CONTROL!$C$15, $E$9, 100%, $G$9) + CHOOSE(CONTROL!$C$38, 0.0256, 0)</f>
        <v>39.553999999999995</v>
      </c>
      <c r="G540" s="10">
        <f>36.6588 * CHOOSE(CONTROL!$C$15, $E$9, 100%, $G$9) + CHOOSE(CONTROL!$C$38, 0.0347, 0)</f>
        <v>36.6935</v>
      </c>
      <c r="H540" s="10">
        <f>36.6588 * CHOOSE(CONTROL!$C$15, $E$9, 100%, $G$9) + CHOOSE(CONTROL!$C$38, 0.0347, 0)</f>
        <v>36.6935</v>
      </c>
      <c r="I540" s="10">
        <f>36.6603 * CHOOSE(CONTROL!$C$15, $E$9, 100%, $G$9) + CHOOSE(CONTROL!$C$38, 0.0347, 0)</f>
        <v>36.695</v>
      </c>
      <c r="J540" s="26">
        <f>263.1443</f>
        <v>263.14429999999999</v>
      </c>
    </row>
    <row r="541" spans="1:10" ht="15.75" x14ac:dyDescent="0.25">
      <c r="A541" s="13">
        <v>57404</v>
      </c>
      <c r="B541" s="10">
        <f>39.9054 * CHOOSE(CONTROL!$C$15, $E$9, 100%, $G$9) + CHOOSE(CONTROL!$C$38, 0.0256, 0)</f>
        <v>39.930999999999997</v>
      </c>
      <c r="C541" s="10">
        <f>36.8811 * CHOOSE(CONTROL!$C$15, $E$9, 100%, $G$9) + CHOOSE(CONTROL!$C$38, 0.0347, 0)</f>
        <v>36.915800000000004</v>
      </c>
      <c r="D541" s="10">
        <f>36.8733 * CHOOSE(CONTROL!$C$15, $E$9, 100%, $G$9) + CHOOSE(CONTROL!$C$38, 0.0347, 0)</f>
        <v>36.908000000000001</v>
      </c>
      <c r="E541" s="28">
        <f>39.7492 * CHOOSE(CONTROL!$C$15, $E$9, 100%, $G$9) + CHOOSE(CONTROL!$C$38, 0.0347, 0)</f>
        <v>39.783900000000003</v>
      </c>
      <c r="F541" s="27">
        <f>39.7492 * CHOOSE(CONTROL!$C$15, $E$9, 100%, $G$9) + CHOOSE(CONTROL!$C$38, 0.0256, 0)</f>
        <v>39.774799999999999</v>
      </c>
      <c r="G541" s="10">
        <f>36.8795 * CHOOSE(CONTROL!$C$15, $E$9, 100%, $G$9) + CHOOSE(CONTROL!$C$38, 0.0347, 0)</f>
        <v>36.914200000000001</v>
      </c>
      <c r="H541" s="10">
        <f>36.8795 * CHOOSE(CONTROL!$C$15, $E$9, 100%, $G$9) + CHOOSE(CONTROL!$C$38, 0.0347, 0)</f>
        <v>36.914200000000001</v>
      </c>
      <c r="I541" s="10">
        <f>36.8811 * CHOOSE(CONTROL!$C$15, $E$9, 100%, $G$9) + CHOOSE(CONTROL!$C$38, 0.0347, 0)</f>
        <v>36.915800000000004</v>
      </c>
      <c r="J541" s="26">
        <f>262.4128</f>
        <v>262.4128</v>
      </c>
    </row>
    <row r="542" spans="1:10" ht="15.75" x14ac:dyDescent="0.25">
      <c r="A542" s="13">
        <v>57435</v>
      </c>
      <c r="B542" s="10">
        <f>39.3944 * CHOOSE(CONTROL!$C$15, $E$9, 100%, $G$9) + CHOOSE(CONTROL!$C$38, 0.0256, 0)</f>
        <v>39.419999999999995</v>
      </c>
      <c r="C542" s="10">
        <f>36.3701 * CHOOSE(CONTROL!$C$15, $E$9, 100%, $G$9) + CHOOSE(CONTROL!$C$38, 0.0347, 0)</f>
        <v>36.404800000000002</v>
      </c>
      <c r="D542" s="10">
        <f>36.3623 * CHOOSE(CONTROL!$C$15, $E$9, 100%, $G$9) + CHOOSE(CONTROL!$C$38, 0.0347, 0)</f>
        <v>36.396999999999998</v>
      </c>
      <c r="E542" s="28">
        <f>39.2382 * CHOOSE(CONTROL!$C$15, $E$9, 100%, $G$9) + CHOOSE(CONTROL!$C$38, 0.0347, 0)</f>
        <v>39.2729</v>
      </c>
      <c r="F542" s="27">
        <f>39.2382 * CHOOSE(CONTROL!$C$15, $E$9, 100%, $G$9) + CHOOSE(CONTROL!$C$38, 0.0256, 0)</f>
        <v>39.263799999999996</v>
      </c>
      <c r="G542" s="10">
        <f>36.3685 * CHOOSE(CONTROL!$C$15, $E$9, 100%, $G$9) + CHOOSE(CONTROL!$C$38, 0.0347, 0)</f>
        <v>36.403199999999998</v>
      </c>
      <c r="H542" s="10">
        <f>36.3685 * CHOOSE(CONTROL!$C$15, $E$9, 100%, $G$9) + CHOOSE(CONTROL!$C$38, 0.0347, 0)</f>
        <v>36.403199999999998</v>
      </c>
      <c r="I542" s="10">
        <f>36.3701 * CHOOSE(CONTROL!$C$15, $E$9, 100%, $G$9) + CHOOSE(CONTROL!$C$38, 0.0347, 0)</f>
        <v>36.404800000000002</v>
      </c>
      <c r="J542" s="26">
        <f>276.2435</f>
        <v>276.24349999999998</v>
      </c>
    </row>
    <row r="543" spans="1:10" ht="15.75" x14ac:dyDescent="0.25">
      <c r="A543" s="13">
        <v>57465</v>
      </c>
      <c r="B543" s="10">
        <f>38.8992 * CHOOSE(CONTROL!$C$15, $E$9, 100%, $G$9) + CHOOSE(CONTROL!$C$38, 0.0256, 0)</f>
        <v>38.924799999999998</v>
      </c>
      <c r="C543" s="10">
        <f>35.8749 * CHOOSE(CONTROL!$C$15, $E$9, 100%, $G$9) + CHOOSE(CONTROL!$C$38, 0.0347, 0)</f>
        <v>35.909599999999998</v>
      </c>
      <c r="D543" s="10">
        <f>35.8671 * CHOOSE(CONTROL!$C$15, $E$9, 100%, $G$9) + CHOOSE(CONTROL!$C$38, 0.0347, 0)</f>
        <v>35.901800000000001</v>
      </c>
      <c r="E543" s="28">
        <f>38.743 * CHOOSE(CONTROL!$C$15, $E$9, 100%, $G$9) + CHOOSE(CONTROL!$C$38, 0.0347, 0)</f>
        <v>38.777700000000003</v>
      </c>
      <c r="F543" s="27">
        <f>38.743 * CHOOSE(CONTROL!$C$15, $E$9, 100%, $G$9) + CHOOSE(CONTROL!$C$38, 0.0256, 0)</f>
        <v>38.768599999999999</v>
      </c>
      <c r="G543" s="10">
        <f>35.8733 * CHOOSE(CONTROL!$C$15, $E$9, 100%, $G$9) + CHOOSE(CONTROL!$C$38, 0.0347, 0)</f>
        <v>35.908000000000001</v>
      </c>
      <c r="H543" s="10">
        <f>35.8733 * CHOOSE(CONTROL!$C$15, $E$9, 100%, $G$9) + CHOOSE(CONTROL!$C$38, 0.0347, 0)</f>
        <v>35.908000000000001</v>
      </c>
      <c r="I543" s="10">
        <f>35.8749 * CHOOSE(CONTROL!$C$15, $E$9, 100%, $G$9) + CHOOSE(CONTROL!$C$38, 0.0347, 0)</f>
        <v>35.909599999999998</v>
      </c>
      <c r="J543" s="26">
        <f>294.1786</f>
        <v>294.17860000000002</v>
      </c>
    </row>
    <row r="544" spans="1:10" ht="15.75" x14ac:dyDescent="0.25">
      <c r="A544" s="13">
        <v>57496</v>
      </c>
      <c r="B544" s="10">
        <f>38.3831 * CHOOSE(CONTROL!$C$15, $E$9, 100%, $G$9) + CHOOSE(CONTROL!$C$38, 0.0278, 0)</f>
        <v>38.410899999999998</v>
      </c>
      <c r="C544" s="10">
        <f>35.3588 * CHOOSE(CONTROL!$C$15, $E$9, 100%, $G$9) + CHOOSE(CONTROL!$C$38, 0.0369, 0)</f>
        <v>35.395700000000005</v>
      </c>
      <c r="D544" s="10">
        <f>35.351 * CHOOSE(CONTROL!$C$15, $E$9, 100%, $G$9) + CHOOSE(CONTROL!$C$38, 0.0369, 0)</f>
        <v>35.387900000000002</v>
      </c>
      <c r="E544" s="28">
        <f>38.2269 * CHOOSE(CONTROL!$C$15, $E$9, 100%, $G$9) + CHOOSE(CONTROL!$C$38, 0.0369, 0)</f>
        <v>38.263800000000003</v>
      </c>
      <c r="F544" s="27">
        <f>38.2269 * CHOOSE(CONTROL!$C$15, $E$9, 100%, $G$9) + CHOOSE(CONTROL!$C$38, 0.0278, 0)</f>
        <v>38.2547</v>
      </c>
      <c r="G544" s="10">
        <f>35.3572 * CHOOSE(CONTROL!$C$15, $E$9, 100%, $G$9) + CHOOSE(CONTROL!$C$38, 0.0369, 0)</f>
        <v>35.394100000000002</v>
      </c>
      <c r="H544" s="10">
        <f>35.3572 * CHOOSE(CONTROL!$C$15, $E$9, 100%, $G$9) + CHOOSE(CONTROL!$C$38, 0.0369, 0)</f>
        <v>35.394100000000002</v>
      </c>
      <c r="I544" s="10">
        <f>35.3588 * CHOOSE(CONTROL!$C$15, $E$9, 100%, $G$9) + CHOOSE(CONTROL!$C$38, 0.0369, 0)</f>
        <v>35.395700000000005</v>
      </c>
      <c r="J544" s="26">
        <f>304.0506</f>
        <v>304.05059999999997</v>
      </c>
    </row>
    <row r="545" spans="1:10" ht="15.75" x14ac:dyDescent="0.25">
      <c r="A545" s="13">
        <v>57526</v>
      </c>
      <c r="B545" s="10">
        <f>38.0213 * CHOOSE(CONTROL!$C$15, $E$9, 100%, $G$9) + CHOOSE(CONTROL!$C$38, 0.0278, 0)</f>
        <v>38.049099999999996</v>
      </c>
      <c r="C545" s="10">
        <f>34.9969 * CHOOSE(CONTROL!$C$15, $E$9, 100%, $G$9) + CHOOSE(CONTROL!$C$38, 0.0369, 0)</f>
        <v>35.033799999999999</v>
      </c>
      <c r="D545" s="10">
        <f>34.9891 * CHOOSE(CONTROL!$C$15, $E$9, 100%, $G$9) + CHOOSE(CONTROL!$C$38, 0.0369, 0)</f>
        <v>35.026000000000003</v>
      </c>
      <c r="E545" s="28">
        <f>37.865 * CHOOSE(CONTROL!$C$15, $E$9, 100%, $G$9) + CHOOSE(CONTROL!$C$38, 0.0369, 0)</f>
        <v>37.901900000000005</v>
      </c>
      <c r="F545" s="27">
        <f>37.865 * CHOOSE(CONTROL!$C$15, $E$9, 100%, $G$9) + CHOOSE(CONTROL!$C$38, 0.0278, 0)</f>
        <v>37.892800000000001</v>
      </c>
      <c r="G545" s="10">
        <f>34.9954 * CHOOSE(CONTROL!$C$15, $E$9, 100%, $G$9) + CHOOSE(CONTROL!$C$38, 0.0369, 0)</f>
        <v>35.032299999999999</v>
      </c>
      <c r="H545" s="10">
        <f>34.9954 * CHOOSE(CONTROL!$C$15, $E$9, 100%, $G$9) + CHOOSE(CONTROL!$C$38, 0.0369, 0)</f>
        <v>35.032299999999999</v>
      </c>
      <c r="I545" s="10">
        <f>34.9969 * CHOOSE(CONTROL!$C$15, $E$9, 100%, $G$9) + CHOOSE(CONTROL!$C$38, 0.0369, 0)</f>
        <v>35.033799999999999</v>
      </c>
      <c r="J545" s="26">
        <f>308.4317</f>
        <v>308.43169999999998</v>
      </c>
    </row>
    <row r="546" spans="1:10" ht="15.75" x14ac:dyDescent="0.25">
      <c r="A546" s="13">
        <v>57557</v>
      </c>
      <c r="B546" s="10">
        <f>37.8148 * CHOOSE(CONTROL!$C$15, $E$9, 100%, $G$9) + CHOOSE(CONTROL!$C$38, 0.0278, 0)</f>
        <v>37.842599999999997</v>
      </c>
      <c r="C546" s="10">
        <f>34.7905 * CHOOSE(CONTROL!$C$15, $E$9, 100%, $G$9) + CHOOSE(CONTROL!$C$38, 0.0369, 0)</f>
        <v>34.827400000000004</v>
      </c>
      <c r="D546" s="10">
        <f>34.7826 * CHOOSE(CONTROL!$C$15, $E$9, 100%, $G$9) + CHOOSE(CONTROL!$C$38, 0.0369, 0)</f>
        <v>34.819500000000005</v>
      </c>
      <c r="E546" s="28">
        <f>37.6585 * CHOOSE(CONTROL!$C$15, $E$9, 100%, $G$9) + CHOOSE(CONTROL!$C$38, 0.0369, 0)</f>
        <v>37.695399999999999</v>
      </c>
      <c r="F546" s="27">
        <f>37.6585 * CHOOSE(CONTROL!$C$15, $E$9, 100%, $G$9) + CHOOSE(CONTROL!$C$38, 0.0278, 0)</f>
        <v>37.686299999999996</v>
      </c>
      <c r="G546" s="10">
        <f>34.7889 * CHOOSE(CONTROL!$C$15, $E$9, 100%, $G$9) + CHOOSE(CONTROL!$C$38, 0.0369, 0)</f>
        <v>34.825800000000001</v>
      </c>
      <c r="H546" s="10">
        <f>34.7889 * CHOOSE(CONTROL!$C$15, $E$9, 100%, $G$9) + CHOOSE(CONTROL!$C$38, 0.0369, 0)</f>
        <v>34.825800000000001</v>
      </c>
      <c r="I546" s="10">
        <f>34.7905 * CHOOSE(CONTROL!$C$15, $E$9, 100%, $G$9) + CHOOSE(CONTROL!$C$38, 0.0369, 0)</f>
        <v>34.827400000000004</v>
      </c>
      <c r="J546" s="26">
        <f>306.9892</f>
        <v>306.98919999999998</v>
      </c>
    </row>
    <row r="547" spans="1:10" ht="15.75" x14ac:dyDescent="0.25">
      <c r="A547" s="13">
        <v>57588</v>
      </c>
      <c r="B547" s="10">
        <f>37.9167 * CHOOSE(CONTROL!$C$15, $E$9, 100%, $G$9) + CHOOSE(CONTROL!$C$38, 0.0278, 0)</f>
        <v>37.944499999999998</v>
      </c>
      <c r="C547" s="10">
        <f>34.8924 * CHOOSE(CONTROL!$C$15, $E$9, 100%, $G$9) + CHOOSE(CONTROL!$C$38, 0.0369, 0)</f>
        <v>34.929300000000005</v>
      </c>
      <c r="D547" s="10">
        <f>34.8845 * CHOOSE(CONTROL!$C$15, $E$9, 100%, $G$9) + CHOOSE(CONTROL!$C$38, 0.0369, 0)</f>
        <v>34.921400000000006</v>
      </c>
      <c r="E547" s="28">
        <f>37.7605 * CHOOSE(CONTROL!$C$15, $E$9, 100%, $G$9) + CHOOSE(CONTROL!$C$38, 0.0369, 0)</f>
        <v>37.797400000000003</v>
      </c>
      <c r="F547" s="27">
        <f>37.7605 * CHOOSE(CONTROL!$C$15, $E$9, 100%, $G$9) + CHOOSE(CONTROL!$C$38, 0.0278, 0)</f>
        <v>37.7883</v>
      </c>
      <c r="G547" s="10">
        <f>34.8908 * CHOOSE(CONTROL!$C$15, $E$9, 100%, $G$9) + CHOOSE(CONTROL!$C$38, 0.0369, 0)</f>
        <v>34.927700000000002</v>
      </c>
      <c r="H547" s="10">
        <f>34.8908 * CHOOSE(CONTROL!$C$15, $E$9, 100%, $G$9) + CHOOSE(CONTROL!$C$38, 0.0369, 0)</f>
        <v>34.927700000000002</v>
      </c>
      <c r="I547" s="10">
        <f>34.8924 * CHOOSE(CONTROL!$C$15, $E$9, 100%, $G$9) + CHOOSE(CONTROL!$C$38, 0.0369, 0)</f>
        <v>34.929300000000005</v>
      </c>
      <c r="J547" s="26">
        <f>299.8427</f>
        <v>299.84269999999998</v>
      </c>
    </row>
    <row r="548" spans="1:10" ht="15.75" x14ac:dyDescent="0.25">
      <c r="A548" s="13">
        <v>57618</v>
      </c>
      <c r="B548" s="10">
        <f>38.1935 * CHOOSE(CONTROL!$C$15, $E$9, 100%, $G$9) + CHOOSE(CONTROL!$C$38, 0.0278, 0)</f>
        <v>38.221299999999999</v>
      </c>
      <c r="C548" s="10">
        <f>35.1692 * CHOOSE(CONTROL!$C$15, $E$9, 100%, $G$9) + CHOOSE(CONTROL!$C$38, 0.0369, 0)</f>
        <v>35.206099999999999</v>
      </c>
      <c r="D548" s="10">
        <f>35.1613 * CHOOSE(CONTROL!$C$15, $E$9, 100%, $G$9) + CHOOSE(CONTROL!$C$38, 0.0369, 0)</f>
        <v>35.1982</v>
      </c>
      <c r="E548" s="28">
        <f>38.0373 * CHOOSE(CONTROL!$C$15, $E$9, 100%, $G$9) + CHOOSE(CONTROL!$C$38, 0.0369, 0)</f>
        <v>38.074200000000005</v>
      </c>
      <c r="F548" s="27">
        <f>38.0373 * CHOOSE(CONTROL!$C$15, $E$9, 100%, $G$9) + CHOOSE(CONTROL!$C$38, 0.0278, 0)</f>
        <v>38.065100000000001</v>
      </c>
      <c r="G548" s="10">
        <f>35.1676 * CHOOSE(CONTROL!$C$15, $E$9, 100%, $G$9) + CHOOSE(CONTROL!$C$38, 0.0369, 0)</f>
        <v>35.204500000000003</v>
      </c>
      <c r="H548" s="10">
        <f>35.1676 * CHOOSE(CONTROL!$C$15, $E$9, 100%, $G$9) + CHOOSE(CONTROL!$C$38, 0.0369, 0)</f>
        <v>35.204500000000003</v>
      </c>
      <c r="I548" s="10">
        <f>35.1692 * CHOOSE(CONTROL!$C$15, $E$9, 100%, $G$9) + CHOOSE(CONTROL!$C$38, 0.0369, 0)</f>
        <v>35.206099999999999</v>
      </c>
      <c r="J548" s="26">
        <f>289.8764</f>
        <v>289.87639999999999</v>
      </c>
    </row>
    <row r="549" spans="1:10" ht="15.75" x14ac:dyDescent="0.25">
      <c r="A549" s="13">
        <v>57649</v>
      </c>
      <c r="B549" s="10">
        <f>38.4253 * CHOOSE(CONTROL!$C$15, $E$9, 100%, $G$9) + CHOOSE(CONTROL!$C$38, 0.0256, 0)</f>
        <v>38.450899999999997</v>
      </c>
      <c r="C549" s="10">
        <f>35.401 * CHOOSE(CONTROL!$C$15, $E$9, 100%, $G$9) + CHOOSE(CONTROL!$C$38, 0.0347, 0)</f>
        <v>35.435700000000004</v>
      </c>
      <c r="D549" s="10">
        <f>35.3932 * CHOOSE(CONTROL!$C$15, $E$9, 100%, $G$9) + CHOOSE(CONTROL!$C$38, 0.0347, 0)</f>
        <v>35.427900000000001</v>
      </c>
      <c r="E549" s="28">
        <f>38.2691 * CHOOSE(CONTROL!$C$15, $E$9, 100%, $G$9) + CHOOSE(CONTROL!$C$38, 0.0347, 0)</f>
        <v>38.303800000000003</v>
      </c>
      <c r="F549" s="27">
        <f>38.2691 * CHOOSE(CONTROL!$C$15, $E$9, 100%, $G$9) + CHOOSE(CONTROL!$C$38, 0.0256, 0)</f>
        <v>38.294699999999999</v>
      </c>
      <c r="G549" s="10">
        <f>35.3994 * CHOOSE(CONTROL!$C$15, $E$9, 100%, $G$9) + CHOOSE(CONTROL!$C$38, 0.0347, 0)</f>
        <v>35.434100000000001</v>
      </c>
      <c r="H549" s="10">
        <f>35.3994 * CHOOSE(CONTROL!$C$15, $E$9, 100%, $G$9) + CHOOSE(CONTROL!$C$38, 0.0347, 0)</f>
        <v>35.434100000000001</v>
      </c>
      <c r="I549" s="10">
        <f>35.401 * CHOOSE(CONTROL!$C$15, $E$9, 100%, $G$9) + CHOOSE(CONTROL!$C$38, 0.0347, 0)</f>
        <v>35.435700000000004</v>
      </c>
      <c r="J549" s="26">
        <f>279.8522</f>
        <v>279.85219999999998</v>
      </c>
    </row>
    <row r="550" spans="1:10" ht="15.75" x14ac:dyDescent="0.25">
      <c r="A550" s="13">
        <v>57679</v>
      </c>
      <c r="B550" s="10">
        <f>38.6188 * CHOOSE(CONTROL!$C$15, $E$9, 100%, $G$9) + CHOOSE(CONTROL!$C$38, 0.0256, 0)</f>
        <v>38.644399999999997</v>
      </c>
      <c r="C550" s="10">
        <f>35.5944 * CHOOSE(CONTROL!$C$15, $E$9, 100%, $G$9) + CHOOSE(CONTROL!$C$38, 0.0347, 0)</f>
        <v>35.629100000000001</v>
      </c>
      <c r="D550" s="10">
        <f>35.5866 * CHOOSE(CONTROL!$C$15, $E$9, 100%, $G$9) + CHOOSE(CONTROL!$C$38, 0.0347, 0)</f>
        <v>35.621299999999998</v>
      </c>
      <c r="E550" s="28">
        <f>38.4625 * CHOOSE(CONTROL!$C$15, $E$9, 100%, $G$9) + CHOOSE(CONTROL!$C$38, 0.0347, 0)</f>
        <v>38.497199999999999</v>
      </c>
      <c r="F550" s="27">
        <f>38.4625 * CHOOSE(CONTROL!$C$15, $E$9, 100%, $G$9) + CHOOSE(CONTROL!$C$38, 0.0256, 0)</f>
        <v>38.488099999999996</v>
      </c>
      <c r="G550" s="10">
        <f>35.5929 * CHOOSE(CONTROL!$C$15, $E$9, 100%, $G$9) + CHOOSE(CONTROL!$C$38, 0.0347, 0)</f>
        <v>35.627600000000001</v>
      </c>
      <c r="H550" s="10">
        <f>35.5929 * CHOOSE(CONTROL!$C$15, $E$9, 100%, $G$9) + CHOOSE(CONTROL!$C$38, 0.0347, 0)</f>
        <v>35.627600000000001</v>
      </c>
      <c r="I550" s="10">
        <f>35.5944 * CHOOSE(CONTROL!$C$15, $E$9, 100%, $G$9) + CHOOSE(CONTROL!$C$38, 0.0347, 0)</f>
        <v>35.629100000000001</v>
      </c>
      <c r="J550" s="26">
        <f>277.8582</f>
        <v>277.85820000000001</v>
      </c>
    </row>
    <row r="551" spans="1:10" ht="15.75" x14ac:dyDescent="0.25">
      <c r="A551" s="13">
        <v>57710</v>
      </c>
      <c r="B551" s="10">
        <f>39.2148 * CHOOSE(CONTROL!$C$15, $E$9, 100%, $G$9) + CHOOSE(CONTROL!$C$38, 0.0256, 0)</f>
        <v>39.240399999999994</v>
      </c>
      <c r="C551" s="10">
        <f>36.1905 * CHOOSE(CONTROL!$C$15, $E$9, 100%, $G$9) + CHOOSE(CONTROL!$C$38, 0.0347, 0)</f>
        <v>36.225200000000001</v>
      </c>
      <c r="D551" s="10">
        <f>36.1827 * CHOOSE(CONTROL!$C$15, $E$9, 100%, $G$9) + CHOOSE(CONTROL!$C$38, 0.0347, 0)</f>
        <v>36.217399999999998</v>
      </c>
      <c r="E551" s="28">
        <f>39.0586 * CHOOSE(CONTROL!$C$15, $E$9, 100%, $G$9) + CHOOSE(CONTROL!$C$38, 0.0347, 0)</f>
        <v>39.093299999999999</v>
      </c>
      <c r="F551" s="27">
        <f>39.0586 * CHOOSE(CONTROL!$C$15, $E$9, 100%, $G$9) + CHOOSE(CONTROL!$C$38, 0.0256, 0)</f>
        <v>39.084199999999996</v>
      </c>
      <c r="G551" s="10">
        <f>36.1889 * CHOOSE(CONTROL!$C$15, $E$9, 100%, $G$9) + CHOOSE(CONTROL!$C$38, 0.0347, 0)</f>
        <v>36.223599999999998</v>
      </c>
      <c r="H551" s="10">
        <f>36.1889 * CHOOSE(CONTROL!$C$15, $E$9, 100%, $G$9) + CHOOSE(CONTROL!$C$38, 0.0347, 0)</f>
        <v>36.223599999999998</v>
      </c>
      <c r="I551" s="10">
        <f>36.1905 * CHOOSE(CONTROL!$C$15, $E$9, 100%, $G$9) + CHOOSE(CONTROL!$C$38, 0.0347, 0)</f>
        <v>36.225200000000001</v>
      </c>
      <c r="J551" s="26">
        <f>269.6127</f>
        <v>269.61270000000002</v>
      </c>
    </row>
    <row r="552" spans="1:10" ht="15.75" x14ac:dyDescent="0.25">
      <c r="A552" s="13">
        <v>57741</v>
      </c>
      <c r="B552" s="10">
        <f>40.3092 * CHOOSE(CONTROL!$C$15, $E$9, 100%, $G$9) + CHOOSE(CONTROL!$C$38, 0.0256, 0)</f>
        <v>40.334799999999994</v>
      </c>
      <c r="C552" s="10">
        <f>37.2378 * CHOOSE(CONTROL!$C$15, $E$9, 100%, $G$9) + CHOOSE(CONTROL!$C$38, 0.0347, 0)</f>
        <v>37.272500000000001</v>
      </c>
      <c r="D552" s="10">
        <f>37.23 * CHOOSE(CONTROL!$C$15, $E$9, 100%, $G$9) + CHOOSE(CONTROL!$C$38, 0.0347, 0)</f>
        <v>37.264699999999998</v>
      </c>
      <c r="E552" s="28">
        <f>40.1529 * CHOOSE(CONTROL!$C$15, $E$9, 100%, $G$9) + CHOOSE(CONTROL!$C$38, 0.0347, 0)</f>
        <v>40.187600000000003</v>
      </c>
      <c r="F552" s="27">
        <f>40.1529 * CHOOSE(CONTROL!$C$15, $E$9, 100%, $G$9) + CHOOSE(CONTROL!$C$38, 0.0256, 0)</f>
        <v>40.1785</v>
      </c>
      <c r="G552" s="10">
        <f>37.2362 * CHOOSE(CONTROL!$C$15, $E$9, 100%, $G$9) + CHOOSE(CONTROL!$C$38, 0.0347, 0)</f>
        <v>37.270899999999997</v>
      </c>
      <c r="H552" s="10">
        <f>37.2362 * CHOOSE(CONTROL!$C$15, $E$9, 100%, $G$9) + CHOOSE(CONTROL!$C$38, 0.0347, 0)</f>
        <v>37.270899999999997</v>
      </c>
      <c r="I552" s="10">
        <f>37.2378 * CHOOSE(CONTROL!$C$15, $E$9, 100%, $G$9) + CHOOSE(CONTROL!$C$38, 0.0347, 0)</f>
        <v>37.272500000000001</v>
      </c>
      <c r="J552" s="26">
        <f>269.0978</f>
        <v>269.09780000000001</v>
      </c>
    </row>
    <row r="553" spans="1:10" ht="15.75" x14ac:dyDescent="0.25">
      <c r="A553" s="13">
        <v>57769</v>
      </c>
      <c r="B553" s="10">
        <f>40.5299 * CHOOSE(CONTROL!$C$15, $E$9, 100%, $G$9) + CHOOSE(CONTROL!$C$38, 0.0256, 0)</f>
        <v>40.555499999999995</v>
      </c>
      <c r="C553" s="10">
        <f>37.4586 * CHOOSE(CONTROL!$C$15, $E$9, 100%, $G$9) + CHOOSE(CONTROL!$C$38, 0.0347, 0)</f>
        <v>37.493299999999998</v>
      </c>
      <c r="D553" s="10">
        <f>37.4507 * CHOOSE(CONTROL!$C$15, $E$9, 100%, $G$9) + CHOOSE(CONTROL!$C$38, 0.0347, 0)</f>
        <v>37.485399999999998</v>
      </c>
      <c r="E553" s="28">
        <f>40.3737 * CHOOSE(CONTROL!$C$15, $E$9, 100%, $G$9) + CHOOSE(CONTROL!$C$38, 0.0347, 0)</f>
        <v>40.4084</v>
      </c>
      <c r="F553" s="27">
        <f>40.3737 * CHOOSE(CONTROL!$C$15, $E$9, 100%, $G$9) + CHOOSE(CONTROL!$C$38, 0.0256, 0)</f>
        <v>40.399299999999997</v>
      </c>
      <c r="G553" s="10">
        <f>37.457 * CHOOSE(CONTROL!$C$15, $E$9, 100%, $G$9) + CHOOSE(CONTROL!$C$38, 0.0347, 0)</f>
        <v>37.491700000000002</v>
      </c>
      <c r="H553" s="10">
        <f>37.457 * CHOOSE(CONTROL!$C$15, $E$9, 100%, $G$9) + CHOOSE(CONTROL!$C$38, 0.0347, 0)</f>
        <v>37.491700000000002</v>
      </c>
      <c r="I553" s="10">
        <f>37.4586 * CHOOSE(CONTROL!$C$15, $E$9, 100%, $G$9) + CHOOSE(CONTROL!$C$38, 0.0347, 0)</f>
        <v>37.493299999999998</v>
      </c>
      <c r="J553" s="26">
        <f>268.3498</f>
        <v>268.34980000000002</v>
      </c>
    </row>
    <row r="554" spans="1:10" ht="15.75" x14ac:dyDescent="0.25">
      <c r="A554" s="13">
        <v>57800</v>
      </c>
      <c r="B554" s="10">
        <f>40.0189 * CHOOSE(CONTROL!$C$15, $E$9, 100%, $G$9) + CHOOSE(CONTROL!$C$38, 0.0256, 0)</f>
        <v>40.044499999999999</v>
      </c>
      <c r="C554" s="10">
        <f>36.9475 * CHOOSE(CONTROL!$C$15, $E$9, 100%, $G$9) + CHOOSE(CONTROL!$C$38, 0.0347, 0)</f>
        <v>36.982199999999999</v>
      </c>
      <c r="D554" s="10">
        <f>36.9397 * CHOOSE(CONTROL!$C$15, $E$9, 100%, $G$9) + CHOOSE(CONTROL!$C$38, 0.0347, 0)</f>
        <v>36.974400000000003</v>
      </c>
      <c r="E554" s="28">
        <f>39.8626 * CHOOSE(CONTROL!$C$15, $E$9, 100%, $G$9) + CHOOSE(CONTROL!$C$38, 0.0347, 0)</f>
        <v>39.897300000000001</v>
      </c>
      <c r="F554" s="27">
        <f>39.8626 * CHOOSE(CONTROL!$C$15, $E$9, 100%, $G$9) + CHOOSE(CONTROL!$C$38, 0.0256, 0)</f>
        <v>39.888199999999998</v>
      </c>
      <c r="G554" s="10">
        <f>36.946 * CHOOSE(CONTROL!$C$15, $E$9, 100%, $G$9) + CHOOSE(CONTROL!$C$38, 0.0347, 0)</f>
        <v>36.980699999999999</v>
      </c>
      <c r="H554" s="10">
        <f>36.946 * CHOOSE(CONTROL!$C$15, $E$9, 100%, $G$9) + CHOOSE(CONTROL!$C$38, 0.0347, 0)</f>
        <v>36.980699999999999</v>
      </c>
      <c r="I554" s="10">
        <f>36.9475 * CHOOSE(CONTROL!$C$15, $E$9, 100%, $G$9) + CHOOSE(CONTROL!$C$38, 0.0347, 0)</f>
        <v>36.982199999999999</v>
      </c>
      <c r="J554" s="26">
        <f>282.4934</f>
        <v>282.49340000000001</v>
      </c>
    </row>
    <row r="555" spans="1:10" ht="15.75" x14ac:dyDescent="0.25">
      <c r="A555" s="13">
        <v>57830</v>
      </c>
      <c r="B555" s="10">
        <f>39.5237 * CHOOSE(CONTROL!$C$15, $E$9, 100%, $G$9) + CHOOSE(CONTROL!$C$38, 0.0256, 0)</f>
        <v>39.549299999999995</v>
      </c>
      <c r="C555" s="10">
        <f>36.4523 * CHOOSE(CONTROL!$C$15, $E$9, 100%, $G$9) + CHOOSE(CONTROL!$C$38, 0.0347, 0)</f>
        <v>36.487000000000002</v>
      </c>
      <c r="D555" s="10">
        <f>36.4445 * CHOOSE(CONTROL!$C$15, $E$9, 100%, $G$9) + CHOOSE(CONTROL!$C$38, 0.0347, 0)</f>
        <v>36.479199999999999</v>
      </c>
      <c r="E555" s="28">
        <f>39.3675 * CHOOSE(CONTROL!$C$15, $E$9, 100%, $G$9) + CHOOSE(CONTROL!$C$38, 0.0347, 0)</f>
        <v>39.402200000000001</v>
      </c>
      <c r="F555" s="27">
        <f>39.3675 * CHOOSE(CONTROL!$C$15, $E$9, 100%, $G$9) + CHOOSE(CONTROL!$C$38, 0.0256, 0)</f>
        <v>39.393099999999997</v>
      </c>
      <c r="G555" s="10">
        <f>36.4508 * CHOOSE(CONTROL!$C$15, $E$9, 100%, $G$9) + CHOOSE(CONTROL!$C$38, 0.0347, 0)</f>
        <v>36.485500000000002</v>
      </c>
      <c r="H555" s="10">
        <f>36.4508 * CHOOSE(CONTROL!$C$15, $E$9, 100%, $G$9) + CHOOSE(CONTROL!$C$38, 0.0347, 0)</f>
        <v>36.485500000000002</v>
      </c>
      <c r="I555" s="10">
        <f>36.4523 * CHOOSE(CONTROL!$C$15, $E$9, 100%, $G$9) + CHOOSE(CONTROL!$C$38, 0.0347, 0)</f>
        <v>36.487000000000002</v>
      </c>
      <c r="J555" s="26">
        <f>300.8342</f>
        <v>300.83420000000001</v>
      </c>
    </row>
    <row r="556" spans="1:10" ht="15.75" x14ac:dyDescent="0.25">
      <c r="A556" s="13">
        <v>57861</v>
      </c>
      <c r="B556" s="10">
        <f>39.0076 * CHOOSE(CONTROL!$C$15, $E$9, 100%, $G$9) + CHOOSE(CONTROL!$C$38, 0.0278, 0)</f>
        <v>39.035399999999996</v>
      </c>
      <c r="C556" s="10">
        <f>35.9362 * CHOOSE(CONTROL!$C$15, $E$9, 100%, $G$9) + CHOOSE(CONTROL!$C$38, 0.0369, 0)</f>
        <v>35.973100000000002</v>
      </c>
      <c r="D556" s="10">
        <f>35.9284 * CHOOSE(CONTROL!$C$15, $E$9, 100%, $G$9) + CHOOSE(CONTROL!$C$38, 0.0369, 0)</f>
        <v>35.965300000000006</v>
      </c>
      <c r="E556" s="28">
        <f>38.8513 * CHOOSE(CONTROL!$C$15, $E$9, 100%, $G$9) + CHOOSE(CONTROL!$C$38, 0.0369, 0)</f>
        <v>38.888200000000005</v>
      </c>
      <c r="F556" s="27">
        <f>38.8513 * CHOOSE(CONTROL!$C$15, $E$9, 100%, $G$9) + CHOOSE(CONTROL!$C$38, 0.0278, 0)</f>
        <v>38.879100000000001</v>
      </c>
      <c r="G556" s="10">
        <f>35.9347 * CHOOSE(CONTROL!$C$15, $E$9, 100%, $G$9) + CHOOSE(CONTROL!$C$38, 0.0369, 0)</f>
        <v>35.971600000000002</v>
      </c>
      <c r="H556" s="10">
        <f>35.9347 * CHOOSE(CONTROL!$C$15, $E$9, 100%, $G$9) + CHOOSE(CONTROL!$C$38, 0.0369, 0)</f>
        <v>35.971600000000002</v>
      </c>
      <c r="I556" s="10">
        <f>35.9362 * CHOOSE(CONTROL!$C$15, $E$9, 100%, $G$9) + CHOOSE(CONTROL!$C$38, 0.0369, 0)</f>
        <v>35.973100000000002</v>
      </c>
      <c r="J556" s="26">
        <f>310.9296</f>
        <v>310.92959999999999</v>
      </c>
    </row>
    <row r="557" spans="1:10" ht="15.75" x14ac:dyDescent="0.25">
      <c r="A557" s="13">
        <v>57891</v>
      </c>
      <c r="B557" s="10">
        <f>38.6458 * CHOOSE(CONTROL!$C$15, $E$9, 100%, $G$9) + CHOOSE(CONTROL!$C$38, 0.0278, 0)</f>
        <v>38.6736</v>
      </c>
      <c r="C557" s="10">
        <f>35.5744 * CHOOSE(CONTROL!$C$15, $E$9, 100%, $G$9) + CHOOSE(CONTROL!$C$38, 0.0369, 0)</f>
        <v>35.6113</v>
      </c>
      <c r="D557" s="10">
        <f>35.5666 * CHOOSE(CONTROL!$C$15, $E$9, 100%, $G$9) + CHOOSE(CONTROL!$C$38, 0.0369, 0)</f>
        <v>35.603500000000004</v>
      </c>
      <c r="E557" s="28">
        <f>38.4895 * CHOOSE(CONTROL!$C$15, $E$9, 100%, $G$9) + CHOOSE(CONTROL!$C$38, 0.0369, 0)</f>
        <v>38.526400000000002</v>
      </c>
      <c r="F557" s="27">
        <f>38.4895 * CHOOSE(CONTROL!$C$15, $E$9, 100%, $G$9) + CHOOSE(CONTROL!$C$38, 0.0278, 0)</f>
        <v>38.517299999999999</v>
      </c>
      <c r="G557" s="10">
        <f>35.5728 * CHOOSE(CONTROL!$C$15, $E$9, 100%, $G$9) + CHOOSE(CONTROL!$C$38, 0.0369, 0)</f>
        <v>35.609700000000004</v>
      </c>
      <c r="H557" s="10">
        <f>35.5728 * CHOOSE(CONTROL!$C$15, $E$9, 100%, $G$9) + CHOOSE(CONTROL!$C$38, 0.0369, 0)</f>
        <v>35.609700000000004</v>
      </c>
      <c r="I557" s="10">
        <f>35.5744 * CHOOSE(CONTROL!$C$15, $E$9, 100%, $G$9) + CHOOSE(CONTROL!$C$38, 0.0369, 0)</f>
        <v>35.6113</v>
      </c>
      <c r="J557" s="26">
        <f>315.4098</f>
        <v>315.40980000000002</v>
      </c>
    </row>
    <row r="558" spans="1:10" ht="15.75" x14ac:dyDescent="0.25">
      <c r="A558" s="13">
        <v>57922</v>
      </c>
      <c r="B558" s="10">
        <f>38.4393 * CHOOSE(CONTROL!$C$15, $E$9, 100%, $G$9) + CHOOSE(CONTROL!$C$38, 0.0278, 0)</f>
        <v>38.467100000000002</v>
      </c>
      <c r="C558" s="10">
        <f>35.3679 * CHOOSE(CONTROL!$C$15, $E$9, 100%, $G$9) + CHOOSE(CONTROL!$C$38, 0.0369, 0)</f>
        <v>35.404800000000002</v>
      </c>
      <c r="D558" s="10">
        <f>35.3601 * CHOOSE(CONTROL!$C$15, $E$9, 100%, $G$9) + CHOOSE(CONTROL!$C$38, 0.0369, 0)</f>
        <v>35.397000000000006</v>
      </c>
      <c r="E558" s="28">
        <f>38.283 * CHOOSE(CONTROL!$C$15, $E$9, 100%, $G$9) + CHOOSE(CONTROL!$C$38, 0.0369, 0)</f>
        <v>38.319900000000004</v>
      </c>
      <c r="F558" s="27">
        <f>38.283 * CHOOSE(CONTROL!$C$15, $E$9, 100%, $G$9) + CHOOSE(CONTROL!$C$38, 0.0278, 0)</f>
        <v>38.3108</v>
      </c>
      <c r="G558" s="10">
        <f>35.3663 * CHOOSE(CONTROL!$C$15, $E$9, 100%, $G$9) + CHOOSE(CONTROL!$C$38, 0.0369, 0)</f>
        <v>35.403200000000005</v>
      </c>
      <c r="H558" s="10">
        <f>35.3663 * CHOOSE(CONTROL!$C$15, $E$9, 100%, $G$9) + CHOOSE(CONTROL!$C$38, 0.0369, 0)</f>
        <v>35.403200000000005</v>
      </c>
      <c r="I558" s="10">
        <f>35.3679 * CHOOSE(CONTROL!$C$15, $E$9, 100%, $G$9) + CHOOSE(CONTROL!$C$38, 0.0369, 0)</f>
        <v>35.404800000000002</v>
      </c>
      <c r="J558" s="26">
        <f>313.9347</f>
        <v>313.93470000000002</v>
      </c>
    </row>
    <row r="559" spans="1:10" ht="15.75" x14ac:dyDescent="0.25">
      <c r="A559" s="13">
        <v>57953</v>
      </c>
      <c r="B559" s="10">
        <f>38.5412 * CHOOSE(CONTROL!$C$15, $E$9, 100%, $G$9) + CHOOSE(CONTROL!$C$38, 0.0278, 0)</f>
        <v>38.569000000000003</v>
      </c>
      <c r="C559" s="10">
        <f>35.4698 * CHOOSE(CONTROL!$C$15, $E$9, 100%, $G$9) + CHOOSE(CONTROL!$C$38, 0.0369, 0)</f>
        <v>35.506700000000002</v>
      </c>
      <c r="D559" s="10">
        <f>35.462 * CHOOSE(CONTROL!$C$15, $E$9, 100%, $G$9) + CHOOSE(CONTROL!$C$38, 0.0369, 0)</f>
        <v>35.498900000000006</v>
      </c>
      <c r="E559" s="28">
        <f>38.3849 * CHOOSE(CONTROL!$C$15, $E$9, 100%, $G$9) + CHOOSE(CONTROL!$C$38, 0.0369, 0)</f>
        <v>38.421800000000005</v>
      </c>
      <c r="F559" s="27">
        <f>38.3849 * CHOOSE(CONTROL!$C$15, $E$9, 100%, $G$9) + CHOOSE(CONTROL!$C$38, 0.0278, 0)</f>
        <v>38.412700000000001</v>
      </c>
      <c r="G559" s="10">
        <f>35.4682 * CHOOSE(CONTROL!$C$15, $E$9, 100%, $G$9) + CHOOSE(CONTROL!$C$38, 0.0369, 0)</f>
        <v>35.505100000000006</v>
      </c>
      <c r="H559" s="10">
        <f>35.4682 * CHOOSE(CONTROL!$C$15, $E$9, 100%, $G$9) + CHOOSE(CONTROL!$C$38, 0.0369, 0)</f>
        <v>35.505100000000006</v>
      </c>
      <c r="I559" s="10">
        <f>35.4698 * CHOOSE(CONTROL!$C$15, $E$9, 100%, $G$9) + CHOOSE(CONTROL!$C$38, 0.0369, 0)</f>
        <v>35.506700000000002</v>
      </c>
      <c r="J559" s="26">
        <f>306.6265</f>
        <v>306.62650000000002</v>
      </c>
    </row>
    <row r="560" spans="1:10" ht="15.75" x14ac:dyDescent="0.25">
      <c r="A560" s="13">
        <v>57983</v>
      </c>
      <c r="B560" s="10">
        <f>38.818 * CHOOSE(CONTROL!$C$15, $E$9, 100%, $G$9) + CHOOSE(CONTROL!$C$38, 0.0278, 0)</f>
        <v>38.845799999999997</v>
      </c>
      <c r="C560" s="10">
        <f>35.7466 * CHOOSE(CONTROL!$C$15, $E$9, 100%, $G$9) + CHOOSE(CONTROL!$C$38, 0.0369, 0)</f>
        <v>35.783500000000004</v>
      </c>
      <c r="D560" s="10">
        <f>35.7388 * CHOOSE(CONTROL!$C$15, $E$9, 100%, $G$9) + CHOOSE(CONTROL!$C$38, 0.0369, 0)</f>
        <v>35.775700000000001</v>
      </c>
      <c r="E560" s="28">
        <f>38.6617 * CHOOSE(CONTROL!$C$15, $E$9, 100%, $G$9) + CHOOSE(CONTROL!$C$38, 0.0369, 0)</f>
        <v>38.698600000000006</v>
      </c>
      <c r="F560" s="27">
        <f>38.6617 * CHOOSE(CONTROL!$C$15, $E$9, 100%, $G$9) + CHOOSE(CONTROL!$C$38, 0.0278, 0)</f>
        <v>38.689500000000002</v>
      </c>
      <c r="G560" s="10">
        <f>35.745 * CHOOSE(CONTROL!$C$15, $E$9, 100%, $G$9) + CHOOSE(CONTROL!$C$38, 0.0369, 0)</f>
        <v>35.7819</v>
      </c>
      <c r="H560" s="10">
        <f>35.745 * CHOOSE(CONTROL!$C$15, $E$9, 100%, $G$9) + CHOOSE(CONTROL!$C$38, 0.0369, 0)</f>
        <v>35.7819</v>
      </c>
      <c r="I560" s="10">
        <f>35.7466 * CHOOSE(CONTROL!$C$15, $E$9, 100%, $G$9) + CHOOSE(CONTROL!$C$38, 0.0369, 0)</f>
        <v>35.783500000000004</v>
      </c>
      <c r="J560" s="26">
        <f>296.4347</f>
        <v>296.43470000000002</v>
      </c>
    </row>
    <row r="561" spans="1:10" ht="15.75" x14ac:dyDescent="0.25">
      <c r="A561" s="13">
        <v>58014</v>
      </c>
      <c r="B561" s="10">
        <f>39.0498 * CHOOSE(CONTROL!$C$15, $E$9, 100%, $G$9) + CHOOSE(CONTROL!$C$38, 0.0256, 0)</f>
        <v>39.075399999999995</v>
      </c>
      <c r="C561" s="10">
        <f>35.9784 * CHOOSE(CONTROL!$C$15, $E$9, 100%, $G$9) + CHOOSE(CONTROL!$C$38, 0.0347, 0)</f>
        <v>36.013100000000001</v>
      </c>
      <c r="D561" s="10">
        <f>35.9706 * CHOOSE(CONTROL!$C$15, $E$9, 100%, $G$9) + CHOOSE(CONTROL!$C$38, 0.0347, 0)</f>
        <v>36.005299999999998</v>
      </c>
      <c r="E561" s="28">
        <f>38.8936 * CHOOSE(CONTROL!$C$15, $E$9, 100%, $G$9) + CHOOSE(CONTROL!$C$38, 0.0347, 0)</f>
        <v>38.9283</v>
      </c>
      <c r="F561" s="27">
        <f>38.8936 * CHOOSE(CONTROL!$C$15, $E$9, 100%, $G$9) + CHOOSE(CONTROL!$C$38, 0.0256, 0)</f>
        <v>38.919199999999996</v>
      </c>
      <c r="G561" s="10">
        <f>35.9769 * CHOOSE(CONTROL!$C$15, $E$9, 100%, $G$9) + CHOOSE(CONTROL!$C$38, 0.0347, 0)</f>
        <v>36.011600000000001</v>
      </c>
      <c r="H561" s="10">
        <f>35.9769 * CHOOSE(CONTROL!$C$15, $E$9, 100%, $G$9) + CHOOSE(CONTROL!$C$38, 0.0347, 0)</f>
        <v>36.011600000000001</v>
      </c>
      <c r="I561" s="10">
        <f>35.9784 * CHOOSE(CONTROL!$C$15, $E$9, 100%, $G$9) + CHOOSE(CONTROL!$C$38, 0.0347, 0)</f>
        <v>36.013100000000001</v>
      </c>
      <c r="J561" s="26">
        <f>286.1837</f>
        <v>286.18369999999999</v>
      </c>
    </row>
    <row r="562" spans="1:10" ht="15.75" x14ac:dyDescent="0.25">
      <c r="A562" s="13">
        <v>58044</v>
      </c>
      <c r="B562" s="10">
        <f>39.2432 * CHOOSE(CONTROL!$C$15, $E$9, 100%, $G$9) + CHOOSE(CONTROL!$C$38, 0.0256, 0)</f>
        <v>39.268799999999999</v>
      </c>
      <c r="C562" s="10">
        <f>36.1719 * CHOOSE(CONTROL!$C$15, $E$9, 100%, $G$9) + CHOOSE(CONTROL!$C$38, 0.0347, 0)</f>
        <v>36.206600000000002</v>
      </c>
      <c r="D562" s="10">
        <f>36.1641 * CHOOSE(CONTROL!$C$15, $E$9, 100%, $G$9) + CHOOSE(CONTROL!$C$38, 0.0347, 0)</f>
        <v>36.198799999999999</v>
      </c>
      <c r="E562" s="28">
        <f>39.087 * CHOOSE(CONTROL!$C$15, $E$9, 100%, $G$9) + CHOOSE(CONTROL!$C$38, 0.0347, 0)</f>
        <v>39.121700000000004</v>
      </c>
      <c r="F562" s="27">
        <f>39.087 * CHOOSE(CONTROL!$C$15, $E$9, 100%, $G$9) + CHOOSE(CONTROL!$C$38, 0.0256, 0)</f>
        <v>39.1126</v>
      </c>
      <c r="G562" s="10">
        <f>36.1703 * CHOOSE(CONTROL!$C$15, $E$9, 100%, $G$9) + CHOOSE(CONTROL!$C$38, 0.0347, 0)</f>
        <v>36.204999999999998</v>
      </c>
      <c r="H562" s="10">
        <f>36.1703 * CHOOSE(CONTROL!$C$15, $E$9, 100%, $G$9) + CHOOSE(CONTROL!$C$38, 0.0347, 0)</f>
        <v>36.204999999999998</v>
      </c>
      <c r="I562" s="10">
        <f>36.1719 * CHOOSE(CONTROL!$C$15, $E$9, 100%, $G$9) + CHOOSE(CONTROL!$C$38, 0.0347, 0)</f>
        <v>36.206600000000002</v>
      </c>
      <c r="J562" s="26">
        <f>284.1446</f>
        <v>284.14460000000003</v>
      </c>
    </row>
    <row r="563" spans="1:10" ht="15.75" x14ac:dyDescent="0.25">
      <c r="A563" s="13">
        <v>58075</v>
      </c>
      <c r="B563" s="10">
        <f>39.8393 * CHOOSE(CONTROL!$C$15, $E$9, 100%, $G$9) + CHOOSE(CONTROL!$C$38, 0.0256, 0)</f>
        <v>39.864899999999999</v>
      </c>
      <c r="C563" s="10">
        <f>36.7679 * CHOOSE(CONTROL!$C$15, $E$9, 100%, $G$9) + CHOOSE(CONTROL!$C$38, 0.0347, 0)</f>
        <v>36.802599999999998</v>
      </c>
      <c r="D563" s="10">
        <f>36.7601 * CHOOSE(CONTROL!$C$15, $E$9, 100%, $G$9) + CHOOSE(CONTROL!$C$38, 0.0347, 0)</f>
        <v>36.794800000000002</v>
      </c>
      <c r="E563" s="28">
        <f>39.6831 * CHOOSE(CONTROL!$C$15, $E$9, 100%, $G$9) + CHOOSE(CONTROL!$C$38, 0.0347, 0)</f>
        <v>39.717800000000004</v>
      </c>
      <c r="F563" s="27">
        <f>39.6831 * CHOOSE(CONTROL!$C$15, $E$9, 100%, $G$9) + CHOOSE(CONTROL!$C$38, 0.0256, 0)</f>
        <v>39.7087</v>
      </c>
      <c r="G563" s="10">
        <f>36.7664 * CHOOSE(CONTROL!$C$15, $E$9, 100%, $G$9) + CHOOSE(CONTROL!$C$38, 0.0347, 0)</f>
        <v>36.801099999999998</v>
      </c>
      <c r="H563" s="10">
        <f>36.7664 * CHOOSE(CONTROL!$C$15, $E$9, 100%, $G$9) + CHOOSE(CONTROL!$C$38, 0.0347, 0)</f>
        <v>36.801099999999998</v>
      </c>
      <c r="I563" s="10">
        <f>36.7679 * CHOOSE(CONTROL!$C$15, $E$9, 100%, $G$9) + CHOOSE(CONTROL!$C$38, 0.0347, 0)</f>
        <v>36.802599999999998</v>
      </c>
      <c r="J563" s="26">
        <f>275.7126</f>
        <v>275.71260000000001</v>
      </c>
    </row>
    <row r="564" spans="1:10" ht="15.75" x14ac:dyDescent="0.25">
      <c r="A564" s="13">
        <v>58106</v>
      </c>
      <c r="B564" s="10">
        <f>40.9439 * CHOOSE(CONTROL!$C$15, $E$9, 100%, $G$9) + CHOOSE(CONTROL!$C$38, 0.0256, 0)</f>
        <v>40.969499999999996</v>
      </c>
      <c r="C564" s="10">
        <f>37.8247 * CHOOSE(CONTROL!$C$15, $E$9, 100%, $G$9) + CHOOSE(CONTROL!$C$38, 0.0347, 0)</f>
        <v>37.859400000000001</v>
      </c>
      <c r="D564" s="10">
        <f>37.8169 * CHOOSE(CONTROL!$C$15, $E$9, 100%, $G$9) + CHOOSE(CONTROL!$C$38, 0.0347, 0)</f>
        <v>37.851599999999998</v>
      </c>
      <c r="E564" s="28">
        <f>40.7876 * CHOOSE(CONTROL!$C$15, $E$9, 100%, $G$9) + CHOOSE(CONTROL!$C$38, 0.0347, 0)</f>
        <v>40.822299999999998</v>
      </c>
      <c r="F564" s="27">
        <f>40.7876 * CHOOSE(CONTROL!$C$15, $E$9, 100%, $G$9) + CHOOSE(CONTROL!$C$38, 0.0256, 0)</f>
        <v>40.813199999999995</v>
      </c>
      <c r="G564" s="10">
        <f>37.8231 * CHOOSE(CONTROL!$C$15, $E$9, 100%, $G$9) + CHOOSE(CONTROL!$C$38, 0.0347, 0)</f>
        <v>37.857799999999997</v>
      </c>
      <c r="H564" s="10">
        <f>37.8231 * CHOOSE(CONTROL!$C$15, $E$9, 100%, $G$9) + CHOOSE(CONTROL!$C$38, 0.0347, 0)</f>
        <v>37.857799999999997</v>
      </c>
      <c r="I564" s="10">
        <f>37.8247 * CHOOSE(CONTROL!$C$15, $E$9, 100%, $G$9) + CHOOSE(CONTROL!$C$38, 0.0347, 0)</f>
        <v>37.859400000000001</v>
      </c>
      <c r="J564" s="26">
        <f>275.186</f>
        <v>275.18599999999998</v>
      </c>
    </row>
    <row r="565" spans="1:10" ht="15.75" x14ac:dyDescent="0.25">
      <c r="A565" s="13">
        <v>58134</v>
      </c>
      <c r="B565" s="10">
        <f>41.1646 * CHOOSE(CONTROL!$C$15, $E$9, 100%, $G$9) + CHOOSE(CONTROL!$C$38, 0.0256, 0)</f>
        <v>41.190199999999997</v>
      </c>
      <c r="C565" s="10">
        <f>38.0455 * CHOOSE(CONTROL!$C$15, $E$9, 100%, $G$9) + CHOOSE(CONTROL!$C$38, 0.0347, 0)</f>
        <v>38.080199999999998</v>
      </c>
      <c r="D565" s="10">
        <f>38.0377 * CHOOSE(CONTROL!$C$15, $E$9, 100%, $G$9) + CHOOSE(CONTROL!$C$38, 0.0347, 0)</f>
        <v>38.072400000000002</v>
      </c>
      <c r="E565" s="28">
        <f>41.0084 * CHOOSE(CONTROL!$C$15, $E$9, 100%, $G$9) + CHOOSE(CONTROL!$C$38, 0.0347, 0)</f>
        <v>41.043100000000003</v>
      </c>
      <c r="F565" s="27">
        <f>41.0084 * CHOOSE(CONTROL!$C$15, $E$9, 100%, $G$9) + CHOOSE(CONTROL!$C$38, 0.0256, 0)</f>
        <v>41.033999999999999</v>
      </c>
      <c r="G565" s="10">
        <f>38.0439 * CHOOSE(CONTROL!$C$15, $E$9, 100%, $G$9) + CHOOSE(CONTROL!$C$38, 0.0347, 0)</f>
        <v>38.078600000000002</v>
      </c>
      <c r="H565" s="10">
        <f>38.0439 * CHOOSE(CONTROL!$C$15, $E$9, 100%, $G$9) + CHOOSE(CONTROL!$C$38, 0.0347, 0)</f>
        <v>38.078600000000002</v>
      </c>
      <c r="I565" s="10">
        <f>38.0455 * CHOOSE(CONTROL!$C$15, $E$9, 100%, $G$9) + CHOOSE(CONTROL!$C$38, 0.0347, 0)</f>
        <v>38.080199999999998</v>
      </c>
      <c r="J565" s="26">
        <f>274.4211</f>
        <v>274.42110000000002</v>
      </c>
    </row>
    <row r="566" spans="1:10" ht="15.75" x14ac:dyDescent="0.25">
      <c r="A566" s="13">
        <v>58165</v>
      </c>
      <c r="B566" s="10">
        <f>40.6536 * CHOOSE(CONTROL!$C$15, $E$9, 100%, $G$9) + CHOOSE(CONTROL!$C$38, 0.0256, 0)</f>
        <v>40.679199999999994</v>
      </c>
      <c r="C566" s="10">
        <f>37.5344 * CHOOSE(CONTROL!$C$15, $E$9, 100%, $G$9) + CHOOSE(CONTROL!$C$38, 0.0347, 0)</f>
        <v>37.569099999999999</v>
      </c>
      <c r="D566" s="10">
        <f>37.5266 * CHOOSE(CONTROL!$C$15, $E$9, 100%, $G$9) + CHOOSE(CONTROL!$C$38, 0.0347, 0)</f>
        <v>37.561300000000003</v>
      </c>
      <c r="E566" s="28">
        <f>40.4974 * CHOOSE(CONTROL!$C$15, $E$9, 100%, $G$9) + CHOOSE(CONTROL!$C$38, 0.0347, 0)</f>
        <v>40.5321</v>
      </c>
      <c r="F566" s="27">
        <f>40.4974 * CHOOSE(CONTROL!$C$15, $E$9, 100%, $G$9) + CHOOSE(CONTROL!$C$38, 0.0256, 0)</f>
        <v>40.522999999999996</v>
      </c>
      <c r="G566" s="10">
        <f>37.5329 * CHOOSE(CONTROL!$C$15, $E$9, 100%, $G$9) + CHOOSE(CONTROL!$C$38, 0.0347, 0)</f>
        <v>37.567599999999999</v>
      </c>
      <c r="H566" s="10">
        <f>37.5329 * CHOOSE(CONTROL!$C$15, $E$9, 100%, $G$9) + CHOOSE(CONTROL!$C$38, 0.0347, 0)</f>
        <v>37.567599999999999</v>
      </c>
      <c r="I566" s="10">
        <f>37.5344 * CHOOSE(CONTROL!$C$15, $E$9, 100%, $G$9) + CHOOSE(CONTROL!$C$38, 0.0347, 0)</f>
        <v>37.569099999999999</v>
      </c>
      <c r="J566" s="26">
        <f>288.8847</f>
        <v>288.88470000000001</v>
      </c>
    </row>
    <row r="567" spans="1:10" ht="15.75" x14ac:dyDescent="0.25">
      <c r="A567" s="13">
        <v>58195</v>
      </c>
      <c r="B567" s="10">
        <f>40.1584 * CHOOSE(CONTROL!$C$15, $E$9, 100%, $G$9) + CHOOSE(CONTROL!$C$38, 0.0256, 0)</f>
        <v>40.183999999999997</v>
      </c>
      <c r="C567" s="10">
        <f>37.0393 * CHOOSE(CONTROL!$C$15, $E$9, 100%, $G$9) + CHOOSE(CONTROL!$C$38, 0.0347, 0)</f>
        <v>37.073999999999998</v>
      </c>
      <c r="D567" s="10">
        <f>37.0314 * CHOOSE(CONTROL!$C$15, $E$9, 100%, $G$9) + CHOOSE(CONTROL!$C$38, 0.0347, 0)</f>
        <v>37.066099999999999</v>
      </c>
      <c r="E567" s="28">
        <f>40.0022 * CHOOSE(CONTROL!$C$15, $E$9, 100%, $G$9) + CHOOSE(CONTROL!$C$38, 0.0347, 0)</f>
        <v>40.036900000000003</v>
      </c>
      <c r="F567" s="27">
        <f>40.0022 * CHOOSE(CONTROL!$C$15, $E$9, 100%, $G$9) + CHOOSE(CONTROL!$C$38, 0.0256, 0)</f>
        <v>40.027799999999999</v>
      </c>
      <c r="G567" s="10">
        <f>37.0377 * CHOOSE(CONTROL!$C$15, $E$9, 100%, $G$9) + CHOOSE(CONTROL!$C$38, 0.0347, 0)</f>
        <v>37.072400000000002</v>
      </c>
      <c r="H567" s="10">
        <f>37.0377 * CHOOSE(CONTROL!$C$15, $E$9, 100%, $G$9) + CHOOSE(CONTROL!$C$38, 0.0347, 0)</f>
        <v>37.072400000000002</v>
      </c>
      <c r="I567" s="10">
        <f>37.0393 * CHOOSE(CONTROL!$C$15, $E$9, 100%, $G$9) + CHOOSE(CONTROL!$C$38, 0.0347, 0)</f>
        <v>37.073999999999998</v>
      </c>
      <c r="J567" s="26">
        <f>307.6405</f>
        <v>307.64049999999997</v>
      </c>
    </row>
    <row r="568" spans="1:10" ht="15.75" x14ac:dyDescent="0.25">
      <c r="A568" s="13">
        <v>58226</v>
      </c>
      <c r="B568" s="10">
        <f>39.6423 * CHOOSE(CONTROL!$C$15, $E$9, 100%, $G$9) + CHOOSE(CONTROL!$C$38, 0.0278, 0)</f>
        <v>39.670099999999998</v>
      </c>
      <c r="C568" s="10">
        <f>36.5231 * CHOOSE(CONTROL!$C$15, $E$9, 100%, $G$9) + CHOOSE(CONTROL!$C$38, 0.0369, 0)</f>
        <v>36.56</v>
      </c>
      <c r="D568" s="10">
        <f>36.5153 * CHOOSE(CONTROL!$C$15, $E$9, 100%, $G$9) + CHOOSE(CONTROL!$C$38, 0.0369, 0)</f>
        <v>36.552200000000006</v>
      </c>
      <c r="E568" s="28">
        <f>39.4861 * CHOOSE(CONTROL!$C$15, $E$9, 100%, $G$9) + CHOOSE(CONTROL!$C$38, 0.0369, 0)</f>
        <v>39.523000000000003</v>
      </c>
      <c r="F568" s="27">
        <f>39.4861 * CHOOSE(CONTROL!$C$15, $E$9, 100%, $G$9) + CHOOSE(CONTROL!$C$38, 0.0278, 0)</f>
        <v>39.5139</v>
      </c>
      <c r="G568" s="10">
        <f>36.5216 * CHOOSE(CONTROL!$C$15, $E$9, 100%, $G$9) + CHOOSE(CONTROL!$C$38, 0.0369, 0)</f>
        <v>36.558500000000002</v>
      </c>
      <c r="H568" s="10">
        <f>36.5216 * CHOOSE(CONTROL!$C$15, $E$9, 100%, $G$9) + CHOOSE(CONTROL!$C$38, 0.0369, 0)</f>
        <v>36.558500000000002</v>
      </c>
      <c r="I568" s="10">
        <f>36.5231 * CHOOSE(CONTROL!$C$15, $E$9, 100%, $G$9) + CHOOSE(CONTROL!$C$38, 0.0369, 0)</f>
        <v>36.56</v>
      </c>
      <c r="J568" s="26">
        <f>317.9643</f>
        <v>317.96429999999998</v>
      </c>
    </row>
    <row r="569" spans="1:10" ht="15.75" x14ac:dyDescent="0.25">
      <c r="A569" s="13">
        <v>58256</v>
      </c>
      <c r="B569" s="10">
        <f>39.2805 * CHOOSE(CONTROL!$C$15, $E$9, 100%, $G$9) + CHOOSE(CONTROL!$C$38, 0.0278, 0)</f>
        <v>39.308300000000003</v>
      </c>
      <c r="C569" s="10">
        <f>36.1613 * CHOOSE(CONTROL!$C$15, $E$9, 100%, $G$9) + CHOOSE(CONTROL!$C$38, 0.0369, 0)</f>
        <v>36.1982</v>
      </c>
      <c r="D569" s="10">
        <f>36.1535 * CHOOSE(CONTROL!$C$15, $E$9, 100%, $G$9) + CHOOSE(CONTROL!$C$38, 0.0369, 0)</f>
        <v>36.190400000000004</v>
      </c>
      <c r="E569" s="28">
        <f>39.1242 * CHOOSE(CONTROL!$C$15, $E$9, 100%, $G$9) + CHOOSE(CONTROL!$C$38, 0.0369, 0)</f>
        <v>39.161100000000005</v>
      </c>
      <c r="F569" s="27">
        <f>39.1242 * CHOOSE(CONTROL!$C$15, $E$9, 100%, $G$9) + CHOOSE(CONTROL!$C$38, 0.0278, 0)</f>
        <v>39.152000000000001</v>
      </c>
      <c r="G569" s="10">
        <f>36.1597 * CHOOSE(CONTROL!$C$15, $E$9, 100%, $G$9) + CHOOSE(CONTROL!$C$38, 0.0369, 0)</f>
        <v>36.196600000000004</v>
      </c>
      <c r="H569" s="10">
        <f>36.1597 * CHOOSE(CONTROL!$C$15, $E$9, 100%, $G$9) + CHOOSE(CONTROL!$C$38, 0.0369, 0)</f>
        <v>36.196600000000004</v>
      </c>
      <c r="I569" s="10">
        <f>36.1613 * CHOOSE(CONTROL!$C$15, $E$9, 100%, $G$9) + CHOOSE(CONTROL!$C$38, 0.0369, 0)</f>
        <v>36.1982</v>
      </c>
      <c r="J569" s="26">
        <f>322.5458</f>
        <v>322.54579999999999</v>
      </c>
    </row>
    <row r="570" spans="1:10" ht="15.75" x14ac:dyDescent="0.25">
      <c r="A570" s="13">
        <v>58287</v>
      </c>
      <c r="B570" s="10">
        <f>39.074 * CHOOSE(CONTROL!$C$15, $E$9, 100%, $G$9) + CHOOSE(CONTROL!$C$38, 0.0278, 0)</f>
        <v>39.101799999999997</v>
      </c>
      <c r="C570" s="10">
        <f>35.9548 * CHOOSE(CONTROL!$C$15, $E$9, 100%, $G$9) + CHOOSE(CONTROL!$C$38, 0.0369, 0)</f>
        <v>35.991700000000002</v>
      </c>
      <c r="D570" s="10">
        <f>35.947 * CHOOSE(CONTROL!$C$15, $E$9, 100%, $G$9) + CHOOSE(CONTROL!$C$38, 0.0369, 0)</f>
        <v>35.983900000000006</v>
      </c>
      <c r="E570" s="28">
        <f>38.9177 * CHOOSE(CONTROL!$C$15, $E$9, 100%, $G$9) + CHOOSE(CONTROL!$C$38, 0.0369, 0)</f>
        <v>38.954600000000006</v>
      </c>
      <c r="F570" s="27">
        <f>38.9177 * CHOOSE(CONTROL!$C$15, $E$9, 100%, $G$9) + CHOOSE(CONTROL!$C$38, 0.0278, 0)</f>
        <v>38.945500000000003</v>
      </c>
      <c r="G570" s="10">
        <f>35.9533 * CHOOSE(CONTROL!$C$15, $E$9, 100%, $G$9) + CHOOSE(CONTROL!$C$38, 0.0369, 0)</f>
        <v>35.990200000000002</v>
      </c>
      <c r="H570" s="10">
        <f>35.9533 * CHOOSE(CONTROL!$C$15, $E$9, 100%, $G$9) + CHOOSE(CONTROL!$C$38, 0.0369, 0)</f>
        <v>35.990200000000002</v>
      </c>
      <c r="I570" s="10">
        <f>35.9548 * CHOOSE(CONTROL!$C$15, $E$9, 100%, $G$9) + CHOOSE(CONTROL!$C$38, 0.0369, 0)</f>
        <v>35.991700000000002</v>
      </c>
      <c r="J570" s="26">
        <f>321.0373</f>
        <v>321.03730000000002</v>
      </c>
    </row>
    <row r="571" spans="1:10" ht="15.75" x14ac:dyDescent="0.25">
      <c r="A571" s="13">
        <v>58318</v>
      </c>
      <c r="B571" s="10">
        <f>39.1759 * CHOOSE(CONTROL!$C$15, $E$9, 100%, $G$9) + CHOOSE(CONTROL!$C$38, 0.0278, 0)</f>
        <v>39.203699999999998</v>
      </c>
      <c r="C571" s="10">
        <f>36.0567 * CHOOSE(CONTROL!$C$15, $E$9, 100%, $G$9) + CHOOSE(CONTROL!$C$38, 0.0369, 0)</f>
        <v>36.093600000000002</v>
      </c>
      <c r="D571" s="10">
        <f>36.0489 * CHOOSE(CONTROL!$C$15, $E$9, 100%, $G$9) + CHOOSE(CONTROL!$C$38, 0.0369, 0)</f>
        <v>36.085800000000006</v>
      </c>
      <c r="E571" s="28">
        <f>39.0196 * CHOOSE(CONTROL!$C$15, $E$9, 100%, $G$9) + CHOOSE(CONTROL!$C$38, 0.0369, 0)</f>
        <v>39.0565</v>
      </c>
      <c r="F571" s="27">
        <f>39.0196 * CHOOSE(CONTROL!$C$15, $E$9, 100%, $G$9) + CHOOSE(CONTROL!$C$38, 0.0278, 0)</f>
        <v>39.047399999999996</v>
      </c>
      <c r="G571" s="10">
        <f>36.0552 * CHOOSE(CONTROL!$C$15, $E$9, 100%, $G$9) + CHOOSE(CONTROL!$C$38, 0.0369, 0)</f>
        <v>36.092100000000002</v>
      </c>
      <c r="H571" s="10">
        <f>36.0552 * CHOOSE(CONTROL!$C$15, $E$9, 100%, $G$9) + CHOOSE(CONTROL!$C$38, 0.0369, 0)</f>
        <v>36.092100000000002</v>
      </c>
      <c r="I571" s="10">
        <f>36.0567 * CHOOSE(CONTROL!$C$15, $E$9, 100%, $G$9) + CHOOSE(CONTROL!$C$38, 0.0369, 0)</f>
        <v>36.093600000000002</v>
      </c>
      <c r="J571" s="26">
        <f>313.5637</f>
        <v>313.56369999999998</v>
      </c>
    </row>
    <row r="572" spans="1:10" ht="15.75" x14ac:dyDescent="0.25">
      <c r="A572" s="13">
        <v>58348</v>
      </c>
      <c r="B572" s="10">
        <f>39.4527 * CHOOSE(CONTROL!$C$15, $E$9, 100%, $G$9) + CHOOSE(CONTROL!$C$38, 0.0278, 0)</f>
        <v>39.480499999999999</v>
      </c>
      <c r="C572" s="10">
        <f>36.3335 * CHOOSE(CONTROL!$C$15, $E$9, 100%, $G$9) + CHOOSE(CONTROL!$C$38, 0.0369, 0)</f>
        <v>36.370400000000004</v>
      </c>
      <c r="D572" s="10">
        <f>36.3257 * CHOOSE(CONTROL!$C$15, $E$9, 100%, $G$9) + CHOOSE(CONTROL!$C$38, 0.0369, 0)</f>
        <v>36.3626</v>
      </c>
      <c r="E572" s="28">
        <f>39.2964 * CHOOSE(CONTROL!$C$15, $E$9, 100%, $G$9) + CHOOSE(CONTROL!$C$38, 0.0369, 0)</f>
        <v>39.333300000000001</v>
      </c>
      <c r="F572" s="27">
        <f>39.2964 * CHOOSE(CONTROL!$C$15, $E$9, 100%, $G$9) + CHOOSE(CONTROL!$C$38, 0.0278, 0)</f>
        <v>39.324199999999998</v>
      </c>
      <c r="G572" s="10">
        <f>36.332 * CHOOSE(CONTROL!$C$15, $E$9, 100%, $G$9) + CHOOSE(CONTROL!$C$38, 0.0369, 0)</f>
        <v>36.368900000000004</v>
      </c>
      <c r="H572" s="10">
        <f>36.332 * CHOOSE(CONTROL!$C$15, $E$9, 100%, $G$9) + CHOOSE(CONTROL!$C$38, 0.0369, 0)</f>
        <v>36.368900000000004</v>
      </c>
      <c r="I572" s="10">
        <f>36.3335 * CHOOSE(CONTROL!$C$15, $E$9, 100%, $G$9) + CHOOSE(CONTROL!$C$38, 0.0369, 0)</f>
        <v>36.370400000000004</v>
      </c>
      <c r="J572" s="26">
        <f>303.1414</f>
        <v>303.14139999999998</v>
      </c>
    </row>
    <row r="573" spans="1:10" ht="15.75" x14ac:dyDescent="0.25">
      <c r="A573" s="13">
        <v>58379</v>
      </c>
      <c r="B573" s="10">
        <f>39.6845 * CHOOSE(CONTROL!$C$15, $E$9, 100%, $G$9) + CHOOSE(CONTROL!$C$38, 0.0256, 0)</f>
        <v>39.710099999999997</v>
      </c>
      <c r="C573" s="10">
        <f>36.5654 * CHOOSE(CONTROL!$C$15, $E$9, 100%, $G$9) + CHOOSE(CONTROL!$C$38, 0.0347, 0)</f>
        <v>36.600099999999998</v>
      </c>
      <c r="D573" s="10">
        <f>36.5575 * CHOOSE(CONTROL!$C$15, $E$9, 100%, $G$9) + CHOOSE(CONTROL!$C$38, 0.0347, 0)</f>
        <v>36.592199999999998</v>
      </c>
      <c r="E573" s="28">
        <f>39.5283 * CHOOSE(CONTROL!$C$15, $E$9, 100%, $G$9) + CHOOSE(CONTROL!$C$38, 0.0347, 0)</f>
        <v>39.563000000000002</v>
      </c>
      <c r="F573" s="27">
        <f>39.5283 * CHOOSE(CONTROL!$C$15, $E$9, 100%, $G$9) + CHOOSE(CONTROL!$C$38, 0.0256, 0)</f>
        <v>39.553899999999999</v>
      </c>
      <c r="G573" s="10">
        <f>36.5638 * CHOOSE(CONTROL!$C$15, $E$9, 100%, $G$9) + CHOOSE(CONTROL!$C$38, 0.0347, 0)</f>
        <v>36.598500000000001</v>
      </c>
      <c r="H573" s="10">
        <f>36.5638 * CHOOSE(CONTROL!$C$15, $E$9, 100%, $G$9) + CHOOSE(CONTROL!$C$38, 0.0347, 0)</f>
        <v>36.598500000000001</v>
      </c>
      <c r="I573" s="10">
        <f>36.5654 * CHOOSE(CONTROL!$C$15, $E$9, 100%, $G$9) + CHOOSE(CONTROL!$C$38, 0.0347, 0)</f>
        <v>36.600099999999998</v>
      </c>
      <c r="J573" s="26">
        <f>292.6585</f>
        <v>292.6585</v>
      </c>
    </row>
    <row r="574" spans="1:10" ht="15.75" x14ac:dyDescent="0.25">
      <c r="A574" s="13">
        <v>58409</v>
      </c>
      <c r="B574" s="10">
        <f>39.878 * CHOOSE(CONTROL!$C$15, $E$9, 100%, $G$9) + CHOOSE(CONTROL!$C$38, 0.0256, 0)</f>
        <v>39.903599999999997</v>
      </c>
      <c r="C574" s="10">
        <f>36.7588 * CHOOSE(CONTROL!$C$15, $E$9, 100%, $G$9) + CHOOSE(CONTROL!$C$38, 0.0347, 0)</f>
        <v>36.793500000000002</v>
      </c>
      <c r="D574" s="10">
        <f>36.751 * CHOOSE(CONTROL!$C$15, $E$9, 100%, $G$9) + CHOOSE(CONTROL!$C$38, 0.0347, 0)</f>
        <v>36.785699999999999</v>
      </c>
      <c r="E574" s="28">
        <f>39.7217 * CHOOSE(CONTROL!$C$15, $E$9, 100%, $G$9) + CHOOSE(CONTROL!$C$38, 0.0347, 0)</f>
        <v>39.756399999999999</v>
      </c>
      <c r="F574" s="27">
        <f>39.7217 * CHOOSE(CONTROL!$C$15, $E$9, 100%, $G$9) + CHOOSE(CONTROL!$C$38, 0.0256, 0)</f>
        <v>39.747299999999996</v>
      </c>
      <c r="G574" s="10">
        <f>36.7572 * CHOOSE(CONTROL!$C$15, $E$9, 100%, $G$9) + CHOOSE(CONTROL!$C$38, 0.0347, 0)</f>
        <v>36.791899999999998</v>
      </c>
      <c r="H574" s="10">
        <f>36.7572 * CHOOSE(CONTROL!$C$15, $E$9, 100%, $G$9) + CHOOSE(CONTROL!$C$38, 0.0347, 0)</f>
        <v>36.791899999999998</v>
      </c>
      <c r="I574" s="10">
        <f>36.7588 * CHOOSE(CONTROL!$C$15, $E$9, 100%, $G$9) + CHOOSE(CONTROL!$C$38, 0.0347, 0)</f>
        <v>36.793500000000002</v>
      </c>
      <c r="J574" s="26">
        <f>290.5732</f>
        <v>290.57319999999999</v>
      </c>
    </row>
    <row r="575" spans="1:10" ht="15.75" x14ac:dyDescent="0.25">
      <c r="A575" s="13">
        <v>58440</v>
      </c>
      <c r="B575" s="10">
        <f>40.474 * CHOOSE(CONTROL!$C$15, $E$9, 100%, $G$9) + CHOOSE(CONTROL!$C$38, 0.0256, 0)</f>
        <v>40.499599999999994</v>
      </c>
      <c r="C575" s="10">
        <f>37.3549 * CHOOSE(CONTROL!$C$15, $E$9, 100%, $G$9) + CHOOSE(CONTROL!$C$38, 0.0347, 0)</f>
        <v>37.389600000000002</v>
      </c>
      <c r="D575" s="10">
        <f>37.347 * CHOOSE(CONTROL!$C$15, $E$9, 100%, $G$9) + CHOOSE(CONTROL!$C$38, 0.0347, 0)</f>
        <v>37.381700000000002</v>
      </c>
      <c r="E575" s="28">
        <f>40.3178 * CHOOSE(CONTROL!$C$15, $E$9, 100%, $G$9) + CHOOSE(CONTROL!$C$38, 0.0347, 0)</f>
        <v>40.352499999999999</v>
      </c>
      <c r="F575" s="27">
        <f>40.3178 * CHOOSE(CONTROL!$C$15, $E$9, 100%, $G$9) + CHOOSE(CONTROL!$C$38, 0.0256, 0)</f>
        <v>40.343399999999995</v>
      </c>
      <c r="G575" s="10">
        <f>37.3533 * CHOOSE(CONTROL!$C$15, $E$9, 100%, $G$9) + CHOOSE(CONTROL!$C$38, 0.0347, 0)</f>
        <v>37.387999999999998</v>
      </c>
      <c r="H575" s="10">
        <f>37.3533 * CHOOSE(CONTROL!$C$15, $E$9, 100%, $G$9) + CHOOSE(CONTROL!$C$38, 0.0347, 0)</f>
        <v>37.387999999999998</v>
      </c>
      <c r="I575" s="10">
        <f>37.3549 * CHOOSE(CONTROL!$C$15, $E$9, 100%, $G$9) + CHOOSE(CONTROL!$C$38, 0.0347, 0)</f>
        <v>37.389600000000002</v>
      </c>
      <c r="J575" s="26">
        <f>281.9504</f>
        <v>281.9504</v>
      </c>
    </row>
    <row r="576" spans="1:10" ht="15.75" x14ac:dyDescent="0.25">
      <c r="A576" s="13">
        <v>58471</v>
      </c>
      <c r="B576" s="10">
        <f>41.589 * CHOOSE(CONTROL!$C$15, $E$9, 100%, $G$9) + CHOOSE(CONTROL!$C$38, 0.0256, 0)</f>
        <v>41.614599999999996</v>
      </c>
      <c r="C576" s="10">
        <f>38.4213 * CHOOSE(CONTROL!$C$15, $E$9, 100%, $G$9) + CHOOSE(CONTROL!$C$38, 0.0347, 0)</f>
        <v>38.456000000000003</v>
      </c>
      <c r="D576" s="10">
        <f>38.4134 * CHOOSE(CONTROL!$C$15, $E$9, 100%, $G$9) + CHOOSE(CONTROL!$C$38, 0.0347, 0)</f>
        <v>38.448100000000004</v>
      </c>
      <c r="E576" s="28">
        <f>41.4327 * CHOOSE(CONTROL!$C$15, $E$9, 100%, $G$9) + CHOOSE(CONTROL!$C$38, 0.0347, 0)</f>
        <v>41.467399999999998</v>
      </c>
      <c r="F576" s="27">
        <f>41.4327 * CHOOSE(CONTROL!$C$15, $E$9, 100%, $G$9) + CHOOSE(CONTROL!$C$38, 0.0256, 0)</f>
        <v>41.458299999999994</v>
      </c>
      <c r="G576" s="10">
        <f>38.4197 * CHOOSE(CONTROL!$C$15, $E$9, 100%, $G$9) + CHOOSE(CONTROL!$C$38, 0.0347, 0)</f>
        <v>38.4544</v>
      </c>
      <c r="H576" s="10">
        <f>38.4197 * CHOOSE(CONTROL!$C$15, $E$9, 100%, $G$9) + CHOOSE(CONTROL!$C$38, 0.0347, 0)</f>
        <v>38.4544</v>
      </c>
      <c r="I576" s="10">
        <f>38.4213 * CHOOSE(CONTROL!$C$15, $E$9, 100%, $G$9) + CHOOSE(CONTROL!$C$38, 0.0347, 0)</f>
        <v>38.456000000000003</v>
      </c>
      <c r="J576" s="26">
        <f>281.4119</f>
        <v>281.4119</v>
      </c>
    </row>
    <row r="577" spans="1:10" ht="15.75" x14ac:dyDescent="0.25">
      <c r="A577" s="13">
        <v>58499</v>
      </c>
      <c r="B577" s="10">
        <f>41.8098 * CHOOSE(CONTROL!$C$15, $E$9, 100%, $G$9) + CHOOSE(CONTROL!$C$38, 0.0256, 0)</f>
        <v>41.8354</v>
      </c>
      <c r="C577" s="10">
        <f>38.642 * CHOOSE(CONTROL!$C$15, $E$9, 100%, $G$9) + CHOOSE(CONTROL!$C$38, 0.0347, 0)</f>
        <v>38.676700000000004</v>
      </c>
      <c r="D577" s="10">
        <f>38.6342 * CHOOSE(CONTROL!$C$15, $E$9, 100%, $G$9) + CHOOSE(CONTROL!$C$38, 0.0347, 0)</f>
        <v>38.668900000000001</v>
      </c>
      <c r="E577" s="28">
        <f>41.6535 * CHOOSE(CONTROL!$C$15, $E$9, 100%, $G$9) + CHOOSE(CONTROL!$C$38, 0.0347, 0)</f>
        <v>41.688200000000002</v>
      </c>
      <c r="F577" s="27">
        <f>41.6535 * CHOOSE(CONTROL!$C$15, $E$9, 100%, $G$9) + CHOOSE(CONTROL!$C$38, 0.0256, 0)</f>
        <v>41.679099999999998</v>
      </c>
      <c r="G577" s="10">
        <f>38.6405 * CHOOSE(CONTROL!$C$15, $E$9, 100%, $G$9) + CHOOSE(CONTROL!$C$38, 0.0347, 0)</f>
        <v>38.675200000000004</v>
      </c>
      <c r="H577" s="10">
        <f>38.6405 * CHOOSE(CONTROL!$C$15, $E$9, 100%, $G$9) + CHOOSE(CONTROL!$C$38, 0.0347, 0)</f>
        <v>38.675200000000004</v>
      </c>
      <c r="I577" s="10">
        <f>38.642 * CHOOSE(CONTROL!$C$15, $E$9, 100%, $G$9) + CHOOSE(CONTROL!$C$38, 0.0347, 0)</f>
        <v>38.676700000000004</v>
      </c>
      <c r="J577" s="26">
        <f>280.6297</f>
        <v>280.62970000000001</v>
      </c>
    </row>
    <row r="578" spans="1:10" ht="15.75" x14ac:dyDescent="0.25">
      <c r="A578" s="13">
        <v>58531</v>
      </c>
      <c r="B578" s="10">
        <f>41.2987 * CHOOSE(CONTROL!$C$15, $E$9, 100%, $G$9) + CHOOSE(CONTROL!$C$38, 0.0256, 0)</f>
        <v>41.324299999999994</v>
      </c>
      <c r="C578" s="10">
        <f>38.131 * CHOOSE(CONTROL!$C$15, $E$9, 100%, $G$9) + CHOOSE(CONTROL!$C$38, 0.0347, 0)</f>
        <v>38.165700000000001</v>
      </c>
      <c r="D578" s="10">
        <f>38.1232 * CHOOSE(CONTROL!$C$15, $E$9, 100%, $G$9) + CHOOSE(CONTROL!$C$38, 0.0347, 0)</f>
        <v>38.157899999999998</v>
      </c>
      <c r="E578" s="28">
        <f>41.1425 * CHOOSE(CONTROL!$C$15, $E$9, 100%, $G$9) + CHOOSE(CONTROL!$C$38, 0.0347, 0)</f>
        <v>41.177199999999999</v>
      </c>
      <c r="F578" s="27">
        <f>41.1425 * CHOOSE(CONTROL!$C$15, $E$9, 100%, $G$9) + CHOOSE(CONTROL!$C$38, 0.0256, 0)</f>
        <v>41.168099999999995</v>
      </c>
      <c r="G578" s="10">
        <f>38.1294 * CHOOSE(CONTROL!$C$15, $E$9, 100%, $G$9) + CHOOSE(CONTROL!$C$38, 0.0347, 0)</f>
        <v>38.164099999999998</v>
      </c>
      <c r="H578" s="10">
        <f>38.1294 * CHOOSE(CONTROL!$C$15, $E$9, 100%, $G$9) + CHOOSE(CONTROL!$C$38, 0.0347, 0)</f>
        <v>38.164099999999998</v>
      </c>
      <c r="I578" s="10">
        <f>38.131 * CHOOSE(CONTROL!$C$15, $E$9, 100%, $G$9) + CHOOSE(CONTROL!$C$38, 0.0347, 0)</f>
        <v>38.165700000000001</v>
      </c>
      <c r="J578" s="26">
        <f>295.4205</f>
        <v>295.4205</v>
      </c>
    </row>
    <row r="579" spans="1:10" ht="15.75" x14ac:dyDescent="0.25">
      <c r="A579" s="13">
        <v>58561</v>
      </c>
      <c r="B579" s="10">
        <f>40.8035 * CHOOSE(CONTROL!$C$15, $E$9, 100%, $G$9) + CHOOSE(CONTROL!$C$38, 0.0256, 0)</f>
        <v>40.829099999999997</v>
      </c>
      <c r="C579" s="10">
        <f>37.6358 * CHOOSE(CONTROL!$C$15, $E$9, 100%, $G$9) + CHOOSE(CONTROL!$C$38, 0.0347, 0)</f>
        <v>37.670500000000004</v>
      </c>
      <c r="D579" s="10">
        <f>37.628 * CHOOSE(CONTROL!$C$15, $E$9, 100%, $G$9) + CHOOSE(CONTROL!$C$38, 0.0347, 0)</f>
        <v>37.662700000000001</v>
      </c>
      <c r="E579" s="28">
        <f>40.6473 * CHOOSE(CONTROL!$C$15, $E$9, 100%, $G$9) + CHOOSE(CONTROL!$C$38, 0.0347, 0)</f>
        <v>40.682000000000002</v>
      </c>
      <c r="F579" s="27">
        <f>40.6473 * CHOOSE(CONTROL!$C$15, $E$9, 100%, $G$9) + CHOOSE(CONTROL!$C$38, 0.0256, 0)</f>
        <v>40.672899999999998</v>
      </c>
      <c r="G579" s="10">
        <f>37.6342 * CHOOSE(CONTROL!$C$15, $E$9, 100%, $G$9) + CHOOSE(CONTROL!$C$38, 0.0347, 0)</f>
        <v>37.668900000000001</v>
      </c>
      <c r="H579" s="10">
        <f>37.6342 * CHOOSE(CONTROL!$C$15, $E$9, 100%, $G$9) + CHOOSE(CONTROL!$C$38, 0.0347, 0)</f>
        <v>37.668900000000001</v>
      </c>
      <c r="I579" s="10">
        <f>37.6358 * CHOOSE(CONTROL!$C$15, $E$9, 100%, $G$9) + CHOOSE(CONTROL!$C$38, 0.0347, 0)</f>
        <v>37.670500000000004</v>
      </c>
      <c r="J579" s="26">
        <f>314.6007</f>
        <v>314.60070000000002</v>
      </c>
    </row>
    <row r="580" spans="1:10" ht="15.75" x14ac:dyDescent="0.25">
      <c r="A580" s="13">
        <v>58592</v>
      </c>
      <c r="B580" s="10">
        <f>40.2874 * CHOOSE(CONTROL!$C$15, $E$9, 100%, $G$9) + CHOOSE(CONTROL!$C$38, 0.0278, 0)</f>
        <v>40.315199999999997</v>
      </c>
      <c r="C580" s="10">
        <f>37.1197 * CHOOSE(CONTROL!$C$15, $E$9, 100%, $G$9) + CHOOSE(CONTROL!$C$38, 0.0369, 0)</f>
        <v>37.156600000000005</v>
      </c>
      <c r="D580" s="10">
        <f>37.1119 * CHOOSE(CONTROL!$C$15, $E$9, 100%, $G$9) + CHOOSE(CONTROL!$C$38, 0.0369, 0)</f>
        <v>37.148800000000001</v>
      </c>
      <c r="E580" s="28">
        <f>40.1312 * CHOOSE(CONTROL!$C$15, $E$9, 100%, $G$9) + CHOOSE(CONTROL!$C$38, 0.0369, 0)</f>
        <v>40.168100000000003</v>
      </c>
      <c r="F580" s="27">
        <f>40.1312 * CHOOSE(CONTROL!$C$15, $E$9, 100%, $G$9) + CHOOSE(CONTROL!$C$38, 0.0278, 0)</f>
        <v>40.158999999999999</v>
      </c>
      <c r="G580" s="10">
        <f>37.1181 * CHOOSE(CONTROL!$C$15, $E$9, 100%, $G$9) + CHOOSE(CONTROL!$C$38, 0.0369, 0)</f>
        <v>37.155000000000001</v>
      </c>
      <c r="H580" s="10">
        <f>37.1181 * CHOOSE(CONTROL!$C$15, $E$9, 100%, $G$9) + CHOOSE(CONTROL!$C$38, 0.0369, 0)</f>
        <v>37.155000000000001</v>
      </c>
      <c r="I580" s="10">
        <f>37.1197 * CHOOSE(CONTROL!$C$15, $E$9, 100%, $G$9) + CHOOSE(CONTROL!$C$38, 0.0369, 0)</f>
        <v>37.156600000000005</v>
      </c>
      <c r="J580" s="26">
        <f>325.158</f>
        <v>325.15800000000002</v>
      </c>
    </row>
    <row r="581" spans="1:10" ht="15.75" x14ac:dyDescent="0.25">
      <c r="A581" s="13">
        <v>58622</v>
      </c>
      <c r="B581" s="10">
        <f>39.9256 * CHOOSE(CONTROL!$C$15, $E$9, 100%, $G$9) + CHOOSE(CONTROL!$C$38, 0.0278, 0)</f>
        <v>39.953400000000002</v>
      </c>
      <c r="C581" s="10">
        <f>36.7579 * CHOOSE(CONTROL!$C$15, $E$9, 100%, $G$9) + CHOOSE(CONTROL!$C$38, 0.0369, 0)</f>
        <v>36.794800000000002</v>
      </c>
      <c r="D581" s="10">
        <f>36.75 * CHOOSE(CONTROL!$C$15, $E$9, 100%, $G$9) + CHOOSE(CONTROL!$C$38, 0.0369, 0)</f>
        <v>36.786900000000003</v>
      </c>
      <c r="E581" s="28">
        <f>39.7693 * CHOOSE(CONTROL!$C$15, $E$9, 100%, $G$9) + CHOOSE(CONTROL!$C$38, 0.0369, 0)</f>
        <v>39.806200000000004</v>
      </c>
      <c r="F581" s="27">
        <f>39.7693 * CHOOSE(CONTROL!$C$15, $E$9, 100%, $G$9) + CHOOSE(CONTROL!$C$38, 0.0278, 0)</f>
        <v>39.7971</v>
      </c>
      <c r="G581" s="10">
        <f>36.7563 * CHOOSE(CONTROL!$C$15, $E$9, 100%, $G$9) + CHOOSE(CONTROL!$C$38, 0.0369, 0)</f>
        <v>36.793200000000006</v>
      </c>
      <c r="H581" s="10">
        <f>36.7563 * CHOOSE(CONTROL!$C$15, $E$9, 100%, $G$9) + CHOOSE(CONTROL!$C$38, 0.0369, 0)</f>
        <v>36.793200000000006</v>
      </c>
      <c r="I581" s="10">
        <f>36.7579 * CHOOSE(CONTROL!$C$15, $E$9, 100%, $G$9) + CHOOSE(CONTROL!$C$38, 0.0369, 0)</f>
        <v>36.794800000000002</v>
      </c>
      <c r="J581" s="26">
        <f>329.8432</f>
        <v>329.84320000000002</v>
      </c>
    </row>
    <row r="582" spans="1:10" ht="15.75" x14ac:dyDescent="0.25">
      <c r="A582" s="13">
        <v>58653</v>
      </c>
      <c r="B582" s="10">
        <f>39.7191 * CHOOSE(CONTROL!$C$15, $E$9, 100%, $G$9) + CHOOSE(CONTROL!$C$38, 0.0278, 0)</f>
        <v>39.746899999999997</v>
      </c>
      <c r="C582" s="10">
        <f>36.5514 * CHOOSE(CONTROL!$C$15, $E$9, 100%, $G$9) + CHOOSE(CONTROL!$C$38, 0.0369, 0)</f>
        <v>36.588300000000004</v>
      </c>
      <c r="D582" s="10">
        <f>36.5436 * CHOOSE(CONTROL!$C$15, $E$9, 100%, $G$9) + CHOOSE(CONTROL!$C$38, 0.0369, 0)</f>
        <v>36.580500000000001</v>
      </c>
      <c r="E582" s="28">
        <f>39.5629 * CHOOSE(CONTROL!$C$15, $E$9, 100%, $G$9) + CHOOSE(CONTROL!$C$38, 0.0369, 0)</f>
        <v>39.599800000000002</v>
      </c>
      <c r="F582" s="27">
        <f>39.5629 * CHOOSE(CONTROL!$C$15, $E$9, 100%, $G$9) + CHOOSE(CONTROL!$C$38, 0.0278, 0)</f>
        <v>39.590699999999998</v>
      </c>
      <c r="G582" s="10">
        <f>36.5498 * CHOOSE(CONTROL!$C$15, $E$9, 100%, $G$9) + CHOOSE(CONTROL!$C$38, 0.0369, 0)</f>
        <v>36.5867</v>
      </c>
      <c r="H582" s="10">
        <f>36.5498 * CHOOSE(CONTROL!$C$15, $E$9, 100%, $G$9) + CHOOSE(CONTROL!$C$38, 0.0369, 0)</f>
        <v>36.5867</v>
      </c>
      <c r="I582" s="10">
        <f>36.5514 * CHOOSE(CONTROL!$C$15, $E$9, 100%, $G$9) + CHOOSE(CONTROL!$C$38, 0.0369, 0)</f>
        <v>36.588300000000004</v>
      </c>
      <c r="J582" s="26">
        <f>328.3006</f>
        <v>328.30059999999997</v>
      </c>
    </row>
    <row r="583" spans="1:10" ht="15.75" x14ac:dyDescent="0.25">
      <c r="A583" s="13">
        <v>58684</v>
      </c>
      <c r="B583" s="10">
        <f>39.821 * CHOOSE(CONTROL!$C$15, $E$9, 100%, $G$9) + CHOOSE(CONTROL!$C$38, 0.0278, 0)</f>
        <v>39.848799999999997</v>
      </c>
      <c r="C583" s="10">
        <f>36.6533 * CHOOSE(CONTROL!$C$15, $E$9, 100%, $G$9) + CHOOSE(CONTROL!$C$38, 0.0369, 0)</f>
        <v>36.690200000000004</v>
      </c>
      <c r="D583" s="10">
        <f>36.6455 * CHOOSE(CONTROL!$C$15, $E$9, 100%, $G$9) + CHOOSE(CONTROL!$C$38, 0.0369, 0)</f>
        <v>36.682400000000001</v>
      </c>
      <c r="E583" s="28">
        <f>39.6648 * CHOOSE(CONTROL!$C$15, $E$9, 100%, $G$9) + CHOOSE(CONTROL!$C$38, 0.0369, 0)</f>
        <v>39.701700000000002</v>
      </c>
      <c r="F583" s="27">
        <f>39.6648 * CHOOSE(CONTROL!$C$15, $E$9, 100%, $G$9) + CHOOSE(CONTROL!$C$38, 0.0278, 0)</f>
        <v>39.692599999999999</v>
      </c>
      <c r="G583" s="10">
        <f>36.6517 * CHOOSE(CONTROL!$C$15, $E$9, 100%, $G$9) + CHOOSE(CONTROL!$C$38, 0.0369, 0)</f>
        <v>36.688600000000001</v>
      </c>
      <c r="H583" s="10">
        <f>36.6517 * CHOOSE(CONTROL!$C$15, $E$9, 100%, $G$9) + CHOOSE(CONTROL!$C$38, 0.0369, 0)</f>
        <v>36.688600000000001</v>
      </c>
      <c r="I583" s="10">
        <f>36.6533 * CHOOSE(CONTROL!$C$15, $E$9, 100%, $G$9) + CHOOSE(CONTROL!$C$38, 0.0369, 0)</f>
        <v>36.690200000000004</v>
      </c>
      <c r="J583" s="26">
        <f>320.6579</f>
        <v>320.65789999999998</v>
      </c>
    </row>
    <row r="584" spans="1:10" ht="15.75" x14ac:dyDescent="0.25">
      <c r="A584" s="13">
        <v>58714</v>
      </c>
      <c r="B584" s="10">
        <f>40.0978 * CHOOSE(CONTROL!$C$15, $E$9, 100%, $G$9) + CHOOSE(CONTROL!$C$38, 0.0278, 0)</f>
        <v>40.125599999999999</v>
      </c>
      <c r="C584" s="10">
        <f>36.9301 * CHOOSE(CONTROL!$C$15, $E$9, 100%, $G$9) + CHOOSE(CONTROL!$C$38, 0.0369, 0)</f>
        <v>36.967000000000006</v>
      </c>
      <c r="D584" s="10">
        <f>36.9223 * CHOOSE(CONTROL!$C$15, $E$9, 100%, $G$9) + CHOOSE(CONTROL!$C$38, 0.0369, 0)</f>
        <v>36.959200000000003</v>
      </c>
      <c r="E584" s="28">
        <f>39.9416 * CHOOSE(CONTROL!$C$15, $E$9, 100%, $G$9) + CHOOSE(CONTROL!$C$38, 0.0369, 0)</f>
        <v>39.978500000000004</v>
      </c>
      <c r="F584" s="27">
        <f>39.9416 * CHOOSE(CONTROL!$C$15, $E$9, 100%, $G$9) + CHOOSE(CONTROL!$C$38, 0.0278, 0)</f>
        <v>39.9694</v>
      </c>
      <c r="G584" s="10">
        <f>36.9285 * CHOOSE(CONTROL!$C$15, $E$9, 100%, $G$9) + CHOOSE(CONTROL!$C$38, 0.0369, 0)</f>
        <v>36.965400000000002</v>
      </c>
      <c r="H584" s="10">
        <f>36.9285 * CHOOSE(CONTROL!$C$15, $E$9, 100%, $G$9) + CHOOSE(CONTROL!$C$38, 0.0369, 0)</f>
        <v>36.965400000000002</v>
      </c>
      <c r="I584" s="10">
        <f>36.9301 * CHOOSE(CONTROL!$C$15, $E$9, 100%, $G$9) + CHOOSE(CONTROL!$C$38, 0.0369, 0)</f>
        <v>36.967000000000006</v>
      </c>
      <c r="J584" s="26">
        <f>309.9998</f>
        <v>309.99979999999999</v>
      </c>
    </row>
    <row r="585" spans="1:10" ht="15.75" x14ac:dyDescent="0.25">
      <c r="A585" s="13">
        <v>58745</v>
      </c>
      <c r="B585" s="10">
        <f>40.3296 * CHOOSE(CONTROL!$C$15, $E$9, 100%, $G$9) + CHOOSE(CONTROL!$C$38, 0.0256, 0)</f>
        <v>40.355199999999996</v>
      </c>
      <c r="C585" s="10">
        <f>37.1619 * CHOOSE(CONTROL!$C$15, $E$9, 100%, $G$9) + CHOOSE(CONTROL!$C$38, 0.0347, 0)</f>
        <v>37.196600000000004</v>
      </c>
      <c r="D585" s="10">
        <f>37.1541 * CHOOSE(CONTROL!$C$15, $E$9, 100%, $G$9) + CHOOSE(CONTROL!$C$38, 0.0347, 0)</f>
        <v>37.188800000000001</v>
      </c>
      <c r="E585" s="28">
        <f>40.1734 * CHOOSE(CONTROL!$C$15, $E$9, 100%, $G$9) + CHOOSE(CONTROL!$C$38, 0.0347, 0)</f>
        <v>40.208100000000002</v>
      </c>
      <c r="F585" s="27">
        <f>40.1734 * CHOOSE(CONTROL!$C$15, $E$9, 100%, $G$9) + CHOOSE(CONTROL!$C$38, 0.0256, 0)</f>
        <v>40.198999999999998</v>
      </c>
      <c r="G585" s="10">
        <f>37.1603 * CHOOSE(CONTROL!$C$15, $E$9, 100%, $G$9) + CHOOSE(CONTROL!$C$38, 0.0347, 0)</f>
        <v>37.195</v>
      </c>
      <c r="H585" s="10">
        <f>37.1603 * CHOOSE(CONTROL!$C$15, $E$9, 100%, $G$9) + CHOOSE(CONTROL!$C$38, 0.0347, 0)</f>
        <v>37.195</v>
      </c>
      <c r="I585" s="10">
        <f>37.1619 * CHOOSE(CONTROL!$C$15, $E$9, 100%, $G$9) + CHOOSE(CONTROL!$C$38, 0.0347, 0)</f>
        <v>37.196600000000004</v>
      </c>
      <c r="J585" s="26">
        <f>299.2797</f>
        <v>299.27969999999999</v>
      </c>
    </row>
    <row r="586" spans="1:10" ht="15.75" x14ac:dyDescent="0.25">
      <c r="A586" s="13">
        <v>58775</v>
      </c>
      <c r="B586" s="10">
        <f>40.5231 * CHOOSE(CONTROL!$C$15, $E$9, 100%, $G$9) + CHOOSE(CONTROL!$C$38, 0.0256, 0)</f>
        <v>40.548699999999997</v>
      </c>
      <c r="C586" s="10">
        <f>37.3553 * CHOOSE(CONTROL!$C$15, $E$9, 100%, $G$9) + CHOOSE(CONTROL!$C$38, 0.0347, 0)</f>
        <v>37.39</v>
      </c>
      <c r="D586" s="10">
        <f>37.3475 * CHOOSE(CONTROL!$C$15, $E$9, 100%, $G$9) + CHOOSE(CONTROL!$C$38, 0.0347, 0)</f>
        <v>37.382199999999997</v>
      </c>
      <c r="E586" s="28">
        <f>40.3668 * CHOOSE(CONTROL!$C$15, $E$9, 100%, $G$9) + CHOOSE(CONTROL!$C$38, 0.0347, 0)</f>
        <v>40.401499999999999</v>
      </c>
      <c r="F586" s="27">
        <f>40.3668 * CHOOSE(CONTROL!$C$15, $E$9, 100%, $G$9) + CHOOSE(CONTROL!$C$38, 0.0256, 0)</f>
        <v>40.392399999999995</v>
      </c>
      <c r="G586" s="10">
        <f>37.3538 * CHOOSE(CONTROL!$C$15, $E$9, 100%, $G$9) + CHOOSE(CONTROL!$C$38, 0.0347, 0)</f>
        <v>37.388500000000001</v>
      </c>
      <c r="H586" s="10">
        <f>37.3538 * CHOOSE(CONTROL!$C$15, $E$9, 100%, $G$9) + CHOOSE(CONTROL!$C$38, 0.0347, 0)</f>
        <v>37.388500000000001</v>
      </c>
      <c r="I586" s="10">
        <f>37.3553 * CHOOSE(CONTROL!$C$15, $E$9, 100%, $G$9) + CHOOSE(CONTROL!$C$38, 0.0347, 0)</f>
        <v>37.39</v>
      </c>
      <c r="J586" s="26">
        <f>297.1473</f>
        <v>297.14729999999997</v>
      </c>
    </row>
    <row r="587" spans="1:10" ht="15.75" x14ac:dyDescent="0.25">
      <c r="A587" s="13">
        <v>58806</v>
      </c>
      <c r="B587" s="10">
        <f>41.1191 * CHOOSE(CONTROL!$C$15, $E$9, 100%, $G$9) + CHOOSE(CONTROL!$C$38, 0.0256, 0)</f>
        <v>41.1447</v>
      </c>
      <c r="C587" s="10">
        <f>37.9514 * CHOOSE(CONTROL!$C$15, $E$9, 100%, $G$9) + CHOOSE(CONTROL!$C$38, 0.0347, 0)</f>
        <v>37.9861</v>
      </c>
      <c r="D587" s="10">
        <f>37.9436 * CHOOSE(CONTROL!$C$15, $E$9, 100%, $G$9) + CHOOSE(CONTROL!$C$38, 0.0347, 0)</f>
        <v>37.978300000000004</v>
      </c>
      <c r="E587" s="28">
        <f>40.9629 * CHOOSE(CONTROL!$C$15, $E$9, 100%, $G$9) + CHOOSE(CONTROL!$C$38, 0.0347, 0)</f>
        <v>40.997599999999998</v>
      </c>
      <c r="F587" s="27">
        <f>40.9629 * CHOOSE(CONTROL!$C$15, $E$9, 100%, $G$9) + CHOOSE(CONTROL!$C$38, 0.0256, 0)</f>
        <v>40.988499999999995</v>
      </c>
      <c r="G587" s="10">
        <f>37.9498 * CHOOSE(CONTROL!$C$15, $E$9, 100%, $G$9) + CHOOSE(CONTROL!$C$38, 0.0347, 0)</f>
        <v>37.984500000000004</v>
      </c>
      <c r="H587" s="10">
        <f>37.9498 * CHOOSE(CONTROL!$C$15, $E$9, 100%, $G$9) + CHOOSE(CONTROL!$C$38, 0.0347, 0)</f>
        <v>37.984500000000004</v>
      </c>
      <c r="I587" s="10">
        <f>37.9514 * CHOOSE(CONTROL!$C$15, $E$9, 100%, $G$9) + CHOOSE(CONTROL!$C$38, 0.0347, 0)</f>
        <v>37.9861</v>
      </c>
      <c r="J587" s="26">
        <f>288.3294</f>
        <v>288.32940000000002</v>
      </c>
    </row>
    <row r="588" spans="1:10" ht="15.75" x14ac:dyDescent="0.25">
      <c r="A588" s="13">
        <v>58837</v>
      </c>
      <c r="B588" s="10">
        <f>42.2447 * CHOOSE(CONTROL!$C$15, $E$9, 100%, $G$9) + CHOOSE(CONTROL!$C$38, 0.0256, 0)</f>
        <v>42.270299999999999</v>
      </c>
      <c r="C588" s="10">
        <f>39.0276 * CHOOSE(CONTROL!$C$15, $E$9, 100%, $G$9) + CHOOSE(CONTROL!$C$38, 0.0347, 0)</f>
        <v>39.0623</v>
      </c>
      <c r="D588" s="10">
        <f>39.0198 * CHOOSE(CONTROL!$C$15, $E$9, 100%, $G$9) + CHOOSE(CONTROL!$C$38, 0.0347, 0)</f>
        <v>39.054499999999997</v>
      </c>
      <c r="E588" s="28">
        <f>42.0884 * CHOOSE(CONTROL!$C$15, $E$9, 100%, $G$9) + CHOOSE(CONTROL!$C$38, 0.0347, 0)</f>
        <v>42.123100000000001</v>
      </c>
      <c r="F588" s="27">
        <f>42.0884 * CHOOSE(CONTROL!$C$15, $E$9, 100%, $G$9) + CHOOSE(CONTROL!$C$38, 0.0256, 0)</f>
        <v>42.113999999999997</v>
      </c>
      <c r="G588" s="10">
        <f>39.026 * CHOOSE(CONTROL!$C$15, $E$9, 100%, $G$9) + CHOOSE(CONTROL!$C$38, 0.0347, 0)</f>
        <v>39.060700000000004</v>
      </c>
      <c r="H588" s="10">
        <f>39.026 * CHOOSE(CONTROL!$C$15, $E$9, 100%, $G$9) + CHOOSE(CONTROL!$C$38, 0.0347, 0)</f>
        <v>39.060700000000004</v>
      </c>
      <c r="I588" s="10">
        <f>39.0276 * CHOOSE(CONTROL!$C$15, $E$9, 100%, $G$9) + CHOOSE(CONTROL!$C$38, 0.0347, 0)</f>
        <v>39.0623</v>
      </c>
      <c r="J588" s="26">
        <f>287.7788</f>
        <v>287.77879999999999</v>
      </c>
    </row>
    <row r="589" spans="1:10" ht="15.75" x14ac:dyDescent="0.25">
      <c r="A589" s="13">
        <v>58865</v>
      </c>
      <c r="B589" s="10">
        <f>42.4655 * CHOOSE(CONTROL!$C$15, $E$9, 100%, $G$9) + CHOOSE(CONTROL!$C$38, 0.0256, 0)</f>
        <v>42.491099999999996</v>
      </c>
      <c r="C589" s="10">
        <f>39.2483 * CHOOSE(CONTROL!$C$15, $E$9, 100%, $G$9) + CHOOSE(CONTROL!$C$38, 0.0347, 0)</f>
        <v>39.283000000000001</v>
      </c>
      <c r="D589" s="10">
        <f>39.2405 * CHOOSE(CONTROL!$C$15, $E$9, 100%, $G$9) + CHOOSE(CONTROL!$C$38, 0.0347, 0)</f>
        <v>39.275199999999998</v>
      </c>
      <c r="E589" s="28">
        <f>42.3092 * CHOOSE(CONTROL!$C$15, $E$9, 100%, $G$9) + CHOOSE(CONTROL!$C$38, 0.0347, 0)</f>
        <v>42.343899999999998</v>
      </c>
      <c r="F589" s="27">
        <f>42.3092 * CHOOSE(CONTROL!$C$15, $E$9, 100%, $G$9) + CHOOSE(CONTROL!$C$38, 0.0256, 0)</f>
        <v>42.334799999999994</v>
      </c>
      <c r="G589" s="10">
        <f>39.2468 * CHOOSE(CONTROL!$C$15, $E$9, 100%, $G$9) + CHOOSE(CONTROL!$C$38, 0.0347, 0)</f>
        <v>39.281500000000001</v>
      </c>
      <c r="H589" s="10">
        <f>39.2468 * CHOOSE(CONTROL!$C$15, $E$9, 100%, $G$9) + CHOOSE(CONTROL!$C$38, 0.0347, 0)</f>
        <v>39.281500000000001</v>
      </c>
      <c r="I589" s="10">
        <f>39.2483 * CHOOSE(CONTROL!$C$15, $E$9, 100%, $G$9) + CHOOSE(CONTROL!$C$38, 0.0347, 0)</f>
        <v>39.283000000000001</v>
      </c>
      <c r="J589" s="26">
        <f>286.9788</f>
        <v>286.97879999999998</v>
      </c>
    </row>
    <row r="590" spans="1:10" ht="15.75" x14ac:dyDescent="0.25">
      <c r="A590" s="13">
        <v>58893</v>
      </c>
      <c r="B590" s="10">
        <f>41.9544 * CHOOSE(CONTROL!$C$15, $E$9, 100%, $G$9) + CHOOSE(CONTROL!$C$38, 0.0256, 0)</f>
        <v>41.98</v>
      </c>
      <c r="C590" s="10">
        <f>38.7373 * CHOOSE(CONTROL!$C$15, $E$9, 100%, $G$9) + CHOOSE(CONTROL!$C$38, 0.0347, 0)</f>
        <v>38.771999999999998</v>
      </c>
      <c r="D590" s="10">
        <f>38.7295 * CHOOSE(CONTROL!$C$15, $E$9, 100%, $G$9) + CHOOSE(CONTROL!$C$38, 0.0347, 0)</f>
        <v>38.764200000000002</v>
      </c>
      <c r="E590" s="28">
        <f>41.7982 * CHOOSE(CONTROL!$C$15, $E$9, 100%, $G$9) + CHOOSE(CONTROL!$C$38, 0.0347, 0)</f>
        <v>41.832900000000002</v>
      </c>
      <c r="F590" s="27">
        <f>41.7982 * CHOOSE(CONTROL!$C$15, $E$9, 100%, $G$9) + CHOOSE(CONTROL!$C$38, 0.0256, 0)</f>
        <v>41.823799999999999</v>
      </c>
      <c r="G590" s="10">
        <f>38.7357 * CHOOSE(CONTROL!$C$15, $E$9, 100%, $G$9) + CHOOSE(CONTROL!$C$38, 0.0347, 0)</f>
        <v>38.770400000000002</v>
      </c>
      <c r="H590" s="10">
        <f>38.7357 * CHOOSE(CONTROL!$C$15, $E$9, 100%, $G$9) + CHOOSE(CONTROL!$C$38, 0.0347, 0)</f>
        <v>38.770400000000002</v>
      </c>
      <c r="I590" s="10">
        <f>38.7373 * CHOOSE(CONTROL!$C$15, $E$9, 100%, $G$9) + CHOOSE(CONTROL!$C$38, 0.0347, 0)</f>
        <v>38.771999999999998</v>
      </c>
      <c r="J590" s="26">
        <f>302.1043</f>
        <v>302.10430000000002</v>
      </c>
    </row>
    <row r="591" spans="1:10" ht="15.75" x14ac:dyDescent="0.25">
      <c r="A591" s="13">
        <v>58926</v>
      </c>
      <c r="B591" s="10">
        <f>41.4592 * CHOOSE(CONTROL!$C$15, $E$9, 100%, $G$9) + CHOOSE(CONTROL!$C$38, 0.0256, 0)</f>
        <v>41.4848</v>
      </c>
      <c r="C591" s="10">
        <f>38.2421 * CHOOSE(CONTROL!$C$15, $E$9, 100%, $G$9) + CHOOSE(CONTROL!$C$38, 0.0347, 0)</f>
        <v>38.276800000000001</v>
      </c>
      <c r="D591" s="10">
        <f>38.2343 * CHOOSE(CONTROL!$C$15, $E$9, 100%, $G$9) + CHOOSE(CONTROL!$C$38, 0.0347, 0)</f>
        <v>38.268999999999998</v>
      </c>
      <c r="E591" s="28">
        <f>41.303 * CHOOSE(CONTROL!$C$15, $E$9, 100%, $G$9) + CHOOSE(CONTROL!$C$38, 0.0347, 0)</f>
        <v>41.337699999999998</v>
      </c>
      <c r="F591" s="27">
        <f>41.303 * CHOOSE(CONTROL!$C$15, $E$9, 100%, $G$9) + CHOOSE(CONTROL!$C$38, 0.0256, 0)</f>
        <v>41.328599999999994</v>
      </c>
      <c r="G591" s="10">
        <f>38.2406 * CHOOSE(CONTROL!$C$15, $E$9, 100%, $G$9) + CHOOSE(CONTROL!$C$38, 0.0347, 0)</f>
        <v>38.275300000000001</v>
      </c>
      <c r="H591" s="10">
        <f>38.2406 * CHOOSE(CONTROL!$C$15, $E$9, 100%, $G$9) + CHOOSE(CONTROL!$C$38, 0.0347, 0)</f>
        <v>38.275300000000001</v>
      </c>
      <c r="I591" s="10">
        <f>38.2421 * CHOOSE(CONTROL!$C$15, $E$9, 100%, $G$9) + CHOOSE(CONTROL!$C$38, 0.0347, 0)</f>
        <v>38.276800000000001</v>
      </c>
      <c r="J591" s="26">
        <f>321.7184</f>
        <v>321.71839999999997</v>
      </c>
    </row>
    <row r="592" spans="1:10" ht="15.75" x14ac:dyDescent="0.25">
      <c r="A592" s="13">
        <v>58957</v>
      </c>
      <c r="B592" s="10">
        <f>40.9431 * CHOOSE(CONTROL!$C$15, $E$9, 100%, $G$9) + CHOOSE(CONTROL!$C$38, 0.0278, 0)</f>
        <v>40.9709</v>
      </c>
      <c r="C592" s="10">
        <f>37.726 * CHOOSE(CONTROL!$C$15, $E$9, 100%, $G$9) + CHOOSE(CONTROL!$C$38, 0.0369, 0)</f>
        <v>37.762900000000002</v>
      </c>
      <c r="D592" s="10">
        <f>37.7182 * CHOOSE(CONTROL!$C$15, $E$9, 100%, $G$9) + CHOOSE(CONTROL!$C$38, 0.0369, 0)</f>
        <v>37.755100000000006</v>
      </c>
      <c r="E592" s="28">
        <f>40.7869 * CHOOSE(CONTROL!$C$15, $E$9, 100%, $G$9) + CHOOSE(CONTROL!$C$38, 0.0369, 0)</f>
        <v>40.823800000000006</v>
      </c>
      <c r="F592" s="27">
        <f>40.7869 * CHOOSE(CONTROL!$C$15, $E$9, 100%, $G$9) + CHOOSE(CONTROL!$C$38, 0.0278, 0)</f>
        <v>40.814700000000002</v>
      </c>
      <c r="G592" s="10">
        <f>37.7244 * CHOOSE(CONTROL!$C$15, $E$9, 100%, $G$9) + CHOOSE(CONTROL!$C$38, 0.0369, 0)</f>
        <v>37.761300000000006</v>
      </c>
      <c r="H592" s="10">
        <f>37.7244 * CHOOSE(CONTROL!$C$15, $E$9, 100%, $G$9) + CHOOSE(CONTROL!$C$38, 0.0369, 0)</f>
        <v>37.761300000000006</v>
      </c>
      <c r="I592" s="10">
        <f>37.726 * CHOOSE(CONTROL!$C$15, $E$9, 100%, $G$9) + CHOOSE(CONTROL!$C$38, 0.0369, 0)</f>
        <v>37.762900000000002</v>
      </c>
      <c r="J592" s="26">
        <f>332.5146</f>
        <v>332.51459999999997</v>
      </c>
    </row>
    <row r="593" spans="1:10" ht="15.75" x14ac:dyDescent="0.25">
      <c r="A593" s="13">
        <v>58987</v>
      </c>
      <c r="B593" s="10">
        <f>40.5813 * CHOOSE(CONTROL!$C$15, $E$9, 100%, $G$9) + CHOOSE(CONTROL!$C$38, 0.0278, 0)</f>
        <v>40.609099999999998</v>
      </c>
      <c r="C593" s="10">
        <f>37.3642 * CHOOSE(CONTROL!$C$15, $E$9, 100%, $G$9) + CHOOSE(CONTROL!$C$38, 0.0369, 0)</f>
        <v>37.4011</v>
      </c>
      <c r="D593" s="10">
        <f>37.3564 * CHOOSE(CONTROL!$C$15, $E$9, 100%, $G$9) + CHOOSE(CONTROL!$C$38, 0.0369, 0)</f>
        <v>37.393300000000004</v>
      </c>
      <c r="E593" s="28">
        <f>40.425 * CHOOSE(CONTROL!$C$15, $E$9, 100%, $G$9) + CHOOSE(CONTROL!$C$38, 0.0369, 0)</f>
        <v>40.4619</v>
      </c>
      <c r="F593" s="27">
        <f>40.425 * CHOOSE(CONTROL!$C$15, $E$9, 100%, $G$9) + CHOOSE(CONTROL!$C$38, 0.0278, 0)</f>
        <v>40.452799999999996</v>
      </c>
      <c r="G593" s="10">
        <f>37.3626 * CHOOSE(CONTROL!$C$15, $E$9, 100%, $G$9) + CHOOSE(CONTROL!$C$38, 0.0369, 0)</f>
        <v>37.399500000000003</v>
      </c>
      <c r="H593" s="10">
        <f>37.3626 * CHOOSE(CONTROL!$C$15, $E$9, 100%, $G$9) + CHOOSE(CONTROL!$C$38, 0.0369, 0)</f>
        <v>37.399500000000003</v>
      </c>
      <c r="I593" s="10">
        <f>37.3642 * CHOOSE(CONTROL!$C$15, $E$9, 100%, $G$9) + CHOOSE(CONTROL!$C$38, 0.0369, 0)</f>
        <v>37.4011</v>
      </c>
      <c r="J593" s="26">
        <f>337.3058</f>
        <v>337.30579999999998</v>
      </c>
    </row>
    <row r="594" spans="1:10" ht="15.75" x14ac:dyDescent="0.25">
      <c r="A594" s="13">
        <v>59018</v>
      </c>
      <c r="B594" s="10">
        <f>40.3748 * CHOOSE(CONTROL!$C$15, $E$9, 100%, $G$9) + CHOOSE(CONTROL!$C$38, 0.0278, 0)</f>
        <v>40.4026</v>
      </c>
      <c r="C594" s="10">
        <f>37.1577 * CHOOSE(CONTROL!$C$15, $E$9, 100%, $G$9) + CHOOSE(CONTROL!$C$38, 0.0369, 0)</f>
        <v>37.194600000000001</v>
      </c>
      <c r="D594" s="10">
        <f>37.1499 * CHOOSE(CONTROL!$C$15, $E$9, 100%, $G$9) + CHOOSE(CONTROL!$C$38, 0.0369, 0)</f>
        <v>37.186800000000005</v>
      </c>
      <c r="E594" s="28">
        <f>40.2186 * CHOOSE(CONTROL!$C$15, $E$9, 100%, $G$9) + CHOOSE(CONTROL!$C$38, 0.0369, 0)</f>
        <v>40.255500000000005</v>
      </c>
      <c r="F594" s="27">
        <f>40.2186 * CHOOSE(CONTROL!$C$15, $E$9, 100%, $G$9) + CHOOSE(CONTROL!$C$38, 0.0278, 0)</f>
        <v>40.246400000000001</v>
      </c>
      <c r="G594" s="10">
        <f>37.1561 * CHOOSE(CONTROL!$C$15, $E$9, 100%, $G$9) + CHOOSE(CONTROL!$C$38, 0.0369, 0)</f>
        <v>37.193000000000005</v>
      </c>
      <c r="H594" s="10">
        <f>37.1561 * CHOOSE(CONTROL!$C$15, $E$9, 100%, $G$9) + CHOOSE(CONTROL!$C$38, 0.0369, 0)</f>
        <v>37.193000000000005</v>
      </c>
      <c r="I594" s="10">
        <f>37.1577 * CHOOSE(CONTROL!$C$15, $E$9, 100%, $G$9) + CHOOSE(CONTROL!$C$38, 0.0369, 0)</f>
        <v>37.194600000000001</v>
      </c>
      <c r="J594" s="26">
        <f>335.7283</f>
        <v>335.72829999999999</v>
      </c>
    </row>
    <row r="595" spans="1:10" ht="15.75" x14ac:dyDescent="0.25">
      <c r="A595" s="13">
        <v>59049</v>
      </c>
      <c r="B595" s="10">
        <f>40.4767 * CHOOSE(CONTROL!$C$15, $E$9, 100%, $G$9) + CHOOSE(CONTROL!$C$38, 0.0278, 0)</f>
        <v>40.5045</v>
      </c>
      <c r="C595" s="10">
        <f>37.2596 * CHOOSE(CONTROL!$C$15, $E$9, 100%, $G$9) + CHOOSE(CONTROL!$C$38, 0.0369, 0)</f>
        <v>37.296500000000002</v>
      </c>
      <c r="D595" s="10">
        <f>37.2518 * CHOOSE(CONTROL!$C$15, $E$9, 100%, $G$9) + CHOOSE(CONTROL!$C$38, 0.0369, 0)</f>
        <v>37.288700000000006</v>
      </c>
      <c r="E595" s="28">
        <f>40.3205 * CHOOSE(CONTROL!$C$15, $E$9, 100%, $G$9) + CHOOSE(CONTROL!$C$38, 0.0369, 0)</f>
        <v>40.357400000000005</v>
      </c>
      <c r="F595" s="27">
        <f>40.3205 * CHOOSE(CONTROL!$C$15, $E$9, 100%, $G$9) + CHOOSE(CONTROL!$C$38, 0.0278, 0)</f>
        <v>40.348300000000002</v>
      </c>
      <c r="G595" s="10">
        <f>37.258 * CHOOSE(CONTROL!$C$15, $E$9, 100%, $G$9) + CHOOSE(CONTROL!$C$38, 0.0369, 0)</f>
        <v>37.294900000000005</v>
      </c>
      <c r="H595" s="10">
        <f>37.258 * CHOOSE(CONTROL!$C$15, $E$9, 100%, $G$9) + CHOOSE(CONTROL!$C$38, 0.0369, 0)</f>
        <v>37.294900000000005</v>
      </c>
      <c r="I595" s="10">
        <f>37.2596 * CHOOSE(CONTROL!$C$15, $E$9, 100%, $G$9) + CHOOSE(CONTROL!$C$38, 0.0369, 0)</f>
        <v>37.296500000000002</v>
      </c>
      <c r="J595" s="26">
        <f>327.9127</f>
        <v>327.91269999999997</v>
      </c>
    </row>
    <row r="596" spans="1:10" ht="15.75" x14ac:dyDescent="0.25">
      <c r="A596" s="13">
        <v>59079</v>
      </c>
      <c r="B596" s="10">
        <f>40.7535 * CHOOSE(CONTROL!$C$15, $E$9, 100%, $G$9) + CHOOSE(CONTROL!$C$38, 0.0278, 0)</f>
        <v>40.781300000000002</v>
      </c>
      <c r="C596" s="10">
        <f>37.5364 * CHOOSE(CONTROL!$C$15, $E$9, 100%, $G$9) + CHOOSE(CONTROL!$C$38, 0.0369, 0)</f>
        <v>37.573300000000003</v>
      </c>
      <c r="D596" s="10">
        <f>37.5286 * CHOOSE(CONTROL!$C$15, $E$9, 100%, $G$9) + CHOOSE(CONTROL!$C$38, 0.0369, 0)</f>
        <v>37.5655</v>
      </c>
      <c r="E596" s="28">
        <f>40.5973 * CHOOSE(CONTROL!$C$15, $E$9, 100%, $G$9) + CHOOSE(CONTROL!$C$38, 0.0369, 0)</f>
        <v>40.6342</v>
      </c>
      <c r="F596" s="27">
        <f>40.5973 * CHOOSE(CONTROL!$C$15, $E$9, 100%, $G$9) + CHOOSE(CONTROL!$C$38, 0.0278, 0)</f>
        <v>40.625099999999996</v>
      </c>
      <c r="G596" s="10">
        <f>37.5348 * CHOOSE(CONTROL!$C$15, $E$9, 100%, $G$9) + CHOOSE(CONTROL!$C$38, 0.0369, 0)</f>
        <v>37.5717</v>
      </c>
      <c r="H596" s="10">
        <f>37.5348 * CHOOSE(CONTROL!$C$15, $E$9, 100%, $G$9) + CHOOSE(CONTROL!$C$38, 0.0369, 0)</f>
        <v>37.5717</v>
      </c>
      <c r="I596" s="10">
        <f>37.5364 * CHOOSE(CONTROL!$C$15, $E$9, 100%, $G$9) + CHOOSE(CONTROL!$C$38, 0.0369, 0)</f>
        <v>37.573300000000003</v>
      </c>
      <c r="J596" s="26">
        <f>317.0134</f>
        <v>317.01339999999999</v>
      </c>
    </row>
    <row r="597" spans="1:10" ht="15.75" x14ac:dyDescent="0.25">
      <c r="A597" s="13">
        <v>59110</v>
      </c>
      <c r="B597" s="10">
        <f>40.9853 * CHOOSE(CONTROL!$C$15, $E$9, 100%, $G$9) + CHOOSE(CONTROL!$C$38, 0.0256, 0)</f>
        <v>41.010899999999999</v>
      </c>
      <c r="C597" s="10">
        <f>37.7682 * CHOOSE(CONTROL!$C$15, $E$9, 100%, $G$9) + CHOOSE(CONTROL!$C$38, 0.0347, 0)</f>
        <v>37.802900000000001</v>
      </c>
      <c r="D597" s="10">
        <f>37.7604 * CHOOSE(CONTROL!$C$15, $E$9, 100%, $G$9) + CHOOSE(CONTROL!$C$38, 0.0347, 0)</f>
        <v>37.795099999999998</v>
      </c>
      <c r="E597" s="28">
        <f>40.8291 * CHOOSE(CONTROL!$C$15, $E$9, 100%, $G$9) + CHOOSE(CONTROL!$C$38, 0.0347, 0)</f>
        <v>40.863799999999998</v>
      </c>
      <c r="F597" s="27">
        <f>40.8291 * CHOOSE(CONTROL!$C$15, $E$9, 100%, $G$9) + CHOOSE(CONTROL!$C$38, 0.0256, 0)</f>
        <v>40.854699999999994</v>
      </c>
      <c r="G597" s="10">
        <f>37.7667 * CHOOSE(CONTROL!$C$15, $E$9, 100%, $G$9) + CHOOSE(CONTROL!$C$38, 0.0347, 0)</f>
        <v>37.801400000000001</v>
      </c>
      <c r="H597" s="10">
        <f>37.7667 * CHOOSE(CONTROL!$C$15, $E$9, 100%, $G$9) + CHOOSE(CONTROL!$C$38, 0.0347, 0)</f>
        <v>37.801400000000001</v>
      </c>
      <c r="I597" s="10">
        <f>37.7682 * CHOOSE(CONTROL!$C$15, $E$9, 100%, $G$9) + CHOOSE(CONTROL!$C$38, 0.0347, 0)</f>
        <v>37.802900000000001</v>
      </c>
      <c r="J597" s="26">
        <f>306.0508</f>
        <v>306.05079999999998</v>
      </c>
    </row>
    <row r="598" spans="1:10" ht="15.75" x14ac:dyDescent="0.25">
      <c r="A598" s="13">
        <v>59140</v>
      </c>
      <c r="B598" s="10">
        <f>41.1788 * CHOOSE(CONTROL!$C$15, $E$9, 100%, $G$9) + CHOOSE(CONTROL!$C$38, 0.0256, 0)</f>
        <v>41.2044</v>
      </c>
      <c r="C598" s="10">
        <f>37.9617 * CHOOSE(CONTROL!$C$15, $E$9, 100%, $G$9) + CHOOSE(CONTROL!$C$38, 0.0347, 0)</f>
        <v>37.996400000000001</v>
      </c>
      <c r="D598" s="10">
        <f>37.9538 * CHOOSE(CONTROL!$C$15, $E$9, 100%, $G$9) + CHOOSE(CONTROL!$C$38, 0.0347, 0)</f>
        <v>37.988500000000002</v>
      </c>
      <c r="E598" s="28">
        <f>41.0225 * CHOOSE(CONTROL!$C$15, $E$9, 100%, $G$9) + CHOOSE(CONTROL!$C$38, 0.0347, 0)</f>
        <v>41.057200000000002</v>
      </c>
      <c r="F598" s="27">
        <f>41.0225 * CHOOSE(CONTROL!$C$15, $E$9, 100%, $G$9) + CHOOSE(CONTROL!$C$38, 0.0256, 0)</f>
        <v>41.048099999999998</v>
      </c>
      <c r="G598" s="10">
        <f>37.9601 * CHOOSE(CONTROL!$C$15, $E$9, 100%, $G$9) + CHOOSE(CONTROL!$C$38, 0.0347, 0)</f>
        <v>37.994799999999998</v>
      </c>
      <c r="H598" s="10">
        <f>37.9601 * CHOOSE(CONTROL!$C$15, $E$9, 100%, $G$9) + CHOOSE(CONTROL!$C$38, 0.0347, 0)</f>
        <v>37.994799999999998</v>
      </c>
      <c r="I598" s="10">
        <f>37.9617 * CHOOSE(CONTROL!$C$15, $E$9, 100%, $G$9) + CHOOSE(CONTROL!$C$38, 0.0347, 0)</f>
        <v>37.996400000000001</v>
      </c>
      <c r="J598" s="26">
        <f>303.8701</f>
        <v>303.87009999999998</v>
      </c>
    </row>
    <row r="599" spans="1:10" ht="15.75" x14ac:dyDescent="0.25">
      <c r="A599" s="13">
        <v>59171</v>
      </c>
      <c r="B599" s="10">
        <f>41.7748 * CHOOSE(CONTROL!$C$15, $E$9, 100%, $G$9) + CHOOSE(CONTROL!$C$38, 0.0256, 0)</f>
        <v>41.800399999999996</v>
      </c>
      <c r="C599" s="10">
        <f>38.5577 * CHOOSE(CONTROL!$C$15, $E$9, 100%, $G$9) + CHOOSE(CONTROL!$C$38, 0.0347, 0)</f>
        <v>38.592399999999998</v>
      </c>
      <c r="D599" s="10">
        <f>38.5499 * CHOOSE(CONTROL!$C$15, $E$9, 100%, $G$9) + CHOOSE(CONTROL!$C$38, 0.0347, 0)</f>
        <v>38.584600000000002</v>
      </c>
      <c r="E599" s="28">
        <f>41.6186 * CHOOSE(CONTROL!$C$15, $E$9, 100%, $G$9) + CHOOSE(CONTROL!$C$38, 0.0347, 0)</f>
        <v>41.653300000000002</v>
      </c>
      <c r="F599" s="27">
        <f>41.6186 * CHOOSE(CONTROL!$C$15, $E$9, 100%, $G$9) + CHOOSE(CONTROL!$C$38, 0.0256, 0)</f>
        <v>41.644199999999998</v>
      </c>
      <c r="G599" s="10">
        <f>38.5562 * CHOOSE(CONTROL!$C$15, $E$9, 100%, $G$9) + CHOOSE(CONTROL!$C$38, 0.0347, 0)</f>
        <v>38.590899999999998</v>
      </c>
      <c r="H599" s="10">
        <f>38.5562 * CHOOSE(CONTROL!$C$15, $E$9, 100%, $G$9) + CHOOSE(CONTROL!$C$38, 0.0347, 0)</f>
        <v>38.590899999999998</v>
      </c>
      <c r="I599" s="10">
        <f>38.5577 * CHOOSE(CONTROL!$C$15, $E$9, 100%, $G$9) + CHOOSE(CONTROL!$C$38, 0.0347, 0)</f>
        <v>38.592399999999998</v>
      </c>
      <c r="J599" s="26">
        <f>294.8527</f>
        <v>294.85270000000003</v>
      </c>
    </row>
    <row r="600" spans="1:10" ht="15.75" x14ac:dyDescent="0.25">
      <c r="A600" s="13">
        <v>59202</v>
      </c>
      <c r="B600" s="10">
        <f>42.9111 * CHOOSE(CONTROL!$C$15, $E$9, 100%, $G$9) + CHOOSE(CONTROL!$C$38, 0.0256, 0)</f>
        <v>42.936699999999995</v>
      </c>
      <c r="C600" s="10">
        <f>39.6438 * CHOOSE(CONTROL!$C$15, $E$9, 100%, $G$9) + CHOOSE(CONTROL!$C$38, 0.0347, 0)</f>
        <v>39.6785</v>
      </c>
      <c r="D600" s="10">
        <f>39.636 * CHOOSE(CONTROL!$C$15, $E$9, 100%, $G$9) + CHOOSE(CONTROL!$C$38, 0.0347, 0)</f>
        <v>39.670700000000004</v>
      </c>
      <c r="E600" s="28">
        <f>42.7549 * CHOOSE(CONTROL!$C$15, $E$9, 100%, $G$9) + CHOOSE(CONTROL!$C$38, 0.0347, 0)</f>
        <v>42.7896</v>
      </c>
      <c r="F600" s="27">
        <f>42.7549 * CHOOSE(CONTROL!$C$15, $E$9, 100%, $G$9) + CHOOSE(CONTROL!$C$38, 0.0256, 0)</f>
        <v>42.780499999999996</v>
      </c>
      <c r="G600" s="10">
        <f>39.6423 * CHOOSE(CONTROL!$C$15, $E$9, 100%, $G$9) + CHOOSE(CONTROL!$C$38, 0.0347, 0)</f>
        <v>39.677</v>
      </c>
      <c r="H600" s="10">
        <f>39.6423 * CHOOSE(CONTROL!$C$15, $E$9, 100%, $G$9) + CHOOSE(CONTROL!$C$38, 0.0347, 0)</f>
        <v>39.677</v>
      </c>
      <c r="I600" s="10">
        <f>39.6438 * CHOOSE(CONTROL!$C$15, $E$9, 100%, $G$9) + CHOOSE(CONTROL!$C$38, 0.0347, 0)</f>
        <v>39.6785</v>
      </c>
      <c r="J600" s="26">
        <f>294.2896</f>
        <v>294.28960000000001</v>
      </c>
    </row>
    <row r="601" spans="1:10" ht="15.75" x14ac:dyDescent="0.25">
      <c r="A601" s="13">
        <v>59230</v>
      </c>
      <c r="B601" s="10">
        <f>43.1319 * CHOOSE(CONTROL!$C$15, $E$9, 100%, $G$9) + CHOOSE(CONTROL!$C$38, 0.0256, 0)</f>
        <v>43.157499999999999</v>
      </c>
      <c r="C601" s="10">
        <f>39.8646 * CHOOSE(CONTROL!$C$15, $E$9, 100%, $G$9) + CHOOSE(CONTROL!$C$38, 0.0347, 0)</f>
        <v>39.899300000000004</v>
      </c>
      <c r="D601" s="10">
        <f>39.8568 * CHOOSE(CONTROL!$C$15, $E$9, 100%, $G$9) + CHOOSE(CONTROL!$C$38, 0.0347, 0)</f>
        <v>39.891500000000001</v>
      </c>
      <c r="E601" s="28">
        <f>42.9756 * CHOOSE(CONTROL!$C$15, $E$9, 100%, $G$9) + CHOOSE(CONTROL!$C$38, 0.0347, 0)</f>
        <v>43.010300000000001</v>
      </c>
      <c r="F601" s="27">
        <f>42.9756 * CHOOSE(CONTROL!$C$15, $E$9, 100%, $G$9) + CHOOSE(CONTROL!$C$38, 0.0256, 0)</f>
        <v>43.001199999999997</v>
      </c>
      <c r="G601" s="10">
        <f>39.863 * CHOOSE(CONTROL!$C$15, $E$9, 100%, $G$9) + CHOOSE(CONTROL!$C$38, 0.0347, 0)</f>
        <v>39.8977</v>
      </c>
      <c r="H601" s="10">
        <f>39.863 * CHOOSE(CONTROL!$C$15, $E$9, 100%, $G$9) + CHOOSE(CONTROL!$C$38, 0.0347, 0)</f>
        <v>39.8977</v>
      </c>
      <c r="I601" s="10">
        <f>39.8646 * CHOOSE(CONTROL!$C$15, $E$9, 100%, $G$9) + CHOOSE(CONTROL!$C$38, 0.0347, 0)</f>
        <v>39.899300000000004</v>
      </c>
      <c r="J601" s="26">
        <f>293.4716</f>
        <v>293.47160000000002</v>
      </c>
    </row>
    <row r="602" spans="1:10" ht="15.75" x14ac:dyDescent="0.25">
      <c r="A602" s="13">
        <v>59261</v>
      </c>
      <c r="B602" s="10">
        <f>42.6209 * CHOOSE(CONTROL!$C$15, $E$9, 100%, $G$9) + CHOOSE(CONTROL!$C$38, 0.0256, 0)</f>
        <v>42.646499999999996</v>
      </c>
      <c r="C602" s="10">
        <f>39.3536 * CHOOSE(CONTROL!$C$15, $E$9, 100%, $G$9) + CHOOSE(CONTROL!$C$38, 0.0347, 0)</f>
        <v>39.388300000000001</v>
      </c>
      <c r="D602" s="10">
        <f>39.3458 * CHOOSE(CONTROL!$C$15, $E$9, 100%, $G$9) + CHOOSE(CONTROL!$C$38, 0.0347, 0)</f>
        <v>39.380499999999998</v>
      </c>
      <c r="E602" s="28">
        <f>42.4646 * CHOOSE(CONTROL!$C$15, $E$9, 100%, $G$9) + CHOOSE(CONTROL!$C$38, 0.0347, 0)</f>
        <v>42.499299999999998</v>
      </c>
      <c r="F602" s="27">
        <f>42.4646 * CHOOSE(CONTROL!$C$15, $E$9, 100%, $G$9) + CHOOSE(CONTROL!$C$38, 0.0256, 0)</f>
        <v>42.490199999999994</v>
      </c>
      <c r="G602" s="10">
        <f>39.352 * CHOOSE(CONTROL!$C$15, $E$9, 100%, $G$9) + CHOOSE(CONTROL!$C$38, 0.0347, 0)</f>
        <v>39.386699999999998</v>
      </c>
      <c r="H602" s="10">
        <f>39.352 * CHOOSE(CONTROL!$C$15, $E$9, 100%, $G$9) + CHOOSE(CONTROL!$C$38, 0.0347, 0)</f>
        <v>39.386699999999998</v>
      </c>
      <c r="I602" s="10">
        <f>39.3536 * CHOOSE(CONTROL!$C$15, $E$9, 100%, $G$9) + CHOOSE(CONTROL!$C$38, 0.0347, 0)</f>
        <v>39.388300000000001</v>
      </c>
      <c r="J602" s="26">
        <f>308.9392</f>
        <v>308.93920000000003</v>
      </c>
    </row>
    <row r="603" spans="1:10" ht="15.75" x14ac:dyDescent="0.25">
      <c r="A603" s="13">
        <v>59291</v>
      </c>
      <c r="B603" s="10">
        <f>42.1257 * CHOOSE(CONTROL!$C$15, $E$9, 100%, $G$9) + CHOOSE(CONTROL!$C$38, 0.0256, 0)</f>
        <v>42.151299999999999</v>
      </c>
      <c r="C603" s="10">
        <f>38.8584 * CHOOSE(CONTROL!$C$15, $E$9, 100%, $G$9) + CHOOSE(CONTROL!$C$38, 0.0347, 0)</f>
        <v>38.893100000000004</v>
      </c>
      <c r="D603" s="10">
        <f>38.8506 * CHOOSE(CONTROL!$C$15, $E$9, 100%, $G$9) + CHOOSE(CONTROL!$C$38, 0.0347, 0)</f>
        <v>38.885300000000001</v>
      </c>
      <c r="E603" s="28">
        <f>41.9694 * CHOOSE(CONTROL!$C$15, $E$9, 100%, $G$9) + CHOOSE(CONTROL!$C$38, 0.0347, 0)</f>
        <v>42.004100000000001</v>
      </c>
      <c r="F603" s="27">
        <f>41.9694 * CHOOSE(CONTROL!$C$15, $E$9, 100%, $G$9) + CHOOSE(CONTROL!$C$38, 0.0256, 0)</f>
        <v>41.994999999999997</v>
      </c>
      <c r="G603" s="10">
        <f>38.8568 * CHOOSE(CONTROL!$C$15, $E$9, 100%, $G$9) + CHOOSE(CONTROL!$C$38, 0.0347, 0)</f>
        <v>38.891500000000001</v>
      </c>
      <c r="H603" s="10">
        <f>38.8568 * CHOOSE(CONTROL!$C$15, $E$9, 100%, $G$9) + CHOOSE(CONTROL!$C$38, 0.0347, 0)</f>
        <v>38.891500000000001</v>
      </c>
      <c r="I603" s="10">
        <f>38.8584 * CHOOSE(CONTROL!$C$15, $E$9, 100%, $G$9) + CHOOSE(CONTROL!$C$38, 0.0347, 0)</f>
        <v>38.893100000000004</v>
      </c>
      <c r="J603" s="26">
        <f>328.9971</f>
        <v>328.99709999999999</v>
      </c>
    </row>
    <row r="604" spans="1:10" ht="15.75" x14ac:dyDescent="0.25">
      <c r="A604" s="13">
        <v>59322</v>
      </c>
      <c r="B604" s="10">
        <f>41.6096 * CHOOSE(CONTROL!$C$15, $E$9, 100%, $G$9) + CHOOSE(CONTROL!$C$38, 0.0278, 0)</f>
        <v>41.6374</v>
      </c>
      <c r="C604" s="10">
        <f>38.3423 * CHOOSE(CONTROL!$C$15, $E$9, 100%, $G$9) + CHOOSE(CONTROL!$C$38, 0.0369, 0)</f>
        <v>38.379200000000004</v>
      </c>
      <c r="D604" s="10">
        <f>38.3345 * CHOOSE(CONTROL!$C$15, $E$9, 100%, $G$9) + CHOOSE(CONTROL!$C$38, 0.0369, 0)</f>
        <v>38.371400000000001</v>
      </c>
      <c r="E604" s="28">
        <f>41.4533 * CHOOSE(CONTROL!$C$15, $E$9, 100%, $G$9) + CHOOSE(CONTROL!$C$38, 0.0369, 0)</f>
        <v>41.490200000000002</v>
      </c>
      <c r="F604" s="27">
        <f>41.4533 * CHOOSE(CONTROL!$C$15, $E$9, 100%, $G$9) + CHOOSE(CONTROL!$C$38, 0.0278, 0)</f>
        <v>41.481099999999998</v>
      </c>
      <c r="G604" s="10">
        <f>38.3407 * CHOOSE(CONTROL!$C$15, $E$9, 100%, $G$9) + CHOOSE(CONTROL!$C$38, 0.0369, 0)</f>
        <v>38.377600000000001</v>
      </c>
      <c r="H604" s="10">
        <f>38.3407 * CHOOSE(CONTROL!$C$15, $E$9, 100%, $G$9) + CHOOSE(CONTROL!$C$38, 0.0369, 0)</f>
        <v>38.377600000000001</v>
      </c>
      <c r="I604" s="10">
        <f>38.3423 * CHOOSE(CONTROL!$C$15, $E$9, 100%, $G$9) + CHOOSE(CONTROL!$C$38, 0.0369, 0)</f>
        <v>38.379200000000004</v>
      </c>
      <c r="J604" s="26">
        <f>340.0376</f>
        <v>340.0376</v>
      </c>
    </row>
    <row r="605" spans="1:10" ht="15.75" x14ac:dyDescent="0.25">
      <c r="A605" s="13">
        <v>59352</v>
      </c>
      <c r="B605" s="10">
        <f>41.2477 * CHOOSE(CONTROL!$C$15, $E$9, 100%, $G$9) + CHOOSE(CONTROL!$C$38, 0.0278, 0)</f>
        <v>41.275500000000001</v>
      </c>
      <c r="C605" s="10">
        <f>37.9804 * CHOOSE(CONTROL!$C$15, $E$9, 100%, $G$9) + CHOOSE(CONTROL!$C$38, 0.0369, 0)</f>
        <v>38.017300000000006</v>
      </c>
      <c r="D605" s="10">
        <f>37.9726 * CHOOSE(CONTROL!$C$15, $E$9, 100%, $G$9) + CHOOSE(CONTROL!$C$38, 0.0369, 0)</f>
        <v>38.009500000000003</v>
      </c>
      <c r="E605" s="28">
        <f>41.0915 * CHOOSE(CONTROL!$C$15, $E$9, 100%, $G$9) + CHOOSE(CONTROL!$C$38, 0.0369, 0)</f>
        <v>41.128400000000006</v>
      </c>
      <c r="F605" s="27">
        <f>41.0915 * CHOOSE(CONTROL!$C$15, $E$9, 100%, $G$9) + CHOOSE(CONTROL!$C$38, 0.0278, 0)</f>
        <v>41.119300000000003</v>
      </c>
      <c r="G605" s="10">
        <f>37.9789 * CHOOSE(CONTROL!$C$15, $E$9, 100%, $G$9) + CHOOSE(CONTROL!$C$38, 0.0369, 0)</f>
        <v>38.015800000000006</v>
      </c>
      <c r="H605" s="10">
        <f>37.9789 * CHOOSE(CONTROL!$C$15, $E$9, 100%, $G$9) + CHOOSE(CONTROL!$C$38, 0.0369, 0)</f>
        <v>38.015800000000006</v>
      </c>
      <c r="I605" s="10">
        <f>37.9804 * CHOOSE(CONTROL!$C$15, $E$9, 100%, $G$9) + CHOOSE(CONTROL!$C$38, 0.0369, 0)</f>
        <v>38.017300000000006</v>
      </c>
      <c r="J605" s="26">
        <f>344.9371</f>
        <v>344.93709999999999</v>
      </c>
    </row>
    <row r="606" spans="1:10" ht="15.75" x14ac:dyDescent="0.25">
      <c r="A606" s="13">
        <v>59383</v>
      </c>
      <c r="B606" s="10">
        <f>41.0412 * CHOOSE(CONTROL!$C$15, $E$9, 100%, $G$9) + CHOOSE(CONTROL!$C$38, 0.0278, 0)</f>
        <v>41.069000000000003</v>
      </c>
      <c r="C606" s="10">
        <f>37.7739 * CHOOSE(CONTROL!$C$15, $E$9, 100%, $G$9) + CHOOSE(CONTROL!$C$38, 0.0369, 0)</f>
        <v>37.8108</v>
      </c>
      <c r="D606" s="10">
        <f>37.7661 * CHOOSE(CONTROL!$C$15, $E$9, 100%, $G$9) + CHOOSE(CONTROL!$C$38, 0.0369, 0)</f>
        <v>37.803000000000004</v>
      </c>
      <c r="E606" s="28">
        <f>40.885 * CHOOSE(CONTROL!$C$15, $E$9, 100%, $G$9) + CHOOSE(CONTROL!$C$38, 0.0369, 0)</f>
        <v>40.921900000000001</v>
      </c>
      <c r="F606" s="27">
        <f>40.885 * CHOOSE(CONTROL!$C$15, $E$9, 100%, $G$9) + CHOOSE(CONTROL!$C$38, 0.0278, 0)</f>
        <v>40.912799999999997</v>
      </c>
      <c r="G606" s="10">
        <f>37.7724 * CHOOSE(CONTROL!$C$15, $E$9, 100%, $G$9) + CHOOSE(CONTROL!$C$38, 0.0369, 0)</f>
        <v>37.8093</v>
      </c>
      <c r="H606" s="10">
        <f>37.7724 * CHOOSE(CONTROL!$C$15, $E$9, 100%, $G$9) + CHOOSE(CONTROL!$C$38, 0.0369, 0)</f>
        <v>37.8093</v>
      </c>
      <c r="I606" s="10">
        <f>37.7739 * CHOOSE(CONTROL!$C$15, $E$9, 100%, $G$9) + CHOOSE(CONTROL!$C$38, 0.0369, 0)</f>
        <v>37.8108</v>
      </c>
      <c r="J606" s="26">
        <f>343.324</f>
        <v>343.32400000000001</v>
      </c>
    </row>
    <row r="607" spans="1:10" ht="15.75" x14ac:dyDescent="0.25">
      <c r="A607" s="13">
        <v>59414</v>
      </c>
      <c r="B607" s="10">
        <f>41.1432 * CHOOSE(CONTROL!$C$15, $E$9, 100%, $G$9) + CHOOSE(CONTROL!$C$38, 0.0278, 0)</f>
        <v>41.170999999999999</v>
      </c>
      <c r="C607" s="10">
        <f>37.8759 * CHOOSE(CONTROL!$C$15, $E$9, 100%, $G$9) + CHOOSE(CONTROL!$C$38, 0.0369, 0)</f>
        <v>37.912800000000004</v>
      </c>
      <c r="D607" s="10">
        <f>37.868 * CHOOSE(CONTROL!$C$15, $E$9, 100%, $G$9) + CHOOSE(CONTROL!$C$38, 0.0369, 0)</f>
        <v>37.904900000000005</v>
      </c>
      <c r="E607" s="28">
        <f>40.9869 * CHOOSE(CONTROL!$C$15, $E$9, 100%, $G$9) + CHOOSE(CONTROL!$C$38, 0.0369, 0)</f>
        <v>41.023800000000001</v>
      </c>
      <c r="F607" s="27">
        <f>40.9869 * CHOOSE(CONTROL!$C$15, $E$9, 100%, $G$9) + CHOOSE(CONTROL!$C$38, 0.0278, 0)</f>
        <v>41.014699999999998</v>
      </c>
      <c r="G607" s="10">
        <f>37.8743 * CHOOSE(CONTROL!$C$15, $E$9, 100%, $G$9) + CHOOSE(CONTROL!$C$38, 0.0369, 0)</f>
        <v>37.911200000000001</v>
      </c>
      <c r="H607" s="10">
        <f>37.8743 * CHOOSE(CONTROL!$C$15, $E$9, 100%, $G$9) + CHOOSE(CONTROL!$C$38, 0.0369, 0)</f>
        <v>37.911200000000001</v>
      </c>
      <c r="I607" s="10">
        <f>37.8759 * CHOOSE(CONTROL!$C$15, $E$9, 100%, $G$9) + CHOOSE(CONTROL!$C$38, 0.0369, 0)</f>
        <v>37.912800000000004</v>
      </c>
      <c r="J607" s="26">
        <f>335.3315</f>
        <v>335.33150000000001</v>
      </c>
    </row>
    <row r="608" spans="1:10" ht="15.75" x14ac:dyDescent="0.25">
      <c r="A608" s="13">
        <v>59444</v>
      </c>
      <c r="B608" s="10">
        <f>41.42 * CHOOSE(CONTROL!$C$15, $E$9, 100%, $G$9) + CHOOSE(CONTROL!$C$38, 0.0278, 0)</f>
        <v>41.447800000000001</v>
      </c>
      <c r="C608" s="10">
        <f>38.1527 * CHOOSE(CONTROL!$C$15, $E$9, 100%, $G$9) + CHOOSE(CONTROL!$C$38, 0.0369, 0)</f>
        <v>38.189600000000006</v>
      </c>
      <c r="D608" s="10">
        <f>38.1448 * CHOOSE(CONTROL!$C$15, $E$9, 100%, $G$9) + CHOOSE(CONTROL!$C$38, 0.0369, 0)</f>
        <v>38.181699999999999</v>
      </c>
      <c r="E608" s="28">
        <f>41.2637 * CHOOSE(CONTROL!$C$15, $E$9, 100%, $G$9) + CHOOSE(CONTROL!$C$38, 0.0369, 0)</f>
        <v>41.300600000000003</v>
      </c>
      <c r="F608" s="27">
        <f>41.2637 * CHOOSE(CONTROL!$C$15, $E$9, 100%, $G$9) + CHOOSE(CONTROL!$C$38, 0.0278, 0)</f>
        <v>41.291499999999999</v>
      </c>
      <c r="G608" s="10">
        <f>38.1511 * CHOOSE(CONTROL!$C$15, $E$9, 100%, $G$9) + CHOOSE(CONTROL!$C$38, 0.0369, 0)</f>
        <v>38.188000000000002</v>
      </c>
      <c r="H608" s="10">
        <f>38.1511 * CHOOSE(CONTROL!$C$15, $E$9, 100%, $G$9) + CHOOSE(CONTROL!$C$38, 0.0369, 0)</f>
        <v>38.188000000000002</v>
      </c>
      <c r="I608" s="10">
        <f>38.1527 * CHOOSE(CONTROL!$C$15, $E$9, 100%, $G$9) + CHOOSE(CONTROL!$C$38, 0.0369, 0)</f>
        <v>38.189600000000006</v>
      </c>
      <c r="J608" s="26">
        <f>324.1857</f>
        <v>324.1857</v>
      </c>
    </row>
    <row r="609" spans="1:10" ht="15.75" x14ac:dyDescent="0.25">
      <c r="A609" s="13">
        <v>59475</v>
      </c>
      <c r="B609" s="10">
        <f>41.6518 * CHOOSE(CONTROL!$C$15, $E$9, 100%, $G$9) + CHOOSE(CONTROL!$C$38, 0.0256, 0)</f>
        <v>41.677399999999999</v>
      </c>
      <c r="C609" s="10">
        <f>38.3845 * CHOOSE(CONTROL!$C$15, $E$9, 100%, $G$9) + CHOOSE(CONTROL!$C$38, 0.0347, 0)</f>
        <v>38.419200000000004</v>
      </c>
      <c r="D609" s="10">
        <f>38.3767 * CHOOSE(CONTROL!$C$15, $E$9, 100%, $G$9) + CHOOSE(CONTROL!$C$38, 0.0347, 0)</f>
        <v>38.4114</v>
      </c>
      <c r="E609" s="28">
        <f>41.4955 * CHOOSE(CONTROL!$C$15, $E$9, 100%, $G$9) + CHOOSE(CONTROL!$C$38, 0.0347, 0)</f>
        <v>41.530200000000001</v>
      </c>
      <c r="F609" s="27">
        <f>41.4955 * CHOOSE(CONTROL!$C$15, $E$9, 100%, $G$9) + CHOOSE(CONTROL!$C$38, 0.0256, 0)</f>
        <v>41.521099999999997</v>
      </c>
      <c r="G609" s="10">
        <f>38.3829 * CHOOSE(CONTROL!$C$15, $E$9, 100%, $G$9) + CHOOSE(CONTROL!$C$38, 0.0347, 0)</f>
        <v>38.4176</v>
      </c>
      <c r="H609" s="10">
        <f>38.3829 * CHOOSE(CONTROL!$C$15, $E$9, 100%, $G$9) + CHOOSE(CONTROL!$C$38, 0.0347, 0)</f>
        <v>38.4176</v>
      </c>
      <c r="I609" s="10">
        <f>38.3845 * CHOOSE(CONTROL!$C$15, $E$9, 100%, $G$9) + CHOOSE(CONTROL!$C$38, 0.0347, 0)</f>
        <v>38.419200000000004</v>
      </c>
      <c r="J609" s="26">
        <f>312.975</f>
        <v>312.97500000000002</v>
      </c>
    </row>
    <row r="610" spans="1:10" ht="15.75" x14ac:dyDescent="0.25">
      <c r="A610" s="13">
        <v>59505</v>
      </c>
      <c r="B610" s="10">
        <f>41.8452 * CHOOSE(CONTROL!$C$15, $E$9, 100%, $G$9) + CHOOSE(CONTROL!$C$38, 0.0256, 0)</f>
        <v>41.870799999999996</v>
      </c>
      <c r="C610" s="10">
        <f>38.5779 * CHOOSE(CONTROL!$C$15, $E$9, 100%, $G$9) + CHOOSE(CONTROL!$C$38, 0.0347, 0)</f>
        <v>38.6126</v>
      </c>
      <c r="D610" s="10">
        <f>38.5701 * CHOOSE(CONTROL!$C$15, $E$9, 100%, $G$9) + CHOOSE(CONTROL!$C$38, 0.0347, 0)</f>
        <v>38.604799999999997</v>
      </c>
      <c r="E610" s="28">
        <f>41.689 * CHOOSE(CONTROL!$C$15, $E$9, 100%, $G$9) + CHOOSE(CONTROL!$C$38, 0.0347, 0)</f>
        <v>41.723700000000001</v>
      </c>
      <c r="F610" s="27">
        <f>41.689 * CHOOSE(CONTROL!$C$15, $E$9, 100%, $G$9) + CHOOSE(CONTROL!$C$38, 0.0256, 0)</f>
        <v>41.714599999999997</v>
      </c>
      <c r="G610" s="10">
        <f>38.5764 * CHOOSE(CONTROL!$C$15, $E$9, 100%, $G$9) + CHOOSE(CONTROL!$C$38, 0.0347, 0)</f>
        <v>38.6111</v>
      </c>
      <c r="H610" s="10">
        <f>38.5764 * CHOOSE(CONTROL!$C$15, $E$9, 100%, $G$9) + CHOOSE(CONTROL!$C$38, 0.0347, 0)</f>
        <v>38.6111</v>
      </c>
      <c r="I610" s="10">
        <f>38.5779 * CHOOSE(CONTROL!$C$15, $E$9, 100%, $G$9) + CHOOSE(CONTROL!$C$38, 0.0347, 0)</f>
        <v>38.6126</v>
      </c>
      <c r="J610" s="26">
        <f>310.745</f>
        <v>310.745</v>
      </c>
    </row>
    <row r="611" spans="1:10" ht="15.75" x14ac:dyDescent="0.25">
      <c r="A611" s="13">
        <v>59536</v>
      </c>
      <c r="B611" s="10">
        <f>42.4413 * CHOOSE(CONTROL!$C$15, $E$9, 100%, $G$9) + CHOOSE(CONTROL!$C$38, 0.0256, 0)</f>
        <v>42.466899999999995</v>
      </c>
      <c r="C611" s="10">
        <f>39.174 * CHOOSE(CONTROL!$C$15, $E$9, 100%, $G$9) + CHOOSE(CONTROL!$C$38, 0.0347, 0)</f>
        <v>39.2087</v>
      </c>
      <c r="D611" s="10">
        <f>39.1662 * CHOOSE(CONTROL!$C$15, $E$9, 100%, $G$9) + CHOOSE(CONTROL!$C$38, 0.0347, 0)</f>
        <v>39.200900000000004</v>
      </c>
      <c r="E611" s="28">
        <f>42.285 * CHOOSE(CONTROL!$C$15, $E$9, 100%, $G$9) + CHOOSE(CONTROL!$C$38, 0.0347, 0)</f>
        <v>42.319699999999997</v>
      </c>
      <c r="F611" s="27">
        <f>42.285 * CHOOSE(CONTROL!$C$15, $E$9, 100%, $G$9) + CHOOSE(CONTROL!$C$38, 0.0256, 0)</f>
        <v>42.310599999999994</v>
      </c>
      <c r="G611" s="10">
        <f>39.1724 * CHOOSE(CONTROL!$C$15, $E$9, 100%, $G$9) + CHOOSE(CONTROL!$C$38, 0.0347, 0)</f>
        <v>39.207100000000004</v>
      </c>
      <c r="H611" s="10">
        <f>39.1724 * CHOOSE(CONTROL!$C$15, $E$9, 100%, $G$9) + CHOOSE(CONTROL!$C$38, 0.0347, 0)</f>
        <v>39.207100000000004</v>
      </c>
      <c r="I611" s="10">
        <f>39.174 * CHOOSE(CONTROL!$C$15, $E$9, 100%, $G$9) + CHOOSE(CONTROL!$C$38, 0.0347, 0)</f>
        <v>39.2087</v>
      </c>
      <c r="J611" s="26">
        <f>301.5236</f>
        <v>301.52359999999999</v>
      </c>
    </row>
    <row r="612" spans="1:10" ht="15.75" x14ac:dyDescent="0.25">
      <c r="A612" s="13">
        <v>59567</v>
      </c>
      <c r="B612" s="10">
        <f>43.5885 * CHOOSE(CONTROL!$C$15, $E$9, 100%, $G$9) + CHOOSE(CONTROL!$C$38, 0.0256, 0)</f>
        <v>43.614100000000001</v>
      </c>
      <c r="C612" s="10">
        <f>40.2702 * CHOOSE(CONTROL!$C$15, $E$9, 100%, $G$9) + CHOOSE(CONTROL!$C$38, 0.0347, 0)</f>
        <v>40.304900000000004</v>
      </c>
      <c r="D612" s="10">
        <f>40.2624 * CHOOSE(CONTROL!$C$15, $E$9, 100%, $G$9) + CHOOSE(CONTROL!$C$38, 0.0347, 0)</f>
        <v>40.2971</v>
      </c>
      <c r="E612" s="28">
        <f>43.4323 * CHOOSE(CONTROL!$C$15, $E$9, 100%, $G$9) + CHOOSE(CONTROL!$C$38, 0.0347, 0)</f>
        <v>43.466999999999999</v>
      </c>
      <c r="F612" s="27">
        <f>43.4323 * CHOOSE(CONTROL!$C$15, $E$9, 100%, $G$9) + CHOOSE(CONTROL!$C$38, 0.0256, 0)</f>
        <v>43.457899999999995</v>
      </c>
      <c r="G612" s="10">
        <f>40.2686 * CHOOSE(CONTROL!$C$15, $E$9, 100%, $G$9) + CHOOSE(CONTROL!$C$38, 0.0347, 0)</f>
        <v>40.3033</v>
      </c>
      <c r="H612" s="10">
        <f>40.2686 * CHOOSE(CONTROL!$C$15, $E$9, 100%, $G$9) + CHOOSE(CONTROL!$C$38, 0.0347, 0)</f>
        <v>40.3033</v>
      </c>
      <c r="I612" s="10">
        <f>40.2702 * CHOOSE(CONTROL!$C$15, $E$9, 100%, $G$9) + CHOOSE(CONTROL!$C$38, 0.0347, 0)</f>
        <v>40.304900000000004</v>
      </c>
      <c r="J612" s="26">
        <f>300.9478</f>
        <v>300.94779999999997</v>
      </c>
    </row>
    <row r="613" spans="1:10" ht="15.75" x14ac:dyDescent="0.25">
      <c r="A613" s="13">
        <v>59595</v>
      </c>
      <c r="B613" s="10">
        <f>43.8093 * CHOOSE(CONTROL!$C$15, $E$9, 100%, $G$9) + CHOOSE(CONTROL!$C$38, 0.0256, 0)</f>
        <v>43.834899999999998</v>
      </c>
      <c r="C613" s="10">
        <f>40.491 * CHOOSE(CONTROL!$C$15, $E$9, 100%, $G$9) + CHOOSE(CONTROL!$C$38, 0.0347, 0)</f>
        <v>40.525700000000001</v>
      </c>
      <c r="D613" s="10">
        <f>40.4832 * CHOOSE(CONTROL!$C$15, $E$9, 100%, $G$9) + CHOOSE(CONTROL!$C$38, 0.0347, 0)</f>
        <v>40.517899999999997</v>
      </c>
      <c r="E613" s="28">
        <f>43.653 * CHOOSE(CONTROL!$C$15, $E$9, 100%, $G$9) + CHOOSE(CONTROL!$C$38, 0.0347, 0)</f>
        <v>43.6877</v>
      </c>
      <c r="F613" s="27">
        <f>43.653 * CHOOSE(CONTROL!$C$15, $E$9, 100%, $G$9) + CHOOSE(CONTROL!$C$38, 0.0256, 0)</f>
        <v>43.678599999999996</v>
      </c>
      <c r="G613" s="10">
        <f>40.4894 * CHOOSE(CONTROL!$C$15, $E$9, 100%, $G$9) + CHOOSE(CONTROL!$C$38, 0.0347, 0)</f>
        <v>40.524100000000004</v>
      </c>
      <c r="H613" s="10">
        <f>40.4894 * CHOOSE(CONTROL!$C$15, $E$9, 100%, $G$9) + CHOOSE(CONTROL!$C$38, 0.0347, 0)</f>
        <v>40.524100000000004</v>
      </c>
      <c r="I613" s="10">
        <f>40.491 * CHOOSE(CONTROL!$C$15, $E$9, 100%, $G$9) + CHOOSE(CONTROL!$C$38, 0.0347, 0)</f>
        <v>40.525700000000001</v>
      </c>
      <c r="J613" s="26">
        <f>300.1112</f>
        <v>300.1112</v>
      </c>
    </row>
    <row r="614" spans="1:10" ht="15.75" x14ac:dyDescent="0.25">
      <c r="A614" s="13">
        <v>59626</v>
      </c>
      <c r="B614" s="10">
        <f>43.2982 * CHOOSE(CONTROL!$C$15, $E$9, 100%, $G$9) + CHOOSE(CONTROL!$C$38, 0.0256, 0)</f>
        <v>43.323799999999999</v>
      </c>
      <c r="C614" s="10">
        <f>39.9799 * CHOOSE(CONTROL!$C$15, $E$9, 100%, $G$9) + CHOOSE(CONTROL!$C$38, 0.0347, 0)</f>
        <v>40.014600000000002</v>
      </c>
      <c r="D614" s="10">
        <f>39.9721 * CHOOSE(CONTROL!$C$15, $E$9, 100%, $G$9) + CHOOSE(CONTROL!$C$38, 0.0347, 0)</f>
        <v>40.006799999999998</v>
      </c>
      <c r="E614" s="28">
        <f>43.142 * CHOOSE(CONTROL!$C$15, $E$9, 100%, $G$9) + CHOOSE(CONTROL!$C$38, 0.0347, 0)</f>
        <v>43.176700000000004</v>
      </c>
      <c r="F614" s="27">
        <f>43.142 * CHOOSE(CONTROL!$C$15, $E$9, 100%, $G$9) + CHOOSE(CONTROL!$C$38, 0.0256, 0)</f>
        <v>43.1676</v>
      </c>
      <c r="G614" s="10">
        <f>39.9784 * CHOOSE(CONTROL!$C$15, $E$9, 100%, $G$9) + CHOOSE(CONTROL!$C$38, 0.0347, 0)</f>
        <v>40.013100000000001</v>
      </c>
      <c r="H614" s="10">
        <f>39.9784 * CHOOSE(CONTROL!$C$15, $E$9, 100%, $G$9) + CHOOSE(CONTROL!$C$38, 0.0347, 0)</f>
        <v>40.013100000000001</v>
      </c>
      <c r="I614" s="10">
        <f>39.9799 * CHOOSE(CONTROL!$C$15, $E$9, 100%, $G$9) + CHOOSE(CONTROL!$C$38, 0.0347, 0)</f>
        <v>40.014600000000002</v>
      </c>
      <c r="J614" s="26">
        <f>315.9288</f>
        <v>315.92880000000002</v>
      </c>
    </row>
    <row r="615" spans="1:10" ht="15.75" x14ac:dyDescent="0.25">
      <c r="A615" s="13">
        <v>59656</v>
      </c>
      <c r="B615" s="10">
        <f>42.8031 * CHOOSE(CONTROL!$C$15, $E$9, 100%, $G$9) + CHOOSE(CONTROL!$C$38, 0.0256, 0)</f>
        <v>42.828699999999998</v>
      </c>
      <c r="C615" s="10">
        <f>39.4848 * CHOOSE(CONTROL!$C$15, $E$9, 100%, $G$9) + CHOOSE(CONTROL!$C$38, 0.0347, 0)</f>
        <v>39.519500000000001</v>
      </c>
      <c r="D615" s="10">
        <f>39.4769 * CHOOSE(CONTROL!$C$15, $E$9, 100%, $G$9) + CHOOSE(CONTROL!$C$38, 0.0347, 0)</f>
        <v>39.511600000000001</v>
      </c>
      <c r="E615" s="28">
        <f>42.6468 * CHOOSE(CONTROL!$C$15, $E$9, 100%, $G$9) + CHOOSE(CONTROL!$C$38, 0.0347, 0)</f>
        <v>42.6815</v>
      </c>
      <c r="F615" s="27">
        <f>42.6468 * CHOOSE(CONTROL!$C$15, $E$9, 100%, $G$9) + CHOOSE(CONTROL!$C$38, 0.0256, 0)</f>
        <v>42.672399999999996</v>
      </c>
      <c r="G615" s="10">
        <f>39.4832 * CHOOSE(CONTROL!$C$15, $E$9, 100%, $G$9) + CHOOSE(CONTROL!$C$38, 0.0347, 0)</f>
        <v>39.517899999999997</v>
      </c>
      <c r="H615" s="10">
        <f>39.4832 * CHOOSE(CONTROL!$C$15, $E$9, 100%, $G$9) + CHOOSE(CONTROL!$C$38, 0.0347, 0)</f>
        <v>39.517899999999997</v>
      </c>
      <c r="I615" s="10">
        <f>39.4848 * CHOOSE(CONTROL!$C$15, $E$9, 100%, $G$9) + CHOOSE(CONTROL!$C$38, 0.0347, 0)</f>
        <v>39.519500000000001</v>
      </c>
      <c r="J615" s="26">
        <f>336.4405</f>
        <v>336.44049999999999</v>
      </c>
    </row>
    <row r="616" spans="1:10" ht="15.75" x14ac:dyDescent="0.25">
      <c r="A616" s="13">
        <v>59687</v>
      </c>
      <c r="B616" s="10">
        <f>42.2869 * CHOOSE(CONTROL!$C$15, $E$9, 100%, $G$9) + CHOOSE(CONTROL!$C$38, 0.0278, 0)</f>
        <v>42.314700000000002</v>
      </c>
      <c r="C616" s="10">
        <f>38.9686 * CHOOSE(CONTROL!$C$15, $E$9, 100%, $G$9) + CHOOSE(CONTROL!$C$38, 0.0369, 0)</f>
        <v>39.005500000000005</v>
      </c>
      <c r="D616" s="10">
        <f>38.9608 * CHOOSE(CONTROL!$C$15, $E$9, 100%, $G$9) + CHOOSE(CONTROL!$C$38, 0.0369, 0)</f>
        <v>38.997700000000002</v>
      </c>
      <c r="E616" s="28">
        <f>42.1307 * CHOOSE(CONTROL!$C$15, $E$9, 100%, $G$9) + CHOOSE(CONTROL!$C$38, 0.0369, 0)</f>
        <v>42.1676</v>
      </c>
      <c r="F616" s="27">
        <f>42.1307 * CHOOSE(CONTROL!$C$15, $E$9, 100%, $G$9) + CHOOSE(CONTROL!$C$38, 0.0278, 0)</f>
        <v>42.158499999999997</v>
      </c>
      <c r="G616" s="10">
        <f>38.9671 * CHOOSE(CONTROL!$C$15, $E$9, 100%, $G$9) + CHOOSE(CONTROL!$C$38, 0.0369, 0)</f>
        <v>39.004000000000005</v>
      </c>
      <c r="H616" s="10">
        <f>38.9671 * CHOOSE(CONTROL!$C$15, $E$9, 100%, $G$9) + CHOOSE(CONTROL!$C$38, 0.0369, 0)</f>
        <v>39.004000000000005</v>
      </c>
      <c r="I616" s="10">
        <f>38.9686 * CHOOSE(CONTROL!$C$15, $E$9, 100%, $G$9) + CHOOSE(CONTROL!$C$38, 0.0369, 0)</f>
        <v>39.005500000000005</v>
      </c>
      <c r="J616" s="26">
        <f>347.7307</f>
        <v>347.73070000000001</v>
      </c>
    </row>
    <row r="617" spans="1:10" ht="15.75" x14ac:dyDescent="0.25">
      <c r="A617" s="13">
        <v>59717</v>
      </c>
      <c r="B617" s="10">
        <f>41.9251 * CHOOSE(CONTROL!$C$15, $E$9, 100%, $G$9) + CHOOSE(CONTROL!$C$38, 0.0278, 0)</f>
        <v>41.9529</v>
      </c>
      <c r="C617" s="10">
        <f>38.6068 * CHOOSE(CONTROL!$C$15, $E$9, 100%, $G$9) + CHOOSE(CONTROL!$C$38, 0.0369, 0)</f>
        <v>38.643700000000003</v>
      </c>
      <c r="D617" s="10">
        <f>38.599 * CHOOSE(CONTROL!$C$15, $E$9, 100%, $G$9) + CHOOSE(CONTROL!$C$38, 0.0369, 0)</f>
        <v>38.635899999999999</v>
      </c>
      <c r="E617" s="28">
        <f>41.7689 * CHOOSE(CONTROL!$C$15, $E$9, 100%, $G$9) + CHOOSE(CONTROL!$C$38, 0.0369, 0)</f>
        <v>41.805800000000005</v>
      </c>
      <c r="F617" s="27">
        <f>41.7689 * CHOOSE(CONTROL!$C$15, $E$9, 100%, $G$9) + CHOOSE(CONTROL!$C$38, 0.0278, 0)</f>
        <v>41.796700000000001</v>
      </c>
      <c r="G617" s="10">
        <f>38.6052 * CHOOSE(CONTROL!$C$15, $E$9, 100%, $G$9) + CHOOSE(CONTROL!$C$38, 0.0369, 0)</f>
        <v>38.642100000000006</v>
      </c>
      <c r="H617" s="10">
        <f>38.6052 * CHOOSE(CONTROL!$C$15, $E$9, 100%, $G$9) + CHOOSE(CONTROL!$C$38, 0.0369, 0)</f>
        <v>38.642100000000006</v>
      </c>
      <c r="I617" s="10">
        <f>38.6068 * CHOOSE(CONTROL!$C$15, $E$9, 100%, $G$9) + CHOOSE(CONTROL!$C$38, 0.0369, 0)</f>
        <v>38.643700000000003</v>
      </c>
      <c r="J617" s="26">
        <f>352.7412</f>
        <v>352.74119999999999</v>
      </c>
    </row>
    <row r="618" spans="1:10" ht="15.75" x14ac:dyDescent="0.25">
      <c r="A618" s="13">
        <v>59748</v>
      </c>
      <c r="B618" s="10">
        <f>41.7186 * CHOOSE(CONTROL!$C$15, $E$9, 100%, $G$9) + CHOOSE(CONTROL!$C$38, 0.0278, 0)</f>
        <v>41.746400000000001</v>
      </c>
      <c r="C618" s="10">
        <f>38.4003 * CHOOSE(CONTROL!$C$15, $E$9, 100%, $G$9) + CHOOSE(CONTROL!$C$38, 0.0369, 0)</f>
        <v>38.437200000000004</v>
      </c>
      <c r="D618" s="10">
        <f>38.3925 * CHOOSE(CONTROL!$C$15, $E$9, 100%, $G$9) + CHOOSE(CONTROL!$C$38, 0.0369, 0)</f>
        <v>38.429400000000001</v>
      </c>
      <c r="E618" s="28">
        <f>41.5624 * CHOOSE(CONTROL!$C$15, $E$9, 100%, $G$9) + CHOOSE(CONTROL!$C$38, 0.0369, 0)</f>
        <v>41.599299999999999</v>
      </c>
      <c r="F618" s="27">
        <f>41.5624 * CHOOSE(CONTROL!$C$15, $E$9, 100%, $G$9) + CHOOSE(CONTROL!$C$38, 0.0278, 0)</f>
        <v>41.590199999999996</v>
      </c>
      <c r="G618" s="10">
        <f>38.3988 * CHOOSE(CONTROL!$C$15, $E$9, 100%, $G$9) + CHOOSE(CONTROL!$C$38, 0.0369, 0)</f>
        <v>38.435700000000004</v>
      </c>
      <c r="H618" s="10">
        <f>38.3988 * CHOOSE(CONTROL!$C$15, $E$9, 100%, $G$9) + CHOOSE(CONTROL!$C$38, 0.0369, 0)</f>
        <v>38.435700000000004</v>
      </c>
      <c r="I618" s="10">
        <f>38.4003 * CHOOSE(CONTROL!$C$15, $E$9, 100%, $G$9) + CHOOSE(CONTROL!$C$38, 0.0369, 0)</f>
        <v>38.437200000000004</v>
      </c>
      <c r="J618" s="26">
        <f>351.0915</f>
        <v>351.0915</v>
      </c>
    </row>
    <row r="619" spans="1:10" ht="15.75" x14ac:dyDescent="0.25">
      <c r="A619" s="13">
        <v>59779</v>
      </c>
      <c r="B619" s="10">
        <f>41.8205 * CHOOSE(CONTROL!$C$15, $E$9, 100%, $G$9) + CHOOSE(CONTROL!$C$38, 0.0278, 0)</f>
        <v>41.848300000000002</v>
      </c>
      <c r="C619" s="10">
        <f>38.5022 * CHOOSE(CONTROL!$C$15, $E$9, 100%, $G$9) + CHOOSE(CONTROL!$C$38, 0.0369, 0)</f>
        <v>38.539100000000005</v>
      </c>
      <c r="D619" s="10">
        <f>38.4944 * CHOOSE(CONTROL!$C$15, $E$9, 100%, $G$9) + CHOOSE(CONTROL!$C$38, 0.0369, 0)</f>
        <v>38.531300000000002</v>
      </c>
      <c r="E619" s="28">
        <f>41.6643 * CHOOSE(CONTROL!$C$15, $E$9, 100%, $G$9) + CHOOSE(CONTROL!$C$38, 0.0369, 0)</f>
        <v>41.7012</v>
      </c>
      <c r="F619" s="27">
        <f>41.6643 * CHOOSE(CONTROL!$C$15, $E$9, 100%, $G$9) + CHOOSE(CONTROL!$C$38, 0.0278, 0)</f>
        <v>41.692099999999996</v>
      </c>
      <c r="G619" s="10">
        <f>38.5007 * CHOOSE(CONTROL!$C$15, $E$9, 100%, $G$9) + CHOOSE(CONTROL!$C$38, 0.0369, 0)</f>
        <v>38.537600000000005</v>
      </c>
      <c r="H619" s="10">
        <f>38.5007 * CHOOSE(CONTROL!$C$15, $E$9, 100%, $G$9) + CHOOSE(CONTROL!$C$38, 0.0369, 0)</f>
        <v>38.537600000000005</v>
      </c>
      <c r="I619" s="10">
        <f>38.5022 * CHOOSE(CONTROL!$C$15, $E$9, 100%, $G$9) + CHOOSE(CONTROL!$C$38, 0.0369, 0)</f>
        <v>38.539100000000005</v>
      </c>
      <c r="J619" s="26">
        <f>342.9182</f>
        <v>342.91820000000001</v>
      </c>
    </row>
    <row r="620" spans="1:10" ht="15.75" x14ac:dyDescent="0.25">
      <c r="A620" s="13">
        <v>59809</v>
      </c>
      <c r="B620" s="10">
        <f>42.0973 * CHOOSE(CONTROL!$C$15, $E$9, 100%, $G$9) + CHOOSE(CONTROL!$C$38, 0.0278, 0)</f>
        <v>42.125099999999996</v>
      </c>
      <c r="C620" s="10">
        <f>38.779 * CHOOSE(CONTROL!$C$15, $E$9, 100%, $G$9) + CHOOSE(CONTROL!$C$38, 0.0369, 0)</f>
        <v>38.815900000000006</v>
      </c>
      <c r="D620" s="10">
        <f>38.7712 * CHOOSE(CONTROL!$C$15, $E$9, 100%, $G$9) + CHOOSE(CONTROL!$C$38, 0.0369, 0)</f>
        <v>38.808100000000003</v>
      </c>
      <c r="E620" s="28">
        <f>41.9411 * CHOOSE(CONTROL!$C$15, $E$9, 100%, $G$9) + CHOOSE(CONTROL!$C$38, 0.0369, 0)</f>
        <v>41.978000000000002</v>
      </c>
      <c r="F620" s="27">
        <f>41.9411 * CHOOSE(CONTROL!$C$15, $E$9, 100%, $G$9) + CHOOSE(CONTROL!$C$38, 0.0278, 0)</f>
        <v>41.968899999999998</v>
      </c>
      <c r="G620" s="10">
        <f>38.7775 * CHOOSE(CONTROL!$C$15, $E$9, 100%, $G$9) + CHOOSE(CONTROL!$C$38, 0.0369, 0)</f>
        <v>38.814400000000006</v>
      </c>
      <c r="H620" s="10">
        <f>38.7775 * CHOOSE(CONTROL!$C$15, $E$9, 100%, $G$9) + CHOOSE(CONTROL!$C$38, 0.0369, 0)</f>
        <v>38.814400000000006</v>
      </c>
      <c r="I620" s="10">
        <f>38.779 * CHOOSE(CONTROL!$C$15, $E$9, 100%, $G$9) + CHOOSE(CONTROL!$C$38, 0.0369, 0)</f>
        <v>38.815900000000006</v>
      </c>
      <c r="J620" s="26">
        <f>331.5202</f>
        <v>331.52019999999999</v>
      </c>
    </row>
    <row r="621" spans="1:10" ht="15.75" x14ac:dyDescent="0.25">
      <c r="A621" s="13">
        <v>59840</v>
      </c>
      <c r="B621" s="10">
        <f>42.3292 * CHOOSE(CONTROL!$C$15, $E$9, 100%, $G$9) + CHOOSE(CONTROL!$C$38, 0.0256, 0)</f>
        <v>42.354799999999997</v>
      </c>
      <c r="C621" s="10">
        <f>39.0108 * CHOOSE(CONTROL!$C$15, $E$9, 100%, $G$9) + CHOOSE(CONTROL!$C$38, 0.0347, 0)</f>
        <v>39.045500000000004</v>
      </c>
      <c r="D621" s="10">
        <f>39.003 * CHOOSE(CONTROL!$C$15, $E$9, 100%, $G$9) + CHOOSE(CONTROL!$C$38, 0.0347, 0)</f>
        <v>39.037700000000001</v>
      </c>
      <c r="E621" s="28">
        <f>42.1729 * CHOOSE(CONTROL!$C$15, $E$9, 100%, $G$9) + CHOOSE(CONTROL!$C$38, 0.0347, 0)</f>
        <v>42.207599999999999</v>
      </c>
      <c r="F621" s="27">
        <f>42.1729 * CHOOSE(CONTROL!$C$15, $E$9, 100%, $G$9) + CHOOSE(CONTROL!$C$38, 0.0256, 0)</f>
        <v>42.198499999999996</v>
      </c>
      <c r="G621" s="10">
        <f>39.0093 * CHOOSE(CONTROL!$C$15, $E$9, 100%, $G$9) + CHOOSE(CONTROL!$C$38, 0.0347, 0)</f>
        <v>39.044000000000004</v>
      </c>
      <c r="H621" s="10">
        <f>39.0093 * CHOOSE(CONTROL!$C$15, $E$9, 100%, $G$9) + CHOOSE(CONTROL!$C$38, 0.0347, 0)</f>
        <v>39.044000000000004</v>
      </c>
      <c r="I621" s="10">
        <f>39.0108 * CHOOSE(CONTROL!$C$15, $E$9, 100%, $G$9) + CHOOSE(CONTROL!$C$38, 0.0347, 0)</f>
        <v>39.045500000000004</v>
      </c>
      <c r="J621" s="26">
        <f>320.0559</f>
        <v>320.05590000000001</v>
      </c>
    </row>
    <row r="622" spans="1:10" ht="15.75" x14ac:dyDescent="0.25">
      <c r="A622" s="13">
        <v>59870</v>
      </c>
      <c r="B622" s="10">
        <f>42.5226 * CHOOSE(CONTROL!$C$15, $E$9, 100%, $G$9) + CHOOSE(CONTROL!$C$38, 0.0256, 0)</f>
        <v>42.548199999999994</v>
      </c>
      <c r="C622" s="10">
        <f>39.2043 * CHOOSE(CONTROL!$C$15, $E$9, 100%, $G$9) + CHOOSE(CONTROL!$C$38, 0.0347, 0)</f>
        <v>39.239000000000004</v>
      </c>
      <c r="D622" s="10">
        <f>39.1965 * CHOOSE(CONTROL!$C$15, $E$9, 100%, $G$9) + CHOOSE(CONTROL!$C$38, 0.0347, 0)</f>
        <v>39.231200000000001</v>
      </c>
      <c r="E622" s="28">
        <f>42.3663 * CHOOSE(CONTROL!$C$15, $E$9, 100%, $G$9) + CHOOSE(CONTROL!$C$38, 0.0347, 0)</f>
        <v>42.401000000000003</v>
      </c>
      <c r="F622" s="27">
        <f>42.3663 * CHOOSE(CONTROL!$C$15, $E$9, 100%, $G$9) + CHOOSE(CONTROL!$C$38, 0.0256, 0)</f>
        <v>42.3919</v>
      </c>
      <c r="G622" s="10">
        <f>39.2027 * CHOOSE(CONTROL!$C$15, $E$9, 100%, $G$9) + CHOOSE(CONTROL!$C$38, 0.0347, 0)</f>
        <v>39.237400000000001</v>
      </c>
      <c r="H622" s="10">
        <f>39.2027 * CHOOSE(CONTROL!$C$15, $E$9, 100%, $G$9) + CHOOSE(CONTROL!$C$38, 0.0347, 0)</f>
        <v>39.237400000000001</v>
      </c>
      <c r="I622" s="10">
        <f>39.2043 * CHOOSE(CONTROL!$C$15, $E$9, 100%, $G$9) + CHOOSE(CONTROL!$C$38, 0.0347, 0)</f>
        <v>39.239000000000004</v>
      </c>
      <c r="J622" s="26">
        <f>317.7754</f>
        <v>317.77539999999999</v>
      </c>
    </row>
    <row r="623" spans="1:10" ht="15.75" x14ac:dyDescent="0.25">
      <c r="A623" s="13">
        <v>59901</v>
      </c>
      <c r="B623" s="10">
        <f>43.1187 * CHOOSE(CONTROL!$C$15, $E$9, 100%, $G$9) + CHOOSE(CONTROL!$C$38, 0.0256, 0)</f>
        <v>43.144299999999994</v>
      </c>
      <c r="C623" s="10">
        <f>39.8004 * CHOOSE(CONTROL!$C$15, $E$9, 100%, $G$9) + CHOOSE(CONTROL!$C$38, 0.0347, 0)</f>
        <v>39.835100000000004</v>
      </c>
      <c r="D623" s="10">
        <f>39.7925 * CHOOSE(CONTROL!$C$15, $E$9, 100%, $G$9) + CHOOSE(CONTROL!$C$38, 0.0347, 0)</f>
        <v>39.827199999999998</v>
      </c>
      <c r="E623" s="28">
        <f>42.9624 * CHOOSE(CONTROL!$C$15, $E$9, 100%, $G$9) + CHOOSE(CONTROL!$C$38, 0.0347, 0)</f>
        <v>42.997100000000003</v>
      </c>
      <c r="F623" s="27">
        <f>42.9624 * CHOOSE(CONTROL!$C$15, $E$9, 100%, $G$9) + CHOOSE(CONTROL!$C$38, 0.0256, 0)</f>
        <v>42.988</v>
      </c>
      <c r="G623" s="10">
        <f>39.7988 * CHOOSE(CONTROL!$C$15, $E$9, 100%, $G$9) + CHOOSE(CONTROL!$C$38, 0.0347, 0)</f>
        <v>39.833500000000001</v>
      </c>
      <c r="H623" s="10">
        <f>39.7988 * CHOOSE(CONTROL!$C$15, $E$9, 100%, $G$9) + CHOOSE(CONTROL!$C$38, 0.0347, 0)</f>
        <v>39.833500000000001</v>
      </c>
      <c r="I623" s="10">
        <f>39.8004 * CHOOSE(CONTROL!$C$15, $E$9, 100%, $G$9) + CHOOSE(CONTROL!$C$38, 0.0347, 0)</f>
        <v>39.835100000000004</v>
      </c>
      <c r="J623" s="26">
        <f>308.3454</f>
        <v>308.34539999999998</v>
      </c>
    </row>
    <row r="624" spans="1:10" ht="15.75" x14ac:dyDescent="0.25">
      <c r="A624" s="13">
        <v>59932</v>
      </c>
      <c r="B624" s="10">
        <f>44.277 * CHOOSE(CONTROL!$C$15, $E$9, 100%, $G$9) + CHOOSE(CONTROL!$C$38, 0.0256, 0)</f>
        <v>44.302599999999998</v>
      </c>
      <c r="C624" s="10">
        <f>40.9068 * CHOOSE(CONTROL!$C$15, $E$9, 100%, $G$9) + CHOOSE(CONTROL!$C$38, 0.0347, 0)</f>
        <v>40.941499999999998</v>
      </c>
      <c r="D624" s="10">
        <f>40.899 * CHOOSE(CONTROL!$C$15, $E$9, 100%, $G$9) + CHOOSE(CONTROL!$C$38, 0.0347, 0)</f>
        <v>40.933700000000002</v>
      </c>
      <c r="E624" s="28">
        <f>44.1207 * CHOOSE(CONTROL!$C$15, $E$9, 100%, $G$9) + CHOOSE(CONTROL!$C$38, 0.0347, 0)</f>
        <v>44.1554</v>
      </c>
      <c r="F624" s="27">
        <f>44.1207 * CHOOSE(CONTROL!$C$15, $E$9, 100%, $G$9) + CHOOSE(CONTROL!$C$38, 0.0256, 0)</f>
        <v>44.146299999999997</v>
      </c>
      <c r="G624" s="10">
        <f>40.9053 * CHOOSE(CONTROL!$C$15, $E$9, 100%, $G$9) + CHOOSE(CONTROL!$C$38, 0.0347, 0)</f>
        <v>40.94</v>
      </c>
      <c r="H624" s="10">
        <f>40.9053 * CHOOSE(CONTROL!$C$15, $E$9, 100%, $G$9) + CHOOSE(CONTROL!$C$38, 0.0347, 0)</f>
        <v>40.94</v>
      </c>
      <c r="I624" s="10">
        <f>40.9068 * CHOOSE(CONTROL!$C$15, $E$9, 100%, $G$9) + CHOOSE(CONTROL!$C$38, 0.0347, 0)</f>
        <v>40.941499999999998</v>
      </c>
      <c r="J624" s="26">
        <f>307.7566</f>
        <v>307.75659999999999</v>
      </c>
    </row>
    <row r="625" spans="1:10" ht="15.75" x14ac:dyDescent="0.25">
      <c r="A625" s="13">
        <v>59961</v>
      </c>
      <c r="B625" s="10">
        <f>44.4977 * CHOOSE(CONTROL!$C$15, $E$9, 100%, $G$9) + CHOOSE(CONTROL!$C$38, 0.0256, 0)</f>
        <v>44.523299999999999</v>
      </c>
      <c r="C625" s="10">
        <f>41.1276 * CHOOSE(CONTROL!$C$15, $E$9, 100%, $G$9) + CHOOSE(CONTROL!$C$38, 0.0347, 0)</f>
        <v>41.162300000000002</v>
      </c>
      <c r="D625" s="10">
        <f>41.1198 * CHOOSE(CONTROL!$C$15, $E$9, 100%, $G$9) + CHOOSE(CONTROL!$C$38, 0.0347, 0)</f>
        <v>41.154499999999999</v>
      </c>
      <c r="E625" s="28">
        <f>44.3415 * CHOOSE(CONTROL!$C$15, $E$9, 100%, $G$9) + CHOOSE(CONTROL!$C$38, 0.0347, 0)</f>
        <v>44.376200000000004</v>
      </c>
      <c r="F625" s="27">
        <f>44.3415 * CHOOSE(CONTROL!$C$15, $E$9, 100%, $G$9) + CHOOSE(CONTROL!$C$38, 0.0256, 0)</f>
        <v>44.367100000000001</v>
      </c>
      <c r="G625" s="10">
        <f>41.126 * CHOOSE(CONTROL!$C$15, $E$9, 100%, $G$9) + CHOOSE(CONTROL!$C$38, 0.0347, 0)</f>
        <v>41.160699999999999</v>
      </c>
      <c r="H625" s="10">
        <f>41.126 * CHOOSE(CONTROL!$C$15, $E$9, 100%, $G$9) + CHOOSE(CONTROL!$C$38, 0.0347, 0)</f>
        <v>41.160699999999999</v>
      </c>
      <c r="I625" s="10">
        <f>41.1276 * CHOOSE(CONTROL!$C$15, $E$9, 100%, $G$9) + CHOOSE(CONTROL!$C$38, 0.0347, 0)</f>
        <v>41.162300000000002</v>
      </c>
      <c r="J625" s="26">
        <f>306.9011</f>
        <v>306.90109999999999</v>
      </c>
    </row>
    <row r="626" spans="1:10" ht="15.75" x14ac:dyDescent="0.25">
      <c r="A626" s="13">
        <v>59992</v>
      </c>
      <c r="B626" s="10">
        <f>43.9867 * CHOOSE(CONTROL!$C$15, $E$9, 100%, $G$9) + CHOOSE(CONTROL!$C$38, 0.0256, 0)</f>
        <v>44.012299999999996</v>
      </c>
      <c r="C626" s="10">
        <f>40.6166 * CHOOSE(CONTROL!$C$15, $E$9, 100%, $G$9) + CHOOSE(CONTROL!$C$38, 0.0347, 0)</f>
        <v>40.651299999999999</v>
      </c>
      <c r="D626" s="10">
        <f>40.6088 * CHOOSE(CONTROL!$C$15, $E$9, 100%, $G$9) + CHOOSE(CONTROL!$C$38, 0.0347, 0)</f>
        <v>40.643500000000003</v>
      </c>
      <c r="E626" s="28">
        <f>43.8305 * CHOOSE(CONTROL!$C$15, $E$9, 100%, $G$9) + CHOOSE(CONTROL!$C$38, 0.0347, 0)</f>
        <v>43.865200000000002</v>
      </c>
      <c r="F626" s="27">
        <f>43.8305 * CHOOSE(CONTROL!$C$15, $E$9, 100%, $G$9) + CHOOSE(CONTROL!$C$38, 0.0256, 0)</f>
        <v>43.856099999999998</v>
      </c>
      <c r="G626" s="10">
        <f>40.615 * CHOOSE(CONTROL!$C$15, $E$9, 100%, $G$9) + CHOOSE(CONTROL!$C$38, 0.0347, 0)</f>
        <v>40.649700000000003</v>
      </c>
      <c r="H626" s="10">
        <f>40.615 * CHOOSE(CONTROL!$C$15, $E$9, 100%, $G$9) + CHOOSE(CONTROL!$C$38, 0.0347, 0)</f>
        <v>40.649700000000003</v>
      </c>
      <c r="I626" s="10">
        <f>40.6166 * CHOOSE(CONTROL!$C$15, $E$9, 100%, $G$9) + CHOOSE(CONTROL!$C$38, 0.0347, 0)</f>
        <v>40.651299999999999</v>
      </c>
      <c r="J626" s="26">
        <f>323.0766</f>
        <v>323.07659999999998</v>
      </c>
    </row>
    <row r="627" spans="1:10" ht="15.75" x14ac:dyDescent="0.25">
      <c r="A627" s="13">
        <v>60022</v>
      </c>
      <c r="B627" s="10">
        <f>43.4915 * CHOOSE(CONTROL!$C$15, $E$9, 100%, $G$9) + CHOOSE(CONTROL!$C$38, 0.0256, 0)</f>
        <v>43.517099999999999</v>
      </c>
      <c r="C627" s="10">
        <f>40.1214 * CHOOSE(CONTROL!$C$15, $E$9, 100%, $G$9) + CHOOSE(CONTROL!$C$38, 0.0347, 0)</f>
        <v>40.156100000000002</v>
      </c>
      <c r="D627" s="10">
        <f>40.1136 * CHOOSE(CONTROL!$C$15, $E$9, 100%, $G$9) + CHOOSE(CONTROL!$C$38, 0.0347, 0)</f>
        <v>40.148299999999999</v>
      </c>
      <c r="E627" s="28">
        <f>43.3353 * CHOOSE(CONTROL!$C$15, $E$9, 100%, $G$9) + CHOOSE(CONTROL!$C$38, 0.0347, 0)</f>
        <v>43.37</v>
      </c>
      <c r="F627" s="27">
        <f>43.3353 * CHOOSE(CONTROL!$C$15, $E$9, 100%, $G$9) + CHOOSE(CONTROL!$C$38, 0.0256, 0)</f>
        <v>43.360899999999994</v>
      </c>
      <c r="G627" s="10">
        <f>40.1198 * CHOOSE(CONTROL!$C$15, $E$9, 100%, $G$9) + CHOOSE(CONTROL!$C$38, 0.0347, 0)</f>
        <v>40.154499999999999</v>
      </c>
      <c r="H627" s="10">
        <f>40.1198 * CHOOSE(CONTROL!$C$15, $E$9, 100%, $G$9) + CHOOSE(CONTROL!$C$38, 0.0347, 0)</f>
        <v>40.154499999999999</v>
      </c>
      <c r="I627" s="10">
        <f>40.1214 * CHOOSE(CONTROL!$C$15, $E$9, 100%, $G$9) + CHOOSE(CONTROL!$C$38, 0.0347, 0)</f>
        <v>40.156100000000002</v>
      </c>
      <c r="J627" s="26">
        <f>344.0523</f>
        <v>344.0523</v>
      </c>
    </row>
    <row r="628" spans="1:10" ht="15.75" x14ac:dyDescent="0.25">
      <c r="A628" s="13">
        <v>60053</v>
      </c>
      <c r="B628" s="10">
        <f>42.9754 * CHOOSE(CONTROL!$C$15, $E$9, 100%, $G$9) + CHOOSE(CONTROL!$C$38, 0.0278, 0)</f>
        <v>43.0032</v>
      </c>
      <c r="C628" s="10">
        <f>39.6053 * CHOOSE(CONTROL!$C$15, $E$9, 100%, $G$9) + CHOOSE(CONTROL!$C$38, 0.0369, 0)</f>
        <v>39.642200000000003</v>
      </c>
      <c r="D628" s="10">
        <f>39.5975 * CHOOSE(CONTROL!$C$15, $E$9, 100%, $G$9) + CHOOSE(CONTROL!$C$38, 0.0369, 0)</f>
        <v>39.634399999999999</v>
      </c>
      <c r="E628" s="28">
        <f>42.8192 * CHOOSE(CONTROL!$C$15, $E$9, 100%, $G$9) + CHOOSE(CONTROL!$C$38, 0.0369, 0)</f>
        <v>42.856100000000005</v>
      </c>
      <c r="F628" s="27">
        <f>42.8192 * CHOOSE(CONTROL!$C$15, $E$9, 100%, $G$9) + CHOOSE(CONTROL!$C$38, 0.0278, 0)</f>
        <v>42.847000000000001</v>
      </c>
      <c r="G628" s="10">
        <f>39.6037 * CHOOSE(CONTROL!$C$15, $E$9, 100%, $G$9) + CHOOSE(CONTROL!$C$38, 0.0369, 0)</f>
        <v>39.640600000000006</v>
      </c>
      <c r="H628" s="10">
        <f>39.6037 * CHOOSE(CONTROL!$C$15, $E$9, 100%, $G$9) + CHOOSE(CONTROL!$C$38, 0.0369, 0)</f>
        <v>39.640600000000006</v>
      </c>
      <c r="I628" s="10">
        <f>39.6053 * CHOOSE(CONTROL!$C$15, $E$9, 100%, $G$9) + CHOOSE(CONTROL!$C$38, 0.0369, 0)</f>
        <v>39.642200000000003</v>
      </c>
      <c r="J628" s="26">
        <f>355.598</f>
        <v>355.59800000000001</v>
      </c>
    </row>
    <row r="629" spans="1:10" ht="15.75" x14ac:dyDescent="0.25">
      <c r="A629" s="13">
        <v>60083</v>
      </c>
      <c r="B629" s="10">
        <f>42.6136 * CHOOSE(CONTROL!$C$15, $E$9, 100%, $G$9) + CHOOSE(CONTROL!$C$38, 0.0278, 0)</f>
        <v>42.641399999999997</v>
      </c>
      <c r="C629" s="10">
        <f>39.2434 * CHOOSE(CONTROL!$C$15, $E$9, 100%, $G$9) + CHOOSE(CONTROL!$C$38, 0.0369, 0)</f>
        <v>39.280300000000004</v>
      </c>
      <c r="D629" s="10">
        <f>39.2356 * CHOOSE(CONTROL!$C$15, $E$9, 100%, $G$9) + CHOOSE(CONTROL!$C$38, 0.0369, 0)</f>
        <v>39.272500000000001</v>
      </c>
      <c r="E629" s="28">
        <f>42.4573 * CHOOSE(CONTROL!$C$15, $E$9, 100%, $G$9) + CHOOSE(CONTROL!$C$38, 0.0369, 0)</f>
        <v>42.494199999999999</v>
      </c>
      <c r="F629" s="27">
        <f>42.4573 * CHOOSE(CONTROL!$C$15, $E$9, 100%, $G$9) + CHOOSE(CONTROL!$C$38, 0.0278, 0)</f>
        <v>42.485099999999996</v>
      </c>
      <c r="G629" s="10">
        <f>39.2419 * CHOOSE(CONTROL!$C$15, $E$9, 100%, $G$9) + CHOOSE(CONTROL!$C$38, 0.0369, 0)</f>
        <v>39.278800000000004</v>
      </c>
      <c r="H629" s="10">
        <f>39.2419 * CHOOSE(CONTROL!$C$15, $E$9, 100%, $G$9) + CHOOSE(CONTROL!$C$38, 0.0369, 0)</f>
        <v>39.278800000000004</v>
      </c>
      <c r="I629" s="10">
        <f>39.2434 * CHOOSE(CONTROL!$C$15, $E$9, 100%, $G$9) + CHOOSE(CONTROL!$C$38, 0.0369, 0)</f>
        <v>39.280300000000004</v>
      </c>
      <c r="J629" s="26">
        <f>360.7218</f>
        <v>360.72179999999997</v>
      </c>
    </row>
    <row r="630" spans="1:10" ht="15.75" x14ac:dyDescent="0.25">
      <c r="A630" s="13">
        <v>60114</v>
      </c>
      <c r="B630" s="10">
        <f>42.4071 * CHOOSE(CONTROL!$C$15, $E$9, 100%, $G$9) + CHOOSE(CONTROL!$C$38, 0.0278, 0)</f>
        <v>42.434899999999999</v>
      </c>
      <c r="C630" s="10">
        <f>39.037 * CHOOSE(CONTROL!$C$15, $E$9, 100%, $G$9) + CHOOSE(CONTROL!$C$38, 0.0369, 0)</f>
        <v>39.073900000000002</v>
      </c>
      <c r="D630" s="10">
        <f>39.0291 * CHOOSE(CONTROL!$C$15, $E$9, 100%, $G$9) + CHOOSE(CONTROL!$C$38, 0.0369, 0)</f>
        <v>39.066000000000003</v>
      </c>
      <c r="E630" s="28">
        <f>42.2508 * CHOOSE(CONTROL!$C$15, $E$9, 100%, $G$9) + CHOOSE(CONTROL!$C$38, 0.0369, 0)</f>
        <v>42.287700000000001</v>
      </c>
      <c r="F630" s="27">
        <f>42.2508 * CHOOSE(CONTROL!$C$15, $E$9, 100%, $G$9) + CHOOSE(CONTROL!$C$38, 0.0278, 0)</f>
        <v>42.278599999999997</v>
      </c>
      <c r="G630" s="10">
        <f>39.0354 * CHOOSE(CONTROL!$C$15, $E$9, 100%, $G$9) + CHOOSE(CONTROL!$C$38, 0.0369, 0)</f>
        <v>39.072300000000006</v>
      </c>
      <c r="H630" s="10">
        <f>39.0354 * CHOOSE(CONTROL!$C$15, $E$9, 100%, $G$9) + CHOOSE(CONTROL!$C$38, 0.0369, 0)</f>
        <v>39.072300000000006</v>
      </c>
      <c r="I630" s="10">
        <f>39.037 * CHOOSE(CONTROL!$C$15, $E$9, 100%, $G$9) + CHOOSE(CONTROL!$C$38, 0.0369, 0)</f>
        <v>39.073900000000002</v>
      </c>
      <c r="J630" s="26">
        <f>359.0348</f>
        <v>359.03480000000002</v>
      </c>
    </row>
    <row r="631" spans="1:10" ht="15.75" x14ac:dyDescent="0.25">
      <c r="A631" s="13">
        <v>60145</v>
      </c>
      <c r="B631" s="10">
        <f>42.509 * CHOOSE(CONTROL!$C$15, $E$9, 100%, $G$9) + CHOOSE(CONTROL!$C$38, 0.0278, 0)</f>
        <v>42.536799999999999</v>
      </c>
      <c r="C631" s="10">
        <f>39.1389 * CHOOSE(CONTROL!$C$15, $E$9, 100%, $G$9) + CHOOSE(CONTROL!$C$38, 0.0369, 0)</f>
        <v>39.175800000000002</v>
      </c>
      <c r="D631" s="10">
        <f>39.131 * CHOOSE(CONTROL!$C$15, $E$9, 100%, $G$9) + CHOOSE(CONTROL!$C$38, 0.0369, 0)</f>
        <v>39.167900000000003</v>
      </c>
      <c r="E631" s="28">
        <f>42.3528 * CHOOSE(CONTROL!$C$15, $E$9, 100%, $G$9) + CHOOSE(CONTROL!$C$38, 0.0369, 0)</f>
        <v>42.389700000000005</v>
      </c>
      <c r="F631" s="27">
        <f>42.3528 * CHOOSE(CONTROL!$C$15, $E$9, 100%, $G$9) + CHOOSE(CONTROL!$C$38, 0.0278, 0)</f>
        <v>42.380600000000001</v>
      </c>
      <c r="G631" s="10">
        <f>39.1373 * CHOOSE(CONTROL!$C$15, $E$9, 100%, $G$9) + CHOOSE(CONTROL!$C$38, 0.0369, 0)</f>
        <v>39.174200000000006</v>
      </c>
      <c r="H631" s="10">
        <f>39.1373 * CHOOSE(CONTROL!$C$15, $E$9, 100%, $G$9) + CHOOSE(CONTROL!$C$38, 0.0369, 0)</f>
        <v>39.174200000000006</v>
      </c>
      <c r="I631" s="10">
        <f>39.1389 * CHOOSE(CONTROL!$C$15, $E$9, 100%, $G$9) + CHOOSE(CONTROL!$C$38, 0.0369, 0)</f>
        <v>39.175800000000002</v>
      </c>
      <c r="J631" s="26">
        <f>350.6766</f>
        <v>350.67660000000001</v>
      </c>
    </row>
    <row r="632" spans="1:10" ht="15.75" x14ac:dyDescent="0.25">
      <c r="A632" s="13">
        <v>60175</v>
      </c>
      <c r="B632" s="10">
        <f>42.7858 * CHOOSE(CONTROL!$C$15, $E$9, 100%, $G$9) + CHOOSE(CONTROL!$C$38, 0.0278, 0)</f>
        <v>42.813600000000001</v>
      </c>
      <c r="C632" s="10">
        <f>39.4157 * CHOOSE(CONTROL!$C$15, $E$9, 100%, $G$9) + CHOOSE(CONTROL!$C$38, 0.0369, 0)</f>
        <v>39.452600000000004</v>
      </c>
      <c r="D632" s="10">
        <f>39.4078 * CHOOSE(CONTROL!$C$15, $E$9, 100%, $G$9) + CHOOSE(CONTROL!$C$38, 0.0369, 0)</f>
        <v>39.444700000000005</v>
      </c>
      <c r="E632" s="28">
        <f>42.6296 * CHOOSE(CONTROL!$C$15, $E$9, 100%, $G$9) + CHOOSE(CONTROL!$C$38, 0.0369, 0)</f>
        <v>42.666500000000006</v>
      </c>
      <c r="F632" s="27">
        <f>42.6296 * CHOOSE(CONTROL!$C$15, $E$9, 100%, $G$9) + CHOOSE(CONTROL!$C$38, 0.0278, 0)</f>
        <v>42.657400000000003</v>
      </c>
      <c r="G632" s="10">
        <f>39.4141 * CHOOSE(CONTROL!$C$15, $E$9, 100%, $G$9) + CHOOSE(CONTROL!$C$38, 0.0369, 0)</f>
        <v>39.451000000000001</v>
      </c>
      <c r="H632" s="10">
        <f>39.4141 * CHOOSE(CONTROL!$C$15, $E$9, 100%, $G$9) + CHOOSE(CONTROL!$C$38, 0.0369, 0)</f>
        <v>39.451000000000001</v>
      </c>
      <c r="I632" s="10">
        <f>39.4157 * CHOOSE(CONTROL!$C$15, $E$9, 100%, $G$9) + CHOOSE(CONTROL!$C$38, 0.0369, 0)</f>
        <v>39.452600000000004</v>
      </c>
      <c r="J632" s="26">
        <f>339.0207</f>
        <v>339.02069999999998</v>
      </c>
    </row>
    <row r="633" spans="1:10" ht="15.75" x14ac:dyDescent="0.25">
      <c r="A633" s="13">
        <v>60206</v>
      </c>
      <c r="B633" s="10">
        <f>43.0176 * CHOOSE(CONTROL!$C$15, $E$9, 100%, $G$9) + CHOOSE(CONTROL!$C$38, 0.0256, 0)</f>
        <v>43.043199999999999</v>
      </c>
      <c r="C633" s="10">
        <f>39.6475 * CHOOSE(CONTROL!$C$15, $E$9, 100%, $G$9) + CHOOSE(CONTROL!$C$38, 0.0347, 0)</f>
        <v>39.682200000000002</v>
      </c>
      <c r="D633" s="10">
        <f>39.6397 * CHOOSE(CONTROL!$C$15, $E$9, 100%, $G$9) + CHOOSE(CONTROL!$C$38, 0.0347, 0)</f>
        <v>39.674399999999999</v>
      </c>
      <c r="E633" s="28">
        <f>42.8614 * CHOOSE(CONTROL!$C$15, $E$9, 100%, $G$9) + CHOOSE(CONTROL!$C$38, 0.0347, 0)</f>
        <v>42.896100000000004</v>
      </c>
      <c r="F633" s="27">
        <f>42.8614 * CHOOSE(CONTROL!$C$15, $E$9, 100%, $G$9) + CHOOSE(CONTROL!$C$38, 0.0256, 0)</f>
        <v>42.887</v>
      </c>
      <c r="G633" s="10">
        <f>39.6459 * CHOOSE(CONTROL!$C$15, $E$9, 100%, $G$9) + CHOOSE(CONTROL!$C$38, 0.0347, 0)</f>
        <v>39.680599999999998</v>
      </c>
      <c r="H633" s="10">
        <f>39.6459 * CHOOSE(CONTROL!$C$15, $E$9, 100%, $G$9) + CHOOSE(CONTROL!$C$38, 0.0347, 0)</f>
        <v>39.680599999999998</v>
      </c>
      <c r="I633" s="10">
        <f>39.6475 * CHOOSE(CONTROL!$C$15, $E$9, 100%, $G$9) + CHOOSE(CONTROL!$C$38, 0.0347, 0)</f>
        <v>39.682200000000002</v>
      </c>
      <c r="J633" s="26">
        <f>327.297</f>
        <v>327.29700000000003</v>
      </c>
    </row>
    <row r="634" spans="1:10" ht="15.75" x14ac:dyDescent="0.25">
      <c r="A634" s="13">
        <v>60236</v>
      </c>
      <c r="B634" s="10">
        <f>43.2111 * CHOOSE(CONTROL!$C$15, $E$9, 100%, $G$9) + CHOOSE(CONTROL!$C$38, 0.0256, 0)</f>
        <v>43.236699999999999</v>
      </c>
      <c r="C634" s="10">
        <f>39.8409 * CHOOSE(CONTROL!$C$15, $E$9, 100%, $G$9) + CHOOSE(CONTROL!$C$38, 0.0347, 0)</f>
        <v>39.875599999999999</v>
      </c>
      <c r="D634" s="10">
        <f>39.8331 * CHOOSE(CONTROL!$C$15, $E$9, 100%, $G$9) + CHOOSE(CONTROL!$C$38, 0.0347, 0)</f>
        <v>39.867800000000003</v>
      </c>
      <c r="E634" s="28">
        <f>43.0548 * CHOOSE(CONTROL!$C$15, $E$9, 100%, $G$9) + CHOOSE(CONTROL!$C$38, 0.0347, 0)</f>
        <v>43.089500000000001</v>
      </c>
      <c r="F634" s="27">
        <f>43.0548 * CHOOSE(CONTROL!$C$15, $E$9, 100%, $G$9) + CHOOSE(CONTROL!$C$38, 0.0256, 0)</f>
        <v>43.080399999999997</v>
      </c>
      <c r="G634" s="10">
        <f>39.8394 * CHOOSE(CONTROL!$C$15, $E$9, 100%, $G$9) + CHOOSE(CONTROL!$C$38, 0.0347, 0)</f>
        <v>39.874099999999999</v>
      </c>
      <c r="H634" s="10">
        <f>39.8394 * CHOOSE(CONTROL!$C$15, $E$9, 100%, $G$9) + CHOOSE(CONTROL!$C$38, 0.0347, 0)</f>
        <v>39.874099999999999</v>
      </c>
      <c r="I634" s="10">
        <f>39.8409 * CHOOSE(CONTROL!$C$15, $E$9, 100%, $G$9) + CHOOSE(CONTROL!$C$38, 0.0347, 0)</f>
        <v>39.875599999999999</v>
      </c>
      <c r="J634" s="26">
        <f>324.9649</f>
        <v>324.9649</v>
      </c>
    </row>
    <row r="635" spans="1:10" ht="15.75" x14ac:dyDescent="0.25">
      <c r="A635" s="13">
        <v>60267</v>
      </c>
      <c r="B635" s="10">
        <f>43.8071 * CHOOSE(CONTROL!$C$15, $E$9, 100%, $G$9) + CHOOSE(CONTROL!$C$38, 0.0256, 0)</f>
        <v>43.832699999999996</v>
      </c>
      <c r="C635" s="10">
        <f>40.437 * CHOOSE(CONTROL!$C$15, $E$9, 100%, $G$9) + CHOOSE(CONTROL!$C$38, 0.0347, 0)</f>
        <v>40.471699999999998</v>
      </c>
      <c r="D635" s="10">
        <f>40.4292 * CHOOSE(CONTROL!$C$15, $E$9, 100%, $G$9) + CHOOSE(CONTROL!$C$38, 0.0347, 0)</f>
        <v>40.463900000000002</v>
      </c>
      <c r="E635" s="28">
        <f>43.6509 * CHOOSE(CONTROL!$C$15, $E$9, 100%, $G$9) + CHOOSE(CONTROL!$C$38, 0.0347, 0)</f>
        <v>43.685600000000001</v>
      </c>
      <c r="F635" s="27">
        <f>43.6509 * CHOOSE(CONTROL!$C$15, $E$9, 100%, $G$9) + CHOOSE(CONTROL!$C$38, 0.0256, 0)</f>
        <v>43.676499999999997</v>
      </c>
      <c r="G635" s="10">
        <f>40.4354 * CHOOSE(CONTROL!$C$15, $E$9, 100%, $G$9) + CHOOSE(CONTROL!$C$38, 0.0347, 0)</f>
        <v>40.470100000000002</v>
      </c>
      <c r="H635" s="10">
        <f>40.4354 * CHOOSE(CONTROL!$C$15, $E$9, 100%, $G$9) + CHOOSE(CONTROL!$C$38, 0.0347, 0)</f>
        <v>40.470100000000002</v>
      </c>
      <c r="I635" s="10">
        <f>40.437 * CHOOSE(CONTROL!$C$15, $E$9, 100%, $G$9) + CHOOSE(CONTROL!$C$38, 0.0347, 0)</f>
        <v>40.471699999999998</v>
      </c>
      <c r="J635" s="26">
        <f>315.3216</f>
        <v>315.32159999999999</v>
      </c>
    </row>
    <row r="636" spans="1:10" ht="15.75" x14ac:dyDescent="0.25">
      <c r="A636" s="13">
        <v>60298</v>
      </c>
      <c r="B636" s="10">
        <f>44.9768 * CHOOSE(CONTROL!$C$15, $E$9, 100%, $G$9) + CHOOSE(CONTROL!$C$38, 0.0256, 0)</f>
        <v>45.002399999999994</v>
      </c>
      <c r="C636" s="10">
        <f>41.5539 * CHOOSE(CONTROL!$C$15, $E$9, 100%, $G$9) + CHOOSE(CONTROL!$C$38, 0.0347, 0)</f>
        <v>41.5886</v>
      </c>
      <c r="D636" s="10">
        <f>41.5461 * CHOOSE(CONTROL!$C$15, $E$9, 100%, $G$9) + CHOOSE(CONTROL!$C$38, 0.0347, 0)</f>
        <v>41.580800000000004</v>
      </c>
      <c r="E636" s="28">
        <f>44.8205 * CHOOSE(CONTROL!$C$15, $E$9, 100%, $G$9) + CHOOSE(CONTROL!$C$38, 0.0347, 0)</f>
        <v>44.855200000000004</v>
      </c>
      <c r="F636" s="27">
        <f>44.8205 * CHOOSE(CONTROL!$C$15, $E$9, 100%, $G$9) + CHOOSE(CONTROL!$C$38, 0.0256, 0)</f>
        <v>44.8461</v>
      </c>
      <c r="G636" s="10">
        <f>41.5523 * CHOOSE(CONTROL!$C$15, $E$9, 100%, $G$9) + CHOOSE(CONTROL!$C$38, 0.0347, 0)</f>
        <v>41.587000000000003</v>
      </c>
      <c r="H636" s="10">
        <f>41.5523 * CHOOSE(CONTROL!$C$15, $E$9, 100%, $G$9) + CHOOSE(CONTROL!$C$38, 0.0347, 0)</f>
        <v>41.587000000000003</v>
      </c>
      <c r="I636" s="10">
        <f>41.5539 * CHOOSE(CONTROL!$C$15, $E$9, 100%, $G$9) + CHOOSE(CONTROL!$C$38, 0.0347, 0)</f>
        <v>41.5886</v>
      </c>
      <c r="J636" s="26">
        <f>314.7194</f>
        <v>314.71940000000001</v>
      </c>
    </row>
    <row r="637" spans="1:10" ht="15.75" x14ac:dyDescent="0.25">
      <c r="A637" s="13">
        <v>60326</v>
      </c>
      <c r="B637" s="10">
        <f>45.1975 * CHOOSE(CONTROL!$C$15, $E$9, 100%, $G$9) + CHOOSE(CONTROL!$C$38, 0.0256, 0)</f>
        <v>45.223099999999995</v>
      </c>
      <c r="C637" s="10">
        <f>41.7747 * CHOOSE(CONTROL!$C$15, $E$9, 100%, $G$9) + CHOOSE(CONTROL!$C$38, 0.0347, 0)</f>
        <v>41.809400000000004</v>
      </c>
      <c r="D637" s="10">
        <f>41.7669 * CHOOSE(CONTROL!$C$15, $E$9, 100%, $G$9) + CHOOSE(CONTROL!$C$38, 0.0347, 0)</f>
        <v>41.801600000000001</v>
      </c>
      <c r="E637" s="28">
        <f>45.0413 * CHOOSE(CONTROL!$C$15, $E$9, 100%, $G$9) + CHOOSE(CONTROL!$C$38, 0.0347, 0)</f>
        <v>45.076000000000001</v>
      </c>
      <c r="F637" s="27">
        <f>45.0413 * CHOOSE(CONTROL!$C$15, $E$9, 100%, $G$9) + CHOOSE(CONTROL!$C$38, 0.0256, 0)</f>
        <v>45.066899999999997</v>
      </c>
      <c r="G637" s="10">
        <f>41.7731 * CHOOSE(CONTROL!$C$15, $E$9, 100%, $G$9) + CHOOSE(CONTROL!$C$38, 0.0347, 0)</f>
        <v>41.8078</v>
      </c>
      <c r="H637" s="10">
        <f>41.7731 * CHOOSE(CONTROL!$C$15, $E$9, 100%, $G$9) + CHOOSE(CONTROL!$C$38, 0.0347, 0)</f>
        <v>41.8078</v>
      </c>
      <c r="I637" s="10">
        <f>41.7747 * CHOOSE(CONTROL!$C$15, $E$9, 100%, $G$9) + CHOOSE(CONTROL!$C$38, 0.0347, 0)</f>
        <v>41.809400000000004</v>
      </c>
      <c r="J637" s="26">
        <f>313.8446</f>
        <v>313.84460000000001</v>
      </c>
    </row>
    <row r="638" spans="1:10" ht="15.75" x14ac:dyDescent="0.25">
      <c r="A638" s="13">
        <v>60357</v>
      </c>
      <c r="B638" s="10">
        <f>44.6865 * CHOOSE(CONTROL!$C$15, $E$9, 100%, $G$9) + CHOOSE(CONTROL!$C$38, 0.0256, 0)</f>
        <v>44.7121</v>
      </c>
      <c r="C638" s="10">
        <f>41.2636 * CHOOSE(CONTROL!$C$15, $E$9, 100%, $G$9) + CHOOSE(CONTROL!$C$38, 0.0347, 0)</f>
        <v>41.298299999999998</v>
      </c>
      <c r="D638" s="10">
        <f>41.2558 * CHOOSE(CONTROL!$C$15, $E$9, 100%, $G$9) + CHOOSE(CONTROL!$C$38, 0.0347, 0)</f>
        <v>41.290500000000002</v>
      </c>
      <c r="E638" s="28">
        <f>44.5302 * CHOOSE(CONTROL!$C$15, $E$9, 100%, $G$9) + CHOOSE(CONTROL!$C$38, 0.0347, 0)</f>
        <v>44.564900000000002</v>
      </c>
      <c r="F638" s="27">
        <f>44.5302 * CHOOSE(CONTROL!$C$15, $E$9, 100%, $G$9) + CHOOSE(CONTROL!$C$38, 0.0256, 0)</f>
        <v>44.555799999999998</v>
      </c>
      <c r="G638" s="10">
        <f>41.2621 * CHOOSE(CONTROL!$C$15, $E$9, 100%, $G$9) + CHOOSE(CONTROL!$C$38, 0.0347, 0)</f>
        <v>41.296799999999998</v>
      </c>
      <c r="H638" s="10">
        <f>41.2621 * CHOOSE(CONTROL!$C$15, $E$9, 100%, $G$9) + CHOOSE(CONTROL!$C$38, 0.0347, 0)</f>
        <v>41.296799999999998</v>
      </c>
      <c r="I638" s="10">
        <f>41.2636 * CHOOSE(CONTROL!$C$15, $E$9, 100%, $G$9) + CHOOSE(CONTROL!$C$38, 0.0347, 0)</f>
        <v>41.298299999999998</v>
      </c>
      <c r="J638" s="26">
        <f>330.386</f>
        <v>330.38600000000002</v>
      </c>
    </row>
    <row r="639" spans="1:10" ht="15.75" x14ac:dyDescent="0.25">
      <c r="A639" s="13">
        <v>60387</v>
      </c>
      <c r="B639" s="10">
        <f>44.1913 * CHOOSE(CONTROL!$C$15, $E$9, 100%, $G$9) + CHOOSE(CONTROL!$C$38, 0.0256, 0)</f>
        <v>44.216899999999995</v>
      </c>
      <c r="C639" s="10">
        <f>40.7685 * CHOOSE(CONTROL!$C$15, $E$9, 100%, $G$9) + CHOOSE(CONTROL!$C$38, 0.0347, 0)</f>
        <v>40.803200000000004</v>
      </c>
      <c r="D639" s="10">
        <f>40.7606 * CHOOSE(CONTROL!$C$15, $E$9, 100%, $G$9) + CHOOSE(CONTROL!$C$38, 0.0347, 0)</f>
        <v>40.795299999999997</v>
      </c>
      <c r="E639" s="28">
        <f>44.0351 * CHOOSE(CONTROL!$C$15, $E$9, 100%, $G$9) + CHOOSE(CONTROL!$C$38, 0.0347, 0)</f>
        <v>44.069800000000001</v>
      </c>
      <c r="F639" s="27">
        <f>44.0351 * CHOOSE(CONTROL!$C$15, $E$9, 100%, $G$9) + CHOOSE(CONTROL!$C$38, 0.0256, 0)</f>
        <v>44.060699999999997</v>
      </c>
      <c r="G639" s="10">
        <f>40.7669 * CHOOSE(CONTROL!$C$15, $E$9, 100%, $G$9) + CHOOSE(CONTROL!$C$38, 0.0347, 0)</f>
        <v>40.801600000000001</v>
      </c>
      <c r="H639" s="10">
        <f>40.7669 * CHOOSE(CONTROL!$C$15, $E$9, 100%, $G$9) + CHOOSE(CONTROL!$C$38, 0.0347, 0)</f>
        <v>40.801600000000001</v>
      </c>
      <c r="I639" s="10">
        <f>40.7685 * CHOOSE(CONTROL!$C$15, $E$9, 100%, $G$9) + CHOOSE(CONTROL!$C$38, 0.0347, 0)</f>
        <v>40.803200000000004</v>
      </c>
      <c r="J639" s="26">
        <f>351.8363</f>
        <v>351.83629999999999</v>
      </c>
    </row>
    <row r="640" spans="1:10" ht="15.75" x14ac:dyDescent="0.25">
      <c r="A640" s="13">
        <v>60418</v>
      </c>
      <c r="B640" s="10">
        <f>43.6752 * CHOOSE(CONTROL!$C$15, $E$9, 100%, $G$9) + CHOOSE(CONTROL!$C$38, 0.0278, 0)</f>
        <v>43.702999999999996</v>
      </c>
      <c r="C640" s="10">
        <f>40.2523 * CHOOSE(CONTROL!$C$15, $E$9, 100%, $G$9) + CHOOSE(CONTROL!$C$38, 0.0369, 0)</f>
        <v>40.289200000000001</v>
      </c>
      <c r="D640" s="10">
        <f>40.2445 * CHOOSE(CONTROL!$C$15, $E$9, 100%, $G$9) + CHOOSE(CONTROL!$C$38, 0.0369, 0)</f>
        <v>40.281400000000005</v>
      </c>
      <c r="E640" s="28">
        <f>43.5189 * CHOOSE(CONTROL!$C$15, $E$9, 100%, $G$9) + CHOOSE(CONTROL!$C$38, 0.0369, 0)</f>
        <v>43.555800000000005</v>
      </c>
      <c r="F640" s="27">
        <f>43.5189 * CHOOSE(CONTROL!$C$15, $E$9, 100%, $G$9) + CHOOSE(CONTROL!$C$38, 0.0278, 0)</f>
        <v>43.546700000000001</v>
      </c>
      <c r="G640" s="10">
        <f>40.2508 * CHOOSE(CONTROL!$C$15, $E$9, 100%, $G$9) + CHOOSE(CONTROL!$C$38, 0.0369, 0)</f>
        <v>40.287700000000001</v>
      </c>
      <c r="H640" s="10">
        <f>40.2508 * CHOOSE(CONTROL!$C$15, $E$9, 100%, $G$9) + CHOOSE(CONTROL!$C$38, 0.0369, 0)</f>
        <v>40.287700000000001</v>
      </c>
      <c r="I640" s="10">
        <f>40.2523 * CHOOSE(CONTROL!$C$15, $E$9, 100%, $G$9) + CHOOSE(CONTROL!$C$38, 0.0369, 0)</f>
        <v>40.289200000000001</v>
      </c>
      <c r="J640" s="26">
        <f>363.6432</f>
        <v>363.64319999999998</v>
      </c>
    </row>
    <row r="641" spans="1:10" ht="15.75" x14ac:dyDescent="0.25">
      <c r="A641" s="13">
        <v>60448</v>
      </c>
      <c r="B641" s="10">
        <f>43.3134 * CHOOSE(CONTROL!$C$15, $E$9, 100%, $G$9) + CHOOSE(CONTROL!$C$38, 0.0278, 0)</f>
        <v>43.341200000000001</v>
      </c>
      <c r="C641" s="10">
        <f>39.8905 * CHOOSE(CONTROL!$C$15, $E$9, 100%, $G$9) + CHOOSE(CONTROL!$C$38, 0.0369, 0)</f>
        <v>39.927400000000006</v>
      </c>
      <c r="D641" s="10">
        <f>39.8827 * CHOOSE(CONTROL!$C$15, $E$9, 100%, $G$9) + CHOOSE(CONTROL!$C$38, 0.0369, 0)</f>
        <v>39.919600000000003</v>
      </c>
      <c r="E641" s="28">
        <f>43.1571 * CHOOSE(CONTROL!$C$15, $E$9, 100%, $G$9) + CHOOSE(CONTROL!$C$38, 0.0369, 0)</f>
        <v>43.194000000000003</v>
      </c>
      <c r="F641" s="27">
        <f>43.1571 * CHOOSE(CONTROL!$C$15, $E$9, 100%, $G$9) + CHOOSE(CONTROL!$C$38, 0.0278, 0)</f>
        <v>43.184899999999999</v>
      </c>
      <c r="G641" s="10">
        <f>39.889 * CHOOSE(CONTROL!$C$15, $E$9, 100%, $G$9) + CHOOSE(CONTROL!$C$38, 0.0369, 0)</f>
        <v>39.925900000000006</v>
      </c>
      <c r="H641" s="10">
        <f>39.889 * CHOOSE(CONTROL!$C$15, $E$9, 100%, $G$9) + CHOOSE(CONTROL!$C$38, 0.0369, 0)</f>
        <v>39.925900000000006</v>
      </c>
      <c r="I641" s="10">
        <f>39.8905 * CHOOSE(CONTROL!$C$15, $E$9, 100%, $G$9) + CHOOSE(CONTROL!$C$38, 0.0369, 0)</f>
        <v>39.927400000000006</v>
      </c>
      <c r="J641" s="26">
        <f>368.8829</f>
        <v>368.88290000000001</v>
      </c>
    </row>
    <row r="642" spans="1:10" ht="15.75" x14ac:dyDescent="0.25">
      <c r="A642" s="13">
        <v>60479</v>
      </c>
      <c r="B642" s="10">
        <f>43.1069 * CHOOSE(CONTROL!$C$15, $E$9, 100%, $G$9) + CHOOSE(CONTROL!$C$38, 0.0278, 0)</f>
        <v>43.134700000000002</v>
      </c>
      <c r="C642" s="10">
        <f>39.684 * CHOOSE(CONTROL!$C$15, $E$9, 100%, $G$9) + CHOOSE(CONTROL!$C$38, 0.0369, 0)</f>
        <v>39.7209</v>
      </c>
      <c r="D642" s="10">
        <f>39.6762 * CHOOSE(CONTROL!$C$15, $E$9, 100%, $G$9) + CHOOSE(CONTROL!$C$38, 0.0369, 0)</f>
        <v>39.713100000000004</v>
      </c>
      <c r="E642" s="28">
        <f>42.9506 * CHOOSE(CONTROL!$C$15, $E$9, 100%, $G$9) + CHOOSE(CONTROL!$C$38, 0.0369, 0)</f>
        <v>42.987500000000004</v>
      </c>
      <c r="F642" s="27">
        <f>42.9506 * CHOOSE(CONTROL!$C$15, $E$9, 100%, $G$9) + CHOOSE(CONTROL!$C$38, 0.0278, 0)</f>
        <v>42.978400000000001</v>
      </c>
      <c r="G642" s="10">
        <f>39.6825 * CHOOSE(CONTROL!$C$15, $E$9, 100%, $G$9) + CHOOSE(CONTROL!$C$38, 0.0369, 0)</f>
        <v>39.7194</v>
      </c>
      <c r="H642" s="10">
        <f>39.6825 * CHOOSE(CONTROL!$C$15, $E$9, 100%, $G$9) + CHOOSE(CONTROL!$C$38, 0.0369, 0)</f>
        <v>39.7194</v>
      </c>
      <c r="I642" s="10">
        <f>39.684 * CHOOSE(CONTROL!$C$15, $E$9, 100%, $G$9) + CHOOSE(CONTROL!$C$38, 0.0369, 0)</f>
        <v>39.7209</v>
      </c>
      <c r="J642" s="26">
        <f>367.1578</f>
        <v>367.15780000000001</v>
      </c>
    </row>
    <row r="643" spans="1:10" ht="15.75" x14ac:dyDescent="0.25">
      <c r="A643" s="13">
        <v>60510</v>
      </c>
      <c r="B643" s="10">
        <f>43.2088 * CHOOSE(CONTROL!$C$15, $E$9, 100%, $G$9) + CHOOSE(CONTROL!$C$38, 0.0278, 0)</f>
        <v>43.236599999999996</v>
      </c>
      <c r="C643" s="10">
        <f>39.7859 * CHOOSE(CONTROL!$C$15, $E$9, 100%, $G$9) + CHOOSE(CONTROL!$C$38, 0.0369, 0)</f>
        <v>39.822800000000001</v>
      </c>
      <c r="D643" s="10">
        <f>39.7781 * CHOOSE(CONTROL!$C$15, $E$9, 100%, $G$9) + CHOOSE(CONTROL!$C$38, 0.0369, 0)</f>
        <v>39.815000000000005</v>
      </c>
      <c r="E643" s="28">
        <f>43.0525 * CHOOSE(CONTROL!$C$15, $E$9, 100%, $G$9) + CHOOSE(CONTROL!$C$38, 0.0369, 0)</f>
        <v>43.089400000000005</v>
      </c>
      <c r="F643" s="27">
        <f>43.0525 * CHOOSE(CONTROL!$C$15, $E$9, 100%, $G$9) + CHOOSE(CONTROL!$C$38, 0.0278, 0)</f>
        <v>43.080300000000001</v>
      </c>
      <c r="G643" s="10">
        <f>39.7844 * CHOOSE(CONTROL!$C$15, $E$9, 100%, $G$9) + CHOOSE(CONTROL!$C$38, 0.0369, 0)</f>
        <v>39.821300000000001</v>
      </c>
      <c r="H643" s="10">
        <f>39.7844 * CHOOSE(CONTROL!$C$15, $E$9, 100%, $G$9) + CHOOSE(CONTROL!$C$38, 0.0369, 0)</f>
        <v>39.821300000000001</v>
      </c>
      <c r="I643" s="10">
        <f>39.7859 * CHOOSE(CONTROL!$C$15, $E$9, 100%, $G$9) + CHOOSE(CONTROL!$C$38, 0.0369, 0)</f>
        <v>39.822800000000001</v>
      </c>
      <c r="J643" s="26">
        <f>358.6105</f>
        <v>358.6105</v>
      </c>
    </row>
    <row r="644" spans="1:10" ht="15.75" x14ac:dyDescent="0.25">
      <c r="A644" s="13">
        <v>60540</v>
      </c>
      <c r="B644" s="10">
        <f>43.4856 * CHOOSE(CONTROL!$C$15, $E$9, 100%, $G$9) + CHOOSE(CONTROL!$C$38, 0.0278, 0)</f>
        <v>43.513399999999997</v>
      </c>
      <c r="C644" s="10">
        <f>40.0627 * CHOOSE(CONTROL!$C$15, $E$9, 100%, $G$9) + CHOOSE(CONTROL!$C$38, 0.0369, 0)</f>
        <v>40.099600000000002</v>
      </c>
      <c r="D644" s="10">
        <f>40.0549 * CHOOSE(CONTROL!$C$15, $E$9, 100%, $G$9) + CHOOSE(CONTROL!$C$38, 0.0369, 0)</f>
        <v>40.091800000000006</v>
      </c>
      <c r="E644" s="28">
        <f>43.3293 * CHOOSE(CONTROL!$C$15, $E$9, 100%, $G$9) + CHOOSE(CONTROL!$C$38, 0.0369, 0)</f>
        <v>43.366200000000006</v>
      </c>
      <c r="F644" s="27">
        <f>43.3293 * CHOOSE(CONTROL!$C$15, $E$9, 100%, $G$9) + CHOOSE(CONTROL!$C$38, 0.0278, 0)</f>
        <v>43.357100000000003</v>
      </c>
      <c r="G644" s="10">
        <f>40.0612 * CHOOSE(CONTROL!$C$15, $E$9, 100%, $G$9) + CHOOSE(CONTROL!$C$38, 0.0369, 0)</f>
        <v>40.098100000000002</v>
      </c>
      <c r="H644" s="10">
        <f>40.0612 * CHOOSE(CONTROL!$C$15, $E$9, 100%, $G$9) + CHOOSE(CONTROL!$C$38, 0.0369, 0)</f>
        <v>40.098100000000002</v>
      </c>
      <c r="I644" s="10">
        <f>40.0627 * CHOOSE(CONTROL!$C$15, $E$9, 100%, $G$9) + CHOOSE(CONTROL!$C$38, 0.0369, 0)</f>
        <v>40.099600000000002</v>
      </c>
      <c r="J644" s="26">
        <f>346.6909</f>
        <v>346.6909</v>
      </c>
    </row>
    <row r="645" spans="1:10" ht="15.75" x14ac:dyDescent="0.25">
      <c r="A645" s="13">
        <v>60571</v>
      </c>
      <c r="B645" s="10">
        <f>43.7174 * CHOOSE(CONTROL!$C$15, $E$9, 100%, $G$9) + CHOOSE(CONTROL!$C$38, 0.0256, 0)</f>
        <v>43.742999999999995</v>
      </c>
      <c r="C645" s="10">
        <f>40.2946 * CHOOSE(CONTROL!$C$15, $E$9, 100%, $G$9) + CHOOSE(CONTROL!$C$38, 0.0347, 0)</f>
        <v>40.329300000000003</v>
      </c>
      <c r="D645" s="10">
        <f>40.2867 * CHOOSE(CONTROL!$C$15, $E$9, 100%, $G$9) + CHOOSE(CONTROL!$C$38, 0.0347, 0)</f>
        <v>40.321400000000004</v>
      </c>
      <c r="E645" s="28">
        <f>43.5611 * CHOOSE(CONTROL!$C$15, $E$9, 100%, $G$9) + CHOOSE(CONTROL!$C$38, 0.0347, 0)</f>
        <v>43.595800000000004</v>
      </c>
      <c r="F645" s="27">
        <f>43.5611 * CHOOSE(CONTROL!$C$15, $E$9, 100%, $G$9) + CHOOSE(CONTROL!$C$38, 0.0256, 0)</f>
        <v>43.5867</v>
      </c>
      <c r="G645" s="10">
        <f>40.293 * CHOOSE(CONTROL!$C$15, $E$9, 100%, $G$9) + CHOOSE(CONTROL!$C$38, 0.0347, 0)</f>
        <v>40.3277</v>
      </c>
      <c r="H645" s="10">
        <f>40.293 * CHOOSE(CONTROL!$C$15, $E$9, 100%, $G$9) + CHOOSE(CONTROL!$C$38, 0.0347, 0)</f>
        <v>40.3277</v>
      </c>
      <c r="I645" s="10">
        <f>40.2946 * CHOOSE(CONTROL!$C$15, $E$9, 100%, $G$9) + CHOOSE(CONTROL!$C$38, 0.0347, 0)</f>
        <v>40.329300000000003</v>
      </c>
      <c r="J645" s="26">
        <f>334.702</f>
        <v>334.702</v>
      </c>
    </row>
    <row r="646" spans="1:10" ht="15.75" x14ac:dyDescent="0.25">
      <c r="A646" s="13">
        <v>60601</v>
      </c>
      <c r="B646" s="10">
        <f>43.9108 * CHOOSE(CONTROL!$C$15, $E$9, 100%, $G$9) + CHOOSE(CONTROL!$C$38, 0.0256, 0)</f>
        <v>43.936399999999999</v>
      </c>
      <c r="C646" s="10">
        <f>40.488 * CHOOSE(CONTROL!$C$15, $E$9, 100%, $G$9) + CHOOSE(CONTROL!$C$38, 0.0347, 0)</f>
        <v>40.5227</v>
      </c>
      <c r="D646" s="10">
        <f>40.4802 * CHOOSE(CONTROL!$C$15, $E$9, 100%, $G$9) + CHOOSE(CONTROL!$C$38, 0.0347, 0)</f>
        <v>40.514900000000004</v>
      </c>
      <c r="E646" s="28">
        <f>43.7546 * CHOOSE(CONTROL!$C$15, $E$9, 100%, $G$9) + CHOOSE(CONTROL!$C$38, 0.0347, 0)</f>
        <v>43.789300000000004</v>
      </c>
      <c r="F646" s="27">
        <f>43.7546 * CHOOSE(CONTROL!$C$15, $E$9, 100%, $G$9) + CHOOSE(CONTROL!$C$38, 0.0256, 0)</f>
        <v>43.780200000000001</v>
      </c>
      <c r="G646" s="10">
        <f>40.4864 * CHOOSE(CONTROL!$C$15, $E$9, 100%, $G$9) + CHOOSE(CONTROL!$C$38, 0.0347, 0)</f>
        <v>40.521100000000004</v>
      </c>
      <c r="H646" s="10">
        <f>40.4864 * CHOOSE(CONTROL!$C$15, $E$9, 100%, $G$9) + CHOOSE(CONTROL!$C$38, 0.0347, 0)</f>
        <v>40.521100000000004</v>
      </c>
      <c r="I646" s="10">
        <f>40.488 * CHOOSE(CONTROL!$C$15, $E$9, 100%, $G$9) + CHOOSE(CONTROL!$C$38, 0.0347, 0)</f>
        <v>40.5227</v>
      </c>
      <c r="J646" s="26">
        <f>332.3171</f>
        <v>332.31709999999998</v>
      </c>
    </row>
    <row r="647" spans="1:10" ht="15.75" x14ac:dyDescent="0.25">
      <c r="A647" s="13">
        <v>60632</v>
      </c>
      <c r="B647" s="10">
        <f>44.5069 * CHOOSE(CONTROL!$C$15, $E$9, 100%, $G$9) + CHOOSE(CONTROL!$C$38, 0.0256, 0)</f>
        <v>44.532499999999999</v>
      </c>
      <c r="C647" s="10">
        <f>41.0841 * CHOOSE(CONTROL!$C$15, $E$9, 100%, $G$9) + CHOOSE(CONTROL!$C$38, 0.0347, 0)</f>
        <v>41.1188</v>
      </c>
      <c r="D647" s="10">
        <f>41.0763 * CHOOSE(CONTROL!$C$15, $E$9, 100%, $G$9) + CHOOSE(CONTROL!$C$38, 0.0347, 0)</f>
        <v>41.111000000000004</v>
      </c>
      <c r="E647" s="28">
        <f>44.3507 * CHOOSE(CONTROL!$C$15, $E$9, 100%, $G$9) + CHOOSE(CONTROL!$C$38, 0.0347, 0)</f>
        <v>44.385400000000004</v>
      </c>
      <c r="F647" s="27">
        <f>44.3507 * CHOOSE(CONTROL!$C$15, $E$9, 100%, $G$9) + CHOOSE(CONTROL!$C$38, 0.0256, 0)</f>
        <v>44.376300000000001</v>
      </c>
      <c r="G647" s="10">
        <f>41.0825 * CHOOSE(CONTROL!$C$15, $E$9, 100%, $G$9) + CHOOSE(CONTROL!$C$38, 0.0347, 0)</f>
        <v>41.117200000000004</v>
      </c>
      <c r="H647" s="10">
        <f>41.0825 * CHOOSE(CONTROL!$C$15, $E$9, 100%, $G$9) + CHOOSE(CONTROL!$C$38, 0.0347, 0)</f>
        <v>41.117200000000004</v>
      </c>
      <c r="I647" s="10">
        <f>41.0841 * CHOOSE(CONTROL!$C$15, $E$9, 100%, $G$9) + CHOOSE(CONTROL!$C$38, 0.0347, 0)</f>
        <v>41.1188</v>
      </c>
      <c r="J647" s="26">
        <f>322.4556</f>
        <v>322.4556</v>
      </c>
    </row>
    <row r="648" spans="1:10" ht="15.75" x14ac:dyDescent="0.25">
      <c r="A648" s="13">
        <v>60663</v>
      </c>
      <c r="B648" s="10">
        <f>45.688 * CHOOSE(CONTROL!$C$15, $E$9, 100%, $G$9) + CHOOSE(CONTROL!$C$38, 0.0256, 0)</f>
        <v>45.7136</v>
      </c>
      <c r="C648" s="10">
        <f>42.2116 * CHOOSE(CONTROL!$C$15, $E$9, 100%, $G$9) + CHOOSE(CONTROL!$C$38, 0.0347, 0)</f>
        <v>42.246299999999998</v>
      </c>
      <c r="D648" s="10">
        <f>42.2038 * CHOOSE(CONTROL!$C$15, $E$9, 100%, $G$9) + CHOOSE(CONTROL!$C$38, 0.0347, 0)</f>
        <v>42.238500000000002</v>
      </c>
      <c r="E648" s="28">
        <f>45.5317 * CHOOSE(CONTROL!$C$15, $E$9, 100%, $G$9) + CHOOSE(CONTROL!$C$38, 0.0347, 0)</f>
        <v>45.566400000000002</v>
      </c>
      <c r="F648" s="27">
        <f>45.5317 * CHOOSE(CONTROL!$C$15, $E$9, 100%, $G$9) + CHOOSE(CONTROL!$C$38, 0.0256, 0)</f>
        <v>45.557299999999998</v>
      </c>
      <c r="G648" s="10">
        <f>42.21 * CHOOSE(CONTROL!$C$15, $E$9, 100%, $G$9) + CHOOSE(CONTROL!$C$38, 0.0347, 0)</f>
        <v>42.244700000000002</v>
      </c>
      <c r="H648" s="10">
        <f>42.21 * CHOOSE(CONTROL!$C$15, $E$9, 100%, $G$9) + CHOOSE(CONTROL!$C$38, 0.0347, 0)</f>
        <v>42.244700000000002</v>
      </c>
      <c r="I648" s="10">
        <f>42.2116 * CHOOSE(CONTROL!$C$15, $E$9, 100%, $G$9) + CHOOSE(CONTROL!$C$38, 0.0347, 0)</f>
        <v>42.246299999999998</v>
      </c>
      <c r="J648" s="26">
        <f>321.8398</f>
        <v>321.83980000000003</v>
      </c>
    </row>
    <row r="649" spans="1:10" ht="15.75" x14ac:dyDescent="0.25">
      <c r="A649" s="13">
        <v>60691</v>
      </c>
      <c r="B649" s="10">
        <f>45.9088 * CHOOSE(CONTROL!$C$15, $E$9, 100%, $G$9) + CHOOSE(CONTROL!$C$38, 0.0256, 0)</f>
        <v>45.934399999999997</v>
      </c>
      <c r="C649" s="10">
        <f>42.4324 * CHOOSE(CONTROL!$C$15, $E$9, 100%, $G$9) + CHOOSE(CONTROL!$C$38, 0.0347, 0)</f>
        <v>42.467100000000002</v>
      </c>
      <c r="D649" s="10">
        <f>42.4245 * CHOOSE(CONTROL!$C$15, $E$9, 100%, $G$9) + CHOOSE(CONTROL!$C$38, 0.0347, 0)</f>
        <v>42.459200000000003</v>
      </c>
      <c r="E649" s="28">
        <f>45.7525 * CHOOSE(CONTROL!$C$15, $E$9, 100%, $G$9) + CHOOSE(CONTROL!$C$38, 0.0347, 0)</f>
        <v>45.787199999999999</v>
      </c>
      <c r="F649" s="27">
        <f>45.7525 * CHOOSE(CONTROL!$C$15, $E$9, 100%, $G$9) + CHOOSE(CONTROL!$C$38, 0.0256, 0)</f>
        <v>45.778099999999995</v>
      </c>
      <c r="G649" s="10">
        <f>42.4308 * CHOOSE(CONTROL!$C$15, $E$9, 100%, $G$9) + CHOOSE(CONTROL!$C$38, 0.0347, 0)</f>
        <v>42.465499999999999</v>
      </c>
      <c r="H649" s="10">
        <f>42.4308 * CHOOSE(CONTROL!$C$15, $E$9, 100%, $G$9) + CHOOSE(CONTROL!$C$38, 0.0347, 0)</f>
        <v>42.465499999999999</v>
      </c>
      <c r="I649" s="10">
        <f>42.4324 * CHOOSE(CONTROL!$C$15, $E$9, 100%, $G$9) + CHOOSE(CONTROL!$C$38, 0.0347, 0)</f>
        <v>42.467100000000002</v>
      </c>
      <c r="J649" s="26">
        <f>320.9452</f>
        <v>320.9452</v>
      </c>
    </row>
    <row r="650" spans="1:10" ht="15.75" x14ac:dyDescent="0.25">
      <c r="A650" s="13">
        <v>60722</v>
      </c>
      <c r="B650" s="10">
        <f>45.3977 * CHOOSE(CONTROL!$C$15, $E$9, 100%, $G$9) + CHOOSE(CONTROL!$C$38, 0.0256, 0)</f>
        <v>45.423299999999998</v>
      </c>
      <c r="C650" s="10">
        <f>41.9213 * CHOOSE(CONTROL!$C$15, $E$9, 100%, $G$9) + CHOOSE(CONTROL!$C$38, 0.0347, 0)</f>
        <v>41.956000000000003</v>
      </c>
      <c r="D650" s="10">
        <f>41.9135 * CHOOSE(CONTROL!$C$15, $E$9, 100%, $G$9) + CHOOSE(CONTROL!$C$38, 0.0347, 0)</f>
        <v>41.9482</v>
      </c>
      <c r="E650" s="28">
        <f>45.2415 * CHOOSE(CONTROL!$C$15, $E$9, 100%, $G$9) + CHOOSE(CONTROL!$C$38, 0.0347, 0)</f>
        <v>45.276200000000003</v>
      </c>
      <c r="F650" s="27">
        <f>45.2415 * CHOOSE(CONTROL!$C$15, $E$9, 100%, $G$9) + CHOOSE(CONTROL!$C$38, 0.0256, 0)</f>
        <v>45.267099999999999</v>
      </c>
      <c r="G650" s="10">
        <f>41.9198 * CHOOSE(CONTROL!$C$15, $E$9, 100%, $G$9) + CHOOSE(CONTROL!$C$38, 0.0347, 0)</f>
        <v>41.954500000000003</v>
      </c>
      <c r="H650" s="10">
        <f>41.9198 * CHOOSE(CONTROL!$C$15, $E$9, 100%, $G$9) + CHOOSE(CONTROL!$C$38, 0.0347, 0)</f>
        <v>41.954500000000003</v>
      </c>
      <c r="I650" s="10">
        <f>41.9213 * CHOOSE(CONTROL!$C$15, $E$9, 100%, $G$9) + CHOOSE(CONTROL!$C$38, 0.0347, 0)</f>
        <v>41.956000000000003</v>
      </c>
      <c r="J650" s="26">
        <f>337.8608</f>
        <v>337.86079999999998</v>
      </c>
    </row>
    <row r="651" spans="1:10" ht="15.75" x14ac:dyDescent="0.25">
      <c r="A651" s="13">
        <v>60752</v>
      </c>
      <c r="B651" s="10">
        <f>44.9025 * CHOOSE(CONTROL!$C$15, $E$9, 100%, $G$9) + CHOOSE(CONTROL!$C$38, 0.0256, 0)</f>
        <v>44.928100000000001</v>
      </c>
      <c r="C651" s="10">
        <f>41.4261 * CHOOSE(CONTROL!$C$15, $E$9, 100%, $G$9) + CHOOSE(CONTROL!$C$38, 0.0347, 0)</f>
        <v>41.460799999999999</v>
      </c>
      <c r="D651" s="10">
        <f>41.4183 * CHOOSE(CONTROL!$C$15, $E$9, 100%, $G$9) + CHOOSE(CONTROL!$C$38, 0.0347, 0)</f>
        <v>41.453000000000003</v>
      </c>
      <c r="E651" s="28">
        <f>44.7463 * CHOOSE(CONTROL!$C$15, $E$9, 100%, $G$9) + CHOOSE(CONTROL!$C$38, 0.0347, 0)</f>
        <v>44.780999999999999</v>
      </c>
      <c r="F651" s="27">
        <f>44.7463 * CHOOSE(CONTROL!$C$15, $E$9, 100%, $G$9) + CHOOSE(CONTROL!$C$38, 0.0256, 0)</f>
        <v>44.771899999999995</v>
      </c>
      <c r="G651" s="10">
        <f>41.4246 * CHOOSE(CONTROL!$C$15, $E$9, 100%, $G$9) + CHOOSE(CONTROL!$C$38, 0.0347, 0)</f>
        <v>41.459299999999999</v>
      </c>
      <c r="H651" s="10">
        <f>41.4246 * CHOOSE(CONTROL!$C$15, $E$9, 100%, $G$9) + CHOOSE(CONTROL!$C$38, 0.0347, 0)</f>
        <v>41.459299999999999</v>
      </c>
      <c r="I651" s="10">
        <f>41.4261 * CHOOSE(CONTROL!$C$15, $E$9, 100%, $G$9) + CHOOSE(CONTROL!$C$38, 0.0347, 0)</f>
        <v>41.460799999999999</v>
      </c>
      <c r="J651" s="26">
        <f>359.7964</f>
        <v>359.79640000000001</v>
      </c>
    </row>
    <row r="652" spans="1:10" ht="15.75" x14ac:dyDescent="0.25">
      <c r="A652" s="13">
        <v>60783</v>
      </c>
      <c r="B652" s="10">
        <f>44.3864 * CHOOSE(CONTROL!$C$15, $E$9, 100%, $G$9) + CHOOSE(CONTROL!$C$38, 0.0278, 0)</f>
        <v>44.414200000000001</v>
      </c>
      <c r="C652" s="10">
        <f>40.91 * CHOOSE(CONTROL!$C$15, $E$9, 100%, $G$9) + CHOOSE(CONTROL!$C$38, 0.0369, 0)</f>
        <v>40.946899999999999</v>
      </c>
      <c r="D652" s="10">
        <f>40.9022 * CHOOSE(CONTROL!$C$15, $E$9, 100%, $G$9) + CHOOSE(CONTROL!$C$38, 0.0369, 0)</f>
        <v>40.939100000000003</v>
      </c>
      <c r="E652" s="28">
        <f>44.2302 * CHOOSE(CONTROL!$C$15, $E$9, 100%, $G$9) + CHOOSE(CONTROL!$C$38, 0.0369, 0)</f>
        <v>44.267100000000006</v>
      </c>
      <c r="F652" s="27">
        <f>44.2302 * CHOOSE(CONTROL!$C$15, $E$9, 100%, $G$9) + CHOOSE(CONTROL!$C$38, 0.0278, 0)</f>
        <v>44.258000000000003</v>
      </c>
      <c r="G652" s="10">
        <f>40.9085 * CHOOSE(CONTROL!$C$15, $E$9, 100%, $G$9) + CHOOSE(CONTROL!$C$38, 0.0369, 0)</f>
        <v>40.945399999999999</v>
      </c>
      <c r="H652" s="10">
        <f>40.9085 * CHOOSE(CONTROL!$C$15, $E$9, 100%, $G$9) + CHOOSE(CONTROL!$C$38, 0.0369, 0)</f>
        <v>40.945399999999999</v>
      </c>
      <c r="I652" s="10">
        <f>40.91 * CHOOSE(CONTROL!$C$15, $E$9, 100%, $G$9) + CHOOSE(CONTROL!$C$38, 0.0369, 0)</f>
        <v>40.946899999999999</v>
      </c>
      <c r="J652" s="26">
        <f>371.8704</f>
        <v>371.87040000000002</v>
      </c>
    </row>
    <row r="653" spans="1:10" ht="15.75" x14ac:dyDescent="0.25">
      <c r="A653" s="13">
        <v>60813</v>
      </c>
      <c r="B653" s="10">
        <f>44.0246 * CHOOSE(CONTROL!$C$15, $E$9, 100%, $G$9) + CHOOSE(CONTROL!$C$38, 0.0278, 0)</f>
        <v>44.052399999999999</v>
      </c>
      <c r="C653" s="10">
        <f>40.5482 * CHOOSE(CONTROL!$C$15, $E$9, 100%, $G$9) + CHOOSE(CONTROL!$C$38, 0.0369, 0)</f>
        <v>40.585100000000004</v>
      </c>
      <c r="D653" s="10">
        <f>40.5404 * CHOOSE(CONTROL!$C$15, $E$9, 100%, $G$9) + CHOOSE(CONTROL!$C$38, 0.0369, 0)</f>
        <v>40.577300000000001</v>
      </c>
      <c r="E653" s="28">
        <f>43.8683 * CHOOSE(CONTROL!$C$15, $E$9, 100%, $G$9) + CHOOSE(CONTROL!$C$38, 0.0369, 0)</f>
        <v>43.905200000000001</v>
      </c>
      <c r="F653" s="27">
        <f>43.8683 * CHOOSE(CONTROL!$C$15, $E$9, 100%, $G$9) + CHOOSE(CONTROL!$C$38, 0.0278, 0)</f>
        <v>43.896099999999997</v>
      </c>
      <c r="G653" s="10">
        <f>40.5466 * CHOOSE(CONTROL!$C$15, $E$9, 100%, $G$9) + CHOOSE(CONTROL!$C$38, 0.0369, 0)</f>
        <v>40.583500000000001</v>
      </c>
      <c r="H653" s="10">
        <f>40.5466 * CHOOSE(CONTROL!$C$15, $E$9, 100%, $G$9) + CHOOSE(CONTROL!$C$38, 0.0369, 0)</f>
        <v>40.583500000000001</v>
      </c>
      <c r="I653" s="10">
        <f>40.5482 * CHOOSE(CONTROL!$C$15, $E$9, 100%, $G$9) + CHOOSE(CONTROL!$C$38, 0.0369, 0)</f>
        <v>40.585100000000004</v>
      </c>
      <c r="J653" s="26">
        <f>377.2287</f>
        <v>377.2287</v>
      </c>
    </row>
    <row r="654" spans="1:10" ht="15.75" x14ac:dyDescent="0.25">
      <c r="A654" s="13">
        <v>60844</v>
      </c>
      <c r="B654" s="10">
        <f>43.8181 * CHOOSE(CONTROL!$C$15, $E$9, 100%, $G$9) + CHOOSE(CONTROL!$C$38, 0.0278, 0)</f>
        <v>43.8459</v>
      </c>
      <c r="C654" s="10">
        <f>40.3417 * CHOOSE(CONTROL!$C$15, $E$9, 100%, $G$9) + CHOOSE(CONTROL!$C$38, 0.0369, 0)</f>
        <v>40.378600000000006</v>
      </c>
      <c r="D654" s="10">
        <f>40.3339 * CHOOSE(CONTROL!$C$15, $E$9, 100%, $G$9) + CHOOSE(CONTROL!$C$38, 0.0369, 0)</f>
        <v>40.370800000000003</v>
      </c>
      <c r="E654" s="28">
        <f>43.6619 * CHOOSE(CONTROL!$C$15, $E$9, 100%, $G$9) + CHOOSE(CONTROL!$C$38, 0.0369, 0)</f>
        <v>43.698800000000006</v>
      </c>
      <c r="F654" s="27">
        <f>43.6619 * CHOOSE(CONTROL!$C$15, $E$9, 100%, $G$9) + CHOOSE(CONTROL!$C$38, 0.0278, 0)</f>
        <v>43.689700000000002</v>
      </c>
      <c r="G654" s="10">
        <f>40.3401 * CHOOSE(CONTROL!$C$15, $E$9, 100%, $G$9) + CHOOSE(CONTROL!$C$38, 0.0369, 0)</f>
        <v>40.377000000000002</v>
      </c>
      <c r="H654" s="10">
        <f>40.3401 * CHOOSE(CONTROL!$C$15, $E$9, 100%, $G$9) + CHOOSE(CONTROL!$C$38, 0.0369, 0)</f>
        <v>40.377000000000002</v>
      </c>
      <c r="I654" s="10">
        <f>40.3417 * CHOOSE(CONTROL!$C$15, $E$9, 100%, $G$9) + CHOOSE(CONTROL!$C$38, 0.0369, 0)</f>
        <v>40.378600000000006</v>
      </c>
      <c r="J654" s="26">
        <f>375.4645</f>
        <v>375.46449999999999</v>
      </c>
    </row>
    <row r="655" spans="1:10" ht="15.75" x14ac:dyDescent="0.25">
      <c r="A655" s="13">
        <v>60875</v>
      </c>
      <c r="B655" s="10">
        <f>43.92 * CHOOSE(CONTROL!$C$15, $E$9, 100%, $G$9) + CHOOSE(CONTROL!$C$38, 0.0278, 0)</f>
        <v>43.947800000000001</v>
      </c>
      <c r="C655" s="10">
        <f>40.4436 * CHOOSE(CONTROL!$C$15, $E$9, 100%, $G$9) + CHOOSE(CONTROL!$C$38, 0.0369, 0)</f>
        <v>40.480500000000006</v>
      </c>
      <c r="D655" s="10">
        <f>40.4358 * CHOOSE(CONTROL!$C$15, $E$9, 100%, $G$9) + CHOOSE(CONTROL!$C$38, 0.0369, 0)</f>
        <v>40.472700000000003</v>
      </c>
      <c r="E655" s="28">
        <f>43.7638 * CHOOSE(CONTROL!$C$15, $E$9, 100%, $G$9) + CHOOSE(CONTROL!$C$38, 0.0369, 0)</f>
        <v>43.800700000000006</v>
      </c>
      <c r="F655" s="27">
        <f>43.7638 * CHOOSE(CONTROL!$C$15, $E$9, 100%, $G$9) + CHOOSE(CONTROL!$C$38, 0.0278, 0)</f>
        <v>43.791600000000003</v>
      </c>
      <c r="G655" s="10">
        <f>40.4421 * CHOOSE(CONTROL!$C$15, $E$9, 100%, $G$9) + CHOOSE(CONTROL!$C$38, 0.0369, 0)</f>
        <v>40.479000000000006</v>
      </c>
      <c r="H655" s="10">
        <f>40.4421 * CHOOSE(CONTROL!$C$15, $E$9, 100%, $G$9) + CHOOSE(CONTROL!$C$38, 0.0369, 0)</f>
        <v>40.479000000000006</v>
      </c>
      <c r="I655" s="10">
        <f>40.4436 * CHOOSE(CONTROL!$C$15, $E$9, 100%, $G$9) + CHOOSE(CONTROL!$C$38, 0.0369, 0)</f>
        <v>40.480500000000006</v>
      </c>
      <c r="J655" s="26">
        <f>366.7239</f>
        <v>366.72390000000001</v>
      </c>
    </row>
    <row r="656" spans="1:10" ht="15.75" x14ac:dyDescent="0.25">
      <c r="A656" s="13">
        <v>60905</v>
      </c>
      <c r="B656" s="10">
        <f>44.1968 * CHOOSE(CONTROL!$C$15, $E$9, 100%, $G$9) + CHOOSE(CONTROL!$C$38, 0.0278, 0)</f>
        <v>44.224600000000002</v>
      </c>
      <c r="C656" s="10">
        <f>40.7204 * CHOOSE(CONTROL!$C$15, $E$9, 100%, $G$9) + CHOOSE(CONTROL!$C$38, 0.0369, 0)</f>
        <v>40.757300000000001</v>
      </c>
      <c r="D656" s="10">
        <f>40.7126 * CHOOSE(CONTROL!$C$15, $E$9, 100%, $G$9) + CHOOSE(CONTROL!$C$38, 0.0369, 0)</f>
        <v>40.749500000000005</v>
      </c>
      <c r="E656" s="28">
        <f>44.0406 * CHOOSE(CONTROL!$C$15, $E$9, 100%, $G$9) + CHOOSE(CONTROL!$C$38, 0.0369, 0)</f>
        <v>44.077500000000001</v>
      </c>
      <c r="F656" s="27">
        <f>44.0406 * CHOOSE(CONTROL!$C$15, $E$9, 100%, $G$9) + CHOOSE(CONTROL!$C$38, 0.0278, 0)</f>
        <v>44.068399999999997</v>
      </c>
      <c r="G656" s="10">
        <f>40.7189 * CHOOSE(CONTROL!$C$15, $E$9, 100%, $G$9) + CHOOSE(CONTROL!$C$38, 0.0369, 0)</f>
        <v>40.755800000000001</v>
      </c>
      <c r="H656" s="10">
        <f>40.7189 * CHOOSE(CONTROL!$C$15, $E$9, 100%, $G$9) + CHOOSE(CONTROL!$C$38, 0.0369, 0)</f>
        <v>40.755800000000001</v>
      </c>
      <c r="I656" s="10">
        <f>40.7204 * CHOOSE(CONTROL!$C$15, $E$9, 100%, $G$9) + CHOOSE(CONTROL!$C$38, 0.0369, 0)</f>
        <v>40.757300000000001</v>
      </c>
      <c r="J656" s="26">
        <f>354.5346</f>
        <v>354.53460000000001</v>
      </c>
    </row>
    <row r="657" spans="1:10" ht="15.75" x14ac:dyDescent="0.25">
      <c r="A657" s="13">
        <v>60936</v>
      </c>
      <c r="B657" s="10">
        <f>44.4286 * CHOOSE(CONTROL!$C$15, $E$9, 100%, $G$9) + CHOOSE(CONTROL!$C$38, 0.0256, 0)</f>
        <v>44.4542</v>
      </c>
      <c r="C657" s="10">
        <f>40.9522 * CHOOSE(CONTROL!$C$15, $E$9, 100%, $G$9) + CHOOSE(CONTROL!$C$38, 0.0347, 0)</f>
        <v>40.986899999999999</v>
      </c>
      <c r="D657" s="10">
        <f>40.9444 * CHOOSE(CONTROL!$C$15, $E$9, 100%, $G$9) + CHOOSE(CONTROL!$C$38, 0.0347, 0)</f>
        <v>40.979100000000003</v>
      </c>
      <c r="E657" s="28">
        <f>44.2724 * CHOOSE(CONTROL!$C$15, $E$9, 100%, $G$9) + CHOOSE(CONTROL!$C$38, 0.0347, 0)</f>
        <v>44.307099999999998</v>
      </c>
      <c r="F657" s="27">
        <f>44.2724 * CHOOSE(CONTROL!$C$15, $E$9, 100%, $G$9) + CHOOSE(CONTROL!$C$38, 0.0256, 0)</f>
        <v>44.297999999999995</v>
      </c>
      <c r="G657" s="10">
        <f>40.9507 * CHOOSE(CONTROL!$C$15, $E$9, 100%, $G$9) + CHOOSE(CONTROL!$C$38, 0.0347, 0)</f>
        <v>40.985399999999998</v>
      </c>
      <c r="H657" s="10">
        <f>40.9507 * CHOOSE(CONTROL!$C$15, $E$9, 100%, $G$9) + CHOOSE(CONTROL!$C$38, 0.0347, 0)</f>
        <v>40.985399999999998</v>
      </c>
      <c r="I657" s="10">
        <f>40.9522 * CHOOSE(CONTROL!$C$15, $E$9, 100%, $G$9) + CHOOSE(CONTROL!$C$38, 0.0347, 0)</f>
        <v>40.986899999999999</v>
      </c>
      <c r="J657" s="26">
        <f>342.2744</f>
        <v>342.27440000000001</v>
      </c>
    </row>
    <row r="658" spans="1:10" ht="15.75" x14ac:dyDescent="0.25">
      <c r="A658" s="13">
        <v>60966</v>
      </c>
      <c r="B658" s="10">
        <f>44.6221 * CHOOSE(CONTROL!$C$15, $E$9, 100%, $G$9) + CHOOSE(CONTROL!$C$38, 0.0256, 0)</f>
        <v>44.6477</v>
      </c>
      <c r="C658" s="10">
        <f>41.1457 * CHOOSE(CONTROL!$C$15, $E$9, 100%, $G$9) + CHOOSE(CONTROL!$C$38, 0.0347, 0)</f>
        <v>41.180399999999999</v>
      </c>
      <c r="D658" s="10">
        <f>41.1379 * CHOOSE(CONTROL!$C$15, $E$9, 100%, $G$9) + CHOOSE(CONTROL!$C$38, 0.0347, 0)</f>
        <v>41.172600000000003</v>
      </c>
      <c r="E658" s="28">
        <f>44.4658 * CHOOSE(CONTROL!$C$15, $E$9, 100%, $G$9) + CHOOSE(CONTROL!$C$38, 0.0347, 0)</f>
        <v>44.500500000000002</v>
      </c>
      <c r="F658" s="27">
        <f>44.4658 * CHOOSE(CONTROL!$C$15, $E$9, 100%, $G$9) + CHOOSE(CONTROL!$C$38, 0.0256, 0)</f>
        <v>44.491399999999999</v>
      </c>
      <c r="G658" s="10">
        <f>41.1441 * CHOOSE(CONTROL!$C$15, $E$9, 100%, $G$9) + CHOOSE(CONTROL!$C$38, 0.0347, 0)</f>
        <v>41.178800000000003</v>
      </c>
      <c r="H658" s="10">
        <f>41.1441 * CHOOSE(CONTROL!$C$15, $E$9, 100%, $G$9) + CHOOSE(CONTROL!$C$38, 0.0347, 0)</f>
        <v>41.178800000000003</v>
      </c>
      <c r="I658" s="10">
        <f>41.1457 * CHOOSE(CONTROL!$C$15, $E$9, 100%, $G$9) + CHOOSE(CONTROL!$C$38, 0.0347, 0)</f>
        <v>41.180399999999999</v>
      </c>
      <c r="J658" s="26">
        <f>339.8356</f>
        <v>339.8356</v>
      </c>
    </row>
    <row r="659" spans="1:10" ht="15.75" x14ac:dyDescent="0.25">
      <c r="A659" s="13">
        <v>60997</v>
      </c>
      <c r="B659" s="10">
        <f>45.2181 * CHOOSE(CONTROL!$C$15, $E$9, 100%, $G$9) + CHOOSE(CONTROL!$C$38, 0.0256, 0)</f>
        <v>45.243699999999997</v>
      </c>
      <c r="C659" s="10">
        <f>41.7417 * CHOOSE(CONTROL!$C$15, $E$9, 100%, $G$9) + CHOOSE(CONTROL!$C$38, 0.0347, 0)</f>
        <v>41.776400000000002</v>
      </c>
      <c r="D659" s="10">
        <f>41.7339 * CHOOSE(CONTROL!$C$15, $E$9, 100%, $G$9) + CHOOSE(CONTROL!$C$38, 0.0347, 0)</f>
        <v>41.768599999999999</v>
      </c>
      <c r="E659" s="28">
        <f>45.0619 * CHOOSE(CONTROL!$C$15, $E$9, 100%, $G$9) + CHOOSE(CONTROL!$C$38, 0.0347, 0)</f>
        <v>45.096600000000002</v>
      </c>
      <c r="F659" s="27">
        <f>45.0619 * CHOOSE(CONTROL!$C$15, $E$9, 100%, $G$9) + CHOOSE(CONTROL!$C$38, 0.0256, 0)</f>
        <v>45.087499999999999</v>
      </c>
      <c r="G659" s="10">
        <f>41.7402 * CHOOSE(CONTROL!$C$15, $E$9, 100%, $G$9) + CHOOSE(CONTROL!$C$38, 0.0347, 0)</f>
        <v>41.774900000000002</v>
      </c>
      <c r="H659" s="10">
        <f>41.7402 * CHOOSE(CONTROL!$C$15, $E$9, 100%, $G$9) + CHOOSE(CONTROL!$C$38, 0.0347, 0)</f>
        <v>41.774900000000002</v>
      </c>
      <c r="I659" s="10">
        <f>41.7417 * CHOOSE(CONTROL!$C$15, $E$9, 100%, $G$9) + CHOOSE(CONTROL!$C$38, 0.0347, 0)</f>
        <v>41.776400000000002</v>
      </c>
      <c r="J659" s="26">
        <f>329.751</f>
        <v>329.75099999999998</v>
      </c>
    </row>
    <row r="660" spans="1:10" ht="15.75" x14ac:dyDescent="0.25">
      <c r="A660" s="13">
        <v>61028</v>
      </c>
      <c r="B660" s="10">
        <f>46.4109 * CHOOSE(CONTROL!$C$15, $E$9, 100%, $G$9) + CHOOSE(CONTROL!$C$38, 0.0256, 0)</f>
        <v>46.436499999999995</v>
      </c>
      <c r="C660" s="10">
        <f>42.8801 * CHOOSE(CONTROL!$C$15, $E$9, 100%, $G$9) + CHOOSE(CONTROL!$C$38, 0.0347, 0)</f>
        <v>42.9148</v>
      </c>
      <c r="D660" s="10">
        <f>42.8722 * CHOOSE(CONTROL!$C$15, $E$9, 100%, $G$9) + CHOOSE(CONTROL!$C$38, 0.0347, 0)</f>
        <v>42.9069</v>
      </c>
      <c r="E660" s="28">
        <f>46.2546 * CHOOSE(CONTROL!$C$15, $E$9, 100%, $G$9) + CHOOSE(CONTROL!$C$38, 0.0347, 0)</f>
        <v>46.289300000000004</v>
      </c>
      <c r="F660" s="27">
        <f>46.2546 * CHOOSE(CONTROL!$C$15, $E$9, 100%, $G$9) + CHOOSE(CONTROL!$C$38, 0.0256, 0)</f>
        <v>46.280200000000001</v>
      </c>
      <c r="G660" s="10">
        <f>42.8785 * CHOOSE(CONTROL!$C$15, $E$9, 100%, $G$9) + CHOOSE(CONTROL!$C$38, 0.0347, 0)</f>
        <v>42.913200000000003</v>
      </c>
      <c r="H660" s="10">
        <f>42.8785 * CHOOSE(CONTROL!$C$15, $E$9, 100%, $G$9) + CHOOSE(CONTROL!$C$38, 0.0347, 0)</f>
        <v>42.913200000000003</v>
      </c>
      <c r="I660" s="10">
        <f>42.8801 * CHOOSE(CONTROL!$C$15, $E$9, 100%, $G$9) + CHOOSE(CONTROL!$C$38, 0.0347, 0)</f>
        <v>42.9148</v>
      </c>
      <c r="J660" s="26">
        <f>329.1212</f>
        <v>329.12119999999999</v>
      </c>
    </row>
    <row r="661" spans="1:10" ht="15.75" x14ac:dyDescent="0.25">
      <c r="A661" s="13">
        <v>61056</v>
      </c>
      <c r="B661" s="10">
        <f>46.6317 * CHOOSE(CONTROL!$C$15, $E$9, 100%, $G$9) + CHOOSE(CONTROL!$C$38, 0.0256, 0)</f>
        <v>46.657299999999999</v>
      </c>
      <c r="C661" s="10">
        <f>43.1008 * CHOOSE(CONTROL!$C$15, $E$9, 100%, $G$9) + CHOOSE(CONTROL!$C$38, 0.0347, 0)</f>
        <v>43.1355</v>
      </c>
      <c r="D661" s="10">
        <f>43.093 * CHOOSE(CONTROL!$C$15, $E$9, 100%, $G$9) + CHOOSE(CONTROL!$C$38, 0.0347, 0)</f>
        <v>43.127700000000004</v>
      </c>
      <c r="E661" s="28">
        <f>46.4754 * CHOOSE(CONTROL!$C$15, $E$9, 100%, $G$9) + CHOOSE(CONTROL!$C$38, 0.0347, 0)</f>
        <v>46.510100000000001</v>
      </c>
      <c r="F661" s="27">
        <f>46.4754 * CHOOSE(CONTROL!$C$15, $E$9, 100%, $G$9) + CHOOSE(CONTROL!$C$38, 0.0256, 0)</f>
        <v>46.500999999999998</v>
      </c>
      <c r="G661" s="10">
        <f>43.0993 * CHOOSE(CONTROL!$C$15, $E$9, 100%, $G$9) + CHOOSE(CONTROL!$C$38, 0.0347, 0)</f>
        <v>43.134</v>
      </c>
      <c r="H661" s="10">
        <f>43.0993 * CHOOSE(CONTROL!$C$15, $E$9, 100%, $G$9) + CHOOSE(CONTROL!$C$38, 0.0347, 0)</f>
        <v>43.134</v>
      </c>
      <c r="I661" s="10">
        <f>43.1008 * CHOOSE(CONTROL!$C$15, $E$9, 100%, $G$9) + CHOOSE(CONTROL!$C$38, 0.0347, 0)</f>
        <v>43.1355</v>
      </c>
      <c r="J661" s="26">
        <f>328.2064</f>
        <v>328.20639999999997</v>
      </c>
    </row>
    <row r="662" spans="1:10" ht="15.75" x14ac:dyDescent="0.25">
      <c r="A662" s="13">
        <v>61087</v>
      </c>
      <c r="B662" s="10">
        <f>46.1206 * CHOOSE(CONTROL!$C$15, $E$9, 100%, $G$9) + CHOOSE(CONTROL!$C$38, 0.0256, 0)</f>
        <v>46.1462</v>
      </c>
      <c r="C662" s="10">
        <f>42.5898 * CHOOSE(CONTROL!$C$15, $E$9, 100%, $G$9) + CHOOSE(CONTROL!$C$38, 0.0347, 0)</f>
        <v>42.624499999999998</v>
      </c>
      <c r="D662" s="10">
        <f>42.582 * CHOOSE(CONTROL!$C$15, $E$9, 100%, $G$9) + CHOOSE(CONTROL!$C$38, 0.0347, 0)</f>
        <v>42.616700000000002</v>
      </c>
      <c r="E662" s="28">
        <f>45.9644 * CHOOSE(CONTROL!$C$15, $E$9, 100%, $G$9) + CHOOSE(CONTROL!$C$38, 0.0347, 0)</f>
        <v>45.999099999999999</v>
      </c>
      <c r="F662" s="27">
        <f>45.9644 * CHOOSE(CONTROL!$C$15, $E$9, 100%, $G$9) + CHOOSE(CONTROL!$C$38, 0.0256, 0)</f>
        <v>45.989999999999995</v>
      </c>
      <c r="G662" s="10">
        <f>42.5882 * CHOOSE(CONTROL!$C$15, $E$9, 100%, $G$9) + CHOOSE(CONTROL!$C$38, 0.0347, 0)</f>
        <v>42.622900000000001</v>
      </c>
      <c r="H662" s="10">
        <f>42.5882 * CHOOSE(CONTROL!$C$15, $E$9, 100%, $G$9) + CHOOSE(CONTROL!$C$38, 0.0347, 0)</f>
        <v>42.622900000000001</v>
      </c>
      <c r="I662" s="10">
        <f>42.5898 * CHOOSE(CONTROL!$C$15, $E$9, 100%, $G$9) + CHOOSE(CONTROL!$C$38, 0.0347, 0)</f>
        <v>42.624499999999998</v>
      </c>
      <c r="J662" s="26">
        <f>345.5047</f>
        <v>345.50470000000001</v>
      </c>
    </row>
    <row r="663" spans="1:10" ht="15.75" x14ac:dyDescent="0.25">
      <c r="A663" s="13">
        <v>61117</v>
      </c>
      <c r="B663" s="10">
        <f>45.6254 * CHOOSE(CONTROL!$C$15, $E$9, 100%, $G$9) + CHOOSE(CONTROL!$C$38, 0.0256, 0)</f>
        <v>45.650999999999996</v>
      </c>
      <c r="C663" s="10">
        <f>42.0946 * CHOOSE(CONTROL!$C$15, $E$9, 100%, $G$9) + CHOOSE(CONTROL!$C$38, 0.0347, 0)</f>
        <v>42.129300000000001</v>
      </c>
      <c r="D663" s="10">
        <f>42.0868 * CHOOSE(CONTROL!$C$15, $E$9, 100%, $G$9) + CHOOSE(CONTROL!$C$38, 0.0347, 0)</f>
        <v>42.121499999999997</v>
      </c>
      <c r="E663" s="28">
        <f>45.4692 * CHOOSE(CONTROL!$C$15, $E$9, 100%, $G$9) + CHOOSE(CONTROL!$C$38, 0.0347, 0)</f>
        <v>45.503900000000002</v>
      </c>
      <c r="F663" s="27">
        <f>45.4692 * CHOOSE(CONTROL!$C$15, $E$9, 100%, $G$9) + CHOOSE(CONTROL!$C$38, 0.0256, 0)</f>
        <v>45.494799999999998</v>
      </c>
      <c r="G663" s="10">
        <f>42.093 * CHOOSE(CONTROL!$C$15, $E$9, 100%, $G$9) + CHOOSE(CONTROL!$C$38, 0.0347, 0)</f>
        <v>42.127700000000004</v>
      </c>
      <c r="H663" s="10">
        <f>42.093 * CHOOSE(CONTROL!$C$15, $E$9, 100%, $G$9) + CHOOSE(CONTROL!$C$38, 0.0347, 0)</f>
        <v>42.127700000000004</v>
      </c>
      <c r="I663" s="10">
        <f>42.0946 * CHOOSE(CONTROL!$C$15, $E$9, 100%, $G$9) + CHOOSE(CONTROL!$C$38, 0.0347, 0)</f>
        <v>42.129300000000001</v>
      </c>
      <c r="J663" s="26">
        <f>367.9366</f>
        <v>367.9366</v>
      </c>
    </row>
    <row r="664" spans="1:10" ht="15.75" x14ac:dyDescent="0.25">
      <c r="A664" s="13">
        <v>61148</v>
      </c>
      <c r="B664" s="10">
        <f>45.1093 * CHOOSE(CONTROL!$C$15, $E$9, 100%, $G$9) + CHOOSE(CONTROL!$C$38, 0.0278, 0)</f>
        <v>45.137099999999997</v>
      </c>
      <c r="C664" s="10">
        <f>41.5785 * CHOOSE(CONTROL!$C$15, $E$9, 100%, $G$9) + CHOOSE(CONTROL!$C$38, 0.0369, 0)</f>
        <v>41.615400000000001</v>
      </c>
      <c r="D664" s="10">
        <f>41.5707 * CHOOSE(CONTROL!$C$15, $E$9, 100%, $G$9) + CHOOSE(CONTROL!$C$38, 0.0369, 0)</f>
        <v>41.607600000000005</v>
      </c>
      <c r="E664" s="28">
        <f>44.9531 * CHOOSE(CONTROL!$C$15, $E$9, 100%, $G$9) + CHOOSE(CONTROL!$C$38, 0.0369, 0)</f>
        <v>44.99</v>
      </c>
      <c r="F664" s="27">
        <f>44.9531 * CHOOSE(CONTROL!$C$15, $E$9, 100%, $G$9) + CHOOSE(CONTROL!$C$38, 0.0278, 0)</f>
        <v>44.980899999999998</v>
      </c>
      <c r="G664" s="10">
        <f>41.5769 * CHOOSE(CONTROL!$C$15, $E$9, 100%, $G$9) + CHOOSE(CONTROL!$C$38, 0.0369, 0)</f>
        <v>41.613800000000005</v>
      </c>
      <c r="H664" s="10">
        <f>41.5769 * CHOOSE(CONTROL!$C$15, $E$9, 100%, $G$9) + CHOOSE(CONTROL!$C$38, 0.0369, 0)</f>
        <v>41.613800000000005</v>
      </c>
      <c r="I664" s="10">
        <f>41.5785 * CHOOSE(CONTROL!$C$15, $E$9, 100%, $G$9) + CHOOSE(CONTROL!$C$38, 0.0369, 0)</f>
        <v>41.615400000000001</v>
      </c>
      <c r="J664" s="26">
        <f>380.2838</f>
        <v>380.28379999999999</v>
      </c>
    </row>
    <row r="665" spans="1:10" ht="15.75" x14ac:dyDescent="0.25">
      <c r="A665" s="13">
        <v>61178</v>
      </c>
      <c r="B665" s="10">
        <f>44.7475 * CHOOSE(CONTROL!$C$15, $E$9, 100%, $G$9) + CHOOSE(CONTROL!$C$38, 0.0278, 0)</f>
        <v>44.775300000000001</v>
      </c>
      <c r="C665" s="10">
        <f>41.2167 * CHOOSE(CONTROL!$C$15, $E$9, 100%, $G$9) + CHOOSE(CONTROL!$C$38, 0.0369, 0)</f>
        <v>41.253600000000006</v>
      </c>
      <c r="D665" s="10">
        <f>41.2089 * CHOOSE(CONTROL!$C$15, $E$9, 100%, $G$9) + CHOOSE(CONTROL!$C$38, 0.0369, 0)</f>
        <v>41.245800000000003</v>
      </c>
      <c r="E665" s="28">
        <f>44.5912 * CHOOSE(CONTROL!$C$15, $E$9, 100%, $G$9) + CHOOSE(CONTROL!$C$38, 0.0369, 0)</f>
        <v>44.628100000000003</v>
      </c>
      <c r="F665" s="27">
        <f>44.5912 * CHOOSE(CONTROL!$C$15, $E$9, 100%, $G$9) + CHOOSE(CONTROL!$C$38, 0.0278, 0)</f>
        <v>44.619</v>
      </c>
      <c r="G665" s="10">
        <f>41.2151 * CHOOSE(CONTROL!$C$15, $E$9, 100%, $G$9) + CHOOSE(CONTROL!$C$38, 0.0369, 0)</f>
        <v>41.252000000000002</v>
      </c>
      <c r="H665" s="10">
        <f>41.2151 * CHOOSE(CONTROL!$C$15, $E$9, 100%, $G$9) + CHOOSE(CONTROL!$C$38, 0.0369, 0)</f>
        <v>41.252000000000002</v>
      </c>
      <c r="I665" s="10">
        <f>41.2167 * CHOOSE(CONTROL!$C$15, $E$9, 100%, $G$9) + CHOOSE(CONTROL!$C$38, 0.0369, 0)</f>
        <v>41.253600000000006</v>
      </c>
      <c r="J665" s="26">
        <f>385.7633</f>
        <v>385.76330000000002</v>
      </c>
    </row>
    <row r="666" spans="1:10" ht="15.75" x14ac:dyDescent="0.25">
      <c r="A666" s="13">
        <v>61209</v>
      </c>
      <c r="B666" s="10">
        <f>44.541 * CHOOSE(CONTROL!$C$15, $E$9, 100%, $G$9) + CHOOSE(CONTROL!$C$38, 0.0278, 0)</f>
        <v>44.568799999999996</v>
      </c>
      <c r="C666" s="10">
        <f>41.0102 * CHOOSE(CONTROL!$C$15, $E$9, 100%, $G$9) + CHOOSE(CONTROL!$C$38, 0.0369, 0)</f>
        <v>41.0471</v>
      </c>
      <c r="D666" s="10">
        <f>41.0024 * CHOOSE(CONTROL!$C$15, $E$9, 100%, $G$9) + CHOOSE(CONTROL!$C$38, 0.0369, 0)</f>
        <v>41.039300000000004</v>
      </c>
      <c r="E666" s="28">
        <f>44.3848 * CHOOSE(CONTROL!$C$15, $E$9, 100%, $G$9) + CHOOSE(CONTROL!$C$38, 0.0369, 0)</f>
        <v>44.421700000000001</v>
      </c>
      <c r="F666" s="27">
        <f>44.3848 * CHOOSE(CONTROL!$C$15, $E$9, 100%, $G$9) + CHOOSE(CONTROL!$C$38, 0.0278, 0)</f>
        <v>44.412599999999998</v>
      </c>
      <c r="G666" s="10">
        <f>41.0086 * CHOOSE(CONTROL!$C$15, $E$9, 100%, $G$9) + CHOOSE(CONTROL!$C$38, 0.0369, 0)</f>
        <v>41.045500000000004</v>
      </c>
      <c r="H666" s="10">
        <f>41.0086 * CHOOSE(CONTROL!$C$15, $E$9, 100%, $G$9) + CHOOSE(CONTROL!$C$38, 0.0369, 0)</f>
        <v>41.045500000000004</v>
      </c>
      <c r="I666" s="10">
        <f>41.0102 * CHOOSE(CONTROL!$C$15, $E$9, 100%, $G$9) + CHOOSE(CONTROL!$C$38, 0.0369, 0)</f>
        <v>41.0471</v>
      </c>
      <c r="J666" s="26">
        <f>383.9592</f>
        <v>383.95920000000001</v>
      </c>
    </row>
    <row r="667" spans="1:10" ht="15.75" x14ac:dyDescent="0.25">
      <c r="A667" s="13">
        <v>61240</v>
      </c>
      <c r="B667" s="10">
        <f>44.6429 * CHOOSE(CONTROL!$C$15, $E$9, 100%, $G$9) + CHOOSE(CONTROL!$C$38, 0.0278, 0)</f>
        <v>44.670699999999997</v>
      </c>
      <c r="C667" s="10">
        <f>41.1121 * CHOOSE(CONTROL!$C$15, $E$9, 100%, $G$9) + CHOOSE(CONTROL!$C$38, 0.0369, 0)</f>
        <v>41.149000000000001</v>
      </c>
      <c r="D667" s="10">
        <f>41.1043 * CHOOSE(CONTROL!$C$15, $E$9, 100%, $G$9) + CHOOSE(CONTROL!$C$38, 0.0369, 0)</f>
        <v>41.141200000000005</v>
      </c>
      <c r="E667" s="28">
        <f>44.4867 * CHOOSE(CONTROL!$C$15, $E$9, 100%, $G$9) + CHOOSE(CONTROL!$C$38, 0.0369, 0)</f>
        <v>44.523600000000002</v>
      </c>
      <c r="F667" s="27">
        <f>44.4867 * CHOOSE(CONTROL!$C$15, $E$9, 100%, $G$9) + CHOOSE(CONTROL!$C$38, 0.0278, 0)</f>
        <v>44.514499999999998</v>
      </c>
      <c r="G667" s="10">
        <f>41.1105 * CHOOSE(CONTROL!$C$15, $E$9, 100%, $G$9) + CHOOSE(CONTROL!$C$38, 0.0369, 0)</f>
        <v>41.147400000000005</v>
      </c>
      <c r="H667" s="10">
        <f>41.1105 * CHOOSE(CONTROL!$C$15, $E$9, 100%, $G$9) + CHOOSE(CONTROL!$C$38, 0.0369, 0)</f>
        <v>41.147400000000005</v>
      </c>
      <c r="I667" s="10">
        <f>41.1121 * CHOOSE(CONTROL!$C$15, $E$9, 100%, $G$9) + CHOOSE(CONTROL!$C$38, 0.0369, 0)</f>
        <v>41.149000000000001</v>
      </c>
      <c r="J667" s="26">
        <f>375.0208</f>
        <v>375.02080000000001</v>
      </c>
    </row>
    <row r="668" spans="1:10" ht="15.75" x14ac:dyDescent="0.25">
      <c r="A668" s="13">
        <v>61270</v>
      </c>
      <c r="B668" s="10">
        <f>44.9197 * CHOOSE(CONTROL!$C$15, $E$9, 100%, $G$9) + CHOOSE(CONTROL!$C$38, 0.0278, 0)</f>
        <v>44.947499999999998</v>
      </c>
      <c r="C668" s="10">
        <f>41.3889 * CHOOSE(CONTROL!$C$15, $E$9, 100%, $G$9) + CHOOSE(CONTROL!$C$38, 0.0369, 0)</f>
        <v>41.425800000000002</v>
      </c>
      <c r="D668" s="10">
        <f>41.3811 * CHOOSE(CONTROL!$C$15, $E$9, 100%, $G$9) + CHOOSE(CONTROL!$C$38, 0.0369, 0)</f>
        <v>41.418000000000006</v>
      </c>
      <c r="E668" s="28">
        <f>44.7635 * CHOOSE(CONTROL!$C$15, $E$9, 100%, $G$9) + CHOOSE(CONTROL!$C$38, 0.0369, 0)</f>
        <v>44.800400000000003</v>
      </c>
      <c r="F668" s="27">
        <f>44.7635 * CHOOSE(CONTROL!$C$15, $E$9, 100%, $G$9) + CHOOSE(CONTROL!$C$38, 0.0278, 0)</f>
        <v>44.7913</v>
      </c>
      <c r="G668" s="10">
        <f>41.3873 * CHOOSE(CONTROL!$C$15, $E$9, 100%, $G$9) + CHOOSE(CONTROL!$C$38, 0.0369, 0)</f>
        <v>41.424200000000006</v>
      </c>
      <c r="H668" s="10">
        <f>41.3873 * CHOOSE(CONTROL!$C$15, $E$9, 100%, $G$9) + CHOOSE(CONTROL!$C$38, 0.0369, 0)</f>
        <v>41.424200000000006</v>
      </c>
      <c r="I668" s="10">
        <f>41.3889 * CHOOSE(CONTROL!$C$15, $E$9, 100%, $G$9) + CHOOSE(CONTROL!$C$38, 0.0369, 0)</f>
        <v>41.425800000000002</v>
      </c>
      <c r="J668" s="26">
        <f>362.5558</f>
        <v>362.55579999999998</v>
      </c>
    </row>
    <row r="669" spans="1:10" ht="15.75" x14ac:dyDescent="0.25">
      <c r="A669" s="13">
        <v>61301</v>
      </c>
      <c r="B669" s="10">
        <f>45.1515 * CHOOSE(CONTROL!$C$15, $E$9, 100%, $G$9) + CHOOSE(CONTROL!$C$38, 0.0256, 0)</f>
        <v>45.177099999999996</v>
      </c>
      <c r="C669" s="10">
        <f>41.6207 * CHOOSE(CONTROL!$C$15, $E$9, 100%, $G$9) + CHOOSE(CONTROL!$C$38, 0.0347, 0)</f>
        <v>41.6554</v>
      </c>
      <c r="D669" s="10">
        <f>41.6129 * CHOOSE(CONTROL!$C$15, $E$9, 100%, $G$9) + CHOOSE(CONTROL!$C$38, 0.0347, 0)</f>
        <v>41.647600000000004</v>
      </c>
      <c r="E669" s="28">
        <f>44.9953 * CHOOSE(CONTROL!$C$15, $E$9, 100%, $G$9) + CHOOSE(CONTROL!$C$38, 0.0347, 0)</f>
        <v>45.03</v>
      </c>
      <c r="F669" s="27">
        <f>44.9953 * CHOOSE(CONTROL!$C$15, $E$9, 100%, $G$9) + CHOOSE(CONTROL!$C$38, 0.0256, 0)</f>
        <v>45.020899999999997</v>
      </c>
      <c r="G669" s="10">
        <f>41.6191 * CHOOSE(CONTROL!$C$15, $E$9, 100%, $G$9) + CHOOSE(CONTROL!$C$38, 0.0347, 0)</f>
        <v>41.653800000000004</v>
      </c>
      <c r="H669" s="10">
        <f>41.6191 * CHOOSE(CONTROL!$C$15, $E$9, 100%, $G$9) + CHOOSE(CONTROL!$C$38, 0.0347, 0)</f>
        <v>41.653800000000004</v>
      </c>
      <c r="I669" s="10">
        <f>41.6207 * CHOOSE(CONTROL!$C$15, $E$9, 100%, $G$9) + CHOOSE(CONTROL!$C$38, 0.0347, 0)</f>
        <v>41.6554</v>
      </c>
      <c r="J669" s="26">
        <f>350.0182</f>
        <v>350.01819999999998</v>
      </c>
    </row>
    <row r="670" spans="1:10" ht="15.75" x14ac:dyDescent="0.25">
      <c r="A670" s="13">
        <v>61331</v>
      </c>
      <c r="B670" s="10">
        <f>45.345 * CHOOSE(CONTROL!$C$15, $E$9, 100%, $G$9) + CHOOSE(CONTROL!$C$38, 0.0256, 0)</f>
        <v>45.370599999999996</v>
      </c>
      <c r="C670" s="10">
        <f>41.8141 * CHOOSE(CONTROL!$C$15, $E$9, 100%, $G$9) + CHOOSE(CONTROL!$C$38, 0.0347, 0)</f>
        <v>41.848800000000004</v>
      </c>
      <c r="D670" s="10">
        <f>41.8063 * CHOOSE(CONTROL!$C$15, $E$9, 100%, $G$9) + CHOOSE(CONTROL!$C$38, 0.0347, 0)</f>
        <v>41.841000000000001</v>
      </c>
      <c r="E670" s="28">
        <f>45.1887 * CHOOSE(CONTROL!$C$15, $E$9, 100%, $G$9) + CHOOSE(CONTROL!$C$38, 0.0347, 0)</f>
        <v>45.223399999999998</v>
      </c>
      <c r="F670" s="27">
        <f>45.1887 * CHOOSE(CONTROL!$C$15, $E$9, 100%, $G$9) + CHOOSE(CONTROL!$C$38, 0.0256, 0)</f>
        <v>45.214299999999994</v>
      </c>
      <c r="G670" s="10">
        <f>41.8126 * CHOOSE(CONTROL!$C$15, $E$9, 100%, $G$9) + CHOOSE(CONTROL!$C$38, 0.0347, 0)</f>
        <v>41.847300000000004</v>
      </c>
      <c r="H670" s="10">
        <f>41.8126 * CHOOSE(CONTROL!$C$15, $E$9, 100%, $G$9) + CHOOSE(CONTROL!$C$38, 0.0347, 0)</f>
        <v>41.847300000000004</v>
      </c>
      <c r="I670" s="10">
        <f>41.8141 * CHOOSE(CONTROL!$C$15, $E$9, 100%, $G$9) + CHOOSE(CONTROL!$C$38, 0.0347, 0)</f>
        <v>41.848800000000004</v>
      </c>
      <c r="J670" s="26">
        <f>347.5242</f>
        <v>347.52420000000001</v>
      </c>
    </row>
    <row r="671" spans="1:10" ht="15.75" x14ac:dyDescent="0.25">
      <c r="A671" s="13">
        <v>61362</v>
      </c>
      <c r="B671" s="10">
        <f>45.941 * CHOOSE(CONTROL!$C$15, $E$9, 100%, $G$9) + CHOOSE(CONTROL!$C$38, 0.0256, 0)</f>
        <v>45.9666</v>
      </c>
      <c r="C671" s="10">
        <f>42.4102 * CHOOSE(CONTROL!$C$15, $E$9, 100%, $G$9) + CHOOSE(CONTROL!$C$38, 0.0347, 0)</f>
        <v>42.444900000000004</v>
      </c>
      <c r="D671" s="10">
        <f>42.4024 * CHOOSE(CONTROL!$C$15, $E$9, 100%, $G$9) + CHOOSE(CONTROL!$C$38, 0.0347, 0)</f>
        <v>42.437100000000001</v>
      </c>
      <c r="E671" s="28">
        <f>45.7848 * CHOOSE(CONTROL!$C$15, $E$9, 100%, $G$9) + CHOOSE(CONTROL!$C$38, 0.0347, 0)</f>
        <v>45.819499999999998</v>
      </c>
      <c r="F671" s="27">
        <f>45.7848 * CHOOSE(CONTROL!$C$15, $E$9, 100%, $G$9) + CHOOSE(CONTROL!$C$38, 0.0256, 0)</f>
        <v>45.810399999999994</v>
      </c>
      <c r="G671" s="10">
        <f>42.4087 * CHOOSE(CONTROL!$C$15, $E$9, 100%, $G$9) + CHOOSE(CONTROL!$C$38, 0.0347, 0)</f>
        <v>42.443400000000004</v>
      </c>
      <c r="H671" s="10">
        <f>42.4087 * CHOOSE(CONTROL!$C$15, $E$9, 100%, $G$9) + CHOOSE(CONTROL!$C$38, 0.0347, 0)</f>
        <v>42.443400000000004</v>
      </c>
      <c r="I671" s="10">
        <f>42.4102 * CHOOSE(CONTROL!$C$15, $E$9, 100%, $G$9) + CHOOSE(CONTROL!$C$38, 0.0347, 0)</f>
        <v>42.444900000000004</v>
      </c>
      <c r="J671" s="26">
        <f>337.2114</f>
        <v>337.21140000000003</v>
      </c>
    </row>
    <row r="672" spans="1:10" ht="15.75" x14ac:dyDescent="0.25">
      <c r="A672" s="13">
        <v>61393</v>
      </c>
      <c r="B672" s="10">
        <f>47.1456 * CHOOSE(CONTROL!$C$15, $E$9, 100%, $G$9) + CHOOSE(CONTROL!$C$38, 0.0256, 0)</f>
        <v>47.171199999999999</v>
      </c>
      <c r="C672" s="10">
        <f>43.5595 * CHOOSE(CONTROL!$C$15, $E$9, 100%, $G$9) + CHOOSE(CONTROL!$C$38, 0.0347, 0)</f>
        <v>43.594200000000001</v>
      </c>
      <c r="D672" s="10">
        <f>43.5517 * CHOOSE(CONTROL!$C$15, $E$9, 100%, $G$9) + CHOOSE(CONTROL!$C$38, 0.0347, 0)</f>
        <v>43.586399999999998</v>
      </c>
      <c r="E672" s="28">
        <f>46.9894 * CHOOSE(CONTROL!$C$15, $E$9, 100%, $G$9) + CHOOSE(CONTROL!$C$38, 0.0347, 0)</f>
        <v>47.024100000000004</v>
      </c>
      <c r="F672" s="27">
        <f>46.9894 * CHOOSE(CONTROL!$C$15, $E$9, 100%, $G$9) + CHOOSE(CONTROL!$C$38, 0.0256, 0)</f>
        <v>47.015000000000001</v>
      </c>
      <c r="G672" s="10">
        <f>43.5579 * CHOOSE(CONTROL!$C$15, $E$9, 100%, $G$9) + CHOOSE(CONTROL!$C$38, 0.0347, 0)</f>
        <v>43.592599999999997</v>
      </c>
      <c r="H672" s="10">
        <f>43.5579 * CHOOSE(CONTROL!$C$15, $E$9, 100%, $G$9) + CHOOSE(CONTROL!$C$38, 0.0347, 0)</f>
        <v>43.592599999999997</v>
      </c>
      <c r="I672" s="10">
        <f>43.5595 * CHOOSE(CONTROL!$C$15, $E$9, 100%, $G$9) + CHOOSE(CONTROL!$C$38, 0.0347, 0)</f>
        <v>43.594200000000001</v>
      </c>
      <c r="J672" s="26">
        <f>336.5674</f>
        <v>336.56740000000002</v>
      </c>
    </row>
    <row r="673" spans="1:10" ht="15.75" x14ac:dyDescent="0.25">
      <c r="A673" s="13">
        <v>61422</v>
      </c>
      <c r="B673" s="10">
        <f>47.3664 * CHOOSE(CONTROL!$C$15, $E$9, 100%, $G$9) + CHOOSE(CONTROL!$C$38, 0.0256, 0)</f>
        <v>47.391999999999996</v>
      </c>
      <c r="C673" s="10">
        <f>43.7802 * CHOOSE(CONTROL!$C$15, $E$9, 100%, $G$9) + CHOOSE(CONTROL!$C$38, 0.0347, 0)</f>
        <v>43.814900000000002</v>
      </c>
      <c r="D673" s="10">
        <f>43.7724 * CHOOSE(CONTROL!$C$15, $E$9, 100%, $G$9) + CHOOSE(CONTROL!$C$38, 0.0347, 0)</f>
        <v>43.807099999999998</v>
      </c>
      <c r="E673" s="28">
        <f>47.2102 * CHOOSE(CONTROL!$C$15, $E$9, 100%, $G$9) + CHOOSE(CONTROL!$C$38, 0.0347, 0)</f>
        <v>47.244900000000001</v>
      </c>
      <c r="F673" s="27">
        <f>47.2102 * CHOOSE(CONTROL!$C$15, $E$9, 100%, $G$9) + CHOOSE(CONTROL!$C$38, 0.0256, 0)</f>
        <v>47.235799999999998</v>
      </c>
      <c r="G673" s="10">
        <f>43.7787 * CHOOSE(CONTROL!$C$15, $E$9, 100%, $G$9) + CHOOSE(CONTROL!$C$38, 0.0347, 0)</f>
        <v>43.813400000000001</v>
      </c>
      <c r="H673" s="10">
        <f>43.7787 * CHOOSE(CONTROL!$C$15, $E$9, 100%, $G$9) + CHOOSE(CONTROL!$C$38, 0.0347, 0)</f>
        <v>43.813400000000001</v>
      </c>
      <c r="I673" s="10">
        <f>43.7802 * CHOOSE(CONTROL!$C$15, $E$9, 100%, $G$9) + CHOOSE(CONTROL!$C$38, 0.0347, 0)</f>
        <v>43.814900000000002</v>
      </c>
      <c r="J673" s="26">
        <f>335.6319</f>
        <v>335.63189999999997</v>
      </c>
    </row>
    <row r="674" spans="1:10" ht="15.75" x14ac:dyDescent="0.25">
      <c r="A674" s="13">
        <v>61453</v>
      </c>
      <c r="B674" s="10">
        <f>46.8554 * CHOOSE(CONTROL!$C$15, $E$9, 100%, $G$9) + CHOOSE(CONTROL!$C$38, 0.0256, 0)</f>
        <v>46.881</v>
      </c>
      <c r="C674" s="10">
        <f>43.2692 * CHOOSE(CONTROL!$C$15, $E$9, 100%, $G$9) + CHOOSE(CONTROL!$C$38, 0.0347, 0)</f>
        <v>43.303899999999999</v>
      </c>
      <c r="D674" s="10">
        <f>43.2614 * CHOOSE(CONTROL!$C$15, $E$9, 100%, $G$9) + CHOOSE(CONTROL!$C$38, 0.0347, 0)</f>
        <v>43.296100000000003</v>
      </c>
      <c r="E674" s="28">
        <f>46.6991 * CHOOSE(CONTROL!$C$15, $E$9, 100%, $G$9) + CHOOSE(CONTROL!$C$38, 0.0347, 0)</f>
        <v>46.733800000000002</v>
      </c>
      <c r="F674" s="27">
        <f>46.6991 * CHOOSE(CONTROL!$C$15, $E$9, 100%, $G$9) + CHOOSE(CONTROL!$C$38, 0.0256, 0)</f>
        <v>46.724699999999999</v>
      </c>
      <c r="G674" s="10">
        <f>43.2677 * CHOOSE(CONTROL!$C$15, $E$9, 100%, $G$9) + CHOOSE(CONTROL!$C$38, 0.0347, 0)</f>
        <v>43.302399999999999</v>
      </c>
      <c r="H674" s="10">
        <f>43.2677 * CHOOSE(CONTROL!$C$15, $E$9, 100%, $G$9) + CHOOSE(CONTROL!$C$38, 0.0347, 0)</f>
        <v>43.302399999999999</v>
      </c>
      <c r="I674" s="10">
        <f>43.2692 * CHOOSE(CONTROL!$C$15, $E$9, 100%, $G$9) + CHOOSE(CONTROL!$C$38, 0.0347, 0)</f>
        <v>43.303899999999999</v>
      </c>
      <c r="J674" s="26">
        <f>353.3216</f>
        <v>353.32159999999999</v>
      </c>
    </row>
    <row r="675" spans="1:10" ht="15.75" x14ac:dyDescent="0.25">
      <c r="A675" s="13">
        <v>61483</v>
      </c>
      <c r="B675" s="10">
        <f>46.3602 * CHOOSE(CONTROL!$C$15, $E$9, 100%, $G$9) + CHOOSE(CONTROL!$C$38, 0.0256, 0)</f>
        <v>46.385799999999996</v>
      </c>
      <c r="C675" s="10">
        <f>42.774 * CHOOSE(CONTROL!$C$15, $E$9, 100%, $G$9) + CHOOSE(CONTROL!$C$38, 0.0347, 0)</f>
        <v>42.808700000000002</v>
      </c>
      <c r="D675" s="10">
        <f>42.7662 * CHOOSE(CONTROL!$C$15, $E$9, 100%, $G$9) + CHOOSE(CONTROL!$C$38, 0.0347, 0)</f>
        <v>42.800899999999999</v>
      </c>
      <c r="E675" s="28">
        <f>46.2039 * CHOOSE(CONTROL!$C$15, $E$9, 100%, $G$9) + CHOOSE(CONTROL!$C$38, 0.0347, 0)</f>
        <v>46.238599999999998</v>
      </c>
      <c r="F675" s="27">
        <f>46.2039 * CHOOSE(CONTROL!$C$15, $E$9, 100%, $G$9) + CHOOSE(CONTROL!$C$38, 0.0256, 0)</f>
        <v>46.229499999999994</v>
      </c>
      <c r="G675" s="10">
        <f>42.7725 * CHOOSE(CONTROL!$C$15, $E$9, 100%, $G$9) + CHOOSE(CONTROL!$C$38, 0.0347, 0)</f>
        <v>42.807200000000002</v>
      </c>
      <c r="H675" s="10">
        <f>42.7725 * CHOOSE(CONTROL!$C$15, $E$9, 100%, $G$9) + CHOOSE(CONTROL!$C$38, 0.0347, 0)</f>
        <v>42.807200000000002</v>
      </c>
      <c r="I675" s="10">
        <f>42.774 * CHOOSE(CONTROL!$C$15, $E$9, 100%, $G$9) + CHOOSE(CONTROL!$C$38, 0.0347, 0)</f>
        <v>42.808700000000002</v>
      </c>
      <c r="J675" s="26">
        <f>376.261</f>
        <v>376.26100000000002</v>
      </c>
    </row>
    <row r="676" spans="1:10" ht="15.75" x14ac:dyDescent="0.25">
      <c r="A676" s="13">
        <v>61514</v>
      </c>
      <c r="B676" s="10">
        <f>45.8441 * CHOOSE(CONTROL!$C$15, $E$9, 100%, $G$9) + CHOOSE(CONTROL!$C$38, 0.0278, 0)</f>
        <v>45.871899999999997</v>
      </c>
      <c r="C676" s="10">
        <f>42.2579 * CHOOSE(CONTROL!$C$15, $E$9, 100%, $G$9) + CHOOSE(CONTROL!$C$38, 0.0369, 0)</f>
        <v>42.294800000000002</v>
      </c>
      <c r="D676" s="10">
        <f>42.2501 * CHOOSE(CONTROL!$C$15, $E$9, 100%, $G$9) + CHOOSE(CONTROL!$C$38, 0.0369, 0)</f>
        <v>42.287000000000006</v>
      </c>
      <c r="E676" s="28">
        <f>45.6878 * CHOOSE(CONTROL!$C$15, $E$9, 100%, $G$9) + CHOOSE(CONTROL!$C$38, 0.0369, 0)</f>
        <v>45.724700000000006</v>
      </c>
      <c r="F676" s="27">
        <f>45.6878 * CHOOSE(CONTROL!$C$15, $E$9, 100%, $G$9) + CHOOSE(CONTROL!$C$38, 0.0278, 0)</f>
        <v>45.715600000000002</v>
      </c>
      <c r="G676" s="10">
        <f>42.2564 * CHOOSE(CONTROL!$C$15, $E$9, 100%, $G$9) + CHOOSE(CONTROL!$C$38, 0.0369, 0)</f>
        <v>42.293300000000002</v>
      </c>
      <c r="H676" s="10">
        <f>42.2564 * CHOOSE(CONTROL!$C$15, $E$9, 100%, $G$9) + CHOOSE(CONTROL!$C$38, 0.0369, 0)</f>
        <v>42.293300000000002</v>
      </c>
      <c r="I676" s="10">
        <f>42.2579 * CHOOSE(CONTROL!$C$15, $E$9, 100%, $G$9) + CHOOSE(CONTROL!$C$38, 0.0369, 0)</f>
        <v>42.294800000000002</v>
      </c>
      <c r="J676" s="26">
        <f>388.8876</f>
        <v>388.88760000000002</v>
      </c>
    </row>
    <row r="677" spans="1:10" ht="15.75" x14ac:dyDescent="0.25">
      <c r="A677" s="13">
        <v>61544</v>
      </c>
      <c r="B677" s="10">
        <f>45.4822 * CHOOSE(CONTROL!$C$15, $E$9, 100%, $G$9) + CHOOSE(CONTROL!$C$38, 0.0278, 0)</f>
        <v>45.51</v>
      </c>
      <c r="C677" s="10">
        <f>41.8961 * CHOOSE(CONTROL!$C$15, $E$9, 100%, $G$9) + CHOOSE(CONTROL!$C$38, 0.0369, 0)</f>
        <v>41.933</v>
      </c>
      <c r="D677" s="10">
        <f>41.8883 * CHOOSE(CONTROL!$C$15, $E$9, 100%, $G$9) + CHOOSE(CONTROL!$C$38, 0.0369, 0)</f>
        <v>41.925200000000004</v>
      </c>
      <c r="E677" s="28">
        <f>45.326 * CHOOSE(CONTROL!$C$15, $E$9, 100%, $G$9) + CHOOSE(CONTROL!$C$38, 0.0369, 0)</f>
        <v>45.362900000000003</v>
      </c>
      <c r="F677" s="27">
        <f>45.326 * CHOOSE(CONTROL!$C$15, $E$9, 100%, $G$9) + CHOOSE(CONTROL!$C$38, 0.0278, 0)</f>
        <v>45.3538</v>
      </c>
      <c r="G677" s="10">
        <f>41.8945 * CHOOSE(CONTROL!$C$15, $E$9, 100%, $G$9) + CHOOSE(CONTROL!$C$38, 0.0369, 0)</f>
        <v>41.931400000000004</v>
      </c>
      <c r="H677" s="10">
        <f>41.8945 * CHOOSE(CONTROL!$C$15, $E$9, 100%, $G$9) + CHOOSE(CONTROL!$C$38, 0.0369, 0)</f>
        <v>41.931400000000004</v>
      </c>
      <c r="I677" s="10">
        <f>41.8961 * CHOOSE(CONTROL!$C$15, $E$9, 100%, $G$9) + CHOOSE(CONTROL!$C$38, 0.0369, 0)</f>
        <v>41.933</v>
      </c>
      <c r="J677" s="26">
        <f>394.491</f>
        <v>394.49099999999999</v>
      </c>
    </row>
    <row r="678" spans="1:10" ht="15.75" x14ac:dyDescent="0.25">
      <c r="A678" s="13">
        <v>61575</v>
      </c>
      <c r="B678" s="10">
        <f>45.2758 * CHOOSE(CONTROL!$C$15, $E$9, 100%, $G$9) + CHOOSE(CONTROL!$C$38, 0.0278, 0)</f>
        <v>45.303599999999996</v>
      </c>
      <c r="C678" s="10">
        <f>41.6896 * CHOOSE(CONTROL!$C$15, $E$9, 100%, $G$9) + CHOOSE(CONTROL!$C$38, 0.0369, 0)</f>
        <v>41.726500000000001</v>
      </c>
      <c r="D678" s="10">
        <f>41.6818 * CHOOSE(CONTROL!$C$15, $E$9, 100%, $G$9) + CHOOSE(CONTROL!$C$38, 0.0369, 0)</f>
        <v>41.718700000000005</v>
      </c>
      <c r="E678" s="28">
        <f>45.1195 * CHOOSE(CONTROL!$C$15, $E$9, 100%, $G$9) + CHOOSE(CONTROL!$C$38, 0.0369, 0)</f>
        <v>45.156400000000005</v>
      </c>
      <c r="F678" s="27">
        <f>45.1195 * CHOOSE(CONTROL!$C$15, $E$9, 100%, $G$9) + CHOOSE(CONTROL!$C$38, 0.0278, 0)</f>
        <v>45.147300000000001</v>
      </c>
      <c r="G678" s="10">
        <f>41.688 * CHOOSE(CONTROL!$C$15, $E$9, 100%, $G$9) + CHOOSE(CONTROL!$C$38, 0.0369, 0)</f>
        <v>41.724900000000005</v>
      </c>
      <c r="H678" s="10">
        <f>41.688 * CHOOSE(CONTROL!$C$15, $E$9, 100%, $G$9) + CHOOSE(CONTROL!$C$38, 0.0369, 0)</f>
        <v>41.724900000000005</v>
      </c>
      <c r="I678" s="10">
        <f>41.6896 * CHOOSE(CONTROL!$C$15, $E$9, 100%, $G$9) + CHOOSE(CONTROL!$C$38, 0.0369, 0)</f>
        <v>41.726500000000001</v>
      </c>
      <c r="J678" s="26">
        <f>392.6461</f>
        <v>392.64609999999999</v>
      </c>
    </row>
    <row r="679" spans="1:10" ht="15.75" x14ac:dyDescent="0.25">
      <c r="A679" s="13">
        <v>61606</v>
      </c>
      <c r="B679" s="10">
        <f>45.3777 * CHOOSE(CONTROL!$C$15, $E$9, 100%, $G$9) + CHOOSE(CONTROL!$C$38, 0.0278, 0)</f>
        <v>45.405499999999996</v>
      </c>
      <c r="C679" s="10">
        <f>41.7915 * CHOOSE(CONTROL!$C$15, $E$9, 100%, $G$9) + CHOOSE(CONTROL!$C$38, 0.0369, 0)</f>
        <v>41.828400000000002</v>
      </c>
      <c r="D679" s="10">
        <f>41.7837 * CHOOSE(CONTROL!$C$15, $E$9, 100%, $G$9) + CHOOSE(CONTROL!$C$38, 0.0369, 0)</f>
        <v>41.820600000000006</v>
      </c>
      <c r="E679" s="28">
        <f>45.2214 * CHOOSE(CONTROL!$C$15, $E$9, 100%, $G$9) + CHOOSE(CONTROL!$C$38, 0.0369, 0)</f>
        <v>45.258300000000006</v>
      </c>
      <c r="F679" s="27">
        <f>45.2214 * CHOOSE(CONTROL!$C$15, $E$9, 100%, $G$9) + CHOOSE(CONTROL!$C$38, 0.0278, 0)</f>
        <v>45.249200000000002</v>
      </c>
      <c r="G679" s="10">
        <f>41.7899 * CHOOSE(CONTROL!$C$15, $E$9, 100%, $G$9) + CHOOSE(CONTROL!$C$38, 0.0369, 0)</f>
        <v>41.826800000000006</v>
      </c>
      <c r="H679" s="10">
        <f>41.7899 * CHOOSE(CONTROL!$C$15, $E$9, 100%, $G$9) + CHOOSE(CONTROL!$C$38, 0.0369, 0)</f>
        <v>41.826800000000006</v>
      </c>
      <c r="I679" s="10">
        <f>41.7915 * CHOOSE(CONTROL!$C$15, $E$9, 100%, $G$9) + CHOOSE(CONTROL!$C$38, 0.0369, 0)</f>
        <v>41.828400000000002</v>
      </c>
      <c r="J679" s="26">
        <f>383.5055</f>
        <v>383.50549999999998</v>
      </c>
    </row>
    <row r="680" spans="1:10" ht="15.75" x14ac:dyDescent="0.25">
      <c r="A680" s="13">
        <v>61636</v>
      </c>
      <c r="B680" s="10">
        <f>45.6545 * CHOOSE(CONTROL!$C$15, $E$9, 100%, $G$9) + CHOOSE(CONTROL!$C$38, 0.0278, 0)</f>
        <v>45.682299999999998</v>
      </c>
      <c r="C680" s="10">
        <f>42.0683 * CHOOSE(CONTROL!$C$15, $E$9, 100%, $G$9) + CHOOSE(CONTROL!$C$38, 0.0369, 0)</f>
        <v>42.105200000000004</v>
      </c>
      <c r="D680" s="10">
        <f>42.0605 * CHOOSE(CONTROL!$C$15, $E$9, 100%, $G$9) + CHOOSE(CONTROL!$C$38, 0.0369, 0)</f>
        <v>42.0974</v>
      </c>
      <c r="E680" s="28">
        <f>45.4982 * CHOOSE(CONTROL!$C$15, $E$9, 100%, $G$9) + CHOOSE(CONTROL!$C$38, 0.0369, 0)</f>
        <v>45.5351</v>
      </c>
      <c r="F680" s="27">
        <f>45.4982 * CHOOSE(CONTROL!$C$15, $E$9, 100%, $G$9) + CHOOSE(CONTROL!$C$38, 0.0278, 0)</f>
        <v>45.525999999999996</v>
      </c>
      <c r="G680" s="10">
        <f>42.0667 * CHOOSE(CONTROL!$C$15, $E$9, 100%, $G$9) + CHOOSE(CONTROL!$C$38, 0.0369, 0)</f>
        <v>42.1036</v>
      </c>
      <c r="H680" s="10">
        <f>42.0667 * CHOOSE(CONTROL!$C$15, $E$9, 100%, $G$9) + CHOOSE(CONTROL!$C$38, 0.0369, 0)</f>
        <v>42.1036</v>
      </c>
      <c r="I680" s="10">
        <f>42.0683 * CHOOSE(CONTROL!$C$15, $E$9, 100%, $G$9) + CHOOSE(CONTROL!$C$38, 0.0369, 0)</f>
        <v>42.105200000000004</v>
      </c>
      <c r="J680" s="26">
        <f>370.7584</f>
        <v>370.75839999999999</v>
      </c>
    </row>
    <row r="681" spans="1:10" ht="15.75" x14ac:dyDescent="0.25">
      <c r="A681" s="13">
        <v>61667</v>
      </c>
      <c r="B681" s="10">
        <f>45.8863 * CHOOSE(CONTROL!$C$15, $E$9, 100%, $G$9) + CHOOSE(CONTROL!$C$38, 0.0256, 0)</f>
        <v>45.911899999999996</v>
      </c>
      <c r="C681" s="10">
        <f>42.3001 * CHOOSE(CONTROL!$C$15, $E$9, 100%, $G$9) + CHOOSE(CONTROL!$C$38, 0.0347, 0)</f>
        <v>42.334800000000001</v>
      </c>
      <c r="D681" s="10">
        <f>42.2923 * CHOOSE(CONTROL!$C$15, $E$9, 100%, $G$9) + CHOOSE(CONTROL!$C$38, 0.0347, 0)</f>
        <v>42.326999999999998</v>
      </c>
      <c r="E681" s="28">
        <f>45.73 * CHOOSE(CONTROL!$C$15, $E$9, 100%, $G$9) + CHOOSE(CONTROL!$C$38, 0.0347, 0)</f>
        <v>45.764699999999998</v>
      </c>
      <c r="F681" s="27">
        <f>45.73 * CHOOSE(CONTROL!$C$15, $E$9, 100%, $G$9) + CHOOSE(CONTROL!$C$38, 0.0256, 0)</f>
        <v>45.755599999999994</v>
      </c>
      <c r="G681" s="10">
        <f>42.2986 * CHOOSE(CONTROL!$C$15, $E$9, 100%, $G$9) + CHOOSE(CONTROL!$C$38, 0.0347, 0)</f>
        <v>42.333300000000001</v>
      </c>
      <c r="H681" s="10">
        <f>42.2986 * CHOOSE(CONTROL!$C$15, $E$9, 100%, $G$9) + CHOOSE(CONTROL!$C$38, 0.0347, 0)</f>
        <v>42.333300000000001</v>
      </c>
      <c r="I681" s="10">
        <f>42.3001 * CHOOSE(CONTROL!$C$15, $E$9, 100%, $G$9) + CHOOSE(CONTROL!$C$38, 0.0347, 0)</f>
        <v>42.334800000000001</v>
      </c>
      <c r="J681" s="26">
        <f>357.9372</f>
        <v>357.93720000000002</v>
      </c>
    </row>
    <row r="682" spans="1:10" ht="15.75" x14ac:dyDescent="0.25">
      <c r="A682" s="13">
        <v>61697</v>
      </c>
      <c r="B682" s="10">
        <f>46.0797 * CHOOSE(CONTROL!$C$15, $E$9, 100%, $G$9) + CHOOSE(CONTROL!$C$38, 0.0256, 0)</f>
        <v>46.1053</v>
      </c>
      <c r="C682" s="10">
        <f>42.4936 * CHOOSE(CONTROL!$C$15, $E$9, 100%, $G$9) + CHOOSE(CONTROL!$C$38, 0.0347, 0)</f>
        <v>42.528300000000002</v>
      </c>
      <c r="D682" s="10">
        <f>42.4858 * CHOOSE(CONTROL!$C$15, $E$9, 100%, $G$9) + CHOOSE(CONTROL!$C$38, 0.0347, 0)</f>
        <v>42.520499999999998</v>
      </c>
      <c r="E682" s="28">
        <f>45.9235 * CHOOSE(CONTROL!$C$15, $E$9, 100%, $G$9) + CHOOSE(CONTROL!$C$38, 0.0347, 0)</f>
        <v>45.958199999999998</v>
      </c>
      <c r="F682" s="27">
        <f>45.9235 * CHOOSE(CONTROL!$C$15, $E$9, 100%, $G$9) + CHOOSE(CONTROL!$C$38, 0.0256, 0)</f>
        <v>45.949099999999994</v>
      </c>
      <c r="G682" s="10">
        <f>42.492 * CHOOSE(CONTROL!$C$15, $E$9, 100%, $G$9) + CHOOSE(CONTROL!$C$38, 0.0347, 0)</f>
        <v>42.526699999999998</v>
      </c>
      <c r="H682" s="10">
        <f>42.492 * CHOOSE(CONTROL!$C$15, $E$9, 100%, $G$9) + CHOOSE(CONTROL!$C$38, 0.0347, 0)</f>
        <v>42.526699999999998</v>
      </c>
      <c r="I682" s="10">
        <f>42.4936 * CHOOSE(CONTROL!$C$15, $E$9, 100%, $G$9) + CHOOSE(CONTROL!$C$38, 0.0347, 0)</f>
        <v>42.528300000000002</v>
      </c>
      <c r="J682" s="26">
        <f>355.3868</f>
        <v>355.38679999999999</v>
      </c>
    </row>
    <row r="683" spans="1:10" ht="15.75" x14ac:dyDescent="0.25">
      <c r="A683" s="13">
        <v>61728</v>
      </c>
      <c r="B683" s="10">
        <f>46.6758 * CHOOSE(CONTROL!$C$15, $E$9, 100%, $G$9) + CHOOSE(CONTROL!$C$38, 0.0256, 0)</f>
        <v>46.7014</v>
      </c>
      <c r="C683" s="10">
        <f>43.0896 * CHOOSE(CONTROL!$C$15, $E$9, 100%, $G$9) + CHOOSE(CONTROL!$C$38, 0.0347, 0)</f>
        <v>43.124299999999998</v>
      </c>
      <c r="D683" s="10">
        <f>43.0818 * CHOOSE(CONTROL!$C$15, $E$9, 100%, $G$9) + CHOOSE(CONTROL!$C$38, 0.0347, 0)</f>
        <v>43.116500000000002</v>
      </c>
      <c r="E683" s="28">
        <f>46.5195 * CHOOSE(CONTROL!$C$15, $E$9, 100%, $G$9) + CHOOSE(CONTROL!$C$38, 0.0347, 0)</f>
        <v>46.554200000000002</v>
      </c>
      <c r="F683" s="27">
        <f>46.5195 * CHOOSE(CONTROL!$C$15, $E$9, 100%, $G$9) + CHOOSE(CONTROL!$C$38, 0.0256, 0)</f>
        <v>46.545099999999998</v>
      </c>
      <c r="G683" s="10">
        <f>43.0881 * CHOOSE(CONTROL!$C$15, $E$9, 100%, $G$9) + CHOOSE(CONTROL!$C$38, 0.0347, 0)</f>
        <v>43.122799999999998</v>
      </c>
      <c r="H683" s="10">
        <f>43.0881 * CHOOSE(CONTROL!$C$15, $E$9, 100%, $G$9) + CHOOSE(CONTROL!$C$38, 0.0347, 0)</f>
        <v>43.122799999999998</v>
      </c>
      <c r="I683" s="10">
        <f>43.0896 * CHOOSE(CONTROL!$C$15, $E$9, 100%, $G$9) + CHOOSE(CONTROL!$C$38, 0.0347, 0)</f>
        <v>43.124299999999998</v>
      </c>
      <c r="J683" s="26">
        <f>344.8407</f>
        <v>344.84070000000003</v>
      </c>
    </row>
    <row r="684" spans="1:10" ht="15.75" x14ac:dyDescent="0.25">
      <c r="A684" s="13">
        <v>61759</v>
      </c>
      <c r="B684" s="10">
        <f>47.8924 * CHOOSE(CONTROL!$C$15, $E$9, 100%, $G$9) + CHOOSE(CONTROL!$C$38, 0.0256, 0)</f>
        <v>47.917999999999999</v>
      </c>
      <c r="C684" s="10">
        <f>44.25 * CHOOSE(CONTROL!$C$15, $E$9, 100%, $G$9) + CHOOSE(CONTROL!$C$38, 0.0347, 0)</f>
        <v>44.284700000000001</v>
      </c>
      <c r="D684" s="10">
        <f>44.2422 * CHOOSE(CONTROL!$C$15, $E$9, 100%, $G$9) + CHOOSE(CONTROL!$C$38, 0.0347, 0)</f>
        <v>44.276899999999998</v>
      </c>
      <c r="E684" s="28">
        <f>47.7362 * CHOOSE(CONTROL!$C$15, $E$9, 100%, $G$9) + CHOOSE(CONTROL!$C$38, 0.0347, 0)</f>
        <v>47.770899999999997</v>
      </c>
      <c r="F684" s="27">
        <f>47.7362 * CHOOSE(CONTROL!$C$15, $E$9, 100%, $G$9) + CHOOSE(CONTROL!$C$38, 0.0256, 0)</f>
        <v>47.761799999999994</v>
      </c>
      <c r="G684" s="10">
        <f>44.2485 * CHOOSE(CONTROL!$C$15, $E$9, 100%, $G$9) + CHOOSE(CONTROL!$C$38, 0.0347, 0)</f>
        <v>44.283200000000001</v>
      </c>
      <c r="H684" s="10">
        <f>44.2485 * CHOOSE(CONTROL!$C$15, $E$9, 100%, $G$9) + CHOOSE(CONTROL!$C$38, 0.0347, 0)</f>
        <v>44.283200000000001</v>
      </c>
      <c r="I684" s="10">
        <f>44.25 * CHOOSE(CONTROL!$C$15, $E$9, 100%, $G$9) + CHOOSE(CONTROL!$C$38, 0.0347, 0)</f>
        <v>44.284700000000001</v>
      </c>
      <c r="J684" s="26">
        <f>344.1821</f>
        <v>344.18209999999999</v>
      </c>
    </row>
    <row r="685" spans="1:10" ht="15.75" x14ac:dyDescent="0.25">
      <c r="A685" s="13">
        <v>61787</v>
      </c>
      <c r="B685" s="10">
        <f>48.1132 * CHOOSE(CONTROL!$C$15, $E$9, 100%, $G$9) + CHOOSE(CONTROL!$C$38, 0.0256, 0)</f>
        <v>48.138799999999996</v>
      </c>
      <c r="C685" s="10">
        <f>44.4708 * CHOOSE(CONTROL!$C$15, $E$9, 100%, $G$9) + CHOOSE(CONTROL!$C$38, 0.0347, 0)</f>
        <v>44.505499999999998</v>
      </c>
      <c r="D685" s="10">
        <f>44.463 * CHOOSE(CONTROL!$C$15, $E$9, 100%, $G$9) + CHOOSE(CONTROL!$C$38, 0.0347, 0)</f>
        <v>44.497700000000002</v>
      </c>
      <c r="E685" s="28">
        <f>47.957 * CHOOSE(CONTROL!$C$15, $E$9, 100%, $G$9) + CHOOSE(CONTROL!$C$38, 0.0347, 0)</f>
        <v>47.991700000000002</v>
      </c>
      <c r="F685" s="27">
        <f>47.957 * CHOOSE(CONTROL!$C$15, $E$9, 100%, $G$9) + CHOOSE(CONTROL!$C$38, 0.0256, 0)</f>
        <v>47.982599999999998</v>
      </c>
      <c r="G685" s="10">
        <f>44.4692 * CHOOSE(CONTROL!$C$15, $E$9, 100%, $G$9) + CHOOSE(CONTROL!$C$38, 0.0347, 0)</f>
        <v>44.503900000000002</v>
      </c>
      <c r="H685" s="10">
        <f>44.4692 * CHOOSE(CONTROL!$C$15, $E$9, 100%, $G$9) + CHOOSE(CONTROL!$C$38, 0.0347, 0)</f>
        <v>44.503900000000002</v>
      </c>
      <c r="I685" s="10">
        <f>44.4708 * CHOOSE(CONTROL!$C$15, $E$9, 100%, $G$9) + CHOOSE(CONTROL!$C$38, 0.0347, 0)</f>
        <v>44.505499999999998</v>
      </c>
      <c r="J685" s="26">
        <f>343.2254</f>
        <v>343.22539999999998</v>
      </c>
    </row>
    <row r="686" spans="1:10" ht="15.75" x14ac:dyDescent="0.25">
      <c r="A686" s="13">
        <v>61818</v>
      </c>
      <c r="B686" s="10">
        <f>47.6022 * CHOOSE(CONTROL!$C$15, $E$9, 100%, $G$9) + CHOOSE(CONTROL!$C$38, 0.0256, 0)</f>
        <v>47.627800000000001</v>
      </c>
      <c r="C686" s="10">
        <f>43.9598 * CHOOSE(CONTROL!$C$15, $E$9, 100%, $G$9) + CHOOSE(CONTROL!$C$38, 0.0347, 0)</f>
        <v>43.994500000000002</v>
      </c>
      <c r="D686" s="10">
        <f>43.952 * CHOOSE(CONTROL!$C$15, $E$9, 100%, $G$9) + CHOOSE(CONTROL!$C$38, 0.0347, 0)</f>
        <v>43.986699999999999</v>
      </c>
      <c r="E686" s="28">
        <f>47.4459 * CHOOSE(CONTROL!$C$15, $E$9, 100%, $G$9) + CHOOSE(CONTROL!$C$38, 0.0347, 0)</f>
        <v>47.480600000000003</v>
      </c>
      <c r="F686" s="27">
        <f>47.4459 * CHOOSE(CONTROL!$C$15, $E$9, 100%, $G$9) + CHOOSE(CONTROL!$C$38, 0.0256, 0)</f>
        <v>47.471499999999999</v>
      </c>
      <c r="G686" s="10">
        <f>43.9582 * CHOOSE(CONTROL!$C$15, $E$9, 100%, $G$9) + CHOOSE(CONTROL!$C$38, 0.0347, 0)</f>
        <v>43.992899999999999</v>
      </c>
      <c r="H686" s="10">
        <f>43.9582 * CHOOSE(CONTROL!$C$15, $E$9, 100%, $G$9) + CHOOSE(CONTROL!$C$38, 0.0347, 0)</f>
        <v>43.992899999999999</v>
      </c>
      <c r="I686" s="10">
        <f>43.9598 * CHOOSE(CONTROL!$C$15, $E$9, 100%, $G$9) + CHOOSE(CONTROL!$C$38, 0.0347, 0)</f>
        <v>43.994500000000002</v>
      </c>
      <c r="J686" s="26">
        <f>361.3153</f>
        <v>361.31529999999998</v>
      </c>
    </row>
    <row r="687" spans="1:10" ht="15.75" x14ac:dyDescent="0.25">
      <c r="A687" s="13">
        <v>61848</v>
      </c>
      <c r="B687" s="10">
        <f>47.107 * CHOOSE(CONTROL!$C$15, $E$9, 100%, $G$9) + CHOOSE(CONTROL!$C$38, 0.0256, 0)</f>
        <v>47.132599999999996</v>
      </c>
      <c r="C687" s="10">
        <f>43.4646 * CHOOSE(CONTROL!$C$15, $E$9, 100%, $G$9) + CHOOSE(CONTROL!$C$38, 0.0347, 0)</f>
        <v>43.499299999999998</v>
      </c>
      <c r="D687" s="10">
        <f>43.4568 * CHOOSE(CONTROL!$C$15, $E$9, 100%, $G$9) + CHOOSE(CONTROL!$C$38, 0.0347, 0)</f>
        <v>43.491500000000002</v>
      </c>
      <c r="E687" s="28">
        <f>46.9507 * CHOOSE(CONTROL!$C$15, $E$9, 100%, $G$9) + CHOOSE(CONTROL!$C$38, 0.0347, 0)</f>
        <v>46.985399999999998</v>
      </c>
      <c r="F687" s="27">
        <f>46.9507 * CHOOSE(CONTROL!$C$15, $E$9, 100%, $G$9) + CHOOSE(CONTROL!$C$38, 0.0256, 0)</f>
        <v>46.976299999999995</v>
      </c>
      <c r="G687" s="10">
        <f>43.463 * CHOOSE(CONTROL!$C$15, $E$9, 100%, $G$9) + CHOOSE(CONTROL!$C$38, 0.0347, 0)</f>
        <v>43.497700000000002</v>
      </c>
      <c r="H687" s="10">
        <f>43.463 * CHOOSE(CONTROL!$C$15, $E$9, 100%, $G$9) + CHOOSE(CONTROL!$C$38, 0.0347, 0)</f>
        <v>43.497700000000002</v>
      </c>
      <c r="I687" s="10">
        <f>43.4646 * CHOOSE(CONTROL!$C$15, $E$9, 100%, $G$9) + CHOOSE(CONTROL!$C$38, 0.0347, 0)</f>
        <v>43.499299999999998</v>
      </c>
      <c r="J687" s="26">
        <f>384.7737</f>
        <v>384.77370000000002</v>
      </c>
    </row>
    <row r="688" spans="1:10" ht="15.75" x14ac:dyDescent="0.25">
      <c r="A688" s="13">
        <v>61879</v>
      </c>
      <c r="B688" s="10">
        <f>46.5909 * CHOOSE(CONTROL!$C$15, $E$9, 100%, $G$9) + CHOOSE(CONTROL!$C$38, 0.0278, 0)</f>
        <v>46.618699999999997</v>
      </c>
      <c r="C688" s="10">
        <f>42.9485 * CHOOSE(CONTROL!$C$15, $E$9, 100%, $G$9) + CHOOSE(CONTROL!$C$38, 0.0369, 0)</f>
        <v>42.985400000000006</v>
      </c>
      <c r="D688" s="10">
        <f>42.9407 * CHOOSE(CONTROL!$C$15, $E$9, 100%, $G$9) + CHOOSE(CONTROL!$C$38, 0.0369, 0)</f>
        <v>42.977600000000002</v>
      </c>
      <c r="E688" s="28">
        <f>46.4346 * CHOOSE(CONTROL!$C$15, $E$9, 100%, $G$9) + CHOOSE(CONTROL!$C$38, 0.0369, 0)</f>
        <v>46.471500000000006</v>
      </c>
      <c r="F688" s="27">
        <f>46.4346 * CHOOSE(CONTROL!$C$15, $E$9, 100%, $G$9) + CHOOSE(CONTROL!$C$38, 0.0278, 0)</f>
        <v>46.462400000000002</v>
      </c>
      <c r="G688" s="10">
        <f>42.9469 * CHOOSE(CONTROL!$C$15, $E$9, 100%, $G$9) + CHOOSE(CONTROL!$C$38, 0.0369, 0)</f>
        <v>42.983800000000002</v>
      </c>
      <c r="H688" s="10">
        <f>42.9469 * CHOOSE(CONTROL!$C$15, $E$9, 100%, $G$9) + CHOOSE(CONTROL!$C$38, 0.0369, 0)</f>
        <v>42.983800000000002</v>
      </c>
      <c r="I688" s="10">
        <f>42.9485 * CHOOSE(CONTROL!$C$15, $E$9, 100%, $G$9) + CHOOSE(CONTROL!$C$38, 0.0369, 0)</f>
        <v>42.985400000000006</v>
      </c>
      <c r="J688" s="26">
        <f>397.6859</f>
        <v>397.6859</v>
      </c>
    </row>
    <row r="689" spans="1:10" ht="15.75" x14ac:dyDescent="0.25">
      <c r="A689" s="13">
        <v>61909</v>
      </c>
      <c r="B689" s="10">
        <f>46.229 * CHOOSE(CONTROL!$C$15, $E$9, 100%, $G$9) + CHOOSE(CONTROL!$C$38, 0.0278, 0)</f>
        <v>46.256799999999998</v>
      </c>
      <c r="C689" s="10">
        <f>42.5867 * CHOOSE(CONTROL!$C$15, $E$9, 100%, $G$9) + CHOOSE(CONTROL!$C$38, 0.0369, 0)</f>
        <v>42.623600000000003</v>
      </c>
      <c r="D689" s="10">
        <f>42.5788 * CHOOSE(CONTROL!$C$15, $E$9, 100%, $G$9) + CHOOSE(CONTROL!$C$38, 0.0369, 0)</f>
        <v>42.615700000000004</v>
      </c>
      <c r="E689" s="28">
        <f>46.0728 * CHOOSE(CONTROL!$C$15, $E$9, 100%, $G$9) + CHOOSE(CONTROL!$C$38, 0.0369, 0)</f>
        <v>46.109700000000004</v>
      </c>
      <c r="F689" s="27">
        <f>46.0728 * CHOOSE(CONTROL!$C$15, $E$9, 100%, $G$9) + CHOOSE(CONTROL!$C$38, 0.0278, 0)</f>
        <v>46.1006</v>
      </c>
      <c r="G689" s="10">
        <f>42.5851 * CHOOSE(CONTROL!$C$15, $E$9, 100%, $G$9) + CHOOSE(CONTROL!$C$38, 0.0369, 0)</f>
        <v>42.622</v>
      </c>
      <c r="H689" s="10">
        <f>42.5851 * CHOOSE(CONTROL!$C$15, $E$9, 100%, $G$9) + CHOOSE(CONTROL!$C$38, 0.0369, 0)</f>
        <v>42.622</v>
      </c>
      <c r="I689" s="10">
        <f>42.5867 * CHOOSE(CONTROL!$C$15, $E$9, 100%, $G$9) + CHOOSE(CONTROL!$C$38, 0.0369, 0)</f>
        <v>42.623600000000003</v>
      </c>
      <c r="J689" s="26">
        <f>403.4162</f>
        <v>403.4162</v>
      </c>
    </row>
    <row r="690" spans="1:10" ht="15.75" x14ac:dyDescent="0.25">
      <c r="A690" s="13">
        <v>61940</v>
      </c>
      <c r="B690" s="10">
        <f>46.0226 * CHOOSE(CONTROL!$C$15, $E$9, 100%, $G$9) + CHOOSE(CONTROL!$C$38, 0.0278, 0)</f>
        <v>46.050399999999996</v>
      </c>
      <c r="C690" s="10">
        <f>42.3802 * CHOOSE(CONTROL!$C$15, $E$9, 100%, $G$9) + CHOOSE(CONTROL!$C$38, 0.0369, 0)</f>
        <v>42.417100000000005</v>
      </c>
      <c r="D690" s="10">
        <f>42.3724 * CHOOSE(CONTROL!$C$15, $E$9, 100%, $G$9) + CHOOSE(CONTROL!$C$38, 0.0369, 0)</f>
        <v>42.409300000000002</v>
      </c>
      <c r="E690" s="28">
        <f>45.8663 * CHOOSE(CONTROL!$C$15, $E$9, 100%, $G$9) + CHOOSE(CONTROL!$C$38, 0.0369, 0)</f>
        <v>45.903200000000005</v>
      </c>
      <c r="F690" s="27">
        <f>45.8663 * CHOOSE(CONTROL!$C$15, $E$9, 100%, $G$9) + CHOOSE(CONTROL!$C$38, 0.0278, 0)</f>
        <v>45.894100000000002</v>
      </c>
      <c r="G690" s="10">
        <f>42.3786 * CHOOSE(CONTROL!$C$15, $E$9, 100%, $G$9) + CHOOSE(CONTROL!$C$38, 0.0369, 0)</f>
        <v>42.415500000000002</v>
      </c>
      <c r="H690" s="10">
        <f>42.3786 * CHOOSE(CONTROL!$C$15, $E$9, 100%, $G$9) + CHOOSE(CONTROL!$C$38, 0.0369, 0)</f>
        <v>42.415500000000002</v>
      </c>
      <c r="I690" s="10">
        <f>42.3802 * CHOOSE(CONTROL!$C$15, $E$9, 100%, $G$9) + CHOOSE(CONTROL!$C$38, 0.0369, 0)</f>
        <v>42.417100000000005</v>
      </c>
      <c r="J690" s="26">
        <f>401.5295</f>
        <v>401.52949999999998</v>
      </c>
    </row>
    <row r="691" spans="1:10" ht="15.75" x14ac:dyDescent="0.25">
      <c r="A691" s="13">
        <v>61971</v>
      </c>
      <c r="B691" s="10">
        <f>46.1245 * CHOOSE(CONTROL!$C$15, $E$9, 100%, $G$9) + CHOOSE(CONTROL!$C$38, 0.0278, 0)</f>
        <v>46.152299999999997</v>
      </c>
      <c r="C691" s="10">
        <f>42.4821 * CHOOSE(CONTROL!$C$15, $E$9, 100%, $G$9) + CHOOSE(CONTROL!$C$38, 0.0369, 0)</f>
        <v>42.519000000000005</v>
      </c>
      <c r="D691" s="10">
        <f>42.4743 * CHOOSE(CONTROL!$C$15, $E$9, 100%, $G$9) + CHOOSE(CONTROL!$C$38, 0.0369, 0)</f>
        <v>42.511200000000002</v>
      </c>
      <c r="E691" s="28">
        <f>45.9682 * CHOOSE(CONTROL!$C$15, $E$9, 100%, $G$9) + CHOOSE(CONTROL!$C$38, 0.0369, 0)</f>
        <v>46.005100000000006</v>
      </c>
      <c r="F691" s="27">
        <f>45.9682 * CHOOSE(CONTROL!$C$15, $E$9, 100%, $G$9) + CHOOSE(CONTROL!$C$38, 0.0278, 0)</f>
        <v>45.996000000000002</v>
      </c>
      <c r="G691" s="10">
        <f>42.4805 * CHOOSE(CONTROL!$C$15, $E$9, 100%, $G$9) + CHOOSE(CONTROL!$C$38, 0.0369, 0)</f>
        <v>42.517400000000002</v>
      </c>
      <c r="H691" s="10">
        <f>42.4805 * CHOOSE(CONTROL!$C$15, $E$9, 100%, $G$9) + CHOOSE(CONTROL!$C$38, 0.0369, 0)</f>
        <v>42.517400000000002</v>
      </c>
      <c r="I691" s="10">
        <f>42.4821 * CHOOSE(CONTROL!$C$15, $E$9, 100%, $G$9) + CHOOSE(CONTROL!$C$38, 0.0369, 0)</f>
        <v>42.519000000000005</v>
      </c>
      <c r="J691" s="26">
        <f>392.1821</f>
        <v>392.18209999999999</v>
      </c>
    </row>
    <row r="692" spans="1:10" ht="15.75" x14ac:dyDescent="0.25">
      <c r="A692" s="13">
        <v>62001</v>
      </c>
      <c r="B692" s="10">
        <f>46.4013 * CHOOSE(CONTROL!$C$15, $E$9, 100%, $G$9) + CHOOSE(CONTROL!$C$38, 0.0278, 0)</f>
        <v>46.429099999999998</v>
      </c>
      <c r="C692" s="10">
        <f>42.7589 * CHOOSE(CONTROL!$C$15, $E$9, 100%, $G$9) + CHOOSE(CONTROL!$C$38, 0.0369, 0)</f>
        <v>42.7958</v>
      </c>
      <c r="D692" s="10">
        <f>42.7511 * CHOOSE(CONTROL!$C$15, $E$9, 100%, $G$9) + CHOOSE(CONTROL!$C$38, 0.0369, 0)</f>
        <v>42.788000000000004</v>
      </c>
      <c r="E692" s="28">
        <f>46.245 * CHOOSE(CONTROL!$C$15, $E$9, 100%, $G$9) + CHOOSE(CONTROL!$C$38, 0.0369, 0)</f>
        <v>46.2819</v>
      </c>
      <c r="F692" s="27">
        <f>46.245 * CHOOSE(CONTROL!$C$15, $E$9, 100%, $G$9) + CHOOSE(CONTROL!$C$38, 0.0278, 0)</f>
        <v>46.272799999999997</v>
      </c>
      <c r="G692" s="10">
        <f>42.7573 * CHOOSE(CONTROL!$C$15, $E$9, 100%, $G$9) + CHOOSE(CONTROL!$C$38, 0.0369, 0)</f>
        <v>42.794200000000004</v>
      </c>
      <c r="H692" s="10">
        <f>42.7573 * CHOOSE(CONTROL!$C$15, $E$9, 100%, $G$9) + CHOOSE(CONTROL!$C$38, 0.0369, 0)</f>
        <v>42.794200000000004</v>
      </c>
      <c r="I692" s="10">
        <f>42.7589 * CHOOSE(CONTROL!$C$15, $E$9, 100%, $G$9) + CHOOSE(CONTROL!$C$38, 0.0369, 0)</f>
        <v>42.7958</v>
      </c>
      <c r="J692" s="26">
        <f>379.1466</f>
        <v>379.14659999999998</v>
      </c>
    </row>
    <row r="693" spans="1:10" ht="15.75" x14ac:dyDescent="0.25">
      <c r="A693" s="13">
        <v>62032</v>
      </c>
      <c r="B693" s="10">
        <f>46.6331 * CHOOSE(CONTROL!$C$15, $E$9, 100%, $G$9) + CHOOSE(CONTROL!$C$38, 0.0256, 0)</f>
        <v>46.658699999999996</v>
      </c>
      <c r="C693" s="10">
        <f>42.9907 * CHOOSE(CONTROL!$C$15, $E$9, 100%, $G$9) + CHOOSE(CONTROL!$C$38, 0.0347, 0)</f>
        <v>43.025399999999998</v>
      </c>
      <c r="D693" s="10">
        <f>42.9829 * CHOOSE(CONTROL!$C$15, $E$9, 100%, $G$9) + CHOOSE(CONTROL!$C$38, 0.0347, 0)</f>
        <v>43.017600000000002</v>
      </c>
      <c r="E693" s="28">
        <f>46.4768 * CHOOSE(CONTROL!$C$15, $E$9, 100%, $G$9) + CHOOSE(CONTROL!$C$38, 0.0347, 0)</f>
        <v>46.511499999999998</v>
      </c>
      <c r="F693" s="27">
        <f>46.4768 * CHOOSE(CONTROL!$C$15, $E$9, 100%, $G$9) + CHOOSE(CONTROL!$C$38, 0.0256, 0)</f>
        <v>46.502399999999994</v>
      </c>
      <c r="G693" s="10">
        <f>42.9891 * CHOOSE(CONTROL!$C$15, $E$9, 100%, $G$9) + CHOOSE(CONTROL!$C$38, 0.0347, 0)</f>
        <v>43.023800000000001</v>
      </c>
      <c r="H693" s="10">
        <f>42.9891 * CHOOSE(CONTROL!$C$15, $E$9, 100%, $G$9) + CHOOSE(CONTROL!$C$38, 0.0347, 0)</f>
        <v>43.023800000000001</v>
      </c>
      <c r="I693" s="10">
        <f>42.9907 * CHOOSE(CONTROL!$C$15, $E$9, 100%, $G$9) + CHOOSE(CONTROL!$C$38, 0.0347, 0)</f>
        <v>43.025399999999998</v>
      </c>
      <c r="J693" s="26">
        <f>366.0353</f>
        <v>366.03530000000001</v>
      </c>
    </row>
    <row r="694" spans="1:10" ht="15.75" x14ac:dyDescent="0.25">
      <c r="A694" s="13">
        <v>62062</v>
      </c>
      <c r="B694" s="10">
        <f>46.8265 * CHOOSE(CONTROL!$C$15, $E$9, 100%, $G$9) + CHOOSE(CONTROL!$C$38, 0.0256, 0)</f>
        <v>46.8521</v>
      </c>
      <c r="C694" s="10">
        <f>43.1841 * CHOOSE(CONTROL!$C$15, $E$9, 100%, $G$9) + CHOOSE(CONTROL!$C$38, 0.0347, 0)</f>
        <v>43.218800000000002</v>
      </c>
      <c r="D694" s="10">
        <f>43.1763 * CHOOSE(CONTROL!$C$15, $E$9, 100%, $G$9) + CHOOSE(CONTROL!$C$38, 0.0347, 0)</f>
        <v>43.210999999999999</v>
      </c>
      <c r="E694" s="28">
        <f>46.6703 * CHOOSE(CONTROL!$C$15, $E$9, 100%, $G$9) + CHOOSE(CONTROL!$C$38, 0.0347, 0)</f>
        <v>46.704999999999998</v>
      </c>
      <c r="F694" s="27">
        <f>46.6703 * CHOOSE(CONTROL!$C$15, $E$9, 100%, $G$9) + CHOOSE(CONTROL!$C$38, 0.0256, 0)</f>
        <v>46.695899999999995</v>
      </c>
      <c r="G694" s="10">
        <f>43.1826 * CHOOSE(CONTROL!$C$15, $E$9, 100%, $G$9) + CHOOSE(CONTROL!$C$38, 0.0347, 0)</f>
        <v>43.217300000000002</v>
      </c>
      <c r="H694" s="10">
        <f>43.1826 * CHOOSE(CONTROL!$C$15, $E$9, 100%, $G$9) + CHOOSE(CONTROL!$C$38, 0.0347, 0)</f>
        <v>43.217300000000002</v>
      </c>
      <c r="I694" s="10">
        <f>43.1841 * CHOOSE(CONTROL!$C$15, $E$9, 100%, $G$9) + CHOOSE(CONTROL!$C$38, 0.0347, 0)</f>
        <v>43.218800000000002</v>
      </c>
      <c r="J694" s="26">
        <f>363.4272</f>
        <v>363.42720000000003</v>
      </c>
    </row>
    <row r="695" spans="1:10" ht="15.75" x14ac:dyDescent="0.25">
      <c r="A695" s="13">
        <v>62093</v>
      </c>
      <c r="B695" s="10">
        <f>47.4226 * CHOOSE(CONTROL!$C$15, $E$9, 100%, $G$9) + CHOOSE(CONTROL!$C$38, 0.0256, 0)</f>
        <v>47.4482</v>
      </c>
      <c r="C695" s="10">
        <f>43.7802 * CHOOSE(CONTROL!$C$15, $E$9, 100%, $G$9) + CHOOSE(CONTROL!$C$38, 0.0347, 0)</f>
        <v>43.814900000000002</v>
      </c>
      <c r="D695" s="10">
        <f>43.7724 * CHOOSE(CONTROL!$C$15, $E$9, 100%, $G$9) + CHOOSE(CONTROL!$C$38, 0.0347, 0)</f>
        <v>43.807099999999998</v>
      </c>
      <c r="E695" s="28">
        <f>47.2663 * CHOOSE(CONTROL!$C$15, $E$9, 100%, $G$9) + CHOOSE(CONTROL!$C$38, 0.0347, 0)</f>
        <v>47.301000000000002</v>
      </c>
      <c r="F695" s="27">
        <f>47.2663 * CHOOSE(CONTROL!$C$15, $E$9, 100%, $G$9) + CHOOSE(CONTROL!$C$38, 0.0256, 0)</f>
        <v>47.291899999999998</v>
      </c>
      <c r="G695" s="10">
        <f>43.7786 * CHOOSE(CONTROL!$C$15, $E$9, 100%, $G$9) + CHOOSE(CONTROL!$C$38, 0.0347, 0)</f>
        <v>43.813299999999998</v>
      </c>
      <c r="H695" s="10">
        <f>43.7786 * CHOOSE(CONTROL!$C$15, $E$9, 100%, $G$9) + CHOOSE(CONTROL!$C$38, 0.0347, 0)</f>
        <v>43.813299999999998</v>
      </c>
      <c r="I695" s="10">
        <f>43.7802 * CHOOSE(CONTROL!$C$15, $E$9, 100%, $G$9) + CHOOSE(CONTROL!$C$38, 0.0347, 0)</f>
        <v>43.814900000000002</v>
      </c>
      <c r="J695" s="26">
        <f>352.6425</f>
        <v>352.64249999999998</v>
      </c>
    </row>
    <row r="696" spans="1:10" ht="15.75" x14ac:dyDescent="0.25">
      <c r="A696" s="13">
        <v>62124</v>
      </c>
      <c r="B696" s="10">
        <f>48.6515 * CHOOSE(CONTROL!$C$15, $E$9, 100%, $G$9) + CHOOSE(CONTROL!$C$38, 0.0256, 0)</f>
        <v>48.677099999999996</v>
      </c>
      <c r="C696" s="10">
        <f>44.9519 * CHOOSE(CONTROL!$C$15, $E$9, 100%, $G$9) + CHOOSE(CONTROL!$C$38, 0.0347, 0)</f>
        <v>44.986600000000003</v>
      </c>
      <c r="D696" s="10">
        <f>44.9441 * CHOOSE(CONTROL!$C$15, $E$9, 100%, $G$9) + CHOOSE(CONTROL!$C$38, 0.0347, 0)</f>
        <v>44.9788</v>
      </c>
      <c r="E696" s="28">
        <f>48.4952 * CHOOSE(CONTROL!$C$15, $E$9, 100%, $G$9) + CHOOSE(CONTROL!$C$38, 0.0347, 0)</f>
        <v>48.529899999999998</v>
      </c>
      <c r="F696" s="27">
        <f>48.4952 * CHOOSE(CONTROL!$C$15, $E$9, 100%, $G$9) + CHOOSE(CONTROL!$C$38, 0.0256, 0)</f>
        <v>48.520799999999994</v>
      </c>
      <c r="G696" s="10">
        <f>44.9504 * CHOOSE(CONTROL!$C$15, $E$9, 100%, $G$9) + CHOOSE(CONTROL!$C$38, 0.0347, 0)</f>
        <v>44.985100000000003</v>
      </c>
      <c r="H696" s="10">
        <f>44.9504 * CHOOSE(CONTROL!$C$15, $E$9, 100%, $G$9) + CHOOSE(CONTROL!$C$38, 0.0347, 0)</f>
        <v>44.985100000000003</v>
      </c>
      <c r="I696" s="10">
        <f>44.9519 * CHOOSE(CONTROL!$C$15, $E$9, 100%, $G$9) + CHOOSE(CONTROL!$C$38, 0.0347, 0)</f>
        <v>44.986600000000003</v>
      </c>
      <c r="J696" s="26">
        <f>351.969</f>
        <v>351.96899999999999</v>
      </c>
    </row>
    <row r="697" spans="1:10" ht="15.75" x14ac:dyDescent="0.25">
      <c r="A697" s="13">
        <v>62152</v>
      </c>
      <c r="B697" s="10">
        <f>48.8722 * CHOOSE(CONTROL!$C$15, $E$9, 100%, $G$9) + CHOOSE(CONTROL!$C$38, 0.0256, 0)</f>
        <v>48.897799999999997</v>
      </c>
      <c r="C697" s="10">
        <f>45.1727 * CHOOSE(CONTROL!$C$15, $E$9, 100%, $G$9) + CHOOSE(CONTROL!$C$38, 0.0347, 0)</f>
        <v>45.2074</v>
      </c>
      <c r="D697" s="10">
        <f>45.1649 * CHOOSE(CONTROL!$C$15, $E$9, 100%, $G$9) + CHOOSE(CONTROL!$C$38, 0.0347, 0)</f>
        <v>45.199600000000004</v>
      </c>
      <c r="E697" s="28">
        <f>48.716 * CHOOSE(CONTROL!$C$15, $E$9, 100%, $G$9) + CHOOSE(CONTROL!$C$38, 0.0347, 0)</f>
        <v>48.750700000000002</v>
      </c>
      <c r="F697" s="27">
        <f>48.716 * CHOOSE(CONTROL!$C$15, $E$9, 100%, $G$9) + CHOOSE(CONTROL!$C$38, 0.0256, 0)</f>
        <v>48.741599999999998</v>
      </c>
      <c r="G697" s="10">
        <f>45.1711 * CHOOSE(CONTROL!$C$15, $E$9, 100%, $G$9) + CHOOSE(CONTROL!$C$38, 0.0347, 0)</f>
        <v>45.205800000000004</v>
      </c>
      <c r="H697" s="10">
        <f>45.1711 * CHOOSE(CONTROL!$C$15, $E$9, 100%, $G$9) + CHOOSE(CONTROL!$C$38, 0.0347, 0)</f>
        <v>45.205800000000004</v>
      </c>
      <c r="I697" s="10">
        <f>45.1727 * CHOOSE(CONTROL!$C$15, $E$9, 100%, $G$9) + CHOOSE(CONTROL!$C$38, 0.0347, 0)</f>
        <v>45.2074</v>
      </c>
      <c r="J697" s="26">
        <f>350.9907</f>
        <v>350.9907</v>
      </c>
    </row>
    <row r="698" spans="1:10" ht="15.75" x14ac:dyDescent="0.25">
      <c r="A698" s="13">
        <v>62183</v>
      </c>
      <c r="B698" s="10">
        <f>48.3612 * CHOOSE(CONTROL!$C$15, $E$9, 100%, $G$9) + CHOOSE(CONTROL!$C$38, 0.0256, 0)</f>
        <v>48.386799999999994</v>
      </c>
      <c r="C698" s="10">
        <f>44.6617 * CHOOSE(CONTROL!$C$15, $E$9, 100%, $G$9) + CHOOSE(CONTROL!$C$38, 0.0347, 0)</f>
        <v>44.696400000000004</v>
      </c>
      <c r="D698" s="10">
        <f>44.6539 * CHOOSE(CONTROL!$C$15, $E$9, 100%, $G$9) + CHOOSE(CONTROL!$C$38, 0.0347, 0)</f>
        <v>44.688600000000001</v>
      </c>
      <c r="E698" s="28">
        <f>48.205 * CHOOSE(CONTROL!$C$15, $E$9, 100%, $G$9) + CHOOSE(CONTROL!$C$38, 0.0347, 0)</f>
        <v>48.239699999999999</v>
      </c>
      <c r="F698" s="27">
        <f>48.205 * CHOOSE(CONTROL!$C$15, $E$9, 100%, $G$9) + CHOOSE(CONTROL!$C$38, 0.0256, 0)</f>
        <v>48.230599999999995</v>
      </c>
      <c r="G698" s="10">
        <f>44.6601 * CHOOSE(CONTROL!$C$15, $E$9, 100%, $G$9) + CHOOSE(CONTROL!$C$38, 0.0347, 0)</f>
        <v>44.694800000000001</v>
      </c>
      <c r="H698" s="10">
        <f>44.6601 * CHOOSE(CONTROL!$C$15, $E$9, 100%, $G$9) + CHOOSE(CONTROL!$C$38, 0.0347, 0)</f>
        <v>44.694800000000001</v>
      </c>
      <c r="I698" s="10">
        <f>44.6617 * CHOOSE(CONTROL!$C$15, $E$9, 100%, $G$9) + CHOOSE(CONTROL!$C$38, 0.0347, 0)</f>
        <v>44.696400000000004</v>
      </c>
      <c r="J698" s="26">
        <f>369.4899</f>
        <v>369.48989999999998</v>
      </c>
    </row>
    <row r="699" spans="1:10" ht="15.75" x14ac:dyDescent="0.25">
      <c r="A699" s="13">
        <v>62213</v>
      </c>
      <c r="B699" s="10">
        <f>47.866 * CHOOSE(CONTROL!$C$15, $E$9, 100%, $G$9) + CHOOSE(CONTROL!$C$38, 0.0256, 0)</f>
        <v>47.891599999999997</v>
      </c>
      <c r="C699" s="10">
        <f>44.1665 * CHOOSE(CONTROL!$C$15, $E$9, 100%, $G$9) + CHOOSE(CONTROL!$C$38, 0.0347, 0)</f>
        <v>44.2012</v>
      </c>
      <c r="D699" s="10">
        <f>44.1587 * CHOOSE(CONTROL!$C$15, $E$9, 100%, $G$9) + CHOOSE(CONTROL!$C$38, 0.0347, 0)</f>
        <v>44.193400000000004</v>
      </c>
      <c r="E699" s="28">
        <f>47.7098 * CHOOSE(CONTROL!$C$15, $E$9, 100%, $G$9) + CHOOSE(CONTROL!$C$38, 0.0347, 0)</f>
        <v>47.744500000000002</v>
      </c>
      <c r="F699" s="27">
        <f>47.7098 * CHOOSE(CONTROL!$C$15, $E$9, 100%, $G$9) + CHOOSE(CONTROL!$C$38, 0.0256, 0)</f>
        <v>47.735399999999998</v>
      </c>
      <c r="G699" s="10">
        <f>44.1649 * CHOOSE(CONTROL!$C$15, $E$9, 100%, $G$9) + CHOOSE(CONTROL!$C$38, 0.0347, 0)</f>
        <v>44.199600000000004</v>
      </c>
      <c r="H699" s="10">
        <f>44.1649 * CHOOSE(CONTROL!$C$15, $E$9, 100%, $G$9) + CHOOSE(CONTROL!$C$38, 0.0347, 0)</f>
        <v>44.199600000000004</v>
      </c>
      <c r="I699" s="10">
        <f>44.1665 * CHOOSE(CONTROL!$C$15, $E$9, 100%, $G$9) + CHOOSE(CONTROL!$C$38, 0.0347, 0)</f>
        <v>44.2012</v>
      </c>
      <c r="J699" s="26">
        <f>393.479</f>
        <v>393.47899999999998</v>
      </c>
    </row>
    <row r="700" spans="1:10" ht="15.75" x14ac:dyDescent="0.25">
      <c r="A700" s="13">
        <v>62244</v>
      </c>
      <c r="B700" s="10">
        <f>47.3499 * CHOOSE(CONTROL!$C$15, $E$9, 100%, $G$9) + CHOOSE(CONTROL!$C$38, 0.0278, 0)</f>
        <v>47.377699999999997</v>
      </c>
      <c r="C700" s="10">
        <f>43.6504 * CHOOSE(CONTROL!$C$15, $E$9, 100%, $G$9) + CHOOSE(CONTROL!$C$38, 0.0369, 0)</f>
        <v>43.6873</v>
      </c>
      <c r="D700" s="10">
        <f>43.6426 * CHOOSE(CONTROL!$C$15, $E$9, 100%, $G$9) + CHOOSE(CONTROL!$C$38, 0.0369, 0)</f>
        <v>43.679500000000004</v>
      </c>
      <c r="E700" s="28">
        <f>47.1937 * CHOOSE(CONTROL!$C$15, $E$9, 100%, $G$9) + CHOOSE(CONTROL!$C$38, 0.0369, 0)</f>
        <v>47.230600000000003</v>
      </c>
      <c r="F700" s="27">
        <f>47.1937 * CHOOSE(CONTROL!$C$15, $E$9, 100%, $G$9) + CHOOSE(CONTROL!$C$38, 0.0278, 0)</f>
        <v>47.221499999999999</v>
      </c>
      <c r="G700" s="10">
        <f>43.6488 * CHOOSE(CONTROL!$C$15, $E$9, 100%, $G$9) + CHOOSE(CONTROL!$C$38, 0.0369, 0)</f>
        <v>43.685700000000004</v>
      </c>
      <c r="H700" s="10">
        <f>43.6488 * CHOOSE(CONTROL!$C$15, $E$9, 100%, $G$9) + CHOOSE(CONTROL!$C$38, 0.0369, 0)</f>
        <v>43.685700000000004</v>
      </c>
      <c r="I700" s="10">
        <f>43.6504 * CHOOSE(CONTROL!$C$15, $E$9, 100%, $G$9) + CHOOSE(CONTROL!$C$38, 0.0369, 0)</f>
        <v>43.6873</v>
      </c>
      <c r="J700" s="26">
        <f>406.6834</f>
        <v>406.68340000000001</v>
      </c>
    </row>
    <row r="701" spans="1:10" ht="15.75" x14ac:dyDescent="0.25">
      <c r="A701" s="13">
        <v>62274</v>
      </c>
      <c r="B701" s="10">
        <f>46.9881 * CHOOSE(CONTROL!$C$15, $E$9, 100%, $G$9) + CHOOSE(CONTROL!$C$38, 0.0278, 0)</f>
        <v>47.015900000000002</v>
      </c>
      <c r="C701" s="10">
        <f>43.2885 * CHOOSE(CONTROL!$C$15, $E$9, 100%, $G$9) + CHOOSE(CONTROL!$C$38, 0.0369, 0)</f>
        <v>43.325400000000002</v>
      </c>
      <c r="D701" s="10">
        <f>43.2807 * CHOOSE(CONTROL!$C$15, $E$9, 100%, $G$9) + CHOOSE(CONTROL!$C$38, 0.0369, 0)</f>
        <v>43.317600000000006</v>
      </c>
      <c r="E701" s="28">
        <f>46.8318 * CHOOSE(CONTROL!$C$15, $E$9, 100%, $G$9) + CHOOSE(CONTROL!$C$38, 0.0369, 0)</f>
        <v>46.868700000000004</v>
      </c>
      <c r="F701" s="27">
        <f>46.8318 * CHOOSE(CONTROL!$C$15, $E$9, 100%, $G$9) + CHOOSE(CONTROL!$C$38, 0.0278, 0)</f>
        <v>46.8596</v>
      </c>
      <c r="G701" s="10">
        <f>43.287 * CHOOSE(CONTROL!$C$15, $E$9, 100%, $G$9) + CHOOSE(CONTROL!$C$38, 0.0369, 0)</f>
        <v>43.323900000000002</v>
      </c>
      <c r="H701" s="10">
        <f>43.287 * CHOOSE(CONTROL!$C$15, $E$9, 100%, $G$9) + CHOOSE(CONTROL!$C$38, 0.0369, 0)</f>
        <v>43.323900000000002</v>
      </c>
      <c r="I701" s="10">
        <f>43.2885 * CHOOSE(CONTROL!$C$15, $E$9, 100%, $G$9) + CHOOSE(CONTROL!$C$38, 0.0369, 0)</f>
        <v>43.325400000000002</v>
      </c>
      <c r="J701" s="26">
        <f>412.5433</f>
        <v>412.54329999999999</v>
      </c>
    </row>
    <row r="702" spans="1:10" ht="15.75" x14ac:dyDescent="0.25">
      <c r="A702" s="13">
        <v>62305</v>
      </c>
      <c r="B702" s="10">
        <f>46.7816 * CHOOSE(CONTROL!$C$15, $E$9, 100%, $G$9) + CHOOSE(CONTROL!$C$38, 0.0278, 0)</f>
        <v>46.809399999999997</v>
      </c>
      <c r="C702" s="10">
        <f>43.082 * CHOOSE(CONTROL!$C$15, $E$9, 100%, $G$9) + CHOOSE(CONTROL!$C$38, 0.0369, 0)</f>
        <v>43.118900000000004</v>
      </c>
      <c r="D702" s="10">
        <f>43.0742 * CHOOSE(CONTROL!$C$15, $E$9, 100%, $G$9) + CHOOSE(CONTROL!$C$38, 0.0369, 0)</f>
        <v>43.1111</v>
      </c>
      <c r="E702" s="28">
        <f>46.6253 * CHOOSE(CONTROL!$C$15, $E$9, 100%, $G$9) + CHOOSE(CONTROL!$C$38, 0.0369, 0)</f>
        <v>46.662200000000006</v>
      </c>
      <c r="F702" s="27">
        <f>46.6253 * CHOOSE(CONTROL!$C$15, $E$9, 100%, $G$9) + CHOOSE(CONTROL!$C$38, 0.0278, 0)</f>
        <v>46.653100000000002</v>
      </c>
      <c r="G702" s="10">
        <f>43.0805 * CHOOSE(CONTROL!$C$15, $E$9, 100%, $G$9) + CHOOSE(CONTROL!$C$38, 0.0369, 0)</f>
        <v>43.117400000000004</v>
      </c>
      <c r="H702" s="10">
        <f>43.0805 * CHOOSE(CONTROL!$C$15, $E$9, 100%, $G$9) + CHOOSE(CONTROL!$C$38, 0.0369, 0)</f>
        <v>43.117400000000004</v>
      </c>
      <c r="I702" s="10">
        <f>43.082 * CHOOSE(CONTROL!$C$15, $E$9, 100%, $G$9) + CHOOSE(CONTROL!$C$38, 0.0369, 0)</f>
        <v>43.118900000000004</v>
      </c>
      <c r="J702" s="26">
        <f>410.6139</f>
        <v>410.6139</v>
      </c>
    </row>
    <row r="703" spans="1:10" ht="15.75" x14ac:dyDescent="0.25">
      <c r="A703" s="13">
        <v>62336</v>
      </c>
      <c r="B703" s="10">
        <f>46.8835 * CHOOSE(CONTROL!$C$15, $E$9, 100%, $G$9) + CHOOSE(CONTROL!$C$38, 0.0278, 0)</f>
        <v>46.911299999999997</v>
      </c>
      <c r="C703" s="10">
        <f>43.184 * CHOOSE(CONTROL!$C$15, $E$9, 100%, $G$9) + CHOOSE(CONTROL!$C$38, 0.0369, 0)</f>
        <v>43.2209</v>
      </c>
      <c r="D703" s="10">
        <f>43.1761 * CHOOSE(CONTROL!$C$15, $E$9, 100%, $G$9) + CHOOSE(CONTROL!$C$38, 0.0369, 0)</f>
        <v>43.213000000000001</v>
      </c>
      <c r="E703" s="28">
        <f>46.7273 * CHOOSE(CONTROL!$C$15, $E$9, 100%, $G$9) + CHOOSE(CONTROL!$C$38, 0.0369, 0)</f>
        <v>46.764200000000002</v>
      </c>
      <c r="F703" s="27">
        <f>46.7273 * CHOOSE(CONTROL!$C$15, $E$9, 100%, $G$9) + CHOOSE(CONTROL!$C$38, 0.0278, 0)</f>
        <v>46.755099999999999</v>
      </c>
      <c r="G703" s="10">
        <f>43.1824 * CHOOSE(CONTROL!$C$15, $E$9, 100%, $G$9) + CHOOSE(CONTROL!$C$38, 0.0369, 0)</f>
        <v>43.219300000000004</v>
      </c>
      <c r="H703" s="10">
        <f>43.1824 * CHOOSE(CONTROL!$C$15, $E$9, 100%, $G$9) + CHOOSE(CONTROL!$C$38, 0.0369, 0)</f>
        <v>43.219300000000004</v>
      </c>
      <c r="I703" s="10">
        <f>43.184 * CHOOSE(CONTROL!$C$15, $E$9, 100%, $G$9) + CHOOSE(CONTROL!$C$38, 0.0369, 0)</f>
        <v>43.2209</v>
      </c>
      <c r="J703" s="26">
        <f>401.055</f>
        <v>401.05500000000001</v>
      </c>
    </row>
    <row r="704" spans="1:10" ht="15.75" x14ac:dyDescent="0.25">
      <c r="A704" s="13">
        <v>62366</v>
      </c>
      <c r="B704" s="10">
        <f>47.1603 * CHOOSE(CONTROL!$C$15, $E$9, 100%, $G$9) + CHOOSE(CONTROL!$C$38, 0.0278, 0)</f>
        <v>47.188099999999999</v>
      </c>
      <c r="C704" s="10">
        <f>43.4608 * CHOOSE(CONTROL!$C$15, $E$9, 100%, $G$9) + CHOOSE(CONTROL!$C$38, 0.0369, 0)</f>
        <v>43.497700000000002</v>
      </c>
      <c r="D704" s="10">
        <f>43.4529 * CHOOSE(CONTROL!$C$15, $E$9, 100%, $G$9) + CHOOSE(CONTROL!$C$38, 0.0369, 0)</f>
        <v>43.489800000000002</v>
      </c>
      <c r="E704" s="28">
        <f>47.0041 * CHOOSE(CONTROL!$C$15, $E$9, 100%, $G$9) + CHOOSE(CONTROL!$C$38, 0.0369, 0)</f>
        <v>47.041000000000004</v>
      </c>
      <c r="F704" s="27">
        <f>47.0041 * CHOOSE(CONTROL!$C$15, $E$9, 100%, $G$9) + CHOOSE(CONTROL!$C$38, 0.0278, 0)</f>
        <v>47.0319</v>
      </c>
      <c r="G704" s="10">
        <f>43.4592 * CHOOSE(CONTROL!$C$15, $E$9, 100%, $G$9) + CHOOSE(CONTROL!$C$38, 0.0369, 0)</f>
        <v>43.496100000000006</v>
      </c>
      <c r="H704" s="10">
        <f>43.4592 * CHOOSE(CONTROL!$C$15, $E$9, 100%, $G$9) + CHOOSE(CONTROL!$C$38, 0.0369, 0)</f>
        <v>43.496100000000006</v>
      </c>
      <c r="I704" s="10">
        <f>43.4608 * CHOOSE(CONTROL!$C$15, $E$9, 100%, $G$9) + CHOOSE(CONTROL!$C$38, 0.0369, 0)</f>
        <v>43.497700000000002</v>
      </c>
      <c r="J704" s="26">
        <f>387.7246</f>
        <v>387.72460000000001</v>
      </c>
    </row>
    <row r="705" spans="1:10" ht="15.75" x14ac:dyDescent="0.25">
      <c r="A705" s="13">
        <v>62397</v>
      </c>
      <c r="B705" s="10">
        <f>47.3921 * CHOOSE(CONTROL!$C$15, $E$9, 100%, $G$9) + CHOOSE(CONTROL!$C$38, 0.0256, 0)</f>
        <v>47.417699999999996</v>
      </c>
      <c r="C705" s="10">
        <f>43.6926 * CHOOSE(CONTROL!$C$15, $E$9, 100%, $G$9) + CHOOSE(CONTROL!$C$38, 0.0347, 0)</f>
        <v>43.7273</v>
      </c>
      <c r="D705" s="10">
        <f>43.6848 * CHOOSE(CONTROL!$C$15, $E$9, 100%, $G$9) + CHOOSE(CONTROL!$C$38, 0.0347, 0)</f>
        <v>43.719500000000004</v>
      </c>
      <c r="E705" s="28">
        <f>47.2359 * CHOOSE(CONTROL!$C$15, $E$9, 100%, $G$9) + CHOOSE(CONTROL!$C$38, 0.0347, 0)</f>
        <v>47.270600000000002</v>
      </c>
      <c r="F705" s="27">
        <f>47.2359 * CHOOSE(CONTROL!$C$15, $E$9, 100%, $G$9) + CHOOSE(CONTROL!$C$38, 0.0256, 0)</f>
        <v>47.261499999999998</v>
      </c>
      <c r="G705" s="10">
        <f>43.691 * CHOOSE(CONTROL!$C$15, $E$9, 100%, $G$9) + CHOOSE(CONTROL!$C$38, 0.0347, 0)</f>
        <v>43.725700000000003</v>
      </c>
      <c r="H705" s="10">
        <f>43.691 * CHOOSE(CONTROL!$C$15, $E$9, 100%, $G$9) + CHOOSE(CONTROL!$C$38, 0.0347, 0)</f>
        <v>43.725700000000003</v>
      </c>
      <c r="I705" s="10">
        <f>43.6926 * CHOOSE(CONTROL!$C$15, $E$9, 100%, $G$9) + CHOOSE(CONTROL!$C$38, 0.0347, 0)</f>
        <v>43.7273</v>
      </c>
      <c r="J705" s="26">
        <f>374.3167</f>
        <v>374.31670000000003</v>
      </c>
    </row>
    <row r="706" spans="1:10" ht="15.75" x14ac:dyDescent="0.25">
      <c r="A706" s="13">
        <v>62427</v>
      </c>
      <c r="B706" s="10">
        <f>47.5856 * CHOOSE(CONTROL!$C$15, $E$9, 100%, $G$9) + CHOOSE(CONTROL!$C$38, 0.0256, 0)</f>
        <v>47.611199999999997</v>
      </c>
      <c r="C706" s="10">
        <f>43.886 * CHOOSE(CONTROL!$C$15, $E$9, 100%, $G$9) + CHOOSE(CONTROL!$C$38, 0.0347, 0)</f>
        <v>43.920700000000004</v>
      </c>
      <c r="D706" s="10">
        <f>43.8782 * CHOOSE(CONTROL!$C$15, $E$9, 100%, $G$9) + CHOOSE(CONTROL!$C$38, 0.0347, 0)</f>
        <v>43.9129</v>
      </c>
      <c r="E706" s="28">
        <f>47.4293 * CHOOSE(CONTROL!$C$15, $E$9, 100%, $G$9) + CHOOSE(CONTROL!$C$38, 0.0347, 0)</f>
        <v>47.463999999999999</v>
      </c>
      <c r="F706" s="27">
        <f>47.4293 * CHOOSE(CONTROL!$C$15, $E$9, 100%, $G$9) + CHOOSE(CONTROL!$C$38, 0.0256, 0)</f>
        <v>47.454899999999995</v>
      </c>
      <c r="G706" s="10">
        <f>43.8845 * CHOOSE(CONTROL!$C$15, $E$9, 100%, $G$9) + CHOOSE(CONTROL!$C$38, 0.0347, 0)</f>
        <v>43.919200000000004</v>
      </c>
      <c r="H706" s="10">
        <f>43.8845 * CHOOSE(CONTROL!$C$15, $E$9, 100%, $G$9) + CHOOSE(CONTROL!$C$38, 0.0347, 0)</f>
        <v>43.919200000000004</v>
      </c>
      <c r="I706" s="10">
        <f>43.886 * CHOOSE(CONTROL!$C$15, $E$9, 100%, $G$9) + CHOOSE(CONTROL!$C$38, 0.0347, 0)</f>
        <v>43.920700000000004</v>
      </c>
      <c r="J706" s="26">
        <f>371.6496</f>
        <v>371.64960000000002</v>
      </c>
    </row>
    <row r="707" spans="1:10" ht="15.75" x14ac:dyDescent="0.25">
      <c r="A707" s="13">
        <v>62458</v>
      </c>
      <c r="B707" s="10">
        <f>48.1816 * CHOOSE(CONTROL!$C$15, $E$9, 100%, $G$9) + CHOOSE(CONTROL!$C$38, 0.0256, 0)</f>
        <v>48.2072</v>
      </c>
      <c r="C707" s="10">
        <f>44.4821 * CHOOSE(CONTROL!$C$15, $E$9, 100%, $G$9) + CHOOSE(CONTROL!$C$38, 0.0347, 0)</f>
        <v>44.516800000000003</v>
      </c>
      <c r="D707" s="10">
        <f>44.4743 * CHOOSE(CONTROL!$C$15, $E$9, 100%, $G$9) + CHOOSE(CONTROL!$C$38, 0.0347, 0)</f>
        <v>44.509</v>
      </c>
      <c r="E707" s="28">
        <f>48.0254 * CHOOSE(CONTROL!$C$15, $E$9, 100%, $G$9) + CHOOSE(CONTROL!$C$38, 0.0347, 0)</f>
        <v>48.060099999999998</v>
      </c>
      <c r="F707" s="27">
        <f>48.0254 * CHOOSE(CONTROL!$C$15, $E$9, 100%, $G$9) + CHOOSE(CONTROL!$C$38, 0.0256, 0)</f>
        <v>48.050999999999995</v>
      </c>
      <c r="G707" s="10">
        <f>44.4805 * CHOOSE(CONTROL!$C$15, $E$9, 100%, $G$9) + CHOOSE(CONTROL!$C$38, 0.0347, 0)</f>
        <v>44.5152</v>
      </c>
      <c r="H707" s="10">
        <f>44.4805 * CHOOSE(CONTROL!$C$15, $E$9, 100%, $G$9) + CHOOSE(CONTROL!$C$38, 0.0347, 0)</f>
        <v>44.5152</v>
      </c>
      <c r="I707" s="10">
        <f>44.4821 * CHOOSE(CONTROL!$C$15, $E$9, 100%, $G$9) + CHOOSE(CONTROL!$C$38, 0.0347, 0)</f>
        <v>44.516800000000003</v>
      </c>
      <c r="J707" s="26">
        <f>360.6209</f>
        <v>360.62090000000001</v>
      </c>
    </row>
    <row r="708" spans="1:10" ht="15.75" x14ac:dyDescent="0.25">
      <c r="A708" s="13">
        <v>62489</v>
      </c>
      <c r="B708" s="10">
        <f>49.423 * CHOOSE(CONTROL!$C$15, $E$9, 100%, $G$9) + CHOOSE(CONTROL!$C$38, 0.0256, 0)</f>
        <v>49.448599999999999</v>
      </c>
      <c r="C708" s="10">
        <f>45.6653 * CHOOSE(CONTROL!$C$15, $E$9, 100%, $G$9) + CHOOSE(CONTROL!$C$38, 0.0347, 0)</f>
        <v>45.7</v>
      </c>
      <c r="D708" s="10">
        <f>45.6575 * CHOOSE(CONTROL!$C$15, $E$9, 100%, $G$9) + CHOOSE(CONTROL!$C$38, 0.0347, 0)</f>
        <v>45.6922</v>
      </c>
      <c r="E708" s="28">
        <f>49.2667 * CHOOSE(CONTROL!$C$15, $E$9, 100%, $G$9) + CHOOSE(CONTROL!$C$38, 0.0347, 0)</f>
        <v>49.301400000000001</v>
      </c>
      <c r="F708" s="27">
        <f>49.2667 * CHOOSE(CONTROL!$C$15, $E$9, 100%, $G$9) + CHOOSE(CONTROL!$C$38, 0.0256, 0)</f>
        <v>49.292299999999997</v>
      </c>
      <c r="G708" s="10">
        <f>45.6638 * CHOOSE(CONTROL!$C$15, $E$9, 100%, $G$9) + CHOOSE(CONTROL!$C$38, 0.0347, 0)</f>
        <v>45.698500000000003</v>
      </c>
      <c r="H708" s="10">
        <f>45.6638 * CHOOSE(CONTROL!$C$15, $E$9, 100%, $G$9) + CHOOSE(CONTROL!$C$38, 0.0347, 0)</f>
        <v>45.698500000000003</v>
      </c>
      <c r="I708" s="10">
        <f>45.6653 * CHOOSE(CONTROL!$C$15, $E$9, 100%, $G$9) + CHOOSE(CONTROL!$C$38, 0.0347, 0)</f>
        <v>45.7</v>
      </c>
      <c r="J708" s="26">
        <f>359.9322</f>
        <v>359.93220000000002</v>
      </c>
    </row>
    <row r="709" spans="1:10" ht="15.75" x14ac:dyDescent="0.25">
      <c r="A709" s="13">
        <v>62517</v>
      </c>
      <c r="B709" s="10">
        <f>49.6437 * CHOOSE(CONTROL!$C$15, $E$9, 100%, $G$9) + CHOOSE(CONTROL!$C$38, 0.0256, 0)</f>
        <v>49.6693</v>
      </c>
      <c r="C709" s="10">
        <f>45.8861 * CHOOSE(CONTROL!$C$15, $E$9, 100%, $G$9) + CHOOSE(CONTROL!$C$38, 0.0347, 0)</f>
        <v>45.9208</v>
      </c>
      <c r="D709" s="10">
        <f>45.8783 * CHOOSE(CONTROL!$C$15, $E$9, 100%, $G$9) + CHOOSE(CONTROL!$C$38, 0.0347, 0)</f>
        <v>45.913000000000004</v>
      </c>
      <c r="E709" s="28">
        <f>49.4875 * CHOOSE(CONTROL!$C$15, $E$9, 100%, $G$9) + CHOOSE(CONTROL!$C$38, 0.0347, 0)</f>
        <v>49.522199999999998</v>
      </c>
      <c r="F709" s="27">
        <f>49.4875 * CHOOSE(CONTROL!$C$15, $E$9, 100%, $G$9) + CHOOSE(CONTROL!$C$38, 0.0256, 0)</f>
        <v>49.513099999999994</v>
      </c>
      <c r="G709" s="10">
        <f>45.8845 * CHOOSE(CONTROL!$C$15, $E$9, 100%, $G$9) + CHOOSE(CONTROL!$C$38, 0.0347, 0)</f>
        <v>45.919200000000004</v>
      </c>
      <c r="H709" s="10">
        <f>45.8845 * CHOOSE(CONTROL!$C$15, $E$9, 100%, $G$9) + CHOOSE(CONTROL!$C$38, 0.0347, 0)</f>
        <v>45.919200000000004</v>
      </c>
      <c r="I709" s="10">
        <f>45.8861 * CHOOSE(CONTROL!$C$15, $E$9, 100%, $G$9) + CHOOSE(CONTROL!$C$38, 0.0347, 0)</f>
        <v>45.9208</v>
      </c>
      <c r="J709" s="26">
        <f>358.9317</f>
        <v>358.93169999999998</v>
      </c>
    </row>
    <row r="710" spans="1:10" ht="15.75" x14ac:dyDescent="0.25">
      <c r="A710" s="13">
        <v>62548</v>
      </c>
      <c r="B710" s="10">
        <f>49.1327 * CHOOSE(CONTROL!$C$15, $E$9, 100%, $G$9) + CHOOSE(CONTROL!$C$38, 0.0256, 0)</f>
        <v>49.158299999999997</v>
      </c>
      <c r="C710" s="10">
        <f>45.3751 * CHOOSE(CONTROL!$C$15, $E$9, 100%, $G$9) + CHOOSE(CONTROL!$C$38, 0.0347, 0)</f>
        <v>45.409800000000004</v>
      </c>
      <c r="D710" s="10">
        <f>45.3672 * CHOOSE(CONTROL!$C$15, $E$9, 100%, $G$9) + CHOOSE(CONTROL!$C$38, 0.0347, 0)</f>
        <v>45.401899999999998</v>
      </c>
      <c r="E710" s="28">
        <f>48.9765 * CHOOSE(CONTROL!$C$15, $E$9, 100%, $G$9) + CHOOSE(CONTROL!$C$38, 0.0347, 0)</f>
        <v>49.011200000000002</v>
      </c>
      <c r="F710" s="27">
        <f>48.9765 * CHOOSE(CONTROL!$C$15, $E$9, 100%, $G$9) + CHOOSE(CONTROL!$C$38, 0.0256, 0)</f>
        <v>49.002099999999999</v>
      </c>
      <c r="G710" s="10">
        <f>45.3735 * CHOOSE(CONTROL!$C$15, $E$9, 100%, $G$9) + CHOOSE(CONTROL!$C$38, 0.0347, 0)</f>
        <v>45.408200000000001</v>
      </c>
      <c r="H710" s="10">
        <f>45.3735 * CHOOSE(CONTROL!$C$15, $E$9, 100%, $G$9) + CHOOSE(CONTROL!$C$38, 0.0347, 0)</f>
        <v>45.408200000000001</v>
      </c>
      <c r="I710" s="10">
        <f>45.3751 * CHOOSE(CONTROL!$C$15, $E$9, 100%, $G$9) + CHOOSE(CONTROL!$C$38, 0.0347, 0)</f>
        <v>45.409800000000004</v>
      </c>
      <c r="J710" s="26">
        <f>377.8494</f>
        <v>377.8494</v>
      </c>
    </row>
    <row r="711" spans="1:10" ht="15.75" x14ac:dyDescent="0.25">
      <c r="A711" s="13">
        <v>62578</v>
      </c>
      <c r="B711" s="10">
        <f>48.6375 * CHOOSE(CONTROL!$C$15, $E$9, 100%, $G$9) + CHOOSE(CONTROL!$C$38, 0.0256, 0)</f>
        <v>48.6631</v>
      </c>
      <c r="C711" s="10">
        <f>44.8799 * CHOOSE(CONTROL!$C$15, $E$9, 100%, $G$9) + CHOOSE(CONTROL!$C$38, 0.0347, 0)</f>
        <v>44.9146</v>
      </c>
      <c r="D711" s="10">
        <f>44.8721 * CHOOSE(CONTROL!$C$15, $E$9, 100%, $G$9) + CHOOSE(CONTROL!$C$38, 0.0347, 0)</f>
        <v>44.906800000000004</v>
      </c>
      <c r="E711" s="28">
        <f>48.4813 * CHOOSE(CONTROL!$C$15, $E$9, 100%, $G$9) + CHOOSE(CONTROL!$C$38, 0.0347, 0)</f>
        <v>48.515999999999998</v>
      </c>
      <c r="F711" s="27">
        <f>48.4813 * CHOOSE(CONTROL!$C$15, $E$9, 100%, $G$9) + CHOOSE(CONTROL!$C$38, 0.0256, 0)</f>
        <v>48.506899999999995</v>
      </c>
      <c r="G711" s="10">
        <f>44.8783 * CHOOSE(CONTROL!$C$15, $E$9, 100%, $G$9) + CHOOSE(CONTROL!$C$38, 0.0347, 0)</f>
        <v>44.913000000000004</v>
      </c>
      <c r="H711" s="10">
        <f>44.8783 * CHOOSE(CONTROL!$C$15, $E$9, 100%, $G$9) + CHOOSE(CONTROL!$C$38, 0.0347, 0)</f>
        <v>44.913000000000004</v>
      </c>
      <c r="I711" s="10">
        <f>44.8799 * CHOOSE(CONTROL!$C$15, $E$9, 100%, $G$9) + CHOOSE(CONTROL!$C$38, 0.0347, 0)</f>
        <v>44.9146</v>
      </c>
      <c r="J711" s="26">
        <f>402.3813</f>
        <v>402.38130000000001</v>
      </c>
    </row>
    <row r="712" spans="1:10" ht="15.75" x14ac:dyDescent="0.25">
      <c r="A712" s="13">
        <v>62609</v>
      </c>
      <c r="B712" s="10">
        <f>48.1214 * CHOOSE(CONTROL!$C$15, $E$9, 100%, $G$9) + CHOOSE(CONTROL!$C$38, 0.0278, 0)</f>
        <v>48.1492</v>
      </c>
      <c r="C712" s="10">
        <f>44.3638 * CHOOSE(CONTROL!$C$15, $E$9, 100%, $G$9) + CHOOSE(CONTROL!$C$38, 0.0369, 0)</f>
        <v>44.400700000000001</v>
      </c>
      <c r="D712" s="10">
        <f>44.356 * CHOOSE(CONTROL!$C$15, $E$9, 100%, $G$9) + CHOOSE(CONTROL!$C$38, 0.0369, 0)</f>
        <v>44.392900000000004</v>
      </c>
      <c r="E712" s="28">
        <f>47.9652 * CHOOSE(CONTROL!$C$15, $E$9, 100%, $G$9) + CHOOSE(CONTROL!$C$38, 0.0369, 0)</f>
        <v>48.002100000000006</v>
      </c>
      <c r="F712" s="27">
        <f>47.9652 * CHOOSE(CONTROL!$C$15, $E$9, 100%, $G$9) + CHOOSE(CONTROL!$C$38, 0.0278, 0)</f>
        <v>47.993000000000002</v>
      </c>
      <c r="G712" s="10">
        <f>44.3622 * CHOOSE(CONTROL!$C$15, $E$9, 100%, $G$9) + CHOOSE(CONTROL!$C$38, 0.0369, 0)</f>
        <v>44.399100000000004</v>
      </c>
      <c r="H712" s="10">
        <f>44.3622 * CHOOSE(CONTROL!$C$15, $E$9, 100%, $G$9) + CHOOSE(CONTROL!$C$38, 0.0369, 0)</f>
        <v>44.399100000000004</v>
      </c>
      <c r="I712" s="10">
        <f>44.3638 * CHOOSE(CONTROL!$C$15, $E$9, 100%, $G$9) + CHOOSE(CONTROL!$C$38, 0.0369, 0)</f>
        <v>44.400700000000001</v>
      </c>
      <c r="J712" s="26">
        <f>415.8844</f>
        <v>415.88440000000003</v>
      </c>
    </row>
    <row r="713" spans="1:10" ht="15.75" x14ac:dyDescent="0.25">
      <c r="A713" s="13">
        <v>62639</v>
      </c>
      <c r="B713" s="10">
        <f>47.7596 * CHOOSE(CONTROL!$C$15, $E$9, 100%, $G$9) + CHOOSE(CONTROL!$C$38, 0.0278, 0)</f>
        <v>47.787399999999998</v>
      </c>
      <c r="C713" s="10">
        <f>44.0019 * CHOOSE(CONTROL!$C$15, $E$9, 100%, $G$9) + CHOOSE(CONTROL!$C$38, 0.0369, 0)</f>
        <v>44.038800000000002</v>
      </c>
      <c r="D713" s="10">
        <f>43.9941 * CHOOSE(CONTROL!$C$15, $E$9, 100%, $G$9) + CHOOSE(CONTROL!$C$38, 0.0369, 0)</f>
        <v>44.031000000000006</v>
      </c>
      <c r="E713" s="28">
        <f>47.6033 * CHOOSE(CONTROL!$C$15, $E$9, 100%, $G$9) + CHOOSE(CONTROL!$C$38, 0.0369, 0)</f>
        <v>47.6402</v>
      </c>
      <c r="F713" s="27">
        <f>47.6033 * CHOOSE(CONTROL!$C$15, $E$9, 100%, $G$9) + CHOOSE(CONTROL!$C$38, 0.0278, 0)</f>
        <v>47.631099999999996</v>
      </c>
      <c r="G713" s="10">
        <f>44.0004 * CHOOSE(CONTROL!$C$15, $E$9, 100%, $G$9) + CHOOSE(CONTROL!$C$38, 0.0369, 0)</f>
        <v>44.037300000000002</v>
      </c>
      <c r="H713" s="10">
        <f>44.0004 * CHOOSE(CONTROL!$C$15, $E$9, 100%, $G$9) + CHOOSE(CONTROL!$C$38, 0.0369, 0)</f>
        <v>44.037300000000002</v>
      </c>
      <c r="I713" s="10">
        <f>44.0019 * CHOOSE(CONTROL!$C$15, $E$9, 100%, $G$9) + CHOOSE(CONTROL!$C$38, 0.0369, 0)</f>
        <v>44.038800000000002</v>
      </c>
      <c r="J713" s="26">
        <f>421.8768</f>
        <v>421.8768</v>
      </c>
    </row>
    <row r="714" spans="1:10" ht="15.75" x14ac:dyDescent="0.25">
      <c r="A714" s="13">
        <v>62670</v>
      </c>
      <c r="B714" s="10">
        <f>47.5531 * CHOOSE(CONTROL!$C$15, $E$9, 100%, $G$9) + CHOOSE(CONTROL!$C$38, 0.0278, 0)</f>
        <v>47.5809</v>
      </c>
      <c r="C714" s="10">
        <f>43.7954 * CHOOSE(CONTROL!$C$15, $E$9, 100%, $G$9) + CHOOSE(CONTROL!$C$38, 0.0369, 0)</f>
        <v>43.832300000000004</v>
      </c>
      <c r="D714" s="10">
        <f>43.7876 * CHOOSE(CONTROL!$C$15, $E$9, 100%, $G$9) + CHOOSE(CONTROL!$C$38, 0.0369, 0)</f>
        <v>43.8245</v>
      </c>
      <c r="E714" s="28">
        <f>47.3968 * CHOOSE(CONTROL!$C$15, $E$9, 100%, $G$9) + CHOOSE(CONTROL!$C$38, 0.0369, 0)</f>
        <v>47.433700000000002</v>
      </c>
      <c r="F714" s="27">
        <f>47.3968 * CHOOSE(CONTROL!$C$15, $E$9, 100%, $G$9) + CHOOSE(CONTROL!$C$38, 0.0278, 0)</f>
        <v>47.424599999999998</v>
      </c>
      <c r="G714" s="10">
        <f>43.7939 * CHOOSE(CONTROL!$C$15, $E$9, 100%, $G$9) + CHOOSE(CONTROL!$C$38, 0.0369, 0)</f>
        <v>43.830800000000004</v>
      </c>
      <c r="H714" s="10">
        <f>43.7939 * CHOOSE(CONTROL!$C$15, $E$9, 100%, $G$9) + CHOOSE(CONTROL!$C$38, 0.0369, 0)</f>
        <v>43.830800000000004</v>
      </c>
      <c r="I714" s="10">
        <f>43.7954 * CHOOSE(CONTROL!$C$15, $E$9, 100%, $G$9) + CHOOSE(CONTROL!$C$38, 0.0369, 0)</f>
        <v>43.832300000000004</v>
      </c>
      <c r="J714" s="26">
        <f>419.9039</f>
        <v>419.90390000000002</v>
      </c>
    </row>
    <row r="715" spans="1:10" ht="15.75" x14ac:dyDescent="0.25">
      <c r="A715" s="13">
        <v>62701</v>
      </c>
      <c r="B715" s="10">
        <f>47.655 * CHOOSE(CONTROL!$C$15, $E$9, 100%, $G$9) + CHOOSE(CONTROL!$C$38, 0.0278, 0)</f>
        <v>47.6828</v>
      </c>
      <c r="C715" s="10">
        <f>43.8974 * CHOOSE(CONTROL!$C$15, $E$9, 100%, $G$9) + CHOOSE(CONTROL!$C$38, 0.0369, 0)</f>
        <v>43.9343</v>
      </c>
      <c r="D715" s="10">
        <f>43.8895 * CHOOSE(CONTROL!$C$15, $E$9, 100%, $G$9) + CHOOSE(CONTROL!$C$38, 0.0369, 0)</f>
        <v>43.926400000000001</v>
      </c>
      <c r="E715" s="28">
        <f>47.4987 * CHOOSE(CONTROL!$C$15, $E$9, 100%, $G$9) + CHOOSE(CONTROL!$C$38, 0.0369, 0)</f>
        <v>47.535600000000002</v>
      </c>
      <c r="F715" s="27">
        <f>47.4987 * CHOOSE(CONTROL!$C$15, $E$9, 100%, $G$9) + CHOOSE(CONTROL!$C$38, 0.0278, 0)</f>
        <v>47.526499999999999</v>
      </c>
      <c r="G715" s="10">
        <f>43.8958 * CHOOSE(CONTROL!$C$15, $E$9, 100%, $G$9) + CHOOSE(CONTROL!$C$38, 0.0369, 0)</f>
        <v>43.932700000000004</v>
      </c>
      <c r="H715" s="10">
        <f>43.8958 * CHOOSE(CONTROL!$C$15, $E$9, 100%, $G$9) + CHOOSE(CONTROL!$C$38, 0.0369, 0)</f>
        <v>43.932700000000004</v>
      </c>
      <c r="I715" s="10">
        <f>43.8974 * CHOOSE(CONTROL!$C$15, $E$9, 100%, $G$9) + CHOOSE(CONTROL!$C$38, 0.0369, 0)</f>
        <v>43.9343</v>
      </c>
      <c r="J715" s="26">
        <f>410.1287</f>
        <v>410.12869999999998</v>
      </c>
    </row>
    <row r="716" spans="1:10" ht="15.75" x14ac:dyDescent="0.25">
      <c r="A716" s="13">
        <v>62731</v>
      </c>
      <c r="B716" s="10">
        <f>47.9318 * CHOOSE(CONTROL!$C$15, $E$9, 100%, $G$9) + CHOOSE(CONTROL!$C$38, 0.0278, 0)</f>
        <v>47.959600000000002</v>
      </c>
      <c r="C716" s="10">
        <f>44.1741 * CHOOSE(CONTROL!$C$15, $E$9, 100%, $G$9) + CHOOSE(CONTROL!$C$38, 0.0369, 0)</f>
        <v>44.211000000000006</v>
      </c>
      <c r="D716" s="10">
        <f>44.1663 * CHOOSE(CONTROL!$C$15, $E$9, 100%, $G$9) + CHOOSE(CONTROL!$C$38, 0.0369, 0)</f>
        <v>44.203200000000002</v>
      </c>
      <c r="E716" s="28">
        <f>47.7755 * CHOOSE(CONTROL!$C$15, $E$9, 100%, $G$9) + CHOOSE(CONTROL!$C$38, 0.0369, 0)</f>
        <v>47.812400000000004</v>
      </c>
      <c r="F716" s="27">
        <f>47.7755 * CHOOSE(CONTROL!$C$15, $E$9, 100%, $G$9) + CHOOSE(CONTROL!$C$38, 0.0278, 0)</f>
        <v>47.8033</v>
      </c>
      <c r="G716" s="10">
        <f>44.1726 * CHOOSE(CONTROL!$C$15, $E$9, 100%, $G$9) + CHOOSE(CONTROL!$C$38, 0.0369, 0)</f>
        <v>44.209500000000006</v>
      </c>
      <c r="H716" s="10">
        <f>44.1726 * CHOOSE(CONTROL!$C$15, $E$9, 100%, $G$9) + CHOOSE(CONTROL!$C$38, 0.0369, 0)</f>
        <v>44.209500000000006</v>
      </c>
      <c r="I716" s="10">
        <f>44.1741 * CHOOSE(CONTROL!$C$15, $E$9, 100%, $G$9) + CHOOSE(CONTROL!$C$38, 0.0369, 0)</f>
        <v>44.211000000000006</v>
      </c>
      <c r="J716" s="26">
        <f>396.4967</f>
        <v>396.49669999999998</v>
      </c>
    </row>
    <row r="717" spans="1:10" ht="15.75" x14ac:dyDescent="0.25">
      <c r="A717" s="13">
        <v>62762</v>
      </c>
      <c r="B717" s="10">
        <f>48.1636 * CHOOSE(CONTROL!$C$15, $E$9, 100%, $G$9) + CHOOSE(CONTROL!$C$38, 0.0256, 0)</f>
        <v>48.1892</v>
      </c>
      <c r="C717" s="10">
        <f>44.406 * CHOOSE(CONTROL!$C$15, $E$9, 100%, $G$9) + CHOOSE(CONTROL!$C$38, 0.0347, 0)</f>
        <v>44.4407</v>
      </c>
      <c r="D717" s="10">
        <f>44.3982 * CHOOSE(CONTROL!$C$15, $E$9, 100%, $G$9) + CHOOSE(CONTROL!$C$38, 0.0347, 0)</f>
        <v>44.432900000000004</v>
      </c>
      <c r="E717" s="28">
        <f>48.0074 * CHOOSE(CONTROL!$C$15, $E$9, 100%, $G$9) + CHOOSE(CONTROL!$C$38, 0.0347, 0)</f>
        <v>48.042099999999998</v>
      </c>
      <c r="F717" s="27">
        <f>48.0074 * CHOOSE(CONTROL!$C$15, $E$9, 100%, $G$9) + CHOOSE(CONTROL!$C$38, 0.0256, 0)</f>
        <v>48.032999999999994</v>
      </c>
      <c r="G717" s="10">
        <f>44.4044 * CHOOSE(CONTROL!$C$15, $E$9, 100%, $G$9) + CHOOSE(CONTROL!$C$38, 0.0347, 0)</f>
        <v>44.439100000000003</v>
      </c>
      <c r="H717" s="10">
        <f>44.4044 * CHOOSE(CONTROL!$C$15, $E$9, 100%, $G$9) + CHOOSE(CONTROL!$C$38, 0.0347, 0)</f>
        <v>44.439100000000003</v>
      </c>
      <c r="I717" s="10">
        <f>44.406 * CHOOSE(CONTROL!$C$15, $E$9, 100%, $G$9) + CHOOSE(CONTROL!$C$38, 0.0347, 0)</f>
        <v>44.4407</v>
      </c>
      <c r="J717" s="26">
        <f>382.7854</f>
        <v>382.78539999999998</v>
      </c>
    </row>
    <row r="718" spans="1:10" ht="15.75" x14ac:dyDescent="0.25">
      <c r="A718" s="13">
        <v>62792</v>
      </c>
      <c r="B718" s="10">
        <f>48.3571 * CHOOSE(CONTROL!$C$15, $E$9, 100%, $G$9) + CHOOSE(CONTROL!$C$38, 0.0256, 0)</f>
        <v>48.3827</v>
      </c>
      <c r="C718" s="10">
        <f>44.5994 * CHOOSE(CONTROL!$C$15, $E$9, 100%, $G$9) + CHOOSE(CONTROL!$C$38, 0.0347, 0)</f>
        <v>44.634100000000004</v>
      </c>
      <c r="D718" s="10">
        <f>44.5916 * CHOOSE(CONTROL!$C$15, $E$9, 100%, $G$9) + CHOOSE(CONTROL!$C$38, 0.0347, 0)</f>
        <v>44.626300000000001</v>
      </c>
      <c r="E718" s="28">
        <f>48.2008 * CHOOSE(CONTROL!$C$15, $E$9, 100%, $G$9) + CHOOSE(CONTROL!$C$38, 0.0347, 0)</f>
        <v>48.235500000000002</v>
      </c>
      <c r="F718" s="27">
        <f>48.2008 * CHOOSE(CONTROL!$C$15, $E$9, 100%, $G$9) + CHOOSE(CONTROL!$C$38, 0.0256, 0)</f>
        <v>48.226399999999998</v>
      </c>
      <c r="G718" s="10">
        <f>44.5979 * CHOOSE(CONTROL!$C$15, $E$9, 100%, $G$9) + CHOOSE(CONTROL!$C$38, 0.0347, 0)</f>
        <v>44.632600000000004</v>
      </c>
      <c r="H718" s="10">
        <f>44.5979 * CHOOSE(CONTROL!$C$15, $E$9, 100%, $G$9) + CHOOSE(CONTROL!$C$38, 0.0347, 0)</f>
        <v>44.632600000000004</v>
      </c>
      <c r="I718" s="10">
        <f>44.5994 * CHOOSE(CONTROL!$C$15, $E$9, 100%, $G$9) + CHOOSE(CONTROL!$C$38, 0.0347, 0)</f>
        <v>44.634100000000004</v>
      </c>
      <c r="J718" s="26">
        <f>380.058</f>
        <v>380.05799999999999</v>
      </c>
    </row>
    <row r="719" spans="1:10" ht="15.75" x14ac:dyDescent="0.25">
      <c r="A719" s="13">
        <v>62823</v>
      </c>
      <c r="B719" s="10">
        <f>48.9531 * CHOOSE(CONTROL!$C$15, $E$9, 100%, $G$9) + CHOOSE(CONTROL!$C$38, 0.0256, 0)</f>
        <v>48.978699999999996</v>
      </c>
      <c r="C719" s="10">
        <f>45.1955 * CHOOSE(CONTROL!$C$15, $E$9, 100%, $G$9) + CHOOSE(CONTROL!$C$38, 0.0347, 0)</f>
        <v>45.230200000000004</v>
      </c>
      <c r="D719" s="10">
        <f>45.1877 * CHOOSE(CONTROL!$C$15, $E$9, 100%, $G$9) + CHOOSE(CONTROL!$C$38, 0.0347, 0)</f>
        <v>45.2224</v>
      </c>
      <c r="E719" s="28">
        <f>48.7969 * CHOOSE(CONTROL!$C$15, $E$9, 100%, $G$9) + CHOOSE(CONTROL!$C$38, 0.0347, 0)</f>
        <v>48.831600000000002</v>
      </c>
      <c r="F719" s="27">
        <f>48.7969 * CHOOSE(CONTROL!$C$15, $E$9, 100%, $G$9) + CHOOSE(CONTROL!$C$38, 0.0256, 0)</f>
        <v>48.822499999999998</v>
      </c>
      <c r="G719" s="10">
        <f>45.1939 * CHOOSE(CONTROL!$C$15, $E$9, 100%, $G$9) + CHOOSE(CONTROL!$C$38, 0.0347, 0)</f>
        <v>45.2286</v>
      </c>
      <c r="H719" s="10">
        <f>45.1939 * CHOOSE(CONTROL!$C$15, $E$9, 100%, $G$9) + CHOOSE(CONTROL!$C$38, 0.0347, 0)</f>
        <v>45.2286</v>
      </c>
      <c r="I719" s="10">
        <f>45.1955 * CHOOSE(CONTROL!$C$15, $E$9, 100%, $G$9) + CHOOSE(CONTROL!$C$38, 0.0347, 0)</f>
        <v>45.230200000000004</v>
      </c>
      <c r="J719" s="26">
        <f>368.7797</f>
        <v>368.77969999999999</v>
      </c>
    </row>
    <row r="720" spans="1:10" ht="15.75" x14ac:dyDescent="0.25">
      <c r="A720" s="13">
        <v>62854</v>
      </c>
      <c r="B720" s="10">
        <f>50.2071 * CHOOSE(CONTROL!$C$15, $E$9, 100%, $G$9) + CHOOSE(CONTROL!$C$38, 0.0256, 0)</f>
        <v>50.232699999999994</v>
      </c>
      <c r="C720" s="10">
        <f>46.3904 * CHOOSE(CONTROL!$C$15, $E$9, 100%, $G$9) + CHOOSE(CONTROL!$C$38, 0.0347, 0)</f>
        <v>46.4251</v>
      </c>
      <c r="D720" s="10">
        <f>46.3826 * CHOOSE(CONTROL!$C$15, $E$9, 100%, $G$9) + CHOOSE(CONTROL!$C$38, 0.0347, 0)</f>
        <v>46.417299999999997</v>
      </c>
      <c r="E720" s="28">
        <f>50.0509 * CHOOSE(CONTROL!$C$15, $E$9, 100%, $G$9) + CHOOSE(CONTROL!$C$38, 0.0347, 0)</f>
        <v>50.085599999999999</v>
      </c>
      <c r="F720" s="27">
        <f>50.0509 * CHOOSE(CONTROL!$C$15, $E$9, 100%, $G$9) + CHOOSE(CONTROL!$C$38, 0.0256, 0)</f>
        <v>50.076499999999996</v>
      </c>
      <c r="G720" s="10">
        <f>46.3889 * CHOOSE(CONTROL!$C$15, $E$9, 100%, $G$9) + CHOOSE(CONTROL!$C$38, 0.0347, 0)</f>
        <v>46.4236</v>
      </c>
      <c r="H720" s="10">
        <f>46.3889 * CHOOSE(CONTROL!$C$15, $E$9, 100%, $G$9) + CHOOSE(CONTROL!$C$38, 0.0347, 0)</f>
        <v>46.4236</v>
      </c>
      <c r="I720" s="10">
        <f>46.3904 * CHOOSE(CONTROL!$C$15, $E$9, 100%, $G$9) + CHOOSE(CONTROL!$C$38, 0.0347, 0)</f>
        <v>46.4251</v>
      </c>
      <c r="J720" s="26">
        <f>368.0754</f>
        <v>368.0754</v>
      </c>
    </row>
    <row r="721" spans="1:10" ht="15.75" x14ac:dyDescent="0.25">
      <c r="A721" s="13">
        <v>62883</v>
      </c>
      <c r="B721" s="10">
        <f>50.4279 * CHOOSE(CONTROL!$C$15, $E$9, 100%, $G$9) + CHOOSE(CONTROL!$C$38, 0.0256, 0)</f>
        <v>50.453499999999998</v>
      </c>
      <c r="C721" s="10">
        <f>46.6112 * CHOOSE(CONTROL!$C$15, $E$9, 100%, $G$9) + CHOOSE(CONTROL!$C$38, 0.0347, 0)</f>
        <v>46.645899999999997</v>
      </c>
      <c r="D721" s="10">
        <f>46.6034 * CHOOSE(CONTROL!$C$15, $E$9, 100%, $G$9) + CHOOSE(CONTROL!$C$38, 0.0347, 0)</f>
        <v>46.638100000000001</v>
      </c>
      <c r="E721" s="28">
        <f>50.2716 * CHOOSE(CONTROL!$C$15, $E$9, 100%, $G$9) + CHOOSE(CONTROL!$C$38, 0.0347, 0)</f>
        <v>50.3063</v>
      </c>
      <c r="F721" s="27">
        <f>50.2716 * CHOOSE(CONTROL!$C$15, $E$9, 100%, $G$9) + CHOOSE(CONTROL!$C$38, 0.0256, 0)</f>
        <v>50.297199999999997</v>
      </c>
      <c r="G721" s="10">
        <f>46.6096 * CHOOSE(CONTROL!$C$15, $E$9, 100%, $G$9) + CHOOSE(CONTROL!$C$38, 0.0347, 0)</f>
        <v>46.644300000000001</v>
      </c>
      <c r="H721" s="10">
        <f>46.6096 * CHOOSE(CONTROL!$C$15, $E$9, 100%, $G$9) + CHOOSE(CONTROL!$C$38, 0.0347, 0)</f>
        <v>46.644300000000001</v>
      </c>
      <c r="I721" s="10">
        <f>46.6112 * CHOOSE(CONTROL!$C$15, $E$9, 100%, $G$9) + CHOOSE(CONTROL!$C$38, 0.0347, 0)</f>
        <v>46.645899999999997</v>
      </c>
      <c r="J721" s="26">
        <f>367.0523</f>
        <v>367.0523</v>
      </c>
    </row>
    <row r="722" spans="1:10" ht="15.75" x14ac:dyDescent="0.25">
      <c r="A722" s="13">
        <v>62914</v>
      </c>
      <c r="B722" s="10">
        <f>49.9168 * CHOOSE(CONTROL!$C$15, $E$9, 100%, $G$9) + CHOOSE(CONTROL!$C$38, 0.0256, 0)</f>
        <v>49.942399999999999</v>
      </c>
      <c r="C722" s="10">
        <f>46.1002 * CHOOSE(CONTROL!$C$15, $E$9, 100%, $G$9) + CHOOSE(CONTROL!$C$38, 0.0347, 0)</f>
        <v>46.134900000000002</v>
      </c>
      <c r="D722" s="10">
        <f>46.0923 * CHOOSE(CONTROL!$C$15, $E$9, 100%, $G$9) + CHOOSE(CONTROL!$C$38, 0.0347, 0)</f>
        <v>46.127000000000002</v>
      </c>
      <c r="E722" s="28">
        <f>49.7606 * CHOOSE(CONTROL!$C$15, $E$9, 100%, $G$9) + CHOOSE(CONTROL!$C$38, 0.0347, 0)</f>
        <v>49.795299999999997</v>
      </c>
      <c r="F722" s="27">
        <f>49.7606 * CHOOSE(CONTROL!$C$15, $E$9, 100%, $G$9) + CHOOSE(CONTROL!$C$38, 0.0256, 0)</f>
        <v>49.786199999999994</v>
      </c>
      <c r="G722" s="10">
        <f>46.0986 * CHOOSE(CONTROL!$C$15, $E$9, 100%, $G$9) + CHOOSE(CONTROL!$C$38, 0.0347, 0)</f>
        <v>46.133299999999998</v>
      </c>
      <c r="H722" s="10">
        <f>46.0986 * CHOOSE(CONTROL!$C$15, $E$9, 100%, $G$9) + CHOOSE(CONTROL!$C$38, 0.0347, 0)</f>
        <v>46.133299999999998</v>
      </c>
      <c r="I722" s="10">
        <f>46.1002 * CHOOSE(CONTROL!$C$15, $E$9, 100%, $G$9) + CHOOSE(CONTROL!$C$38, 0.0347, 0)</f>
        <v>46.134900000000002</v>
      </c>
      <c r="J722" s="26">
        <f>386.3981</f>
        <v>386.3981</v>
      </c>
    </row>
    <row r="723" spans="1:10" ht="15.75" x14ac:dyDescent="0.25">
      <c r="A723" s="13">
        <v>62944</v>
      </c>
      <c r="B723" s="10">
        <f>49.4217 * CHOOSE(CONTROL!$C$15, $E$9, 100%, $G$9) + CHOOSE(CONTROL!$C$38, 0.0256, 0)</f>
        <v>49.447299999999998</v>
      </c>
      <c r="C723" s="10">
        <f>45.605 * CHOOSE(CONTROL!$C$15, $E$9, 100%, $G$9) + CHOOSE(CONTROL!$C$38, 0.0347, 0)</f>
        <v>45.639699999999998</v>
      </c>
      <c r="D723" s="10">
        <f>45.5972 * CHOOSE(CONTROL!$C$15, $E$9, 100%, $G$9) + CHOOSE(CONTROL!$C$38, 0.0347, 0)</f>
        <v>45.631900000000002</v>
      </c>
      <c r="E723" s="28">
        <f>49.2654 * CHOOSE(CONTROL!$C$15, $E$9, 100%, $G$9) + CHOOSE(CONTROL!$C$38, 0.0347, 0)</f>
        <v>49.3001</v>
      </c>
      <c r="F723" s="27">
        <f>49.2654 * CHOOSE(CONTROL!$C$15, $E$9, 100%, $G$9) + CHOOSE(CONTROL!$C$38, 0.0256, 0)</f>
        <v>49.290999999999997</v>
      </c>
      <c r="G723" s="10">
        <f>45.6034 * CHOOSE(CONTROL!$C$15, $E$9, 100%, $G$9) + CHOOSE(CONTROL!$C$38, 0.0347, 0)</f>
        <v>45.638100000000001</v>
      </c>
      <c r="H723" s="10">
        <f>45.6034 * CHOOSE(CONTROL!$C$15, $E$9, 100%, $G$9) + CHOOSE(CONTROL!$C$38, 0.0347, 0)</f>
        <v>45.638100000000001</v>
      </c>
      <c r="I723" s="10">
        <f>45.605 * CHOOSE(CONTROL!$C$15, $E$9, 100%, $G$9) + CHOOSE(CONTROL!$C$38, 0.0347, 0)</f>
        <v>45.639699999999998</v>
      </c>
      <c r="J723" s="26">
        <f>411.485</f>
        <v>411.48500000000001</v>
      </c>
    </row>
    <row r="724" spans="1:10" ht="15.75" x14ac:dyDescent="0.25">
      <c r="A724" s="13">
        <v>62975</v>
      </c>
      <c r="B724" s="10">
        <f>48.9055 * CHOOSE(CONTROL!$C$15, $E$9, 100%, $G$9) + CHOOSE(CONTROL!$C$38, 0.0278, 0)</f>
        <v>48.933300000000003</v>
      </c>
      <c r="C724" s="10">
        <f>45.0889 * CHOOSE(CONTROL!$C$15, $E$9, 100%, $G$9) + CHOOSE(CONTROL!$C$38, 0.0369, 0)</f>
        <v>45.125800000000005</v>
      </c>
      <c r="D724" s="10">
        <f>45.081 * CHOOSE(CONTROL!$C$15, $E$9, 100%, $G$9) + CHOOSE(CONTROL!$C$38, 0.0369, 0)</f>
        <v>45.117900000000006</v>
      </c>
      <c r="E724" s="28">
        <f>48.7493 * CHOOSE(CONTROL!$C$15, $E$9, 100%, $G$9) + CHOOSE(CONTROL!$C$38, 0.0369, 0)</f>
        <v>48.786200000000001</v>
      </c>
      <c r="F724" s="27">
        <f>48.7493 * CHOOSE(CONTROL!$C$15, $E$9, 100%, $G$9) + CHOOSE(CONTROL!$C$38, 0.0278, 0)</f>
        <v>48.777099999999997</v>
      </c>
      <c r="G724" s="10">
        <f>45.0873 * CHOOSE(CONTROL!$C$15, $E$9, 100%, $G$9) + CHOOSE(CONTROL!$C$38, 0.0369, 0)</f>
        <v>45.124200000000002</v>
      </c>
      <c r="H724" s="10">
        <f>45.0873 * CHOOSE(CONTROL!$C$15, $E$9, 100%, $G$9) + CHOOSE(CONTROL!$C$38, 0.0369, 0)</f>
        <v>45.124200000000002</v>
      </c>
      <c r="I724" s="10">
        <f>45.0889 * CHOOSE(CONTROL!$C$15, $E$9, 100%, $G$9) + CHOOSE(CONTROL!$C$38, 0.0369, 0)</f>
        <v>45.125800000000005</v>
      </c>
      <c r="J724" s="26">
        <f>425.2936</f>
        <v>425.29360000000003</v>
      </c>
    </row>
    <row r="725" spans="1:10" ht="15.75" x14ac:dyDescent="0.25">
      <c r="A725" s="13">
        <v>63005</v>
      </c>
      <c r="B725" s="10">
        <f>48.5437 * CHOOSE(CONTROL!$C$15, $E$9, 100%, $G$9) + CHOOSE(CONTROL!$C$38, 0.0278, 0)</f>
        <v>48.5715</v>
      </c>
      <c r="C725" s="10">
        <f>44.727 * CHOOSE(CONTROL!$C$15, $E$9, 100%, $G$9) + CHOOSE(CONTROL!$C$38, 0.0369, 0)</f>
        <v>44.7639</v>
      </c>
      <c r="D725" s="10">
        <f>44.7192 * CHOOSE(CONTROL!$C$15, $E$9, 100%, $G$9) + CHOOSE(CONTROL!$C$38, 0.0369, 0)</f>
        <v>44.756100000000004</v>
      </c>
      <c r="E725" s="28">
        <f>48.3875 * CHOOSE(CONTROL!$C$15, $E$9, 100%, $G$9) + CHOOSE(CONTROL!$C$38, 0.0369, 0)</f>
        <v>48.424400000000006</v>
      </c>
      <c r="F725" s="27">
        <f>48.3875 * CHOOSE(CONTROL!$C$15, $E$9, 100%, $G$9) + CHOOSE(CONTROL!$C$38, 0.0278, 0)</f>
        <v>48.415300000000002</v>
      </c>
      <c r="G725" s="10">
        <f>44.7255 * CHOOSE(CONTROL!$C$15, $E$9, 100%, $G$9) + CHOOSE(CONTROL!$C$38, 0.0369, 0)</f>
        <v>44.7624</v>
      </c>
      <c r="H725" s="10">
        <f>44.7255 * CHOOSE(CONTROL!$C$15, $E$9, 100%, $G$9) + CHOOSE(CONTROL!$C$38, 0.0369, 0)</f>
        <v>44.7624</v>
      </c>
      <c r="I725" s="10">
        <f>44.727 * CHOOSE(CONTROL!$C$15, $E$9, 100%, $G$9) + CHOOSE(CONTROL!$C$38, 0.0369, 0)</f>
        <v>44.7639</v>
      </c>
      <c r="J725" s="26">
        <f>431.4216</f>
        <v>431.42160000000001</v>
      </c>
    </row>
    <row r="726" spans="1:10" ht="15.75" x14ac:dyDescent="0.25">
      <c r="A726" s="13">
        <v>63036</v>
      </c>
      <c r="B726" s="10">
        <f>48.3372 * CHOOSE(CONTROL!$C$15, $E$9, 100%, $G$9) + CHOOSE(CONTROL!$C$38, 0.0278, 0)</f>
        <v>48.365000000000002</v>
      </c>
      <c r="C726" s="10">
        <f>44.5205 * CHOOSE(CONTROL!$C$15, $E$9, 100%, $G$9) + CHOOSE(CONTROL!$C$38, 0.0369, 0)</f>
        <v>44.557400000000001</v>
      </c>
      <c r="D726" s="10">
        <f>44.5127 * CHOOSE(CONTROL!$C$15, $E$9, 100%, $G$9) + CHOOSE(CONTROL!$C$38, 0.0369, 0)</f>
        <v>44.549600000000005</v>
      </c>
      <c r="E726" s="28">
        <f>48.181 * CHOOSE(CONTROL!$C$15, $E$9, 100%, $G$9) + CHOOSE(CONTROL!$C$38, 0.0369, 0)</f>
        <v>48.2179</v>
      </c>
      <c r="F726" s="27">
        <f>48.181 * CHOOSE(CONTROL!$C$15, $E$9, 100%, $G$9) + CHOOSE(CONTROL!$C$38, 0.0278, 0)</f>
        <v>48.208799999999997</v>
      </c>
      <c r="G726" s="10">
        <f>44.519 * CHOOSE(CONTROL!$C$15, $E$9, 100%, $G$9) + CHOOSE(CONTROL!$C$38, 0.0369, 0)</f>
        <v>44.555900000000001</v>
      </c>
      <c r="H726" s="10">
        <f>44.519 * CHOOSE(CONTROL!$C$15, $E$9, 100%, $G$9) + CHOOSE(CONTROL!$C$38, 0.0369, 0)</f>
        <v>44.555900000000001</v>
      </c>
      <c r="I726" s="10">
        <f>44.5205 * CHOOSE(CONTROL!$C$15, $E$9, 100%, $G$9) + CHOOSE(CONTROL!$C$38, 0.0369, 0)</f>
        <v>44.557400000000001</v>
      </c>
      <c r="J726" s="26">
        <f>429.404</f>
        <v>429.404</v>
      </c>
    </row>
    <row r="727" spans="1:10" ht="15.75" x14ac:dyDescent="0.25">
      <c r="A727" s="13">
        <v>63067</v>
      </c>
      <c r="B727" s="10">
        <f>48.4391 * CHOOSE(CONTROL!$C$15, $E$9, 100%, $G$9) + CHOOSE(CONTROL!$C$38, 0.0278, 0)</f>
        <v>48.466900000000003</v>
      </c>
      <c r="C727" s="10">
        <f>44.6224 * CHOOSE(CONTROL!$C$15, $E$9, 100%, $G$9) + CHOOSE(CONTROL!$C$38, 0.0369, 0)</f>
        <v>44.659300000000002</v>
      </c>
      <c r="D727" s="10">
        <f>44.6146 * CHOOSE(CONTROL!$C$15, $E$9, 100%, $G$9) + CHOOSE(CONTROL!$C$38, 0.0369, 0)</f>
        <v>44.651500000000006</v>
      </c>
      <c r="E727" s="28">
        <f>48.2829 * CHOOSE(CONTROL!$C$15, $E$9, 100%, $G$9) + CHOOSE(CONTROL!$C$38, 0.0369, 0)</f>
        <v>48.319800000000001</v>
      </c>
      <c r="F727" s="27">
        <f>48.2829 * CHOOSE(CONTROL!$C$15, $E$9, 100%, $G$9) + CHOOSE(CONTROL!$C$38, 0.0278, 0)</f>
        <v>48.310699999999997</v>
      </c>
      <c r="G727" s="10">
        <f>44.6209 * CHOOSE(CONTROL!$C$15, $E$9, 100%, $G$9) + CHOOSE(CONTROL!$C$38, 0.0369, 0)</f>
        <v>44.657800000000002</v>
      </c>
      <c r="H727" s="10">
        <f>44.6209 * CHOOSE(CONTROL!$C$15, $E$9, 100%, $G$9) + CHOOSE(CONTROL!$C$38, 0.0369, 0)</f>
        <v>44.657800000000002</v>
      </c>
      <c r="I727" s="10">
        <f>44.6224 * CHOOSE(CONTROL!$C$15, $E$9, 100%, $G$9) + CHOOSE(CONTROL!$C$38, 0.0369, 0)</f>
        <v>44.659300000000002</v>
      </c>
      <c r="J727" s="26">
        <f>419.4076</f>
        <v>419.4076</v>
      </c>
    </row>
    <row r="728" spans="1:10" ht="15.75" x14ac:dyDescent="0.25">
      <c r="A728" s="13">
        <v>63097</v>
      </c>
      <c r="B728" s="10">
        <f>48.7159 * CHOOSE(CONTROL!$C$15, $E$9, 100%, $G$9) + CHOOSE(CONTROL!$C$38, 0.0278, 0)</f>
        <v>48.743699999999997</v>
      </c>
      <c r="C728" s="10">
        <f>44.8992 * CHOOSE(CONTROL!$C$15, $E$9, 100%, $G$9) + CHOOSE(CONTROL!$C$38, 0.0369, 0)</f>
        <v>44.936100000000003</v>
      </c>
      <c r="D728" s="10">
        <f>44.8914 * CHOOSE(CONTROL!$C$15, $E$9, 100%, $G$9) + CHOOSE(CONTROL!$C$38, 0.0369, 0)</f>
        <v>44.9283</v>
      </c>
      <c r="E728" s="28">
        <f>48.5597 * CHOOSE(CONTROL!$C$15, $E$9, 100%, $G$9) + CHOOSE(CONTROL!$C$38, 0.0369, 0)</f>
        <v>48.596600000000002</v>
      </c>
      <c r="F728" s="27">
        <f>48.5597 * CHOOSE(CONTROL!$C$15, $E$9, 100%, $G$9) + CHOOSE(CONTROL!$C$38, 0.0278, 0)</f>
        <v>48.587499999999999</v>
      </c>
      <c r="G728" s="10">
        <f>44.8977 * CHOOSE(CONTROL!$C$15, $E$9, 100%, $G$9) + CHOOSE(CONTROL!$C$38, 0.0369, 0)</f>
        <v>44.934600000000003</v>
      </c>
      <c r="H728" s="10">
        <f>44.8977 * CHOOSE(CONTROL!$C$15, $E$9, 100%, $G$9) + CHOOSE(CONTROL!$C$38, 0.0369, 0)</f>
        <v>44.934600000000003</v>
      </c>
      <c r="I728" s="10">
        <f>44.8992 * CHOOSE(CONTROL!$C$15, $E$9, 100%, $G$9) + CHOOSE(CONTROL!$C$38, 0.0369, 0)</f>
        <v>44.936100000000003</v>
      </c>
      <c r="J728" s="26">
        <f>405.4672</f>
        <v>405.46719999999999</v>
      </c>
    </row>
    <row r="729" spans="1:10" ht="15.75" x14ac:dyDescent="0.25">
      <c r="A729" s="13">
        <v>63128</v>
      </c>
      <c r="B729" s="10">
        <f>48.9478 * CHOOSE(CONTROL!$C$15, $E$9, 100%, $G$9) + CHOOSE(CONTROL!$C$38, 0.0256, 0)</f>
        <v>48.973399999999998</v>
      </c>
      <c r="C729" s="10">
        <f>45.1311 * CHOOSE(CONTROL!$C$15, $E$9, 100%, $G$9) + CHOOSE(CONTROL!$C$38, 0.0347, 0)</f>
        <v>45.165800000000004</v>
      </c>
      <c r="D729" s="10">
        <f>45.1233 * CHOOSE(CONTROL!$C$15, $E$9, 100%, $G$9) + CHOOSE(CONTROL!$C$38, 0.0347, 0)</f>
        <v>45.158000000000001</v>
      </c>
      <c r="E729" s="28">
        <f>48.7915 * CHOOSE(CONTROL!$C$15, $E$9, 100%, $G$9) + CHOOSE(CONTROL!$C$38, 0.0347, 0)</f>
        <v>48.8262</v>
      </c>
      <c r="F729" s="27">
        <f>48.7915 * CHOOSE(CONTROL!$C$15, $E$9, 100%, $G$9) + CHOOSE(CONTROL!$C$38, 0.0256, 0)</f>
        <v>48.817099999999996</v>
      </c>
      <c r="G729" s="10">
        <f>45.1295 * CHOOSE(CONTROL!$C$15, $E$9, 100%, $G$9) + CHOOSE(CONTROL!$C$38, 0.0347, 0)</f>
        <v>45.164200000000001</v>
      </c>
      <c r="H729" s="10">
        <f>45.1295 * CHOOSE(CONTROL!$C$15, $E$9, 100%, $G$9) + CHOOSE(CONTROL!$C$38, 0.0347, 0)</f>
        <v>45.164200000000001</v>
      </c>
      <c r="I729" s="10">
        <f>45.1311 * CHOOSE(CONTROL!$C$15, $E$9, 100%, $G$9) + CHOOSE(CONTROL!$C$38, 0.0347, 0)</f>
        <v>45.165800000000004</v>
      </c>
      <c r="J729" s="26">
        <f>391.4458</f>
        <v>391.44580000000002</v>
      </c>
    </row>
    <row r="730" spans="1:10" ht="15.75" x14ac:dyDescent="0.25">
      <c r="A730" s="13">
        <v>63158</v>
      </c>
      <c r="B730" s="10">
        <f>49.1412 * CHOOSE(CONTROL!$C$15, $E$9, 100%, $G$9) + CHOOSE(CONTROL!$C$38, 0.0256, 0)</f>
        <v>49.166799999999995</v>
      </c>
      <c r="C730" s="10">
        <f>45.3245 * CHOOSE(CONTROL!$C$15, $E$9, 100%, $G$9) + CHOOSE(CONTROL!$C$38, 0.0347, 0)</f>
        <v>45.359200000000001</v>
      </c>
      <c r="D730" s="10">
        <f>45.3167 * CHOOSE(CONTROL!$C$15, $E$9, 100%, $G$9) + CHOOSE(CONTROL!$C$38, 0.0347, 0)</f>
        <v>45.351399999999998</v>
      </c>
      <c r="E730" s="28">
        <f>48.9849 * CHOOSE(CONTROL!$C$15, $E$9, 100%, $G$9) + CHOOSE(CONTROL!$C$38, 0.0347, 0)</f>
        <v>49.019600000000004</v>
      </c>
      <c r="F730" s="27">
        <f>48.9849 * CHOOSE(CONTROL!$C$15, $E$9, 100%, $G$9) + CHOOSE(CONTROL!$C$38, 0.0256, 0)</f>
        <v>49.0105</v>
      </c>
      <c r="G730" s="10">
        <f>45.3229 * CHOOSE(CONTROL!$C$15, $E$9, 100%, $G$9) + CHOOSE(CONTROL!$C$38, 0.0347, 0)</f>
        <v>45.357599999999998</v>
      </c>
      <c r="H730" s="10">
        <f>45.3229 * CHOOSE(CONTROL!$C$15, $E$9, 100%, $G$9) + CHOOSE(CONTROL!$C$38, 0.0347, 0)</f>
        <v>45.357599999999998</v>
      </c>
      <c r="I730" s="10">
        <f>45.3245 * CHOOSE(CONTROL!$C$15, $E$9, 100%, $G$9) + CHOOSE(CONTROL!$C$38, 0.0347, 0)</f>
        <v>45.359200000000001</v>
      </c>
      <c r="J730" s="26">
        <f>388.6566</f>
        <v>388.65660000000003</v>
      </c>
    </row>
    <row r="731" spans="1:10" ht="15.75" x14ac:dyDescent="0.25">
      <c r="A731" s="13">
        <v>63189</v>
      </c>
      <c r="B731" s="10">
        <f>49.7373 * CHOOSE(CONTROL!$C$15, $E$9, 100%, $G$9) + CHOOSE(CONTROL!$C$38, 0.0256, 0)</f>
        <v>49.762899999999995</v>
      </c>
      <c r="C731" s="10">
        <f>45.9206 * CHOOSE(CONTROL!$C$15, $E$9, 100%, $G$9) + CHOOSE(CONTROL!$C$38, 0.0347, 0)</f>
        <v>45.955300000000001</v>
      </c>
      <c r="D731" s="10">
        <f>45.9128 * CHOOSE(CONTROL!$C$15, $E$9, 100%, $G$9) + CHOOSE(CONTROL!$C$38, 0.0347, 0)</f>
        <v>45.947499999999998</v>
      </c>
      <c r="E731" s="28">
        <f>49.581 * CHOOSE(CONTROL!$C$15, $E$9, 100%, $G$9) + CHOOSE(CONTROL!$C$38, 0.0347, 0)</f>
        <v>49.615700000000004</v>
      </c>
      <c r="F731" s="27">
        <f>49.581 * CHOOSE(CONTROL!$C$15, $E$9, 100%, $G$9) + CHOOSE(CONTROL!$C$38, 0.0256, 0)</f>
        <v>49.6066</v>
      </c>
      <c r="G731" s="10">
        <f>45.919 * CHOOSE(CONTROL!$C$15, $E$9, 100%, $G$9) + CHOOSE(CONTROL!$C$38, 0.0347, 0)</f>
        <v>45.953699999999998</v>
      </c>
      <c r="H731" s="10">
        <f>45.919 * CHOOSE(CONTROL!$C$15, $E$9, 100%, $G$9) + CHOOSE(CONTROL!$C$38, 0.0347, 0)</f>
        <v>45.953699999999998</v>
      </c>
      <c r="I731" s="10">
        <f>45.9206 * CHOOSE(CONTROL!$C$15, $E$9, 100%, $G$9) + CHOOSE(CONTROL!$C$38, 0.0347, 0)</f>
        <v>45.955300000000001</v>
      </c>
      <c r="J731" s="26">
        <f>377.1232</f>
        <v>377.1232</v>
      </c>
    </row>
    <row r="732" spans="1:10" ht="15.75" x14ac:dyDescent="0.25">
      <c r="A732" s="13">
        <v>63220</v>
      </c>
      <c r="B732" s="10">
        <f>51.0041 * CHOOSE(CONTROL!$C$15, $E$9, 100%, $G$9) + CHOOSE(CONTROL!$C$38, 0.0256, 0)</f>
        <v>51.029699999999998</v>
      </c>
      <c r="C732" s="10">
        <f>47.1274 * CHOOSE(CONTROL!$C$15, $E$9, 100%, $G$9) + CHOOSE(CONTROL!$C$38, 0.0347, 0)</f>
        <v>47.162100000000002</v>
      </c>
      <c r="D732" s="10">
        <f>47.1196 * CHOOSE(CONTROL!$C$15, $E$9, 100%, $G$9) + CHOOSE(CONTROL!$C$38, 0.0347, 0)</f>
        <v>47.154299999999999</v>
      </c>
      <c r="E732" s="28">
        <f>50.8479 * CHOOSE(CONTROL!$C$15, $E$9, 100%, $G$9) + CHOOSE(CONTROL!$C$38, 0.0347, 0)</f>
        <v>50.882600000000004</v>
      </c>
      <c r="F732" s="27">
        <f>50.8479 * CHOOSE(CONTROL!$C$15, $E$9, 100%, $G$9) + CHOOSE(CONTROL!$C$38, 0.0256, 0)</f>
        <v>50.8735</v>
      </c>
      <c r="G732" s="10">
        <f>47.1258 * CHOOSE(CONTROL!$C$15, $E$9, 100%, $G$9) + CHOOSE(CONTROL!$C$38, 0.0347, 0)</f>
        <v>47.160499999999999</v>
      </c>
      <c r="H732" s="10">
        <f>47.1258 * CHOOSE(CONTROL!$C$15, $E$9, 100%, $G$9) + CHOOSE(CONTROL!$C$38, 0.0347, 0)</f>
        <v>47.160499999999999</v>
      </c>
      <c r="I732" s="10">
        <f>47.1274 * CHOOSE(CONTROL!$C$15, $E$9, 100%, $G$9) + CHOOSE(CONTROL!$C$38, 0.0347, 0)</f>
        <v>47.162100000000002</v>
      </c>
      <c r="J732" s="26">
        <f>376.403</f>
        <v>376.40300000000002</v>
      </c>
    </row>
    <row r="733" spans="1:10" ht="15.75" x14ac:dyDescent="0.25">
      <c r="A733" s="13">
        <v>63248</v>
      </c>
      <c r="B733" s="10">
        <f>51.2249 * CHOOSE(CONTROL!$C$15, $E$9, 100%, $G$9) + CHOOSE(CONTROL!$C$38, 0.0256, 0)</f>
        <v>51.250499999999995</v>
      </c>
      <c r="C733" s="10">
        <f>47.3482 * CHOOSE(CONTROL!$C$15, $E$9, 100%, $G$9) + CHOOSE(CONTROL!$C$38, 0.0347, 0)</f>
        <v>47.382899999999999</v>
      </c>
      <c r="D733" s="10">
        <f>47.3403 * CHOOSE(CONTROL!$C$15, $E$9, 100%, $G$9) + CHOOSE(CONTROL!$C$38, 0.0347, 0)</f>
        <v>47.375</v>
      </c>
      <c r="E733" s="28">
        <f>51.0686 * CHOOSE(CONTROL!$C$15, $E$9, 100%, $G$9) + CHOOSE(CONTROL!$C$38, 0.0347, 0)</f>
        <v>51.103300000000004</v>
      </c>
      <c r="F733" s="27">
        <f>51.0686 * CHOOSE(CONTROL!$C$15, $E$9, 100%, $G$9) + CHOOSE(CONTROL!$C$38, 0.0256, 0)</f>
        <v>51.094200000000001</v>
      </c>
      <c r="G733" s="10">
        <f>47.3466 * CHOOSE(CONTROL!$C$15, $E$9, 100%, $G$9) + CHOOSE(CONTROL!$C$38, 0.0347, 0)</f>
        <v>47.381300000000003</v>
      </c>
      <c r="H733" s="10">
        <f>47.3466 * CHOOSE(CONTROL!$C$15, $E$9, 100%, $G$9) + CHOOSE(CONTROL!$C$38, 0.0347, 0)</f>
        <v>47.381300000000003</v>
      </c>
      <c r="I733" s="10">
        <f>47.3482 * CHOOSE(CONTROL!$C$15, $E$9, 100%, $G$9) + CHOOSE(CONTROL!$C$38, 0.0347, 0)</f>
        <v>47.382899999999999</v>
      </c>
      <c r="J733" s="26">
        <f>375.3567</f>
        <v>375.35669999999999</v>
      </c>
    </row>
    <row r="734" spans="1:10" ht="15.75" x14ac:dyDescent="0.25">
      <c r="A734" s="13">
        <v>63279</v>
      </c>
      <c r="B734" s="10">
        <f>50.7138 * CHOOSE(CONTROL!$C$15, $E$9, 100%, $G$9) + CHOOSE(CONTROL!$C$38, 0.0256, 0)</f>
        <v>50.739399999999996</v>
      </c>
      <c r="C734" s="10">
        <f>46.8371 * CHOOSE(CONTROL!$C$15, $E$9, 100%, $G$9) + CHOOSE(CONTROL!$C$38, 0.0347, 0)</f>
        <v>46.8718</v>
      </c>
      <c r="D734" s="10">
        <f>46.8293 * CHOOSE(CONTROL!$C$15, $E$9, 100%, $G$9) + CHOOSE(CONTROL!$C$38, 0.0347, 0)</f>
        <v>46.864000000000004</v>
      </c>
      <c r="E734" s="28">
        <f>50.5576 * CHOOSE(CONTROL!$C$15, $E$9, 100%, $G$9) + CHOOSE(CONTROL!$C$38, 0.0347, 0)</f>
        <v>50.592300000000002</v>
      </c>
      <c r="F734" s="27">
        <f>50.5576 * CHOOSE(CONTROL!$C$15, $E$9, 100%, $G$9) + CHOOSE(CONTROL!$C$38, 0.0256, 0)</f>
        <v>50.583199999999998</v>
      </c>
      <c r="G734" s="10">
        <f>46.8356 * CHOOSE(CONTROL!$C$15, $E$9, 100%, $G$9) + CHOOSE(CONTROL!$C$38, 0.0347, 0)</f>
        <v>46.8703</v>
      </c>
      <c r="H734" s="10">
        <f>46.8356 * CHOOSE(CONTROL!$C$15, $E$9, 100%, $G$9) + CHOOSE(CONTROL!$C$38, 0.0347, 0)</f>
        <v>46.8703</v>
      </c>
      <c r="I734" s="10">
        <f>46.8371 * CHOOSE(CONTROL!$C$15, $E$9, 100%, $G$9) + CHOOSE(CONTROL!$C$38, 0.0347, 0)</f>
        <v>46.8718</v>
      </c>
      <c r="J734" s="26">
        <f>395.1402</f>
        <v>395.14019999999999</v>
      </c>
    </row>
    <row r="735" spans="1:10" ht="15.75" x14ac:dyDescent="0.25">
      <c r="A735" s="13">
        <v>63309</v>
      </c>
      <c r="B735" s="10">
        <f>50.2187 * CHOOSE(CONTROL!$C$15, $E$9, 100%, $G$9) + CHOOSE(CONTROL!$C$38, 0.0256, 0)</f>
        <v>50.244299999999996</v>
      </c>
      <c r="C735" s="10">
        <f>46.3419 * CHOOSE(CONTROL!$C$15, $E$9, 100%, $G$9) + CHOOSE(CONTROL!$C$38, 0.0347, 0)</f>
        <v>46.376600000000003</v>
      </c>
      <c r="D735" s="10">
        <f>46.3341 * CHOOSE(CONTROL!$C$15, $E$9, 100%, $G$9) + CHOOSE(CONTROL!$C$38, 0.0347, 0)</f>
        <v>46.3688</v>
      </c>
      <c r="E735" s="28">
        <f>50.0624 * CHOOSE(CONTROL!$C$15, $E$9, 100%, $G$9) + CHOOSE(CONTROL!$C$38, 0.0347, 0)</f>
        <v>50.097099999999998</v>
      </c>
      <c r="F735" s="27">
        <f>50.0624 * CHOOSE(CONTROL!$C$15, $E$9, 100%, $G$9) + CHOOSE(CONTROL!$C$38, 0.0256, 0)</f>
        <v>50.087999999999994</v>
      </c>
      <c r="G735" s="10">
        <f>46.3404 * CHOOSE(CONTROL!$C$15, $E$9, 100%, $G$9) + CHOOSE(CONTROL!$C$38, 0.0347, 0)</f>
        <v>46.375100000000003</v>
      </c>
      <c r="H735" s="10">
        <f>46.3404 * CHOOSE(CONTROL!$C$15, $E$9, 100%, $G$9) + CHOOSE(CONTROL!$C$38, 0.0347, 0)</f>
        <v>46.375100000000003</v>
      </c>
      <c r="I735" s="10">
        <f>46.3419 * CHOOSE(CONTROL!$C$15, $E$9, 100%, $G$9) + CHOOSE(CONTROL!$C$38, 0.0347, 0)</f>
        <v>46.376600000000003</v>
      </c>
      <c r="J735" s="26">
        <f>420.7946</f>
        <v>420.7946</v>
      </c>
    </row>
    <row r="736" spans="1:10" ht="15.75" x14ac:dyDescent="0.25">
      <c r="A736" s="13">
        <v>63340</v>
      </c>
      <c r="B736" s="10">
        <f>49.7025 * CHOOSE(CONTROL!$C$15, $E$9, 100%, $G$9) + CHOOSE(CONTROL!$C$38, 0.0278, 0)</f>
        <v>49.7303</v>
      </c>
      <c r="C736" s="10">
        <f>45.8258 * CHOOSE(CONTROL!$C$15, $E$9, 100%, $G$9) + CHOOSE(CONTROL!$C$38, 0.0369, 0)</f>
        <v>45.862700000000004</v>
      </c>
      <c r="D736" s="10">
        <f>45.818 * CHOOSE(CONTROL!$C$15, $E$9, 100%, $G$9) + CHOOSE(CONTROL!$C$38, 0.0369, 0)</f>
        <v>45.854900000000001</v>
      </c>
      <c r="E736" s="28">
        <f>49.5463 * CHOOSE(CONTROL!$C$15, $E$9, 100%, $G$9) + CHOOSE(CONTROL!$C$38, 0.0369, 0)</f>
        <v>49.583200000000005</v>
      </c>
      <c r="F736" s="27">
        <f>49.5463 * CHOOSE(CONTROL!$C$15, $E$9, 100%, $G$9) + CHOOSE(CONTROL!$C$38, 0.0278, 0)</f>
        <v>49.574100000000001</v>
      </c>
      <c r="G736" s="10">
        <f>45.8243 * CHOOSE(CONTROL!$C$15, $E$9, 100%, $G$9) + CHOOSE(CONTROL!$C$38, 0.0369, 0)</f>
        <v>45.861200000000004</v>
      </c>
      <c r="H736" s="10">
        <f>45.8243 * CHOOSE(CONTROL!$C$15, $E$9, 100%, $G$9) + CHOOSE(CONTROL!$C$38, 0.0369, 0)</f>
        <v>45.861200000000004</v>
      </c>
      <c r="I736" s="10">
        <f>45.8258 * CHOOSE(CONTROL!$C$15, $E$9, 100%, $G$9) + CHOOSE(CONTROL!$C$38, 0.0369, 0)</f>
        <v>45.862700000000004</v>
      </c>
      <c r="J736" s="26">
        <f>434.9156</f>
        <v>434.91559999999998</v>
      </c>
    </row>
    <row r="737" spans="1:10" ht="15.75" x14ac:dyDescent="0.25">
      <c r="A737" s="13">
        <v>63370</v>
      </c>
      <c r="B737" s="10">
        <f>49.3407 * CHOOSE(CONTROL!$C$15, $E$9, 100%, $G$9) + CHOOSE(CONTROL!$C$38, 0.0278, 0)</f>
        <v>49.368499999999997</v>
      </c>
      <c r="C737" s="10">
        <f>45.464 * CHOOSE(CONTROL!$C$15, $E$9, 100%, $G$9) + CHOOSE(CONTROL!$C$38, 0.0369, 0)</f>
        <v>45.500900000000001</v>
      </c>
      <c r="D737" s="10">
        <f>45.4562 * CHOOSE(CONTROL!$C$15, $E$9, 100%, $G$9) + CHOOSE(CONTROL!$C$38, 0.0369, 0)</f>
        <v>45.493100000000005</v>
      </c>
      <c r="E737" s="28">
        <f>49.1845 * CHOOSE(CONTROL!$C$15, $E$9, 100%, $G$9) + CHOOSE(CONTROL!$C$38, 0.0369, 0)</f>
        <v>49.221400000000003</v>
      </c>
      <c r="F737" s="27">
        <f>49.1845 * CHOOSE(CONTROL!$C$15, $E$9, 100%, $G$9) + CHOOSE(CONTROL!$C$38, 0.0278, 0)</f>
        <v>49.212299999999999</v>
      </c>
      <c r="G737" s="10">
        <f>45.4624 * CHOOSE(CONTROL!$C$15, $E$9, 100%, $G$9) + CHOOSE(CONTROL!$C$38, 0.0369, 0)</f>
        <v>45.499300000000005</v>
      </c>
      <c r="H737" s="10">
        <f>45.4624 * CHOOSE(CONTROL!$C$15, $E$9, 100%, $G$9) + CHOOSE(CONTROL!$C$38, 0.0369, 0)</f>
        <v>45.499300000000005</v>
      </c>
      <c r="I737" s="10">
        <f>45.464 * CHOOSE(CONTROL!$C$15, $E$9, 100%, $G$9) + CHOOSE(CONTROL!$C$38, 0.0369, 0)</f>
        <v>45.500900000000001</v>
      </c>
      <c r="J737" s="26">
        <f>441.1823</f>
        <v>441.1823</v>
      </c>
    </row>
    <row r="738" spans="1:10" ht="15.75" x14ac:dyDescent="0.25">
      <c r="A738" s="13">
        <v>63401</v>
      </c>
      <c r="B738" s="10">
        <f>49.1342 * CHOOSE(CONTROL!$C$15, $E$9, 100%, $G$9) + CHOOSE(CONTROL!$C$38, 0.0278, 0)</f>
        <v>49.161999999999999</v>
      </c>
      <c r="C738" s="10">
        <f>45.2575 * CHOOSE(CONTROL!$C$15, $E$9, 100%, $G$9) + CHOOSE(CONTROL!$C$38, 0.0369, 0)</f>
        <v>45.294400000000003</v>
      </c>
      <c r="D738" s="10">
        <f>45.2497 * CHOOSE(CONTROL!$C$15, $E$9, 100%, $G$9) + CHOOSE(CONTROL!$C$38, 0.0369, 0)</f>
        <v>45.2866</v>
      </c>
      <c r="E738" s="28">
        <f>48.978 * CHOOSE(CONTROL!$C$15, $E$9, 100%, $G$9) + CHOOSE(CONTROL!$C$38, 0.0369, 0)</f>
        <v>49.014900000000004</v>
      </c>
      <c r="F738" s="27">
        <f>48.978 * CHOOSE(CONTROL!$C$15, $E$9, 100%, $G$9) + CHOOSE(CONTROL!$C$38, 0.0278, 0)</f>
        <v>49.005800000000001</v>
      </c>
      <c r="G738" s="10">
        <f>45.2559 * CHOOSE(CONTROL!$C$15, $E$9, 100%, $G$9) + CHOOSE(CONTROL!$C$38, 0.0369, 0)</f>
        <v>45.2928</v>
      </c>
      <c r="H738" s="10">
        <f>45.2559 * CHOOSE(CONTROL!$C$15, $E$9, 100%, $G$9) + CHOOSE(CONTROL!$C$38, 0.0369, 0)</f>
        <v>45.2928</v>
      </c>
      <c r="I738" s="10">
        <f>45.2575 * CHOOSE(CONTROL!$C$15, $E$9, 100%, $G$9) + CHOOSE(CONTROL!$C$38, 0.0369, 0)</f>
        <v>45.294400000000003</v>
      </c>
      <c r="J738" s="26">
        <f>439.119</f>
        <v>439.11900000000003</v>
      </c>
    </row>
    <row r="739" spans="1:10" ht="15.75" x14ac:dyDescent="0.25">
      <c r="A739" s="13">
        <v>63432</v>
      </c>
      <c r="B739" s="10">
        <f>49.2361 * CHOOSE(CONTROL!$C$15, $E$9, 100%, $G$9) + CHOOSE(CONTROL!$C$38, 0.0278, 0)</f>
        <v>49.2639</v>
      </c>
      <c r="C739" s="10">
        <f>45.3594 * CHOOSE(CONTROL!$C$15, $E$9, 100%, $G$9) + CHOOSE(CONTROL!$C$38, 0.0369, 0)</f>
        <v>45.396300000000004</v>
      </c>
      <c r="D739" s="10">
        <f>45.3516 * CHOOSE(CONTROL!$C$15, $E$9, 100%, $G$9) + CHOOSE(CONTROL!$C$38, 0.0369, 0)</f>
        <v>45.388500000000001</v>
      </c>
      <c r="E739" s="28">
        <f>49.0799 * CHOOSE(CONTROL!$C$15, $E$9, 100%, $G$9) + CHOOSE(CONTROL!$C$38, 0.0369, 0)</f>
        <v>49.116800000000005</v>
      </c>
      <c r="F739" s="27">
        <f>49.0799 * CHOOSE(CONTROL!$C$15, $E$9, 100%, $G$9) + CHOOSE(CONTROL!$C$38, 0.0278, 0)</f>
        <v>49.107700000000001</v>
      </c>
      <c r="G739" s="10">
        <f>45.3579 * CHOOSE(CONTROL!$C$15, $E$9, 100%, $G$9) + CHOOSE(CONTROL!$C$38, 0.0369, 0)</f>
        <v>45.394800000000004</v>
      </c>
      <c r="H739" s="10">
        <f>45.3579 * CHOOSE(CONTROL!$C$15, $E$9, 100%, $G$9) + CHOOSE(CONTROL!$C$38, 0.0369, 0)</f>
        <v>45.394800000000004</v>
      </c>
      <c r="I739" s="10">
        <f>45.3594 * CHOOSE(CONTROL!$C$15, $E$9, 100%, $G$9) + CHOOSE(CONTROL!$C$38, 0.0369, 0)</f>
        <v>45.396300000000004</v>
      </c>
      <c r="J739" s="26">
        <f>428.8965</f>
        <v>428.8965</v>
      </c>
    </row>
    <row r="740" spans="1:10" ht="15.75" x14ac:dyDescent="0.25">
      <c r="A740" s="13">
        <v>63462</v>
      </c>
      <c r="B740" s="10">
        <f>49.5129 * CHOOSE(CONTROL!$C$15, $E$9, 100%, $G$9) + CHOOSE(CONTROL!$C$38, 0.0278, 0)</f>
        <v>49.540700000000001</v>
      </c>
      <c r="C740" s="10">
        <f>45.6362 * CHOOSE(CONTROL!$C$15, $E$9, 100%, $G$9) + CHOOSE(CONTROL!$C$38, 0.0369, 0)</f>
        <v>45.673100000000005</v>
      </c>
      <c r="D740" s="10">
        <f>45.6284 * CHOOSE(CONTROL!$C$15, $E$9, 100%, $G$9) + CHOOSE(CONTROL!$C$38, 0.0369, 0)</f>
        <v>45.665300000000002</v>
      </c>
      <c r="E740" s="28">
        <f>49.3567 * CHOOSE(CONTROL!$C$15, $E$9, 100%, $G$9) + CHOOSE(CONTROL!$C$38, 0.0369, 0)</f>
        <v>49.393599999999999</v>
      </c>
      <c r="F740" s="27">
        <f>49.3567 * CHOOSE(CONTROL!$C$15, $E$9, 100%, $G$9) + CHOOSE(CONTROL!$C$38, 0.0278, 0)</f>
        <v>49.384499999999996</v>
      </c>
      <c r="G740" s="10">
        <f>45.6347 * CHOOSE(CONTROL!$C$15, $E$9, 100%, $G$9) + CHOOSE(CONTROL!$C$38, 0.0369, 0)</f>
        <v>45.671600000000005</v>
      </c>
      <c r="H740" s="10">
        <f>45.6347 * CHOOSE(CONTROL!$C$15, $E$9, 100%, $G$9) + CHOOSE(CONTROL!$C$38, 0.0369, 0)</f>
        <v>45.671600000000005</v>
      </c>
      <c r="I740" s="10">
        <f>45.6362 * CHOOSE(CONTROL!$C$15, $E$9, 100%, $G$9) + CHOOSE(CONTROL!$C$38, 0.0369, 0)</f>
        <v>45.673100000000005</v>
      </c>
      <c r="J740" s="26">
        <f>414.6407</f>
        <v>414.64069999999998</v>
      </c>
    </row>
    <row r="741" spans="1:10" ht="15.75" x14ac:dyDescent="0.25">
      <c r="A741" s="13">
        <v>63493</v>
      </c>
      <c r="B741" s="10">
        <f>49.7447 * CHOOSE(CONTROL!$C$15, $E$9, 100%, $G$9) + CHOOSE(CONTROL!$C$38, 0.0256, 0)</f>
        <v>49.770299999999999</v>
      </c>
      <c r="C741" s="10">
        <f>45.868 * CHOOSE(CONTROL!$C$15, $E$9, 100%, $G$9) + CHOOSE(CONTROL!$C$38, 0.0347, 0)</f>
        <v>45.902700000000003</v>
      </c>
      <c r="D741" s="10">
        <f>45.8602 * CHOOSE(CONTROL!$C$15, $E$9, 100%, $G$9) + CHOOSE(CONTROL!$C$38, 0.0347, 0)</f>
        <v>45.8949</v>
      </c>
      <c r="E741" s="28">
        <f>49.5885 * CHOOSE(CONTROL!$C$15, $E$9, 100%, $G$9) + CHOOSE(CONTROL!$C$38, 0.0347, 0)</f>
        <v>49.623200000000004</v>
      </c>
      <c r="F741" s="27">
        <f>49.5885 * CHOOSE(CONTROL!$C$15, $E$9, 100%, $G$9) + CHOOSE(CONTROL!$C$38, 0.0256, 0)</f>
        <v>49.614100000000001</v>
      </c>
      <c r="G741" s="10">
        <f>45.8665 * CHOOSE(CONTROL!$C$15, $E$9, 100%, $G$9) + CHOOSE(CONTROL!$C$38, 0.0347, 0)</f>
        <v>45.901200000000003</v>
      </c>
      <c r="H741" s="10">
        <f>45.8665 * CHOOSE(CONTROL!$C$15, $E$9, 100%, $G$9) + CHOOSE(CONTROL!$C$38, 0.0347, 0)</f>
        <v>45.901200000000003</v>
      </c>
      <c r="I741" s="10">
        <f>45.868 * CHOOSE(CONTROL!$C$15, $E$9, 100%, $G$9) + CHOOSE(CONTROL!$C$38, 0.0347, 0)</f>
        <v>45.902700000000003</v>
      </c>
      <c r="J741" s="26">
        <f>400.302</f>
        <v>400.30200000000002</v>
      </c>
    </row>
    <row r="742" spans="1:10" ht="15.75" x14ac:dyDescent="0.25">
      <c r="A742" s="13">
        <v>63523</v>
      </c>
      <c r="B742" s="10">
        <f>49.9382 * CHOOSE(CONTROL!$C$15, $E$9, 100%, $G$9) + CHOOSE(CONTROL!$C$38, 0.0256, 0)</f>
        <v>49.963799999999999</v>
      </c>
      <c r="C742" s="10">
        <f>46.0615 * CHOOSE(CONTROL!$C$15, $E$9, 100%, $G$9) + CHOOSE(CONTROL!$C$38, 0.0347, 0)</f>
        <v>46.096200000000003</v>
      </c>
      <c r="D742" s="10">
        <f>46.0537 * CHOOSE(CONTROL!$C$15, $E$9, 100%, $G$9) + CHOOSE(CONTROL!$C$38, 0.0347, 0)</f>
        <v>46.0884</v>
      </c>
      <c r="E742" s="28">
        <f>49.7819 * CHOOSE(CONTROL!$C$15, $E$9, 100%, $G$9) + CHOOSE(CONTROL!$C$38, 0.0347, 0)</f>
        <v>49.816600000000001</v>
      </c>
      <c r="F742" s="27">
        <f>49.7819 * CHOOSE(CONTROL!$C$15, $E$9, 100%, $G$9) + CHOOSE(CONTROL!$C$38, 0.0256, 0)</f>
        <v>49.807499999999997</v>
      </c>
      <c r="G742" s="10">
        <f>46.0599 * CHOOSE(CONTROL!$C$15, $E$9, 100%, $G$9) + CHOOSE(CONTROL!$C$38, 0.0347, 0)</f>
        <v>46.0946</v>
      </c>
      <c r="H742" s="10">
        <f>46.0599 * CHOOSE(CONTROL!$C$15, $E$9, 100%, $G$9) + CHOOSE(CONTROL!$C$38, 0.0347, 0)</f>
        <v>46.0946</v>
      </c>
      <c r="I742" s="10">
        <f>46.0615 * CHOOSE(CONTROL!$C$15, $E$9, 100%, $G$9) + CHOOSE(CONTROL!$C$38, 0.0347, 0)</f>
        <v>46.096200000000003</v>
      </c>
      <c r="J742" s="26">
        <f>397.4498</f>
        <v>397.44979999999998</v>
      </c>
    </row>
    <row r="743" spans="1:10" ht="15.75" x14ac:dyDescent="0.25">
      <c r="A743" s="13">
        <v>63554</v>
      </c>
      <c r="B743" s="10">
        <f>50.5343 * CHOOSE(CONTROL!$C$15, $E$9, 100%, $G$9) + CHOOSE(CONTROL!$C$38, 0.0256, 0)</f>
        <v>50.559899999999999</v>
      </c>
      <c r="C743" s="10">
        <f>46.6576 * CHOOSE(CONTROL!$C$15, $E$9, 100%, $G$9) + CHOOSE(CONTROL!$C$38, 0.0347, 0)</f>
        <v>46.692300000000003</v>
      </c>
      <c r="D743" s="10">
        <f>46.6497 * CHOOSE(CONTROL!$C$15, $E$9, 100%, $G$9) + CHOOSE(CONTROL!$C$38, 0.0347, 0)</f>
        <v>46.684400000000004</v>
      </c>
      <c r="E743" s="28">
        <f>50.378 * CHOOSE(CONTROL!$C$15, $E$9, 100%, $G$9) + CHOOSE(CONTROL!$C$38, 0.0347, 0)</f>
        <v>50.412700000000001</v>
      </c>
      <c r="F743" s="27">
        <f>50.378 * CHOOSE(CONTROL!$C$15, $E$9, 100%, $G$9) + CHOOSE(CONTROL!$C$38, 0.0256, 0)</f>
        <v>50.403599999999997</v>
      </c>
      <c r="G743" s="10">
        <f>46.656 * CHOOSE(CONTROL!$C$15, $E$9, 100%, $G$9) + CHOOSE(CONTROL!$C$38, 0.0347, 0)</f>
        <v>46.6907</v>
      </c>
      <c r="H743" s="10">
        <f>46.656 * CHOOSE(CONTROL!$C$15, $E$9, 100%, $G$9) + CHOOSE(CONTROL!$C$38, 0.0347, 0)</f>
        <v>46.6907</v>
      </c>
      <c r="I743" s="10">
        <f>46.6576 * CHOOSE(CONTROL!$C$15, $E$9, 100%, $G$9) + CHOOSE(CONTROL!$C$38, 0.0347, 0)</f>
        <v>46.692300000000003</v>
      </c>
      <c r="J743" s="26">
        <f>385.6554</f>
        <v>385.65539999999999</v>
      </c>
    </row>
    <row r="744" spans="1:10" ht="15.75" x14ac:dyDescent="0.25">
      <c r="A744" s="13">
        <v>63585</v>
      </c>
      <c r="B744" s="10">
        <f>51.8142 * CHOOSE(CONTROL!$C$15, $E$9, 100%, $G$9) + CHOOSE(CONTROL!$C$38, 0.0256, 0)</f>
        <v>51.839799999999997</v>
      </c>
      <c r="C744" s="10">
        <f>47.8765 * CHOOSE(CONTROL!$C$15, $E$9, 100%, $G$9) + CHOOSE(CONTROL!$C$38, 0.0347, 0)</f>
        <v>47.911200000000001</v>
      </c>
      <c r="D744" s="10">
        <f>47.8686 * CHOOSE(CONTROL!$C$15, $E$9, 100%, $G$9) + CHOOSE(CONTROL!$C$38, 0.0347, 0)</f>
        <v>47.903300000000002</v>
      </c>
      <c r="E744" s="28">
        <f>51.6579 * CHOOSE(CONTROL!$C$15, $E$9, 100%, $G$9) + CHOOSE(CONTROL!$C$38, 0.0347, 0)</f>
        <v>51.692599999999999</v>
      </c>
      <c r="F744" s="27">
        <f>51.6579 * CHOOSE(CONTROL!$C$15, $E$9, 100%, $G$9) + CHOOSE(CONTROL!$C$38, 0.0256, 0)</f>
        <v>51.683499999999995</v>
      </c>
      <c r="G744" s="10">
        <f>47.8749 * CHOOSE(CONTROL!$C$15, $E$9, 100%, $G$9) + CHOOSE(CONTROL!$C$38, 0.0347, 0)</f>
        <v>47.909599999999998</v>
      </c>
      <c r="H744" s="10">
        <f>47.8749 * CHOOSE(CONTROL!$C$15, $E$9, 100%, $G$9) + CHOOSE(CONTROL!$C$38, 0.0347, 0)</f>
        <v>47.909599999999998</v>
      </c>
      <c r="I744" s="10">
        <f>47.8765 * CHOOSE(CONTROL!$C$15, $E$9, 100%, $G$9) + CHOOSE(CONTROL!$C$38, 0.0347, 0)</f>
        <v>47.911200000000001</v>
      </c>
      <c r="J744" s="26">
        <f>384.9189</f>
        <v>384.91890000000001</v>
      </c>
    </row>
    <row r="745" spans="1:10" ht="15.75" x14ac:dyDescent="0.25">
      <c r="A745" s="13">
        <v>63613</v>
      </c>
      <c r="B745" s="10">
        <f>52.0349 * CHOOSE(CONTROL!$C$15, $E$9, 100%, $G$9) + CHOOSE(CONTROL!$C$38, 0.0256, 0)</f>
        <v>52.060499999999998</v>
      </c>
      <c r="C745" s="10">
        <f>48.0972 * CHOOSE(CONTROL!$C$15, $E$9, 100%, $G$9) + CHOOSE(CONTROL!$C$38, 0.0347, 0)</f>
        <v>48.131900000000002</v>
      </c>
      <c r="D745" s="10">
        <f>48.0894 * CHOOSE(CONTROL!$C$15, $E$9, 100%, $G$9) + CHOOSE(CONTROL!$C$38, 0.0347, 0)</f>
        <v>48.124099999999999</v>
      </c>
      <c r="E745" s="28">
        <f>51.8787 * CHOOSE(CONTROL!$C$15, $E$9, 100%, $G$9) + CHOOSE(CONTROL!$C$38, 0.0347, 0)</f>
        <v>51.913400000000003</v>
      </c>
      <c r="F745" s="27">
        <f>51.8787 * CHOOSE(CONTROL!$C$15, $E$9, 100%, $G$9) + CHOOSE(CONTROL!$C$38, 0.0256, 0)</f>
        <v>51.904299999999999</v>
      </c>
      <c r="G745" s="10">
        <f>48.0957 * CHOOSE(CONTROL!$C$15, $E$9, 100%, $G$9) + CHOOSE(CONTROL!$C$38, 0.0347, 0)</f>
        <v>48.130400000000002</v>
      </c>
      <c r="H745" s="10">
        <f>48.0957 * CHOOSE(CONTROL!$C$15, $E$9, 100%, $G$9) + CHOOSE(CONTROL!$C$38, 0.0347, 0)</f>
        <v>48.130400000000002</v>
      </c>
      <c r="I745" s="10">
        <f>48.0972 * CHOOSE(CONTROL!$C$15, $E$9, 100%, $G$9) + CHOOSE(CONTROL!$C$38, 0.0347, 0)</f>
        <v>48.131900000000002</v>
      </c>
      <c r="J745" s="26">
        <f>383.849</f>
        <v>383.84899999999999</v>
      </c>
    </row>
    <row r="746" spans="1:10" ht="15.75" x14ac:dyDescent="0.25">
      <c r="A746" s="13">
        <v>63644</v>
      </c>
      <c r="B746" s="10">
        <f>51.5239 * CHOOSE(CONTROL!$C$15, $E$9, 100%, $G$9) + CHOOSE(CONTROL!$C$38, 0.0256, 0)</f>
        <v>51.549499999999995</v>
      </c>
      <c r="C746" s="10">
        <f>47.5862 * CHOOSE(CONTROL!$C$15, $E$9, 100%, $G$9) + CHOOSE(CONTROL!$C$38, 0.0347, 0)</f>
        <v>47.620899999999999</v>
      </c>
      <c r="D746" s="10">
        <f>47.5784 * CHOOSE(CONTROL!$C$15, $E$9, 100%, $G$9) + CHOOSE(CONTROL!$C$38, 0.0347, 0)</f>
        <v>47.613100000000003</v>
      </c>
      <c r="E746" s="28">
        <f>51.3676 * CHOOSE(CONTROL!$C$15, $E$9, 100%, $G$9) + CHOOSE(CONTROL!$C$38, 0.0347, 0)</f>
        <v>51.402300000000004</v>
      </c>
      <c r="F746" s="27">
        <f>51.3676 * CHOOSE(CONTROL!$C$15, $E$9, 100%, $G$9) + CHOOSE(CONTROL!$C$38, 0.0256, 0)</f>
        <v>51.3932</v>
      </c>
      <c r="G746" s="10">
        <f>47.5846 * CHOOSE(CONTROL!$C$15, $E$9, 100%, $G$9) + CHOOSE(CONTROL!$C$38, 0.0347, 0)</f>
        <v>47.619300000000003</v>
      </c>
      <c r="H746" s="10">
        <f>47.5846 * CHOOSE(CONTROL!$C$15, $E$9, 100%, $G$9) + CHOOSE(CONTROL!$C$38, 0.0347, 0)</f>
        <v>47.619300000000003</v>
      </c>
      <c r="I746" s="10">
        <f>47.5862 * CHOOSE(CONTROL!$C$15, $E$9, 100%, $G$9) + CHOOSE(CONTROL!$C$38, 0.0347, 0)</f>
        <v>47.620899999999999</v>
      </c>
      <c r="J746" s="26">
        <f>404.08</f>
        <v>404.08</v>
      </c>
    </row>
    <row r="747" spans="1:10" ht="15.75" x14ac:dyDescent="0.25">
      <c r="A747" s="13">
        <v>63674</v>
      </c>
      <c r="B747" s="10">
        <f>51.0287 * CHOOSE(CONTROL!$C$15, $E$9, 100%, $G$9) + CHOOSE(CONTROL!$C$38, 0.0256, 0)</f>
        <v>51.054299999999998</v>
      </c>
      <c r="C747" s="10">
        <f>47.091 * CHOOSE(CONTROL!$C$15, $E$9, 100%, $G$9) + CHOOSE(CONTROL!$C$38, 0.0347, 0)</f>
        <v>47.125700000000002</v>
      </c>
      <c r="D747" s="10">
        <f>47.0832 * CHOOSE(CONTROL!$C$15, $E$9, 100%, $G$9) + CHOOSE(CONTROL!$C$38, 0.0347, 0)</f>
        <v>47.117899999999999</v>
      </c>
      <c r="E747" s="28">
        <f>50.8725 * CHOOSE(CONTROL!$C$15, $E$9, 100%, $G$9) + CHOOSE(CONTROL!$C$38, 0.0347, 0)</f>
        <v>50.907200000000003</v>
      </c>
      <c r="F747" s="27">
        <f>50.8725 * CHOOSE(CONTROL!$C$15, $E$9, 100%, $G$9) + CHOOSE(CONTROL!$C$38, 0.0256, 0)</f>
        <v>50.898099999999999</v>
      </c>
      <c r="G747" s="10">
        <f>47.0894 * CHOOSE(CONTROL!$C$15, $E$9, 100%, $G$9) + CHOOSE(CONTROL!$C$38, 0.0347, 0)</f>
        <v>47.124099999999999</v>
      </c>
      <c r="H747" s="10">
        <f>47.0894 * CHOOSE(CONTROL!$C$15, $E$9, 100%, $G$9) + CHOOSE(CONTROL!$C$38, 0.0347, 0)</f>
        <v>47.124099999999999</v>
      </c>
      <c r="I747" s="10">
        <f>47.091 * CHOOSE(CONTROL!$C$15, $E$9, 100%, $G$9) + CHOOSE(CONTROL!$C$38, 0.0347, 0)</f>
        <v>47.125700000000002</v>
      </c>
      <c r="J747" s="26">
        <f>430.3149</f>
        <v>430.31490000000002</v>
      </c>
    </row>
    <row r="748" spans="1:10" ht="15.75" x14ac:dyDescent="0.25">
      <c r="A748" s="13">
        <v>63705</v>
      </c>
      <c r="B748" s="10">
        <f>50.5126 * CHOOSE(CONTROL!$C$15, $E$9, 100%, $G$9) + CHOOSE(CONTROL!$C$38, 0.0278, 0)</f>
        <v>50.540399999999998</v>
      </c>
      <c r="C748" s="10">
        <f>46.5749 * CHOOSE(CONTROL!$C$15, $E$9, 100%, $G$9) + CHOOSE(CONTROL!$C$38, 0.0369, 0)</f>
        <v>46.611800000000002</v>
      </c>
      <c r="D748" s="10">
        <f>46.5671 * CHOOSE(CONTROL!$C$15, $E$9, 100%, $G$9) + CHOOSE(CONTROL!$C$38, 0.0369, 0)</f>
        <v>46.604000000000006</v>
      </c>
      <c r="E748" s="28">
        <f>50.3563 * CHOOSE(CONTROL!$C$15, $E$9, 100%, $G$9) + CHOOSE(CONTROL!$C$38, 0.0369, 0)</f>
        <v>50.3932</v>
      </c>
      <c r="F748" s="27">
        <f>50.3563 * CHOOSE(CONTROL!$C$15, $E$9, 100%, $G$9) + CHOOSE(CONTROL!$C$38, 0.0278, 0)</f>
        <v>50.384099999999997</v>
      </c>
      <c r="G748" s="10">
        <f>46.5733 * CHOOSE(CONTROL!$C$15, $E$9, 100%, $G$9) + CHOOSE(CONTROL!$C$38, 0.0369, 0)</f>
        <v>46.610200000000006</v>
      </c>
      <c r="H748" s="10">
        <f>46.5733 * CHOOSE(CONTROL!$C$15, $E$9, 100%, $G$9) + CHOOSE(CONTROL!$C$38, 0.0369, 0)</f>
        <v>46.610200000000006</v>
      </c>
      <c r="I748" s="10">
        <f>46.5749 * CHOOSE(CONTROL!$C$15, $E$9, 100%, $G$9) + CHOOSE(CONTROL!$C$38, 0.0369, 0)</f>
        <v>46.611800000000002</v>
      </c>
      <c r="J748" s="26">
        <f>444.7554</f>
        <v>444.75540000000001</v>
      </c>
    </row>
    <row r="749" spans="1:10" ht="15.75" x14ac:dyDescent="0.25">
      <c r="A749" s="13">
        <v>63735</v>
      </c>
      <c r="B749" s="10">
        <f>50.1508 * CHOOSE(CONTROL!$C$15, $E$9, 100%, $G$9) + CHOOSE(CONTROL!$C$38, 0.0278, 0)</f>
        <v>50.178599999999996</v>
      </c>
      <c r="C749" s="10">
        <f>46.2131 * CHOOSE(CONTROL!$C$15, $E$9, 100%, $G$9) + CHOOSE(CONTROL!$C$38, 0.0369, 0)</f>
        <v>46.25</v>
      </c>
      <c r="D749" s="10">
        <f>46.2053 * CHOOSE(CONTROL!$C$15, $E$9, 100%, $G$9) + CHOOSE(CONTROL!$C$38, 0.0369, 0)</f>
        <v>46.242200000000004</v>
      </c>
      <c r="E749" s="28">
        <f>49.9945 * CHOOSE(CONTROL!$C$15, $E$9, 100%, $G$9) + CHOOSE(CONTROL!$C$38, 0.0369, 0)</f>
        <v>50.031400000000005</v>
      </c>
      <c r="F749" s="27">
        <f>49.9945 * CHOOSE(CONTROL!$C$15, $E$9, 100%, $G$9) + CHOOSE(CONTROL!$C$38, 0.0278, 0)</f>
        <v>50.022300000000001</v>
      </c>
      <c r="G749" s="10">
        <f>46.2115 * CHOOSE(CONTROL!$C$15, $E$9, 100%, $G$9) + CHOOSE(CONTROL!$C$38, 0.0369, 0)</f>
        <v>46.248400000000004</v>
      </c>
      <c r="H749" s="10">
        <f>46.2115 * CHOOSE(CONTROL!$C$15, $E$9, 100%, $G$9) + CHOOSE(CONTROL!$C$38, 0.0369, 0)</f>
        <v>46.248400000000004</v>
      </c>
      <c r="I749" s="10">
        <f>46.2131 * CHOOSE(CONTROL!$C$15, $E$9, 100%, $G$9) + CHOOSE(CONTROL!$C$38, 0.0369, 0)</f>
        <v>46.25</v>
      </c>
      <c r="J749" s="26">
        <f>451.1638</f>
        <v>451.16379999999998</v>
      </c>
    </row>
    <row r="750" spans="1:10" ht="15.75" x14ac:dyDescent="0.25">
      <c r="A750" s="13">
        <v>63766</v>
      </c>
      <c r="B750" s="10">
        <f>49.9443 * CHOOSE(CONTROL!$C$15, $E$9, 100%, $G$9) + CHOOSE(CONTROL!$C$38, 0.0278, 0)</f>
        <v>49.972099999999998</v>
      </c>
      <c r="C750" s="10">
        <f>46.0066 * CHOOSE(CONTROL!$C$15, $E$9, 100%, $G$9) + CHOOSE(CONTROL!$C$38, 0.0369, 0)</f>
        <v>46.043500000000002</v>
      </c>
      <c r="D750" s="10">
        <f>45.9988 * CHOOSE(CONTROL!$C$15, $E$9, 100%, $G$9) + CHOOSE(CONTROL!$C$38, 0.0369, 0)</f>
        <v>46.035700000000006</v>
      </c>
      <c r="E750" s="28">
        <f>49.788 * CHOOSE(CONTROL!$C$15, $E$9, 100%, $G$9) + CHOOSE(CONTROL!$C$38, 0.0369, 0)</f>
        <v>49.8249</v>
      </c>
      <c r="F750" s="27">
        <f>49.788 * CHOOSE(CONTROL!$C$15, $E$9, 100%, $G$9) + CHOOSE(CONTROL!$C$38, 0.0278, 0)</f>
        <v>49.815799999999996</v>
      </c>
      <c r="G750" s="10">
        <f>46.005 * CHOOSE(CONTROL!$C$15, $E$9, 100%, $G$9) + CHOOSE(CONTROL!$C$38, 0.0369, 0)</f>
        <v>46.041900000000005</v>
      </c>
      <c r="H750" s="10">
        <f>46.005 * CHOOSE(CONTROL!$C$15, $E$9, 100%, $G$9) + CHOOSE(CONTROL!$C$38, 0.0369, 0)</f>
        <v>46.041900000000005</v>
      </c>
      <c r="I750" s="10">
        <f>46.0066 * CHOOSE(CONTROL!$C$15, $E$9, 100%, $G$9) + CHOOSE(CONTROL!$C$38, 0.0369, 0)</f>
        <v>46.043500000000002</v>
      </c>
      <c r="J750" s="26">
        <f>449.0539</f>
        <v>449.0539</v>
      </c>
    </row>
    <row r="751" spans="1:10" ht="15.75" x14ac:dyDescent="0.25">
      <c r="A751" s="13">
        <v>63797</v>
      </c>
      <c r="B751" s="10">
        <f>50.0462 * CHOOSE(CONTROL!$C$15, $E$9, 100%, $G$9) + CHOOSE(CONTROL!$C$38, 0.0278, 0)</f>
        <v>50.073999999999998</v>
      </c>
      <c r="C751" s="10">
        <f>46.1085 * CHOOSE(CONTROL!$C$15, $E$9, 100%, $G$9) + CHOOSE(CONTROL!$C$38, 0.0369, 0)</f>
        <v>46.145400000000002</v>
      </c>
      <c r="D751" s="10">
        <f>46.1007 * CHOOSE(CONTROL!$C$15, $E$9, 100%, $G$9) + CHOOSE(CONTROL!$C$38, 0.0369, 0)</f>
        <v>46.137600000000006</v>
      </c>
      <c r="E751" s="28">
        <f>49.8899 * CHOOSE(CONTROL!$C$15, $E$9, 100%, $G$9) + CHOOSE(CONTROL!$C$38, 0.0369, 0)</f>
        <v>49.9268</v>
      </c>
      <c r="F751" s="27">
        <f>49.8899 * CHOOSE(CONTROL!$C$15, $E$9, 100%, $G$9) + CHOOSE(CONTROL!$C$38, 0.0278, 0)</f>
        <v>49.917699999999996</v>
      </c>
      <c r="G751" s="10">
        <f>46.1069 * CHOOSE(CONTROL!$C$15, $E$9, 100%, $G$9) + CHOOSE(CONTROL!$C$38, 0.0369, 0)</f>
        <v>46.143800000000006</v>
      </c>
      <c r="H751" s="10">
        <f>46.1069 * CHOOSE(CONTROL!$C$15, $E$9, 100%, $G$9) + CHOOSE(CONTROL!$C$38, 0.0369, 0)</f>
        <v>46.143800000000006</v>
      </c>
      <c r="I751" s="10">
        <f>46.1085 * CHOOSE(CONTROL!$C$15, $E$9, 100%, $G$9) + CHOOSE(CONTROL!$C$38, 0.0369, 0)</f>
        <v>46.145400000000002</v>
      </c>
      <c r="J751" s="26">
        <f>438.6001</f>
        <v>438.6001</v>
      </c>
    </row>
    <row r="752" spans="1:10" ht="15.75" x14ac:dyDescent="0.25">
      <c r="A752" s="13">
        <v>63827</v>
      </c>
      <c r="B752" s="10">
        <f>50.323 * CHOOSE(CONTROL!$C$15, $E$9, 100%, $G$9) + CHOOSE(CONTROL!$C$38, 0.0278, 0)</f>
        <v>50.3508</v>
      </c>
      <c r="C752" s="10">
        <f>46.3853 * CHOOSE(CONTROL!$C$15, $E$9, 100%, $G$9) + CHOOSE(CONTROL!$C$38, 0.0369, 0)</f>
        <v>46.422200000000004</v>
      </c>
      <c r="D752" s="10">
        <f>46.3775 * CHOOSE(CONTROL!$C$15, $E$9, 100%, $G$9) + CHOOSE(CONTROL!$C$38, 0.0369, 0)</f>
        <v>46.414400000000001</v>
      </c>
      <c r="E752" s="28">
        <f>50.1667 * CHOOSE(CONTROL!$C$15, $E$9, 100%, $G$9) + CHOOSE(CONTROL!$C$38, 0.0369, 0)</f>
        <v>50.203600000000002</v>
      </c>
      <c r="F752" s="27">
        <f>50.1667 * CHOOSE(CONTROL!$C$15, $E$9, 100%, $G$9) + CHOOSE(CONTROL!$C$38, 0.0278, 0)</f>
        <v>50.194499999999998</v>
      </c>
      <c r="G752" s="10">
        <f>46.3837 * CHOOSE(CONTROL!$C$15, $E$9, 100%, $G$9) + CHOOSE(CONTROL!$C$38, 0.0369, 0)</f>
        <v>46.4206</v>
      </c>
      <c r="H752" s="10">
        <f>46.3837 * CHOOSE(CONTROL!$C$15, $E$9, 100%, $G$9) + CHOOSE(CONTROL!$C$38, 0.0369, 0)</f>
        <v>46.4206</v>
      </c>
      <c r="I752" s="10">
        <f>46.3853 * CHOOSE(CONTROL!$C$15, $E$9, 100%, $G$9) + CHOOSE(CONTROL!$C$38, 0.0369, 0)</f>
        <v>46.422200000000004</v>
      </c>
      <c r="J752" s="26">
        <f>424.0218</f>
        <v>424.02179999999998</v>
      </c>
    </row>
    <row r="753" spans="1:10" ht="15.75" x14ac:dyDescent="0.25">
      <c r="A753" s="13">
        <v>63858</v>
      </c>
      <c r="B753" s="10">
        <f>50.5548 * CHOOSE(CONTROL!$C$15, $E$9, 100%, $G$9) + CHOOSE(CONTROL!$C$38, 0.0256, 0)</f>
        <v>50.580399999999997</v>
      </c>
      <c r="C753" s="10">
        <f>46.6171 * CHOOSE(CONTROL!$C$15, $E$9, 100%, $G$9) + CHOOSE(CONTROL!$C$38, 0.0347, 0)</f>
        <v>46.651800000000001</v>
      </c>
      <c r="D753" s="10">
        <f>46.6093 * CHOOSE(CONTROL!$C$15, $E$9, 100%, $G$9) + CHOOSE(CONTROL!$C$38, 0.0347, 0)</f>
        <v>46.643999999999998</v>
      </c>
      <c r="E753" s="28">
        <f>50.3986 * CHOOSE(CONTROL!$C$15, $E$9, 100%, $G$9) + CHOOSE(CONTROL!$C$38, 0.0347, 0)</f>
        <v>50.433300000000003</v>
      </c>
      <c r="F753" s="27">
        <f>50.3986 * CHOOSE(CONTROL!$C$15, $E$9, 100%, $G$9) + CHOOSE(CONTROL!$C$38, 0.0256, 0)</f>
        <v>50.424199999999999</v>
      </c>
      <c r="G753" s="10">
        <f>46.6155 * CHOOSE(CONTROL!$C$15, $E$9, 100%, $G$9) + CHOOSE(CONTROL!$C$38, 0.0347, 0)</f>
        <v>46.650199999999998</v>
      </c>
      <c r="H753" s="10">
        <f>46.6155 * CHOOSE(CONTROL!$C$15, $E$9, 100%, $G$9) + CHOOSE(CONTROL!$C$38, 0.0347, 0)</f>
        <v>46.650199999999998</v>
      </c>
      <c r="I753" s="10">
        <f>46.6171 * CHOOSE(CONTROL!$C$15, $E$9, 100%, $G$9) + CHOOSE(CONTROL!$C$38, 0.0347, 0)</f>
        <v>46.651800000000001</v>
      </c>
      <c r="J753" s="26">
        <f>409.3587</f>
        <v>409.3587</v>
      </c>
    </row>
    <row r="754" spans="1:10" ht="15.75" x14ac:dyDescent="0.25">
      <c r="A754" s="13">
        <v>63888</v>
      </c>
      <c r="B754" s="10">
        <f>50.7482 * CHOOSE(CONTROL!$C$15, $E$9, 100%, $G$9) + CHOOSE(CONTROL!$C$38, 0.0256, 0)</f>
        <v>50.773799999999994</v>
      </c>
      <c r="C754" s="10">
        <f>46.8105 * CHOOSE(CONTROL!$C$15, $E$9, 100%, $G$9) + CHOOSE(CONTROL!$C$38, 0.0347, 0)</f>
        <v>46.845199999999998</v>
      </c>
      <c r="D754" s="10">
        <f>46.8027 * CHOOSE(CONTROL!$C$15, $E$9, 100%, $G$9) + CHOOSE(CONTROL!$C$38, 0.0347, 0)</f>
        <v>46.837400000000002</v>
      </c>
      <c r="E754" s="28">
        <f>50.592 * CHOOSE(CONTROL!$C$15, $E$9, 100%, $G$9) + CHOOSE(CONTROL!$C$38, 0.0347, 0)</f>
        <v>50.6267</v>
      </c>
      <c r="F754" s="27">
        <f>50.592 * CHOOSE(CONTROL!$C$15, $E$9, 100%, $G$9) + CHOOSE(CONTROL!$C$38, 0.0256, 0)</f>
        <v>50.617599999999996</v>
      </c>
      <c r="G754" s="10">
        <f>46.809 * CHOOSE(CONTROL!$C$15, $E$9, 100%, $G$9) + CHOOSE(CONTROL!$C$38, 0.0347, 0)</f>
        <v>46.843699999999998</v>
      </c>
      <c r="H754" s="10">
        <f>46.809 * CHOOSE(CONTROL!$C$15, $E$9, 100%, $G$9) + CHOOSE(CONTROL!$C$38, 0.0347, 0)</f>
        <v>46.843699999999998</v>
      </c>
      <c r="I754" s="10">
        <f>46.8105 * CHOOSE(CONTROL!$C$15, $E$9, 100%, $G$9) + CHOOSE(CONTROL!$C$38, 0.0347, 0)</f>
        <v>46.845199999999998</v>
      </c>
      <c r="J754" s="26">
        <f>406.4419</f>
        <v>406.44189999999998</v>
      </c>
    </row>
    <row r="755" spans="1:10" ht="15.75" x14ac:dyDescent="0.25">
      <c r="A755" s="13">
        <v>63919</v>
      </c>
      <c r="B755" s="10">
        <f>51.3443 * CHOOSE(CONTROL!$C$15, $E$9, 100%, $G$9) + CHOOSE(CONTROL!$C$38, 0.0256, 0)</f>
        <v>51.369899999999994</v>
      </c>
      <c r="C755" s="10">
        <f>47.4066 * CHOOSE(CONTROL!$C$15, $E$9, 100%, $G$9) + CHOOSE(CONTROL!$C$38, 0.0347, 0)</f>
        <v>47.441299999999998</v>
      </c>
      <c r="D755" s="10">
        <f>47.3988 * CHOOSE(CONTROL!$C$15, $E$9, 100%, $G$9) + CHOOSE(CONTROL!$C$38, 0.0347, 0)</f>
        <v>47.433500000000002</v>
      </c>
      <c r="E755" s="28">
        <f>51.1881 * CHOOSE(CONTROL!$C$15, $E$9, 100%, $G$9) + CHOOSE(CONTROL!$C$38, 0.0347, 0)</f>
        <v>51.222799999999999</v>
      </c>
      <c r="F755" s="27">
        <f>51.1881 * CHOOSE(CONTROL!$C$15, $E$9, 100%, $G$9) + CHOOSE(CONTROL!$C$38, 0.0256, 0)</f>
        <v>51.213699999999996</v>
      </c>
      <c r="G755" s="10">
        <f>47.4051 * CHOOSE(CONTROL!$C$15, $E$9, 100%, $G$9) + CHOOSE(CONTROL!$C$38, 0.0347, 0)</f>
        <v>47.439799999999998</v>
      </c>
      <c r="H755" s="10">
        <f>47.4051 * CHOOSE(CONTROL!$C$15, $E$9, 100%, $G$9) + CHOOSE(CONTROL!$C$38, 0.0347, 0)</f>
        <v>47.439799999999998</v>
      </c>
      <c r="I755" s="10">
        <f>47.4066 * CHOOSE(CONTROL!$C$15, $E$9, 100%, $G$9) + CHOOSE(CONTROL!$C$38, 0.0347, 0)</f>
        <v>47.441299999999998</v>
      </c>
      <c r="J755" s="26">
        <f>394.3807</f>
        <v>394.38069999999999</v>
      </c>
    </row>
    <row r="756" spans="1:10" ht="15.75" x14ac:dyDescent="0.25">
      <c r="A756" s="13">
        <v>63950</v>
      </c>
      <c r="B756" s="10">
        <f>52.6375 * CHOOSE(CONTROL!$C$15, $E$9, 100%, $G$9) + CHOOSE(CONTROL!$C$38, 0.0256, 0)</f>
        <v>52.6631</v>
      </c>
      <c r="C756" s="10">
        <f>48.6378 * CHOOSE(CONTROL!$C$15, $E$9, 100%, $G$9) + CHOOSE(CONTROL!$C$38, 0.0347, 0)</f>
        <v>48.672499999999999</v>
      </c>
      <c r="D756" s="10">
        <f>48.63 * CHOOSE(CONTROL!$C$15, $E$9, 100%, $G$9) + CHOOSE(CONTROL!$C$38, 0.0347, 0)</f>
        <v>48.664700000000003</v>
      </c>
      <c r="E756" s="28">
        <f>52.4812 * CHOOSE(CONTROL!$C$15, $E$9, 100%, $G$9) + CHOOSE(CONTROL!$C$38, 0.0347, 0)</f>
        <v>52.515900000000002</v>
      </c>
      <c r="F756" s="27">
        <f>52.4812 * CHOOSE(CONTROL!$C$15, $E$9, 100%, $G$9) + CHOOSE(CONTROL!$C$38, 0.0256, 0)</f>
        <v>52.506799999999998</v>
      </c>
      <c r="G756" s="10">
        <f>48.6362 * CHOOSE(CONTROL!$C$15, $E$9, 100%, $G$9) + CHOOSE(CONTROL!$C$38, 0.0347, 0)</f>
        <v>48.670900000000003</v>
      </c>
      <c r="H756" s="10">
        <f>48.6362 * CHOOSE(CONTROL!$C$15, $E$9, 100%, $G$9) + CHOOSE(CONTROL!$C$38, 0.0347, 0)</f>
        <v>48.670900000000003</v>
      </c>
      <c r="I756" s="10">
        <f>48.6378 * CHOOSE(CONTROL!$C$15, $E$9, 100%, $G$9) + CHOOSE(CONTROL!$C$38, 0.0347, 0)</f>
        <v>48.672499999999999</v>
      </c>
      <c r="J756" s="26">
        <f>393.6275</f>
        <v>393.6275</v>
      </c>
    </row>
    <row r="757" spans="1:10" ht="15.75" x14ac:dyDescent="0.25">
      <c r="A757" s="13">
        <v>63978</v>
      </c>
      <c r="B757" s="10">
        <f>52.8583 * CHOOSE(CONTROL!$C$15, $E$9, 100%, $G$9) + CHOOSE(CONTROL!$C$38, 0.0256, 0)</f>
        <v>52.883899999999997</v>
      </c>
      <c r="C757" s="10">
        <f>48.8586 * CHOOSE(CONTROL!$C$15, $E$9, 100%, $G$9) + CHOOSE(CONTROL!$C$38, 0.0347, 0)</f>
        <v>48.893300000000004</v>
      </c>
      <c r="D757" s="10">
        <f>48.8508 * CHOOSE(CONTROL!$C$15, $E$9, 100%, $G$9) + CHOOSE(CONTROL!$C$38, 0.0347, 0)</f>
        <v>48.8855</v>
      </c>
      <c r="E757" s="28">
        <f>52.702 * CHOOSE(CONTROL!$C$15, $E$9, 100%, $G$9) + CHOOSE(CONTROL!$C$38, 0.0347, 0)</f>
        <v>52.736699999999999</v>
      </c>
      <c r="F757" s="27">
        <f>52.702 * CHOOSE(CONTROL!$C$15, $E$9, 100%, $G$9) + CHOOSE(CONTROL!$C$38, 0.0256, 0)</f>
        <v>52.727599999999995</v>
      </c>
      <c r="G757" s="10">
        <f>48.857 * CHOOSE(CONTROL!$C$15, $E$9, 100%, $G$9) + CHOOSE(CONTROL!$C$38, 0.0347, 0)</f>
        <v>48.8917</v>
      </c>
      <c r="H757" s="10">
        <f>48.857 * CHOOSE(CONTROL!$C$15, $E$9, 100%, $G$9) + CHOOSE(CONTROL!$C$38, 0.0347, 0)</f>
        <v>48.8917</v>
      </c>
      <c r="I757" s="10">
        <f>48.8586 * CHOOSE(CONTROL!$C$15, $E$9, 100%, $G$9) + CHOOSE(CONTROL!$C$38, 0.0347, 0)</f>
        <v>48.893300000000004</v>
      </c>
      <c r="J757" s="26">
        <f>392.5333</f>
        <v>392.5333</v>
      </c>
    </row>
    <row r="758" spans="1:10" ht="15.75" x14ac:dyDescent="0.25">
      <c r="A758" s="13">
        <v>64009</v>
      </c>
      <c r="B758" s="10">
        <f>52.3472 * CHOOSE(CONTROL!$C$15, $E$9, 100%, $G$9) + CHOOSE(CONTROL!$C$38, 0.0256, 0)</f>
        <v>52.372799999999998</v>
      </c>
      <c r="C758" s="10">
        <f>48.3475 * CHOOSE(CONTROL!$C$15, $E$9, 100%, $G$9) + CHOOSE(CONTROL!$C$38, 0.0347, 0)</f>
        <v>48.382199999999997</v>
      </c>
      <c r="D758" s="10">
        <f>48.3397 * CHOOSE(CONTROL!$C$15, $E$9, 100%, $G$9) + CHOOSE(CONTROL!$C$38, 0.0347, 0)</f>
        <v>48.374400000000001</v>
      </c>
      <c r="E758" s="28">
        <f>52.191 * CHOOSE(CONTROL!$C$15, $E$9, 100%, $G$9) + CHOOSE(CONTROL!$C$38, 0.0347, 0)</f>
        <v>52.225700000000003</v>
      </c>
      <c r="F758" s="27">
        <f>52.191 * CHOOSE(CONTROL!$C$15, $E$9, 100%, $G$9) + CHOOSE(CONTROL!$C$38, 0.0256, 0)</f>
        <v>52.2166</v>
      </c>
      <c r="G758" s="10">
        <f>48.346 * CHOOSE(CONTROL!$C$15, $E$9, 100%, $G$9) + CHOOSE(CONTROL!$C$38, 0.0347, 0)</f>
        <v>48.380699999999997</v>
      </c>
      <c r="H758" s="10">
        <f>48.346 * CHOOSE(CONTROL!$C$15, $E$9, 100%, $G$9) + CHOOSE(CONTROL!$C$38, 0.0347, 0)</f>
        <v>48.380699999999997</v>
      </c>
      <c r="I758" s="10">
        <f>48.3475 * CHOOSE(CONTROL!$C$15, $E$9, 100%, $G$9) + CHOOSE(CONTROL!$C$38, 0.0347, 0)</f>
        <v>48.382199999999997</v>
      </c>
      <c r="J758" s="26">
        <f>413.2221</f>
        <v>413.22210000000001</v>
      </c>
    </row>
    <row r="759" spans="1:10" ht="15.75" x14ac:dyDescent="0.25">
      <c r="A759" s="13">
        <v>64039</v>
      </c>
      <c r="B759" s="10">
        <f>51.852 * CHOOSE(CONTROL!$C$15, $E$9, 100%, $G$9) + CHOOSE(CONTROL!$C$38, 0.0256, 0)</f>
        <v>51.877599999999994</v>
      </c>
      <c r="C759" s="10">
        <f>47.8524 * CHOOSE(CONTROL!$C$15, $E$9, 100%, $G$9) + CHOOSE(CONTROL!$C$38, 0.0347, 0)</f>
        <v>47.887100000000004</v>
      </c>
      <c r="D759" s="10">
        <f>47.8445 * CHOOSE(CONTROL!$C$15, $E$9, 100%, $G$9) + CHOOSE(CONTROL!$C$38, 0.0347, 0)</f>
        <v>47.879199999999997</v>
      </c>
      <c r="E759" s="28">
        <f>51.6958 * CHOOSE(CONTROL!$C$15, $E$9, 100%, $G$9) + CHOOSE(CONTROL!$C$38, 0.0347, 0)</f>
        <v>51.730499999999999</v>
      </c>
      <c r="F759" s="27">
        <f>51.6958 * CHOOSE(CONTROL!$C$15, $E$9, 100%, $G$9) + CHOOSE(CONTROL!$C$38, 0.0256, 0)</f>
        <v>51.721399999999996</v>
      </c>
      <c r="G759" s="10">
        <f>47.8508 * CHOOSE(CONTROL!$C$15, $E$9, 100%, $G$9) + CHOOSE(CONTROL!$C$38, 0.0347, 0)</f>
        <v>47.8855</v>
      </c>
      <c r="H759" s="10">
        <f>47.8508 * CHOOSE(CONTROL!$C$15, $E$9, 100%, $G$9) + CHOOSE(CONTROL!$C$38, 0.0347, 0)</f>
        <v>47.8855</v>
      </c>
      <c r="I759" s="10">
        <f>47.8524 * CHOOSE(CONTROL!$C$15, $E$9, 100%, $G$9) + CHOOSE(CONTROL!$C$38, 0.0347, 0)</f>
        <v>47.887100000000004</v>
      </c>
      <c r="J759" s="26">
        <f>440.0505</f>
        <v>440.0505</v>
      </c>
    </row>
    <row r="760" spans="1:10" ht="15.75" x14ac:dyDescent="0.25">
      <c r="A760" s="13">
        <v>64070</v>
      </c>
      <c r="B760" s="10">
        <f>51.3359 * CHOOSE(CONTROL!$C$15, $E$9, 100%, $G$9) + CHOOSE(CONTROL!$C$38, 0.0278, 0)</f>
        <v>51.363700000000001</v>
      </c>
      <c r="C760" s="10">
        <f>47.3362 * CHOOSE(CONTROL!$C$15, $E$9, 100%, $G$9) + CHOOSE(CONTROL!$C$38, 0.0369, 0)</f>
        <v>47.373100000000001</v>
      </c>
      <c r="D760" s="10">
        <f>47.3284 * CHOOSE(CONTROL!$C$15, $E$9, 100%, $G$9) + CHOOSE(CONTROL!$C$38, 0.0369, 0)</f>
        <v>47.365300000000005</v>
      </c>
      <c r="E760" s="28">
        <f>51.1797 * CHOOSE(CONTROL!$C$15, $E$9, 100%, $G$9) + CHOOSE(CONTROL!$C$38, 0.0369, 0)</f>
        <v>51.2166</v>
      </c>
      <c r="F760" s="27">
        <f>51.1797 * CHOOSE(CONTROL!$C$15, $E$9, 100%, $G$9) + CHOOSE(CONTROL!$C$38, 0.0278, 0)</f>
        <v>51.207499999999996</v>
      </c>
      <c r="G760" s="10">
        <f>47.3347 * CHOOSE(CONTROL!$C$15, $E$9, 100%, $G$9) + CHOOSE(CONTROL!$C$38, 0.0369, 0)</f>
        <v>47.371600000000001</v>
      </c>
      <c r="H760" s="10">
        <f>47.3347 * CHOOSE(CONTROL!$C$15, $E$9, 100%, $G$9) + CHOOSE(CONTROL!$C$38, 0.0369, 0)</f>
        <v>47.371600000000001</v>
      </c>
      <c r="I760" s="10">
        <f>47.3362 * CHOOSE(CONTROL!$C$15, $E$9, 100%, $G$9) + CHOOSE(CONTROL!$C$38, 0.0369, 0)</f>
        <v>47.373100000000001</v>
      </c>
      <c r="J760" s="26">
        <f>454.8177</f>
        <v>454.8177</v>
      </c>
    </row>
    <row r="761" spans="1:10" ht="15.75" x14ac:dyDescent="0.25">
      <c r="A761" s="13">
        <v>64100</v>
      </c>
      <c r="B761" s="10">
        <f>50.9741 * CHOOSE(CONTROL!$C$15, $E$9, 100%, $G$9) + CHOOSE(CONTROL!$C$38, 0.0278, 0)</f>
        <v>51.001899999999999</v>
      </c>
      <c r="C761" s="10">
        <f>46.9744 * CHOOSE(CONTROL!$C$15, $E$9, 100%, $G$9) + CHOOSE(CONTROL!$C$38, 0.0369, 0)</f>
        <v>47.011300000000006</v>
      </c>
      <c r="D761" s="10">
        <f>46.9666 * CHOOSE(CONTROL!$C$15, $E$9, 100%, $G$9) + CHOOSE(CONTROL!$C$38, 0.0369, 0)</f>
        <v>47.003500000000003</v>
      </c>
      <c r="E761" s="28">
        <f>50.8179 * CHOOSE(CONTROL!$C$15, $E$9, 100%, $G$9) + CHOOSE(CONTROL!$C$38, 0.0369, 0)</f>
        <v>50.854800000000004</v>
      </c>
      <c r="F761" s="27">
        <f>50.8179 * CHOOSE(CONTROL!$C$15, $E$9, 100%, $G$9) + CHOOSE(CONTROL!$C$38, 0.0278, 0)</f>
        <v>50.845700000000001</v>
      </c>
      <c r="G761" s="10">
        <f>46.9728 * CHOOSE(CONTROL!$C$15, $E$9, 100%, $G$9) + CHOOSE(CONTROL!$C$38, 0.0369, 0)</f>
        <v>47.009700000000002</v>
      </c>
      <c r="H761" s="10">
        <f>46.9728 * CHOOSE(CONTROL!$C$15, $E$9, 100%, $G$9) + CHOOSE(CONTROL!$C$38, 0.0369, 0)</f>
        <v>47.009700000000002</v>
      </c>
      <c r="I761" s="10">
        <f>46.9744 * CHOOSE(CONTROL!$C$15, $E$9, 100%, $G$9) + CHOOSE(CONTROL!$C$38, 0.0369, 0)</f>
        <v>47.011300000000006</v>
      </c>
      <c r="J761" s="26">
        <f>461.3712</f>
        <v>461.37119999999999</v>
      </c>
    </row>
    <row r="762" spans="1:10" ht="15.75" x14ac:dyDescent="0.25">
      <c r="A762" s="13">
        <v>64131</v>
      </c>
      <c r="B762" s="10">
        <f>50.7676 * CHOOSE(CONTROL!$C$15, $E$9, 100%, $G$9) + CHOOSE(CONTROL!$C$38, 0.0278, 0)</f>
        <v>50.795400000000001</v>
      </c>
      <c r="C762" s="10">
        <f>46.7679 * CHOOSE(CONTROL!$C$15, $E$9, 100%, $G$9) + CHOOSE(CONTROL!$C$38, 0.0369, 0)</f>
        <v>46.8048</v>
      </c>
      <c r="D762" s="10">
        <f>46.7601 * CHOOSE(CONTROL!$C$15, $E$9, 100%, $G$9) + CHOOSE(CONTROL!$C$38, 0.0369, 0)</f>
        <v>46.797000000000004</v>
      </c>
      <c r="E762" s="28">
        <f>50.6114 * CHOOSE(CONTROL!$C$15, $E$9, 100%, $G$9) + CHOOSE(CONTROL!$C$38, 0.0369, 0)</f>
        <v>50.648300000000006</v>
      </c>
      <c r="F762" s="27">
        <f>50.6114 * CHOOSE(CONTROL!$C$15, $E$9, 100%, $G$9) + CHOOSE(CONTROL!$C$38, 0.0278, 0)</f>
        <v>50.639200000000002</v>
      </c>
      <c r="G762" s="10">
        <f>46.7664 * CHOOSE(CONTROL!$C$15, $E$9, 100%, $G$9) + CHOOSE(CONTROL!$C$38, 0.0369, 0)</f>
        <v>46.8033</v>
      </c>
      <c r="H762" s="10">
        <f>46.7664 * CHOOSE(CONTROL!$C$15, $E$9, 100%, $G$9) + CHOOSE(CONTROL!$C$38, 0.0369, 0)</f>
        <v>46.8033</v>
      </c>
      <c r="I762" s="10">
        <f>46.7679 * CHOOSE(CONTROL!$C$15, $E$9, 100%, $G$9) + CHOOSE(CONTROL!$C$38, 0.0369, 0)</f>
        <v>46.8048</v>
      </c>
      <c r="J762" s="26">
        <f>459.2135</f>
        <v>459.21350000000001</v>
      </c>
    </row>
    <row r="763" spans="1:10" ht="15.75" x14ac:dyDescent="0.25">
      <c r="A763" s="13">
        <v>64162</v>
      </c>
      <c r="B763" s="10">
        <f>50.8695 * CHOOSE(CONTROL!$C$15, $E$9, 100%, $G$9) + CHOOSE(CONTROL!$C$38, 0.0278, 0)</f>
        <v>50.897300000000001</v>
      </c>
      <c r="C763" s="10">
        <f>46.8698 * CHOOSE(CONTROL!$C$15, $E$9, 100%, $G$9) + CHOOSE(CONTROL!$C$38, 0.0369, 0)</f>
        <v>46.906700000000001</v>
      </c>
      <c r="D763" s="10">
        <f>46.862 * CHOOSE(CONTROL!$C$15, $E$9, 100%, $G$9) + CHOOSE(CONTROL!$C$38, 0.0369, 0)</f>
        <v>46.898900000000005</v>
      </c>
      <c r="E763" s="28">
        <f>50.7133 * CHOOSE(CONTROL!$C$15, $E$9, 100%, $G$9) + CHOOSE(CONTROL!$C$38, 0.0369, 0)</f>
        <v>50.7502</v>
      </c>
      <c r="F763" s="27">
        <f>50.7133 * CHOOSE(CONTROL!$C$15, $E$9, 100%, $G$9) + CHOOSE(CONTROL!$C$38, 0.0278, 0)</f>
        <v>50.741099999999996</v>
      </c>
      <c r="G763" s="10">
        <f>46.8683 * CHOOSE(CONTROL!$C$15, $E$9, 100%, $G$9) + CHOOSE(CONTROL!$C$38, 0.0369, 0)</f>
        <v>46.905200000000001</v>
      </c>
      <c r="H763" s="10">
        <f>46.8683 * CHOOSE(CONTROL!$C$15, $E$9, 100%, $G$9) + CHOOSE(CONTROL!$C$38, 0.0369, 0)</f>
        <v>46.905200000000001</v>
      </c>
      <c r="I763" s="10">
        <f>46.8698 * CHOOSE(CONTROL!$C$15, $E$9, 100%, $G$9) + CHOOSE(CONTROL!$C$38, 0.0369, 0)</f>
        <v>46.906700000000001</v>
      </c>
      <c r="J763" s="26">
        <f>448.5232</f>
        <v>448.52319999999997</v>
      </c>
    </row>
    <row r="764" spans="1:10" ht="15.75" x14ac:dyDescent="0.25">
      <c r="A764" s="13">
        <v>64192</v>
      </c>
      <c r="B764" s="10">
        <f>51.1463 * CHOOSE(CONTROL!$C$15, $E$9, 100%, $G$9) + CHOOSE(CONTROL!$C$38, 0.0278, 0)</f>
        <v>51.174099999999996</v>
      </c>
      <c r="C764" s="10">
        <f>47.1466 * CHOOSE(CONTROL!$C$15, $E$9, 100%, $G$9) + CHOOSE(CONTROL!$C$38, 0.0369, 0)</f>
        <v>47.183500000000002</v>
      </c>
      <c r="D764" s="10">
        <f>47.1388 * CHOOSE(CONTROL!$C$15, $E$9, 100%, $G$9) + CHOOSE(CONTROL!$C$38, 0.0369, 0)</f>
        <v>47.175700000000006</v>
      </c>
      <c r="E764" s="28">
        <f>50.9901 * CHOOSE(CONTROL!$C$15, $E$9, 100%, $G$9) + CHOOSE(CONTROL!$C$38, 0.0369, 0)</f>
        <v>51.027000000000001</v>
      </c>
      <c r="F764" s="27">
        <f>50.9901 * CHOOSE(CONTROL!$C$15, $E$9, 100%, $G$9) + CHOOSE(CONTROL!$C$38, 0.0278, 0)</f>
        <v>51.017899999999997</v>
      </c>
      <c r="G764" s="10">
        <f>47.1451 * CHOOSE(CONTROL!$C$15, $E$9, 100%, $G$9) + CHOOSE(CONTROL!$C$38, 0.0369, 0)</f>
        <v>47.182000000000002</v>
      </c>
      <c r="H764" s="10">
        <f>47.1451 * CHOOSE(CONTROL!$C$15, $E$9, 100%, $G$9) + CHOOSE(CONTROL!$C$38, 0.0369, 0)</f>
        <v>47.182000000000002</v>
      </c>
      <c r="I764" s="10">
        <f>47.1466 * CHOOSE(CONTROL!$C$15, $E$9, 100%, $G$9) + CHOOSE(CONTROL!$C$38, 0.0369, 0)</f>
        <v>47.183500000000002</v>
      </c>
      <c r="J764" s="26">
        <f>433.615</f>
        <v>433.61500000000001</v>
      </c>
    </row>
    <row r="765" spans="1:10" ht="15.75" x14ac:dyDescent="0.25">
      <c r="A765" s="13">
        <v>64223</v>
      </c>
      <c r="B765" s="10">
        <f>51.3781 * CHOOSE(CONTROL!$C$15, $E$9, 100%, $G$9) + CHOOSE(CONTROL!$C$38, 0.0256, 0)</f>
        <v>51.403700000000001</v>
      </c>
      <c r="C765" s="10">
        <f>47.3784 * CHOOSE(CONTROL!$C$15, $E$9, 100%, $G$9) + CHOOSE(CONTROL!$C$38, 0.0347, 0)</f>
        <v>47.4131</v>
      </c>
      <c r="D765" s="10">
        <f>47.3706 * CHOOSE(CONTROL!$C$15, $E$9, 100%, $G$9) + CHOOSE(CONTROL!$C$38, 0.0347, 0)</f>
        <v>47.405300000000004</v>
      </c>
      <c r="E765" s="28">
        <f>51.2219 * CHOOSE(CONTROL!$C$15, $E$9, 100%, $G$9) + CHOOSE(CONTROL!$C$38, 0.0347, 0)</f>
        <v>51.256599999999999</v>
      </c>
      <c r="F765" s="27">
        <f>51.2219 * CHOOSE(CONTROL!$C$15, $E$9, 100%, $G$9) + CHOOSE(CONTROL!$C$38, 0.0256, 0)</f>
        <v>51.247499999999995</v>
      </c>
      <c r="G765" s="10">
        <f>47.3769 * CHOOSE(CONTROL!$C$15, $E$9, 100%, $G$9) + CHOOSE(CONTROL!$C$38, 0.0347, 0)</f>
        <v>47.4116</v>
      </c>
      <c r="H765" s="10">
        <f>47.3769 * CHOOSE(CONTROL!$C$15, $E$9, 100%, $G$9) + CHOOSE(CONTROL!$C$38, 0.0347, 0)</f>
        <v>47.4116</v>
      </c>
      <c r="I765" s="10">
        <f>47.3784 * CHOOSE(CONTROL!$C$15, $E$9, 100%, $G$9) + CHOOSE(CONTROL!$C$38, 0.0347, 0)</f>
        <v>47.4131</v>
      </c>
      <c r="J765" s="26">
        <f>418.6202</f>
        <v>418.62020000000001</v>
      </c>
    </row>
    <row r="766" spans="1:10" ht="15.75" x14ac:dyDescent="0.25">
      <c r="A766" s="13">
        <v>64253</v>
      </c>
      <c r="B766" s="10">
        <f>51.5716 * CHOOSE(CONTROL!$C$15, $E$9, 100%, $G$9) + CHOOSE(CONTROL!$C$38, 0.0256, 0)</f>
        <v>51.597199999999994</v>
      </c>
      <c r="C766" s="10">
        <f>47.5719 * CHOOSE(CONTROL!$C$15, $E$9, 100%, $G$9) + CHOOSE(CONTROL!$C$38, 0.0347, 0)</f>
        <v>47.6066</v>
      </c>
      <c r="D766" s="10">
        <f>47.5641 * CHOOSE(CONTROL!$C$15, $E$9, 100%, $G$9) + CHOOSE(CONTROL!$C$38, 0.0347, 0)</f>
        <v>47.598800000000004</v>
      </c>
      <c r="E766" s="28">
        <f>51.4153 * CHOOSE(CONTROL!$C$15, $E$9, 100%, $G$9) + CHOOSE(CONTROL!$C$38, 0.0347, 0)</f>
        <v>51.45</v>
      </c>
      <c r="F766" s="27">
        <f>51.4153 * CHOOSE(CONTROL!$C$15, $E$9, 100%, $G$9) + CHOOSE(CONTROL!$C$38, 0.0256, 0)</f>
        <v>51.440899999999999</v>
      </c>
      <c r="G766" s="10">
        <f>47.5703 * CHOOSE(CONTROL!$C$15, $E$9, 100%, $G$9) + CHOOSE(CONTROL!$C$38, 0.0347, 0)</f>
        <v>47.605000000000004</v>
      </c>
      <c r="H766" s="10">
        <f>47.5703 * CHOOSE(CONTROL!$C$15, $E$9, 100%, $G$9) + CHOOSE(CONTROL!$C$38, 0.0347, 0)</f>
        <v>47.605000000000004</v>
      </c>
      <c r="I766" s="10">
        <f>47.5719 * CHOOSE(CONTROL!$C$15, $E$9, 100%, $G$9) + CHOOSE(CONTROL!$C$38, 0.0347, 0)</f>
        <v>47.6066</v>
      </c>
      <c r="J766" s="26">
        <f>415.6374</f>
        <v>415.63740000000001</v>
      </c>
    </row>
    <row r="767" spans="1:10" ht="15.75" x14ac:dyDescent="0.25">
      <c r="A767" s="13">
        <v>64284</v>
      </c>
      <c r="B767" s="10">
        <f>52.1677 * CHOOSE(CONTROL!$C$15, $E$9, 100%, $G$9) + CHOOSE(CONTROL!$C$38, 0.0256, 0)</f>
        <v>52.193300000000001</v>
      </c>
      <c r="C767" s="10">
        <f>48.168 * CHOOSE(CONTROL!$C$15, $E$9, 100%, $G$9) + CHOOSE(CONTROL!$C$38, 0.0347, 0)</f>
        <v>48.2027</v>
      </c>
      <c r="D767" s="10">
        <f>48.1601 * CHOOSE(CONTROL!$C$15, $E$9, 100%, $G$9) + CHOOSE(CONTROL!$C$38, 0.0347, 0)</f>
        <v>48.194800000000001</v>
      </c>
      <c r="E767" s="28">
        <f>52.0114 * CHOOSE(CONTROL!$C$15, $E$9, 100%, $G$9) + CHOOSE(CONTROL!$C$38, 0.0347, 0)</f>
        <v>52.046100000000003</v>
      </c>
      <c r="F767" s="27">
        <f>52.0114 * CHOOSE(CONTROL!$C$15, $E$9, 100%, $G$9) + CHOOSE(CONTROL!$C$38, 0.0256, 0)</f>
        <v>52.036999999999999</v>
      </c>
      <c r="G767" s="10">
        <f>48.1664 * CHOOSE(CONTROL!$C$15, $E$9, 100%, $G$9) + CHOOSE(CONTROL!$C$38, 0.0347, 0)</f>
        <v>48.201100000000004</v>
      </c>
      <c r="H767" s="10">
        <f>48.1664 * CHOOSE(CONTROL!$C$15, $E$9, 100%, $G$9) + CHOOSE(CONTROL!$C$38, 0.0347, 0)</f>
        <v>48.201100000000004</v>
      </c>
      <c r="I767" s="10">
        <f>48.168 * CHOOSE(CONTROL!$C$15, $E$9, 100%, $G$9) + CHOOSE(CONTROL!$C$38, 0.0347, 0)</f>
        <v>48.2027</v>
      </c>
      <c r="J767" s="26">
        <f>403.3033</f>
        <v>403.30329999999998</v>
      </c>
    </row>
    <row r="768" spans="1:10" ht="15.75" x14ac:dyDescent="0.25">
      <c r="A768" s="13">
        <v>64315</v>
      </c>
      <c r="B768" s="10">
        <f>53.4743 * CHOOSE(CONTROL!$C$15, $E$9, 100%, $G$9) + CHOOSE(CONTROL!$C$38, 0.0256, 0)</f>
        <v>53.499899999999997</v>
      </c>
      <c r="C768" s="10">
        <f>49.4116 * CHOOSE(CONTROL!$C$15, $E$9, 100%, $G$9) + CHOOSE(CONTROL!$C$38, 0.0347, 0)</f>
        <v>49.446300000000001</v>
      </c>
      <c r="D768" s="10">
        <f>49.4038 * CHOOSE(CONTROL!$C$15, $E$9, 100%, $G$9) + CHOOSE(CONTROL!$C$38, 0.0347, 0)</f>
        <v>49.438499999999998</v>
      </c>
      <c r="E768" s="28">
        <f>53.3181 * CHOOSE(CONTROL!$C$15, $E$9, 100%, $G$9) + CHOOSE(CONTROL!$C$38, 0.0347, 0)</f>
        <v>53.352800000000002</v>
      </c>
      <c r="F768" s="27">
        <f>53.3181 * CHOOSE(CONTROL!$C$15, $E$9, 100%, $G$9) + CHOOSE(CONTROL!$C$38, 0.0256, 0)</f>
        <v>53.343699999999998</v>
      </c>
      <c r="G768" s="10">
        <f>49.4101 * CHOOSE(CONTROL!$C$15, $E$9, 100%, $G$9) + CHOOSE(CONTROL!$C$38, 0.0347, 0)</f>
        <v>49.444800000000001</v>
      </c>
      <c r="H768" s="10">
        <f>49.4101 * CHOOSE(CONTROL!$C$15, $E$9, 100%, $G$9) + CHOOSE(CONTROL!$C$38, 0.0347, 0)</f>
        <v>49.444800000000001</v>
      </c>
      <c r="I768" s="10">
        <f>49.4116 * CHOOSE(CONTROL!$C$15, $E$9, 100%, $G$9) + CHOOSE(CONTROL!$C$38, 0.0347, 0)</f>
        <v>49.446300000000001</v>
      </c>
      <c r="J768" s="26">
        <f>402.5331</f>
        <v>402.53309999999999</v>
      </c>
    </row>
    <row r="769" spans="1:10" ht="15.75" x14ac:dyDescent="0.25">
      <c r="A769" s="13">
        <v>64344</v>
      </c>
      <c r="B769" s="10">
        <f>53.6951 * CHOOSE(CONTROL!$C$15, $E$9, 100%, $G$9) + CHOOSE(CONTROL!$C$38, 0.0256, 0)</f>
        <v>53.720699999999994</v>
      </c>
      <c r="C769" s="10">
        <f>49.6324 * CHOOSE(CONTROL!$C$15, $E$9, 100%, $G$9) + CHOOSE(CONTROL!$C$38, 0.0347, 0)</f>
        <v>49.667099999999998</v>
      </c>
      <c r="D769" s="10">
        <f>49.6246 * CHOOSE(CONTROL!$C$15, $E$9, 100%, $G$9) + CHOOSE(CONTROL!$C$38, 0.0347, 0)</f>
        <v>49.659300000000002</v>
      </c>
      <c r="E769" s="28">
        <f>53.5389 * CHOOSE(CONTROL!$C$15, $E$9, 100%, $G$9) + CHOOSE(CONTROL!$C$38, 0.0347, 0)</f>
        <v>53.573599999999999</v>
      </c>
      <c r="F769" s="27">
        <f>53.5389 * CHOOSE(CONTROL!$C$15, $E$9, 100%, $G$9) + CHOOSE(CONTROL!$C$38, 0.0256, 0)</f>
        <v>53.564499999999995</v>
      </c>
      <c r="G769" s="10">
        <f>49.6308 * CHOOSE(CONTROL!$C$15, $E$9, 100%, $G$9) + CHOOSE(CONTROL!$C$38, 0.0347, 0)</f>
        <v>49.665500000000002</v>
      </c>
      <c r="H769" s="10">
        <f>49.6308 * CHOOSE(CONTROL!$C$15, $E$9, 100%, $G$9) + CHOOSE(CONTROL!$C$38, 0.0347, 0)</f>
        <v>49.665500000000002</v>
      </c>
      <c r="I769" s="10">
        <f>49.6324 * CHOOSE(CONTROL!$C$15, $E$9, 100%, $G$9) + CHOOSE(CONTROL!$C$38, 0.0347, 0)</f>
        <v>49.667099999999998</v>
      </c>
      <c r="J769" s="26">
        <f>401.4142</f>
        <v>401.41419999999999</v>
      </c>
    </row>
    <row r="770" spans="1:10" ht="15.75" x14ac:dyDescent="0.25">
      <c r="A770" s="13">
        <v>64375</v>
      </c>
      <c r="B770" s="10">
        <f>53.1841 * CHOOSE(CONTROL!$C$15, $E$9, 100%, $G$9) + CHOOSE(CONTROL!$C$38, 0.0256, 0)</f>
        <v>53.209699999999998</v>
      </c>
      <c r="C770" s="10">
        <f>49.1214 * CHOOSE(CONTROL!$C$15, $E$9, 100%, $G$9) + CHOOSE(CONTROL!$C$38, 0.0347, 0)</f>
        <v>49.156100000000002</v>
      </c>
      <c r="D770" s="10">
        <f>49.1135 * CHOOSE(CONTROL!$C$15, $E$9, 100%, $G$9) + CHOOSE(CONTROL!$C$38, 0.0347, 0)</f>
        <v>49.148200000000003</v>
      </c>
      <c r="E770" s="28">
        <f>53.0278 * CHOOSE(CONTROL!$C$15, $E$9, 100%, $G$9) + CHOOSE(CONTROL!$C$38, 0.0347, 0)</f>
        <v>53.0625</v>
      </c>
      <c r="F770" s="27">
        <f>53.0278 * CHOOSE(CONTROL!$C$15, $E$9, 100%, $G$9) + CHOOSE(CONTROL!$C$38, 0.0256, 0)</f>
        <v>53.053399999999996</v>
      </c>
      <c r="G770" s="10">
        <f>49.1198 * CHOOSE(CONTROL!$C$15, $E$9, 100%, $G$9) + CHOOSE(CONTROL!$C$38, 0.0347, 0)</f>
        <v>49.154499999999999</v>
      </c>
      <c r="H770" s="10">
        <f>49.1198 * CHOOSE(CONTROL!$C$15, $E$9, 100%, $G$9) + CHOOSE(CONTROL!$C$38, 0.0347, 0)</f>
        <v>49.154499999999999</v>
      </c>
      <c r="I770" s="10">
        <f>49.1214 * CHOOSE(CONTROL!$C$15, $E$9, 100%, $G$9) + CHOOSE(CONTROL!$C$38, 0.0347, 0)</f>
        <v>49.156100000000002</v>
      </c>
      <c r="J770" s="26">
        <f>422.5711</f>
        <v>422.5711</v>
      </c>
    </row>
    <row r="771" spans="1:10" ht="15.75" x14ac:dyDescent="0.25">
      <c r="A771" s="13">
        <v>64405</v>
      </c>
      <c r="B771" s="10">
        <f>52.6889 * CHOOSE(CONTROL!$C$15, $E$9, 100%, $G$9) + CHOOSE(CONTROL!$C$38, 0.0256, 0)</f>
        <v>52.714499999999994</v>
      </c>
      <c r="C771" s="10">
        <f>48.6262 * CHOOSE(CONTROL!$C$15, $E$9, 100%, $G$9) + CHOOSE(CONTROL!$C$38, 0.0347, 0)</f>
        <v>48.660899999999998</v>
      </c>
      <c r="D771" s="10">
        <f>48.6184 * CHOOSE(CONTROL!$C$15, $E$9, 100%, $G$9) + CHOOSE(CONTROL!$C$38, 0.0347, 0)</f>
        <v>48.653100000000002</v>
      </c>
      <c r="E771" s="28">
        <f>52.5326 * CHOOSE(CONTROL!$C$15, $E$9, 100%, $G$9) + CHOOSE(CONTROL!$C$38, 0.0347, 0)</f>
        <v>52.567300000000003</v>
      </c>
      <c r="F771" s="27">
        <f>52.5326 * CHOOSE(CONTROL!$C$15, $E$9, 100%, $G$9) + CHOOSE(CONTROL!$C$38, 0.0256, 0)</f>
        <v>52.558199999999999</v>
      </c>
      <c r="G771" s="10">
        <f>48.6246 * CHOOSE(CONTROL!$C$15, $E$9, 100%, $G$9) + CHOOSE(CONTROL!$C$38, 0.0347, 0)</f>
        <v>48.659300000000002</v>
      </c>
      <c r="H771" s="10">
        <f>48.6246 * CHOOSE(CONTROL!$C$15, $E$9, 100%, $G$9) + CHOOSE(CONTROL!$C$38, 0.0347, 0)</f>
        <v>48.659300000000002</v>
      </c>
      <c r="I771" s="10">
        <f>48.6262 * CHOOSE(CONTROL!$C$15, $E$9, 100%, $G$9) + CHOOSE(CONTROL!$C$38, 0.0347, 0)</f>
        <v>48.660899999999998</v>
      </c>
      <c r="J771" s="26">
        <f>450.0064</f>
        <v>450.00639999999999</v>
      </c>
    </row>
    <row r="772" spans="1:10" ht="15.75" x14ac:dyDescent="0.25">
      <c r="A772" s="13">
        <v>64436</v>
      </c>
      <c r="B772" s="10">
        <f>52.1728 * CHOOSE(CONTROL!$C$15, $E$9, 100%, $G$9) + CHOOSE(CONTROL!$C$38, 0.0278, 0)</f>
        <v>52.200600000000001</v>
      </c>
      <c r="C772" s="10">
        <f>48.1101 * CHOOSE(CONTROL!$C$15, $E$9, 100%, $G$9) + CHOOSE(CONTROL!$C$38, 0.0369, 0)</f>
        <v>48.147000000000006</v>
      </c>
      <c r="D772" s="10">
        <f>48.1023 * CHOOSE(CONTROL!$C$15, $E$9, 100%, $G$9) + CHOOSE(CONTROL!$C$38, 0.0369, 0)</f>
        <v>48.139200000000002</v>
      </c>
      <c r="E772" s="28">
        <f>52.0165 * CHOOSE(CONTROL!$C$15, $E$9, 100%, $G$9) + CHOOSE(CONTROL!$C$38, 0.0369, 0)</f>
        <v>52.053400000000003</v>
      </c>
      <c r="F772" s="27">
        <f>52.0165 * CHOOSE(CONTROL!$C$15, $E$9, 100%, $G$9) + CHOOSE(CONTROL!$C$38, 0.0278, 0)</f>
        <v>52.0443</v>
      </c>
      <c r="G772" s="10">
        <f>48.1085 * CHOOSE(CONTROL!$C$15, $E$9, 100%, $G$9) + CHOOSE(CONTROL!$C$38, 0.0369, 0)</f>
        <v>48.145400000000002</v>
      </c>
      <c r="H772" s="10">
        <f>48.1085 * CHOOSE(CONTROL!$C$15, $E$9, 100%, $G$9) + CHOOSE(CONTROL!$C$38, 0.0369, 0)</f>
        <v>48.145400000000002</v>
      </c>
      <c r="I772" s="10">
        <f>48.1101 * CHOOSE(CONTROL!$C$15, $E$9, 100%, $G$9) + CHOOSE(CONTROL!$C$38, 0.0369, 0)</f>
        <v>48.147000000000006</v>
      </c>
      <c r="J772" s="26">
        <f>465.1078</f>
        <v>465.1078</v>
      </c>
    </row>
    <row r="773" spans="1:10" ht="15.75" x14ac:dyDescent="0.25">
      <c r="A773" s="13">
        <v>64466</v>
      </c>
      <c r="B773" s="10">
        <f>51.8109 * CHOOSE(CONTROL!$C$15, $E$9, 100%, $G$9) + CHOOSE(CONTROL!$C$38, 0.0278, 0)</f>
        <v>51.838699999999996</v>
      </c>
      <c r="C773" s="10">
        <f>47.7482 * CHOOSE(CONTROL!$C$15, $E$9, 100%, $G$9) + CHOOSE(CONTROL!$C$38, 0.0369, 0)</f>
        <v>47.7851</v>
      </c>
      <c r="D773" s="10">
        <f>47.7404 * CHOOSE(CONTROL!$C$15, $E$9, 100%, $G$9) + CHOOSE(CONTROL!$C$38, 0.0369, 0)</f>
        <v>47.777300000000004</v>
      </c>
      <c r="E773" s="28">
        <f>51.6547 * CHOOSE(CONTROL!$C$15, $E$9, 100%, $G$9) + CHOOSE(CONTROL!$C$38, 0.0369, 0)</f>
        <v>51.691600000000001</v>
      </c>
      <c r="F773" s="27">
        <f>51.6547 * CHOOSE(CONTROL!$C$15, $E$9, 100%, $G$9) + CHOOSE(CONTROL!$C$38, 0.0278, 0)</f>
        <v>51.682499999999997</v>
      </c>
      <c r="G773" s="10">
        <f>47.7467 * CHOOSE(CONTROL!$C$15, $E$9, 100%, $G$9) + CHOOSE(CONTROL!$C$38, 0.0369, 0)</f>
        <v>47.7836</v>
      </c>
      <c r="H773" s="10">
        <f>47.7467 * CHOOSE(CONTROL!$C$15, $E$9, 100%, $G$9) + CHOOSE(CONTROL!$C$38, 0.0369, 0)</f>
        <v>47.7836</v>
      </c>
      <c r="I773" s="10">
        <f>47.7482 * CHOOSE(CONTROL!$C$15, $E$9, 100%, $G$9) + CHOOSE(CONTROL!$C$38, 0.0369, 0)</f>
        <v>47.7851</v>
      </c>
      <c r="J773" s="26">
        <f>471.8095</f>
        <v>471.80950000000001</v>
      </c>
    </row>
    <row r="774" spans="1:10" ht="15.75" x14ac:dyDescent="0.25">
      <c r="A774" s="13">
        <v>64497</v>
      </c>
      <c r="B774" s="10">
        <f>51.6045 * CHOOSE(CONTROL!$C$15, $E$9, 100%, $G$9) + CHOOSE(CONTROL!$C$38, 0.0278, 0)</f>
        <v>51.632300000000001</v>
      </c>
      <c r="C774" s="10">
        <f>47.5417 * CHOOSE(CONTROL!$C$15, $E$9, 100%, $G$9) + CHOOSE(CONTROL!$C$38, 0.0369, 0)</f>
        <v>47.578600000000002</v>
      </c>
      <c r="D774" s="10">
        <f>47.5339 * CHOOSE(CONTROL!$C$15, $E$9, 100%, $G$9) + CHOOSE(CONTROL!$C$38, 0.0369, 0)</f>
        <v>47.570800000000006</v>
      </c>
      <c r="E774" s="28">
        <f>51.4482 * CHOOSE(CONTROL!$C$15, $E$9, 100%, $G$9) + CHOOSE(CONTROL!$C$38, 0.0369, 0)</f>
        <v>51.485100000000003</v>
      </c>
      <c r="F774" s="27">
        <f>51.4482 * CHOOSE(CONTROL!$C$15, $E$9, 100%, $G$9) + CHOOSE(CONTROL!$C$38, 0.0278, 0)</f>
        <v>51.475999999999999</v>
      </c>
      <c r="G774" s="10">
        <f>47.5402 * CHOOSE(CONTROL!$C$15, $E$9, 100%, $G$9) + CHOOSE(CONTROL!$C$38, 0.0369, 0)</f>
        <v>47.577100000000002</v>
      </c>
      <c r="H774" s="10">
        <f>47.5402 * CHOOSE(CONTROL!$C$15, $E$9, 100%, $G$9) + CHOOSE(CONTROL!$C$38, 0.0369, 0)</f>
        <v>47.577100000000002</v>
      </c>
      <c r="I774" s="10">
        <f>47.5417 * CHOOSE(CONTROL!$C$15, $E$9, 100%, $G$9) + CHOOSE(CONTROL!$C$38, 0.0369, 0)</f>
        <v>47.578600000000002</v>
      </c>
      <c r="J774" s="26">
        <f>469.603</f>
        <v>469.60300000000001</v>
      </c>
    </row>
    <row r="775" spans="1:10" ht="15.75" x14ac:dyDescent="0.25">
      <c r="A775" s="13">
        <v>64528</v>
      </c>
      <c r="B775" s="10">
        <f>51.7064 * CHOOSE(CONTROL!$C$15, $E$9, 100%, $G$9) + CHOOSE(CONTROL!$C$38, 0.0278, 0)</f>
        <v>51.734200000000001</v>
      </c>
      <c r="C775" s="10">
        <f>47.6436 * CHOOSE(CONTROL!$C$15, $E$9, 100%, $G$9) + CHOOSE(CONTROL!$C$38, 0.0369, 0)</f>
        <v>47.680500000000002</v>
      </c>
      <c r="D775" s="10">
        <f>47.6358 * CHOOSE(CONTROL!$C$15, $E$9, 100%, $G$9) + CHOOSE(CONTROL!$C$38, 0.0369, 0)</f>
        <v>47.672700000000006</v>
      </c>
      <c r="E775" s="28">
        <f>51.5501 * CHOOSE(CONTROL!$C$15, $E$9, 100%, $G$9) + CHOOSE(CONTROL!$C$38, 0.0369, 0)</f>
        <v>51.587000000000003</v>
      </c>
      <c r="F775" s="27">
        <f>51.5501 * CHOOSE(CONTROL!$C$15, $E$9, 100%, $G$9) + CHOOSE(CONTROL!$C$38, 0.0278, 0)</f>
        <v>51.5779</v>
      </c>
      <c r="G775" s="10">
        <f>47.6421 * CHOOSE(CONTROL!$C$15, $E$9, 100%, $G$9) + CHOOSE(CONTROL!$C$38, 0.0369, 0)</f>
        <v>47.679000000000002</v>
      </c>
      <c r="H775" s="10">
        <f>47.6421 * CHOOSE(CONTROL!$C$15, $E$9, 100%, $G$9) + CHOOSE(CONTROL!$C$38, 0.0369, 0)</f>
        <v>47.679000000000002</v>
      </c>
      <c r="I775" s="10">
        <f>47.6436 * CHOOSE(CONTROL!$C$15, $E$9, 100%, $G$9) + CHOOSE(CONTROL!$C$38, 0.0369, 0)</f>
        <v>47.680500000000002</v>
      </c>
      <c r="J775" s="26">
        <f>458.6708</f>
        <v>458.67079999999999</v>
      </c>
    </row>
    <row r="776" spans="1:10" ht="15.75" x14ac:dyDescent="0.25">
      <c r="A776" s="13">
        <v>64558</v>
      </c>
      <c r="B776" s="10">
        <f>51.9832 * CHOOSE(CONTROL!$C$15, $E$9, 100%, $G$9) + CHOOSE(CONTROL!$C$38, 0.0278, 0)</f>
        <v>52.010999999999996</v>
      </c>
      <c r="C776" s="10">
        <f>47.9204 * CHOOSE(CONTROL!$C$15, $E$9, 100%, $G$9) + CHOOSE(CONTROL!$C$38, 0.0369, 0)</f>
        <v>47.957300000000004</v>
      </c>
      <c r="D776" s="10">
        <f>47.9126 * CHOOSE(CONTROL!$C$15, $E$9, 100%, $G$9) + CHOOSE(CONTROL!$C$38, 0.0369, 0)</f>
        <v>47.9495</v>
      </c>
      <c r="E776" s="28">
        <f>51.8269 * CHOOSE(CONTROL!$C$15, $E$9, 100%, $G$9) + CHOOSE(CONTROL!$C$38, 0.0369, 0)</f>
        <v>51.863800000000005</v>
      </c>
      <c r="F776" s="27">
        <f>51.8269 * CHOOSE(CONTROL!$C$15, $E$9, 100%, $G$9) + CHOOSE(CONTROL!$C$38, 0.0278, 0)</f>
        <v>51.854700000000001</v>
      </c>
      <c r="G776" s="10">
        <f>47.9189 * CHOOSE(CONTROL!$C$15, $E$9, 100%, $G$9) + CHOOSE(CONTROL!$C$38, 0.0369, 0)</f>
        <v>47.955800000000004</v>
      </c>
      <c r="H776" s="10">
        <f>47.9189 * CHOOSE(CONTROL!$C$15, $E$9, 100%, $G$9) + CHOOSE(CONTROL!$C$38, 0.0369, 0)</f>
        <v>47.955800000000004</v>
      </c>
      <c r="I776" s="10">
        <f>47.9204 * CHOOSE(CONTROL!$C$15, $E$9, 100%, $G$9) + CHOOSE(CONTROL!$C$38, 0.0369, 0)</f>
        <v>47.957300000000004</v>
      </c>
      <c r="J776" s="26">
        <f>443.4254</f>
        <v>443.42540000000002</v>
      </c>
    </row>
    <row r="777" spans="1:10" ht="15.75" x14ac:dyDescent="0.25">
      <c r="A777" s="13">
        <v>64589</v>
      </c>
      <c r="B777" s="10">
        <f>52.215 * CHOOSE(CONTROL!$C$15, $E$9, 100%, $G$9) + CHOOSE(CONTROL!$C$38, 0.0256, 0)</f>
        <v>52.240600000000001</v>
      </c>
      <c r="C777" s="10">
        <f>48.1523 * CHOOSE(CONTROL!$C$15, $E$9, 100%, $G$9) + CHOOSE(CONTROL!$C$38, 0.0347, 0)</f>
        <v>48.186999999999998</v>
      </c>
      <c r="D777" s="10">
        <f>48.1445 * CHOOSE(CONTROL!$C$15, $E$9, 100%, $G$9) + CHOOSE(CONTROL!$C$38, 0.0347, 0)</f>
        <v>48.179200000000002</v>
      </c>
      <c r="E777" s="28">
        <f>52.0587 * CHOOSE(CONTROL!$C$15, $E$9, 100%, $G$9) + CHOOSE(CONTROL!$C$38, 0.0347, 0)</f>
        <v>52.093400000000003</v>
      </c>
      <c r="F777" s="27">
        <f>52.0587 * CHOOSE(CONTROL!$C$15, $E$9, 100%, $G$9) + CHOOSE(CONTROL!$C$38, 0.0256, 0)</f>
        <v>52.084299999999999</v>
      </c>
      <c r="G777" s="10">
        <f>48.1507 * CHOOSE(CONTROL!$C$15, $E$9, 100%, $G$9) + CHOOSE(CONTROL!$C$38, 0.0347, 0)</f>
        <v>48.185400000000001</v>
      </c>
      <c r="H777" s="10">
        <f>48.1507 * CHOOSE(CONTROL!$C$15, $E$9, 100%, $G$9) + CHOOSE(CONTROL!$C$38, 0.0347, 0)</f>
        <v>48.185400000000001</v>
      </c>
      <c r="I777" s="10">
        <f>48.1523 * CHOOSE(CONTROL!$C$15, $E$9, 100%, $G$9) + CHOOSE(CONTROL!$C$38, 0.0347, 0)</f>
        <v>48.186999999999998</v>
      </c>
      <c r="J777" s="26">
        <f>428.0913</f>
        <v>428.09129999999999</v>
      </c>
    </row>
    <row r="778" spans="1:10" ht="15.75" x14ac:dyDescent="0.25">
      <c r="A778" s="13">
        <v>64619</v>
      </c>
      <c r="B778" s="10">
        <f>52.4084 * CHOOSE(CONTROL!$C$15, $E$9, 100%, $G$9) + CHOOSE(CONTROL!$C$38, 0.0256, 0)</f>
        <v>52.433999999999997</v>
      </c>
      <c r="C778" s="10">
        <f>48.3457 * CHOOSE(CONTROL!$C$15, $E$9, 100%, $G$9) + CHOOSE(CONTROL!$C$38, 0.0347, 0)</f>
        <v>48.380400000000002</v>
      </c>
      <c r="D778" s="10">
        <f>48.3379 * CHOOSE(CONTROL!$C$15, $E$9, 100%, $G$9) + CHOOSE(CONTROL!$C$38, 0.0347, 0)</f>
        <v>48.372599999999998</v>
      </c>
      <c r="E778" s="28">
        <f>52.2522 * CHOOSE(CONTROL!$C$15, $E$9, 100%, $G$9) + CHOOSE(CONTROL!$C$38, 0.0347, 0)</f>
        <v>52.286900000000003</v>
      </c>
      <c r="F778" s="27">
        <f>52.2522 * CHOOSE(CONTROL!$C$15, $E$9, 100%, $G$9) + CHOOSE(CONTROL!$C$38, 0.0256, 0)</f>
        <v>52.277799999999999</v>
      </c>
      <c r="G778" s="10">
        <f>48.3441 * CHOOSE(CONTROL!$C$15, $E$9, 100%, $G$9) + CHOOSE(CONTROL!$C$38, 0.0347, 0)</f>
        <v>48.378799999999998</v>
      </c>
      <c r="H778" s="10">
        <f>48.3441 * CHOOSE(CONTROL!$C$15, $E$9, 100%, $G$9) + CHOOSE(CONTROL!$C$38, 0.0347, 0)</f>
        <v>48.378799999999998</v>
      </c>
      <c r="I778" s="10">
        <f>48.3457 * CHOOSE(CONTROL!$C$15, $E$9, 100%, $G$9) + CHOOSE(CONTROL!$C$38, 0.0347, 0)</f>
        <v>48.380400000000002</v>
      </c>
      <c r="J778" s="26">
        <f>425.041</f>
        <v>425.041</v>
      </c>
    </row>
    <row r="779" spans="1:10" ht="15.75" x14ac:dyDescent="0.25">
      <c r="A779" s="13">
        <v>64650</v>
      </c>
      <c r="B779" s="10">
        <f>53.0045 * CHOOSE(CONTROL!$C$15, $E$9, 100%, $G$9) + CHOOSE(CONTROL!$C$38, 0.0256, 0)</f>
        <v>53.030099999999997</v>
      </c>
      <c r="C779" s="10">
        <f>48.9418 * CHOOSE(CONTROL!$C$15, $E$9, 100%, $G$9) + CHOOSE(CONTROL!$C$38, 0.0347, 0)</f>
        <v>48.976500000000001</v>
      </c>
      <c r="D779" s="10">
        <f>48.934 * CHOOSE(CONTROL!$C$15, $E$9, 100%, $G$9) + CHOOSE(CONTROL!$C$38, 0.0347, 0)</f>
        <v>48.968699999999998</v>
      </c>
      <c r="E779" s="28">
        <f>52.8482 * CHOOSE(CONTROL!$C$15, $E$9, 100%, $G$9) + CHOOSE(CONTROL!$C$38, 0.0347, 0)</f>
        <v>52.882899999999999</v>
      </c>
      <c r="F779" s="27">
        <f>52.8482 * CHOOSE(CONTROL!$C$15, $E$9, 100%, $G$9) + CHOOSE(CONTROL!$C$38, 0.0256, 0)</f>
        <v>52.873799999999996</v>
      </c>
      <c r="G779" s="10">
        <f>48.9402 * CHOOSE(CONTROL!$C$15, $E$9, 100%, $G$9) + CHOOSE(CONTROL!$C$38, 0.0347, 0)</f>
        <v>48.974899999999998</v>
      </c>
      <c r="H779" s="10">
        <f>48.9402 * CHOOSE(CONTROL!$C$15, $E$9, 100%, $G$9) + CHOOSE(CONTROL!$C$38, 0.0347, 0)</f>
        <v>48.974899999999998</v>
      </c>
      <c r="I779" s="10">
        <f>48.9418 * CHOOSE(CONTROL!$C$15, $E$9, 100%, $G$9) + CHOOSE(CONTROL!$C$38, 0.0347, 0)</f>
        <v>48.976500000000001</v>
      </c>
      <c r="J779" s="26">
        <f>412.4279</f>
        <v>412.42790000000002</v>
      </c>
    </row>
    <row r="780" spans="1:10" ht="15.75" x14ac:dyDescent="0.25">
      <c r="A780" s="13">
        <v>64681</v>
      </c>
      <c r="B780" s="10">
        <f>54.3249 * CHOOSE(CONTROL!$C$15, $E$9, 100%, $G$9) + CHOOSE(CONTROL!$C$38, 0.0256, 0)</f>
        <v>54.350499999999997</v>
      </c>
      <c r="C780" s="10">
        <f>50.1981 * CHOOSE(CONTROL!$C$15, $E$9, 100%, $G$9) + CHOOSE(CONTROL!$C$38, 0.0347, 0)</f>
        <v>50.232799999999997</v>
      </c>
      <c r="D780" s="10">
        <f>50.1903 * CHOOSE(CONTROL!$C$15, $E$9, 100%, $G$9) + CHOOSE(CONTROL!$C$38, 0.0347, 0)</f>
        <v>50.225000000000001</v>
      </c>
      <c r="E780" s="28">
        <f>54.1686 * CHOOSE(CONTROL!$C$15, $E$9, 100%, $G$9) + CHOOSE(CONTROL!$C$38, 0.0347, 0)</f>
        <v>54.203299999999999</v>
      </c>
      <c r="F780" s="27">
        <f>54.1686 * CHOOSE(CONTROL!$C$15, $E$9, 100%, $G$9) + CHOOSE(CONTROL!$C$38, 0.0256, 0)</f>
        <v>54.194199999999995</v>
      </c>
      <c r="G780" s="10">
        <f>50.1966 * CHOOSE(CONTROL!$C$15, $E$9, 100%, $G$9) + CHOOSE(CONTROL!$C$38, 0.0347, 0)</f>
        <v>50.231299999999997</v>
      </c>
      <c r="H780" s="10">
        <f>50.1966 * CHOOSE(CONTROL!$C$15, $E$9, 100%, $G$9) + CHOOSE(CONTROL!$C$38, 0.0347, 0)</f>
        <v>50.231299999999997</v>
      </c>
      <c r="I780" s="10">
        <f>50.1981 * CHOOSE(CONTROL!$C$15, $E$9, 100%, $G$9) + CHOOSE(CONTROL!$C$38, 0.0347, 0)</f>
        <v>50.232799999999997</v>
      </c>
      <c r="J780" s="26">
        <f>411.6402</f>
        <v>411.64019999999999</v>
      </c>
    </row>
    <row r="781" spans="1:10" ht="15.75" x14ac:dyDescent="0.25">
      <c r="A781" s="13">
        <v>64709</v>
      </c>
      <c r="B781" s="10">
        <f>54.5457 * CHOOSE(CONTROL!$C$15, $E$9, 100%, $G$9) + CHOOSE(CONTROL!$C$38, 0.0256, 0)</f>
        <v>54.571299999999994</v>
      </c>
      <c r="C781" s="10">
        <f>50.4189 * CHOOSE(CONTROL!$C$15, $E$9, 100%, $G$9) + CHOOSE(CONTROL!$C$38, 0.0347, 0)</f>
        <v>50.453600000000002</v>
      </c>
      <c r="D781" s="10">
        <f>50.4111 * CHOOSE(CONTROL!$C$15, $E$9, 100%, $G$9) + CHOOSE(CONTROL!$C$38, 0.0347, 0)</f>
        <v>50.445799999999998</v>
      </c>
      <c r="E781" s="28">
        <f>54.3894 * CHOOSE(CONTROL!$C$15, $E$9, 100%, $G$9) + CHOOSE(CONTROL!$C$38, 0.0347, 0)</f>
        <v>54.424100000000003</v>
      </c>
      <c r="F781" s="27">
        <f>54.3894 * CHOOSE(CONTROL!$C$15, $E$9, 100%, $G$9) + CHOOSE(CONTROL!$C$38, 0.0256, 0)</f>
        <v>54.414999999999999</v>
      </c>
      <c r="G781" s="10">
        <f>50.4173 * CHOOSE(CONTROL!$C$15, $E$9, 100%, $G$9) + CHOOSE(CONTROL!$C$38, 0.0347, 0)</f>
        <v>50.451999999999998</v>
      </c>
      <c r="H781" s="10">
        <f>50.4173 * CHOOSE(CONTROL!$C$15, $E$9, 100%, $G$9) + CHOOSE(CONTROL!$C$38, 0.0347, 0)</f>
        <v>50.451999999999998</v>
      </c>
      <c r="I781" s="10">
        <f>50.4189 * CHOOSE(CONTROL!$C$15, $E$9, 100%, $G$9) + CHOOSE(CONTROL!$C$38, 0.0347, 0)</f>
        <v>50.453600000000002</v>
      </c>
      <c r="J781" s="26">
        <f>410.496</f>
        <v>410.49599999999998</v>
      </c>
    </row>
    <row r="782" spans="1:10" ht="15.75" x14ac:dyDescent="0.25">
      <c r="A782" s="13">
        <v>64740</v>
      </c>
      <c r="B782" s="10">
        <f>54.0346 * CHOOSE(CONTROL!$C$15, $E$9, 100%, $G$9) + CHOOSE(CONTROL!$C$38, 0.0256, 0)</f>
        <v>54.060199999999995</v>
      </c>
      <c r="C782" s="10">
        <f>49.9079 * CHOOSE(CONTROL!$C$15, $E$9, 100%, $G$9) + CHOOSE(CONTROL!$C$38, 0.0347, 0)</f>
        <v>49.942599999999999</v>
      </c>
      <c r="D782" s="10">
        <f>49.9001 * CHOOSE(CONTROL!$C$15, $E$9, 100%, $G$9) + CHOOSE(CONTROL!$C$38, 0.0347, 0)</f>
        <v>49.934800000000003</v>
      </c>
      <c r="E782" s="28">
        <f>53.8784 * CHOOSE(CONTROL!$C$15, $E$9, 100%, $G$9) + CHOOSE(CONTROL!$C$38, 0.0347, 0)</f>
        <v>53.9131</v>
      </c>
      <c r="F782" s="27">
        <f>53.8784 * CHOOSE(CONTROL!$C$15, $E$9, 100%, $G$9) + CHOOSE(CONTROL!$C$38, 0.0256, 0)</f>
        <v>53.903999999999996</v>
      </c>
      <c r="G782" s="10">
        <f>49.9063 * CHOOSE(CONTROL!$C$15, $E$9, 100%, $G$9) + CHOOSE(CONTROL!$C$38, 0.0347, 0)</f>
        <v>49.941000000000003</v>
      </c>
      <c r="H782" s="10">
        <f>49.9063 * CHOOSE(CONTROL!$C$15, $E$9, 100%, $G$9) + CHOOSE(CONTROL!$C$38, 0.0347, 0)</f>
        <v>49.941000000000003</v>
      </c>
      <c r="I782" s="10">
        <f>49.9079 * CHOOSE(CONTROL!$C$15, $E$9, 100%, $G$9) + CHOOSE(CONTROL!$C$38, 0.0347, 0)</f>
        <v>49.942599999999999</v>
      </c>
      <c r="J782" s="26">
        <f>432.1315</f>
        <v>432.13150000000002</v>
      </c>
    </row>
    <row r="783" spans="1:10" ht="15.75" x14ac:dyDescent="0.25">
      <c r="A783" s="13">
        <v>64770</v>
      </c>
      <c r="B783" s="10">
        <f>53.5394 * CHOOSE(CONTROL!$C$15, $E$9, 100%, $G$9) + CHOOSE(CONTROL!$C$38, 0.0256, 0)</f>
        <v>53.564999999999998</v>
      </c>
      <c r="C783" s="10">
        <f>49.4127 * CHOOSE(CONTROL!$C$15, $E$9, 100%, $G$9) + CHOOSE(CONTROL!$C$38, 0.0347, 0)</f>
        <v>49.447400000000002</v>
      </c>
      <c r="D783" s="10">
        <f>49.4049 * CHOOSE(CONTROL!$C$15, $E$9, 100%, $G$9) + CHOOSE(CONTROL!$C$38, 0.0347, 0)</f>
        <v>49.439599999999999</v>
      </c>
      <c r="E783" s="28">
        <f>53.3832 * CHOOSE(CONTROL!$C$15, $E$9, 100%, $G$9) + CHOOSE(CONTROL!$C$38, 0.0347, 0)</f>
        <v>53.417900000000003</v>
      </c>
      <c r="F783" s="27">
        <f>53.3832 * CHOOSE(CONTROL!$C$15, $E$9, 100%, $G$9) + CHOOSE(CONTROL!$C$38, 0.0256, 0)</f>
        <v>53.408799999999999</v>
      </c>
      <c r="G783" s="10">
        <f>49.4111 * CHOOSE(CONTROL!$C$15, $E$9, 100%, $G$9) + CHOOSE(CONTROL!$C$38, 0.0347, 0)</f>
        <v>49.445799999999998</v>
      </c>
      <c r="H783" s="10">
        <f>49.4111 * CHOOSE(CONTROL!$C$15, $E$9, 100%, $G$9) + CHOOSE(CONTROL!$C$38, 0.0347, 0)</f>
        <v>49.445799999999998</v>
      </c>
      <c r="I783" s="10">
        <f>49.4127 * CHOOSE(CONTROL!$C$15, $E$9, 100%, $G$9) + CHOOSE(CONTROL!$C$38, 0.0347, 0)</f>
        <v>49.447400000000002</v>
      </c>
      <c r="J783" s="26">
        <f>460.1876</f>
        <v>460.18759999999997</v>
      </c>
    </row>
    <row r="784" spans="1:10" ht="15.75" x14ac:dyDescent="0.25">
      <c r="A784" s="13">
        <v>64801</v>
      </c>
      <c r="B784" s="10">
        <f>53.0233 * CHOOSE(CONTROL!$C$15, $E$9, 100%, $G$9) + CHOOSE(CONTROL!$C$38, 0.0278, 0)</f>
        <v>53.051099999999998</v>
      </c>
      <c r="C784" s="10">
        <f>48.8966 * CHOOSE(CONTROL!$C$15, $E$9, 100%, $G$9) + CHOOSE(CONTROL!$C$38, 0.0369, 0)</f>
        <v>48.933500000000002</v>
      </c>
      <c r="D784" s="10">
        <f>48.8888 * CHOOSE(CONTROL!$C$15, $E$9, 100%, $G$9) + CHOOSE(CONTROL!$C$38, 0.0369, 0)</f>
        <v>48.925700000000006</v>
      </c>
      <c r="E784" s="28">
        <f>52.8671 * CHOOSE(CONTROL!$C$15, $E$9, 100%, $G$9) + CHOOSE(CONTROL!$C$38, 0.0369, 0)</f>
        <v>52.904000000000003</v>
      </c>
      <c r="F784" s="27">
        <f>52.8671 * CHOOSE(CONTROL!$C$15, $E$9, 100%, $G$9) + CHOOSE(CONTROL!$C$38, 0.0278, 0)</f>
        <v>52.8949</v>
      </c>
      <c r="G784" s="10">
        <f>48.895 * CHOOSE(CONTROL!$C$15, $E$9, 100%, $G$9) + CHOOSE(CONTROL!$C$38, 0.0369, 0)</f>
        <v>48.931900000000006</v>
      </c>
      <c r="H784" s="10">
        <f>48.895 * CHOOSE(CONTROL!$C$15, $E$9, 100%, $G$9) + CHOOSE(CONTROL!$C$38, 0.0369, 0)</f>
        <v>48.931900000000006</v>
      </c>
      <c r="I784" s="10">
        <f>48.8966 * CHOOSE(CONTROL!$C$15, $E$9, 100%, $G$9) + CHOOSE(CONTROL!$C$38, 0.0369, 0)</f>
        <v>48.933500000000002</v>
      </c>
      <c r="J784" s="26">
        <f>475.6306</f>
        <v>475.63060000000002</v>
      </c>
    </row>
    <row r="785" spans="1:10" ht="15.75" x14ac:dyDescent="0.25">
      <c r="A785" s="13">
        <v>64831</v>
      </c>
      <c r="B785" s="10">
        <f>52.6615 * CHOOSE(CONTROL!$C$15, $E$9, 100%, $G$9) + CHOOSE(CONTROL!$C$38, 0.0278, 0)</f>
        <v>52.689299999999996</v>
      </c>
      <c r="C785" s="10">
        <f>48.5347 * CHOOSE(CONTROL!$C$15, $E$9, 100%, $G$9) + CHOOSE(CONTROL!$C$38, 0.0369, 0)</f>
        <v>48.571600000000004</v>
      </c>
      <c r="D785" s="10">
        <f>48.5269 * CHOOSE(CONTROL!$C$15, $E$9, 100%, $G$9) + CHOOSE(CONTROL!$C$38, 0.0369, 0)</f>
        <v>48.563800000000001</v>
      </c>
      <c r="E785" s="28">
        <f>52.5052 * CHOOSE(CONTROL!$C$15, $E$9, 100%, $G$9) + CHOOSE(CONTROL!$C$38, 0.0369, 0)</f>
        <v>52.542100000000005</v>
      </c>
      <c r="F785" s="27">
        <f>52.5052 * CHOOSE(CONTROL!$C$15, $E$9, 100%, $G$9) + CHOOSE(CONTROL!$C$38, 0.0278, 0)</f>
        <v>52.533000000000001</v>
      </c>
      <c r="G785" s="10">
        <f>48.5332 * CHOOSE(CONTROL!$C$15, $E$9, 100%, $G$9) + CHOOSE(CONTROL!$C$38, 0.0369, 0)</f>
        <v>48.570100000000004</v>
      </c>
      <c r="H785" s="10">
        <f>48.5332 * CHOOSE(CONTROL!$C$15, $E$9, 100%, $G$9) + CHOOSE(CONTROL!$C$38, 0.0369, 0)</f>
        <v>48.570100000000004</v>
      </c>
      <c r="I785" s="10">
        <f>48.5347 * CHOOSE(CONTROL!$C$15, $E$9, 100%, $G$9) + CHOOSE(CONTROL!$C$38, 0.0369, 0)</f>
        <v>48.571600000000004</v>
      </c>
      <c r="J785" s="26">
        <f>482.4839</f>
        <v>482.48390000000001</v>
      </c>
    </row>
    <row r="786" spans="1:10" ht="15.75" x14ac:dyDescent="0.25">
      <c r="A786" s="13">
        <v>64862</v>
      </c>
      <c r="B786" s="10">
        <f>52.455 * CHOOSE(CONTROL!$C$15, $E$9, 100%, $G$9) + CHOOSE(CONTROL!$C$38, 0.0278, 0)</f>
        <v>52.482799999999997</v>
      </c>
      <c r="C786" s="10">
        <f>48.3283 * CHOOSE(CONTROL!$C$15, $E$9, 100%, $G$9) + CHOOSE(CONTROL!$C$38, 0.0369, 0)</f>
        <v>48.365200000000002</v>
      </c>
      <c r="D786" s="10">
        <f>48.3204 * CHOOSE(CONTROL!$C$15, $E$9, 100%, $G$9) + CHOOSE(CONTROL!$C$38, 0.0369, 0)</f>
        <v>48.357300000000002</v>
      </c>
      <c r="E786" s="28">
        <f>52.2988 * CHOOSE(CONTROL!$C$15, $E$9, 100%, $G$9) + CHOOSE(CONTROL!$C$38, 0.0369, 0)</f>
        <v>52.335700000000003</v>
      </c>
      <c r="F786" s="27">
        <f>52.2988 * CHOOSE(CONTROL!$C$15, $E$9, 100%, $G$9) + CHOOSE(CONTROL!$C$38, 0.0278, 0)</f>
        <v>52.326599999999999</v>
      </c>
      <c r="G786" s="10">
        <f>48.3267 * CHOOSE(CONTROL!$C$15, $E$9, 100%, $G$9) + CHOOSE(CONTROL!$C$38, 0.0369, 0)</f>
        <v>48.363600000000005</v>
      </c>
      <c r="H786" s="10">
        <f>48.3267 * CHOOSE(CONTROL!$C$15, $E$9, 100%, $G$9) + CHOOSE(CONTROL!$C$38, 0.0369, 0)</f>
        <v>48.363600000000005</v>
      </c>
      <c r="I786" s="10">
        <f>48.3283 * CHOOSE(CONTROL!$C$15, $E$9, 100%, $G$9) + CHOOSE(CONTROL!$C$38, 0.0369, 0)</f>
        <v>48.365200000000002</v>
      </c>
      <c r="J786" s="26">
        <f>480.2275</f>
        <v>480.22750000000002</v>
      </c>
    </row>
    <row r="787" spans="1:10" ht="15.75" x14ac:dyDescent="0.25">
      <c r="A787" s="13">
        <v>64893</v>
      </c>
      <c r="B787" s="10">
        <f>52.5569 * CHOOSE(CONTROL!$C$15, $E$9, 100%, $G$9) + CHOOSE(CONTROL!$C$38, 0.0278, 0)</f>
        <v>52.584699999999998</v>
      </c>
      <c r="C787" s="10">
        <f>48.4302 * CHOOSE(CONTROL!$C$15, $E$9, 100%, $G$9) + CHOOSE(CONTROL!$C$38, 0.0369, 0)</f>
        <v>48.467100000000002</v>
      </c>
      <c r="D787" s="10">
        <f>48.4223 * CHOOSE(CONTROL!$C$15, $E$9, 100%, $G$9) + CHOOSE(CONTROL!$C$38, 0.0369, 0)</f>
        <v>48.459200000000003</v>
      </c>
      <c r="E787" s="28">
        <f>52.4007 * CHOOSE(CONTROL!$C$15, $E$9, 100%, $G$9) + CHOOSE(CONTROL!$C$38, 0.0369, 0)</f>
        <v>52.437600000000003</v>
      </c>
      <c r="F787" s="27">
        <f>52.4007 * CHOOSE(CONTROL!$C$15, $E$9, 100%, $G$9) + CHOOSE(CONTROL!$C$38, 0.0278, 0)</f>
        <v>52.4285</v>
      </c>
      <c r="G787" s="10">
        <f>48.4286 * CHOOSE(CONTROL!$C$15, $E$9, 100%, $G$9) + CHOOSE(CONTROL!$C$38, 0.0369, 0)</f>
        <v>48.465500000000006</v>
      </c>
      <c r="H787" s="10">
        <f>48.4286 * CHOOSE(CONTROL!$C$15, $E$9, 100%, $G$9) + CHOOSE(CONTROL!$C$38, 0.0369, 0)</f>
        <v>48.465500000000006</v>
      </c>
      <c r="I787" s="10">
        <f>48.4302 * CHOOSE(CONTROL!$C$15, $E$9, 100%, $G$9) + CHOOSE(CONTROL!$C$38, 0.0369, 0)</f>
        <v>48.467100000000002</v>
      </c>
      <c r="J787" s="26">
        <f>469.048</f>
        <v>469.048</v>
      </c>
    </row>
    <row r="788" spans="1:10" ht="15.75" x14ac:dyDescent="0.25">
      <c r="A788" s="13">
        <v>64923</v>
      </c>
      <c r="B788" s="10">
        <f>52.8337 * CHOOSE(CONTROL!$C$15, $E$9, 100%, $G$9) + CHOOSE(CONTROL!$C$38, 0.0278, 0)</f>
        <v>52.861499999999999</v>
      </c>
      <c r="C788" s="10">
        <f>48.707 * CHOOSE(CONTROL!$C$15, $E$9, 100%, $G$9) + CHOOSE(CONTROL!$C$38, 0.0369, 0)</f>
        <v>48.743900000000004</v>
      </c>
      <c r="D788" s="10">
        <f>48.6991 * CHOOSE(CONTROL!$C$15, $E$9, 100%, $G$9) + CHOOSE(CONTROL!$C$38, 0.0369, 0)</f>
        <v>48.736000000000004</v>
      </c>
      <c r="E788" s="28">
        <f>52.6775 * CHOOSE(CONTROL!$C$15, $E$9, 100%, $G$9) + CHOOSE(CONTROL!$C$38, 0.0369, 0)</f>
        <v>52.714400000000005</v>
      </c>
      <c r="F788" s="27">
        <f>52.6775 * CHOOSE(CONTROL!$C$15, $E$9, 100%, $G$9) + CHOOSE(CONTROL!$C$38, 0.0278, 0)</f>
        <v>52.705300000000001</v>
      </c>
      <c r="G788" s="10">
        <f>48.7054 * CHOOSE(CONTROL!$C$15, $E$9, 100%, $G$9) + CHOOSE(CONTROL!$C$38, 0.0369, 0)</f>
        <v>48.7423</v>
      </c>
      <c r="H788" s="10">
        <f>48.7054 * CHOOSE(CONTROL!$C$15, $E$9, 100%, $G$9) + CHOOSE(CONTROL!$C$38, 0.0369, 0)</f>
        <v>48.7423</v>
      </c>
      <c r="I788" s="10">
        <f>48.707 * CHOOSE(CONTROL!$C$15, $E$9, 100%, $G$9) + CHOOSE(CONTROL!$C$38, 0.0369, 0)</f>
        <v>48.743900000000004</v>
      </c>
      <c r="J788" s="26">
        <f>453.4576</f>
        <v>453.45760000000001</v>
      </c>
    </row>
    <row r="789" spans="1:10" ht="15.75" x14ac:dyDescent="0.25">
      <c r="A789" s="13">
        <v>64954</v>
      </c>
      <c r="B789" s="10">
        <f>53.0655 * CHOOSE(CONTROL!$C$15, $E$9, 100%, $G$9) + CHOOSE(CONTROL!$C$38, 0.0256, 0)</f>
        <v>53.091099999999997</v>
      </c>
      <c r="C789" s="10">
        <f>48.9388 * CHOOSE(CONTROL!$C$15, $E$9, 100%, $G$9) + CHOOSE(CONTROL!$C$38, 0.0347, 0)</f>
        <v>48.973500000000001</v>
      </c>
      <c r="D789" s="10">
        <f>48.931 * CHOOSE(CONTROL!$C$15, $E$9, 100%, $G$9) + CHOOSE(CONTROL!$C$38, 0.0347, 0)</f>
        <v>48.965699999999998</v>
      </c>
      <c r="E789" s="28">
        <f>52.9093 * CHOOSE(CONTROL!$C$15, $E$9, 100%, $G$9) + CHOOSE(CONTROL!$C$38, 0.0347, 0)</f>
        <v>52.944000000000003</v>
      </c>
      <c r="F789" s="27">
        <f>52.9093 * CHOOSE(CONTROL!$C$15, $E$9, 100%, $G$9) + CHOOSE(CONTROL!$C$38, 0.0256, 0)</f>
        <v>52.934899999999999</v>
      </c>
      <c r="G789" s="10">
        <f>48.9372 * CHOOSE(CONTROL!$C$15, $E$9, 100%, $G$9) + CHOOSE(CONTROL!$C$38, 0.0347, 0)</f>
        <v>48.971899999999998</v>
      </c>
      <c r="H789" s="10">
        <f>48.9372 * CHOOSE(CONTROL!$C$15, $E$9, 100%, $G$9) + CHOOSE(CONTROL!$C$38, 0.0347, 0)</f>
        <v>48.971899999999998</v>
      </c>
      <c r="I789" s="10">
        <f>48.9388 * CHOOSE(CONTROL!$C$15, $E$9, 100%, $G$9) + CHOOSE(CONTROL!$C$38, 0.0347, 0)</f>
        <v>48.973500000000001</v>
      </c>
      <c r="J789" s="26">
        <f>437.7766</f>
        <v>437.77659999999997</v>
      </c>
    </row>
    <row r="790" spans="1:10" ht="15.75" x14ac:dyDescent="0.25">
      <c r="A790" s="13">
        <v>64984</v>
      </c>
      <c r="B790" s="10">
        <f>53.259 * CHOOSE(CONTROL!$C$15, $E$9, 100%, $G$9) + CHOOSE(CONTROL!$C$38, 0.0256, 0)</f>
        <v>53.284599999999998</v>
      </c>
      <c r="C790" s="10">
        <f>49.1322 * CHOOSE(CONTROL!$C$15, $E$9, 100%, $G$9) + CHOOSE(CONTROL!$C$38, 0.0347, 0)</f>
        <v>49.166899999999998</v>
      </c>
      <c r="D790" s="10">
        <f>49.1244 * CHOOSE(CONTROL!$C$15, $E$9, 100%, $G$9) + CHOOSE(CONTROL!$C$38, 0.0347, 0)</f>
        <v>49.159100000000002</v>
      </c>
      <c r="E790" s="28">
        <f>53.1027 * CHOOSE(CONTROL!$C$15, $E$9, 100%, $G$9) + CHOOSE(CONTROL!$C$38, 0.0347, 0)</f>
        <v>53.1374</v>
      </c>
      <c r="F790" s="27">
        <f>53.1027 * CHOOSE(CONTROL!$C$15, $E$9, 100%, $G$9) + CHOOSE(CONTROL!$C$38, 0.0256, 0)</f>
        <v>53.128299999999996</v>
      </c>
      <c r="G790" s="10">
        <f>49.1307 * CHOOSE(CONTROL!$C$15, $E$9, 100%, $G$9) + CHOOSE(CONTROL!$C$38, 0.0347, 0)</f>
        <v>49.165399999999998</v>
      </c>
      <c r="H790" s="10">
        <f>49.1307 * CHOOSE(CONTROL!$C$15, $E$9, 100%, $G$9) + CHOOSE(CONTROL!$C$38, 0.0347, 0)</f>
        <v>49.165399999999998</v>
      </c>
      <c r="I790" s="10">
        <f>49.1322 * CHOOSE(CONTROL!$C$15, $E$9, 100%, $G$9) + CHOOSE(CONTROL!$C$38, 0.0347, 0)</f>
        <v>49.166899999999998</v>
      </c>
      <c r="J790" s="26">
        <f>434.6573</f>
        <v>434.65730000000002</v>
      </c>
    </row>
    <row r="791" spans="1:10" ht="15.75" x14ac:dyDescent="0.25">
      <c r="A791" s="13">
        <v>65015</v>
      </c>
      <c r="B791" s="10">
        <f>53.855 * CHOOSE(CONTROL!$C$15, $E$9, 100%, $G$9) + CHOOSE(CONTROL!$C$38, 0.0256, 0)</f>
        <v>53.880599999999994</v>
      </c>
      <c r="C791" s="10">
        <f>49.7283 * CHOOSE(CONTROL!$C$15, $E$9, 100%, $G$9) + CHOOSE(CONTROL!$C$38, 0.0347, 0)</f>
        <v>49.762999999999998</v>
      </c>
      <c r="D791" s="10">
        <f>49.7205 * CHOOSE(CONTROL!$C$15, $E$9, 100%, $G$9) + CHOOSE(CONTROL!$C$38, 0.0347, 0)</f>
        <v>49.755200000000002</v>
      </c>
      <c r="E791" s="28">
        <f>53.6988 * CHOOSE(CONTROL!$C$15, $E$9, 100%, $G$9) + CHOOSE(CONTROL!$C$38, 0.0347, 0)</f>
        <v>53.733499999999999</v>
      </c>
      <c r="F791" s="27">
        <f>53.6988 * CHOOSE(CONTROL!$C$15, $E$9, 100%, $G$9) + CHOOSE(CONTROL!$C$38, 0.0256, 0)</f>
        <v>53.724399999999996</v>
      </c>
      <c r="G791" s="10">
        <f>49.7267 * CHOOSE(CONTROL!$C$15, $E$9, 100%, $G$9) + CHOOSE(CONTROL!$C$38, 0.0347, 0)</f>
        <v>49.761400000000002</v>
      </c>
      <c r="H791" s="10">
        <f>49.7267 * CHOOSE(CONTROL!$C$15, $E$9, 100%, $G$9) + CHOOSE(CONTROL!$C$38, 0.0347, 0)</f>
        <v>49.761400000000002</v>
      </c>
      <c r="I791" s="10">
        <f>49.7283 * CHOOSE(CONTROL!$C$15, $E$9, 100%, $G$9) + CHOOSE(CONTROL!$C$38, 0.0347, 0)</f>
        <v>49.762999999999998</v>
      </c>
      <c r="J791" s="26">
        <f>421.7589</f>
        <v>421.75889999999998</v>
      </c>
    </row>
    <row r="792" spans="1:10" ht="15.75" x14ac:dyDescent="0.25">
      <c r="A792" s="13">
        <v>65046</v>
      </c>
      <c r="B792" s="10">
        <f>55.1894 * CHOOSE(CONTROL!$C$15, $E$9, 100%, $G$9) + CHOOSE(CONTROL!$C$38, 0.0256, 0)</f>
        <v>55.214999999999996</v>
      </c>
      <c r="C792" s="10">
        <f>50.9975 * CHOOSE(CONTROL!$C$15, $E$9, 100%, $G$9) + CHOOSE(CONTROL!$C$38, 0.0347, 0)</f>
        <v>51.032200000000003</v>
      </c>
      <c r="D792" s="10">
        <f>50.9897 * CHOOSE(CONTROL!$C$15, $E$9, 100%, $G$9) + CHOOSE(CONTROL!$C$38, 0.0347, 0)</f>
        <v>51.0244</v>
      </c>
      <c r="E792" s="28">
        <f>55.0332 * CHOOSE(CONTROL!$C$15, $E$9, 100%, $G$9) + CHOOSE(CONTROL!$C$38, 0.0347, 0)</f>
        <v>55.067900000000002</v>
      </c>
      <c r="F792" s="27">
        <f>55.0332 * CHOOSE(CONTROL!$C$15, $E$9, 100%, $G$9) + CHOOSE(CONTROL!$C$38, 0.0256, 0)</f>
        <v>55.058799999999998</v>
      </c>
      <c r="G792" s="10">
        <f>50.996 * CHOOSE(CONTROL!$C$15, $E$9, 100%, $G$9) + CHOOSE(CONTROL!$C$38, 0.0347, 0)</f>
        <v>51.030700000000003</v>
      </c>
      <c r="H792" s="10">
        <f>50.996 * CHOOSE(CONTROL!$C$15, $E$9, 100%, $G$9) + CHOOSE(CONTROL!$C$38, 0.0347, 0)</f>
        <v>51.030700000000003</v>
      </c>
      <c r="I792" s="10">
        <f>50.9975 * CHOOSE(CONTROL!$C$15, $E$9, 100%, $G$9) + CHOOSE(CONTROL!$C$38, 0.0347, 0)</f>
        <v>51.032200000000003</v>
      </c>
      <c r="J792" s="26">
        <f>420.9534</f>
        <v>420.95339999999999</v>
      </c>
    </row>
    <row r="793" spans="1:10" ht="15.75" x14ac:dyDescent="0.25">
      <c r="A793" s="13">
        <v>65074</v>
      </c>
      <c r="B793" s="10">
        <f>55.4102 * CHOOSE(CONTROL!$C$15, $E$9, 100%, $G$9) + CHOOSE(CONTROL!$C$38, 0.0256, 0)</f>
        <v>55.4358</v>
      </c>
      <c r="C793" s="10">
        <f>51.2183 * CHOOSE(CONTROL!$C$15, $E$9, 100%, $G$9) + CHOOSE(CONTROL!$C$38, 0.0347, 0)</f>
        <v>51.253</v>
      </c>
      <c r="D793" s="10">
        <f>51.2105 * CHOOSE(CONTROL!$C$15, $E$9, 100%, $G$9) + CHOOSE(CONTROL!$C$38, 0.0347, 0)</f>
        <v>51.245200000000004</v>
      </c>
      <c r="E793" s="28">
        <f>55.2539 * CHOOSE(CONTROL!$C$15, $E$9, 100%, $G$9) + CHOOSE(CONTROL!$C$38, 0.0347, 0)</f>
        <v>55.288600000000002</v>
      </c>
      <c r="F793" s="27">
        <f>55.2539 * CHOOSE(CONTROL!$C$15, $E$9, 100%, $G$9) + CHOOSE(CONTROL!$C$38, 0.0256, 0)</f>
        <v>55.279499999999999</v>
      </c>
      <c r="G793" s="10">
        <f>51.2167 * CHOOSE(CONTROL!$C$15, $E$9, 100%, $G$9) + CHOOSE(CONTROL!$C$38, 0.0347, 0)</f>
        <v>51.251400000000004</v>
      </c>
      <c r="H793" s="10">
        <f>51.2167 * CHOOSE(CONTROL!$C$15, $E$9, 100%, $G$9) + CHOOSE(CONTROL!$C$38, 0.0347, 0)</f>
        <v>51.251400000000004</v>
      </c>
      <c r="I793" s="10">
        <f>51.2183 * CHOOSE(CONTROL!$C$15, $E$9, 100%, $G$9) + CHOOSE(CONTROL!$C$38, 0.0347, 0)</f>
        <v>51.253</v>
      </c>
      <c r="J793" s="26">
        <f>419.7833</f>
        <v>419.7833</v>
      </c>
    </row>
    <row r="794" spans="1:10" ht="15.75" x14ac:dyDescent="0.25">
      <c r="A794" s="13">
        <v>65105</v>
      </c>
      <c r="B794" s="10">
        <f>54.8991 * CHOOSE(CONTROL!$C$15, $E$9, 100%, $G$9) + CHOOSE(CONTROL!$C$38, 0.0256, 0)</f>
        <v>54.924699999999994</v>
      </c>
      <c r="C794" s="10">
        <f>50.7073 * CHOOSE(CONTROL!$C$15, $E$9, 100%, $G$9) + CHOOSE(CONTROL!$C$38, 0.0347, 0)</f>
        <v>50.741999999999997</v>
      </c>
      <c r="D794" s="10">
        <f>50.6995 * CHOOSE(CONTROL!$C$15, $E$9, 100%, $G$9) + CHOOSE(CONTROL!$C$38, 0.0347, 0)</f>
        <v>50.734200000000001</v>
      </c>
      <c r="E794" s="28">
        <f>54.7429 * CHOOSE(CONTROL!$C$15, $E$9, 100%, $G$9) + CHOOSE(CONTROL!$C$38, 0.0347, 0)</f>
        <v>54.7776</v>
      </c>
      <c r="F794" s="27">
        <f>54.7429 * CHOOSE(CONTROL!$C$15, $E$9, 100%, $G$9) + CHOOSE(CONTROL!$C$38, 0.0256, 0)</f>
        <v>54.768499999999996</v>
      </c>
      <c r="G794" s="10">
        <f>50.7057 * CHOOSE(CONTROL!$C$15, $E$9, 100%, $G$9) + CHOOSE(CONTROL!$C$38, 0.0347, 0)</f>
        <v>50.740400000000001</v>
      </c>
      <c r="H794" s="10">
        <f>50.7057 * CHOOSE(CONTROL!$C$15, $E$9, 100%, $G$9) + CHOOSE(CONTROL!$C$38, 0.0347, 0)</f>
        <v>50.740400000000001</v>
      </c>
      <c r="I794" s="10">
        <f>50.7073 * CHOOSE(CONTROL!$C$15, $E$9, 100%, $G$9) + CHOOSE(CONTROL!$C$38, 0.0347, 0)</f>
        <v>50.741999999999997</v>
      </c>
      <c r="J794" s="26">
        <f>441.9083</f>
        <v>441.9083</v>
      </c>
    </row>
    <row r="795" spans="1:10" ht="15.75" x14ac:dyDescent="0.25">
      <c r="A795" s="13">
        <v>65135</v>
      </c>
      <c r="B795" s="10">
        <f>54.404 * CHOOSE(CONTROL!$C$15, $E$9, 100%, $G$9) + CHOOSE(CONTROL!$C$38, 0.0256, 0)</f>
        <v>54.429600000000001</v>
      </c>
      <c r="C795" s="10">
        <f>50.2121 * CHOOSE(CONTROL!$C$15, $E$9, 100%, $G$9) + CHOOSE(CONTROL!$C$38, 0.0347, 0)</f>
        <v>50.2468</v>
      </c>
      <c r="D795" s="10">
        <f>50.2043 * CHOOSE(CONTROL!$C$15, $E$9, 100%, $G$9) + CHOOSE(CONTROL!$C$38, 0.0347, 0)</f>
        <v>50.239000000000004</v>
      </c>
      <c r="E795" s="28">
        <f>54.2477 * CHOOSE(CONTROL!$C$15, $E$9, 100%, $G$9) + CHOOSE(CONTROL!$C$38, 0.0347, 0)</f>
        <v>54.282400000000003</v>
      </c>
      <c r="F795" s="27">
        <f>54.2477 * CHOOSE(CONTROL!$C$15, $E$9, 100%, $G$9) + CHOOSE(CONTROL!$C$38, 0.0256, 0)</f>
        <v>54.273299999999999</v>
      </c>
      <c r="G795" s="10">
        <f>50.2105 * CHOOSE(CONTROL!$C$15, $E$9, 100%, $G$9) + CHOOSE(CONTROL!$C$38, 0.0347, 0)</f>
        <v>50.245200000000004</v>
      </c>
      <c r="H795" s="10">
        <f>50.2105 * CHOOSE(CONTROL!$C$15, $E$9, 100%, $G$9) + CHOOSE(CONTROL!$C$38, 0.0347, 0)</f>
        <v>50.245200000000004</v>
      </c>
      <c r="I795" s="10">
        <f>50.2121 * CHOOSE(CONTROL!$C$15, $E$9, 100%, $G$9) + CHOOSE(CONTROL!$C$38, 0.0347, 0)</f>
        <v>50.2468</v>
      </c>
      <c r="J795" s="26">
        <f>470.5991</f>
        <v>470.59910000000002</v>
      </c>
    </row>
    <row r="796" spans="1:10" ht="15.75" x14ac:dyDescent="0.25">
      <c r="A796" s="13">
        <v>65166</v>
      </c>
      <c r="B796" s="10">
        <f>53.8878 * CHOOSE(CONTROL!$C$15, $E$9, 100%, $G$9) + CHOOSE(CONTROL!$C$38, 0.0278, 0)</f>
        <v>53.915599999999998</v>
      </c>
      <c r="C796" s="10">
        <f>49.696 * CHOOSE(CONTROL!$C$15, $E$9, 100%, $G$9) + CHOOSE(CONTROL!$C$38, 0.0369, 0)</f>
        <v>49.732900000000001</v>
      </c>
      <c r="D796" s="10">
        <f>49.6882 * CHOOSE(CONTROL!$C$15, $E$9, 100%, $G$9) + CHOOSE(CONTROL!$C$38, 0.0369, 0)</f>
        <v>49.725100000000005</v>
      </c>
      <c r="E796" s="28">
        <f>53.7316 * CHOOSE(CONTROL!$C$15, $E$9, 100%, $G$9) + CHOOSE(CONTROL!$C$38, 0.0369, 0)</f>
        <v>53.768500000000003</v>
      </c>
      <c r="F796" s="27">
        <f>53.7316 * CHOOSE(CONTROL!$C$15, $E$9, 100%, $G$9) + CHOOSE(CONTROL!$C$38, 0.0278, 0)</f>
        <v>53.759399999999999</v>
      </c>
      <c r="G796" s="10">
        <f>49.6944 * CHOOSE(CONTROL!$C$15, $E$9, 100%, $G$9) + CHOOSE(CONTROL!$C$38, 0.0369, 0)</f>
        <v>49.731300000000005</v>
      </c>
      <c r="H796" s="10">
        <f>49.6944 * CHOOSE(CONTROL!$C$15, $E$9, 100%, $G$9) + CHOOSE(CONTROL!$C$38, 0.0369, 0)</f>
        <v>49.731300000000005</v>
      </c>
      <c r="I796" s="10">
        <f>49.696 * CHOOSE(CONTROL!$C$15, $E$9, 100%, $G$9) + CHOOSE(CONTROL!$C$38, 0.0369, 0)</f>
        <v>49.732900000000001</v>
      </c>
      <c r="J796" s="26">
        <f>486.3915</f>
        <v>486.39150000000001</v>
      </c>
    </row>
    <row r="797" spans="1:10" ht="15.75" x14ac:dyDescent="0.25">
      <c r="A797" s="13">
        <v>65196</v>
      </c>
      <c r="B797" s="10">
        <f>53.526 * CHOOSE(CONTROL!$C$15, $E$9, 100%, $G$9) + CHOOSE(CONTROL!$C$38, 0.0278, 0)</f>
        <v>53.553800000000003</v>
      </c>
      <c r="C797" s="10">
        <f>49.3341 * CHOOSE(CONTROL!$C$15, $E$9, 100%, $G$9) + CHOOSE(CONTROL!$C$38, 0.0369, 0)</f>
        <v>49.371000000000002</v>
      </c>
      <c r="D797" s="10">
        <f>49.3263 * CHOOSE(CONTROL!$C$15, $E$9, 100%, $G$9) + CHOOSE(CONTROL!$C$38, 0.0369, 0)</f>
        <v>49.363200000000006</v>
      </c>
      <c r="E797" s="28">
        <f>53.3698 * CHOOSE(CONTROL!$C$15, $E$9, 100%, $G$9) + CHOOSE(CONTROL!$C$38, 0.0369, 0)</f>
        <v>53.406700000000001</v>
      </c>
      <c r="F797" s="27">
        <f>53.3698 * CHOOSE(CONTROL!$C$15, $E$9, 100%, $G$9) + CHOOSE(CONTROL!$C$38, 0.0278, 0)</f>
        <v>53.397599999999997</v>
      </c>
      <c r="G797" s="10">
        <f>49.3326 * CHOOSE(CONTROL!$C$15, $E$9, 100%, $G$9) + CHOOSE(CONTROL!$C$38, 0.0369, 0)</f>
        <v>49.369500000000002</v>
      </c>
      <c r="H797" s="10">
        <f>49.3326 * CHOOSE(CONTROL!$C$15, $E$9, 100%, $G$9) + CHOOSE(CONTROL!$C$38, 0.0369, 0)</f>
        <v>49.369500000000002</v>
      </c>
      <c r="I797" s="10">
        <f>49.3341 * CHOOSE(CONTROL!$C$15, $E$9, 100%, $G$9) + CHOOSE(CONTROL!$C$38, 0.0369, 0)</f>
        <v>49.371000000000002</v>
      </c>
      <c r="J797" s="26">
        <f>493.3999</f>
        <v>493.3999</v>
      </c>
    </row>
    <row r="798" spans="1:10" ht="15.75" x14ac:dyDescent="0.25">
      <c r="A798" s="13">
        <v>65227</v>
      </c>
      <c r="B798" s="10">
        <f>53.3195 * CHOOSE(CONTROL!$C$15, $E$9, 100%, $G$9) + CHOOSE(CONTROL!$C$38, 0.0278, 0)</f>
        <v>53.347299999999997</v>
      </c>
      <c r="C798" s="10">
        <f>49.1277 * CHOOSE(CONTROL!$C$15, $E$9, 100%, $G$9) + CHOOSE(CONTROL!$C$38, 0.0369, 0)</f>
        <v>49.1646</v>
      </c>
      <c r="D798" s="10">
        <f>49.1198 * CHOOSE(CONTROL!$C$15, $E$9, 100%, $G$9) + CHOOSE(CONTROL!$C$38, 0.0369, 0)</f>
        <v>49.156700000000001</v>
      </c>
      <c r="E798" s="28">
        <f>53.1633 * CHOOSE(CONTROL!$C$15, $E$9, 100%, $G$9) + CHOOSE(CONTROL!$C$38, 0.0369, 0)</f>
        <v>53.200200000000002</v>
      </c>
      <c r="F798" s="27">
        <f>53.1633 * CHOOSE(CONTROL!$C$15, $E$9, 100%, $G$9) + CHOOSE(CONTROL!$C$38, 0.0278, 0)</f>
        <v>53.191099999999999</v>
      </c>
      <c r="G798" s="10">
        <f>49.1261 * CHOOSE(CONTROL!$C$15, $E$9, 100%, $G$9) + CHOOSE(CONTROL!$C$38, 0.0369, 0)</f>
        <v>49.163000000000004</v>
      </c>
      <c r="H798" s="10">
        <f>49.1261 * CHOOSE(CONTROL!$C$15, $E$9, 100%, $G$9) + CHOOSE(CONTROL!$C$38, 0.0369, 0)</f>
        <v>49.163000000000004</v>
      </c>
      <c r="I798" s="10">
        <f>49.1277 * CHOOSE(CONTROL!$C$15, $E$9, 100%, $G$9) + CHOOSE(CONTROL!$C$38, 0.0369, 0)</f>
        <v>49.1646</v>
      </c>
      <c r="J798" s="26">
        <f>491.0924</f>
        <v>491.0924</v>
      </c>
    </row>
    <row r="799" spans="1:10" ht="15.75" x14ac:dyDescent="0.25">
      <c r="A799" s="13">
        <v>65258</v>
      </c>
      <c r="B799" s="10">
        <f>53.4214 * CHOOSE(CONTROL!$C$15, $E$9, 100%, $G$9) + CHOOSE(CONTROL!$C$38, 0.0278, 0)</f>
        <v>53.449199999999998</v>
      </c>
      <c r="C799" s="10">
        <f>49.2296 * CHOOSE(CONTROL!$C$15, $E$9, 100%, $G$9) + CHOOSE(CONTROL!$C$38, 0.0369, 0)</f>
        <v>49.266500000000001</v>
      </c>
      <c r="D799" s="10">
        <f>49.2218 * CHOOSE(CONTROL!$C$15, $E$9, 100%, $G$9) + CHOOSE(CONTROL!$C$38, 0.0369, 0)</f>
        <v>49.258700000000005</v>
      </c>
      <c r="E799" s="28">
        <f>53.2652 * CHOOSE(CONTROL!$C$15, $E$9, 100%, $G$9) + CHOOSE(CONTROL!$C$38, 0.0369, 0)</f>
        <v>53.302100000000003</v>
      </c>
      <c r="F799" s="27">
        <f>53.2652 * CHOOSE(CONTROL!$C$15, $E$9, 100%, $G$9) + CHOOSE(CONTROL!$C$38, 0.0278, 0)</f>
        <v>53.292999999999999</v>
      </c>
      <c r="G799" s="10">
        <f>49.228 * CHOOSE(CONTROL!$C$15, $E$9, 100%, $G$9) + CHOOSE(CONTROL!$C$38, 0.0369, 0)</f>
        <v>49.264900000000004</v>
      </c>
      <c r="H799" s="10">
        <f>49.228 * CHOOSE(CONTROL!$C$15, $E$9, 100%, $G$9) + CHOOSE(CONTROL!$C$38, 0.0369, 0)</f>
        <v>49.264900000000004</v>
      </c>
      <c r="I799" s="10">
        <f>49.2296 * CHOOSE(CONTROL!$C$15, $E$9, 100%, $G$9) + CHOOSE(CONTROL!$C$38, 0.0369, 0)</f>
        <v>49.266500000000001</v>
      </c>
      <c r="J799" s="26">
        <f>479.66</f>
        <v>479.66</v>
      </c>
    </row>
    <row r="800" spans="1:10" ht="15.75" x14ac:dyDescent="0.25">
      <c r="A800" s="13">
        <v>65288</v>
      </c>
      <c r="B800" s="10">
        <f>53.6982 * CHOOSE(CONTROL!$C$15, $E$9, 100%, $G$9) + CHOOSE(CONTROL!$C$38, 0.0278, 0)</f>
        <v>53.725999999999999</v>
      </c>
      <c r="C800" s="10">
        <f>49.5064 * CHOOSE(CONTROL!$C$15, $E$9, 100%, $G$9) + CHOOSE(CONTROL!$C$38, 0.0369, 0)</f>
        <v>49.543300000000002</v>
      </c>
      <c r="D800" s="10">
        <f>49.4986 * CHOOSE(CONTROL!$C$15, $E$9, 100%, $G$9) + CHOOSE(CONTROL!$C$38, 0.0369, 0)</f>
        <v>49.535500000000006</v>
      </c>
      <c r="E800" s="28">
        <f>53.542 * CHOOSE(CONTROL!$C$15, $E$9, 100%, $G$9) + CHOOSE(CONTROL!$C$38, 0.0369, 0)</f>
        <v>53.578900000000004</v>
      </c>
      <c r="F800" s="27">
        <f>53.542 * CHOOSE(CONTROL!$C$15, $E$9, 100%, $G$9) + CHOOSE(CONTROL!$C$38, 0.0278, 0)</f>
        <v>53.569800000000001</v>
      </c>
      <c r="G800" s="10">
        <f>49.5048 * CHOOSE(CONTROL!$C$15, $E$9, 100%, $G$9) + CHOOSE(CONTROL!$C$38, 0.0369, 0)</f>
        <v>49.541700000000006</v>
      </c>
      <c r="H800" s="10">
        <f>49.5048 * CHOOSE(CONTROL!$C$15, $E$9, 100%, $G$9) + CHOOSE(CONTROL!$C$38, 0.0369, 0)</f>
        <v>49.541700000000006</v>
      </c>
      <c r="I800" s="10">
        <f>49.5064 * CHOOSE(CONTROL!$C$15, $E$9, 100%, $G$9) + CHOOSE(CONTROL!$C$38, 0.0369, 0)</f>
        <v>49.543300000000002</v>
      </c>
      <c r="J800" s="26">
        <f>463.7169</f>
        <v>463.71690000000001</v>
      </c>
    </row>
    <row r="801" spans="1:10" ht="15.75" x14ac:dyDescent="0.25">
      <c r="A801" s="13">
        <v>65319</v>
      </c>
      <c r="B801" s="10">
        <f>53.93 * CHOOSE(CONTROL!$C$15, $E$9, 100%, $G$9) + CHOOSE(CONTROL!$C$38, 0.0256, 0)</f>
        <v>53.955599999999997</v>
      </c>
      <c r="C801" s="10">
        <f>49.7382 * CHOOSE(CONTROL!$C$15, $E$9, 100%, $G$9) + CHOOSE(CONTROL!$C$38, 0.0347, 0)</f>
        <v>49.7729</v>
      </c>
      <c r="D801" s="10">
        <f>49.7304 * CHOOSE(CONTROL!$C$15, $E$9, 100%, $G$9) + CHOOSE(CONTROL!$C$38, 0.0347, 0)</f>
        <v>49.765100000000004</v>
      </c>
      <c r="E801" s="28">
        <f>53.7738 * CHOOSE(CONTROL!$C$15, $E$9, 100%, $G$9) + CHOOSE(CONTROL!$C$38, 0.0347, 0)</f>
        <v>53.808500000000002</v>
      </c>
      <c r="F801" s="27">
        <f>53.7738 * CHOOSE(CONTROL!$C$15, $E$9, 100%, $G$9) + CHOOSE(CONTROL!$C$38, 0.0256, 0)</f>
        <v>53.799399999999999</v>
      </c>
      <c r="G801" s="10">
        <f>49.7366 * CHOOSE(CONTROL!$C$15, $E$9, 100%, $G$9) + CHOOSE(CONTROL!$C$38, 0.0347, 0)</f>
        <v>49.771300000000004</v>
      </c>
      <c r="H801" s="10">
        <f>49.7366 * CHOOSE(CONTROL!$C$15, $E$9, 100%, $G$9) + CHOOSE(CONTROL!$C$38, 0.0347, 0)</f>
        <v>49.771300000000004</v>
      </c>
      <c r="I801" s="10">
        <f>49.7382 * CHOOSE(CONTROL!$C$15, $E$9, 100%, $G$9) + CHOOSE(CONTROL!$C$38, 0.0347, 0)</f>
        <v>49.7729</v>
      </c>
      <c r="J801" s="26">
        <f>447.6811</f>
        <v>447.68110000000001</v>
      </c>
    </row>
    <row r="802" spans="1:10" ht="15.75" x14ac:dyDescent="0.25">
      <c r="A802" s="13">
        <v>65349</v>
      </c>
      <c r="B802" s="10">
        <f>54.1235 * CHOOSE(CONTROL!$C$15, $E$9, 100%, $G$9) + CHOOSE(CONTROL!$C$38, 0.0256, 0)</f>
        <v>54.149099999999997</v>
      </c>
      <c r="C802" s="10">
        <f>49.9316 * CHOOSE(CONTROL!$C$15, $E$9, 100%, $G$9) + CHOOSE(CONTROL!$C$38, 0.0347, 0)</f>
        <v>49.966300000000004</v>
      </c>
      <c r="D802" s="10">
        <f>49.9238 * CHOOSE(CONTROL!$C$15, $E$9, 100%, $G$9) + CHOOSE(CONTROL!$C$38, 0.0347, 0)</f>
        <v>49.958500000000001</v>
      </c>
      <c r="E802" s="28">
        <f>53.9672 * CHOOSE(CONTROL!$C$15, $E$9, 100%, $G$9) + CHOOSE(CONTROL!$C$38, 0.0347, 0)</f>
        <v>54.001899999999999</v>
      </c>
      <c r="F802" s="27">
        <f>53.9672 * CHOOSE(CONTROL!$C$15, $E$9, 100%, $G$9) + CHOOSE(CONTROL!$C$38, 0.0256, 0)</f>
        <v>53.992799999999995</v>
      </c>
      <c r="G802" s="10">
        <f>49.9301 * CHOOSE(CONTROL!$C$15, $E$9, 100%, $G$9) + CHOOSE(CONTROL!$C$38, 0.0347, 0)</f>
        <v>49.964800000000004</v>
      </c>
      <c r="H802" s="10">
        <f>49.9301 * CHOOSE(CONTROL!$C$15, $E$9, 100%, $G$9) + CHOOSE(CONTROL!$C$38, 0.0347, 0)</f>
        <v>49.964800000000004</v>
      </c>
      <c r="I802" s="10">
        <f>49.9316 * CHOOSE(CONTROL!$C$15, $E$9, 100%, $G$9) + CHOOSE(CONTROL!$C$38, 0.0347, 0)</f>
        <v>49.966300000000004</v>
      </c>
      <c r="J802" s="26">
        <f>444.4912</f>
        <v>444.49119999999999</v>
      </c>
    </row>
    <row r="803" spans="1:10" ht="15.75" x14ac:dyDescent="0.25">
      <c r="A803" s="13">
        <v>65380</v>
      </c>
      <c r="B803" s="10">
        <f>54.7196 * CHOOSE(CONTROL!$C$15, $E$9, 100%, $G$9) + CHOOSE(CONTROL!$C$38, 0.0256, 0)</f>
        <v>54.745199999999997</v>
      </c>
      <c r="C803" s="10">
        <f>50.5277 * CHOOSE(CONTROL!$C$15, $E$9, 100%, $G$9) + CHOOSE(CONTROL!$C$38, 0.0347, 0)</f>
        <v>50.562400000000004</v>
      </c>
      <c r="D803" s="10">
        <f>50.5199 * CHOOSE(CONTROL!$C$15, $E$9, 100%, $G$9) + CHOOSE(CONTROL!$C$38, 0.0347, 0)</f>
        <v>50.554600000000001</v>
      </c>
      <c r="E803" s="28">
        <f>54.5633 * CHOOSE(CONTROL!$C$15, $E$9, 100%, $G$9) + CHOOSE(CONTROL!$C$38, 0.0347, 0)</f>
        <v>54.597999999999999</v>
      </c>
      <c r="F803" s="27">
        <f>54.5633 * CHOOSE(CONTROL!$C$15, $E$9, 100%, $G$9) + CHOOSE(CONTROL!$C$38, 0.0256, 0)</f>
        <v>54.588899999999995</v>
      </c>
      <c r="G803" s="10">
        <f>50.5261 * CHOOSE(CONTROL!$C$15, $E$9, 100%, $G$9) + CHOOSE(CONTROL!$C$38, 0.0347, 0)</f>
        <v>50.5608</v>
      </c>
      <c r="H803" s="10">
        <f>50.5261 * CHOOSE(CONTROL!$C$15, $E$9, 100%, $G$9) + CHOOSE(CONTROL!$C$38, 0.0347, 0)</f>
        <v>50.5608</v>
      </c>
      <c r="I803" s="10">
        <f>50.5277 * CHOOSE(CONTROL!$C$15, $E$9, 100%, $G$9) + CHOOSE(CONTROL!$C$38, 0.0347, 0)</f>
        <v>50.562400000000004</v>
      </c>
      <c r="J803" s="26">
        <f>431.3009</f>
        <v>431.30090000000001</v>
      </c>
    </row>
    <row r="804" spans="1:10" ht="15.75" x14ac:dyDescent="0.25">
      <c r="A804" s="13">
        <v>65411</v>
      </c>
      <c r="B804" s="10">
        <f>56.0681 * CHOOSE(CONTROL!$C$15, $E$9, 100%, $G$9) + CHOOSE(CONTROL!$C$38, 0.0256, 0)</f>
        <v>56.093699999999998</v>
      </c>
      <c r="C804" s="10">
        <f>51.8101 * CHOOSE(CONTROL!$C$15, $E$9, 100%, $G$9) + CHOOSE(CONTROL!$C$38, 0.0347, 0)</f>
        <v>51.844799999999999</v>
      </c>
      <c r="D804" s="10">
        <f>51.8022 * CHOOSE(CONTROL!$C$15, $E$9, 100%, $G$9) + CHOOSE(CONTROL!$C$38, 0.0347, 0)</f>
        <v>51.8369</v>
      </c>
      <c r="E804" s="28">
        <f>55.9118 * CHOOSE(CONTROL!$C$15, $E$9, 100%, $G$9) + CHOOSE(CONTROL!$C$38, 0.0347, 0)</f>
        <v>55.9465</v>
      </c>
      <c r="F804" s="27">
        <f>55.9118 * CHOOSE(CONTROL!$C$15, $E$9, 100%, $G$9) + CHOOSE(CONTROL!$C$38, 0.0256, 0)</f>
        <v>55.937399999999997</v>
      </c>
      <c r="G804" s="10">
        <f>51.8085 * CHOOSE(CONTROL!$C$15, $E$9, 100%, $G$9) + CHOOSE(CONTROL!$C$38, 0.0347, 0)</f>
        <v>51.843200000000003</v>
      </c>
      <c r="H804" s="10">
        <f>51.8085 * CHOOSE(CONTROL!$C$15, $E$9, 100%, $G$9) + CHOOSE(CONTROL!$C$38, 0.0347, 0)</f>
        <v>51.843200000000003</v>
      </c>
      <c r="I804" s="10">
        <f>51.8101 * CHOOSE(CONTROL!$C$15, $E$9, 100%, $G$9) + CHOOSE(CONTROL!$C$38, 0.0347, 0)</f>
        <v>51.844799999999999</v>
      </c>
      <c r="J804" s="26">
        <f>430.4772</f>
        <v>430.47719999999998</v>
      </c>
    </row>
    <row r="805" spans="1:10" ht="15.75" x14ac:dyDescent="0.25">
      <c r="A805" s="13">
        <v>65439</v>
      </c>
      <c r="B805" s="10">
        <f>56.2888 * CHOOSE(CONTROL!$C$15, $E$9, 100%, $G$9) + CHOOSE(CONTROL!$C$38, 0.0256, 0)</f>
        <v>56.314399999999999</v>
      </c>
      <c r="C805" s="10">
        <f>52.0308 * CHOOSE(CONTROL!$C$15, $E$9, 100%, $G$9) + CHOOSE(CONTROL!$C$38, 0.0347, 0)</f>
        <v>52.0655</v>
      </c>
      <c r="D805" s="10">
        <f>52.023 * CHOOSE(CONTROL!$C$15, $E$9, 100%, $G$9) + CHOOSE(CONTROL!$C$38, 0.0347, 0)</f>
        <v>52.057700000000004</v>
      </c>
      <c r="E805" s="28">
        <f>56.1326 * CHOOSE(CONTROL!$C$15, $E$9, 100%, $G$9) + CHOOSE(CONTROL!$C$38, 0.0347, 0)</f>
        <v>56.167299999999997</v>
      </c>
      <c r="F805" s="27">
        <f>56.1326 * CHOOSE(CONTROL!$C$15, $E$9, 100%, $G$9) + CHOOSE(CONTROL!$C$38, 0.0256, 0)</f>
        <v>56.158199999999994</v>
      </c>
      <c r="G805" s="10">
        <f>52.0293 * CHOOSE(CONTROL!$C$15, $E$9, 100%, $G$9) + CHOOSE(CONTROL!$C$38, 0.0347, 0)</f>
        <v>52.064</v>
      </c>
      <c r="H805" s="10">
        <f>52.0293 * CHOOSE(CONTROL!$C$15, $E$9, 100%, $G$9) + CHOOSE(CONTROL!$C$38, 0.0347, 0)</f>
        <v>52.064</v>
      </c>
      <c r="I805" s="10">
        <f>52.0308 * CHOOSE(CONTROL!$C$15, $E$9, 100%, $G$9) + CHOOSE(CONTROL!$C$38, 0.0347, 0)</f>
        <v>52.0655</v>
      </c>
      <c r="J805" s="26">
        <f>429.2807</f>
        <v>429.28070000000002</v>
      </c>
    </row>
    <row r="806" spans="1:10" ht="15.75" x14ac:dyDescent="0.25">
      <c r="A806" s="13">
        <v>65470</v>
      </c>
      <c r="B806" s="10">
        <f>55.7778 * CHOOSE(CONTROL!$C$15, $E$9, 100%, $G$9) + CHOOSE(CONTROL!$C$38, 0.0256, 0)</f>
        <v>55.803399999999996</v>
      </c>
      <c r="C806" s="10">
        <f>51.5198 * CHOOSE(CONTROL!$C$15, $E$9, 100%, $G$9) + CHOOSE(CONTROL!$C$38, 0.0347, 0)</f>
        <v>51.554499999999997</v>
      </c>
      <c r="D806" s="10">
        <f>51.512 * CHOOSE(CONTROL!$C$15, $E$9, 100%, $G$9) + CHOOSE(CONTROL!$C$38, 0.0347, 0)</f>
        <v>51.546700000000001</v>
      </c>
      <c r="E806" s="28">
        <f>55.6216 * CHOOSE(CONTROL!$C$15, $E$9, 100%, $G$9) + CHOOSE(CONTROL!$C$38, 0.0347, 0)</f>
        <v>55.656300000000002</v>
      </c>
      <c r="F806" s="27">
        <f>55.6216 * CHOOSE(CONTROL!$C$15, $E$9, 100%, $G$9) + CHOOSE(CONTROL!$C$38, 0.0256, 0)</f>
        <v>55.647199999999998</v>
      </c>
      <c r="G806" s="10">
        <f>51.5182 * CHOOSE(CONTROL!$C$15, $E$9, 100%, $G$9) + CHOOSE(CONTROL!$C$38, 0.0347, 0)</f>
        <v>51.552900000000001</v>
      </c>
      <c r="H806" s="10">
        <f>51.5182 * CHOOSE(CONTROL!$C$15, $E$9, 100%, $G$9) + CHOOSE(CONTROL!$C$38, 0.0347, 0)</f>
        <v>51.552900000000001</v>
      </c>
      <c r="I806" s="10">
        <f>51.5198 * CHOOSE(CONTROL!$C$15, $E$9, 100%, $G$9) + CHOOSE(CONTROL!$C$38, 0.0347, 0)</f>
        <v>51.554499999999997</v>
      </c>
      <c r="J806" s="26">
        <f>451.9062</f>
        <v>451.90620000000001</v>
      </c>
    </row>
    <row r="807" spans="1:10" ht="15.75" x14ac:dyDescent="0.25">
      <c r="A807" s="13">
        <v>65500</v>
      </c>
      <c r="B807" s="10">
        <f>55.2826 * CHOOSE(CONTROL!$C$15, $E$9, 100%, $G$9) + CHOOSE(CONTROL!$C$38, 0.0256, 0)</f>
        <v>55.308199999999999</v>
      </c>
      <c r="C807" s="10">
        <f>51.0246 * CHOOSE(CONTROL!$C$15, $E$9, 100%, $G$9) + CHOOSE(CONTROL!$C$38, 0.0347, 0)</f>
        <v>51.0593</v>
      </c>
      <c r="D807" s="10">
        <f>51.0168 * CHOOSE(CONTROL!$C$15, $E$9, 100%, $G$9) + CHOOSE(CONTROL!$C$38, 0.0347, 0)</f>
        <v>51.051500000000004</v>
      </c>
      <c r="E807" s="28">
        <f>55.1264 * CHOOSE(CONTROL!$C$15, $E$9, 100%, $G$9) + CHOOSE(CONTROL!$C$38, 0.0347, 0)</f>
        <v>55.161099999999998</v>
      </c>
      <c r="F807" s="27">
        <f>55.1264 * CHOOSE(CONTROL!$C$15, $E$9, 100%, $G$9) + CHOOSE(CONTROL!$C$38, 0.0256, 0)</f>
        <v>55.151999999999994</v>
      </c>
      <c r="G807" s="10">
        <f>51.023 * CHOOSE(CONTROL!$C$15, $E$9, 100%, $G$9) + CHOOSE(CONTROL!$C$38, 0.0347, 0)</f>
        <v>51.057700000000004</v>
      </c>
      <c r="H807" s="10">
        <f>51.023 * CHOOSE(CONTROL!$C$15, $E$9, 100%, $G$9) + CHOOSE(CONTROL!$C$38, 0.0347, 0)</f>
        <v>51.057700000000004</v>
      </c>
      <c r="I807" s="10">
        <f>51.0246 * CHOOSE(CONTROL!$C$15, $E$9, 100%, $G$9) + CHOOSE(CONTROL!$C$38, 0.0347, 0)</f>
        <v>51.0593</v>
      </c>
      <c r="J807" s="26">
        <f>481.2462</f>
        <v>481.24619999999999</v>
      </c>
    </row>
    <row r="808" spans="1:10" ht="15.75" x14ac:dyDescent="0.25">
      <c r="A808" s="13">
        <v>65531</v>
      </c>
      <c r="B808" s="10">
        <f>54.7665 * CHOOSE(CONTROL!$C$15, $E$9, 100%, $G$9) + CHOOSE(CONTROL!$C$38, 0.0278, 0)</f>
        <v>54.7943</v>
      </c>
      <c r="C808" s="10">
        <f>50.5085 * CHOOSE(CONTROL!$C$15, $E$9, 100%, $G$9) + CHOOSE(CONTROL!$C$38, 0.0369, 0)</f>
        <v>50.545400000000001</v>
      </c>
      <c r="D808" s="10">
        <f>50.5007 * CHOOSE(CONTROL!$C$15, $E$9, 100%, $G$9) + CHOOSE(CONTROL!$C$38, 0.0369, 0)</f>
        <v>50.537600000000005</v>
      </c>
      <c r="E808" s="28">
        <f>54.6103 * CHOOSE(CONTROL!$C$15, $E$9, 100%, $G$9) + CHOOSE(CONTROL!$C$38, 0.0369, 0)</f>
        <v>54.647200000000005</v>
      </c>
      <c r="F808" s="27">
        <f>54.6103 * CHOOSE(CONTROL!$C$15, $E$9, 100%, $G$9) + CHOOSE(CONTROL!$C$38, 0.0278, 0)</f>
        <v>54.638100000000001</v>
      </c>
      <c r="G808" s="10">
        <f>50.5069 * CHOOSE(CONTROL!$C$15, $E$9, 100%, $G$9) + CHOOSE(CONTROL!$C$38, 0.0369, 0)</f>
        <v>50.543800000000005</v>
      </c>
      <c r="H808" s="10">
        <f>50.5069 * CHOOSE(CONTROL!$C$15, $E$9, 100%, $G$9) + CHOOSE(CONTROL!$C$38, 0.0369, 0)</f>
        <v>50.543800000000005</v>
      </c>
      <c r="I808" s="10">
        <f>50.5085 * CHOOSE(CONTROL!$C$15, $E$9, 100%, $G$9) + CHOOSE(CONTROL!$C$38, 0.0369, 0)</f>
        <v>50.545400000000001</v>
      </c>
      <c r="J808" s="26">
        <f>497.3959</f>
        <v>497.39589999999998</v>
      </c>
    </row>
    <row r="809" spans="1:10" ht="15.75" x14ac:dyDescent="0.25">
      <c r="A809" s="13">
        <v>65561</v>
      </c>
      <c r="B809" s="10">
        <f>54.4047 * CHOOSE(CONTROL!$C$15, $E$9, 100%, $G$9) + CHOOSE(CONTROL!$C$38, 0.0278, 0)</f>
        <v>54.432499999999997</v>
      </c>
      <c r="C809" s="10">
        <f>50.1467 * CHOOSE(CONTROL!$C$15, $E$9, 100%, $G$9) + CHOOSE(CONTROL!$C$38, 0.0369, 0)</f>
        <v>50.183600000000006</v>
      </c>
      <c r="D809" s="10">
        <f>50.1388 * CHOOSE(CONTROL!$C$15, $E$9, 100%, $G$9) + CHOOSE(CONTROL!$C$38, 0.0369, 0)</f>
        <v>50.175700000000006</v>
      </c>
      <c r="E809" s="28">
        <f>54.2484 * CHOOSE(CONTROL!$C$15, $E$9, 100%, $G$9) + CHOOSE(CONTROL!$C$38, 0.0369, 0)</f>
        <v>54.285299999999999</v>
      </c>
      <c r="F809" s="27">
        <f>54.2484 * CHOOSE(CONTROL!$C$15, $E$9, 100%, $G$9) + CHOOSE(CONTROL!$C$38, 0.0278, 0)</f>
        <v>54.276199999999996</v>
      </c>
      <c r="G809" s="10">
        <f>50.1451 * CHOOSE(CONTROL!$C$15, $E$9, 100%, $G$9) + CHOOSE(CONTROL!$C$38, 0.0369, 0)</f>
        <v>50.182000000000002</v>
      </c>
      <c r="H809" s="10">
        <f>50.1451 * CHOOSE(CONTROL!$C$15, $E$9, 100%, $G$9) + CHOOSE(CONTROL!$C$38, 0.0369, 0)</f>
        <v>50.182000000000002</v>
      </c>
      <c r="I809" s="10">
        <f>50.1467 * CHOOSE(CONTROL!$C$15, $E$9, 100%, $G$9) + CHOOSE(CONTROL!$C$38, 0.0369, 0)</f>
        <v>50.183600000000006</v>
      </c>
      <c r="J809" s="26">
        <f>504.5628</f>
        <v>504.56279999999998</v>
      </c>
    </row>
    <row r="810" spans="1:10" ht="15.75" x14ac:dyDescent="0.25">
      <c r="A810" s="13">
        <v>65592</v>
      </c>
      <c r="B810" s="10">
        <f>54.1982 * CHOOSE(CONTROL!$C$15, $E$9, 100%, $G$9) + CHOOSE(CONTROL!$C$38, 0.0278, 0)</f>
        <v>54.225999999999999</v>
      </c>
      <c r="C810" s="10">
        <f>49.9402 * CHOOSE(CONTROL!$C$15, $E$9, 100%, $G$9) + CHOOSE(CONTROL!$C$38, 0.0369, 0)</f>
        <v>49.9771</v>
      </c>
      <c r="D810" s="10">
        <f>49.9324 * CHOOSE(CONTROL!$C$15, $E$9, 100%, $G$9) + CHOOSE(CONTROL!$C$38, 0.0369, 0)</f>
        <v>49.969300000000004</v>
      </c>
      <c r="E810" s="28">
        <f>54.0419 * CHOOSE(CONTROL!$C$15, $E$9, 100%, $G$9) + CHOOSE(CONTROL!$C$38, 0.0369, 0)</f>
        <v>54.078800000000001</v>
      </c>
      <c r="F810" s="27">
        <f>54.0419 * CHOOSE(CONTROL!$C$15, $E$9, 100%, $G$9) + CHOOSE(CONTROL!$C$38, 0.0278, 0)</f>
        <v>54.069699999999997</v>
      </c>
      <c r="G810" s="10">
        <f>49.9386 * CHOOSE(CONTROL!$C$15, $E$9, 100%, $G$9) + CHOOSE(CONTROL!$C$38, 0.0369, 0)</f>
        <v>49.975500000000004</v>
      </c>
      <c r="H810" s="10">
        <f>49.9386 * CHOOSE(CONTROL!$C$15, $E$9, 100%, $G$9) + CHOOSE(CONTROL!$C$38, 0.0369, 0)</f>
        <v>49.975500000000004</v>
      </c>
      <c r="I810" s="10">
        <f>49.9402 * CHOOSE(CONTROL!$C$15, $E$9, 100%, $G$9) + CHOOSE(CONTROL!$C$38, 0.0369, 0)</f>
        <v>49.9771</v>
      </c>
      <c r="J810" s="26">
        <f>502.2031</f>
        <v>502.20310000000001</v>
      </c>
    </row>
    <row r="811" spans="1:10" ht="15.75" x14ac:dyDescent="0.25">
      <c r="A811" s="13">
        <v>65623</v>
      </c>
      <c r="B811" s="10">
        <f>54.3001 * CHOOSE(CONTROL!$C$15, $E$9, 100%, $G$9) + CHOOSE(CONTROL!$C$38, 0.0278, 0)</f>
        <v>54.3279</v>
      </c>
      <c r="C811" s="10">
        <f>50.0421 * CHOOSE(CONTROL!$C$15, $E$9, 100%, $G$9) + CHOOSE(CONTROL!$C$38, 0.0369, 0)</f>
        <v>50.079000000000001</v>
      </c>
      <c r="D811" s="10">
        <f>50.0343 * CHOOSE(CONTROL!$C$15, $E$9, 100%, $G$9) + CHOOSE(CONTROL!$C$38, 0.0369, 0)</f>
        <v>50.071200000000005</v>
      </c>
      <c r="E811" s="28">
        <f>54.1439 * CHOOSE(CONTROL!$C$15, $E$9, 100%, $G$9) + CHOOSE(CONTROL!$C$38, 0.0369, 0)</f>
        <v>54.180800000000005</v>
      </c>
      <c r="F811" s="27">
        <f>54.1439 * CHOOSE(CONTROL!$C$15, $E$9, 100%, $G$9) + CHOOSE(CONTROL!$C$38, 0.0278, 0)</f>
        <v>54.171700000000001</v>
      </c>
      <c r="G811" s="10">
        <f>50.0405 * CHOOSE(CONTROL!$C$15, $E$9, 100%, $G$9) + CHOOSE(CONTROL!$C$38, 0.0369, 0)</f>
        <v>50.077400000000004</v>
      </c>
      <c r="H811" s="10">
        <f>50.0405 * CHOOSE(CONTROL!$C$15, $E$9, 100%, $G$9) + CHOOSE(CONTROL!$C$38, 0.0369, 0)</f>
        <v>50.077400000000004</v>
      </c>
      <c r="I811" s="10">
        <f>50.0421 * CHOOSE(CONTROL!$C$15, $E$9, 100%, $G$9) + CHOOSE(CONTROL!$C$38, 0.0369, 0)</f>
        <v>50.079000000000001</v>
      </c>
      <c r="J811" s="26">
        <f>490.512</f>
        <v>490.512</v>
      </c>
    </row>
    <row r="812" spans="1:10" ht="15.75" x14ac:dyDescent="0.25">
      <c r="A812" s="13">
        <v>65653</v>
      </c>
      <c r="B812" s="10">
        <f>54.5769 * CHOOSE(CONTROL!$C$15, $E$9, 100%, $G$9) + CHOOSE(CONTROL!$C$38, 0.0278, 0)</f>
        <v>54.604700000000001</v>
      </c>
      <c r="C812" s="10">
        <f>50.3189 * CHOOSE(CONTROL!$C$15, $E$9, 100%, $G$9) + CHOOSE(CONTROL!$C$38, 0.0369, 0)</f>
        <v>50.355800000000002</v>
      </c>
      <c r="D812" s="10">
        <f>50.3111 * CHOOSE(CONTROL!$C$15, $E$9, 100%, $G$9) + CHOOSE(CONTROL!$C$38, 0.0369, 0)</f>
        <v>50.348000000000006</v>
      </c>
      <c r="E812" s="28">
        <f>54.4206 * CHOOSE(CONTROL!$C$15, $E$9, 100%, $G$9) + CHOOSE(CONTROL!$C$38, 0.0369, 0)</f>
        <v>54.457500000000003</v>
      </c>
      <c r="F812" s="27">
        <f>54.4206 * CHOOSE(CONTROL!$C$15, $E$9, 100%, $G$9) + CHOOSE(CONTROL!$C$38, 0.0278, 0)</f>
        <v>54.448399999999999</v>
      </c>
      <c r="G812" s="10">
        <f>50.3173 * CHOOSE(CONTROL!$C$15, $E$9, 100%, $G$9) + CHOOSE(CONTROL!$C$38, 0.0369, 0)</f>
        <v>50.354200000000006</v>
      </c>
      <c r="H812" s="10">
        <f>50.3173 * CHOOSE(CONTROL!$C$15, $E$9, 100%, $G$9) + CHOOSE(CONTROL!$C$38, 0.0369, 0)</f>
        <v>50.354200000000006</v>
      </c>
      <c r="I812" s="10">
        <f>50.3189 * CHOOSE(CONTROL!$C$15, $E$9, 100%, $G$9) + CHOOSE(CONTROL!$C$38, 0.0369, 0)</f>
        <v>50.355800000000002</v>
      </c>
      <c r="J812" s="26">
        <f>474.2083</f>
        <v>474.20830000000001</v>
      </c>
    </row>
    <row r="813" spans="1:10" ht="15.75" x14ac:dyDescent="0.25">
      <c r="A813" s="13">
        <v>65684</v>
      </c>
      <c r="B813" s="10">
        <f>54.8087 * CHOOSE(CONTROL!$C$15, $E$9, 100%, $G$9) + CHOOSE(CONTROL!$C$38, 0.0256, 0)</f>
        <v>54.834299999999999</v>
      </c>
      <c r="C813" s="10">
        <f>50.5507 * CHOOSE(CONTROL!$C$15, $E$9, 100%, $G$9) + CHOOSE(CONTROL!$C$38, 0.0347, 0)</f>
        <v>50.5854</v>
      </c>
      <c r="D813" s="10">
        <f>50.5429 * CHOOSE(CONTROL!$C$15, $E$9, 100%, $G$9) + CHOOSE(CONTROL!$C$38, 0.0347, 0)</f>
        <v>50.577600000000004</v>
      </c>
      <c r="E813" s="28">
        <f>54.6525 * CHOOSE(CONTROL!$C$15, $E$9, 100%, $G$9) + CHOOSE(CONTROL!$C$38, 0.0347, 0)</f>
        <v>54.687200000000004</v>
      </c>
      <c r="F813" s="27">
        <f>54.6525 * CHOOSE(CONTROL!$C$15, $E$9, 100%, $G$9) + CHOOSE(CONTROL!$C$38, 0.0256, 0)</f>
        <v>54.678100000000001</v>
      </c>
      <c r="G813" s="10">
        <f>50.5491 * CHOOSE(CONTROL!$C$15, $E$9, 100%, $G$9) + CHOOSE(CONTROL!$C$38, 0.0347, 0)</f>
        <v>50.583800000000004</v>
      </c>
      <c r="H813" s="10">
        <f>50.5491 * CHOOSE(CONTROL!$C$15, $E$9, 100%, $G$9) + CHOOSE(CONTROL!$C$38, 0.0347, 0)</f>
        <v>50.583800000000004</v>
      </c>
      <c r="I813" s="10">
        <f>50.5507 * CHOOSE(CONTROL!$C$15, $E$9, 100%, $G$9) + CHOOSE(CONTROL!$C$38, 0.0347, 0)</f>
        <v>50.5854</v>
      </c>
      <c r="J813" s="26">
        <f>457.8097</f>
        <v>457.80970000000002</v>
      </c>
    </row>
    <row r="814" spans="1:10" ht="15.75" x14ac:dyDescent="0.25">
      <c r="A814" s="13">
        <v>65714</v>
      </c>
      <c r="B814" s="10">
        <f>55.0022 * CHOOSE(CONTROL!$C$15, $E$9, 100%, $G$9) + CHOOSE(CONTROL!$C$38, 0.0256, 0)</f>
        <v>55.027799999999999</v>
      </c>
      <c r="C814" s="10">
        <f>50.7441 * CHOOSE(CONTROL!$C$15, $E$9, 100%, $G$9) + CHOOSE(CONTROL!$C$38, 0.0347, 0)</f>
        <v>50.778800000000004</v>
      </c>
      <c r="D814" s="10">
        <f>50.7363 * CHOOSE(CONTROL!$C$15, $E$9, 100%, $G$9) + CHOOSE(CONTROL!$C$38, 0.0347, 0)</f>
        <v>50.771000000000001</v>
      </c>
      <c r="E814" s="28">
        <f>54.8459 * CHOOSE(CONTROL!$C$15, $E$9, 100%, $G$9) + CHOOSE(CONTROL!$C$38, 0.0347, 0)</f>
        <v>54.880600000000001</v>
      </c>
      <c r="F814" s="27">
        <f>54.8459 * CHOOSE(CONTROL!$C$15, $E$9, 100%, $G$9) + CHOOSE(CONTROL!$C$38, 0.0256, 0)</f>
        <v>54.871499999999997</v>
      </c>
      <c r="G814" s="10">
        <f>50.7426 * CHOOSE(CONTROL!$C$15, $E$9, 100%, $G$9) + CHOOSE(CONTROL!$C$38, 0.0347, 0)</f>
        <v>50.777300000000004</v>
      </c>
      <c r="H814" s="10">
        <f>50.7426 * CHOOSE(CONTROL!$C$15, $E$9, 100%, $G$9) + CHOOSE(CONTROL!$C$38, 0.0347, 0)</f>
        <v>50.777300000000004</v>
      </c>
      <c r="I814" s="10">
        <f>50.7441 * CHOOSE(CONTROL!$C$15, $E$9, 100%, $G$9) + CHOOSE(CONTROL!$C$38, 0.0347, 0)</f>
        <v>50.778800000000004</v>
      </c>
      <c r="J814" s="26">
        <f>454.5476</f>
        <v>454.54759999999999</v>
      </c>
    </row>
    <row r="815" spans="1:10" ht="15.75" x14ac:dyDescent="0.25">
      <c r="A815" s="13">
        <v>65745</v>
      </c>
      <c r="B815" s="10">
        <f>55.5982 * CHOOSE(CONTROL!$C$15, $E$9, 100%, $G$9) + CHOOSE(CONTROL!$C$38, 0.0256, 0)</f>
        <v>55.623799999999996</v>
      </c>
      <c r="C815" s="10">
        <f>51.3402 * CHOOSE(CONTROL!$C$15, $E$9, 100%, $G$9) + CHOOSE(CONTROL!$C$38, 0.0347, 0)</f>
        <v>51.374900000000004</v>
      </c>
      <c r="D815" s="10">
        <f>51.3324 * CHOOSE(CONTROL!$C$15, $E$9, 100%, $G$9) + CHOOSE(CONTROL!$C$38, 0.0347, 0)</f>
        <v>51.367100000000001</v>
      </c>
      <c r="E815" s="28">
        <f>55.442 * CHOOSE(CONTROL!$C$15, $E$9, 100%, $G$9) + CHOOSE(CONTROL!$C$38, 0.0347, 0)</f>
        <v>55.476700000000001</v>
      </c>
      <c r="F815" s="27">
        <f>55.442 * CHOOSE(CONTROL!$C$15, $E$9, 100%, $G$9) + CHOOSE(CONTROL!$C$38, 0.0256, 0)</f>
        <v>55.467599999999997</v>
      </c>
      <c r="G815" s="10">
        <f>51.3386 * CHOOSE(CONTROL!$C$15, $E$9, 100%, $G$9) + CHOOSE(CONTROL!$C$38, 0.0347, 0)</f>
        <v>51.3733</v>
      </c>
      <c r="H815" s="10">
        <f>51.3386 * CHOOSE(CONTROL!$C$15, $E$9, 100%, $G$9) + CHOOSE(CONTROL!$C$38, 0.0347, 0)</f>
        <v>51.3733</v>
      </c>
      <c r="I815" s="10">
        <f>51.3402 * CHOOSE(CONTROL!$C$15, $E$9, 100%, $G$9) + CHOOSE(CONTROL!$C$38, 0.0347, 0)</f>
        <v>51.374900000000004</v>
      </c>
      <c r="J815" s="26">
        <f>441.0589</f>
        <v>441.05889999999999</v>
      </c>
    </row>
    <row r="816" spans="1:10" ht="15.75" x14ac:dyDescent="0.25">
      <c r="A816" s="13">
        <v>65776</v>
      </c>
      <c r="B816" s="10">
        <f>56.9612 * CHOOSE(CONTROL!$C$15, $E$9, 100%, $G$9) + CHOOSE(CONTROL!$C$38, 0.0256, 0)</f>
        <v>56.986799999999995</v>
      </c>
      <c r="C816" s="10">
        <f>52.6359 * CHOOSE(CONTROL!$C$15, $E$9, 100%, $G$9) + CHOOSE(CONTROL!$C$38, 0.0347, 0)</f>
        <v>52.6706</v>
      </c>
      <c r="D816" s="10">
        <f>52.6281 * CHOOSE(CONTROL!$C$15, $E$9, 100%, $G$9) + CHOOSE(CONTROL!$C$38, 0.0347, 0)</f>
        <v>52.662800000000004</v>
      </c>
      <c r="E816" s="28">
        <f>56.8049 * CHOOSE(CONTROL!$C$15, $E$9, 100%, $G$9) + CHOOSE(CONTROL!$C$38, 0.0347, 0)</f>
        <v>56.839600000000004</v>
      </c>
      <c r="F816" s="27">
        <f>56.8049 * CHOOSE(CONTROL!$C$15, $E$9, 100%, $G$9) + CHOOSE(CONTROL!$C$38, 0.0256, 0)</f>
        <v>56.830500000000001</v>
      </c>
      <c r="G816" s="10">
        <f>52.6343 * CHOOSE(CONTROL!$C$15, $E$9, 100%, $G$9) + CHOOSE(CONTROL!$C$38, 0.0347, 0)</f>
        <v>52.669000000000004</v>
      </c>
      <c r="H816" s="10">
        <f>52.6343 * CHOOSE(CONTROL!$C$15, $E$9, 100%, $G$9) + CHOOSE(CONTROL!$C$38, 0.0347, 0)</f>
        <v>52.669000000000004</v>
      </c>
      <c r="I816" s="10">
        <f>52.6359 * CHOOSE(CONTROL!$C$15, $E$9, 100%, $G$9) + CHOOSE(CONTROL!$C$38, 0.0347, 0)</f>
        <v>52.6706</v>
      </c>
      <c r="J816" s="26">
        <f>440.2166</f>
        <v>440.21660000000003</v>
      </c>
    </row>
    <row r="817" spans="1:10" ht="15.75" x14ac:dyDescent="0.25">
      <c r="A817" s="13">
        <v>65805</v>
      </c>
      <c r="B817" s="10">
        <f>57.1819 * CHOOSE(CONTROL!$C$15, $E$9, 100%, $G$9) + CHOOSE(CONTROL!$C$38, 0.0256, 0)</f>
        <v>57.207499999999996</v>
      </c>
      <c r="C817" s="10">
        <f>52.8567 * CHOOSE(CONTROL!$C$15, $E$9, 100%, $G$9) + CHOOSE(CONTROL!$C$38, 0.0347, 0)</f>
        <v>52.891399999999997</v>
      </c>
      <c r="D817" s="10">
        <f>52.8488 * CHOOSE(CONTROL!$C$15, $E$9, 100%, $G$9) + CHOOSE(CONTROL!$C$38, 0.0347, 0)</f>
        <v>52.883499999999998</v>
      </c>
      <c r="E817" s="28">
        <f>57.0257 * CHOOSE(CONTROL!$C$15, $E$9, 100%, $G$9) + CHOOSE(CONTROL!$C$38, 0.0347, 0)</f>
        <v>57.060400000000001</v>
      </c>
      <c r="F817" s="27">
        <f>57.0257 * CHOOSE(CONTROL!$C$15, $E$9, 100%, $G$9) + CHOOSE(CONTROL!$C$38, 0.0256, 0)</f>
        <v>57.051299999999998</v>
      </c>
      <c r="G817" s="10">
        <f>52.8551 * CHOOSE(CONTROL!$C$15, $E$9, 100%, $G$9) + CHOOSE(CONTROL!$C$38, 0.0347, 0)</f>
        <v>52.889800000000001</v>
      </c>
      <c r="H817" s="10">
        <f>52.8551 * CHOOSE(CONTROL!$C$15, $E$9, 100%, $G$9) + CHOOSE(CONTROL!$C$38, 0.0347, 0)</f>
        <v>52.889800000000001</v>
      </c>
      <c r="I817" s="10">
        <f>52.8567 * CHOOSE(CONTROL!$C$15, $E$9, 100%, $G$9) + CHOOSE(CONTROL!$C$38, 0.0347, 0)</f>
        <v>52.891399999999997</v>
      </c>
      <c r="J817" s="26">
        <f>438.9929</f>
        <v>438.99290000000002</v>
      </c>
    </row>
    <row r="818" spans="1:10" ht="15.75" x14ac:dyDescent="0.25">
      <c r="A818" s="13">
        <v>65836</v>
      </c>
      <c r="B818" s="10">
        <f>56.6709 * CHOOSE(CONTROL!$C$15, $E$9, 100%, $G$9) + CHOOSE(CONTROL!$C$38, 0.0256, 0)</f>
        <v>56.6965</v>
      </c>
      <c r="C818" s="10">
        <f>52.3456 * CHOOSE(CONTROL!$C$15, $E$9, 100%, $G$9) + CHOOSE(CONTROL!$C$38, 0.0347, 0)</f>
        <v>52.380299999999998</v>
      </c>
      <c r="D818" s="10">
        <f>52.3378 * CHOOSE(CONTROL!$C$15, $E$9, 100%, $G$9) + CHOOSE(CONTROL!$C$38, 0.0347, 0)</f>
        <v>52.372500000000002</v>
      </c>
      <c r="E818" s="28">
        <f>56.5146 * CHOOSE(CONTROL!$C$15, $E$9, 100%, $G$9) + CHOOSE(CONTROL!$C$38, 0.0347, 0)</f>
        <v>56.549300000000002</v>
      </c>
      <c r="F818" s="27">
        <f>56.5146 * CHOOSE(CONTROL!$C$15, $E$9, 100%, $G$9) + CHOOSE(CONTROL!$C$38, 0.0256, 0)</f>
        <v>56.540199999999999</v>
      </c>
      <c r="G818" s="10">
        <f>52.3441 * CHOOSE(CONTROL!$C$15, $E$9, 100%, $G$9) + CHOOSE(CONTROL!$C$38, 0.0347, 0)</f>
        <v>52.378799999999998</v>
      </c>
      <c r="H818" s="10">
        <f>52.3441 * CHOOSE(CONTROL!$C$15, $E$9, 100%, $G$9) + CHOOSE(CONTROL!$C$38, 0.0347, 0)</f>
        <v>52.378799999999998</v>
      </c>
      <c r="I818" s="10">
        <f>52.3456 * CHOOSE(CONTROL!$C$15, $E$9, 100%, $G$9) + CHOOSE(CONTROL!$C$38, 0.0347, 0)</f>
        <v>52.380299999999998</v>
      </c>
      <c r="J818" s="26">
        <f>462.1304</f>
        <v>462.13040000000001</v>
      </c>
    </row>
    <row r="819" spans="1:10" ht="15.75" x14ac:dyDescent="0.25">
      <c r="A819" s="13">
        <v>65866</v>
      </c>
      <c r="B819" s="10">
        <f>56.1757 * CHOOSE(CONTROL!$C$15, $E$9, 100%, $G$9) + CHOOSE(CONTROL!$C$38, 0.0256, 0)</f>
        <v>56.201299999999996</v>
      </c>
      <c r="C819" s="10">
        <f>51.8504 * CHOOSE(CONTROL!$C$15, $E$9, 100%, $G$9) + CHOOSE(CONTROL!$C$38, 0.0347, 0)</f>
        <v>51.885100000000001</v>
      </c>
      <c r="D819" s="10">
        <f>51.8426 * CHOOSE(CONTROL!$C$15, $E$9, 100%, $G$9) + CHOOSE(CONTROL!$C$38, 0.0347, 0)</f>
        <v>51.877299999999998</v>
      </c>
      <c r="E819" s="28">
        <f>56.0195 * CHOOSE(CONTROL!$C$15, $E$9, 100%, $G$9) + CHOOSE(CONTROL!$C$38, 0.0347, 0)</f>
        <v>56.054200000000002</v>
      </c>
      <c r="F819" s="27">
        <f>56.0195 * CHOOSE(CONTROL!$C$15, $E$9, 100%, $G$9) + CHOOSE(CONTROL!$C$38, 0.0256, 0)</f>
        <v>56.045099999999998</v>
      </c>
      <c r="G819" s="10">
        <f>51.8489 * CHOOSE(CONTROL!$C$15, $E$9, 100%, $G$9) + CHOOSE(CONTROL!$C$38, 0.0347, 0)</f>
        <v>51.883600000000001</v>
      </c>
      <c r="H819" s="10">
        <f>51.8489 * CHOOSE(CONTROL!$C$15, $E$9, 100%, $G$9) + CHOOSE(CONTROL!$C$38, 0.0347, 0)</f>
        <v>51.883600000000001</v>
      </c>
      <c r="I819" s="10">
        <f>51.8504 * CHOOSE(CONTROL!$C$15, $E$9, 100%, $G$9) + CHOOSE(CONTROL!$C$38, 0.0347, 0)</f>
        <v>51.885100000000001</v>
      </c>
      <c r="J819" s="26">
        <f>492.1341</f>
        <v>492.13409999999999</v>
      </c>
    </row>
    <row r="820" spans="1:10" ht="15.75" x14ac:dyDescent="0.25">
      <c r="A820" s="13">
        <v>65897</v>
      </c>
      <c r="B820" s="10">
        <f>55.6596 * CHOOSE(CONTROL!$C$15, $E$9, 100%, $G$9) + CHOOSE(CONTROL!$C$38, 0.0278, 0)</f>
        <v>55.687399999999997</v>
      </c>
      <c r="C820" s="10">
        <f>51.3343 * CHOOSE(CONTROL!$C$15, $E$9, 100%, $G$9) + CHOOSE(CONTROL!$C$38, 0.0369, 0)</f>
        <v>51.371200000000002</v>
      </c>
      <c r="D820" s="10">
        <f>51.3265 * CHOOSE(CONTROL!$C$15, $E$9, 100%, $G$9) + CHOOSE(CONTROL!$C$38, 0.0369, 0)</f>
        <v>51.363400000000006</v>
      </c>
      <c r="E820" s="28">
        <f>55.5033 * CHOOSE(CONTROL!$C$15, $E$9, 100%, $G$9) + CHOOSE(CONTROL!$C$38, 0.0369, 0)</f>
        <v>55.540200000000006</v>
      </c>
      <c r="F820" s="27">
        <f>55.5033 * CHOOSE(CONTROL!$C$15, $E$9, 100%, $G$9) + CHOOSE(CONTROL!$C$38, 0.0278, 0)</f>
        <v>55.531100000000002</v>
      </c>
      <c r="G820" s="10">
        <f>51.3328 * CHOOSE(CONTROL!$C$15, $E$9, 100%, $G$9) + CHOOSE(CONTROL!$C$38, 0.0369, 0)</f>
        <v>51.369700000000002</v>
      </c>
      <c r="H820" s="10">
        <f>51.3328 * CHOOSE(CONTROL!$C$15, $E$9, 100%, $G$9) + CHOOSE(CONTROL!$C$38, 0.0369, 0)</f>
        <v>51.369700000000002</v>
      </c>
      <c r="I820" s="10">
        <f>51.3343 * CHOOSE(CONTROL!$C$15, $E$9, 100%, $G$9) + CHOOSE(CONTROL!$C$38, 0.0369, 0)</f>
        <v>51.371200000000002</v>
      </c>
      <c r="J820" s="26">
        <f>508.6492</f>
        <v>508.64920000000001</v>
      </c>
    </row>
    <row r="821" spans="1:10" ht="15.75" x14ac:dyDescent="0.25">
      <c r="A821" s="13">
        <v>65927</v>
      </c>
      <c r="B821" s="10">
        <f>55.2978 * CHOOSE(CONTROL!$C$15, $E$9, 100%, $G$9) + CHOOSE(CONTROL!$C$38, 0.0278, 0)</f>
        <v>55.325600000000001</v>
      </c>
      <c r="C821" s="10">
        <f>50.9725 * CHOOSE(CONTROL!$C$15, $E$9, 100%, $G$9) + CHOOSE(CONTROL!$C$38, 0.0369, 0)</f>
        <v>51.009399999999999</v>
      </c>
      <c r="D821" s="10">
        <f>50.9647 * CHOOSE(CONTROL!$C$15, $E$9, 100%, $G$9) + CHOOSE(CONTROL!$C$38, 0.0369, 0)</f>
        <v>51.001600000000003</v>
      </c>
      <c r="E821" s="28">
        <f>55.1415 * CHOOSE(CONTROL!$C$15, $E$9, 100%, $G$9) + CHOOSE(CONTROL!$C$38, 0.0369, 0)</f>
        <v>55.178400000000003</v>
      </c>
      <c r="F821" s="27">
        <f>55.1415 * CHOOSE(CONTROL!$C$15, $E$9, 100%, $G$9) + CHOOSE(CONTROL!$C$38, 0.0278, 0)</f>
        <v>55.1693</v>
      </c>
      <c r="G821" s="10">
        <f>50.9709 * CHOOSE(CONTROL!$C$15, $E$9, 100%, $G$9) + CHOOSE(CONTROL!$C$38, 0.0369, 0)</f>
        <v>51.007800000000003</v>
      </c>
      <c r="H821" s="10">
        <f>50.9709 * CHOOSE(CONTROL!$C$15, $E$9, 100%, $G$9) + CHOOSE(CONTROL!$C$38, 0.0369, 0)</f>
        <v>51.007800000000003</v>
      </c>
      <c r="I821" s="10">
        <f>50.9725 * CHOOSE(CONTROL!$C$15, $E$9, 100%, $G$9) + CHOOSE(CONTROL!$C$38, 0.0369, 0)</f>
        <v>51.009399999999999</v>
      </c>
      <c r="J821" s="26">
        <f>515.9783</f>
        <v>515.97829999999999</v>
      </c>
    </row>
    <row r="822" spans="1:10" ht="15.75" x14ac:dyDescent="0.25">
      <c r="A822" s="13">
        <v>65958</v>
      </c>
      <c r="B822" s="10">
        <f>55.0913 * CHOOSE(CONTROL!$C$15, $E$9, 100%, $G$9) + CHOOSE(CONTROL!$C$38, 0.0278, 0)</f>
        <v>55.119099999999996</v>
      </c>
      <c r="C822" s="10">
        <f>50.766 * CHOOSE(CONTROL!$C$15, $E$9, 100%, $G$9) + CHOOSE(CONTROL!$C$38, 0.0369, 0)</f>
        <v>50.802900000000001</v>
      </c>
      <c r="D822" s="10">
        <f>50.7582 * CHOOSE(CONTROL!$C$15, $E$9, 100%, $G$9) + CHOOSE(CONTROL!$C$38, 0.0369, 0)</f>
        <v>50.795100000000005</v>
      </c>
      <c r="E822" s="28">
        <f>54.935 * CHOOSE(CONTROL!$C$15, $E$9, 100%, $G$9) + CHOOSE(CONTROL!$C$38, 0.0369, 0)</f>
        <v>54.971900000000005</v>
      </c>
      <c r="F822" s="27">
        <f>54.935 * CHOOSE(CONTROL!$C$15, $E$9, 100%, $G$9) + CHOOSE(CONTROL!$C$38, 0.0278, 0)</f>
        <v>54.962800000000001</v>
      </c>
      <c r="G822" s="10">
        <f>50.7644 * CHOOSE(CONTROL!$C$15, $E$9, 100%, $G$9) + CHOOSE(CONTROL!$C$38, 0.0369, 0)</f>
        <v>50.801300000000005</v>
      </c>
      <c r="H822" s="10">
        <f>50.7644 * CHOOSE(CONTROL!$C$15, $E$9, 100%, $G$9) + CHOOSE(CONTROL!$C$38, 0.0369, 0)</f>
        <v>50.801300000000005</v>
      </c>
      <c r="I822" s="10">
        <f>50.766 * CHOOSE(CONTROL!$C$15, $E$9, 100%, $G$9) + CHOOSE(CONTROL!$C$38, 0.0369, 0)</f>
        <v>50.802900000000001</v>
      </c>
      <c r="J822" s="26">
        <f>513.5652</f>
        <v>513.5652</v>
      </c>
    </row>
    <row r="823" spans="1:10" ht="15.75" x14ac:dyDescent="0.25">
      <c r="A823" s="13">
        <v>65989</v>
      </c>
      <c r="B823" s="10">
        <f>55.1932 * CHOOSE(CONTROL!$C$15, $E$9, 100%, $G$9) + CHOOSE(CONTROL!$C$38, 0.0278, 0)</f>
        <v>55.220999999999997</v>
      </c>
      <c r="C823" s="10">
        <f>50.8679 * CHOOSE(CONTROL!$C$15, $E$9, 100%, $G$9) + CHOOSE(CONTROL!$C$38, 0.0369, 0)</f>
        <v>50.904800000000002</v>
      </c>
      <c r="D823" s="10">
        <f>50.8601 * CHOOSE(CONTROL!$C$15, $E$9, 100%, $G$9) + CHOOSE(CONTROL!$C$38, 0.0369, 0)</f>
        <v>50.897000000000006</v>
      </c>
      <c r="E823" s="28">
        <f>55.0369 * CHOOSE(CONTROL!$C$15, $E$9, 100%, $G$9) + CHOOSE(CONTROL!$C$38, 0.0369, 0)</f>
        <v>55.073800000000006</v>
      </c>
      <c r="F823" s="27">
        <f>55.0369 * CHOOSE(CONTROL!$C$15, $E$9, 100%, $G$9) + CHOOSE(CONTROL!$C$38, 0.0278, 0)</f>
        <v>55.064700000000002</v>
      </c>
      <c r="G823" s="10">
        <f>50.8664 * CHOOSE(CONTROL!$C$15, $E$9, 100%, $G$9) + CHOOSE(CONTROL!$C$38, 0.0369, 0)</f>
        <v>50.903300000000002</v>
      </c>
      <c r="H823" s="10">
        <f>50.8664 * CHOOSE(CONTROL!$C$15, $E$9, 100%, $G$9) + CHOOSE(CONTROL!$C$38, 0.0369, 0)</f>
        <v>50.903300000000002</v>
      </c>
      <c r="I823" s="10">
        <f>50.8679 * CHOOSE(CONTROL!$C$15, $E$9, 100%, $G$9) + CHOOSE(CONTROL!$C$38, 0.0369, 0)</f>
        <v>50.904800000000002</v>
      </c>
      <c r="J823" s="26">
        <f>501.6096</f>
        <v>501.6096</v>
      </c>
    </row>
    <row r="824" spans="1:10" ht="15.75" x14ac:dyDescent="0.25">
      <c r="A824" s="13">
        <v>66019</v>
      </c>
      <c r="B824" s="10">
        <f>55.47 * CHOOSE(CONTROL!$C$15, $E$9, 100%, $G$9) + CHOOSE(CONTROL!$C$38, 0.0278, 0)</f>
        <v>55.497799999999998</v>
      </c>
      <c r="C824" s="10">
        <f>51.1447 * CHOOSE(CONTROL!$C$15, $E$9, 100%, $G$9) + CHOOSE(CONTROL!$C$38, 0.0369, 0)</f>
        <v>51.181600000000003</v>
      </c>
      <c r="D824" s="10">
        <f>51.1369 * CHOOSE(CONTROL!$C$15, $E$9, 100%, $G$9) + CHOOSE(CONTROL!$C$38, 0.0369, 0)</f>
        <v>51.1738</v>
      </c>
      <c r="E824" s="28">
        <f>55.3137 * CHOOSE(CONTROL!$C$15, $E$9, 100%, $G$9) + CHOOSE(CONTROL!$C$38, 0.0369, 0)</f>
        <v>55.3506</v>
      </c>
      <c r="F824" s="27">
        <f>55.3137 * CHOOSE(CONTROL!$C$15, $E$9, 100%, $G$9) + CHOOSE(CONTROL!$C$38, 0.0278, 0)</f>
        <v>55.341499999999996</v>
      </c>
      <c r="G824" s="10">
        <f>51.1431 * CHOOSE(CONTROL!$C$15, $E$9, 100%, $G$9) + CHOOSE(CONTROL!$C$38, 0.0369, 0)</f>
        <v>51.18</v>
      </c>
      <c r="H824" s="10">
        <f>51.1431 * CHOOSE(CONTROL!$C$15, $E$9, 100%, $G$9) + CHOOSE(CONTROL!$C$38, 0.0369, 0)</f>
        <v>51.18</v>
      </c>
      <c r="I824" s="10">
        <f>51.1447 * CHOOSE(CONTROL!$C$15, $E$9, 100%, $G$9) + CHOOSE(CONTROL!$C$38, 0.0369, 0)</f>
        <v>51.181600000000003</v>
      </c>
      <c r="J824" s="26">
        <f>484.937</f>
        <v>484.93700000000001</v>
      </c>
    </row>
    <row r="825" spans="1:10" ht="15.75" x14ac:dyDescent="0.25">
      <c r="A825" s="13">
        <v>66050</v>
      </c>
      <c r="B825" s="10">
        <f>55.7018 * CHOOSE(CONTROL!$C$15, $E$9, 100%, $G$9) + CHOOSE(CONTROL!$C$38, 0.0256, 0)</f>
        <v>55.727399999999996</v>
      </c>
      <c r="C825" s="10">
        <f>51.3765 * CHOOSE(CONTROL!$C$15, $E$9, 100%, $G$9) + CHOOSE(CONTROL!$C$38, 0.0347, 0)</f>
        <v>51.411200000000001</v>
      </c>
      <c r="D825" s="10">
        <f>51.3687 * CHOOSE(CONTROL!$C$15, $E$9, 100%, $G$9) + CHOOSE(CONTROL!$C$38, 0.0347, 0)</f>
        <v>51.403399999999998</v>
      </c>
      <c r="E825" s="28">
        <f>55.5456 * CHOOSE(CONTROL!$C$15, $E$9, 100%, $G$9) + CHOOSE(CONTROL!$C$38, 0.0347, 0)</f>
        <v>55.580300000000001</v>
      </c>
      <c r="F825" s="27">
        <f>55.5456 * CHOOSE(CONTROL!$C$15, $E$9, 100%, $G$9) + CHOOSE(CONTROL!$C$38, 0.0256, 0)</f>
        <v>55.571199999999997</v>
      </c>
      <c r="G825" s="10">
        <f>51.375 * CHOOSE(CONTROL!$C$15, $E$9, 100%, $G$9) + CHOOSE(CONTROL!$C$38, 0.0347, 0)</f>
        <v>51.409700000000001</v>
      </c>
      <c r="H825" s="10">
        <f>51.375 * CHOOSE(CONTROL!$C$15, $E$9, 100%, $G$9) + CHOOSE(CONTROL!$C$38, 0.0347, 0)</f>
        <v>51.409700000000001</v>
      </c>
      <c r="I825" s="10">
        <f>51.3765 * CHOOSE(CONTROL!$C$15, $E$9, 100%, $G$9) + CHOOSE(CONTROL!$C$38, 0.0347, 0)</f>
        <v>51.411200000000001</v>
      </c>
      <c r="J825" s="26">
        <f>468.1674</f>
        <v>468.16739999999999</v>
      </c>
    </row>
    <row r="826" spans="1:10" ht="15.75" x14ac:dyDescent="0.25">
      <c r="A826" s="13">
        <v>66080</v>
      </c>
      <c r="B826" s="10">
        <f>55.8952 * CHOOSE(CONTROL!$C$15, $E$9, 100%, $G$9) + CHOOSE(CONTROL!$C$38, 0.0256, 0)</f>
        <v>55.9208</v>
      </c>
      <c r="C826" s="10">
        <f>51.57 * CHOOSE(CONTROL!$C$15, $E$9, 100%, $G$9) + CHOOSE(CONTROL!$C$38, 0.0347, 0)</f>
        <v>51.604700000000001</v>
      </c>
      <c r="D826" s="10">
        <f>51.5622 * CHOOSE(CONTROL!$C$15, $E$9, 100%, $G$9) + CHOOSE(CONTROL!$C$38, 0.0347, 0)</f>
        <v>51.596899999999998</v>
      </c>
      <c r="E826" s="28">
        <f>55.739 * CHOOSE(CONTROL!$C$15, $E$9, 100%, $G$9) + CHOOSE(CONTROL!$C$38, 0.0347, 0)</f>
        <v>55.773699999999998</v>
      </c>
      <c r="F826" s="27">
        <f>55.739 * CHOOSE(CONTROL!$C$15, $E$9, 100%, $G$9) + CHOOSE(CONTROL!$C$38, 0.0256, 0)</f>
        <v>55.764599999999994</v>
      </c>
      <c r="G826" s="10">
        <f>51.5684 * CHOOSE(CONTROL!$C$15, $E$9, 100%, $G$9) + CHOOSE(CONTROL!$C$38, 0.0347, 0)</f>
        <v>51.603099999999998</v>
      </c>
      <c r="H826" s="10">
        <f>51.5684 * CHOOSE(CONTROL!$C$15, $E$9, 100%, $G$9) + CHOOSE(CONTROL!$C$38, 0.0347, 0)</f>
        <v>51.603099999999998</v>
      </c>
      <c r="I826" s="10">
        <f>51.57 * CHOOSE(CONTROL!$C$15, $E$9, 100%, $G$9) + CHOOSE(CONTROL!$C$38, 0.0347, 0)</f>
        <v>51.604700000000001</v>
      </c>
      <c r="J826" s="26">
        <f>464.8316</f>
        <v>464.83159999999998</v>
      </c>
    </row>
    <row r="827" spans="1:10" ht="15.75" x14ac:dyDescent="0.25">
      <c r="A827" s="13">
        <v>66111</v>
      </c>
      <c r="B827" s="10">
        <f>56.4913 * CHOOSE(CONTROL!$C$15, $E$9, 100%, $G$9) + CHOOSE(CONTROL!$C$38, 0.0256, 0)</f>
        <v>56.5169</v>
      </c>
      <c r="C827" s="10">
        <f>52.166 * CHOOSE(CONTROL!$C$15, $E$9, 100%, $G$9) + CHOOSE(CONTROL!$C$38, 0.0347, 0)</f>
        <v>52.200699999999998</v>
      </c>
      <c r="D827" s="10">
        <f>52.1582 * CHOOSE(CONTROL!$C$15, $E$9, 100%, $G$9) + CHOOSE(CONTROL!$C$38, 0.0347, 0)</f>
        <v>52.192900000000002</v>
      </c>
      <c r="E827" s="28">
        <f>56.3351 * CHOOSE(CONTROL!$C$15, $E$9, 100%, $G$9) + CHOOSE(CONTROL!$C$38, 0.0347, 0)</f>
        <v>56.369799999999998</v>
      </c>
      <c r="F827" s="27">
        <f>56.3351 * CHOOSE(CONTROL!$C$15, $E$9, 100%, $G$9) + CHOOSE(CONTROL!$C$38, 0.0256, 0)</f>
        <v>56.360699999999994</v>
      </c>
      <c r="G827" s="10">
        <f>52.1645 * CHOOSE(CONTROL!$C$15, $E$9, 100%, $G$9) + CHOOSE(CONTROL!$C$38, 0.0347, 0)</f>
        <v>52.199199999999998</v>
      </c>
      <c r="H827" s="10">
        <f>52.1645 * CHOOSE(CONTROL!$C$15, $E$9, 100%, $G$9) + CHOOSE(CONTROL!$C$38, 0.0347, 0)</f>
        <v>52.199199999999998</v>
      </c>
      <c r="I827" s="10">
        <f>52.166 * CHOOSE(CONTROL!$C$15, $E$9, 100%, $G$9) + CHOOSE(CONTROL!$C$38, 0.0347, 0)</f>
        <v>52.200699999999998</v>
      </c>
      <c r="J827" s="26">
        <f>451.0376</f>
        <v>451.0376</v>
      </c>
    </row>
    <row r="828" spans="1:10" ht="15.75" x14ac:dyDescent="0.25">
      <c r="A828" s="13">
        <v>66142</v>
      </c>
      <c r="B828" s="10">
        <f>57.8689 * CHOOSE(CONTROL!$C$15, $E$9, 100%, $G$9) + CHOOSE(CONTROL!$C$38, 0.0256, 0)</f>
        <v>57.894499999999994</v>
      </c>
      <c r="C828" s="10">
        <f>53.4753 * CHOOSE(CONTROL!$C$15, $E$9, 100%, $G$9) + CHOOSE(CONTROL!$C$38, 0.0347, 0)</f>
        <v>53.51</v>
      </c>
      <c r="D828" s="10">
        <f>53.4675 * CHOOSE(CONTROL!$C$15, $E$9, 100%, $G$9) + CHOOSE(CONTROL!$C$38, 0.0347, 0)</f>
        <v>53.502200000000002</v>
      </c>
      <c r="E828" s="28">
        <f>57.7126 * CHOOSE(CONTROL!$C$15, $E$9, 100%, $G$9) + CHOOSE(CONTROL!$C$38, 0.0347, 0)</f>
        <v>57.747300000000003</v>
      </c>
      <c r="F828" s="27">
        <f>57.7126 * CHOOSE(CONTROL!$C$15, $E$9, 100%, $G$9) + CHOOSE(CONTROL!$C$38, 0.0256, 0)</f>
        <v>57.738199999999999</v>
      </c>
      <c r="G828" s="10">
        <f>53.4737 * CHOOSE(CONTROL!$C$15, $E$9, 100%, $G$9) + CHOOSE(CONTROL!$C$38, 0.0347, 0)</f>
        <v>53.508400000000002</v>
      </c>
      <c r="H828" s="10">
        <f>53.4737 * CHOOSE(CONTROL!$C$15, $E$9, 100%, $G$9) + CHOOSE(CONTROL!$C$38, 0.0347, 0)</f>
        <v>53.508400000000002</v>
      </c>
      <c r="I828" s="10">
        <f>53.4753 * CHOOSE(CONTROL!$C$15, $E$9, 100%, $G$9) + CHOOSE(CONTROL!$C$38, 0.0347, 0)</f>
        <v>53.51</v>
      </c>
      <c r="J828" s="26">
        <f>450.1763</f>
        <v>450.17630000000003</v>
      </c>
    </row>
    <row r="829" spans="1:10" ht="15.75" x14ac:dyDescent="0.25">
      <c r="A829" s="13">
        <v>66170</v>
      </c>
      <c r="B829" s="10">
        <f>58.0897 * CHOOSE(CONTROL!$C$15, $E$9, 100%, $G$9) + CHOOSE(CONTROL!$C$38, 0.0256, 0)</f>
        <v>58.115299999999998</v>
      </c>
      <c r="C829" s="10">
        <f>53.696 * CHOOSE(CONTROL!$C$15, $E$9, 100%, $G$9) + CHOOSE(CONTROL!$C$38, 0.0347, 0)</f>
        <v>53.730699999999999</v>
      </c>
      <c r="D829" s="10">
        <f>53.6882 * CHOOSE(CONTROL!$C$15, $E$9, 100%, $G$9) + CHOOSE(CONTROL!$C$38, 0.0347, 0)</f>
        <v>53.722900000000003</v>
      </c>
      <c r="E829" s="28">
        <f>57.9334 * CHOOSE(CONTROL!$C$15, $E$9, 100%, $G$9) + CHOOSE(CONTROL!$C$38, 0.0347, 0)</f>
        <v>57.9681</v>
      </c>
      <c r="F829" s="27">
        <f>57.9334 * CHOOSE(CONTROL!$C$15, $E$9, 100%, $G$9) + CHOOSE(CONTROL!$C$38, 0.0256, 0)</f>
        <v>57.958999999999996</v>
      </c>
      <c r="G829" s="10">
        <f>53.6945 * CHOOSE(CONTROL!$C$15, $E$9, 100%, $G$9) + CHOOSE(CONTROL!$C$38, 0.0347, 0)</f>
        <v>53.729199999999999</v>
      </c>
      <c r="H829" s="10">
        <f>53.6945 * CHOOSE(CONTROL!$C$15, $E$9, 100%, $G$9) + CHOOSE(CONTROL!$C$38, 0.0347, 0)</f>
        <v>53.729199999999999</v>
      </c>
      <c r="I829" s="10">
        <f>53.696 * CHOOSE(CONTROL!$C$15, $E$9, 100%, $G$9) + CHOOSE(CONTROL!$C$38, 0.0347, 0)</f>
        <v>53.730699999999999</v>
      </c>
      <c r="J829" s="26">
        <f>448.9249</f>
        <v>448.92489999999998</v>
      </c>
    </row>
    <row r="830" spans="1:10" ht="15.75" x14ac:dyDescent="0.25">
      <c r="A830" s="13">
        <v>66201</v>
      </c>
      <c r="B830" s="10">
        <f>57.5786 * CHOOSE(CONTROL!$C$15, $E$9, 100%, $G$9) + CHOOSE(CONTROL!$C$38, 0.0256, 0)</f>
        <v>57.604199999999999</v>
      </c>
      <c r="C830" s="10">
        <f>53.185 * CHOOSE(CONTROL!$C$15, $E$9, 100%, $G$9) + CHOOSE(CONTROL!$C$38, 0.0347, 0)</f>
        <v>53.219700000000003</v>
      </c>
      <c r="D830" s="10">
        <f>53.1772 * CHOOSE(CONTROL!$C$15, $E$9, 100%, $G$9) + CHOOSE(CONTROL!$C$38, 0.0347, 0)</f>
        <v>53.2119</v>
      </c>
      <c r="E830" s="28">
        <f>57.4224 * CHOOSE(CONTROL!$C$15, $E$9, 100%, $G$9) + CHOOSE(CONTROL!$C$38, 0.0347, 0)</f>
        <v>57.457100000000004</v>
      </c>
      <c r="F830" s="27">
        <f>57.4224 * CHOOSE(CONTROL!$C$15, $E$9, 100%, $G$9) + CHOOSE(CONTROL!$C$38, 0.0256, 0)</f>
        <v>57.448</v>
      </c>
      <c r="G830" s="10">
        <f>53.1834 * CHOOSE(CONTROL!$C$15, $E$9, 100%, $G$9) + CHOOSE(CONTROL!$C$38, 0.0347, 0)</f>
        <v>53.2181</v>
      </c>
      <c r="H830" s="10">
        <f>53.1834 * CHOOSE(CONTROL!$C$15, $E$9, 100%, $G$9) + CHOOSE(CONTROL!$C$38, 0.0347, 0)</f>
        <v>53.2181</v>
      </c>
      <c r="I830" s="10">
        <f>53.185 * CHOOSE(CONTROL!$C$15, $E$9, 100%, $G$9) + CHOOSE(CONTROL!$C$38, 0.0347, 0)</f>
        <v>53.219700000000003</v>
      </c>
      <c r="J830" s="26">
        <f>472.5859</f>
        <v>472.58589999999998</v>
      </c>
    </row>
    <row r="831" spans="1:10" ht="15.75" x14ac:dyDescent="0.25">
      <c r="A831" s="13">
        <v>66231</v>
      </c>
      <c r="B831" s="10">
        <f>57.0834 * CHOOSE(CONTROL!$C$15, $E$9, 100%, $G$9) + CHOOSE(CONTROL!$C$38, 0.0256, 0)</f>
        <v>57.108999999999995</v>
      </c>
      <c r="C831" s="10">
        <f>52.6898 * CHOOSE(CONTROL!$C$15, $E$9, 100%, $G$9) + CHOOSE(CONTROL!$C$38, 0.0347, 0)</f>
        <v>52.724499999999999</v>
      </c>
      <c r="D831" s="10">
        <f>52.682 * CHOOSE(CONTROL!$C$15, $E$9, 100%, $G$9) + CHOOSE(CONTROL!$C$38, 0.0347, 0)</f>
        <v>52.716700000000003</v>
      </c>
      <c r="E831" s="28">
        <f>56.9272 * CHOOSE(CONTROL!$C$15, $E$9, 100%, $G$9) + CHOOSE(CONTROL!$C$38, 0.0347, 0)</f>
        <v>56.9619</v>
      </c>
      <c r="F831" s="27">
        <f>56.9272 * CHOOSE(CONTROL!$C$15, $E$9, 100%, $G$9) + CHOOSE(CONTROL!$C$38, 0.0256, 0)</f>
        <v>56.952799999999996</v>
      </c>
      <c r="G831" s="10">
        <f>52.6883 * CHOOSE(CONTROL!$C$15, $E$9, 100%, $G$9) + CHOOSE(CONTROL!$C$38, 0.0347, 0)</f>
        <v>52.722999999999999</v>
      </c>
      <c r="H831" s="10">
        <f>52.6883 * CHOOSE(CONTROL!$C$15, $E$9, 100%, $G$9) + CHOOSE(CONTROL!$C$38, 0.0347, 0)</f>
        <v>52.722999999999999</v>
      </c>
      <c r="I831" s="10">
        <f>52.6898 * CHOOSE(CONTROL!$C$15, $E$9, 100%, $G$9) + CHOOSE(CONTROL!$C$38, 0.0347, 0)</f>
        <v>52.724499999999999</v>
      </c>
      <c r="J831" s="26">
        <f>503.2684</f>
        <v>503.26839999999999</v>
      </c>
    </row>
    <row r="832" spans="1:10" ht="15.75" x14ac:dyDescent="0.25">
      <c r="A832" s="13">
        <v>66262</v>
      </c>
      <c r="B832" s="10">
        <f>56.5673 * CHOOSE(CONTROL!$C$15, $E$9, 100%, $G$9) + CHOOSE(CONTROL!$C$38, 0.0278, 0)</f>
        <v>56.595100000000002</v>
      </c>
      <c r="C832" s="10">
        <f>52.1737 * CHOOSE(CONTROL!$C$15, $E$9, 100%, $G$9) + CHOOSE(CONTROL!$C$38, 0.0369, 0)</f>
        <v>52.210599999999999</v>
      </c>
      <c r="D832" s="10">
        <f>52.1659 * CHOOSE(CONTROL!$C$15, $E$9, 100%, $G$9) + CHOOSE(CONTROL!$C$38, 0.0369, 0)</f>
        <v>52.202800000000003</v>
      </c>
      <c r="E832" s="28">
        <f>56.4111 * CHOOSE(CONTROL!$C$15, $E$9, 100%, $G$9) + CHOOSE(CONTROL!$C$38, 0.0369, 0)</f>
        <v>56.448</v>
      </c>
      <c r="F832" s="27">
        <f>56.4111 * CHOOSE(CONTROL!$C$15, $E$9, 100%, $G$9) + CHOOSE(CONTROL!$C$38, 0.0278, 0)</f>
        <v>56.438899999999997</v>
      </c>
      <c r="G832" s="10">
        <f>52.1721 * CHOOSE(CONTROL!$C$15, $E$9, 100%, $G$9) + CHOOSE(CONTROL!$C$38, 0.0369, 0)</f>
        <v>52.209000000000003</v>
      </c>
      <c r="H832" s="10">
        <f>52.1721 * CHOOSE(CONTROL!$C$15, $E$9, 100%, $G$9) + CHOOSE(CONTROL!$C$38, 0.0369, 0)</f>
        <v>52.209000000000003</v>
      </c>
      <c r="I832" s="10">
        <f>52.1737 * CHOOSE(CONTROL!$C$15, $E$9, 100%, $G$9) + CHOOSE(CONTROL!$C$38, 0.0369, 0)</f>
        <v>52.210599999999999</v>
      </c>
      <c r="J832" s="26">
        <f>520.1571</f>
        <v>520.15710000000001</v>
      </c>
    </row>
    <row r="833" spans="1:10" ht="15.75" x14ac:dyDescent="0.25">
      <c r="A833" s="13">
        <v>66292</v>
      </c>
      <c r="B833" s="10">
        <f>56.2055 * CHOOSE(CONTROL!$C$15, $E$9, 100%, $G$9) + CHOOSE(CONTROL!$C$38, 0.0278, 0)</f>
        <v>56.2333</v>
      </c>
      <c r="C833" s="10">
        <f>51.8119 * CHOOSE(CONTROL!$C$15, $E$9, 100%, $G$9) + CHOOSE(CONTROL!$C$38, 0.0369, 0)</f>
        <v>51.848800000000004</v>
      </c>
      <c r="D833" s="10">
        <f>51.8041 * CHOOSE(CONTROL!$C$15, $E$9, 100%, $G$9) + CHOOSE(CONTROL!$C$38, 0.0369, 0)</f>
        <v>51.841000000000001</v>
      </c>
      <c r="E833" s="28">
        <f>56.0492 * CHOOSE(CONTROL!$C$15, $E$9, 100%, $G$9) + CHOOSE(CONTROL!$C$38, 0.0369, 0)</f>
        <v>56.086100000000002</v>
      </c>
      <c r="F833" s="27">
        <f>56.0492 * CHOOSE(CONTROL!$C$15, $E$9, 100%, $G$9) + CHOOSE(CONTROL!$C$38, 0.0278, 0)</f>
        <v>56.076999999999998</v>
      </c>
      <c r="G833" s="10">
        <f>51.8103 * CHOOSE(CONTROL!$C$15, $E$9, 100%, $G$9) + CHOOSE(CONTROL!$C$38, 0.0369, 0)</f>
        <v>51.847200000000001</v>
      </c>
      <c r="H833" s="10">
        <f>51.8103 * CHOOSE(CONTROL!$C$15, $E$9, 100%, $G$9) + CHOOSE(CONTROL!$C$38, 0.0369, 0)</f>
        <v>51.847200000000001</v>
      </c>
      <c r="I833" s="10">
        <f>51.8119 * CHOOSE(CONTROL!$C$15, $E$9, 100%, $G$9) + CHOOSE(CONTROL!$C$38, 0.0369, 0)</f>
        <v>51.848800000000004</v>
      </c>
      <c r="J833" s="26">
        <f>527.652</f>
        <v>527.65200000000004</v>
      </c>
    </row>
    <row r="834" spans="1:10" ht="15.75" x14ac:dyDescent="0.25">
      <c r="A834" s="13">
        <v>66323</v>
      </c>
      <c r="B834" s="10">
        <f>55.999 * CHOOSE(CONTROL!$C$15, $E$9, 100%, $G$9) + CHOOSE(CONTROL!$C$38, 0.0278, 0)</f>
        <v>56.026800000000001</v>
      </c>
      <c r="C834" s="10">
        <f>51.6054 * CHOOSE(CONTROL!$C$15, $E$9, 100%, $G$9) + CHOOSE(CONTROL!$C$38, 0.0369, 0)</f>
        <v>51.642300000000006</v>
      </c>
      <c r="D834" s="10">
        <f>51.5976 * CHOOSE(CONTROL!$C$15, $E$9, 100%, $G$9) + CHOOSE(CONTROL!$C$38, 0.0369, 0)</f>
        <v>51.634500000000003</v>
      </c>
      <c r="E834" s="28">
        <f>55.8428 * CHOOSE(CONTROL!$C$15, $E$9, 100%, $G$9) + CHOOSE(CONTROL!$C$38, 0.0369, 0)</f>
        <v>55.8797</v>
      </c>
      <c r="F834" s="27">
        <f>55.8428 * CHOOSE(CONTROL!$C$15, $E$9, 100%, $G$9) + CHOOSE(CONTROL!$C$38, 0.0278, 0)</f>
        <v>55.870599999999996</v>
      </c>
      <c r="G834" s="10">
        <f>51.6038 * CHOOSE(CONTROL!$C$15, $E$9, 100%, $G$9) + CHOOSE(CONTROL!$C$38, 0.0369, 0)</f>
        <v>51.640700000000002</v>
      </c>
      <c r="H834" s="10">
        <f>51.6038 * CHOOSE(CONTROL!$C$15, $E$9, 100%, $G$9) + CHOOSE(CONTROL!$C$38, 0.0369, 0)</f>
        <v>51.640700000000002</v>
      </c>
      <c r="I834" s="10">
        <f>51.6054 * CHOOSE(CONTROL!$C$15, $E$9, 100%, $G$9) + CHOOSE(CONTROL!$C$38, 0.0369, 0)</f>
        <v>51.642300000000006</v>
      </c>
      <c r="J834" s="26">
        <f>525.1844</f>
        <v>525.18439999999998</v>
      </c>
    </row>
    <row r="835" spans="1:10" ht="15.75" x14ac:dyDescent="0.25">
      <c r="A835" s="13">
        <v>66354</v>
      </c>
      <c r="B835" s="10">
        <f>56.1009 * CHOOSE(CONTROL!$C$15, $E$9, 100%, $G$9) + CHOOSE(CONTROL!$C$38, 0.0278, 0)</f>
        <v>56.128700000000002</v>
      </c>
      <c r="C835" s="10">
        <f>51.7073 * CHOOSE(CONTROL!$C$15, $E$9, 100%, $G$9) + CHOOSE(CONTROL!$C$38, 0.0369, 0)</f>
        <v>51.744199999999999</v>
      </c>
      <c r="D835" s="10">
        <f>51.6995 * CHOOSE(CONTROL!$C$15, $E$9, 100%, $G$9) + CHOOSE(CONTROL!$C$38, 0.0369, 0)</f>
        <v>51.736400000000003</v>
      </c>
      <c r="E835" s="28">
        <f>55.9447 * CHOOSE(CONTROL!$C$15, $E$9, 100%, $G$9) + CHOOSE(CONTROL!$C$38, 0.0369, 0)</f>
        <v>55.9816</v>
      </c>
      <c r="F835" s="27">
        <f>55.9447 * CHOOSE(CONTROL!$C$15, $E$9, 100%, $G$9) + CHOOSE(CONTROL!$C$38, 0.0278, 0)</f>
        <v>55.972499999999997</v>
      </c>
      <c r="G835" s="10">
        <f>51.7057 * CHOOSE(CONTROL!$C$15, $E$9, 100%, $G$9) + CHOOSE(CONTROL!$C$38, 0.0369, 0)</f>
        <v>51.742600000000003</v>
      </c>
      <c r="H835" s="10">
        <f>51.7057 * CHOOSE(CONTROL!$C$15, $E$9, 100%, $G$9) + CHOOSE(CONTROL!$C$38, 0.0369, 0)</f>
        <v>51.742600000000003</v>
      </c>
      <c r="I835" s="10">
        <f>51.7073 * CHOOSE(CONTROL!$C$15, $E$9, 100%, $G$9) + CHOOSE(CONTROL!$C$38, 0.0369, 0)</f>
        <v>51.744199999999999</v>
      </c>
      <c r="J835" s="26">
        <f>512.9583</f>
        <v>512.95830000000001</v>
      </c>
    </row>
    <row r="836" spans="1:10" ht="15.75" x14ac:dyDescent="0.25">
      <c r="A836" s="13">
        <v>66384</v>
      </c>
      <c r="B836" s="10">
        <f>56.3777 * CHOOSE(CONTROL!$C$15, $E$9, 100%, $G$9) + CHOOSE(CONTROL!$C$38, 0.0278, 0)</f>
        <v>56.405499999999996</v>
      </c>
      <c r="C836" s="10">
        <f>51.9841 * CHOOSE(CONTROL!$C$15, $E$9, 100%, $G$9) + CHOOSE(CONTROL!$C$38, 0.0369, 0)</f>
        <v>52.021000000000001</v>
      </c>
      <c r="D836" s="10">
        <f>51.9763 * CHOOSE(CONTROL!$C$15, $E$9, 100%, $G$9) + CHOOSE(CONTROL!$C$38, 0.0369, 0)</f>
        <v>52.013200000000005</v>
      </c>
      <c r="E836" s="28">
        <f>56.2215 * CHOOSE(CONTROL!$C$15, $E$9, 100%, $G$9) + CHOOSE(CONTROL!$C$38, 0.0369, 0)</f>
        <v>56.258400000000002</v>
      </c>
      <c r="F836" s="27">
        <f>56.2215 * CHOOSE(CONTROL!$C$15, $E$9, 100%, $G$9) + CHOOSE(CONTROL!$C$38, 0.0278, 0)</f>
        <v>56.249299999999998</v>
      </c>
      <c r="G836" s="10">
        <f>51.9825 * CHOOSE(CONTROL!$C$15, $E$9, 100%, $G$9) + CHOOSE(CONTROL!$C$38, 0.0369, 0)</f>
        <v>52.019400000000005</v>
      </c>
      <c r="H836" s="10">
        <f>51.9825 * CHOOSE(CONTROL!$C$15, $E$9, 100%, $G$9) + CHOOSE(CONTROL!$C$38, 0.0369, 0)</f>
        <v>52.019400000000005</v>
      </c>
      <c r="I836" s="10">
        <f>51.9841 * CHOOSE(CONTROL!$C$15, $E$9, 100%, $G$9) + CHOOSE(CONTROL!$C$38, 0.0369, 0)</f>
        <v>52.021000000000001</v>
      </c>
      <c r="J836" s="26">
        <f>495.9084</f>
        <v>495.90839999999997</v>
      </c>
    </row>
    <row r="837" spans="1:10" ht="15.75" x14ac:dyDescent="0.25">
      <c r="A837" s="13">
        <v>66415</v>
      </c>
      <c r="B837" s="10">
        <f>56.6095 * CHOOSE(CONTROL!$C$15, $E$9, 100%, $G$9) + CHOOSE(CONTROL!$C$38, 0.0256, 0)</f>
        <v>56.635099999999994</v>
      </c>
      <c r="C837" s="10">
        <f>52.2159 * CHOOSE(CONTROL!$C$15, $E$9, 100%, $G$9) + CHOOSE(CONTROL!$C$38, 0.0347, 0)</f>
        <v>52.250599999999999</v>
      </c>
      <c r="D837" s="10">
        <f>52.2081 * CHOOSE(CONTROL!$C$15, $E$9, 100%, $G$9) + CHOOSE(CONTROL!$C$38, 0.0347, 0)</f>
        <v>52.242800000000003</v>
      </c>
      <c r="E837" s="28">
        <f>56.4533 * CHOOSE(CONTROL!$C$15, $E$9, 100%, $G$9) + CHOOSE(CONTROL!$C$38, 0.0347, 0)</f>
        <v>56.488</v>
      </c>
      <c r="F837" s="27">
        <f>56.4533 * CHOOSE(CONTROL!$C$15, $E$9, 100%, $G$9) + CHOOSE(CONTROL!$C$38, 0.0256, 0)</f>
        <v>56.478899999999996</v>
      </c>
      <c r="G837" s="10">
        <f>52.2143 * CHOOSE(CONTROL!$C$15, $E$9, 100%, $G$9) + CHOOSE(CONTROL!$C$38, 0.0347, 0)</f>
        <v>52.249000000000002</v>
      </c>
      <c r="H837" s="10">
        <f>52.2143 * CHOOSE(CONTROL!$C$15, $E$9, 100%, $G$9) + CHOOSE(CONTROL!$C$38, 0.0347, 0)</f>
        <v>52.249000000000002</v>
      </c>
      <c r="I837" s="10">
        <f>52.2159 * CHOOSE(CONTROL!$C$15, $E$9, 100%, $G$9) + CHOOSE(CONTROL!$C$38, 0.0347, 0)</f>
        <v>52.250599999999999</v>
      </c>
      <c r="J837" s="26">
        <f>478.7594</f>
        <v>478.75940000000003</v>
      </c>
    </row>
    <row r="838" spans="1:10" ht="15.75" x14ac:dyDescent="0.25">
      <c r="A838" s="13">
        <v>66445</v>
      </c>
      <c r="B838" s="10">
        <f>56.803 * CHOOSE(CONTROL!$C$15, $E$9, 100%, $G$9) + CHOOSE(CONTROL!$C$38, 0.0256, 0)</f>
        <v>56.828599999999994</v>
      </c>
      <c r="C838" s="10">
        <f>52.4094 * CHOOSE(CONTROL!$C$15, $E$9, 100%, $G$9) + CHOOSE(CONTROL!$C$38, 0.0347, 0)</f>
        <v>52.444099999999999</v>
      </c>
      <c r="D838" s="10">
        <f>52.4015 * CHOOSE(CONTROL!$C$15, $E$9, 100%, $G$9) + CHOOSE(CONTROL!$C$38, 0.0347, 0)</f>
        <v>52.436199999999999</v>
      </c>
      <c r="E838" s="28">
        <f>56.6467 * CHOOSE(CONTROL!$C$15, $E$9, 100%, $G$9) + CHOOSE(CONTROL!$C$38, 0.0347, 0)</f>
        <v>56.681400000000004</v>
      </c>
      <c r="F838" s="27">
        <f>56.6467 * CHOOSE(CONTROL!$C$15, $E$9, 100%, $G$9) + CHOOSE(CONTROL!$C$38, 0.0256, 0)</f>
        <v>56.6723</v>
      </c>
      <c r="G838" s="10">
        <f>52.4078 * CHOOSE(CONTROL!$C$15, $E$9, 100%, $G$9) + CHOOSE(CONTROL!$C$38, 0.0347, 0)</f>
        <v>52.442500000000003</v>
      </c>
      <c r="H838" s="10">
        <f>52.4078 * CHOOSE(CONTROL!$C$15, $E$9, 100%, $G$9) + CHOOSE(CONTROL!$C$38, 0.0347, 0)</f>
        <v>52.442500000000003</v>
      </c>
      <c r="I838" s="10">
        <f>52.4094 * CHOOSE(CONTROL!$C$15, $E$9, 100%, $G$9) + CHOOSE(CONTROL!$C$38, 0.0347, 0)</f>
        <v>52.444099999999999</v>
      </c>
      <c r="J838" s="26">
        <f>475.3481</f>
        <v>475.34809999999999</v>
      </c>
    </row>
    <row r="839" spans="1:10" ht="15.75" x14ac:dyDescent="0.25">
      <c r="A839" s="13">
        <v>66476</v>
      </c>
      <c r="B839" s="10">
        <f>57.399 * CHOOSE(CONTROL!$C$15, $E$9, 100%, $G$9) + CHOOSE(CONTROL!$C$38, 0.0256, 0)</f>
        <v>57.424599999999998</v>
      </c>
      <c r="C839" s="10">
        <f>53.0054 * CHOOSE(CONTROL!$C$15, $E$9, 100%, $G$9) + CHOOSE(CONTROL!$C$38, 0.0347, 0)</f>
        <v>53.040100000000002</v>
      </c>
      <c r="D839" s="10">
        <f>52.9976 * CHOOSE(CONTROL!$C$15, $E$9, 100%, $G$9) + CHOOSE(CONTROL!$C$38, 0.0347, 0)</f>
        <v>53.032299999999999</v>
      </c>
      <c r="E839" s="28">
        <f>57.2428 * CHOOSE(CONTROL!$C$15, $E$9, 100%, $G$9) + CHOOSE(CONTROL!$C$38, 0.0347, 0)</f>
        <v>57.277500000000003</v>
      </c>
      <c r="F839" s="27">
        <f>57.2428 * CHOOSE(CONTROL!$C$15, $E$9, 100%, $G$9) + CHOOSE(CONTROL!$C$38, 0.0256, 0)</f>
        <v>57.2684</v>
      </c>
      <c r="G839" s="10">
        <f>53.0039 * CHOOSE(CONTROL!$C$15, $E$9, 100%, $G$9) + CHOOSE(CONTROL!$C$38, 0.0347, 0)</f>
        <v>53.038600000000002</v>
      </c>
      <c r="H839" s="10">
        <f>53.0039 * CHOOSE(CONTROL!$C$15, $E$9, 100%, $G$9) + CHOOSE(CONTROL!$C$38, 0.0347, 0)</f>
        <v>53.038600000000002</v>
      </c>
      <c r="I839" s="10">
        <f>53.0054 * CHOOSE(CONTROL!$C$15, $E$9, 100%, $G$9) + CHOOSE(CONTROL!$C$38, 0.0347, 0)</f>
        <v>53.040100000000002</v>
      </c>
      <c r="J839" s="26">
        <f>461.2421</f>
        <v>461.24209999999999</v>
      </c>
    </row>
    <row r="840" spans="1:10" ht="15.75" x14ac:dyDescent="0.25">
      <c r="A840" s="13">
        <v>66507</v>
      </c>
      <c r="B840" s="10">
        <f>58.7915 * CHOOSE(CONTROL!$C$15, $E$9, 100%, $G$9) + CHOOSE(CONTROL!$C$38, 0.0256, 0)</f>
        <v>58.817099999999996</v>
      </c>
      <c r="C840" s="10">
        <f>54.3284 * CHOOSE(CONTROL!$C$15, $E$9, 100%, $G$9) + CHOOSE(CONTROL!$C$38, 0.0347, 0)</f>
        <v>54.363100000000003</v>
      </c>
      <c r="D840" s="10">
        <f>54.3206 * CHOOSE(CONTROL!$C$15, $E$9, 100%, $G$9) + CHOOSE(CONTROL!$C$38, 0.0347, 0)</f>
        <v>54.3553</v>
      </c>
      <c r="E840" s="28">
        <f>58.6352 * CHOOSE(CONTROL!$C$15, $E$9, 100%, $G$9) + CHOOSE(CONTROL!$C$38, 0.0347, 0)</f>
        <v>58.669899999999998</v>
      </c>
      <c r="F840" s="27">
        <f>58.6352 * CHOOSE(CONTROL!$C$15, $E$9, 100%, $G$9) + CHOOSE(CONTROL!$C$38, 0.0256, 0)</f>
        <v>58.660799999999995</v>
      </c>
      <c r="G840" s="10">
        <f>54.3268 * CHOOSE(CONTROL!$C$15, $E$9, 100%, $G$9) + CHOOSE(CONTROL!$C$38, 0.0347, 0)</f>
        <v>54.361499999999999</v>
      </c>
      <c r="H840" s="10">
        <f>54.3268 * CHOOSE(CONTROL!$C$15, $E$9, 100%, $G$9) + CHOOSE(CONTROL!$C$38, 0.0347, 0)</f>
        <v>54.361499999999999</v>
      </c>
      <c r="I840" s="10">
        <f>54.3284 * CHOOSE(CONTROL!$C$15, $E$9, 100%, $G$9) + CHOOSE(CONTROL!$C$38, 0.0347, 0)</f>
        <v>54.363100000000003</v>
      </c>
      <c r="J840" s="26">
        <f>460.3613</f>
        <v>460.36130000000003</v>
      </c>
    </row>
    <row r="841" spans="1:10" ht="15.75" x14ac:dyDescent="0.25">
      <c r="A841" s="13">
        <v>66535</v>
      </c>
      <c r="B841" s="10">
        <f>59.0123 * CHOOSE(CONTROL!$C$15, $E$9, 100%, $G$9) + CHOOSE(CONTROL!$C$38, 0.0256, 0)</f>
        <v>59.0379</v>
      </c>
      <c r="C841" s="10">
        <f>54.5492 * CHOOSE(CONTROL!$C$15, $E$9, 100%, $G$9) + CHOOSE(CONTROL!$C$38, 0.0347, 0)</f>
        <v>54.5839</v>
      </c>
      <c r="D841" s="10">
        <f>54.5414 * CHOOSE(CONTROL!$C$15, $E$9, 100%, $G$9) + CHOOSE(CONTROL!$C$38, 0.0347, 0)</f>
        <v>54.576100000000004</v>
      </c>
      <c r="E841" s="28">
        <f>58.856 * CHOOSE(CONTROL!$C$15, $E$9, 100%, $G$9) + CHOOSE(CONTROL!$C$38, 0.0347, 0)</f>
        <v>58.890700000000002</v>
      </c>
      <c r="F841" s="27">
        <f>58.856 * CHOOSE(CONTROL!$C$15, $E$9, 100%, $G$9) + CHOOSE(CONTROL!$C$38, 0.0256, 0)</f>
        <v>58.881599999999999</v>
      </c>
      <c r="G841" s="10">
        <f>54.5476 * CHOOSE(CONTROL!$C$15, $E$9, 100%, $G$9) + CHOOSE(CONTROL!$C$38, 0.0347, 0)</f>
        <v>54.582300000000004</v>
      </c>
      <c r="H841" s="10">
        <f>54.5476 * CHOOSE(CONTROL!$C$15, $E$9, 100%, $G$9) + CHOOSE(CONTROL!$C$38, 0.0347, 0)</f>
        <v>54.582300000000004</v>
      </c>
      <c r="I841" s="10">
        <f>54.5492 * CHOOSE(CONTROL!$C$15, $E$9, 100%, $G$9) + CHOOSE(CONTROL!$C$38, 0.0347, 0)</f>
        <v>54.5839</v>
      </c>
      <c r="J841" s="26">
        <f>459.0816</f>
        <v>459.08159999999998</v>
      </c>
    </row>
    <row r="842" spans="1:10" ht="15.75" x14ac:dyDescent="0.25">
      <c r="A842" s="13">
        <v>66566</v>
      </c>
      <c r="B842" s="10">
        <f>58.5012 * CHOOSE(CONTROL!$C$15, $E$9, 100%, $G$9) + CHOOSE(CONTROL!$C$38, 0.0256, 0)</f>
        <v>58.526799999999994</v>
      </c>
      <c r="C842" s="10">
        <f>54.0381 * CHOOSE(CONTROL!$C$15, $E$9, 100%, $G$9) + CHOOSE(CONTROL!$C$38, 0.0347, 0)</f>
        <v>54.072800000000001</v>
      </c>
      <c r="D842" s="10">
        <f>54.0303 * CHOOSE(CONTROL!$C$15, $E$9, 100%, $G$9) + CHOOSE(CONTROL!$C$38, 0.0347, 0)</f>
        <v>54.064999999999998</v>
      </c>
      <c r="E842" s="28">
        <f>58.345 * CHOOSE(CONTROL!$C$15, $E$9, 100%, $G$9) + CHOOSE(CONTROL!$C$38, 0.0347, 0)</f>
        <v>58.3797</v>
      </c>
      <c r="F842" s="27">
        <f>58.345 * CHOOSE(CONTROL!$C$15, $E$9, 100%, $G$9) + CHOOSE(CONTROL!$C$38, 0.0256, 0)</f>
        <v>58.370599999999996</v>
      </c>
      <c r="G842" s="10">
        <f>54.0366 * CHOOSE(CONTROL!$C$15, $E$9, 100%, $G$9) + CHOOSE(CONTROL!$C$38, 0.0347, 0)</f>
        <v>54.071300000000001</v>
      </c>
      <c r="H842" s="10">
        <f>54.0366 * CHOOSE(CONTROL!$C$15, $E$9, 100%, $G$9) + CHOOSE(CONTROL!$C$38, 0.0347, 0)</f>
        <v>54.071300000000001</v>
      </c>
      <c r="I842" s="10">
        <f>54.0381 * CHOOSE(CONTROL!$C$15, $E$9, 100%, $G$9) + CHOOSE(CONTROL!$C$38, 0.0347, 0)</f>
        <v>54.072800000000001</v>
      </c>
      <c r="J842" s="26">
        <f>483.2779</f>
        <v>483.27789999999999</v>
      </c>
    </row>
    <row r="843" spans="1:10" ht="15.75" x14ac:dyDescent="0.25">
      <c r="A843" s="13">
        <v>66596</v>
      </c>
      <c r="B843" s="10">
        <f>58.006 * CHOOSE(CONTROL!$C$15, $E$9, 100%, $G$9) + CHOOSE(CONTROL!$C$38, 0.0256, 0)</f>
        <v>58.031599999999997</v>
      </c>
      <c r="C843" s="10">
        <f>53.543 * CHOOSE(CONTROL!$C$15, $E$9, 100%, $G$9) + CHOOSE(CONTROL!$C$38, 0.0347, 0)</f>
        <v>53.5777</v>
      </c>
      <c r="D843" s="10">
        <f>53.5351 * CHOOSE(CONTROL!$C$15, $E$9, 100%, $G$9) + CHOOSE(CONTROL!$C$38, 0.0347, 0)</f>
        <v>53.569800000000001</v>
      </c>
      <c r="E843" s="28">
        <f>57.8498 * CHOOSE(CONTROL!$C$15, $E$9, 100%, $G$9) + CHOOSE(CONTROL!$C$38, 0.0347, 0)</f>
        <v>57.884500000000003</v>
      </c>
      <c r="F843" s="27">
        <f>57.8498 * CHOOSE(CONTROL!$C$15, $E$9, 100%, $G$9) + CHOOSE(CONTROL!$C$38, 0.0256, 0)</f>
        <v>57.875399999999999</v>
      </c>
      <c r="G843" s="10">
        <f>53.5414 * CHOOSE(CONTROL!$C$15, $E$9, 100%, $G$9) + CHOOSE(CONTROL!$C$38, 0.0347, 0)</f>
        <v>53.576100000000004</v>
      </c>
      <c r="H843" s="10">
        <f>53.5414 * CHOOSE(CONTROL!$C$15, $E$9, 100%, $G$9) + CHOOSE(CONTROL!$C$38, 0.0347, 0)</f>
        <v>53.576100000000004</v>
      </c>
      <c r="I843" s="10">
        <f>53.543 * CHOOSE(CONTROL!$C$15, $E$9, 100%, $G$9) + CHOOSE(CONTROL!$C$38, 0.0347, 0)</f>
        <v>53.5777</v>
      </c>
      <c r="J843" s="26">
        <f>514.6546</f>
        <v>514.65459999999996</v>
      </c>
    </row>
    <row r="844" spans="1:10" ht="15.75" x14ac:dyDescent="0.25">
      <c r="A844" s="13">
        <v>66627</v>
      </c>
      <c r="B844" s="10">
        <f>57.4899 * CHOOSE(CONTROL!$C$15, $E$9, 100%, $G$9) + CHOOSE(CONTROL!$C$38, 0.0278, 0)</f>
        <v>57.517699999999998</v>
      </c>
      <c r="C844" s="10">
        <f>53.0268 * CHOOSE(CONTROL!$C$15, $E$9, 100%, $G$9) + CHOOSE(CONTROL!$C$38, 0.0369, 0)</f>
        <v>53.063700000000004</v>
      </c>
      <c r="D844" s="10">
        <f>53.019 * CHOOSE(CONTROL!$C$15, $E$9, 100%, $G$9) + CHOOSE(CONTROL!$C$38, 0.0369, 0)</f>
        <v>53.055900000000001</v>
      </c>
      <c r="E844" s="28">
        <f>57.3337 * CHOOSE(CONTROL!$C$15, $E$9, 100%, $G$9) + CHOOSE(CONTROL!$C$38, 0.0369, 0)</f>
        <v>57.370600000000003</v>
      </c>
      <c r="F844" s="27">
        <f>57.3337 * CHOOSE(CONTROL!$C$15, $E$9, 100%, $G$9) + CHOOSE(CONTROL!$C$38, 0.0278, 0)</f>
        <v>57.361499999999999</v>
      </c>
      <c r="G844" s="10">
        <f>53.0253 * CHOOSE(CONTROL!$C$15, $E$9, 100%, $G$9) + CHOOSE(CONTROL!$C$38, 0.0369, 0)</f>
        <v>53.062200000000004</v>
      </c>
      <c r="H844" s="10">
        <f>53.0253 * CHOOSE(CONTROL!$C$15, $E$9, 100%, $G$9) + CHOOSE(CONTROL!$C$38, 0.0369, 0)</f>
        <v>53.062200000000004</v>
      </c>
      <c r="I844" s="10">
        <f>53.0268 * CHOOSE(CONTROL!$C$15, $E$9, 100%, $G$9) + CHOOSE(CONTROL!$C$38, 0.0369, 0)</f>
        <v>53.063700000000004</v>
      </c>
      <c r="J844" s="26">
        <f>531.9254</f>
        <v>531.92539999999997</v>
      </c>
    </row>
    <row r="845" spans="1:10" ht="15.75" x14ac:dyDescent="0.25">
      <c r="A845" s="13">
        <v>66657</v>
      </c>
      <c r="B845" s="10">
        <f>57.1281 * CHOOSE(CONTROL!$C$15, $E$9, 100%, $G$9) + CHOOSE(CONTROL!$C$38, 0.0278, 0)</f>
        <v>57.155900000000003</v>
      </c>
      <c r="C845" s="10">
        <f>52.665 * CHOOSE(CONTROL!$C$15, $E$9, 100%, $G$9) + CHOOSE(CONTROL!$C$38, 0.0369, 0)</f>
        <v>52.701900000000002</v>
      </c>
      <c r="D845" s="10">
        <f>52.6572 * CHOOSE(CONTROL!$C$15, $E$9, 100%, $G$9) + CHOOSE(CONTROL!$C$38, 0.0369, 0)</f>
        <v>52.694100000000006</v>
      </c>
      <c r="E845" s="28">
        <f>56.9719 * CHOOSE(CONTROL!$C$15, $E$9, 100%, $G$9) + CHOOSE(CONTROL!$C$38, 0.0369, 0)</f>
        <v>57.008800000000001</v>
      </c>
      <c r="F845" s="27">
        <f>56.9719 * CHOOSE(CONTROL!$C$15, $E$9, 100%, $G$9) + CHOOSE(CONTROL!$C$38, 0.0278, 0)</f>
        <v>56.999699999999997</v>
      </c>
      <c r="G845" s="10">
        <f>52.6634 * CHOOSE(CONTROL!$C$15, $E$9, 100%, $G$9) + CHOOSE(CONTROL!$C$38, 0.0369, 0)</f>
        <v>52.700300000000006</v>
      </c>
      <c r="H845" s="10">
        <f>52.6634 * CHOOSE(CONTROL!$C$15, $E$9, 100%, $G$9) + CHOOSE(CONTROL!$C$38, 0.0369, 0)</f>
        <v>52.700300000000006</v>
      </c>
      <c r="I845" s="10">
        <f>52.665 * CHOOSE(CONTROL!$C$15, $E$9, 100%, $G$9) + CHOOSE(CONTROL!$C$38, 0.0369, 0)</f>
        <v>52.701900000000002</v>
      </c>
      <c r="J845" s="26">
        <f>539.5899</f>
        <v>539.58989999999994</v>
      </c>
    </row>
    <row r="846" spans="1:10" ht="15.75" x14ac:dyDescent="0.25">
      <c r="A846" s="13">
        <v>66688</v>
      </c>
      <c r="B846" s="10">
        <f>56.9216 * CHOOSE(CONTROL!$C$15, $E$9, 100%, $G$9) + CHOOSE(CONTROL!$C$38, 0.0278, 0)</f>
        <v>56.949399999999997</v>
      </c>
      <c r="C846" s="10">
        <f>52.4585 * CHOOSE(CONTROL!$C$15, $E$9, 100%, $G$9) + CHOOSE(CONTROL!$C$38, 0.0369, 0)</f>
        <v>52.495400000000004</v>
      </c>
      <c r="D846" s="10">
        <f>52.4507 * CHOOSE(CONTROL!$C$15, $E$9, 100%, $G$9) + CHOOSE(CONTROL!$C$38, 0.0369, 0)</f>
        <v>52.4876</v>
      </c>
      <c r="E846" s="28">
        <f>56.7654 * CHOOSE(CONTROL!$C$15, $E$9, 100%, $G$9) + CHOOSE(CONTROL!$C$38, 0.0369, 0)</f>
        <v>56.802300000000002</v>
      </c>
      <c r="F846" s="27">
        <f>56.7654 * CHOOSE(CONTROL!$C$15, $E$9, 100%, $G$9) + CHOOSE(CONTROL!$C$38, 0.0278, 0)</f>
        <v>56.793199999999999</v>
      </c>
      <c r="G846" s="10">
        <f>52.457 * CHOOSE(CONTROL!$C$15, $E$9, 100%, $G$9) + CHOOSE(CONTROL!$C$38, 0.0369, 0)</f>
        <v>52.493900000000004</v>
      </c>
      <c r="H846" s="10">
        <f>52.457 * CHOOSE(CONTROL!$C$15, $E$9, 100%, $G$9) + CHOOSE(CONTROL!$C$38, 0.0369, 0)</f>
        <v>52.493900000000004</v>
      </c>
      <c r="I846" s="10">
        <f>52.4585 * CHOOSE(CONTROL!$C$15, $E$9, 100%, $G$9) + CHOOSE(CONTROL!$C$38, 0.0369, 0)</f>
        <v>52.495400000000004</v>
      </c>
      <c r="J846" s="26">
        <f>537.0664</f>
        <v>537.06640000000004</v>
      </c>
    </row>
    <row r="847" spans="1:10" ht="15.75" x14ac:dyDescent="0.25">
      <c r="A847" s="13">
        <v>66719</v>
      </c>
      <c r="B847" s="10">
        <f>57.0235 * CHOOSE(CONTROL!$C$15, $E$9, 100%, $G$9) + CHOOSE(CONTROL!$C$38, 0.0278, 0)</f>
        <v>57.051299999999998</v>
      </c>
      <c r="C847" s="10">
        <f>52.5604 * CHOOSE(CONTROL!$C$15, $E$9, 100%, $G$9) + CHOOSE(CONTROL!$C$38, 0.0369, 0)</f>
        <v>52.597300000000004</v>
      </c>
      <c r="D847" s="10">
        <f>52.5526 * CHOOSE(CONTROL!$C$15, $E$9, 100%, $G$9) + CHOOSE(CONTROL!$C$38, 0.0369, 0)</f>
        <v>52.589500000000001</v>
      </c>
      <c r="E847" s="28">
        <f>56.8673 * CHOOSE(CONTROL!$C$15, $E$9, 100%, $G$9) + CHOOSE(CONTROL!$C$38, 0.0369, 0)</f>
        <v>56.904200000000003</v>
      </c>
      <c r="F847" s="27">
        <f>56.8673 * CHOOSE(CONTROL!$C$15, $E$9, 100%, $G$9) + CHOOSE(CONTROL!$C$38, 0.0278, 0)</f>
        <v>56.895099999999999</v>
      </c>
      <c r="G847" s="10">
        <f>52.5589 * CHOOSE(CONTROL!$C$15, $E$9, 100%, $G$9) + CHOOSE(CONTROL!$C$38, 0.0369, 0)</f>
        <v>52.595800000000004</v>
      </c>
      <c r="H847" s="10">
        <f>52.5589 * CHOOSE(CONTROL!$C$15, $E$9, 100%, $G$9) + CHOOSE(CONTROL!$C$38, 0.0369, 0)</f>
        <v>52.595800000000004</v>
      </c>
      <c r="I847" s="10">
        <f>52.5604 * CHOOSE(CONTROL!$C$15, $E$9, 100%, $G$9) + CHOOSE(CONTROL!$C$38, 0.0369, 0)</f>
        <v>52.597300000000004</v>
      </c>
      <c r="J847" s="26">
        <f>524.5637</f>
        <v>524.56370000000004</v>
      </c>
    </row>
    <row r="848" spans="1:10" ht="15.75" x14ac:dyDescent="0.25">
      <c r="A848" s="13">
        <v>66749</v>
      </c>
      <c r="B848" s="10">
        <f>57.3003 * CHOOSE(CONTROL!$C$15, $E$9, 100%, $G$9) + CHOOSE(CONTROL!$C$38, 0.0278, 0)</f>
        <v>57.328099999999999</v>
      </c>
      <c r="C848" s="10">
        <f>52.8372 * CHOOSE(CONTROL!$C$15, $E$9, 100%, $G$9) + CHOOSE(CONTROL!$C$38, 0.0369, 0)</f>
        <v>52.874100000000006</v>
      </c>
      <c r="D848" s="10">
        <f>52.8294 * CHOOSE(CONTROL!$C$15, $E$9, 100%, $G$9) + CHOOSE(CONTROL!$C$38, 0.0369, 0)</f>
        <v>52.866300000000003</v>
      </c>
      <c r="E848" s="28">
        <f>57.1441 * CHOOSE(CONTROL!$C$15, $E$9, 100%, $G$9) + CHOOSE(CONTROL!$C$38, 0.0369, 0)</f>
        <v>57.181000000000004</v>
      </c>
      <c r="F848" s="27">
        <f>57.1441 * CHOOSE(CONTROL!$C$15, $E$9, 100%, $G$9) + CHOOSE(CONTROL!$C$38, 0.0278, 0)</f>
        <v>57.171900000000001</v>
      </c>
      <c r="G848" s="10">
        <f>52.8357 * CHOOSE(CONTROL!$C$15, $E$9, 100%, $G$9) + CHOOSE(CONTROL!$C$38, 0.0369, 0)</f>
        <v>52.872600000000006</v>
      </c>
      <c r="H848" s="10">
        <f>52.8357 * CHOOSE(CONTROL!$C$15, $E$9, 100%, $G$9) + CHOOSE(CONTROL!$C$38, 0.0369, 0)</f>
        <v>52.872600000000006</v>
      </c>
      <c r="I848" s="10">
        <f>52.8372 * CHOOSE(CONTROL!$C$15, $E$9, 100%, $G$9) + CHOOSE(CONTROL!$C$38, 0.0369, 0)</f>
        <v>52.874100000000006</v>
      </c>
      <c r="J848" s="26">
        <f>507.1281</f>
        <v>507.12810000000002</v>
      </c>
    </row>
    <row r="849" spans="1:10" ht="15.75" x14ac:dyDescent="0.25">
      <c r="A849" s="13">
        <v>66780</v>
      </c>
      <c r="B849" s="10">
        <f>57.5321 * CHOOSE(CONTROL!$C$15, $E$9, 100%, $G$9) + CHOOSE(CONTROL!$C$38, 0.0256, 0)</f>
        <v>57.557699999999997</v>
      </c>
      <c r="C849" s="10">
        <f>53.069 * CHOOSE(CONTROL!$C$15, $E$9, 100%, $G$9) + CHOOSE(CONTROL!$C$38, 0.0347, 0)</f>
        <v>53.103700000000003</v>
      </c>
      <c r="D849" s="10">
        <f>53.0612 * CHOOSE(CONTROL!$C$15, $E$9, 100%, $G$9) + CHOOSE(CONTROL!$C$38, 0.0347, 0)</f>
        <v>53.0959</v>
      </c>
      <c r="E849" s="28">
        <f>57.3759 * CHOOSE(CONTROL!$C$15, $E$9, 100%, $G$9) + CHOOSE(CONTROL!$C$38, 0.0347, 0)</f>
        <v>57.410600000000002</v>
      </c>
      <c r="F849" s="27">
        <f>57.3759 * CHOOSE(CONTROL!$C$15, $E$9, 100%, $G$9) + CHOOSE(CONTROL!$C$38, 0.0256, 0)</f>
        <v>57.401499999999999</v>
      </c>
      <c r="G849" s="10">
        <f>53.0675 * CHOOSE(CONTROL!$C$15, $E$9, 100%, $G$9) + CHOOSE(CONTROL!$C$38, 0.0347, 0)</f>
        <v>53.102200000000003</v>
      </c>
      <c r="H849" s="10">
        <f>53.0675 * CHOOSE(CONTROL!$C$15, $E$9, 100%, $G$9) + CHOOSE(CONTROL!$C$38, 0.0347, 0)</f>
        <v>53.102200000000003</v>
      </c>
      <c r="I849" s="10">
        <f>53.069 * CHOOSE(CONTROL!$C$15, $E$9, 100%, $G$9) + CHOOSE(CONTROL!$C$38, 0.0347, 0)</f>
        <v>53.103700000000003</v>
      </c>
      <c r="J849" s="26">
        <f>489.5911</f>
        <v>489.59109999999998</v>
      </c>
    </row>
    <row r="850" spans="1:10" ht="15.75" x14ac:dyDescent="0.25">
      <c r="A850" s="13">
        <v>66810</v>
      </c>
      <c r="B850" s="10">
        <f>57.7256 * CHOOSE(CONTROL!$C$15, $E$9, 100%, $G$9) + CHOOSE(CONTROL!$C$38, 0.0256, 0)</f>
        <v>57.751199999999997</v>
      </c>
      <c r="C850" s="10">
        <f>53.2625 * CHOOSE(CONTROL!$C$15, $E$9, 100%, $G$9) + CHOOSE(CONTROL!$C$38, 0.0347, 0)</f>
        <v>53.297200000000004</v>
      </c>
      <c r="D850" s="10">
        <f>53.2547 * CHOOSE(CONTROL!$C$15, $E$9, 100%, $G$9) + CHOOSE(CONTROL!$C$38, 0.0347, 0)</f>
        <v>53.289400000000001</v>
      </c>
      <c r="E850" s="28">
        <f>57.5693 * CHOOSE(CONTROL!$C$15, $E$9, 100%, $G$9) + CHOOSE(CONTROL!$C$38, 0.0347, 0)</f>
        <v>57.603999999999999</v>
      </c>
      <c r="F850" s="27">
        <f>57.5693 * CHOOSE(CONTROL!$C$15, $E$9, 100%, $G$9) + CHOOSE(CONTROL!$C$38, 0.0256, 0)</f>
        <v>57.594899999999996</v>
      </c>
      <c r="G850" s="10">
        <f>53.2609 * CHOOSE(CONTROL!$C$15, $E$9, 100%, $G$9) + CHOOSE(CONTROL!$C$38, 0.0347, 0)</f>
        <v>53.2956</v>
      </c>
      <c r="H850" s="10">
        <f>53.2609 * CHOOSE(CONTROL!$C$15, $E$9, 100%, $G$9) + CHOOSE(CONTROL!$C$38, 0.0347, 0)</f>
        <v>53.2956</v>
      </c>
      <c r="I850" s="10">
        <f>53.2625 * CHOOSE(CONTROL!$C$15, $E$9, 100%, $G$9) + CHOOSE(CONTROL!$C$38, 0.0347, 0)</f>
        <v>53.297200000000004</v>
      </c>
      <c r="J850" s="26">
        <f>486.1026</f>
        <v>486.1026</v>
      </c>
    </row>
    <row r="851" spans="1:10" ht="15.75" x14ac:dyDescent="0.25">
      <c r="A851" s="13">
        <v>66841</v>
      </c>
      <c r="B851" s="10">
        <f>58.3217 * CHOOSE(CONTROL!$C$15, $E$9, 100%, $G$9) + CHOOSE(CONTROL!$C$38, 0.0256, 0)</f>
        <v>58.347299999999997</v>
      </c>
      <c r="C851" s="10">
        <f>53.8586 * CHOOSE(CONTROL!$C$15, $E$9, 100%, $G$9) + CHOOSE(CONTROL!$C$38, 0.0347, 0)</f>
        <v>53.893300000000004</v>
      </c>
      <c r="D851" s="10">
        <f>53.8507 * CHOOSE(CONTROL!$C$15, $E$9, 100%, $G$9) + CHOOSE(CONTROL!$C$38, 0.0347, 0)</f>
        <v>53.885400000000004</v>
      </c>
      <c r="E851" s="28">
        <f>58.1654 * CHOOSE(CONTROL!$C$15, $E$9, 100%, $G$9) + CHOOSE(CONTROL!$C$38, 0.0347, 0)</f>
        <v>58.200099999999999</v>
      </c>
      <c r="F851" s="27">
        <f>58.1654 * CHOOSE(CONTROL!$C$15, $E$9, 100%, $G$9) + CHOOSE(CONTROL!$C$38, 0.0256, 0)</f>
        <v>58.190999999999995</v>
      </c>
      <c r="G851" s="10">
        <f>53.857 * CHOOSE(CONTROL!$C$15, $E$9, 100%, $G$9) + CHOOSE(CONTROL!$C$38, 0.0347, 0)</f>
        <v>53.8917</v>
      </c>
      <c r="H851" s="10">
        <f>53.857 * CHOOSE(CONTROL!$C$15, $E$9, 100%, $G$9) + CHOOSE(CONTROL!$C$38, 0.0347, 0)</f>
        <v>53.8917</v>
      </c>
      <c r="I851" s="10">
        <f>53.8586 * CHOOSE(CONTROL!$C$15, $E$9, 100%, $G$9) + CHOOSE(CONTROL!$C$38, 0.0347, 0)</f>
        <v>53.893300000000004</v>
      </c>
      <c r="J851" s="26">
        <f>471.6775</f>
        <v>471.67750000000001</v>
      </c>
    </row>
    <row r="852" spans="1:10" ht="15.75" x14ac:dyDescent="0.25">
      <c r="A852" s="13">
        <v>66872</v>
      </c>
      <c r="B852" s="10">
        <f>59.7292 * CHOOSE(CONTROL!$C$15, $E$9, 100%, $G$9) + CHOOSE(CONTROL!$C$38, 0.0256, 0)</f>
        <v>59.754799999999996</v>
      </c>
      <c r="C852" s="10">
        <f>55.1955 * CHOOSE(CONTROL!$C$15, $E$9, 100%, $G$9) + CHOOSE(CONTROL!$C$38, 0.0347, 0)</f>
        <v>55.230200000000004</v>
      </c>
      <c r="D852" s="10">
        <f>55.1877 * CHOOSE(CONTROL!$C$15, $E$9, 100%, $G$9) + CHOOSE(CONTROL!$C$38, 0.0347, 0)</f>
        <v>55.2224</v>
      </c>
      <c r="E852" s="28">
        <f>59.573 * CHOOSE(CONTROL!$C$15, $E$9, 100%, $G$9) + CHOOSE(CONTROL!$C$38, 0.0347, 0)</f>
        <v>59.607700000000001</v>
      </c>
      <c r="F852" s="27">
        <f>59.573 * CHOOSE(CONTROL!$C$15, $E$9, 100%, $G$9) + CHOOSE(CONTROL!$C$38, 0.0256, 0)</f>
        <v>59.598599999999998</v>
      </c>
      <c r="G852" s="10">
        <f>55.194 * CHOOSE(CONTROL!$C$15, $E$9, 100%, $G$9) + CHOOSE(CONTROL!$C$38, 0.0347, 0)</f>
        <v>55.228700000000003</v>
      </c>
      <c r="H852" s="10">
        <f>55.194 * CHOOSE(CONTROL!$C$15, $E$9, 100%, $G$9) + CHOOSE(CONTROL!$C$38, 0.0347, 0)</f>
        <v>55.228700000000003</v>
      </c>
      <c r="I852" s="10">
        <f>55.1955 * CHOOSE(CONTROL!$C$15, $E$9, 100%, $G$9) + CHOOSE(CONTROL!$C$38, 0.0347, 0)</f>
        <v>55.230200000000004</v>
      </c>
      <c r="J852" s="26">
        <f>470.7767</f>
        <v>470.77670000000001</v>
      </c>
    </row>
    <row r="853" spans="1:10" ht="15.75" x14ac:dyDescent="0.25">
      <c r="A853" s="13">
        <v>66900</v>
      </c>
      <c r="B853" s="10">
        <f>59.95 * CHOOSE(CONTROL!$C$15, $E$9, 100%, $G$9) + CHOOSE(CONTROL!$C$38, 0.0256, 0)</f>
        <v>59.9756</v>
      </c>
      <c r="C853" s="10">
        <f>55.4163 * CHOOSE(CONTROL!$C$15, $E$9, 100%, $G$9) + CHOOSE(CONTROL!$C$38, 0.0347, 0)</f>
        <v>55.451000000000001</v>
      </c>
      <c r="D853" s="10">
        <f>55.4085 * CHOOSE(CONTROL!$C$15, $E$9, 100%, $G$9) + CHOOSE(CONTROL!$C$38, 0.0347, 0)</f>
        <v>55.443199999999997</v>
      </c>
      <c r="E853" s="28">
        <f>59.7937 * CHOOSE(CONTROL!$C$15, $E$9, 100%, $G$9) + CHOOSE(CONTROL!$C$38, 0.0347, 0)</f>
        <v>59.828400000000002</v>
      </c>
      <c r="F853" s="27">
        <f>59.7937 * CHOOSE(CONTROL!$C$15, $E$9, 100%, $G$9) + CHOOSE(CONTROL!$C$38, 0.0256, 0)</f>
        <v>59.819299999999998</v>
      </c>
      <c r="G853" s="10">
        <f>55.4147 * CHOOSE(CONTROL!$C$15, $E$9, 100%, $G$9) + CHOOSE(CONTROL!$C$38, 0.0347, 0)</f>
        <v>55.449400000000004</v>
      </c>
      <c r="H853" s="10">
        <f>55.4147 * CHOOSE(CONTROL!$C$15, $E$9, 100%, $G$9) + CHOOSE(CONTROL!$C$38, 0.0347, 0)</f>
        <v>55.449400000000004</v>
      </c>
      <c r="I853" s="10">
        <f>55.4163 * CHOOSE(CONTROL!$C$15, $E$9, 100%, $G$9) + CHOOSE(CONTROL!$C$38, 0.0347, 0)</f>
        <v>55.451000000000001</v>
      </c>
      <c r="J853" s="26">
        <f>469.4681</f>
        <v>469.46809999999999</v>
      </c>
    </row>
    <row r="854" spans="1:10" ht="15.75" x14ac:dyDescent="0.25">
      <c r="A854" s="13">
        <v>66931</v>
      </c>
      <c r="B854" s="10">
        <f>59.439 * CHOOSE(CONTROL!$C$15, $E$9, 100%, $G$9) + CHOOSE(CONTROL!$C$38, 0.0256, 0)</f>
        <v>59.464599999999997</v>
      </c>
      <c r="C854" s="10">
        <f>54.9053 * CHOOSE(CONTROL!$C$15, $E$9, 100%, $G$9) + CHOOSE(CONTROL!$C$38, 0.0347, 0)</f>
        <v>54.94</v>
      </c>
      <c r="D854" s="10">
        <f>54.8974 * CHOOSE(CONTROL!$C$15, $E$9, 100%, $G$9) + CHOOSE(CONTROL!$C$38, 0.0347, 0)</f>
        <v>54.932099999999998</v>
      </c>
      <c r="E854" s="28">
        <f>59.2827 * CHOOSE(CONTROL!$C$15, $E$9, 100%, $G$9) + CHOOSE(CONTROL!$C$38, 0.0347, 0)</f>
        <v>59.317399999999999</v>
      </c>
      <c r="F854" s="27">
        <f>59.2827 * CHOOSE(CONTROL!$C$15, $E$9, 100%, $G$9) + CHOOSE(CONTROL!$C$38, 0.0256, 0)</f>
        <v>59.308299999999996</v>
      </c>
      <c r="G854" s="10">
        <f>54.9037 * CHOOSE(CONTROL!$C$15, $E$9, 100%, $G$9) + CHOOSE(CONTROL!$C$38, 0.0347, 0)</f>
        <v>54.938400000000001</v>
      </c>
      <c r="H854" s="10">
        <f>54.9037 * CHOOSE(CONTROL!$C$15, $E$9, 100%, $G$9) + CHOOSE(CONTROL!$C$38, 0.0347, 0)</f>
        <v>54.938400000000001</v>
      </c>
      <c r="I854" s="10">
        <f>54.9053 * CHOOSE(CONTROL!$C$15, $E$9, 100%, $G$9) + CHOOSE(CONTROL!$C$38, 0.0347, 0)</f>
        <v>54.94</v>
      </c>
      <c r="J854" s="26">
        <f>494.2118</f>
        <v>494.21179999999998</v>
      </c>
    </row>
    <row r="855" spans="1:10" ht="15.75" x14ac:dyDescent="0.25">
      <c r="A855" s="13">
        <v>66961</v>
      </c>
      <c r="B855" s="10">
        <f>58.9438 * CHOOSE(CONTROL!$C$15, $E$9, 100%, $G$9) + CHOOSE(CONTROL!$C$38, 0.0256, 0)</f>
        <v>58.9694</v>
      </c>
      <c r="C855" s="10">
        <f>54.4101 * CHOOSE(CONTROL!$C$15, $E$9, 100%, $G$9) + CHOOSE(CONTROL!$C$38, 0.0347, 0)</f>
        <v>54.444800000000001</v>
      </c>
      <c r="D855" s="10">
        <f>54.4023 * CHOOSE(CONTROL!$C$15, $E$9, 100%, $G$9) + CHOOSE(CONTROL!$C$38, 0.0347, 0)</f>
        <v>54.436999999999998</v>
      </c>
      <c r="E855" s="28">
        <f>58.7875 * CHOOSE(CONTROL!$C$15, $E$9, 100%, $G$9) + CHOOSE(CONTROL!$C$38, 0.0347, 0)</f>
        <v>58.822200000000002</v>
      </c>
      <c r="F855" s="27">
        <f>58.7875 * CHOOSE(CONTROL!$C$15, $E$9, 100%, $G$9) + CHOOSE(CONTROL!$C$38, 0.0256, 0)</f>
        <v>58.813099999999999</v>
      </c>
      <c r="G855" s="10">
        <f>54.4085 * CHOOSE(CONTROL!$C$15, $E$9, 100%, $G$9) + CHOOSE(CONTROL!$C$38, 0.0347, 0)</f>
        <v>54.443199999999997</v>
      </c>
      <c r="H855" s="10">
        <f>54.4085 * CHOOSE(CONTROL!$C$15, $E$9, 100%, $G$9) + CHOOSE(CONTROL!$C$38, 0.0347, 0)</f>
        <v>54.443199999999997</v>
      </c>
      <c r="I855" s="10">
        <f>54.4101 * CHOOSE(CONTROL!$C$15, $E$9, 100%, $G$9) + CHOOSE(CONTROL!$C$38, 0.0347, 0)</f>
        <v>54.444800000000001</v>
      </c>
      <c r="J855" s="26">
        <f>526.2984</f>
        <v>526.29840000000002</v>
      </c>
    </row>
    <row r="856" spans="1:10" ht="15.75" x14ac:dyDescent="0.25">
      <c r="A856" s="13">
        <v>66992</v>
      </c>
      <c r="B856" s="10">
        <f>58.4277 * CHOOSE(CONTROL!$C$15, $E$9, 100%, $G$9) + CHOOSE(CONTROL!$C$38, 0.0278, 0)</f>
        <v>58.455500000000001</v>
      </c>
      <c r="C856" s="10">
        <f>53.894 * CHOOSE(CONTROL!$C$15, $E$9, 100%, $G$9) + CHOOSE(CONTROL!$C$38, 0.0369, 0)</f>
        <v>53.930900000000001</v>
      </c>
      <c r="D856" s="10">
        <f>53.8862 * CHOOSE(CONTROL!$C$15, $E$9, 100%, $G$9) + CHOOSE(CONTROL!$C$38, 0.0369, 0)</f>
        <v>53.923100000000005</v>
      </c>
      <c r="E856" s="28">
        <f>58.2714 * CHOOSE(CONTROL!$C$15, $E$9, 100%, $G$9) + CHOOSE(CONTROL!$C$38, 0.0369, 0)</f>
        <v>58.308300000000003</v>
      </c>
      <c r="F856" s="27">
        <f>58.2714 * CHOOSE(CONTROL!$C$15, $E$9, 100%, $G$9) + CHOOSE(CONTROL!$C$38, 0.0278, 0)</f>
        <v>58.299199999999999</v>
      </c>
      <c r="G856" s="10">
        <f>53.8924 * CHOOSE(CONTROL!$C$15, $E$9, 100%, $G$9) + CHOOSE(CONTROL!$C$38, 0.0369, 0)</f>
        <v>53.929300000000005</v>
      </c>
      <c r="H856" s="10">
        <f>53.8924 * CHOOSE(CONTROL!$C$15, $E$9, 100%, $G$9) + CHOOSE(CONTROL!$C$38, 0.0369, 0)</f>
        <v>53.929300000000005</v>
      </c>
      <c r="I856" s="10">
        <f>53.894 * CHOOSE(CONTROL!$C$15, $E$9, 100%, $G$9) + CHOOSE(CONTROL!$C$38, 0.0369, 0)</f>
        <v>53.930900000000001</v>
      </c>
      <c r="J856" s="26">
        <f>543.96</f>
        <v>543.96</v>
      </c>
    </row>
    <row r="857" spans="1:10" ht="15.75" x14ac:dyDescent="0.25">
      <c r="A857" s="13">
        <v>67022</v>
      </c>
      <c r="B857" s="10">
        <f>58.0658 * CHOOSE(CONTROL!$C$15, $E$9, 100%, $G$9) + CHOOSE(CONTROL!$C$38, 0.0278, 0)</f>
        <v>58.093600000000002</v>
      </c>
      <c r="C857" s="10">
        <f>53.5321 * CHOOSE(CONTROL!$C$15, $E$9, 100%, $G$9) + CHOOSE(CONTROL!$C$38, 0.0369, 0)</f>
        <v>53.569000000000003</v>
      </c>
      <c r="D857" s="10">
        <f>53.5243 * CHOOSE(CONTROL!$C$15, $E$9, 100%, $G$9) + CHOOSE(CONTROL!$C$38, 0.0369, 0)</f>
        <v>53.561199999999999</v>
      </c>
      <c r="E857" s="28">
        <f>57.9096 * CHOOSE(CONTROL!$C$15, $E$9, 100%, $G$9) + CHOOSE(CONTROL!$C$38, 0.0369, 0)</f>
        <v>57.9465</v>
      </c>
      <c r="F857" s="27">
        <f>57.9096 * CHOOSE(CONTROL!$C$15, $E$9, 100%, $G$9) + CHOOSE(CONTROL!$C$38, 0.0278, 0)</f>
        <v>57.937399999999997</v>
      </c>
      <c r="G857" s="10">
        <f>53.5306 * CHOOSE(CONTROL!$C$15, $E$9, 100%, $G$9) + CHOOSE(CONTROL!$C$38, 0.0369, 0)</f>
        <v>53.567500000000003</v>
      </c>
      <c r="H857" s="10">
        <f>53.5306 * CHOOSE(CONTROL!$C$15, $E$9, 100%, $G$9) + CHOOSE(CONTROL!$C$38, 0.0369, 0)</f>
        <v>53.567500000000003</v>
      </c>
      <c r="I857" s="10">
        <f>53.5321 * CHOOSE(CONTROL!$C$15, $E$9, 100%, $G$9) + CHOOSE(CONTROL!$C$38, 0.0369, 0)</f>
        <v>53.569000000000003</v>
      </c>
      <c r="J857" s="26">
        <f>551.7978</f>
        <v>551.79780000000005</v>
      </c>
    </row>
    <row r="858" spans="1:10" ht="15.75" x14ac:dyDescent="0.25">
      <c r="A858" s="13">
        <v>67053</v>
      </c>
      <c r="B858" s="10">
        <f>57.8593 * CHOOSE(CONTROL!$C$15, $E$9, 100%, $G$9) + CHOOSE(CONTROL!$C$38, 0.0278, 0)</f>
        <v>57.887099999999997</v>
      </c>
      <c r="C858" s="10">
        <f>53.3256 * CHOOSE(CONTROL!$C$15, $E$9, 100%, $G$9) + CHOOSE(CONTROL!$C$38, 0.0369, 0)</f>
        <v>53.362500000000004</v>
      </c>
      <c r="D858" s="10">
        <f>53.3178 * CHOOSE(CONTROL!$C$15, $E$9, 100%, $G$9) + CHOOSE(CONTROL!$C$38, 0.0369, 0)</f>
        <v>53.354700000000001</v>
      </c>
      <c r="E858" s="28">
        <f>57.7031 * CHOOSE(CONTROL!$C$15, $E$9, 100%, $G$9) + CHOOSE(CONTROL!$C$38, 0.0369, 0)</f>
        <v>57.74</v>
      </c>
      <c r="F858" s="27">
        <f>57.7031 * CHOOSE(CONTROL!$C$15, $E$9, 100%, $G$9) + CHOOSE(CONTROL!$C$38, 0.0278, 0)</f>
        <v>57.730899999999998</v>
      </c>
      <c r="G858" s="10">
        <f>53.3241 * CHOOSE(CONTROL!$C$15, $E$9, 100%, $G$9) + CHOOSE(CONTROL!$C$38, 0.0369, 0)</f>
        <v>53.361000000000004</v>
      </c>
      <c r="H858" s="10">
        <f>53.3241 * CHOOSE(CONTROL!$C$15, $E$9, 100%, $G$9) + CHOOSE(CONTROL!$C$38, 0.0369, 0)</f>
        <v>53.361000000000004</v>
      </c>
      <c r="I858" s="10">
        <f>53.3256 * CHOOSE(CONTROL!$C$15, $E$9, 100%, $G$9) + CHOOSE(CONTROL!$C$38, 0.0369, 0)</f>
        <v>53.362500000000004</v>
      </c>
      <c r="J858" s="26">
        <f>549.2173</f>
        <v>549.21730000000002</v>
      </c>
    </row>
    <row r="859" spans="1:10" ht="15.75" x14ac:dyDescent="0.25">
      <c r="A859" s="13">
        <v>67084</v>
      </c>
      <c r="B859" s="10">
        <f>57.9613 * CHOOSE(CONTROL!$C$15, $E$9, 100%, $G$9) + CHOOSE(CONTROL!$C$38, 0.0278, 0)</f>
        <v>57.989100000000001</v>
      </c>
      <c r="C859" s="10">
        <f>53.4275 * CHOOSE(CONTROL!$C$15, $E$9, 100%, $G$9) + CHOOSE(CONTROL!$C$38, 0.0369, 0)</f>
        <v>53.464400000000005</v>
      </c>
      <c r="D859" s="10">
        <f>53.4197 * CHOOSE(CONTROL!$C$15, $E$9, 100%, $G$9) + CHOOSE(CONTROL!$C$38, 0.0369, 0)</f>
        <v>53.456600000000002</v>
      </c>
      <c r="E859" s="28">
        <f>57.805 * CHOOSE(CONTROL!$C$15, $E$9, 100%, $G$9) + CHOOSE(CONTROL!$C$38, 0.0369, 0)</f>
        <v>57.841900000000003</v>
      </c>
      <c r="F859" s="27">
        <f>57.805 * CHOOSE(CONTROL!$C$15, $E$9, 100%, $G$9) + CHOOSE(CONTROL!$C$38, 0.0278, 0)</f>
        <v>57.832799999999999</v>
      </c>
      <c r="G859" s="10">
        <f>53.426 * CHOOSE(CONTROL!$C$15, $E$9, 100%, $G$9) + CHOOSE(CONTROL!$C$38, 0.0369, 0)</f>
        <v>53.462900000000005</v>
      </c>
      <c r="H859" s="10">
        <f>53.426 * CHOOSE(CONTROL!$C$15, $E$9, 100%, $G$9) + CHOOSE(CONTROL!$C$38, 0.0369, 0)</f>
        <v>53.462900000000005</v>
      </c>
      <c r="I859" s="10">
        <f>53.4275 * CHOOSE(CONTROL!$C$15, $E$9, 100%, $G$9) + CHOOSE(CONTROL!$C$38, 0.0369, 0)</f>
        <v>53.464400000000005</v>
      </c>
      <c r="J859" s="26">
        <f>536.4317</f>
        <v>536.43169999999998</v>
      </c>
    </row>
    <row r="860" spans="1:10" ht="15.75" x14ac:dyDescent="0.25">
      <c r="A860" s="13">
        <v>67114</v>
      </c>
      <c r="B860" s="10">
        <f>58.2381 * CHOOSE(CONTROL!$C$15, $E$9, 100%, $G$9) + CHOOSE(CONTROL!$C$38, 0.0278, 0)</f>
        <v>58.265900000000002</v>
      </c>
      <c r="C860" s="10">
        <f>53.7043 * CHOOSE(CONTROL!$C$15, $E$9, 100%, $G$9) + CHOOSE(CONTROL!$C$38, 0.0369, 0)</f>
        <v>53.741200000000006</v>
      </c>
      <c r="D860" s="10">
        <f>53.6965 * CHOOSE(CONTROL!$C$15, $E$9, 100%, $G$9) + CHOOSE(CONTROL!$C$38, 0.0369, 0)</f>
        <v>53.733400000000003</v>
      </c>
      <c r="E860" s="28">
        <f>58.0818 * CHOOSE(CONTROL!$C$15, $E$9, 100%, $G$9) + CHOOSE(CONTROL!$C$38, 0.0369, 0)</f>
        <v>58.118700000000004</v>
      </c>
      <c r="F860" s="27">
        <f>58.0818 * CHOOSE(CONTROL!$C$15, $E$9, 100%, $G$9) + CHOOSE(CONTROL!$C$38, 0.0278, 0)</f>
        <v>58.1096</v>
      </c>
      <c r="G860" s="10">
        <f>53.7028 * CHOOSE(CONTROL!$C$15, $E$9, 100%, $G$9) + CHOOSE(CONTROL!$C$38, 0.0369, 0)</f>
        <v>53.739700000000006</v>
      </c>
      <c r="H860" s="10">
        <f>53.7028 * CHOOSE(CONTROL!$C$15, $E$9, 100%, $G$9) + CHOOSE(CONTROL!$C$38, 0.0369, 0)</f>
        <v>53.739700000000006</v>
      </c>
      <c r="I860" s="10">
        <f>53.7043 * CHOOSE(CONTROL!$C$15, $E$9, 100%, $G$9) + CHOOSE(CONTROL!$C$38, 0.0369, 0)</f>
        <v>53.741200000000006</v>
      </c>
      <c r="J860" s="26">
        <f>518.6016</f>
        <v>518.60159999999996</v>
      </c>
    </row>
    <row r="861" spans="1:10" ht="15.75" x14ac:dyDescent="0.25">
      <c r="A861" s="13">
        <v>67145</v>
      </c>
      <c r="B861" s="10">
        <f>58.4699 * CHOOSE(CONTROL!$C$15, $E$9, 100%, $G$9) + CHOOSE(CONTROL!$C$38, 0.0256, 0)</f>
        <v>58.4955</v>
      </c>
      <c r="C861" s="10">
        <f>53.9362 * CHOOSE(CONTROL!$C$15, $E$9, 100%, $G$9) + CHOOSE(CONTROL!$C$38, 0.0347, 0)</f>
        <v>53.9709</v>
      </c>
      <c r="D861" s="10">
        <f>53.9284 * CHOOSE(CONTROL!$C$15, $E$9, 100%, $G$9) + CHOOSE(CONTROL!$C$38, 0.0347, 0)</f>
        <v>53.963100000000004</v>
      </c>
      <c r="E861" s="28">
        <f>58.3136 * CHOOSE(CONTROL!$C$15, $E$9, 100%, $G$9) + CHOOSE(CONTROL!$C$38, 0.0347, 0)</f>
        <v>58.348300000000002</v>
      </c>
      <c r="F861" s="27">
        <f>58.3136 * CHOOSE(CONTROL!$C$15, $E$9, 100%, $G$9) + CHOOSE(CONTROL!$C$38, 0.0256, 0)</f>
        <v>58.339199999999998</v>
      </c>
      <c r="G861" s="10">
        <f>53.9346 * CHOOSE(CONTROL!$C$15, $E$9, 100%, $G$9) + CHOOSE(CONTROL!$C$38, 0.0347, 0)</f>
        <v>53.969300000000004</v>
      </c>
      <c r="H861" s="10">
        <f>53.9346 * CHOOSE(CONTROL!$C$15, $E$9, 100%, $G$9) + CHOOSE(CONTROL!$C$38, 0.0347, 0)</f>
        <v>53.969300000000004</v>
      </c>
      <c r="I861" s="10">
        <f>53.9362 * CHOOSE(CONTROL!$C$15, $E$9, 100%, $G$9) + CHOOSE(CONTROL!$C$38, 0.0347, 0)</f>
        <v>53.9709</v>
      </c>
      <c r="J861" s="26">
        <f>500.6679</f>
        <v>500.66789999999997</v>
      </c>
    </row>
    <row r="862" spans="1:10" ht="15.75" x14ac:dyDescent="0.25">
      <c r="A862" s="13">
        <v>67175</v>
      </c>
      <c r="B862" s="10">
        <f>58.6633 * CHOOSE(CONTROL!$C$15, $E$9, 100%, $G$9) + CHOOSE(CONTROL!$C$38, 0.0256, 0)</f>
        <v>58.688899999999997</v>
      </c>
      <c r="C862" s="10">
        <f>54.1296 * CHOOSE(CONTROL!$C$15, $E$9, 100%, $G$9) + CHOOSE(CONTROL!$C$38, 0.0347, 0)</f>
        <v>54.164300000000004</v>
      </c>
      <c r="D862" s="10">
        <f>54.1218 * CHOOSE(CONTROL!$C$15, $E$9, 100%, $G$9) + CHOOSE(CONTROL!$C$38, 0.0347, 0)</f>
        <v>54.156500000000001</v>
      </c>
      <c r="E862" s="28">
        <f>58.5071 * CHOOSE(CONTROL!$C$15, $E$9, 100%, $G$9) + CHOOSE(CONTROL!$C$38, 0.0347, 0)</f>
        <v>58.541800000000002</v>
      </c>
      <c r="F862" s="27">
        <f>58.5071 * CHOOSE(CONTROL!$C$15, $E$9, 100%, $G$9) + CHOOSE(CONTROL!$C$38, 0.0256, 0)</f>
        <v>58.532699999999998</v>
      </c>
      <c r="G862" s="10">
        <f>54.128 * CHOOSE(CONTROL!$C$15, $E$9, 100%, $G$9) + CHOOSE(CONTROL!$C$38, 0.0347, 0)</f>
        <v>54.162700000000001</v>
      </c>
      <c r="H862" s="10">
        <f>54.128 * CHOOSE(CONTROL!$C$15, $E$9, 100%, $G$9) + CHOOSE(CONTROL!$C$38, 0.0347, 0)</f>
        <v>54.162700000000001</v>
      </c>
      <c r="I862" s="10">
        <f>54.1296 * CHOOSE(CONTROL!$C$15, $E$9, 100%, $G$9) + CHOOSE(CONTROL!$C$38, 0.0347, 0)</f>
        <v>54.164300000000004</v>
      </c>
      <c r="J862" s="26">
        <f>497.1005</f>
        <v>497.10050000000001</v>
      </c>
    </row>
    <row r="863" spans="1:10" ht="15.75" x14ac:dyDescent="0.25">
      <c r="A863" s="13">
        <v>67206</v>
      </c>
      <c r="B863" s="10">
        <f>59.2594 * CHOOSE(CONTROL!$C$15, $E$9, 100%, $G$9) + CHOOSE(CONTROL!$C$38, 0.0256, 0)</f>
        <v>59.284999999999997</v>
      </c>
      <c r="C863" s="10">
        <f>54.7257 * CHOOSE(CONTROL!$C$15, $E$9, 100%, $G$9) + CHOOSE(CONTROL!$C$38, 0.0347, 0)</f>
        <v>54.760400000000004</v>
      </c>
      <c r="D863" s="10">
        <f>54.7179 * CHOOSE(CONTROL!$C$15, $E$9, 100%, $G$9) + CHOOSE(CONTROL!$C$38, 0.0347, 0)</f>
        <v>54.752600000000001</v>
      </c>
      <c r="E863" s="28">
        <f>59.1031 * CHOOSE(CONTROL!$C$15, $E$9, 100%, $G$9) + CHOOSE(CONTROL!$C$38, 0.0347, 0)</f>
        <v>59.137799999999999</v>
      </c>
      <c r="F863" s="27">
        <f>59.1031 * CHOOSE(CONTROL!$C$15, $E$9, 100%, $G$9) + CHOOSE(CONTROL!$C$38, 0.0256, 0)</f>
        <v>59.128699999999995</v>
      </c>
      <c r="G863" s="10">
        <f>54.7241 * CHOOSE(CONTROL!$C$15, $E$9, 100%, $G$9) + CHOOSE(CONTROL!$C$38, 0.0347, 0)</f>
        <v>54.758800000000001</v>
      </c>
      <c r="H863" s="10">
        <f>54.7241 * CHOOSE(CONTROL!$C$15, $E$9, 100%, $G$9) + CHOOSE(CONTROL!$C$38, 0.0347, 0)</f>
        <v>54.758800000000001</v>
      </c>
      <c r="I863" s="10">
        <f>54.7257 * CHOOSE(CONTROL!$C$15, $E$9, 100%, $G$9) + CHOOSE(CONTROL!$C$38, 0.0347, 0)</f>
        <v>54.760400000000004</v>
      </c>
      <c r="J863" s="26">
        <f>482.349</f>
        <v>482.34899999999999</v>
      </c>
    </row>
    <row r="864" spans="1:10" ht="15.75" x14ac:dyDescent="0.25">
      <c r="A864" s="13">
        <v>67237</v>
      </c>
      <c r="B864" s="10">
        <f>60.6823 * CHOOSE(CONTROL!$C$15, $E$9, 100%, $G$9) + CHOOSE(CONTROL!$C$38, 0.0256, 0)</f>
        <v>60.707899999999995</v>
      </c>
      <c r="C864" s="10">
        <f>56.0769 * CHOOSE(CONTROL!$C$15, $E$9, 100%, $G$9) + CHOOSE(CONTROL!$C$38, 0.0347, 0)</f>
        <v>56.111600000000003</v>
      </c>
      <c r="D864" s="10">
        <f>56.0691 * CHOOSE(CONTROL!$C$15, $E$9, 100%, $G$9) + CHOOSE(CONTROL!$C$38, 0.0347, 0)</f>
        <v>56.1038</v>
      </c>
      <c r="E864" s="28">
        <f>60.5261 * CHOOSE(CONTROL!$C$15, $E$9, 100%, $G$9) + CHOOSE(CONTROL!$C$38, 0.0347, 0)</f>
        <v>60.5608</v>
      </c>
      <c r="F864" s="27">
        <f>60.5261 * CHOOSE(CONTROL!$C$15, $E$9, 100%, $G$9) + CHOOSE(CONTROL!$C$38, 0.0256, 0)</f>
        <v>60.551699999999997</v>
      </c>
      <c r="G864" s="10">
        <f>56.0753 * CHOOSE(CONTROL!$C$15, $E$9, 100%, $G$9) + CHOOSE(CONTROL!$C$38, 0.0347, 0)</f>
        <v>56.11</v>
      </c>
      <c r="H864" s="10">
        <f>56.0753 * CHOOSE(CONTROL!$C$15, $E$9, 100%, $G$9) + CHOOSE(CONTROL!$C$38, 0.0347, 0)</f>
        <v>56.11</v>
      </c>
      <c r="I864" s="10">
        <f>56.0769 * CHOOSE(CONTROL!$C$15, $E$9, 100%, $G$9) + CHOOSE(CONTROL!$C$38, 0.0347, 0)</f>
        <v>56.111600000000003</v>
      </c>
      <c r="J864" s="26">
        <f>481.4278</f>
        <v>481.42779999999999</v>
      </c>
    </row>
    <row r="865" spans="1:10" ht="15.75" x14ac:dyDescent="0.25">
      <c r="A865" s="13">
        <v>67266</v>
      </c>
      <c r="B865" s="10">
        <f>60.9031 * CHOOSE(CONTROL!$C$15, $E$9, 100%, $G$9) + CHOOSE(CONTROL!$C$38, 0.0256, 0)</f>
        <v>60.928699999999999</v>
      </c>
      <c r="C865" s="10">
        <f>56.2976 * CHOOSE(CONTROL!$C$15, $E$9, 100%, $G$9) + CHOOSE(CONTROL!$C$38, 0.0347, 0)</f>
        <v>56.332300000000004</v>
      </c>
      <c r="D865" s="10">
        <f>56.2898 * CHOOSE(CONTROL!$C$15, $E$9, 100%, $G$9) + CHOOSE(CONTROL!$C$38, 0.0347, 0)</f>
        <v>56.3245</v>
      </c>
      <c r="E865" s="28">
        <f>60.7469 * CHOOSE(CONTROL!$C$15, $E$9, 100%, $G$9) + CHOOSE(CONTROL!$C$38, 0.0347, 0)</f>
        <v>60.781599999999997</v>
      </c>
      <c r="F865" s="27">
        <f>60.7469 * CHOOSE(CONTROL!$C$15, $E$9, 100%, $G$9) + CHOOSE(CONTROL!$C$38, 0.0256, 0)</f>
        <v>60.772499999999994</v>
      </c>
      <c r="G865" s="10">
        <f>56.2961 * CHOOSE(CONTROL!$C$15, $E$9, 100%, $G$9) + CHOOSE(CONTROL!$C$38, 0.0347, 0)</f>
        <v>56.330800000000004</v>
      </c>
      <c r="H865" s="10">
        <f>56.2961 * CHOOSE(CONTROL!$C$15, $E$9, 100%, $G$9) + CHOOSE(CONTROL!$C$38, 0.0347, 0)</f>
        <v>56.330800000000004</v>
      </c>
      <c r="I865" s="10">
        <f>56.2976 * CHOOSE(CONTROL!$C$15, $E$9, 100%, $G$9) + CHOOSE(CONTROL!$C$38, 0.0347, 0)</f>
        <v>56.332300000000004</v>
      </c>
      <c r="J865" s="26">
        <f>480.0896</f>
        <v>480.08960000000002</v>
      </c>
    </row>
    <row r="866" spans="1:10" ht="15.75" x14ac:dyDescent="0.25">
      <c r="A866" s="13">
        <v>67297</v>
      </c>
      <c r="B866" s="10">
        <f>60.3921 * CHOOSE(CONTROL!$C$15, $E$9, 100%, $G$9) + CHOOSE(CONTROL!$C$38, 0.0256, 0)</f>
        <v>60.417699999999996</v>
      </c>
      <c r="C866" s="10">
        <f>55.7866 * CHOOSE(CONTROL!$C$15, $E$9, 100%, $G$9) + CHOOSE(CONTROL!$C$38, 0.0347, 0)</f>
        <v>55.821300000000001</v>
      </c>
      <c r="D866" s="10">
        <f>55.7788 * CHOOSE(CONTROL!$C$15, $E$9, 100%, $G$9) + CHOOSE(CONTROL!$C$38, 0.0347, 0)</f>
        <v>55.813499999999998</v>
      </c>
      <c r="E866" s="28">
        <f>60.2358 * CHOOSE(CONTROL!$C$15, $E$9, 100%, $G$9) + CHOOSE(CONTROL!$C$38, 0.0347, 0)</f>
        <v>60.270499999999998</v>
      </c>
      <c r="F866" s="27">
        <f>60.2358 * CHOOSE(CONTROL!$C$15, $E$9, 100%, $G$9) + CHOOSE(CONTROL!$C$38, 0.0256, 0)</f>
        <v>60.261399999999995</v>
      </c>
      <c r="G866" s="10">
        <f>55.785 * CHOOSE(CONTROL!$C$15, $E$9, 100%, $G$9) + CHOOSE(CONTROL!$C$38, 0.0347, 0)</f>
        <v>55.819699999999997</v>
      </c>
      <c r="H866" s="10">
        <f>55.785 * CHOOSE(CONTROL!$C$15, $E$9, 100%, $G$9) + CHOOSE(CONTROL!$C$38, 0.0347, 0)</f>
        <v>55.819699999999997</v>
      </c>
      <c r="I866" s="10">
        <f>55.7866 * CHOOSE(CONTROL!$C$15, $E$9, 100%, $G$9) + CHOOSE(CONTROL!$C$38, 0.0347, 0)</f>
        <v>55.821300000000001</v>
      </c>
      <c r="J866" s="26">
        <f>505.3931</f>
        <v>505.3931</v>
      </c>
    </row>
    <row r="867" spans="1:10" ht="15.75" x14ac:dyDescent="0.25">
      <c r="A867" s="13">
        <v>67327</v>
      </c>
      <c r="B867" s="10">
        <f>59.8969 * CHOOSE(CONTROL!$C$15, $E$9, 100%, $G$9) + CHOOSE(CONTROL!$C$38, 0.0256, 0)</f>
        <v>59.922499999999999</v>
      </c>
      <c r="C867" s="10">
        <f>55.2914 * CHOOSE(CONTROL!$C$15, $E$9, 100%, $G$9) + CHOOSE(CONTROL!$C$38, 0.0347, 0)</f>
        <v>55.326100000000004</v>
      </c>
      <c r="D867" s="10">
        <f>55.2836 * CHOOSE(CONTROL!$C$15, $E$9, 100%, $G$9) + CHOOSE(CONTROL!$C$38, 0.0347, 0)</f>
        <v>55.318300000000001</v>
      </c>
      <c r="E867" s="28">
        <f>59.7406 * CHOOSE(CONTROL!$C$15, $E$9, 100%, $G$9) + CHOOSE(CONTROL!$C$38, 0.0347, 0)</f>
        <v>59.775300000000001</v>
      </c>
      <c r="F867" s="27">
        <f>59.7406 * CHOOSE(CONTROL!$C$15, $E$9, 100%, $G$9) + CHOOSE(CONTROL!$C$38, 0.0256, 0)</f>
        <v>59.766199999999998</v>
      </c>
      <c r="G867" s="10">
        <f>55.2899 * CHOOSE(CONTROL!$C$15, $E$9, 100%, $G$9) + CHOOSE(CONTROL!$C$38, 0.0347, 0)</f>
        <v>55.324600000000004</v>
      </c>
      <c r="H867" s="10">
        <f>55.2899 * CHOOSE(CONTROL!$C$15, $E$9, 100%, $G$9) + CHOOSE(CONTROL!$C$38, 0.0347, 0)</f>
        <v>55.324600000000004</v>
      </c>
      <c r="I867" s="10">
        <f>55.2914 * CHOOSE(CONTROL!$C$15, $E$9, 100%, $G$9) + CHOOSE(CONTROL!$C$38, 0.0347, 0)</f>
        <v>55.326100000000004</v>
      </c>
      <c r="J867" s="26">
        <f>538.2057</f>
        <v>538.20569999999998</v>
      </c>
    </row>
    <row r="868" spans="1:10" ht="15.75" x14ac:dyDescent="0.25">
      <c r="A868" s="13">
        <v>67358</v>
      </c>
      <c r="B868" s="10">
        <f>59.3808 * CHOOSE(CONTROL!$C$15, $E$9, 100%, $G$9) + CHOOSE(CONTROL!$C$38, 0.0278, 0)</f>
        <v>59.4086</v>
      </c>
      <c r="C868" s="10">
        <f>54.7753 * CHOOSE(CONTROL!$C$15, $E$9, 100%, $G$9) + CHOOSE(CONTROL!$C$38, 0.0369, 0)</f>
        <v>54.812200000000004</v>
      </c>
      <c r="D868" s="10">
        <f>54.7675 * CHOOSE(CONTROL!$C$15, $E$9, 100%, $G$9) + CHOOSE(CONTROL!$C$38, 0.0369, 0)</f>
        <v>54.804400000000001</v>
      </c>
      <c r="E868" s="28">
        <f>59.2245 * CHOOSE(CONTROL!$C$15, $E$9, 100%, $G$9) + CHOOSE(CONTROL!$C$38, 0.0369, 0)</f>
        <v>59.261400000000002</v>
      </c>
      <c r="F868" s="27">
        <f>59.2245 * CHOOSE(CONTROL!$C$15, $E$9, 100%, $G$9) + CHOOSE(CONTROL!$C$38, 0.0278, 0)</f>
        <v>59.252299999999998</v>
      </c>
      <c r="G868" s="10">
        <f>54.7737 * CHOOSE(CONTROL!$C$15, $E$9, 100%, $G$9) + CHOOSE(CONTROL!$C$38, 0.0369, 0)</f>
        <v>54.810600000000001</v>
      </c>
      <c r="H868" s="10">
        <f>54.7737 * CHOOSE(CONTROL!$C$15, $E$9, 100%, $G$9) + CHOOSE(CONTROL!$C$38, 0.0369, 0)</f>
        <v>54.810600000000001</v>
      </c>
      <c r="I868" s="10">
        <f>54.7753 * CHOOSE(CONTROL!$C$15, $E$9, 100%, $G$9) + CHOOSE(CONTROL!$C$38, 0.0369, 0)</f>
        <v>54.812200000000004</v>
      </c>
      <c r="J868" s="26">
        <f>556.2668</f>
        <v>556.26679999999999</v>
      </c>
    </row>
    <row r="869" spans="1:10" ht="15.75" x14ac:dyDescent="0.25">
      <c r="A869" s="13">
        <v>67388</v>
      </c>
      <c r="B869" s="10">
        <f>59.0189 * CHOOSE(CONTROL!$C$15, $E$9, 100%, $G$9) + CHOOSE(CONTROL!$C$38, 0.0278, 0)</f>
        <v>59.046700000000001</v>
      </c>
      <c r="C869" s="10">
        <f>54.4135 * CHOOSE(CONTROL!$C$15, $E$9, 100%, $G$9) + CHOOSE(CONTROL!$C$38, 0.0369, 0)</f>
        <v>54.450400000000002</v>
      </c>
      <c r="D869" s="10">
        <f>54.4057 * CHOOSE(CONTROL!$C$15, $E$9, 100%, $G$9) + CHOOSE(CONTROL!$C$38, 0.0369, 0)</f>
        <v>54.442600000000006</v>
      </c>
      <c r="E869" s="28">
        <f>58.8627 * CHOOSE(CONTROL!$C$15, $E$9, 100%, $G$9) + CHOOSE(CONTROL!$C$38, 0.0369, 0)</f>
        <v>58.8996</v>
      </c>
      <c r="F869" s="27">
        <f>58.8627 * CHOOSE(CONTROL!$C$15, $E$9, 100%, $G$9) + CHOOSE(CONTROL!$C$38, 0.0278, 0)</f>
        <v>58.890499999999996</v>
      </c>
      <c r="G869" s="10">
        <f>54.4119 * CHOOSE(CONTROL!$C$15, $E$9, 100%, $G$9) + CHOOSE(CONTROL!$C$38, 0.0369, 0)</f>
        <v>54.448800000000006</v>
      </c>
      <c r="H869" s="10">
        <f>54.4119 * CHOOSE(CONTROL!$C$15, $E$9, 100%, $G$9) + CHOOSE(CONTROL!$C$38, 0.0369, 0)</f>
        <v>54.448800000000006</v>
      </c>
      <c r="I869" s="10">
        <f>54.4135 * CHOOSE(CONTROL!$C$15, $E$9, 100%, $G$9) + CHOOSE(CONTROL!$C$38, 0.0369, 0)</f>
        <v>54.450400000000002</v>
      </c>
      <c r="J869" s="26">
        <f>564.282</f>
        <v>564.28200000000004</v>
      </c>
    </row>
    <row r="870" spans="1:10" ht="15.75" x14ac:dyDescent="0.25">
      <c r="A870" s="13">
        <v>67419</v>
      </c>
      <c r="B870" s="10">
        <f>58.8125 * CHOOSE(CONTROL!$C$15, $E$9, 100%, $G$9) + CHOOSE(CONTROL!$C$38, 0.0278, 0)</f>
        <v>58.840299999999999</v>
      </c>
      <c r="C870" s="10">
        <f>54.207 * CHOOSE(CONTROL!$C$15, $E$9, 100%, $G$9) + CHOOSE(CONTROL!$C$38, 0.0369, 0)</f>
        <v>54.243900000000004</v>
      </c>
      <c r="D870" s="10">
        <f>54.1992 * CHOOSE(CONTROL!$C$15, $E$9, 100%, $G$9) + CHOOSE(CONTROL!$C$38, 0.0369, 0)</f>
        <v>54.2361</v>
      </c>
      <c r="E870" s="28">
        <f>58.6562 * CHOOSE(CONTROL!$C$15, $E$9, 100%, $G$9) + CHOOSE(CONTROL!$C$38, 0.0369, 0)</f>
        <v>58.693100000000001</v>
      </c>
      <c r="F870" s="27">
        <f>58.6562 * CHOOSE(CONTROL!$C$15, $E$9, 100%, $G$9) + CHOOSE(CONTROL!$C$38, 0.0278, 0)</f>
        <v>58.683999999999997</v>
      </c>
      <c r="G870" s="10">
        <f>54.2054 * CHOOSE(CONTROL!$C$15, $E$9, 100%, $G$9) + CHOOSE(CONTROL!$C$38, 0.0369, 0)</f>
        <v>54.2423</v>
      </c>
      <c r="H870" s="10">
        <f>54.2054 * CHOOSE(CONTROL!$C$15, $E$9, 100%, $G$9) + CHOOSE(CONTROL!$C$38, 0.0369, 0)</f>
        <v>54.2423</v>
      </c>
      <c r="I870" s="10">
        <f>54.207 * CHOOSE(CONTROL!$C$15, $E$9, 100%, $G$9) + CHOOSE(CONTROL!$C$38, 0.0369, 0)</f>
        <v>54.243900000000004</v>
      </c>
      <c r="J870" s="26">
        <f>561.643</f>
        <v>561.64300000000003</v>
      </c>
    </row>
    <row r="871" spans="1:10" ht="15.75" x14ac:dyDescent="0.25">
      <c r="A871" s="13">
        <v>67450</v>
      </c>
      <c r="B871" s="10">
        <f>58.9144 * CHOOSE(CONTROL!$C$15, $E$9, 100%, $G$9) + CHOOSE(CONTROL!$C$38, 0.0278, 0)</f>
        <v>58.9422</v>
      </c>
      <c r="C871" s="10">
        <f>54.3089 * CHOOSE(CONTROL!$C$15, $E$9, 100%, $G$9) + CHOOSE(CONTROL!$C$38, 0.0369, 0)</f>
        <v>54.345800000000004</v>
      </c>
      <c r="D871" s="10">
        <f>54.3011 * CHOOSE(CONTROL!$C$15, $E$9, 100%, $G$9) + CHOOSE(CONTROL!$C$38, 0.0369, 0)</f>
        <v>54.338000000000001</v>
      </c>
      <c r="E871" s="28">
        <f>58.7581 * CHOOSE(CONTROL!$C$15, $E$9, 100%, $G$9) + CHOOSE(CONTROL!$C$38, 0.0369, 0)</f>
        <v>58.795000000000002</v>
      </c>
      <c r="F871" s="27">
        <f>58.7581 * CHOOSE(CONTROL!$C$15, $E$9, 100%, $G$9) + CHOOSE(CONTROL!$C$38, 0.0278, 0)</f>
        <v>58.785899999999998</v>
      </c>
      <c r="G871" s="10">
        <f>54.3073 * CHOOSE(CONTROL!$C$15, $E$9, 100%, $G$9) + CHOOSE(CONTROL!$C$38, 0.0369, 0)</f>
        <v>54.344200000000001</v>
      </c>
      <c r="H871" s="10">
        <f>54.3073 * CHOOSE(CONTROL!$C$15, $E$9, 100%, $G$9) + CHOOSE(CONTROL!$C$38, 0.0369, 0)</f>
        <v>54.344200000000001</v>
      </c>
      <c r="I871" s="10">
        <f>54.3089 * CHOOSE(CONTROL!$C$15, $E$9, 100%, $G$9) + CHOOSE(CONTROL!$C$38, 0.0369, 0)</f>
        <v>54.345800000000004</v>
      </c>
      <c r="J871" s="26">
        <f>548.5682</f>
        <v>548.56820000000005</v>
      </c>
    </row>
    <row r="872" spans="1:10" ht="15.75" x14ac:dyDescent="0.25">
      <c r="A872" s="13">
        <v>67480</v>
      </c>
      <c r="B872" s="10">
        <f>59.1912 * CHOOSE(CONTROL!$C$15, $E$9, 100%, $G$9) + CHOOSE(CONTROL!$C$38, 0.0278, 0)</f>
        <v>59.219000000000001</v>
      </c>
      <c r="C872" s="10">
        <f>54.5857 * CHOOSE(CONTROL!$C$15, $E$9, 100%, $G$9) + CHOOSE(CONTROL!$C$38, 0.0369, 0)</f>
        <v>54.622600000000006</v>
      </c>
      <c r="D872" s="10">
        <f>54.5779 * CHOOSE(CONTROL!$C$15, $E$9, 100%, $G$9) + CHOOSE(CONTROL!$C$38, 0.0369, 0)</f>
        <v>54.614800000000002</v>
      </c>
      <c r="E872" s="28">
        <f>59.0349 * CHOOSE(CONTROL!$C$15, $E$9, 100%, $G$9) + CHOOSE(CONTROL!$C$38, 0.0369, 0)</f>
        <v>59.071800000000003</v>
      </c>
      <c r="F872" s="27">
        <f>59.0349 * CHOOSE(CONTROL!$C$15, $E$9, 100%, $G$9) + CHOOSE(CONTROL!$C$38, 0.0278, 0)</f>
        <v>59.0627</v>
      </c>
      <c r="G872" s="10">
        <f>54.5841 * CHOOSE(CONTROL!$C$15, $E$9, 100%, $G$9) + CHOOSE(CONTROL!$C$38, 0.0369, 0)</f>
        <v>54.621000000000002</v>
      </c>
      <c r="H872" s="10">
        <f>54.5841 * CHOOSE(CONTROL!$C$15, $E$9, 100%, $G$9) + CHOOSE(CONTROL!$C$38, 0.0369, 0)</f>
        <v>54.621000000000002</v>
      </c>
      <c r="I872" s="10">
        <f>54.5857 * CHOOSE(CONTROL!$C$15, $E$9, 100%, $G$9) + CHOOSE(CONTROL!$C$38, 0.0369, 0)</f>
        <v>54.622600000000006</v>
      </c>
      <c r="J872" s="26">
        <f>530.3347</f>
        <v>530.3347</v>
      </c>
    </row>
    <row r="873" spans="1:10" ht="15.75" x14ac:dyDescent="0.25">
      <c r="A873" s="13">
        <v>67511</v>
      </c>
      <c r="B873" s="10">
        <f>59.423 * CHOOSE(CONTROL!$C$15, $E$9, 100%, $G$9) + CHOOSE(CONTROL!$C$38, 0.0256, 0)</f>
        <v>59.448599999999999</v>
      </c>
      <c r="C873" s="10">
        <f>54.8175 * CHOOSE(CONTROL!$C$15, $E$9, 100%, $G$9) + CHOOSE(CONTROL!$C$38, 0.0347, 0)</f>
        <v>54.852200000000003</v>
      </c>
      <c r="D873" s="10">
        <f>54.8097 * CHOOSE(CONTROL!$C$15, $E$9, 100%, $G$9) + CHOOSE(CONTROL!$C$38, 0.0347, 0)</f>
        <v>54.8444</v>
      </c>
      <c r="E873" s="28">
        <f>59.2667 * CHOOSE(CONTROL!$C$15, $E$9, 100%, $G$9) + CHOOSE(CONTROL!$C$38, 0.0347, 0)</f>
        <v>59.301400000000001</v>
      </c>
      <c r="F873" s="27">
        <f>59.2667 * CHOOSE(CONTROL!$C$15, $E$9, 100%, $G$9) + CHOOSE(CONTROL!$C$38, 0.0256, 0)</f>
        <v>59.292299999999997</v>
      </c>
      <c r="G873" s="10">
        <f>54.8159 * CHOOSE(CONTROL!$C$15, $E$9, 100%, $G$9) + CHOOSE(CONTROL!$C$38, 0.0347, 0)</f>
        <v>54.8506</v>
      </c>
      <c r="H873" s="10">
        <f>54.8159 * CHOOSE(CONTROL!$C$15, $E$9, 100%, $G$9) + CHOOSE(CONTROL!$C$38, 0.0347, 0)</f>
        <v>54.8506</v>
      </c>
      <c r="I873" s="10">
        <f>54.8175 * CHOOSE(CONTROL!$C$15, $E$9, 100%, $G$9) + CHOOSE(CONTROL!$C$38, 0.0347, 0)</f>
        <v>54.852200000000003</v>
      </c>
      <c r="J873" s="26">
        <f>511.9952</f>
        <v>511.99520000000001</v>
      </c>
    </row>
    <row r="874" spans="1:10" ht="15.75" x14ac:dyDescent="0.25">
      <c r="A874" s="13">
        <v>67541</v>
      </c>
      <c r="B874" s="10">
        <f>59.6164 * CHOOSE(CONTROL!$C$15, $E$9, 100%, $G$9) + CHOOSE(CONTROL!$C$38, 0.0256, 0)</f>
        <v>59.641999999999996</v>
      </c>
      <c r="C874" s="10">
        <f>55.0109 * CHOOSE(CONTROL!$C$15, $E$9, 100%, $G$9) + CHOOSE(CONTROL!$C$38, 0.0347, 0)</f>
        <v>55.0456</v>
      </c>
      <c r="D874" s="10">
        <f>55.0031 * CHOOSE(CONTROL!$C$15, $E$9, 100%, $G$9) + CHOOSE(CONTROL!$C$38, 0.0347, 0)</f>
        <v>55.037800000000004</v>
      </c>
      <c r="E874" s="28">
        <f>59.4602 * CHOOSE(CONTROL!$C$15, $E$9, 100%, $G$9) + CHOOSE(CONTROL!$C$38, 0.0347, 0)</f>
        <v>59.494900000000001</v>
      </c>
      <c r="F874" s="27">
        <f>59.4602 * CHOOSE(CONTROL!$C$15, $E$9, 100%, $G$9) + CHOOSE(CONTROL!$C$38, 0.0256, 0)</f>
        <v>59.485799999999998</v>
      </c>
      <c r="G874" s="10">
        <f>55.0094 * CHOOSE(CONTROL!$C$15, $E$9, 100%, $G$9) + CHOOSE(CONTROL!$C$38, 0.0347, 0)</f>
        <v>55.0441</v>
      </c>
      <c r="H874" s="10">
        <f>55.0094 * CHOOSE(CONTROL!$C$15, $E$9, 100%, $G$9) + CHOOSE(CONTROL!$C$38, 0.0347, 0)</f>
        <v>55.0441</v>
      </c>
      <c r="I874" s="10">
        <f>55.0109 * CHOOSE(CONTROL!$C$15, $E$9, 100%, $G$9) + CHOOSE(CONTROL!$C$38, 0.0347, 0)</f>
        <v>55.0456</v>
      </c>
      <c r="J874" s="26">
        <f>508.3471</f>
        <v>508.34710000000001</v>
      </c>
    </row>
    <row r="875" spans="1:10" ht="15.75" x14ac:dyDescent="0.25">
      <c r="A875" s="13">
        <v>67572</v>
      </c>
      <c r="B875" s="10">
        <f>60.2125 * CHOOSE(CONTROL!$C$15, $E$9, 100%, $G$9) + CHOOSE(CONTROL!$C$38, 0.0256, 0)</f>
        <v>60.238099999999996</v>
      </c>
      <c r="C875" s="10">
        <f>55.607 * CHOOSE(CONTROL!$C$15, $E$9, 100%, $G$9) + CHOOSE(CONTROL!$C$38, 0.0347, 0)</f>
        <v>55.6417</v>
      </c>
      <c r="D875" s="10">
        <f>55.5992 * CHOOSE(CONTROL!$C$15, $E$9, 100%, $G$9) + CHOOSE(CONTROL!$C$38, 0.0347, 0)</f>
        <v>55.633900000000004</v>
      </c>
      <c r="E875" s="28">
        <f>60.0562 * CHOOSE(CONTROL!$C$15, $E$9, 100%, $G$9) + CHOOSE(CONTROL!$C$38, 0.0347, 0)</f>
        <v>60.090899999999998</v>
      </c>
      <c r="F875" s="27">
        <f>60.0562 * CHOOSE(CONTROL!$C$15, $E$9, 100%, $G$9) + CHOOSE(CONTROL!$C$38, 0.0256, 0)</f>
        <v>60.081799999999994</v>
      </c>
      <c r="G875" s="10">
        <f>55.6055 * CHOOSE(CONTROL!$C$15, $E$9, 100%, $G$9) + CHOOSE(CONTROL!$C$38, 0.0347, 0)</f>
        <v>55.6402</v>
      </c>
      <c r="H875" s="10">
        <f>55.6055 * CHOOSE(CONTROL!$C$15, $E$9, 100%, $G$9) + CHOOSE(CONTROL!$C$38, 0.0347, 0)</f>
        <v>55.6402</v>
      </c>
      <c r="I875" s="10">
        <f>55.607 * CHOOSE(CONTROL!$C$15, $E$9, 100%, $G$9) + CHOOSE(CONTROL!$C$38, 0.0347, 0)</f>
        <v>55.6417</v>
      </c>
      <c r="J875" s="26">
        <f>493.2619</f>
        <v>493.26190000000003</v>
      </c>
    </row>
    <row r="876" spans="1:10" ht="15.75" x14ac:dyDescent="0.25">
      <c r="A876" s="13">
        <v>67603</v>
      </c>
      <c r="B876" s="10">
        <f>61.6511 * CHOOSE(CONTROL!$C$15, $E$9, 100%, $G$9) + CHOOSE(CONTROL!$C$38, 0.0256, 0)</f>
        <v>61.676699999999997</v>
      </c>
      <c r="C876" s="10">
        <f>56.9727 * CHOOSE(CONTROL!$C$15, $E$9, 100%, $G$9) + CHOOSE(CONTROL!$C$38, 0.0347, 0)</f>
        <v>57.007400000000004</v>
      </c>
      <c r="D876" s="10">
        <f>56.9648 * CHOOSE(CONTROL!$C$15, $E$9, 100%, $G$9) + CHOOSE(CONTROL!$C$38, 0.0347, 0)</f>
        <v>56.999499999999998</v>
      </c>
      <c r="E876" s="28">
        <f>61.4948 * CHOOSE(CONTROL!$C$15, $E$9, 100%, $G$9) + CHOOSE(CONTROL!$C$38, 0.0347, 0)</f>
        <v>61.529499999999999</v>
      </c>
      <c r="F876" s="27">
        <f>61.4948 * CHOOSE(CONTROL!$C$15, $E$9, 100%, $G$9) + CHOOSE(CONTROL!$C$38, 0.0256, 0)</f>
        <v>61.520399999999995</v>
      </c>
      <c r="G876" s="10">
        <f>56.9711 * CHOOSE(CONTROL!$C$15, $E$9, 100%, $G$9) + CHOOSE(CONTROL!$C$38, 0.0347, 0)</f>
        <v>57.005800000000001</v>
      </c>
      <c r="H876" s="10">
        <f>56.9711 * CHOOSE(CONTROL!$C$15, $E$9, 100%, $G$9) + CHOOSE(CONTROL!$C$38, 0.0347, 0)</f>
        <v>57.005800000000001</v>
      </c>
      <c r="I876" s="10">
        <f>56.9727 * CHOOSE(CONTROL!$C$15, $E$9, 100%, $G$9) + CHOOSE(CONTROL!$C$38, 0.0347, 0)</f>
        <v>57.007400000000004</v>
      </c>
      <c r="J876" s="26">
        <f>492.3199</f>
        <v>492.31990000000002</v>
      </c>
    </row>
    <row r="877" spans="1:10" ht="15.75" x14ac:dyDescent="0.25">
      <c r="A877" s="13">
        <v>67631</v>
      </c>
      <c r="B877" s="10">
        <f>61.8718 * CHOOSE(CONTROL!$C$15, $E$9, 100%, $G$9) + CHOOSE(CONTROL!$C$38, 0.0256, 0)</f>
        <v>61.897399999999998</v>
      </c>
      <c r="C877" s="10">
        <f>57.1934 * CHOOSE(CONTROL!$C$15, $E$9, 100%, $G$9) + CHOOSE(CONTROL!$C$38, 0.0347, 0)</f>
        <v>57.228099999999998</v>
      </c>
      <c r="D877" s="10">
        <f>57.1856 * CHOOSE(CONTROL!$C$15, $E$9, 100%, $G$9) + CHOOSE(CONTROL!$C$38, 0.0347, 0)</f>
        <v>57.220300000000002</v>
      </c>
      <c r="E877" s="28">
        <f>61.7156 * CHOOSE(CONTROL!$C$15, $E$9, 100%, $G$9) + CHOOSE(CONTROL!$C$38, 0.0347, 0)</f>
        <v>61.750300000000003</v>
      </c>
      <c r="F877" s="27">
        <f>61.7156 * CHOOSE(CONTROL!$C$15, $E$9, 100%, $G$9) + CHOOSE(CONTROL!$C$38, 0.0256, 0)</f>
        <v>61.741199999999999</v>
      </c>
      <c r="G877" s="10">
        <f>57.1919 * CHOOSE(CONTROL!$C$15, $E$9, 100%, $G$9) + CHOOSE(CONTROL!$C$38, 0.0347, 0)</f>
        <v>57.226599999999998</v>
      </c>
      <c r="H877" s="10">
        <f>57.1919 * CHOOSE(CONTROL!$C$15, $E$9, 100%, $G$9) + CHOOSE(CONTROL!$C$38, 0.0347, 0)</f>
        <v>57.226599999999998</v>
      </c>
      <c r="I877" s="10">
        <f>57.1934 * CHOOSE(CONTROL!$C$15, $E$9, 100%, $G$9) + CHOOSE(CONTROL!$C$38, 0.0347, 0)</f>
        <v>57.228099999999998</v>
      </c>
      <c r="J877" s="26">
        <f>490.9514</f>
        <v>490.95139999999998</v>
      </c>
    </row>
    <row r="878" spans="1:10" ht="15.75" x14ac:dyDescent="0.25">
      <c r="A878" s="13">
        <v>67662</v>
      </c>
      <c r="B878" s="10">
        <f>61.3608 * CHOOSE(CONTROL!$C$15, $E$9, 100%, $G$9) + CHOOSE(CONTROL!$C$38, 0.0256, 0)</f>
        <v>61.386399999999995</v>
      </c>
      <c r="C878" s="10">
        <f>56.6824 * CHOOSE(CONTROL!$C$15, $E$9, 100%, $G$9) + CHOOSE(CONTROL!$C$38, 0.0347, 0)</f>
        <v>56.717100000000002</v>
      </c>
      <c r="D878" s="10">
        <f>56.6746 * CHOOSE(CONTROL!$C$15, $E$9, 100%, $G$9) + CHOOSE(CONTROL!$C$38, 0.0347, 0)</f>
        <v>56.709299999999999</v>
      </c>
      <c r="E878" s="28">
        <f>61.2046 * CHOOSE(CONTROL!$C$15, $E$9, 100%, $G$9) + CHOOSE(CONTROL!$C$38, 0.0347, 0)</f>
        <v>61.2393</v>
      </c>
      <c r="F878" s="27">
        <f>61.2046 * CHOOSE(CONTROL!$C$15, $E$9, 100%, $G$9) + CHOOSE(CONTROL!$C$38, 0.0256, 0)</f>
        <v>61.230199999999996</v>
      </c>
      <c r="G878" s="10">
        <f>56.6808 * CHOOSE(CONTROL!$C$15, $E$9, 100%, $G$9) + CHOOSE(CONTROL!$C$38, 0.0347, 0)</f>
        <v>56.715499999999999</v>
      </c>
      <c r="H878" s="10">
        <f>56.6808 * CHOOSE(CONTROL!$C$15, $E$9, 100%, $G$9) + CHOOSE(CONTROL!$C$38, 0.0347, 0)</f>
        <v>56.715499999999999</v>
      </c>
      <c r="I878" s="10">
        <f>56.6824 * CHOOSE(CONTROL!$C$15, $E$9, 100%, $G$9) + CHOOSE(CONTROL!$C$38, 0.0347, 0)</f>
        <v>56.717100000000002</v>
      </c>
      <c r="J878" s="26">
        <f>516.8274</f>
        <v>516.82740000000001</v>
      </c>
    </row>
    <row r="879" spans="1:10" ht="15.75" x14ac:dyDescent="0.25">
      <c r="A879" s="13">
        <v>67692</v>
      </c>
      <c r="B879" s="10">
        <f>60.8656 * CHOOSE(CONTROL!$C$15, $E$9, 100%, $G$9) + CHOOSE(CONTROL!$C$38, 0.0256, 0)</f>
        <v>60.891199999999998</v>
      </c>
      <c r="C879" s="10">
        <f>56.1872 * CHOOSE(CONTROL!$C$15, $E$9, 100%, $G$9) + CHOOSE(CONTROL!$C$38, 0.0347, 0)</f>
        <v>56.221899999999998</v>
      </c>
      <c r="D879" s="10">
        <f>56.1794 * CHOOSE(CONTROL!$C$15, $E$9, 100%, $G$9) + CHOOSE(CONTROL!$C$38, 0.0347, 0)</f>
        <v>56.214100000000002</v>
      </c>
      <c r="E879" s="28">
        <f>60.7094 * CHOOSE(CONTROL!$C$15, $E$9, 100%, $G$9) + CHOOSE(CONTROL!$C$38, 0.0347, 0)</f>
        <v>60.744100000000003</v>
      </c>
      <c r="F879" s="27">
        <f>60.7094 * CHOOSE(CONTROL!$C$15, $E$9, 100%, $G$9) + CHOOSE(CONTROL!$C$38, 0.0256, 0)</f>
        <v>60.734999999999999</v>
      </c>
      <c r="G879" s="10">
        <f>56.1856 * CHOOSE(CONTROL!$C$15, $E$9, 100%, $G$9) + CHOOSE(CONTROL!$C$38, 0.0347, 0)</f>
        <v>56.220300000000002</v>
      </c>
      <c r="H879" s="10">
        <f>56.1856 * CHOOSE(CONTROL!$C$15, $E$9, 100%, $G$9) + CHOOSE(CONTROL!$C$38, 0.0347, 0)</f>
        <v>56.220300000000002</v>
      </c>
      <c r="I879" s="10">
        <f>56.1872 * CHOOSE(CONTROL!$C$15, $E$9, 100%, $G$9) + CHOOSE(CONTROL!$C$38, 0.0347, 0)</f>
        <v>56.221899999999998</v>
      </c>
      <c r="J879" s="26">
        <f>550.3823</f>
        <v>550.38229999999999</v>
      </c>
    </row>
    <row r="880" spans="1:10" ht="15.75" x14ac:dyDescent="0.25">
      <c r="A880" s="13">
        <v>67723</v>
      </c>
      <c r="B880" s="10">
        <f>60.3495 * CHOOSE(CONTROL!$C$15, $E$9, 100%, $G$9) + CHOOSE(CONTROL!$C$38, 0.0278, 0)</f>
        <v>60.377299999999998</v>
      </c>
      <c r="C880" s="10">
        <f>55.6711 * CHOOSE(CONTROL!$C$15, $E$9, 100%, $G$9) + CHOOSE(CONTROL!$C$38, 0.0369, 0)</f>
        <v>55.708000000000006</v>
      </c>
      <c r="D880" s="10">
        <f>55.6633 * CHOOSE(CONTROL!$C$15, $E$9, 100%, $G$9) + CHOOSE(CONTROL!$C$38, 0.0369, 0)</f>
        <v>55.700200000000002</v>
      </c>
      <c r="E880" s="28">
        <f>60.1933 * CHOOSE(CONTROL!$C$15, $E$9, 100%, $G$9) + CHOOSE(CONTROL!$C$38, 0.0369, 0)</f>
        <v>60.230200000000004</v>
      </c>
      <c r="F880" s="27">
        <f>60.1933 * CHOOSE(CONTROL!$C$15, $E$9, 100%, $G$9) + CHOOSE(CONTROL!$C$38, 0.0278, 0)</f>
        <v>60.2211</v>
      </c>
      <c r="G880" s="10">
        <f>55.6695 * CHOOSE(CONTROL!$C$15, $E$9, 100%, $G$9) + CHOOSE(CONTROL!$C$38, 0.0369, 0)</f>
        <v>55.706400000000002</v>
      </c>
      <c r="H880" s="10">
        <f>55.6695 * CHOOSE(CONTROL!$C$15, $E$9, 100%, $G$9) + CHOOSE(CONTROL!$C$38, 0.0369, 0)</f>
        <v>55.706400000000002</v>
      </c>
      <c r="I880" s="10">
        <f>55.6711 * CHOOSE(CONTROL!$C$15, $E$9, 100%, $G$9) + CHOOSE(CONTROL!$C$38, 0.0369, 0)</f>
        <v>55.708000000000006</v>
      </c>
      <c r="J880" s="26">
        <f>568.852</f>
        <v>568.85199999999998</v>
      </c>
    </row>
    <row r="881" spans="1:10" ht="15.75" x14ac:dyDescent="0.25">
      <c r="A881" s="13">
        <v>67753</v>
      </c>
      <c r="B881" s="10">
        <f>59.9877 * CHOOSE(CONTROL!$C$15, $E$9, 100%, $G$9) + CHOOSE(CONTROL!$C$38, 0.0278, 0)</f>
        <v>60.015499999999996</v>
      </c>
      <c r="C881" s="10">
        <f>55.3093 * CHOOSE(CONTROL!$C$15, $E$9, 100%, $G$9) + CHOOSE(CONTROL!$C$38, 0.0369, 0)</f>
        <v>55.346200000000003</v>
      </c>
      <c r="D881" s="10">
        <f>55.3014 * CHOOSE(CONTROL!$C$15, $E$9, 100%, $G$9) + CHOOSE(CONTROL!$C$38, 0.0369, 0)</f>
        <v>55.338300000000004</v>
      </c>
      <c r="E881" s="28">
        <f>59.8314 * CHOOSE(CONTROL!$C$15, $E$9, 100%, $G$9) + CHOOSE(CONTROL!$C$38, 0.0369, 0)</f>
        <v>59.868300000000005</v>
      </c>
      <c r="F881" s="27">
        <f>59.8314 * CHOOSE(CONTROL!$C$15, $E$9, 100%, $G$9) + CHOOSE(CONTROL!$C$38, 0.0278, 0)</f>
        <v>59.859200000000001</v>
      </c>
      <c r="G881" s="10">
        <f>55.3077 * CHOOSE(CONTROL!$C$15, $E$9, 100%, $G$9) + CHOOSE(CONTROL!$C$38, 0.0369, 0)</f>
        <v>55.3446</v>
      </c>
      <c r="H881" s="10">
        <f>55.3077 * CHOOSE(CONTROL!$C$15, $E$9, 100%, $G$9) + CHOOSE(CONTROL!$C$38, 0.0369, 0)</f>
        <v>55.3446</v>
      </c>
      <c r="I881" s="10">
        <f>55.3093 * CHOOSE(CONTROL!$C$15, $E$9, 100%, $G$9) + CHOOSE(CONTROL!$C$38, 0.0369, 0)</f>
        <v>55.346200000000003</v>
      </c>
      <c r="J881" s="26">
        <f>577.0486</f>
        <v>577.04859999999996</v>
      </c>
    </row>
    <row r="882" spans="1:10" ht="15.75" x14ac:dyDescent="0.25">
      <c r="A882" s="13">
        <v>67784</v>
      </c>
      <c r="B882" s="10">
        <f>59.7812 * CHOOSE(CONTROL!$C$15, $E$9, 100%, $G$9) + CHOOSE(CONTROL!$C$38, 0.0278, 0)</f>
        <v>59.808999999999997</v>
      </c>
      <c r="C882" s="10">
        <f>55.1028 * CHOOSE(CONTROL!$C$15, $E$9, 100%, $G$9) + CHOOSE(CONTROL!$C$38, 0.0369, 0)</f>
        <v>55.139700000000005</v>
      </c>
      <c r="D882" s="10">
        <f>55.095 * CHOOSE(CONTROL!$C$15, $E$9, 100%, $G$9) + CHOOSE(CONTROL!$C$38, 0.0369, 0)</f>
        <v>55.131900000000002</v>
      </c>
      <c r="E882" s="28">
        <f>59.6249 * CHOOSE(CONTROL!$C$15, $E$9, 100%, $G$9) + CHOOSE(CONTROL!$C$38, 0.0369, 0)</f>
        <v>59.661799999999999</v>
      </c>
      <c r="F882" s="27">
        <f>59.6249 * CHOOSE(CONTROL!$C$15, $E$9, 100%, $G$9) + CHOOSE(CONTROL!$C$38, 0.0278, 0)</f>
        <v>59.652699999999996</v>
      </c>
      <c r="G882" s="10">
        <f>55.1012 * CHOOSE(CONTROL!$C$15, $E$9, 100%, $G$9) + CHOOSE(CONTROL!$C$38, 0.0369, 0)</f>
        <v>55.138100000000001</v>
      </c>
      <c r="H882" s="10">
        <f>55.1012 * CHOOSE(CONTROL!$C$15, $E$9, 100%, $G$9) + CHOOSE(CONTROL!$C$38, 0.0369, 0)</f>
        <v>55.138100000000001</v>
      </c>
      <c r="I882" s="10">
        <f>55.1028 * CHOOSE(CONTROL!$C$15, $E$9, 100%, $G$9) + CHOOSE(CONTROL!$C$38, 0.0369, 0)</f>
        <v>55.139700000000005</v>
      </c>
      <c r="J882" s="26">
        <f>574.3499</f>
        <v>574.34990000000005</v>
      </c>
    </row>
    <row r="883" spans="1:10" ht="15.75" x14ac:dyDescent="0.25">
      <c r="A883" s="13">
        <v>67815</v>
      </c>
      <c r="B883" s="10">
        <f>59.8831 * CHOOSE(CONTROL!$C$15, $E$9, 100%, $G$9) + CHOOSE(CONTROL!$C$38, 0.0278, 0)</f>
        <v>59.910899999999998</v>
      </c>
      <c r="C883" s="10">
        <f>55.2047 * CHOOSE(CONTROL!$C$15, $E$9, 100%, $G$9) + CHOOSE(CONTROL!$C$38, 0.0369, 0)</f>
        <v>55.241600000000005</v>
      </c>
      <c r="D883" s="10">
        <f>55.1969 * CHOOSE(CONTROL!$C$15, $E$9, 100%, $G$9) + CHOOSE(CONTROL!$C$38, 0.0369, 0)</f>
        <v>55.233800000000002</v>
      </c>
      <c r="E883" s="28">
        <f>59.7268 * CHOOSE(CONTROL!$C$15, $E$9, 100%, $G$9) + CHOOSE(CONTROL!$C$38, 0.0369, 0)</f>
        <v>59.7637</v>
      </c>
      <c r="F883" s="27">
        <f>59.7268 * CHOOSE(CONTROL!$C$15, $E$9, 100%, $G$9) + CHOOSE(CONTROL!$C$38, 0.0278, 0)</f>
        <v>59.754599999999996</v>
      </c>
      <c r="G883" s="10">
        <f>55.2031 * CHOOSE(CONTROL!$C$15, $E$9, 100%, $G$9) + CHOOSE(CONTROL!$C$38, 0.0369, 0)</f>
        <v>55.24</v>
      </c>
      <c r="H883" s="10">
        <f>55.2031 * CHOOSE(CONTROL!$C$15, $E$9, 100%, $G$9) + CHOOSE(CONTROL!$C$38, 0.0369, 0)</f>
        <v>55.24</v>
      </c>
      <c r="I883" s="10">
        <f>55.2047 * CHOOSE(CONTROL!$C$15, $E$9, 100%, $G$9) + CHOOSE(CONTROL!$C$38, 0.0369, 0)</f>
        <v>55.241600000000005</v>
      </c>
      <c r="J883" s="26">
        <f>560.9793</f>
        <v>560.97929999999997</v>
      </c>
    </row>
    <row r="884" spans="1:10" ht="15.75" x14ac:dyDescent="0.25">
      <c r="A884" s="13">
        <v>67845</v>
      </c>
      <c r="B884" s="10">
        <f>60.1599 * CHOOSE(CONTROL!$C$15, $E$9, 100%, $G$9) + CHOOSE(CONTROL!$C$38, 0.0278, 0)</f>
        <v>60.1877</v>
      </c>
      <c r="C884" s="10">
        <f>55.4815 * CHOOSE(CONTROL!$C$15, $E$9, 100%, $G$9) + CHOOSE(CONTROL!$C$38, 0.0369, 0)</f>
        <v>55.5184</v>
      </c>
      <c r="D884" s="10">
        <f>55.4737 * CHOOSE(CONTROL!$C$15, $E$9, 100%, $G$9) + CHOOSE(CONTROL!$C$38, 0.0369, 0)</f>
        <v>55.510600000000004</v>
      </c>
      <c r="E884" s="28">
        <f>60.0036 * CHOOSE(CONTROL!$C$15, $E$9, 100%, $G$9) + CHOOSE(CONTROL!$C$38, 0.0369, 0)</f>
        <v>60.040500000000002</v>
      </c>
      <c r="F884" s="27">
        <f>60.0036 * CHOOSE(CONTROL!$C$15, $E$9, 100%, $G$9) + CHOOSE(CONTROL!$C$38, 0.0278, 0)</f>
        <v>60.031399999999998</v>
      </c>
      <c r="G884" s="10">
        <f>55.4799 * CHOOSE(CONTROL!$C$15, $E$9, 100%, $G$9) + CHOOSE(CONTROL!$C$38, 0.0369, 0)</f>
        <v>55.516800000000003</v>
      </c>
      <c r="H884" s="10">
        <f>55.4799 * CHOOSE(CONTROL!$C$15, $E$9, 100%, $G$9) + CHOOSE(CONTROL!$C$38, 0.0369, 0)</f>
        <v>55.516800000000003</v>
      </c>
      <c r="I884" s="10">
        <f>55.4815 * CHOOSE(CONTROL!$C$15, $E$9, 100%, $G$9) + CHOOSE(CONTROL!$C$38, 0.0369, 0)</f>
        <v>55.5184</v>
      </c>
      <c r="J884" s="26">
        <f>542.3333</f>
        <v>542.33330000000001</v>
      </c>
    </row>
    <row r="885" spans="1:10" ht="15.75" x14ac:dyDescent="0.25">
      <c r="A885" s="13">
        <v>67876</v>
      </c>
      <c r="B885" s="10">
        <f>60.3917 * CHOOSE(CONTROL!$C$15, $E$9, 100%, $G$9) + CHOOSE(CONTROL!$C$38, 0.0256, 0)</f>
        <v>60.417299999999997</v>
      </c>
      <c r="C885" s="10">
        <f>55.7133 * CHOOSE(CONTROL!$C$15, $E$9, 100%, $G$9) + CHOOSE(CONTROL!$C$38, 0.0347, 0)</f>
        <v>55.747999999999998</v>
      </c>
      <c r="D885" s="10">
        <f>55.7055 * CHOOSE(CONTROL!$C$15, $E$9, 100%, $G$9) + CHOOSE(CONTROL!$C$38, 0.0347, 0)</f>
        <v>55.740200000000002</v>
      </c>
      <c r="E885" s="28">
        <f>60.2355 * CHOOSE(CONTROL!$C$15, $E$9, 100%, $G$9) + CHOOSE(CONTROL!$C$38, 0.0347, 0)</f>
        <v>60.270200000000003</v>
      </c>
      <c r="F885" s="27">
        <f>60.2355 * CHOOSE(CONTROL!$C$15, $E$9, 100%, $G$9) + CHOOSE(CONTROL!$C$38, 0.0256, 0)</f>
        <v>60.261099999999999</v>
      </c>
      <c r="G885" s="10">
        <f>55.7117 * CHOOSE(CONTROL!$C$15, $E$9, 100%, $G$9) + CHOOSE(CONTROL!$C$38, 0.0347, 0)</f>
        <v>55.746400000000001</v>
      </c>
      <c r="H885" s="10">
        <f>55.7117 * CHOOSE(CONTROL!$C$15, $E$9, 100%, $G$9) + CHOOSE(CONTROL!$C$38, 0.0347, 0)</f>
        <v>55.746400000000001</v>
      </c>
      <c r="I885" s="10">
        <f>55.7133 * CHOOSE(CONTROL!$C$15, $E$9, 100%, $G$9) + CHOOSE(CONTROL!$C$38, 0.0347, 0)</f>
        <v>55.747999999999998</v>
      </c>
      <c r="J885" s="26">
        <f>523.5789</f>
        <v>523.57889999999998</v>
      </c>
    </row>
    <row r="886" spans="1:10" ht="15.75" x14ac:dyDescent="0.25">
      <c r="A886" s="13">
        <v>67906</v>
      </c>
      <c r="B886" s="10">
        <f>60.5852 * CHOOSE(CONTROL!$C$15, $E$9, 100%, $G$9) + CHOOSE(CONTROL!$C$38, 0.0256, 0)</f>
        <v>60.610799999999998</v>
      </c>
      <c r="C886" s="10">
        <f>55.9067 * CHOOSE(CONTROL!$C$15, $E$9, 100%, $G$9) + CHOOSE(CONTROL!$C$38, 0.0347, 0)</f>
        <v>55.941400000000002</v>
      </c>
      <c r="D886" s="10">
        <f>55.8989 * CHOOSE(CONTROL!$C$15, $E$9, 100%, $G$9) + CHOOSE(CONTROL!$C$38, 0.0347, 0)</f>
        <v>55.933599999999998</v>
      </c>
      <c r="E886" s="28">
        <f>60.4289 * CHOOSE(CONTROL!$C$15, $E$9, 100%, $G$9) + CHOOSE(CONTROL!$C$38, 0.0347, 0)</f>
        <v>60.4636</v>
      </c>
      <c r="F886" s="27">
        <f>60.4289 * CHOOSE(CONTROL!$C$15, $E$9, 100%, $G$9) + CHOOSE(CONTROL!$C$38, 0.0256, 0)</f>
        <v>60.454499999999996</v>
      </c>
      <c r="G886" s="10">
        <f>55.9052 * CHOOSE(CONTROL!$C$15, $E$9, 100%, $G$9) + CHOOSE(CONTROL!$C$38, 0.0347, 0)</f>
        <v>55.939900000000002</v>
      </c>
      <c r="H886" s="10">
        <f>55.9052 * CHOOSE(CONTROL!$C$15, $E$9, 100%, $G$9) + CHOOSE(CONTROL!$C$38, 0.0347, 0)</f>
        <v>55.939900000000002</v>
      </c>
      <c r="I886" s="10">
        <f>55.9067 * CHOOSE(CONTROL!$C$15, $E$9, 100%, $G$9) + CHOOSE(CONTROL!$C$38, 0.0347, 0)</f>
        <v>55.941400000000002</v>
      </c>
      <c r="J886" s="26">
        <f>519.8482</f>
        <v>519.84820000000002</v>
      </c>
    </row>
    <row r="887" spans="1:10" ht="15.75" x14ac:dyDescent="0.25">
      <c r="A887" s="13">
        <v>67937</v>
      </c>
      <c r="B887" s="10">
        <f>61.1812 * CHOOSE(CONTROL!$C$15, $E$9, 100%, $G$9) + CHOOSE(CONTROL!$C$38, 0.0256, 0)</f>
        <v>61.206799999999994</v>
      </c>
      <c r="C887" s="10">
        <f>56.5028 * CHOOSE(CONTROL!$C$15, $E$9, 100%, $G$9) + CHOOSE(CONTROL!$C$38, 0.0347, 0)</f>
        <v>56.537500000000001</v>
      </c>
      <c r="D887" s="10">
        <f>56.495 * CHOOSE(CONTROL!$C$15, $E$9, 100%, $G$9) + CHOOSE(CONTROL!$C$38, 0.0347, 0)</f>
        <v>56.529699999999998</v>
      </c>
      <c r="E887" s="28">
        <f>61.025 * CHOOSE(CONTROL!$C$15, $E$9, 100%, $G$9) + CHOOSE(CONTROL!$C$38, 0.0347, 0)</f>
        <v>61.059699999999999</v>
      </c>
      <c r="F887" s="27">
        <f>61.025 * CHOOSE(CONTROL!$C$15, $E$9, 100%, $G$9) + CHOOSE(CONTROL!$C$38, 0.0256, 0)</f>
        <v>61.050599999999996</v>
      </c>
      <c r="G887" s="10">
        <f>56.5012 * CHOOSE(CONTROL!$C$15, $E$9, 100%, $G$9) + CHOOSE(CONTROL!$C$38, 0.0347, 0)</f>
        <v>56.535899999999998</v>
      </c>
      <c r="H887" s="10">
        <f>56.5012 * CHOOSE(CONTROL!$C$15, $E$9, 100%, $G$9) + CHOOSE(CONTROL!$C$38, 0.0347, 0)</f>
        <v>56.535899999999998</v>
      </c>
      <c r="I887" s="10">
        <f>56.5028 * CHOOSE(CONTROL!$C$15, $E$9, 100%, $G$9) + CHOOSE(CONTROL!$C$38, 0.0347, 0)</f>
        <v>56.537500000000001</v>
      </c>
      <c r="J887" s="26">
        <f>504.4217</f>
        <v>504.42169999999999</v>
      </c>
    </row>
    <row r="888" spans="1:10" ht="15.75" x14ac:dyDescent="0.25">
      <c r="A888" s="13">
        <v>67968</v>
      </c>
      <c r="B888" s="10">
        <f>62.6357 * CHOOSE(CONTROL!$C$15, $E$9, 100%, $G$9) + CHOOSE(CONTROL!$C$38, 0.0256, 0)</f>
        <v>62.661299999999997</v>
      </c>
      <c r="C888" s="10">
        <f>57.8831 * CHOOSE(CONTROL!$C$15, $E$9, 100%, $G$9) + CHOOSE(CONTROL!$C$38, 0.0347, 0)</f>
        <v>57.9178</v>
      </c>
      <c r="D888" s="10">
        <f>57.8753 * CHOOSE(CONTROL!$C$15, $E$9, 100%, $G$9) + CHOOSE(CONTROL!$C$38, 0.0347, 0)</f>
        <v>57.910000000000004</v>
      </c>
      <c r="E888" s="28">
        <f>62.4794 * CHOOSE(CONTROL!$C$15, $E$9, 100%, $G$9) + CHOOSE(CONTROL!$C$38, 0.0347, 0)</f>
        <v>62.514099999999999</v>
      </c>
      <c r="F888" s="27">
        <f>62.4794 * CHOOSE(CONTROL!$C$15, $E$9, 100%, $G$9) + CHOOSE(CONTROL!$C$38, 0.0256, 0)</f>
        <v>62.504999999999995</v>
      </c>
      <c r="G888" s="10">
        <f>57.8816 * CHOOSE(CONTROL!$C$15, $E$9, 100%, $G$9) + CHOOSE(CONTROL!$C$38, 0.0347, 0)</f>
        <v>57.9163</v>
      </c>
      <c r="H888" s="10">
        <f>57.8816 * CHOOSE(CONTROL!$C$15, $E$9, 100%, $G$9) + CHOOSE(CONTROL!$C$38, 0.0347, 0)</f>
        <v>57.9163</v>
      </c>
      <c r="I888" s="10">
        <f>57.8831 * CHOOSE(CONTROL!$C$15, $E$9, 100%, $G$9) + CHOOSE(CONTROL!$C$38, 0.0347, 0)</f>
        <v>57.9178</v>
      </c>
      <c r="J888" s="26">
        <f>503.4583</f>
        <v>503.45830000000001</v>
      </c>
    </row>
    <row r="889" spans="1:10" ht="15.75" x14ac:dyDescent="0.25">
      <c r="A889" s="13">
        <v>67996</v>
      </c>
      <c r="B889" s="10">
        <f>62.8565 * CHOOSE(CONTROL!$C$15, $E$9, 100%, $G$9) + CHOOSE(CONTROL!$C$38, 0.0256, 0)</f>
        <v>62.882099999999994</v>
      </c>
      <c r="C889" s="10">
        <f>58.1039 * CHOOSE(CONTROL!$C$15, $E$9, 100%, $G$9) + CHOOSE(CONTROL!$C$38, 0.0347, 0)</f>
        <v>58.138600000000004</v>
      </c>
      <c r="D889" s="10">
        <f>58.0961 * CHOOSE(CONTROL!$C$15, $E$9, 100%, $G$9) + CHOOSE(CONTROL!$C$38, 0.0347, 0)</f>
        <v>58.130800000000001</v>
      </c>
      <c r="E889" s="28">
        <f>62.7002 * CHOOSE(CONTROL!$C$15, $E$9, 100%, $G$9) + CHOOSE(CONTROL!$C$38, 0.0347, 0)</f>
        <v>62.734900000000003</v>
      </c>
      <c r="F889" s="27">
        <f>62.7002 * CHOOSE(CONTROL!$C$15, $E$9, 100%, $G$9) + CHOOSE(CONTROL!$C$38, 0.0256, 0)</f>
        <v>62.7258</v>
      </c>
      <c r="G889" s="10">
        <f>58.1023 * CHOOSE(CONTROL!$C$15, $E$9, 100%, $G$9) + CHOOSE(CONTROL!$C$38, 0.0347, 0)</f>
        <v>58.137</v>
      </c>
      <c r="H889" s="10">
        <f>58.1023 * CHOOSE(CONTROL!$C$15, $E$9, 100%, $G$9) + CHOOSE(CONTROL!$C$38, 0.0347, 0)</f>
        <v>58.137</v>
      </c>
      <c r="I889" s="10">
        <f>58.1039 * CHOOSE(CONTROL!$C$15, $E$9, 100%, $G$9) + CHOOSE(CONTROL!$C$38, 0.0347, 0)</f>
        <v>58.138600000000004</v>
      </c>
      <c r="J889" s="26">
        <f>502.0589</f>
        <v>502.05889999999999</v>
      </c>
    </row>
    <row r="890" spans="1:10" ht="15.75" x14ac:dyDescent="0.25">
      <c r="A890" s="13">
        <v>68027</v>
      </c>
      <c r="B890" s="10">
        <f>62.3454 * CHOOSE(CONTROL!$C$15, $E$9, 100%, $G$9) + CHOOSE(CONTROL!$C$38, 0.0256, 0)</f>
        <v>62.370999999999995</v>
      </c>
      <c r="C890" s="10">
        <f>57.5929 * CHOOSE(CONTROL!$C$15, $E$9, 100%, $G$9) + CHOOSE(CONTROL!$C$38, 0.0347, 0)</f>
        <v>57.627600000000001</v>
      </c>
      <c r="D890" s="10">
        <f>57.585 * CHOOSE(CONTROL!$C$15, $E$9, 100%, $G$9) + CHOOSE(CONTROL!$C$38, 0.0347, 0)</f>
        <v>57.619700000000002</v>
      </c>
      <c r="E890" s="28">
        <f>62.1892 * CHOOSE(CONTROL!$C$15, $E$9, 100%, $G$9) + CHOOSE(CONTROL!$C$38, 0.0347, 0)</f>
        <v>62.2239</v>
      </c>
      <c r="F890" s="27">
        <f>62.1892 * CHOOSE(CONTROL!$C$15, $E$9, 100%, $G$9) + CHOOSE(CONTROL!$C$38, 0.0256, 0)</f>
        <v>62.214799999999997</v>
      </c>
      <c r="G890" s="10">
        <f>57.5913 * CHOOSE(CONTROL!$C$15, $E$9, 100%, $G$9) + CHOOSE(CONTROL!$C$38, 0.0347, 0)</f>
        <v>57.625999999999998</v>
      </c>
      <c r="H890" s="10">
        <f>57.5913 * CHOOSE(CONTROL!$C$15, $E$9, 100%, $G$9) + CHOOSE(CONTROL!$C$38, 0.0347, 0)</f>
        <v>57.625999999999998</v>
      </c>
      <c r="I890" s="10">
        <f>57.5929 * CHOOSE(CONTROL!$C$15, $E$9, 100%, $G$9) + CHOOSE(CONTROL!$C$38, 0.0347, 0)</f>
        <v>57.627600000000001</v>
      </c>
      <c r="J890" s="26">
        <f>528.5203</f>
        <v>528.52030000000002</v>
      </c>
    </row>
    <row r="891" spans="1:10" ht="15.75" x14ac:dyDescent="0.25">
      <c r="A891" s="13">
        <v>68057</v>
      </c>
      <c r="B891" s="10">
        <f>61.8502 * CHOOSE(CONTROL!$C$15, $E$9, 100%, $G$9) + CHOOSE(CONTROL!$C$38, 0.0256, 0)</f>
        <v>61.875799999999998</v>
      </c>
      <c r="C891" s="10">
        <f>57.0977 * CHOOSE(CONTROL!$C$15, $E$9, 100%, $G$9) + CHOOSE(CONTROL!$C$38, 0.0347, 0)</f>
        <v>57.132400000000004</v>
      </c>
      <c r="D891" s="10">
        <f>57.0899 * CHOOSE(CONTROL!$C$15, $E$9, 100%, $G$9) + CHOOSE(CONTROL!$C$38, 0.0347, 0)</f>
        <v>57.124600000000001</v>
      </c>
      <c r="E891" s="28">
        <f>61.694 * CHOOSE(CONTROL!$C$15, $E$9, 100%, $G$9) + CHOOSE(CONTROL!$C$38, 0.0347, 0)</f>
        <v>61.728700000000003</v>
      </c>
      <c r="F891" s="27">
        <f>61.694 * CHOOSE(CONTROL!$C$15, $E$9, 100%, $G$9) + CHOOSE(CONTROL!$C$38, 0.0256, 0)</f>
        <v>61.7196</v>
      </c>
      <c r="G891" s="10">
        <f>57.0961 * CHOOSE(CONTROL!$C$15, $E$9, 100%, $G$9) + CHOOSE(CONTROL!$C$38, 0.0347, 0)</f>
        <v>57.130800000000001</v>
      </c>
      <c r="H891" s="10">
        <f>57.0961 * CHOOSE(CONTROL!$C$15, $E$9, 100%, $G$9) + CHOOSE(CONTROL!$C$38, 0.0347, 0)</f>
        <v>57.130800000000001</v>
      </c>
      <c r="I891" s="10">
        <f>57.0977 * CHOOSE(CONTROL!$C$15, $E$9, 100%, $G$9) + CHOOSE(CONTROL!$C$38, 0.0347, 0)</f>
        <v>57.132400000000004</v>
      </c>
      <c r="J891" s="26">
        <f>562.8344</f>
        <v>562.83439999999996</v>
      </c>
    </row>
    <row r="892" spans="1:10" ht="15.75" x14ac:dyDescent="0.25">
      <c r="A892" s="13">
        <v>68088</v>
      </c>
      <c r="B892" s="10">
        <f>61.3341 * CHOOSE(CONTROL!$C$15, $E$9, 100%, $G$9) + CHOOSE(CONTROL!$C$38, 0.0278, 0)</f>
        <v>61.361899999999999</v>
      </c>
      <c r="C892" s="10">
        <f>56.5816 * CHOOSE(CONTROL!$C$15, $E$9, 100%, $G$9) + CHOOSE(CONTROL!$C$38, 0.0369, 0)</f>
        <v>56.618500000000004</v>
      </c>
      <c r="D892" s="10">
        <f>56.5738 * CHOOSE(CONTROL!$C$15, $E$9, 100%, $G$9) + CHOOSE(CONTROL!$C$38, 0.0369, 0)</f>
        <v>56.610700000000001</v>
      </c>
      <c r="E892" s="28">
        <f>61.1779 * CHOOSE(CONTROL!$C$15, $E$9, 100%, $G$9) + CHOOSE(CONTROL!$C$38, 0.0369, 0)</f>
        <v>61.214800000000004</v>
      </c>
      <c r="F892" s="27">
        <f>61.1779 * CHOOSE(CONTROL!$C$15, $E$9, 100%, $G$9) + CHOOSE(CONTROL!$C$38, 0.0278, 0)</f>
        <v>61.2057</v>
      </c>
      <c r="G892" s="10">
        <f>56.58 * CHOOSE(CONTROL!$C$15, $E$9, 100%, $G$9) + CHOOSE(CONTROL!$C$38, 0.0369, 0)</f>
        <v>56.616900000000001</v>
      </c>
      <c r="H892" s="10">
        <f>56.58 * CHOOSE(CONTROL!$C$15, $E$9, 100%, $G$9) + CHOOSE(CONTROL!$C$38, 0.0369, 0)</f>
        <v>56.616900000000001</v>
      </c>
      <c r="I892" s="10">
        <f>56.5816 * CHOOSE(CONTROL!$C$15, $E$9, 100%, $G$9) + CHOOSE(CONTROL!$C$38, 0.0369, 0)</f>
        <v>56.618500000000004</v>
      </c>
      <c r="J892" s="26">
        <f>581.722</f>
        <v>581.72199999999998</v>
      </c>
    </row>
    <row r="893" spans="1:10" ht="15.75" x14ac:dyDescent="0.25">
      <c r="A893" s="13">
        <v>68118</v>
      </c>
      <c r="B893" s="10">
        <f>60.9723 * CHOOSE(CONTROL!$C$15, $E$9, 100%, $G$9) + CHOOSE(CONTROL!$C$38, 0.0278, 0)</f>
        <v>61.000099999999996</v>
      </c>
      <c r="C893" s="10">
        <f>56.2197 * CHOOSE(CONTROL!$C$15, $E$9, 100%, $G$9) + CHOOSE(CONTROL!$C$38, 0.0369, 0)</f>
        <v>56.256600000000006</v>
      </c>
      <c r="D893" s="10">
        <f>56.2119 * CHOOSE(CONTROL!$C$15, $E$9, 100%, $G$9) + CHOOSE(CONTROL!$C$38, 0.0369, 0)</f>
        <v>56.248800000000003</v>
      </c>
      <c r="E893" s="28">
        <f>60.816 * CHOOSE(CONTROL!$C$15, $E$9, 100%, $G$9) + CHOOSE(CONTROL!$C$38, 0.0369, 0)</f>
        <v>60.852900000000005</v>
      </c>
      <c r="F893" s="27">
        <f>60.816 * CHOOSE(CONTROL!$C$15, $E$9, 100%, $G$9) + CHOOSE(CONTROL!$C$38, 0.0278, 0)</f>
        <v>60.843800000000002</v>
      </c>
      <c r="G893" s="10">
        <f>56.2182 * CHOOSE(CONTROL!$C$15, $E$9, 100%, $G$9) + CHOOSE(CONTROL!$C$38, 0.0369, 0)</f>
        <v>56.255100000000006</v>
      </c>
      <c r="H893" s="10">
        <f>56.2182 * CHOOSE(CONTROL!$C$15, $E$9, 100%, $G$9) + CHOOSE(CONTROL!$C$38, 0.0369, 0)</f>
        <v>56.255100000000006</v>
      </c>
      <c r="I893" s="10">
        <f>56.2197 * CHOOSE(CONTROL!$C$15, $E$9, 100%, $G$9) + CHOOSE(CONTROL!$C$38, 0.0369, 0)</f>
        <v>56.256600000000006</v>
      </c>
      <c r="J893" s="26">
        <f>590.104</f>
        <v>590.10400000000004</v>
      </c>
    </row>
    <row r="894" spans="1:10" ht="15.75" x14ac:dyDescent="0.25">
      <c r="A894" s="13">
        <v>68149</v>
      </c>
      <c r="B894" s="10">
        <f>60.7658 * CHOOSE(CONTROL!$C$15, $E$9, 100%, $G$9) + CHOOSE(CONTROL!$C$38, 0.0278, 0)</f>
        <v>60.793599999999998</v>
      </c>
      <c r="C894" s="10">
        <f>56.0132 * CHOOSE(CONTROL!$C$15, $E$9, 100%, $G$9) + CHOOSE(CONTROL!$C$38, 0.0369, 0)</f>
        <v>56.0501</v>
      </c>
      <c r="D894" s="10">
        <f>56.0054 * CHOOSE(CONTROL!$C$15, $E$9, 100%, $G$9) + CHOOSE(CONTROL!$C$38, 0.0369, 0)</f>
        <v>56.042300000000004</v>
      </c>
      <c r="E894" s="28">
        <f>60.6096 * CHOOSE(CONTROL!$C$15, $E$9, 100%, $G$9) + CHOOSE(CONTROL!$C$38, 0.0369, 0)</f>
        <v>60.646500000000003</v>
      </c>
      <c r="F894" s="27">
        <f>60.6096 * CHOOSE(CONTROL!$C$15, $E$9, 100%, $G$9) + CHOOSE(CONTROL!$C$38, 0.0278, 0)</f>
        <v>60.6374</v>
      </c>
      <c r="G894" s="10">
        <f>56.0117 * CHOOSE(CONTROL!$C$15, $E$9, 100%, $G$9) + CHOOSE(CONTROL!$C$38, 0.0369, 0)</f>
        <v>56.0486</v>
      </c>
      <c r="H894" s="10">
        <f>56.0117 * CHOOSE(CONTROL!$C$15, $E$9, 100%, $G$9) + CHOOSE(CONTROL!$C$38, 0.0369, 0)</f>
        <v>56.0486</v>
      </c>
      <c r="I894" s="10">
        <f>56.0132 * CHOOSE(CONTROL!$C$15, $E$9, 100%, $G$9) + CHOOSE(CONTROL!$C$38, 0.0369, 0)</f>
        <v>56.0501</v>
      </c>
      <c r="J894" s="26">
        <f>587.3443</f>
        <v>587.34429999999998</v>
      </c>
    </row>
    <row r="895" spans="1:10" ht="15.75" x14ac:dyDescent="0.25">
      <c r="A895" s="13">
        <v>68180</v>
      </c>
      <c r="B895" s="10">
        <f>60.8677 * CHOOSE(CONTROL!$C$15, $E$9, 100%, $G$9) + CHOOSE(CONTROL!$C$38, 0.0278, 0)</f>
        <v>60.895499999999998</v>
      </c>
      <c r="C895" s="10">
        <f>56.1152 * CHOOSE(CONTROL!$C$15, $E$9, 100%, $G$9) + CHOOSE(CONTROL!$C$38, 0.0369, 0)</f>
        <v>56.152100000000004</v>
      </c>
      <c r="D895" s="10">
        <f>56.1073 * CHOOSE(CONTROL!$C$15, $E$9, 100%, $G$9) + CHOOSE(CONTROL!$C$38, 0.0369, 0)</f>
        <v>56.144200000000005</v>
      </c>
      <c r="E895" s="28">
        <f>60.7115 * CHOOSE(CONTROL!$C$15, $E$9, 100%, $G$9) + CHOOSE(CONTROL!$C$38, 0.0369, 0)</f>
        <v>60.748400000000004</v>
      </c>
      <c r="F895" s="27">
        <f>60.7115 * CHOOSE(CONTROL!$C$15, $E$9, 100%, $G$9) + CHOOSE(CONTROL!$C$38, 0.0278, 0)</f>
        <v>60.7393</v>
      </c>
      <c r="G895" s="10">
        <f>56.1136 * CHOOSE(CONTROL!$C$15, $E$9, 100%, $G$9) + CHOOSE(CONTROL!$C$38, 0.0369, 0)</f>
        <v>56.150500000000001</v>
      </c>
      <c r="H895" s="10">
        <f>56.1136 * CHOOSE(CONTROL!$C$15, $E$9, 100%, $G$9) + CHOOSE(CONTROL!$C$38, 0.0369, 0)</f>
        <v>56.150500000000001</v>
      </c>
      <c r="I895" s="10">
        <f>56.1152 * CHOOSE(CONTROL!$C$15, $E$9, 100%, $G$9) + CHOOSE(CONTROL!$C$38, 0.0369, 0)</f>
        <v>56.152100000000004</v>
      </c>
      <c r="J895" s="26">
        <f>573.6712</f>
        <v>573.6712</v>
      </c>
    </row>
    <row r="896" spans="1:10" ht="15.75" x14ac:dyDescent="0.25">
      <c r="A896" s="13">
        <v>68210</v>
      </c>
      <c r="B896" s="10">
        <f>61.1445 * CHOOSE(CONTROL!$C$15, $E$9, 100%, $G$9) + CHOOSE(CONTROL!$C$38, 0.0278, 0)</f>
        <v>61.1723</v>
      </c>
      <c r="C896" s="10">
        <f>56.392 * CHOOSE(CONTROL!$C$15, $E$9, 100%, $G$9) + CHOOSE(CONTROL!$C$38, 0.0369, 0)</f>
        <v>56.428900000000006</v>
      </c>
      <c r="D896" s="10">
        <f>56.3841 * CHOOSE(CONTROL!$C$15, $E$9, 100%, $G$9) + CHOOSE(CONTROL!$C$38, 0.0369, 0)</f>
        <v>56.420999999999999</v>
      </c>
      <c r="E896" s="28">
        <f>60.9883 * CHOOSE(CONTROL!$C$15, $E$9, 100%, $G$9) + CHOOSE(CONTROL!$C$38, 0.0369, 0)</f>
        <v>61.025200000000005</v>
      </c>
      <c r="F896" s="27">
        <f>60.9883 * CHOOSE(CONTROL!$C$15, $E$9, 100%, $G$9) + CHOOSE(CONTROL!$C$38, 0.0278, 0)</f>
        <v>61.016100000000002</v>
      </c>
      <c r="G896" s="10">
        <f>56.3904 * CHOOSE(CONTROL!$C$15, $E$9, 100%, $G$9) + CHOOSE(CONTROL!$C$38, 0.0369, 0)</f>
        <v>56.427300000000002</v>
      </c>
      <c r="H896" s="10">
        <f>56.3904 * CHOOSE(CONTROL!$C$15, $E$9, 100%, $G$9) + CHOOSE(CONTROL!$C$38, 0.0369, 0)</f>
        <v>56.427300000000002</v>
      </c>
      <c r="I896" s="10">
        <f>56.392 * CHOOSE(CONTROL!$C$15, $E$9, 100%, $G$9) + CHOOSE(CONTROL!$C$38, 0.0369, 0)</f>
        <v>56.428900000000006</v>
      </c>
      <c r="J896" s="26">
        <f>554.6033</f>
        <v>554.60329999999999</v>
      </c>
    </row>
    <row r="897" spans="1:10" ht="15.75" x14ac:dyDescent="0.25">
      <c r="A897" s="13">
        <v>68241</v>
      </c>
      <c r="B897" s="10">
        <f>61.3763 * CHOOSE(CONTROL!$C$15, $E$9, 100%, $G$9) + CHOOSE(CONTROL!$C$38, 0.0256, 0)</f>
        <v>61.401899999999998</v>
      </c>
      <c r="C897" s="10">
        <f>56.6238 * CHOOSE(CONTROL!$C$15, $E$9, 100%, $G$9) + CHOOSE(CONTROL!$C$38, 0.0347, 0)</f>
        <v>56.658500000000004</v>
      </c>
      <c r="D897" s="10">
        <f>56.616 * CHOOSE(CONTROL!$C$15, $E$9, 100%, $G$9) + CHOOSE(CONTROL!$C$38, 0.0347, 0)</f>
        <v>56.650700000000001</v>
      </c>
      <c r="E897" s="28">
        <f>61.2201 * CHOOSE(CONTROL!$C$15, $E$9, 100%, $G$9) + CHOOSE(CONTROL!$C$38, 0.0347, 0)</f>
        <v>61.254800000000003</v>
      </c>
      <c r="F897" s="27">
        <f>61.2201 * CHOOSE(CONTROL!$C$15, $E$9, 100%, $G$9) + CHOOSE(CONTROL!$C$38, 0.0256, 0)</f>
        <v>61.245699999999999</v>
      </c>
      <c r="G897" s="10">
        <f>56.6222 * CHOOSE(CONTROL!$C$15, $E$9, 100%, $G$9) + CHOOSE(CONTROL!$C$38, 0.0347, 0)</f>
        <v>56.6569</v>
      </c>
      <c r="H897" s="10">
        <f>56.6222 * CHOOSE(CONTROL!$C$15, $E$9, 100%, $G$9) + CHOOSE(CONTROL!$C$38, 0.0347, 0)</f>
        <v>56.6569</v>
      </c>
      <c r="I897" s="10">
        <f>56.6238 * CHOOSE(CONTROL!$C$15, $E$9, 100%, $G$9) + CHOOSE(CONTROL!$C$38, 0.0347, 0)</f>
        <v>56.658500000000004</v>
      </c>
      <c r="J897" s="26">
        <f>535.4246</f>
        <v>535.42460000000005</v>
      </c>
    </row>
    <row r="898" spans="1:10" ht="15.75" x14ac:dyDescent="0.25">
      <c r="A898" s="13">
        <v>68271</v>
      </c>
      <c r="B898" s="10">
        <f>61.5698 * CHOOSE(CONTROL!$C$15, $E$9, 100%, $G$9) + CHOOSE(CONTROL!$C$38, 0.0256, 0)</f>
        <v>61.595399999999998</v>
      </c>
      <c r="C898" s="10">
        <f>56.8172 * CHOOSE(CONTROL!$C$15, $E$9, 100%, $G$9) + CHOOSE(CONTROL!$C$38, 0.0347, 0)</f>
        <v>56.851900000000001</v>
      </c>
      <c r="D898" s="10">
        <f>56.8094 * CHOOSE(CONTROL!$C$15, $E$9, 100%, $G$9) + CHOOSE(CONTROL!$C$38, 0.0347, 0)</f>
        <v>56.844099999999997</v>
      </c>
      <c r="E898" s="28">
        <f>61.4135 * CHOOSE(CONTROL!$C$15, $E$9, 100%, $G$9) + CHOOSE(CONTROL!$C$38, 0.0347, 0)</f>
        <v>61.4482</v>
      </c>
      <c r="F898" s="27">
        <f>61.4135 * CHOOSE(CONTROL!$C$15, $E$9, 100%, $G$9) + CHOOSE(CONTROL!$C$38, 0.0256, 0)</f>
        <v>61.439099999999996</v>
      </c>
      <c r="G898" s="10">
        <f>56.8157 * CHOOSE(CONTROL!$C$15, $E$9, 100%, $G$9) + CHOOSE(CONTROL!$C$38, 0.0347, 0)</f>
        <v>56.8504</v>
      </c>
      <c r="H898" s="10">
        <f>56.8157 * CHOOSE(CONTROL!$C$15, $E$9, 100%, $G$9) + CHOOSE(CONTROL!$C$38, 0.0347, 0)</f>
        <v>56.8504</v>
      </c>
      <c r="I898" s="10">
        <f>56.8172 * CHOOSE(CONTROL!$C$15, $E$9, 100%, $G$9) + CHOOSE(CONTROL!$C$38, 0.0347, 0)</f>
        <v>56.851900000000001</v>
      </c>
      <c r="J898" s="26">
        <f>531.6095</f>
        <v>531.60950000000003</v>
      </c>
    </row>
    <row r="899" spans="1:10" ht="15.75" x14ac:dyDescent="0.25">
      <c r="A899" s="13">
        <v>68302</v>
      </c>
      <c r="B899" s="10">
        <f>62.1658 * CHOOSE(CONTROL!$C$15, $E$9, 100%, $G$9) + CHOOSE(CONTROL!$C$38, 0.0256, 0)</f>
        <v>62.191399999999994</v>
      </c>
      <c r="C899" s="10">
        <f>57.4133 * CHOOSE(CONTROL!$C$15, $E$9, 100%, $G$9) + CHOOSE(CONTROL!$C$38, 0.0347, 0)</f>
        <v>57.448</v>
      </c>
      <c r="D899" s="10">
        <f>57.4055 * CHOOSE(CONTROL!$C$15, $E$9, 100%, $G$9) + CHOOSE(CONTROL!$C$38, 0.0347, 0)</f>
        <v>57.440200000000004</v>
      </c>
      <c r="E899" s="28">
        <f>62.0096 * CHOOSE(CONTROL!$C$15, $E$9, 100%, $G$9) + CHOOSE(CONTROL!$C$38, 0.0347, 0)</f>
        <v>62.0443</v>
      </c>
      <c r="F899" s="27">
        <f>62.0096 * CHOOSE(CONTROL!$C$15, $E$9, 100%, $G$9) + CHOOSE(CONTROL!$C$38, 0.0256, 0)</f>
        <v>62.035199999999996</v>
      </c>
      <c r="G899" s="10">
        <f>57.4117 * CHOOSE(CONTROL!$C$15, $E$9, 100%, $G$9) + CHOOSE(CONTROL!$C$38, 0.0347, 0)</f>
        <v>57.446400000000004</v>
      </c>
      <c r="H899" s="10">
        <f>57.4117 * CHOOSE(CONTROL!$C$15, $E$9, 100%, $G$9) + CHOOSE(CONTROL!$C$38, 0.0347, 0)</f>
        <v>57.446400000000004</v>
      </c>
      <c r="I899" s="10">
        <f>57.4133 * CHOOSE(CONTROL!$C$15, $E$9, 100%, $G$9) + CHOOSE(CONTROL!$C$38, 0.0347, 0)</f>
        <v>57.448</v>
      </c>
      <c r="J899" s="26">
        <f>515.834</f>
        <v>515.83399999999995</v>
      </c>
    </row>
    <row r="900" spans="1:10" ht="15.75" x14ac:dyDescent="0.25">
      <c r="A900" s="13">
        <v>68333</v>
      </c>
      <c r="B900" s="10">
        <f>63.6365 * CHOOSE(CONTROL!$C$15, $E$9, 100%, $G$9) + CHOOSE(CONTROL!$C$38, 0.0256, 0)</f>
        <v>63.662099999999995</v>
      </c>
      <c r="C900" s="10">
        <f>58.8085 * CHOOSE(CONTROL!$C$15, $E$9, 100%, $G$9) + CHOOSE(CONTROL!$C$38, 0.0347, 0)</f>
        <v>58.843200000000003</v>
      </c>
      <c r="D900" s="10">
        <f>58.8007 * CHOOSE(CONTROL!$C$15, $E$9, 100%, $G$9) + CHOOSE(CONTROL!$C$38, 0.0347, 0)</f>
        <v>58.8354</v>
      </c>
      <c r="E900" s="28">
        <f>63.4802 * CHOOSE(CONTROL!$C$15, $E$9, 100%, $G$9) + CHOOSE(CONTROL!$C$38, 0.0347, 0)</f>
        <v>63.514900000000004</v>
      </c>
      <c r="F900" s="27">
        <f>63.4802 * CHOOSE(CONTROL!$C$15, $E$9, 100%, $G$9) + CHOOSE(CONTROL!$C$38, 0.0256, 0)</f>
        <v>63.505800000000001</v>
      </c>
      <c r="G900" s="10">
        <f>58.807 * CHOOSE(CONTROL!$C$15, $E$9, 100%, $G$9) + CHOOSE(CONTROL!$C$38, 0.0347, 0)</f>
        <v>58.841700000000003</v>
      </c>
      <c r="H900" s="10">
        <f>58.807 * CHOOSE(CONTROL!$C$15, $E$9, 100%, $G$9) + CHOOSE(CONTROL!$C$38, 0.0347, 0)</f>
        <v>58.841700000000003</v>
      </c>
      <c r="I900" s="10">
        <f>58.8085 * CHOOSE(CONTROL!$C$15, $E$9, 100%, $G$9) + CHOOSE(CONTROL!$C$38, 0.0347, 0)</f>
        <v>58.843200000000003</v>
      </c>
      <c r="J900" s="26">
        <f>514.8488</f>
        <v>514.84879999999998</v>
      </c>
    </row>
    <row r="901" spans="1:10" ht="15.75" x14ac:dyDescent="0.25">
      <c r="A901" s="13">
        <v>68361</v>
      </c>
      <c r="B901" s="10">
        <f>63.8572 * CHOOSE(CONTROL!$C$15, $E$9, 100%, $G$9) + CHOOSE(CONTROL!$C$38, 0.0256, 0)</f>
        <v>63.882799999999996</v>
      </c>
      <c r="C901" s="10">
        <f>59.0293 * CHOOSE(CONTROL!$C$15, $E$9, 100%, $G$9) + CHOOSE(CONTROL!$C$38, 0.0347, 0)</f>
        <v>59.064</v>
      </c>
      <c r="D901" s="10">
        <f>59.0215 * CHOOSE(CONTROL!$C$15, $E$9, 100%, $G$9) + CHOOSE(CONTROL!$C$38, 0.0347, 0)</f>
        <v>59.056200000000004</v>
      </c>
      <c r="E901" s="28">
        <f>63.701 * CHOOSE(CONTROL!$C$15, $E$9, 100%, $G$9) + CHOOSE(CONTROL!$C$38, 0.0347, 0)</f>
        <v>63.735700000000001</v>
      </c>
      <c r="F901" s="27">
        <f>63.701 * CHOOSE(CONTROL!$C$15, $E$9, 100%, $G$9) + CHOOSE(CONTROL!$C$38, 0.0256, 0)</f>
        <v>63.726599999999998</v>
      </c>
      <c r="G901" s="10">
        <f>59.0277 * CHOOSE(CONTROL!$C$15, $E$9, 100%, $G$9) + CHOOSE(CONTROL!$C$38, 0.0347, 0)</f>
        <v>59.062400000000004</v>
      </c>
      <c r="H901" s="10">
        <f>59.0277 * CHOOSE(CONTROL!$C$15, $E$9, 100%, $G$9) + CHOOSE(CONTROL!$C$38, 0.0347, 0)</f>
        <v>59.062400000000004</v>
      </c>
      <c r="I901" s="10">
        <f>59.0293 * CHOOSE(CONTROL!$C$15, $E$9, 100%, $G$9) + CHOOSE(CONTROL!$C$38, 0.0347, 0)</f>
        <v>59.064</v>
      </c>
      <c r="J901" s="26">
        <f>513.4177</f>
        <v>513.41769999999997</v>
      </c>
    </row>
    <row r="902" spans="1:10" ht="15.75" x14ac:dyDescent="0.25">
      <c r="A902" s="13">
        <v>68392</v>
      </c>
      <c r="B902" s="10">
        <f>63.3462 * CHOOSE(CONTROL!$C$15, $E$9, 100%, $G$9) + CHOOSE(CONTROL!$C$38, 0.0256, 0)</f>
        <v>63.3718</v>
      </c>
      <c r="C902" s="10">
        <f>58.5183 * CHOOSE(CONTROL!$C$15, $E$9, 100%, $G$9) + CHOOSE(CONTROL!$C$38, 0.0347, 0)</f>
        <v>58.553000000000004</v>
      </c>
      <c r="D902" s="10">
        <f>58.5105 * CHOOSE(CONTROL!$C$15, $E$9, 100%, $G$9) + CHOOSE(CONTROL!$C$38, 0.0347, 0)</f>
        <v>58.545200000000001</v>
      </c>
      <c r="E902" s="28">
        <f>63.1899 * CHOOSE(CONTROL!$C$15, $E$9, 100%, $G$9) + CHOOSE(CONTROL!$C$38, 0.0347, 0)</f>
        <v>63.224600000000002</v>
      </c>
      <c r="F902" s="27">
        <f>63.1899 * CHOOSE(CONTROL!$C$15, $E$9, 100%, $G$9) + CHOOSE(CONTROL!$C$38, 0.0256, 0)</f>
        <v>63.215499999999999</v>
      </c>
      <c r="G902" s="10">
        <f>58.5167 * CHOOSE(CONTROL!$C$15, $E$9, 100%, $G$9) + CHOOSE(CONTROL!$C$38, 0.0347, 0)</f>
        <v>58.551400000000001</v>
      </c>
      <c r="H902" s="10">
        <f>58.5167 * CHOOSE(CONTROL!$C$15, $E$9, 100%, $G$9) + CHOOSE(CONTROL!$C$38, 0.0347, 0)</f>
        <v>58.551400000000001</v>
      </c>
      <c r="I902" s="10">
        <f>58.5183 * CHOOSE(CONTROL!$C$15, $E$9, 100%, $G$9) + CHOOSE(CONTROL!$C$38, 0.0347, 0)</f>
        <v>58.553000000000004</v>
      </c>
      <c r="J902" s="26">
        <f>540.4778</f>
        <v>540.4778</v>
      </c>
    </row>
    <row r="903" spans="1:10" ht="15.75" x14ac:dyDescent="0.25">
      <c r="A903" s="13">
        <v>68422</v>
      </c>
      <c r="B903" s="10">
        <f>62.851 * CHOOSE(CONTROL!$C$15, $E$9, 100%, $G$9) + CHOOSE(CONTROL!$C$38, 0.0256, 0)</f>
        <v>62.876599999999996</v>
      </c>
      <c r="C903" s="10">
        <f>58.0231 * CHOOSE(CONTROL!$C$15, $E$9, 100%, $G$9) + CHOOSE(CONTROL!$C$38, 0.0347, 0)</f>
        <v>58.0578</v>
      </c>
      <c r="D903" s="10">
        <f>58.0153 * CHOOSE(CONTROL!$C$15, $E$9, 100%, $G$9) + CHOOSE(CONTROL!$C$38, 0.0347, 0)</f>
        <v>58.050000000000004</v>
      </c>
      <c r="E903" s="28">
        <f>62.6948 * CHOOSE(CONTROL!$C$15, $E$9, 100%, $G$9) + CHOOSE(CONTROL!$C$38, 0.0347, 0)</f>
        <v>62.729500000000002</v>
      </c>
      <c r="F903" s="27">
        <f>62.6948 * CHOOSE(CONTROL!$C$15, $E$9, 100%, $G$9) + CHOOSE(CONTROL!$C$38, 0.0256, 0)</f>
        <v>62.720399999999998</v>
      </c>
      <c r="G903" s="10">
        <f>58.0215 * CHOOSE(CONTROL!$C$15, $E$9, 100%, $G$9) + CHOOSE(CONTROL!$C$38, 0.0347, 0)</f>
        <v>58.056200000000004</v>
      </c>
      <c r="H903" s="10">
        <f>58.0215 * CHOOSE(CONTROL!$C$15, $E$9, 100%, $G$9) + CHOOSE(CONTROL!$C$38, 0.0347, 0)</f>
        <v>58.056200000000004</v>
      </c>
      <c r="I903" s="10">
        <f>58.0231 * CHOOSE(CONTROL!$C$15, $E$9, 100%, $G$9) + CHOOSE(CONTROL!$C$38, 0.0347, 0)</f>
        <v>58.0578</v>
      </c>
      <c r="J903" s="26">
        <f>575.5683</f>
        <v>575.56830000000002</v>
      </c>
    </row>
    <row r="904" spans="1:10" ht="15.75" x14ac:dyDescent="0.25">
      <c r="A904" s="13">
        <v>68453</v>
      </c>
      <c r="B904" s="10">
        <f>62.3349 * CHOOSE(CONTROL!$C$15, $E$9, 100%, $G$9) + CHOOSE(CONTROL!$C$38, 0.0278, 0)</f>
        <v>62.362699999999997</v>
      </c>
      <c r="C904" s="10">
        <f>57.507 * CHOOSE(CONTROL!$C$15, $E$9, 100%, $G$9) + CHOOSE(CONTROL!$C$38, 0.0369, 0)</f>
        <v>57.543900000000001</v>
      </c>
      <c r="D904" s="10">
        <f>57.4992 * CHOOSE(CONTROL!$C$15, $E$9, 100%, $G$9) + CHOOSE(CONTROL!$C$38, 0.0369, 0)</f>
        <v>57.536100000000005</v>
      </c>
      <c r="E904" s="28">
        <f>62.1786 * CHOOSE(CONTROL!$C$15, $E$9, 100%, $G$9) + CHOOSE(CONTROL!$C$38, 0.0369, 0)</f>
        <v>62.215500000000006</v>
      </c>
      <c r="F904" s="27">
        <f>62.1786 * CHOOSE(CONTROL!$C$15, $E$9, 100%, $G$9) + CHOOSE(CONTROL!$C$38, 0.0278, 0)</f>
        <v>62.206400000000002</v>
      </c>
      <c r="G904" s="10">
        <f>57.5054 * CHOOSE(CONTROL!$C$15, $E$9, 100%, $G$9) + CHOOSE(CONTROL!$C$38, 0.0369, 0)</f>
        <v>57.542300000000004</v>
      </c>
      <c r="H904" s="10">
        <f>57.5054 * CHOOSE(CONTROL!$C$15, $E$9, 100%, $G$9) + CHOOSE(CONTROL!$C$38, 0.0369, 0)</f>
        <v>57.542300000000004</v>
      </c>
      <c r="I904" s="10">
        <f>57.507 * CHOOSE(CONTROL!$C$15, $E$9, 100%, $G$9) + CHOOSE(CONTROL!$C$38, 0.0369, 0)</f>
        <v>57.543900000000001</v>
      </c>
      <c r="J904" s="26">
        <f>594.8832</f>
        <v>594.88319999999999</v>
      </c>
    </row>
    <row r="905" spans="1:10" ht="15.75" x14ac:dyDescent="0.25">
      <c r="A905" s="13">
        <v>68483</v>
      </c>
      <c r="B905" s="10">
        <f>61.9731 * CHOOSE(CONTROL!$C$15, $E$9, 100%, $G$9) + CHOOSE(CONTROL!$C$38, 0.0278, 0)</f>
        <v>62.000900000000001</v>
      </c>
      <c r="C905" s="10">
        <f>57.1451 * CHOOSE(CONTROL!$C$15, $E$9, 100%, $G$9) + CHOOSE(CONTROL!$C$38, 0.0369, 0)</f>
        <v>57.182000000000002</v>
      </c>
      <c r="D905" s="10">
        <f>57.1373 * CHOOSE(CONTROL!$C$15, $E$9, 100%, $G$9) + CHOOSE(CONTROL!$C$38, 0.0369, 0)</f>
        <v>57.174200000000006</v>
      </c>
      <c r="E905" s="28">
        <f>61.8168 * CHOOSE(CONTROL!$C$15, $E$9, 100%, $G$9) + CHOOSE(CONTROL!$C$38, 0.0369, 0)</f>
        <v>61.853700000000003</v>
      </c>
      <c r="F905" s="27">
        <f>61.8168 * CHOOSE(CONTROL!$C$15, $E$9, 100%, $G$9) + CHOOSE(CONTROL!$C$38, 0.0278, 0)</f>
        <v>61.8446</v>
      </c>
      <c r="G905" s="10">
        <f>57.1436 * CHOOSE(CONTROL!$C$15, $E$9, 100%, $G$9) + CHOOSE(CONTROL!$C$38, 0.0369, 0)</f>
        <v>57.180500000000002</v>
      </c>
      <c r="H905" s="10">
        <f>57.1436 * CHOOSE(CONTROL!$C$15, $E$9, 100%, $G$9) + CHOOSE(CONTROL!$C$38, 0.0369, 0)</f>
        <v>57.180500000000002</v>
      </c>
      <c r="I905" s="10">
        <f>57.1451 * CHOOSE(CONTROL!$C$15, $E$9, 100%, $G$9) + CHOOSE(CONTROL!$C$38, 0.0369, 0)</f>
        <v>57.182000000000002</v>
      </c>
      <c r="J905" s="26">
        <f>603.4548</f>
        <v>603.45479999999998</v>
      </c>
    </row>
    <row r="906" spans="1:10" ht="15.75" x14ac:dyDescent="0.25">
      <c r="A906" s="13">
        <v>68514</v>
      </c>
      <c r="B906" s="10">
        <f>61.7666 * CHOOSE(CONTROL!$C$15, $E$9, 100%, $G$9) + CHOOSE(CONTROL!$C$38, 0.0278, 0)</f>
        <v>61.794399999999996</v>
      </c>
      <c r="C906" s="10">
        <f>56.9386 * CHOOSE(CONTROL!$C$15, $E$9, 100%, $G$9) + CHOOSE(CONTROL!$C$38, 0.0369, 0)</f>
        <v>56.975500000000004</v>
      </c>
      <c r="D906" s="10">
        <f>56.9308 * CHOOSE(CONTROL!$C$15, $E$9, 100%, $G$9) + CHOOSE(CONTROL!$C$38, 0.0369, 0)</f>
        <v>56.967700000000001</v>
      </c>
      <c r="E906" s="28">
        <f>61.6103 * CHOOSE(CONTROL!$C$15, $E$9, 100%, $G$9) + CHOOSE(CONTROL!$C$38, 0.0369, 0)</f>
        <v>61.647200000000005</v>
      </c>
      <c r="F906" s="27">
        <f>61.6103 * CHOOSE(CONTROL!$C$15, $E$9, 100%, $G$9) + CHOOSE(CONTROL!$C$38, 0.0278, 0)</f>
        <v>61.638100000000001</v>
      </c>
      <c r="G906" s="10">
        <f>56.9371 * CHOOSE(CONTROL!$C$15, $E$9, 100%, $G$9) + CHOOSE(CONTROL!$C$38, 0.0369, 0)</f>
        <v>56.974000000000004</v>
      </c>
      <c r="H906" s="10">
        <f>56.9371 * CHOOSE(CONTROL!$C$15, $E$9, 100%, $G$9) + CHOOSE(CONTROL!$C$38, 0.0369, 0)</f>
        <v>56.974000000000004</v>
      </c>
      <c r="I906" s="10">
        <f>56.9386 * CHOOSE(CONTROL!$C$15, $E$9, 100%, $G$9) + CHOOSE(CONTROL!$C$38, 0.0369, 0)</f>
        <v>56.975500000000004</v>
      </c>
      <c r="J906" s="26">
        <f>600.6327</f>
        <v>600.6327</v>
      </c>
    </row>
    <row r="907" spans="1:10" ht="15.75" x14ac:dyDescent="0.25">
      <c r="A907" s="13">
        <v>68545</v>
      </c>
      <c r="B907" s="10">
        <f>61.8685 * CHOOSE(CONTROL!$C$15, $E$9, 100%, $G$9) + CHOOSE(CONTROL!$C$38, 0.0278, 0)</f>
        <v>61.896299999999997</v>
      </c>
      <c r="C907" s="10">
        <f>57.0406 * CHOOSE(CONTROL!$C$15, $E$9, 100%, $G$9) + CHOOSE(CONTROL!$C$38, 0.0369, 0)</f>
        <v>57.077500000000001</v>
      </c>
      <c r="D907" s="10">
        <f>57.0327 * CHOOSE(CONTROL!$C$15, $E$9, 100%, $G$9) + CHOOSE(CONTROL!$C$38, 0.0369, 0)</f>
        <v>57.069600000000001</v>
      </c>
      <c r="E907" s="28">
        <f>61.7122 * CHOOSE(CONTROL!$C$15, $E$9, 100%, $G$9) + CHOOSE(CONTROL!$C$38, 0.0369, 0)</f>
        <v>61.749100000000006</v>
      </c>
      <c r="F907" s="27">
        <f>61.7122 * CHOOSE(CONTROL!$C$15, $E$9, 100%, $G$9) + CHOOSE(CONTROL!$C$38, 0.0278, 0)</f>
        <v>61.74</v>
      </c>
      <c r="G907" s="10">
        <f>57.039 * CHOOSE(CONTROL!$C$15, $E$9, 100%, $G$9) + CHOOSE(CONTROL!$C$38, 0.0369, 0)</f>
        <v>57.075900000000004</v>
      </c>
      <c r="H907" s="10">
        <f>57.039 * CHOOSE(CONTROL!$C$15, $E$9, 100%, $G$9) + CHOOSE(CONTROL!$C$38, 0.0369, 0)</f>
        <v>57.075900000000004</v>
      </c>
      <c r="I907" s="10">
        <f>57.0406 * CHOOSE(CONTROL!$C$15, $E$9, 100%, $G$9) + CHOOSE(CONTROL!$C$38, 0.0369, 0)</f>
        <v>57.077500000000001</v>
      </c>
      <c r="J907" s="26">
        <f>586.6502</f>
        <v>586.65020000000004</v>
      </c>
    </row>
    <row r="908" spans="1:10" ht="15.75" x14ac:dyDescent="0.25">
      <c r="A908" s="13">
        <v>68575</v>
      </c>
      <c r="B908" s="10">
        <f>62.1453 * CHOOSE(CONTROL!$C$15, $E$9, 100%, $G$9) + CHOOSE(CONTROL!$C$38, 0.0278, 0)</f>
        <v>62.173099999999998</v>
      </c>
      <c r="C908" s="10">
        <f>57.3174 * CHOOSE(CONTROL!$C$15, $E$9, 100%, $G$9) + CHOOSE(CONTROL!$C$38, 0.0369, 0)</f>
        <v>57.354300000000002</v>
      </c>
      <c r="D908" s="10">
        <f>57.3095 * CHOOSE(CONTROL!$C$15, $E$9, 100%, $G$9) + CHOOSE(CONTROL!$C$38, 0.0369, 0)</f>
        <v>57.346400000000003</v>
      </c>
      <c r="E908" s="28">
        <f>61.989 * CHOOSE(CONTROL!$C$15, $E$9, 100%, $G$9) + CHOOSE(CONTROL!$C$38, 0.0369, 0)</f>
        <v>62.0259</v>
      </c>
      <c r="F908" s="27">
        <f>61.989 * CHOOSE(CONTROL!$C$15, $E$9, 100%, $G$9) + CHOOSE(CONTROL!$C$38, 0.0278, 0)</f>
        <v>62.016799999999996</v>
      </c>
      <c r="G908" s="10">
        <f>57.3158 * CHOOSE(CONTROL!$C$15, $E$9, 100%, $G$9) + CHOOSE(CONTROL!$C$38, 0.0369, 0)</f>
        <v>57.352700000000006</v>
      </c>
      <c r="H908" s="10">
        <f>57.3158 * CHOOSE(CONTROL!$C$15, $E$9, 100%, $G$9) + CHOOSE(CONTROL!$C$38, 0.0369, 0)</f>
        <v>57.352700000000006</v>
      </c>
      <c r="I908" s="10">
        <f>57.3174 * CHOOSE(CONTROL!$C$15, $E$9, 100%, $G$9) + CHOOSE(CONTROL!$C$38, 0.0369, 0)</f>
        <v>57.354300000000002</v>
      </c>
      <c r="J908" s="26">
        <f>567.1509</f>
        <v>567.15089999999998</v>
      </c>
    </row>
    <row r="909" spans="1:10" ht="15.75" x14ac:dyDescent="0.25">
      <c r="A909" s="13">
        <v>68606</v>
      </c>
      <c r="B909" s="10">
        <f>62.3771 * CHOOSE(CONTROL!$C$15, $E$9, 100%, $G$9) + CHOOSE(CONTROL!$C$38, 0.0256, 0)</f>
        <v>62.402699999999996</v>
      </c>
      <c r="C909" s="10">
        <f>57.5492 * CHOOSE(CONTROL!$C$15, $E$9, 100%, $G$9) + CHOOSE(CONTROL!$C$38, 0.0347, 0)</f>
        <v>57.5839</v>
      </c>
      <c r="D909" s="10">
        <f>57.5414 * CHOOSE(CONTROL!$C$15, $E$9, 100%, $G$9) + CHOOSE(CONTROL!$C$38, 0.0347, 0)</f>
        <v>57.576100000000004</v>
      </c>
      <c r="E909" s="28">
        <f>62.2208 * CHOOSE(CONTROL!$C$15, $E$9, 100%, $G$9) + CHOOSE(CONTROL!$C$38, 0.0347, 0)</f>
        <v>62.255499999999998</v>
      </c>
      <c r="F909" s="27">
        <f>62.2208 * CHOOSE(CONTROL!$C$15, $E$9, 100%, $G$9) + CHOOSE(CONTROL!$C$38, 0.0256, 0)</f>
        <v>62.246399999999994</v>
      </c>
      <c r="G909" s="10">
        <f>57.5476 * CHOOSE(CONTROL!$C$15, $E$9, 100%, $G$9) + CHOOSE(CONTROL!$C$38, 0.0347, 0)</f>
        <v>57.582300000000004</v>
      </c>
      <c r="H909" s="10">
        <f>57.5476 * CHOOSE(CONTROL!$C$15, $E$9, 100%, $G$9) + CHOOSE(CONTROL!$C$38, 0.0347, 0)</f>
        <v>57.582300000000004</v>
      </c>
      <c r="I909" s="10">
        <f>57.5492 * CHOOSE(CONTROL!$C$15, $E$9, 100%, $G$9) + CHOOSE(CONTROL!$C$38, 0.0347, 0)</f>
        <v>57.5839</v>
      </c>
      <c r="J909" s="26">
        <f>547.5383</f>
        <v>547.53830000000005</v>
      </c>
    </row>
    <row r="910" spans="1:10" ht="15.75" x14ac:dyDescent="0.25">
      <c r="A910" s="13">
        <v>68636</v>
      </c>
      <c r="B910" s="10">
        <f>62.5705 * CHOOSE(CONTROL!$C$15, $E$9, 100%, $G$9) + CHOOSE(CONTROL!$C$38, 0.0256, 0)</f>
        <v>62.5961</v>
      </c>
      <c r="C910" s="10">
        <f>57.7426 * CHOOSE(CONTROL!$C$15, $E$9, 100%, $G$9) + CHOOSE(CONTROL!$C$38, 0.0347, 0)</f>
        <v>57.777300000000004</v>
      </c>
      <c r="D910" s="10">
        <f>57.7348 * CHOOSE(CONTROL!$C$15, $E$9, 100%, $G$9) + CHOOSE(CONTROL!$C$38, 0.0347, 0)</f>
        <v>57.769500000000001</v>
      </c>
      <c r="E910" s="28">
        <f>62.4143 * CHOOSE(CONTROL!$C$15, $E$9, 100%, $G$9) + CHOOSE(CONTROL!$C$38, 0.0347, 0)</f>
        <v>62.448999999999998</v>
      </c>
      <c r="F910" s="27">
        <f>62.4143 * CHOOSE(CONTROL!$C$15, $E$9, 100%, $G$9) + CHOOSE(CONTROL!$C$38, 0.0256, 0)</f>
        <v>62.439899999999994</v>
      </c>
      <c r="G910" s="10">
        <f>57.7411 * CHOOSE(CONTROL!$C$15, $E$9, 100%, $G$9) + CHOOSE(CONTROL!$C$38, 0.0347, 0)</f>
        <v>57.775800000000004</v>
      </c>
      <c r="H910" s="10">
        <f>57.7411 * CHOOSE(CONTROL!$C$15, $E$9, 100%, $G$9) + CHOOSE(CONTROL!$C$38, 0.0347, 0)</f>
        <v>57.775800000000004</v>
      </c>
      <c r="I910" s="10">
        <f>57.7426 * CHOOSE(CONTROL!$C$15, $E$9, 100%, $G$9) + CHOOSE(CONTROL!$C$38, 0.0347, 0)</f>
        <v>57.777300000000004</v>
      </c>
      <c r="J910" s="26">
        <f>543.6369</f>
        <v>543.63689999999997</v>
      </c>
    </row>
    <row r="911" spans="1:10" ht="15.75" x14ac:dyDescent="0.25">
      <c r="A911" s="13">
        <v>68667</v>
      </c>
      <c r="B911" s="10">
        <f>63.1666 * CHOOSE(CONTROL!$C$15, $E$9, 100%, $G$9) + CHOOSE(CONTROL!$C$38, 0.0256, 0)</f>
        <v>63.1922</v>
      </c>
      <c r="C911" s="10">
        <f>58.3387 * CHOOSE(CONTROL!$C$15, $E$9, 100%, $G$9) + CHOOSE(CONTROL!$C$38, 0.0347, 0)</f>
        <v>58.373400000000004</v>
      </c>
      <c r="D911" s="10">
        <f>58.3309 * CHOOSE(CONTROL!$C$15, $E$9, 100%, $G$9) + CHOOSE(CONTROL!$C$38, 0.0347, 0)</f>
        <v>58.365600000000001</v>
      </c>
      <c r="E911" s="28">
        <f>63.0104 * CHOOSE(CONTROL!$C$15, $E$9, 100%, $G$9) + CHOOSE(CONTROL!$C$38, 0.0347, 0)</f>
        <v>63.045099999999998</v>
      </c>
      <c r="F911" s="27">
        <f>63.0104 * CHOOSE(CONTROL!$C$15, $E$9, 100%, $G$9) + CHOOSE(CONTROL!$C$38, 0.0256, 0)</f>
        <v>63.035999999999994</v>
      </c>
      <c r="G911" s="10">
        <f>58.3371 * CHOOSE(CONTROL!$C$15, $E$9, 100%, $G$9) + CHOOSE(CONTROL!$C$38, 0.0347, 0)</f>
        <v>58.3718</v>
      </c>
      <c r="H911" s="10">
        <f>58.3371 * CHOOSE(CONTROL!$C$15, $E$9, 100%, $G$9) + CHOOSE(CONTROL!$C$38, 0.0347, 0)</f>
        <v>58.3718</v>
      </c>
      <c r="I911" s="10">
        <f>58.3387 * CHOOSE(CONTROL!$C$15, $E$9, 100%, $G$9) + CHOOSE(CONTROL!$C$38, 0.0347, 0)</f>
        <v>58.373400000000004</v>
      </c>
      <c r="J911" s="26">
        <f>527.5045</f>
        <v>527.50450000000001</v>
      </c>
    </row>
    <row r="912" spans="1:10" ht="15.75" x14ac:dyDescent="0.25">
      <c r="A912" s="13">
        <v>68698</v>
      </c>
      <c r="B912" s="10">
        <f>64.6536 * CHOOSE(CONTROL!$C$15, $E$9, 100%, $G$9) + CHOOSE(CONTROL!$C$38, 0.0256, 0)</f>
        <v>64.679199999999994</v>
      </c>
      <c r="C912" s="10">
        <f>59.7491 * CHOOSE(CONTROL!$C$15, $E$9, 100%, $G$9) + CHOOSE(CONTROL!$C$38, 0.0347, 0)</f>
        <v>59.783799999999999</v>
      </c>
      <c r="D912" s="10">
        <f>59.7413 * CHOOSE(CONTROL!$C$15, $E$9, 100%, $G$9) + CHOOSE(CONTROL!$C$38, 0.0347, 0)</f>
        <v>59.776000000000003</v>
      </c>
      <c r="E912" s="28">
        <f>64.4974 * CHOOSE(CONTROL!$C$15, $E$9, 100%, $G$9) + CHOOSE(CONTROL!$C$38, 0.0347, 0)</f>
        <v>64.5321</v>
      </c>
      <c r="F912" s="27">
        <f>64.4974 * CHOOSE(CONTROL!$C$15, $E$9, 100%, $G$9) + CHOOSE(CONTROL!$C$38, 0.0256, 0)</f>
        <v>64.522999999999996</v>
      </c>
      <c r="G912" s="10">
        <f>59.7475 * CHOOSE(CONTROL!$C$15, $E$9, 100%, $G$9) + CHOOSE(CONTROL!$C$38, 0.0347, 0)</f>
        <v>59.782200000000003</v>
      </c>
      <c r="H912" s="10">
        <f>59.7475 * CHOOSE(CONTROL!$C$15, $E$9, 100%, $G$9) + CHOOSE(CONTROL!$C$38, 0.0347, 0)</f>
        <v>59.782200000000003</v>
      </c>
      <c r="I912" s="10">
        <f>59.7491 * CHOOSE(CONTROL!$C$15, $E$9, 100%, $G$9) + CHOOSE(CONTROL!$C$38, 0.0347, 0)</f>
        <v>59.783799999999999</v>
      </c>
      <c r="J912" s="26">
        <f>526.497</f>
        <v>526.49699999999996</v>
      </c>
    </row>
    <row r="913" spans="1:10" ht="15.75" x14ac:dyDescent="0.25">
      <c r="A913" s="13">
        <v>68727</v>
      </c>
      <c r="B913" s="10">
        <f>64.8744 * CHOOSE(CONTROL!$C$15, $E$9, 100%, $G$9) + CHOOSE(CONTROL!$C$38, 0.0256, 0)</f>
        <v>64.899999999999991</v>
      </c>
      <c r="C913" s="10">
        <f>59.9699 * CHOOSE(CONTROL!$C$15, $E$9, 100%, $G$9) + CHOOSE(CONTROL!$C$38, 0.0347, 0)</f>
        <v>60.004600000000003</v>
      </c>
      <c r="D913" s="10">
        <f>59.9621 * CHOOSE(CONTROL!$C$15, $E$9, 100%, $G$9) + CHOOSE(CONTROL!$C$38, 0.0347, 0)</f>
        <v>59.9968</v>
      </c>
      <c r="E913" s="28">
        <f>64.7181 * CHOOSE(CONTROL!$C$15, $E$9, 100%, $G$9) + CHOOSE(CONTROL!$C$38, 0.0347, 0)</f>
        <v>64.752800000000008</v>
      </c>
      <c r="F913" s="27">
        <f>64.7181 * CHOOSE(CONTROL!$C$15, $E$9, 100%, $G$9) + CHOOSE(CONTROL!$C$38, 0.0256, 0)</f>
        <v>64.743700000000004</v>
      </c>
      <c r="G913" s="10">
        <f>59.9683 * CHOOSE(CONTROL!$C$15, $E$9, 100%, $G$9) + CHOOSE(CONTROL!$C$38, 0.0347, 0)</f>
        <v>60.003</v>
      </c>
      <c r="H913" s="10">
        <f>59.9683 * CHOOSE(CONTROL!$C$15, $E$9, 100%, $G$9) + CHOOSE(CONTROL!$C$38, 0.0347, 0)</f>
        <v>60.003</v>
      </c>
      <c r="I913" s="10">
        <f>59.9699 * CHOOSE(CONTROL!$C$15, $E$9, 100%, $G$9) + CHOOSE(CONTROL!$C$38, 0.0347, 0)</f>
        <v>60.004600000000003</v>
      </c>
      <c r="J913" s="26">
        <f>525.0336</f>
        <v>525.03359999999998</v>
      </c>
    </row>
    <row r="914" spans="1:10" ht="15.75" x14ac:dyDescent="0.25">
      <c r="A914" s="13">
        <v>68758</v>
      </c>
      <c r="B914" s="10">
        <f>64.3634 * CHOOSE(CONTROL!$C$15, $E$9, 100%, $G$9) + CHOOSE(CONTROL!$C$38, 0.0256, 0)</f>
        <v>64.388999999999996</v>
      </c>
      <c r="C914" s="10">
        <f>59.4588 * CHOOSE(CONTROL!$C$15, $E$9, 100%, $G$9) + CHOOSE(CONTROL!$C$38, 0.0347, 0)</f>
        <v>59.493499999999997</v>
      </c>
      <c r="D914" s="10">
        <f>59.451 * CHOOSE(CONTROL!$C$15, $E$9, 100%, $G$9) + CHOOSE(CONTROL!$C$38, 0.0347, 0)</f>
        <v>59.485700000000001</v>
      </c>
      <c r="E914" s="28">
        <f>64.2071 * CHOOSE(CONTROL!$C$15, $E$9, 100%, $G$9) + CHOOSE(CONTROL!$C$38, 0.0347, 0)</f>
        <v>64.241799999999998</v>
      </c>
      <c r="F914" s="27">
        <f>64.2071 * CHOOSE(CONTROL!$C$15, $E$9, 100%, $G$9) + CHOOSE(CONTROL!$C$38, 0.0256, 0)</f>
        <v>64.232699999999994</v>
      </c>
      <c r="G914" s="10">
        <f>59.4573 * CHOOSE(CONTROL!$C$15, $E$9, 100%, $G$9) + CHOOSE(CONTROL!$C$38, 0.0347, 0)</f>
        <v>59.491999999999997</v>
      </c>
      <c r="H914" s="10">
        <f>59.4573 * CHOOSE(CONTROL!$C$15, $E$9, 100%, $G$9) + CHOOSE(CONTROL!$C$38, 0.0347, 0)</f>
        <v>59.491999999999997</v>
      </c>
      <c r="I914" s="10">
        <f>59.4588 * CHOOSE(CONTROL!$C$15, $E$9, 100%, $G$9) + CHOOSE(CONTROL!$C$38, 0.0347, 0)</f>
        <v>59.493499999999997</v>
      </c>
      <c r="J914" s="26">
        <f>552.7059</f>
        <v>552.70590000000004</v>
      </c>
    </row>
    <row r="915" spans="1:10" ht="15.75" x14ac:dyDescent="0.25">
      <c r="A915" s="13">
        <v>68788</v>
      </c>
      <c r="B915" s="10">
        <f>63.8682 * CHOOSE(CONTROL!$C$15, $E$9, 100%, $G$9) + CHOOSE(CONTROL!$C$38, 0.0256, 0)</f>
        <v>63.893799999999999</v>
      </c>
      <c r="C915" s="10">
        <f>58.9637 * CHOOSE(CONTROL!$C$15, $E$9, 100%, $G$9) + CHOOSE(CONTROL!$C$38, 0.0347, 0)</f>
        <v>58.998400000000004</v>
      </c>
      <c r="D915" s="10">
        <f>58.9558 * CHOOSE(CONTROL!$C$15, $E$9, 100%, $G$9) + CHOOSE(CONTROL!$C$38, 0.0347, 0)</f>
        <v>58.990500000000004</v>
      </c>
      <c r="E915" s="28">
        <f>63.7119 * CHOOSE(CONTROL!$C$15, $E$9, 100%, $G$9) + CHOOSE(CONTROL!$C$38, 0.0347, 0)</f>
        <v>63.746600000000001</v>
      </c>
      <c r="F915" s="27">
        <f>63.7119 * CHOOSE(CONTROL!$C$15, $E$9, 100%, $G$9) + CHOOSE(CONTROL!$C$38, 0.0256, 0)</f>
        <v>63.737499999999997</v>
      </c>
      <c r="G915" s="10">
        <f>58.9621 * CHOOSE(CONTROL!$C$15, $E$9, 100%, $G$9) + CHOOSE(CONTROL!$C$38, 0.0347, 0)</f>
        <v>58.9968</v>
      </c>
      <c r="H915" s="10">
        <f>58.9621 * CHOOSE(CONTROL!$C$15, $E$9, 100%, $G$9) + CHOOSE(CONTROL!$C$38, 0.0347, 0)</f>
        <v>58.9968</v>
      </c>
      <c r="I915" s="10">
        <f>58.9637 * CHOOSE(CONTROL!$C$15, $E$9, 100%, $G$9) + CHOOSE(CONTROL!$C$38, 0.0347, 0)</f>
        <v>58.998400000000004</v>
      </c>
      <c r="J915" s="26">
        <f>588.5902</f>
        <v>588.59019999999998</v>
      </c>
    </row>
    <row r="916" spans="1:10" ht="15.75" x14ac:dyDescent="0.25">
      <c r="A916" s="13">
        <v>68819</v>
      </c>
      <c r="B916" s="10">
        <f>63.3521 * CHOOSE(CONTROL!$C$15, $E$9, 100%, $G$9) + CHOOSE(CONTROL!$C$38, 0.0278, 0)</f>
        <v>63.379899999999999</v>
      </c>
      <c r="C916" s="10">
        <f>58.4475 * CHOOSE(CONTROL!$C$15, $E$9, 100%, $G$9) + CHOOSE(CONTROL!$C$38, 0.0369, 0)</f>
        <v>58.484400000000001</v>
      </c>
      <c r="D916" s="10">
        <f>58.4397 * CHOOSE(CONTROL!$C$15, $E$9, 100%, $G$9) + CHOOSE(CONTROL!$C$38, 0.0369, 0)</f>
        <v>58.476600000000005</v>
      </c>
      <c r="E916" s="28">
        <f>63.1958 * CHOOSE(CONTROL!$C$15, $E$9, 100%, $G$9) + CHOOSE(CONTROL!$C$38, 0.0369, 0)</f>
        <v>63.232700000000001</v>
      </c>
      <c r="F916" s="27">
        <f>63.1958 * CHOOSE(CONTROL!$C$15, $E$9, 100%, $G$9) + CHOOSE(CONTROL!$C$38, 0.0278, 0)</f>
        <v>63.223599999999998</v>
      </c>
      <c r="G916" s="10">
        <f>58.446 * CHOOSE(CONTROL!$C$15, $E$9, 100%, $G$9) + CHOOSE(CONTROL!$C$38, 0.0369, 0)</f>
        <v>58.482900000000001</v>
      </c>
      <c r="H916" s="10">
        <f>58.446 * CHOOSE(CONTROL!$C$15, $E$9, 100%, $G$9) + CHOOSE(CONTROL!$C$38, 0.0369, 0)</f>
        <v>58.482900000000001</v>
      </c>
      <c r="I916" s="10">
        <f>58.4475 * CHOOSE(CONTROL!$C$15, $E$9, 100%, $G$9) + CHOOSE(CONTROL!$C$38, 0.0369, 0)</f>
        <v>58.484400000000001</v>
      </c>
      <c r="J916" s="26">
        <f>608.3421</f>
        <v>608.34209999999996</v>
      </c>
    </row>
    <row r="917" spans="1:10" ht="15.75" x14ac:dyDescent="0.25">
      <c r="A917" s="13">
        <v>68849</v>
      </c>
      <c r="B917" s="10">
        <f>62.9902 * CHOOSE(CONTROL!$C$15, $E$9, 100%, $G$9) + CHOOSE(CONTROL!$C$38, 0.0278, 0)</f>
        <v>63.018000000000001</v>
      </c>
      <c r="C917" s="10">
        <f>58.0857 * CHOOSE(CONTROL!$C$15, $E$9, 100%, $G$9) + CHOOSE(CONTROL!$C$38, 0.0369, 0)</f>
        <v>58.122600000000006</v>
      </c>
      <c r="D917" s="10">
        <f>58.0779 * CHOOSE(CONTROL!$C$15, $E$9, 100%, $G$9) + CHOOSE(CONTROL!$C$38, 0.0369, 0)</f>
        <v>58.114800000000002</v>
      </c>
      <c r="E917" s="28">
        <f>62.834 * CHOOSE(CONTROL!$C$15, $E$9, 100%, $G$9) + CHOOSE(CONTROL!$C$38, 0.0369, 0)</f>
        <v>62.870900000000006</v>
      </c>
      <c r="F917" s="27">
        <f>62.834 * CHOOSE(CONTROL!$C$15, $E$9, 100%, $G$9) + CHOOSE(CONTROL!$C$38, 0.0278, 0)</f>
        <v>62.861800000000002</v>
      </c>
      <c r="G917" s="10">
        <f>58.0842 * CHOOSE(CONTROL!$C$15, $E$9, 100%, $G$9) + CHOOSE(CONTROL!$C$38, 0.0369, 0)</f>
        <v>58.121100000000006</v>
      </c>
      <c r="H917" s="10">
        <f>58.0842 * CHOOSE(CONTROL!$C$15, $E$9, 100%, $G$9) + CHOOSE(CONTROL!$C$38, 0.0369, 0)</f>
        <v>58.121100000000006</v>
      </c>
      <c r="I917" s="10">
        <f>58.0857 * CHOOSE(CONTROL!$C$15, $E$9, 100%, $G$9) + CHOOSE(CONTROL!$C$38, 0.0369, 0)</f>
        <v>58.122600000000006</v>
      </c>
      <c r="J917" s="26">
        <f>617.1077</f>
        <v>617.10770000000002</v>
      </c>
    </row>
    <row r="918" spans="1:10" ht="15.75" x14ac:dyDescent="0.25">
      <c r="A918" s="13">
        <v>68880</v>
      </c>
      <c r="B918" s="10">
        <f>62.7837 * CHOOSE(CONTROL!$C$15, $E$9, 100%, $G$9) + CHOOSE(CONTROL!$C$38, 0.0278, 0)</f>
        <v>62.811500000000002</v>
      </c>
      <c r="C918" s="10">
        <f>57.8792 * CHOOSE(CONTROL!$C$15, $E$9, 100%, $G$9) + CHOOSE(CONTROL!$C$38, 0.0369, 0)</f>
        <v>57.9161</v>
      </c>
      <c r="D918" s="10">
        <f>57.8714 * CHOOSE(CONTROL!$C$15, $E$9, 100%, $G$9) + CHOOSE(CONTROL!$C$38, 0.0369, 0)</f>
        <v>57.908300000000004</v>
      </c>
      <c r="E918" s="28">
        <f>62.6275 * CHOOSE(CONTROL!$C$15, $E$9, 100%, $G$9) + CHOOSE(CONTROL!$C$38, 0.0369, 0)</f>
        <v>62.664400000000001</v>
      </c>
      <c r="F918" s="27">
        <f>62.6275 * CHOOSE(CONTROL!$C$15, $E$9, 100%, $G$9) + CHOOSE(CONTROL!$C$38, 0.0278, 0)</f>
        <v>62.655299999999997</v>
      </c>
      <c r="G918" s="10">
        <f>57.8777 * CHOOSE(CONTROL!$C$15, $E$9, 100%, $G$9) + CHOOSE(CONTROL!$C$38, 0.0369, 0)</f>
        <v>57.9146</v>
      </c>
      <c r="H918" s="10">
        <f>57.8777 * CHOOSE(CONTROL!$C$15, $E$9, 100%, $G$9) + CHOOSE(CONTROL!$C$38, 0.0369, 0)</f>
        <v>57.9146</v>
      </c>
      <c r="I918" s="10">
        <f>57.8792 * CHOOSE(CONTROL!$C$15, $E$9, 100%, $G$9) + CHOOSE(CONTROL!$C$38, 0.0369, 0)</f>
        <v>57.9161</v>
      </c>
      <c r="J918" s="26">
        <f>614.2217</f>
        <v>614.22170000000006</v>
      </c>
    </row>
    <row r="919" spans="1:10" ht="15.75" x14ac:dyDescent="0.25">
      <c r="A919" s="13">
        <v>68911</v>
      </c>
      <c r="B919" s="10">
        <f>62.8856 * CHOOSE(CONTROL!$C$15, $E$9, 100%, $G$9) + CHOOSE(CONTROL!$C$38, 0.0278, 0)</f>
        <v>62.913399999999996</v>
      </c>
      <c r="C919" s="10">
        <f>57.9811 * CHOOSE(CONTROL!$C$15, $E$9, 100%, $G$9) + CHOOSE(CONTROL!$C$38, 0.0369, 0)</f>
        <v>58.018000000000001</v>
      </c>
      <c r="D919" s="10">
        <f>57.9733 * CHOOSE(CONTROL!$C$15, $E$9, 100%, $G$9) + CHOOSE(CONTROL!$C$38, 0.0369, 0)</f>
        <v>58.010200000000005</v>
      </c>
      <c r="E919" s="28">
        <f>62.7294 * CHOOSE(CONTROL!$C$15, $E$9, 100%, $G$9) + CHOOSE(CONTROL!$C$38, 0.0369, 0)</f>
        <v>62.766300000000001</v>
      </c>
      <c r="F919" s="27">
        <f>62.7294 * CHOOSE(CONTROL!$C$15, $E$9, 100%, $G$9) + CHOOSE(CONTROL!$C$38, 0.0278, 0)</f>
        <v>62.757199999999997</v>
      </c>
      <c r="G919" s="10">
        <f>57.9796 * CHOOSE(CONTROL!$C$15, $E$9, 100%, $G$9) + CHOOSE(CONTROL!$C$38, 0.0369, 0)</f>
        <v>58.016500000000001</v>
      </c>
      <c r="H919" s="10">
        <f>57.9796 * CHOOSE(CONTROL!$C$15, $E$9, 100%, $G$9) + CHOOSE(CONTROL!$C$38, 0.0369, 0)</f>
        <v>58.016500000000001</v>
      </c>
      <c r="I919" s="10">
        <f>57.9811 * CHOOSE(CONTROL!$C$15, $E$9, 100%, $G$9) + CHOOSE(CONTROL!$C$38, 0.0369, 0)</f>
        <v>58.018000000000001</v>
      </c>
      <c r="J919" s="26">
        <f>599.9228</f>
        <v>599.92280000000005</v>
      </c>
    </row>
    <row r="920" spans="1:10" ht="15.75" x14ac:dyDescent="0.25">
      <c r="A920" s="13">
        <v>68941</v>
      </c>
      <c r="B920" s="10">
        <f>63.1624 * CHOOSE(CONTROL!$C$15, $E$9, 100%, $G$9) + CHOOSE(CONTROL!$C$38, 0.0278, 0)</f>
        <v>63.190199999999997</v>
      </c>
      <c r="C920" s="10">
        <f>58.2579 * CHOOSE(CONTROL!$C$15, $E$9, 100%, $G$9) + CHOOSE(CONTROL!$C$38, 0.0369, 0)</f>
        <v>58.294800000000002</v>
      </c>
      <c r="D920" s="10">
        <f>58.2501 * CHOOSE(CONTROL!$C$15, $E$9, 100%, $G$9) + CHOOSE(CONTROL!$C$38, 0.0369, 0)</f>
        <v>58.287000000000006</v>
      </c>
      <c r="E920" s="28">
        <f>63.0062 * CHOOSE(CONTROL!$C$15, $E$9, 100%, $G$9) + CHOOSE(CONTROL!$C$38, 0.0369, 0)</f>
        <v>63.043100000000003</v>
      </c>
      <c r="F920" s="27">
        <f>63.0062 * CHOOSE(CONTROL!$C$15, $E$9, 100%, $G$9) + CHOOSE(CONTROL!$C$38, 0.0278, 0)</f>
        <v>63.033999999999999</v>
      </c>
      <c r="G920" s="10">
        <f>58.2564 * CHOOSE(CONTROL!$C$15, $E$9, 100%, $G$9) + CHOOSE(CONTROL!$C$38, 0.0369, 0)</f>
        <v>58.293300000000002</v>
      </c>
      <c r="H920" s="10">
        <f>58.2564 * CHOOSE(CONTROL!$C$15, $E$9, 100%, $G$9) + CHOOSE(CONTROL!$C$38, 0.0369, 0)</f>
        <v>58.293300000000002</v>
      </c>
      <c r="I920" s="10">
        <f>58.2579 * CHOOSE(CONTROL!$C$15, $E$9, 100%, $G$9) + CHOOSE(CONTROL!$C$38, 0.0369, 0)</f>
        <v>58.294800000000002</v>
      </c>
      <c r="J920" s="26">
        <f>579.9824</f>
        <v>579.98239999999998</v>
      </c>
    </row>
    <row r="921" spans="1:10" ht="15.75" x14ac:dyDescent="0.25">
      <c r="A921" s="13">
        <v>68972</v>
      </c>
      <c r="B921" s="10">
        <f>63.3943 * CHOOSE(CONTROL!$C$15, $E$9, 100%, $G$9) + CHOOSE(CONTROL!$C$38, 0.0256, 0)</f>
        <v>63.419899999999998</v>
      </c>
      <c r="C921" s="10">
        <f>58.4898 * CHOOSE(CONTROL!$C$15, $E$9, 100%, $G$9) + CHOOSE(CONTROL!$C$38, 0.0347, 0)</f>
        <v>58.524500000000003</v>
      </c>
      <c r="D921" s="10">
        <f>58.4819 * CHOOSE(CONTROL!$C$15, $E$9, 100%, $G$9) + CHOOSE(CONTROL!$C$38, 0.0347, 0)</f>
        <v>58.516600000000004</v>
      </c>
      <c r="E921" s="28">
        <f>63.238 * CHOOSE(CONTROL!$C$15, $E$9, 100%, $G$9) + CHOOSE(CONTROL!$C$38, 0.0347, 0)</f>
        <v>63.2727</v>
      </c>
      <c r="F921" s="27">
        <f>63.238 * CHOOSE(CONTROL!$C$15, $E$9, 100%, $G$9) + CHOOSE(CONTROL!$C$38, 0.0256, 0)</f>
        <v>63.263599999999997</v>
      </c>
      <c r="G921" s="10">
        <f>58.4882 * CHOOSE(CONTROL!$C$15, $E$9, 100%, $G$9) + CHOOSE(CONTROL!$C$38, 0.0347, 0)</f>
        <v>58.5229</v>
      </c>
      <c r="H921" s="10">
        <f>58.4882 * CHOOSE(CONTROL!$C$15, $E$9, 100%, $G$9) + CHOOSE(CONTROL!$C$38, 0.0347, 0)</f>
        <v>58.5229</v>
      </c>
      <c r="I921" s="10">
        <f>58.4898 * CHOOSE(CONTROL!$C$15, $E$9, 100%, $G$9) + CHOOSE(CONTROL!$C$38, 0.0347, 0)</f>
        <v>58.524500000000003</v>
      </c>
      <c r="J921" s="26">
        <f>559.9261</f>
        <v>559.92610000000002</v>
      </c>
    </row>
    <row r="922" spans="1:10" ht="15.75" x14ac:dyDescent="0.25">
      <c r="A922" s="13">
        <v>69002</v>
      </c>
      <c r="B922" s="10">
        <f>63.5877 * CHOOSE(CONTROL!$C$15, $E$9, 100%, $G$9) + CHOOSE(CONTROL!$C$38, 0.0256, 0)</f>
        <v>63.613299999999995</v>
      </c>
      <c r="C922" s="10">
        <f>58.6832 * CHOOSE(CONTROL!$C$15, $E$9, 100%, $G$9) + CHOOSE(CONTROL!$C$38, 0.0347, 0)</f>
        <v>58.7179</v>
      </c>
      <c r="D922" s="10">
        <f>58.6754 * CHOOSE(CONTROL!$C$15, $E$9, 100%, $G$9) + CHOOSE(CONTROL!$C$38, 0.0347, 0)</f>
        <v>58.710100000000004</v>
      </c>
      <c r="E922" s="28">
        <f>63.4315 * CHOOSE(CONTROL!$C$15, $E$9, 100%, $G$9) + CHOOSE(CONTROL!$C$38, 0.0347, 0)</f>
        <v>63.466200000000001</v>
      </c>
      <c r="F922" s="27">
        <f>63.4315 * CHOOSE(CONTROL!$C$15, $E$9, 100%, $G$9) + CHOOSE(CONTROL!$C$38, 0.0256, 0)</f>
        <v>63.457099999999997</v>
      </c>
      <c r="G922" s="10">
        <f>58.6816 * CHOOSE(CONTROL!$C$15, $E$9, 100%, $G$9) + CHOOSE(CONTROL!$C$38, 0.0347, 0)</f>
        <v>58.716300000000004</v>
      </c>
      <c r="H922" s="10">
        <f>58.6816 * CHOOSE(CONTROL!$C$15, $E$9, 100%, $G$9) + CHOOSE(CONTROL!$C$38, 0.0347, 0)</f>
        <v>58.716300000000004</v>
      </c>
      <c r="I922" s="10">
        <f>58.6832 * CHOOSE(CONTROL!$C$15, $E$9, 100%, $G$9) + CHOOSE(CONTROL!$C$38, 0.0347, 0)</f>
        <v>58.7179</v>
      </c>
      <c r="J922" s="26">
        <f>555.9364</f>
        <v>555.93640000000005</v>
      </c>
    </row>
    <row r="923" spans="1:10" ht="15.75" x14ac:dyDescent="0.25">
      <c r="A923" s="13">
        <v>69033</v>
      </c>
      <c r="B923" s="10">
        <f>64.1838 * CHOOSE(CONTROL!$C$15, $E$9, 100%, $G$9) + CHOOSE(CONTROL!$C$38, 0.0256, 0)</f>
        <v>64.209400000000002</v>
      </c>
      <c r="C923" s="10">
        <f>59.2793 * CHOOSE(CONTROL!$C$15, $E$9, 100%, $G$9) + CHOOSE(CONTROL!$C$38, 0.0347, 0)</f>
        <v>59.314</v>
      </c>
      <c r="D923" s="10">
        <f>59.2715 * CHOOSE(CONTROL!$C$15, $E$9, 100%, $G$9) + CHOOSE(CONTROL!$C$38, 0.0347, 0)</f>
        <v>59.306200000000004</v>
      </c>
      <c r="E923" s="28">
        <f>64.0275 * CHOOSE(CONTROL!$C$15, $E$9, 100%, $G$9) + CHOOSE(CONTROL!$C$38, 0.0347, 0)</f>
        <v>64.062200000000004</v>
      </c>
      <c r="F923" s="27">
        <f>64.0275 * CHOOSE(CONTROL!$C$15, $E$9, 100%, $G$9) + CHOOSE(CONTROL!$C$38, 0.0256, 0)</f>
        <v>64.053100000000001</v>
      </c>
      <c r="G923" s="10">
        <f>59.2777 * CHOOSE(CONTROL!$C$15, $E$9, 100%, $G$9) + CHOOSE(CONTROL!$C$38, 0.0347, 0)</f>
        <v>59.312400000000004</v>
      </c>
      <c r="H923" s="10">
        <f>59.2777 * CHOOSE(CONTROL!$C$15, $E$9, 100%, $G$9) + CHOOSE(CONTROL!$C$38, 0.0347, 0)</f>
        <v>59.312400000000004</v>
      </c>
      <c r="I923" s="10">
        <f>59.2793 * CHOOSE(CONTROL!$C$15, $E$9, 100%, $G$9) + CHOOSE(CONTROL!$C$38, 0.0347, 0)</f>
        <v>59.314</v>
      </c>
      <c r="J923" s="26">
        <f>539.439</f>
        <v>539.43899999999996</v>
      </c>
    </row>
    <row r="924" spans="1:10" ht="15.75" x14ac:dyDescent="0.25">
      <c r="A924" s="13">
        <v>69064</v>
      </c>
      <c r="B924" s="10">
        <f>65.6875 * CHOOSE(CONTROL!$C$15, $E$9, 100%, $G$9) + CHOOSE(CONTROL!$C$38, 0.0256, 0)</f>
        <v>65.713099999999997</v>
      </c>
      <c r="C924" s="10">
        <f>60.7051 * CHOOSE(CONTROL!$C$15, $E$9, 100%, $G$9) + CHOOSE(CONTROL!$C$38, 0.0347, 0)</f>
        <v>60.739800000000002</v>
      </c>
      <c r="D924" s="10">
        <f>60.6973 * CHOOSE(CONTROL!$C$15, $E$9, 100%, $G$9) + CHOOSE(CONTROL!$C$38, 0.0347, 0)</f>
        <v>60.731999999999999</v>
      </c>
      <c r="E924" s="28">
        <f>65.5312 * CHOOSE(CONTROL!$C$15, $E$9, 100%, $G$9) + CHOOSE(CONTROL!$C$38, 0.0347, 0)</f>
        <v>65.565899999999999</v>
      </c>
      <c r="F924" s="27">
        <f>65.5312 * CHOOSE(CONTROL!$C$15, $E$9, 100%, $G$9) + CHOOSE(CONTROL!$C$38, 0.0256, 0)</f>
        <v>65.556799999999996</v>
      </c>
      <c r="G924" s="10">
        <f>60.7035 * CHOOSE(CONTROL!$C$15, $E$9, 100%, $G$9) + CHOOSE(CONTROL!$C$38, 0.0347, 0)</f>
        <v>60.738199999999999</v>
      </c>
      <c r="H924" s="10">
        <f>60.7035 * CHOOSE(CONTROL!$C$15, $E$9, 100%, $G$9) + CHOOSE(CONTROL!$C$38, 0.0347, 0)</f>
        <v>60.738199999999999</v>
      </c>
      <c r="I924" s="10">
        <f>60.7051 * CHOOSE(CONTROL!$C$15, $E$9, 100%, $G$9) + CHOOSE(CONTROL!$C$38, 0.0347, 0)</f>
        <v>60.739800000000002</v>
      </c>
      <c r="J924" s="26">
        <f>538.4088</f>
        <v>538.40880000000004</v>
      </c>
    </row>
    <row r="925" spans="1:10" ht="15.75" x14ac:dyDescent="0.25">
      <c r="A925" s="13">
        <v>69092</v>
      </c>
      <c r="B925" s="10">
        <f>65.9082 * CHOOSE(CONTROL!$C$15, $E$9, 100%, $G$9) + CHOOSE(CONTROL!$C$38, 0.0256, 0)</f>
        <v>65.933799999999991</v>
      </c>
      <c r="C925" s="10">
        <f>60.9259 * CHOOSE(CONTROL!$C$15, $E$9, 100%, $G$9) + CHOOSE(CONTROL!$C$38, 0.0347, 0)</f>
        <v>60.960599999999999</v>
      </c>
      <c r="D925" s="10">
        <f>60.9181 * CHOOSE(CONTROL!$C$15, $E$9, 100%, $G$9) + CHOOSE(CONTROL!$C$38, 0.0347, 0)</f>
        <v>60.952800000000003</v>
      </c>
      <c r="E925" s="28">
        <f>65.752 * CHOOSE(CONTROL!$C$15, $E$9, 100%, $G$9) + CHOOSE(CONTROL!$C$38, 0.0347, 0)</f>
        <v>65.786699999999996</v>
      </c>
      <c r="F925" s="27">
        <f>65.752 * CHOOSE(CONTROL!$C$15, $E$9, 100%, $G$9) + CHOOSE(CONTROL!$C$38, 0.0256, 0)</f>
        <v>65.777599999999993</v>
      </c>
      <c r="G925" s="10">
        <f>60.9243 * CHOOSE(CONTROL!$C$15, $E$9, 100%, $G$9) + CHOOSE(CONTROL!$C$38, 0.0347, 0)</f>
        <v>60.959000000000003</v>
      </c>
      <c r="H925" s="10">
        <f>60.9243 * CHOOSE(CONTROL!$C$15, $E$9, 100%, $G$9) + CHOOSE(CONTROL!$C$38, 0.0347, 0)</f>
        <v>60.959000000000003</v>
      </c>
      <c r="I925" s="10">
        <f>60.9259 * CHOOSE(CONTROL!$C$15, $E$9, 100%, $G$9) + CHOOSE(CONTROL!$C$38, 0.0347, 0)</f>
        <v>60.960599999999999</v>
      </c>
      <c r="J925" s="26">
        <f>536.9122</f>
        <v>536.91219999999998</v>
      </c>
    </row>
    <row r="926" spans="1:10" ht="15.75" x14ac:dyDescent="0.25">
      <c r="A926" s="13">
        <v>69123</v>
      </c>
      <c r="B926" s="10">
        <f>65.3972 * CHOOSE(CONTROL!$C$15, $E$9, 100%, $G$9) + CHOOSE(CONTROL!$C$38, 0.0256, 0)</f>
        <v>65.422799999999995</v>
      </c>
      <c r="C926" s="10">
        <f>60.4148 * CHOOSE(CONTROL!$C$15, $E$9, 100%, $G$9) + CHOOSE(CONTROL!$C$38, 0.0347, 0)</f>
        <v>60.4495</v>
      </c>
      <c r="D926" s="10">
        <f>60.407 * CHOOSE(CONTROL!$C$15, $E$9, 100%, $G$9) + CHOOSE(CONTROL!$C$38, 0.0347, 0)</f>
        <v>60.441699999999997</v>
      </c>
      <c r="E926" s="28">
        <f>65.241 * CHOOSE(CONTROL!$C$15, $E$9, 100%, $G$9) + CHOOSE(CONTROL!$C$38, 0.0347, 0)</f>
        <v>65.275700000000001</v>
      </c>
      <c r="F926" s="27">
        <f>65.241 * CHOOSE(CONTROL!$C$15, $E$9, 100%, $G$9) + CHOOSE(CONTROL!$C$38, 0.0256, 0)</f>
        <v>65.266599999999997</v>
      </c>
      <c r="G926" s="10">
        <f>60.4133 * CHOOSE(CONTROL!$C$15, $E$9, 100%, $G$9) + CHOOSE(CONTROL!$C$38, 0.0347, 0)</f>
        <v>60.448</v>
      </c>
      <c r="H926" s="10">
        <f>60.4133 * CHOOSE(CONTROL!$C$15, $E$9, 100%, $G$9) + CHOOSE(CONTROL!$C$38, 0.0347, 0)</f>
        <v>60.448</v>
      </c>
      <c r="I926" s="10">
        <f>60.4148 * CHOOSE(CONTROL!$C$15, $E$9, 100%, $G$9) + CHOOSE(CONTROL!$C$38, 0.0347, 0)</f>
        <v>60.4495</v>
      </c>
      <c r="J926" s="26">
        <f>565.2106</f>
        <v>565.2106</v>
      </c>
    </row>
    <row r="927" spans="1:10" ht="15.75" x14ac:dyDescent="0.25">
      <c r="A927" s="13">
        <v>69153</v>
      </c>
      <c r="B927" s="10">
        <f>64.902 * CHOOSE(CONTROL!$C$15, $E$9, 100%, $G$9) + CHOOSE(CONTROL!$C$38, 0.0256, 0)</f>
        <v>64.927599999999998</v>
      </c>
      <c r="C927" s="10">
        <f>59.9197 * CHOOSE(CONTROL!$C$15, $E$9, 100%, $G$9) + CHOOSE(CONTROL!$C$38, 0.0347, 0)</f>
        <v>59.9544</v>
      </c>
      <c r="D927" s="10">
        <f>59.9118 * CHOOSE(CONTROL!$C$15, $E$9, 100%, $G$9) + CHOOSE(CONTROL!$C$38, 0.0347, 0)</f>
        <v>59.9465</v>
      </c>
      <c r="E927" s="28">
        <f>64.7458 * CHOOSE(CONTROL!$C$15, $E$9, 100%, $G$9) + CHOOSE(CONTROL!$C$38, 0.0347, 0)</f>
        <v>64.780500000000004</v>
      </c>
      <c r="F927" s="27">
        <f>64.7458 * CHOOSE(CONTROL!$C$15, $E$9, 100%, $G$9) + CHOOSE(CONTROL!$C$38, 0.0256, 0)</f>
        <v>64.7714</v>
      </c>
      <c r="G927" s="10">
        <f>59.9181 * CHOOSE(CONTROL!$C$15, $E$9, 100%, $G$9) + CHOOSE(CONTROL!$C$38, 0.0347, 0)</f>
        <v>59.952800000000003</v>
      </c>
      <c r="H927" s="10">
        <f>59.9181 * CHOOSE(CONTROL!$C$15, $E$9, 100%, $G$9) + CHOOSE(CONTROL!$C$38, 0.0347, 0)</f>
        <v>59.952800000000003</v>
      </c>
      <c r="I927" s="10">
        <f>59.9197 * CHOOSE(CONTROL!$C$15, $E$9, 100%, $G$9) + CHOOSE(CONTROL!$C$38, 0.0347, 0)</f>
        <v>59.9544</v>
      </c>
      <c r="J927" s="26">
        <f>601.9068</f>
        <v>601.90679999999998</v>
      </c>
    </row>
    <row r="928" spans="1:10" ht="15.75" x14ac:dyDescent="0.25">
      <c r="A928" s="13">
        <v>69184</v>
      </c>
      <c r="B928" s="10">
        <f>64.3859 * CHOOSE(CONTROL!$C$15, $E$9, 100%, $G$9) + CHOOSE(CONTROL!$C$38, 0.0278, 0)</f>
        <v>64.413700000000006</v>
      </c>
      <c r="C928" s="10">
        <f>59.4035 * CHOOSE(CONTROL!$C$15, $E$9, 100%, $G$9) + CHOOSE(CONTROL!$C$38, 0.0369, 0)</f>
        <v>59.440400000000004</v>
      </c>
      <c r="D928" s="10">
        <f>59.3957 * CHOOSE(CONTROL!$C$15, $E$9, 100%, $G$9) + CHOOSE(CONTROL!$C$38, 0.0369, 0)</f>
        <v>59.432600000000001</v>
      </c>
      <c r="E928" s="28">
        <f>64.2297 * CHOOSE(CONTROL!$C$15, $E$9, 100%, $G$9) + CHOOSE(CONTROL!$C$38, 0.0369, 0)</f>
        <v>64.266599999999997</v>
      </c>
      <c r="F928" s="27">
        <f>64.2297 * CHOOSE(CONTROL!$C$15, $E$9, 100%, $G$9) + CHOOSE(CONTROL!$C$38, 0.0278, 0)</f>
        <v>64.257499999999993</v>
      </c>
      <c r="G928" s="10">
        <f>59.402 * CHOOSE(CONTROL!$C$15, $E$9, 100%, $G$9) + CHOOSE(CONTROL!$C$38, 0.0369, 0)</f>
        <v>59.438900000000004</v>
      </c>
      <c r="H928" s="10">
        <f>59.402 * CHOOSE(CONTROL!$C$15, $E$9, 100%, $G$9) + CHOOSE(CONTROL!$C$38, 0.0369, 0)</f>
        <v>59.438900000000004</v>
      </c>
      <c r="I928" s="10">
        <f>59.4035 * CHOOSE(CONTROL!$C$15, $E$9, 100%, $G$9) + CHOOSE(CONTROL!$C$38, 0.0369, 0)</f>
        <v>59.440400000000004</v>
      </c>
      <c r="J928" s="26">
        <f>622.1056</f>
        <v>622.10559999999998</v>
      </c>
    </row>
    <row r="929" spans="1:10" ht="15.75" x14ac:dyDescent="0.25">
      <c r="A929" s="13">
        <v>69214</v>
      </c>
      <c r="B929" s="10">
        <f>64.0241 * CHOOSE(CONTROL!$C$15, $E$9, 100%, $G$9) + CHOOSE(CONTROL!$C$38, 0.0278, 0)</f>
        <v>64.051900000000003</v>
      </c>
      <c r="C929" s="10">
        <f>59.0417 * CHOOSE(CONTROL!$C$15, $E$9, 100%, $G$9) + CHOOSE(CONTROL!$C$38, 0.0369, 0)</f>
        <v>59.078600000000002</v>
      </c>
      <c r="D929" s="10">
        <f>59.0339 * CHOOSE(CONTROL!$C$15, $E$9, 100%, $G$9) + CHOOSE(CONTROL!$C$38, 0.0369, 0)</f>
        <v>59.070800000000006</v>
      </c>
      <c r="E929" s="28">
        <f>63.8678 * CHOOSE(CONTROL!$C$15, $E$9, 100%, $G$9) + CHOOSE(CONTROL!$C$38, 0.0369, 0)</f>
        <v>63.904700000000005</v>
      </c>
      <c r="F929" s="27">
        <f>63.8678 * CHOOSE(CONTROL!$C$15, $E$9, 100%, $G$9) + CHOOSE(CONTROL!$C$38, 0.0278, 0)</f>
        <v>63.895600000000002</v>
      </c>
      <c r="G929" s="10">
        <f>59.0401 * CHOOSE(CONTROL!$C$15, $E$9, 100%, $G$9) + CHOOSE(CONTROL!$C$38, 0.0369, 0)</f>
        <v>59.077000000000005</v>
      </c>
      <c r="H929" s="10">
        <f>59.0401 * CHOOSE(CONTROL!$C$15, $E$9, 100%, $G$9) + CHOOSE(CONTROL!$C$38, 0.0369, 0)</f>
        <v>59.077000000000005</v>
      </c>
      <c r="I929" s="10">
        <f>59.0417 * CHOOSE(CONTROL!$C$15, $E$9, 100%, $G$9) + CHOOSE(CONTROL!$C$38, 0.0369, 0)</f>
        <v>59.078600000000002</v>
      </c>
      <c r="J929" s="26">
        <f>631.0695</f>
        <v>631.06949999999995</v>
      </c>
    </row>
    <row r="930" spans="1:10" ht="15.75" x14ac:dyDescent="0.25">
      <c r="A930" s="13">
        <v>69245</v>
      </c>
      <c r="B930" s="10">
        <f>63.8176 * CHOOSE(CONTROL!$C$15, $E$9, 100%, $G$9) + CHOOSE(CONTROL!$C$38, 0.0278, 0)</f>
        <v>63.845399999999998</v>
      </c>
      <c r="C930" s="10">
        <f>58.8352 * CHOOSE(CONTROL!$C$15, $E$9, 100%, $G$9) + CHOOSE(CONTROL!$C$38, 0.0369, 0)</f>
        <v>58.872100000000003</v>
      </c>
      <c r="D930" s="10">
        <f>58.8274 * CHOOSE(CONTROL!$C$15, $E$9, 100%, $G$9) + CHOOSE(CONTROL!$C$38, 0.0369, 0)</f>
        <v>58.8643</v>
      </c>
      <c r="E930" s="28">
        <f>63.6613 * CHOOSE(CONTROL!$C$15, $E$9, 100%, $G$9) + CHOOSE(CONTROL!$C$38, 0.0369, 0)</f>
        <v>63.6982</v>
      </c>
      <c r="F930" s="27">
        <f>63.6613 * CHOOSE(CONTROL!$C$15, $E$9, 100%, $G$9) + CHOOSE(CONTROL!$C$38, 0.0278, 0)</f>
        <v>63.689099999999996</v>
      </c>
      <c r="G930" s="10">
        <f>58.8337 * CHOOSE(CONTROL!$C$15, $E$9, 100%, $G$9) + CHOOSE(CONTROL!$C$38, 0.0369, 0)</f>
        <v>58.870600000000003</v>
      </c>
      <c r="H930" s="10">
        <f>58.8337 * CHOOSE(CONTROL!$C$15, $E$9, 100%, $G$9) + CHOOSE(CONTROL!$C$38, 0.0369, 0)</f>
        <v>58.870600000000003</v>
      </c>
      <c r="I930" s="10">
        <f>58.8352 * CHOOSE(CONTROL!$C$15, $E$9, 100%, $G$9) + CHOOSE(CONTROL!$C$38, 0.0369, 0)</f>
        <v>58.872100000000003</v>
      </c>
      <c r="J930" s="26">
        <f>628.1181</f>
        <v>628.11810000000003</v>
      </c>
    </row>
    <row r="931" spans="1:10" ht="15.75" x14ac:dyDescent="0.25">
      <c r="A931" s="13">
        <v>69276</v>
      </c>
      <c r="B931" s="10">
        <f>63.9195 * CHOOSE(CONTROL!$C$15, $E$9, 100%, $G$9) + CHOOSE(CONTROL!$C$38, 0.0278, 0)</f>
        <v>63.947299999999998</v>
      </c>
      <c r="C931" s="10">
        <f>58.9371 * CHOOSE(CONTROL!$C$15, $E$9, 100%, $G$9) + CHOOSE(CONTROL!$C$38, 0.0369, 0)</f>
        <v>58.974000000000004</v>
      </c>
      <c r="D931" s="10">
        <f>58.9293 * CHOOSE(CONTROL!$C$15, $E$9, 100%, $G$9) + CHOOSE(CONTROL!$C$38, 0.0369, 0)</f>
        <v>58.966200000000001</v>
      </c>
      <c r="E931" s="28">
        <f>63.7632 * CHOOSE(CONTROL!$C$15, $E$9, 100%, $G$9) + CHOOSE(CONTROL!$C$38, 0.0369, 0)</f>
        <v>63.8001</v>
      </c>
      <c r="F931" s="27">
        <f>63.7632 * CHOOSE(CONTROL!$C$15, $E$9, 100%, $G$9) + CHOOSE(CONTROL!$C$38, 0.0278, 0)</f>
        <v>63.790999999999997</v>
      </c>
      <c r="G931" s="10">
        <f>58.9356 * CHOOSE(CONTROL!$C$15, $E$9, 100%, $G$9) + CHOOSE(CONTROL!$C$38, 0.0369, 0)</f>
        <v>58.972500000000004</v>
      </c>
      <c r="H931" s="10">
        <f>58.9356 * CHOOSE(CONTROL!$C$15, $E$9, 100%, $G$9) + CHOOSE(CONTROL!$C$38, 0.0369, 0)</f>
        <v>58.972500000000004</v>
      </c>
      <c r="I931" s="10">
        <f>58.9371 * CHOOSE(CONTROL!$C$15, $E$9, 100%, $G$9) + CHOOSE(CONTROL!$C$38, 0.0369, 0)</f>
        <v>58.974000000000004</v>
      </c>
      <c r="J931" s="26">
        <f>613.4958</f>
        <v>613.49580000000003</v>
      </c>
    </row>
    <row r="932" spans="1:10" ht="15.75" x14ac:dyDescent="0.25">
      <c r="A932" s="13">
        <v>69306</v>
      </c>
      <c r="B932" s="10">
        <f>64.1963 * CHOOSE(CONTROL!$C$15, $E$9, 100%, $G$9) + CHOOSE(CONTROL!$C$38, 0.0278, 0)</f>
        <v>64.224099999999993</v>
      </c>
      <c r="C932" s="10">
        <f>59.2139 * CHOOSE(CONTROL!$C$15, $E$9, 100%, $G$9) + CHOOSE(CONTROL!$C$38, 0.0369, 0)</f>
        <v>59.250800000000005</v>
      </c>
      <c r="D932" s="10">
        <f>59.2061 * CHOOSE(CONTROL!$C$15, $E$9, 100%, $G$9) + CHOOSE(CONTROL!$C$38, 0.0369, 0)</f>
        <v>59.243000000000002</v>
      </c>
      <c r="E932" s="28">
        <f>64.04 * CHOOSE(CONTROL!$C$15, $E$9, 100%, $G$9) + CHOOSE(CONTROL!$C$38, 0.0369, 0)</f>
        <v>64.076900000000009</v>
      </c>
      <c r="F932" s="27">
        <f>64.04 * CHOOSE(CONTROL!$C$15, $E$9, 100%, $G$9) + CHOOSE(CONTROL!$C$38, 0.0278, 0)</f>
        <v>64.067800000000005</v>
      </c>
      <c r="G932" s="10">
        <f>59.2124 * CHOOSE(CONTROL!$C$15, $E$9, 100%, $G$9) + CHOOSE(CONTROL!$C$38, 0.0369, 0)</f>
        <v>59.249300000000005</v>
      </c>
      <c r="H932" s="10">
        <f>59.2124 * CHOOSE(CONTROL!$C$15, $E$9, 100%, $G$9) + CHOOSE(CONTROL!$C$38, 0.0369, 0)</f>
        <v>59.249300000000005</v>
      </c>
      <c r="I932" s="10">
        <f>59.2139 * CHOOSE(CONTROL!$C$15, $E$9, 100%, $G$9) + CHOOSE(CONTROL!$C$38, 0.0369, 0)</f>
        <v>59.250800000000005</v>
      </c>
      <c r="J932" s="26">
        <f>593.1043</f>
        <v>593.10429999999997</v>
      </c>
    </row>
    <row r="933" spans="1:10" ht="15.75" x14ac:dyDescent="0.25">
      <c r="A933" s="13">
        <v>69337</v>
      </c>
      <c r="B933" s="10">
        <f>64.4281 * CHOOSE(CONTROL!$C$15, $E$9, 100%, $G$9) + CHOOSE(CONTROL!$C$38, 0.0256, 0)</f>
        <v>64.453699999999998</v>
      </c>
      <c r="C933" s="10">
        <f>59.4458 * CHOOSE(CONTROL!$C$15, $E$9, 100%, $G$9) + CHOOSE(CONTROL!$C$38, 0.0347, 0)</f>
        <v>59.480499999999999</v>
      </c>
      <c r="D933" s="10">
        <f>59.4379 * CHOOSE(CONTROL!$C$15, $E$9, 100%, $G$9) + CHOOSE(CONTROL!$C$38, 0.0347, 0)</f>
        <v>59.4726</v>
      </c>
      <c r="E933" s="28">
        <f>64.2719 * CHOOSE(CONTROL!$C$15, $E$9, 100%, $G$9) + CHOOSE(CONTROL!$C$38, 0.0347, 0)</f>
        <v>64.306600000000003</v>
      </c>
      <c r="F933" s="27">
        <f>64.2719 * CHOOSE(CONTROL!$C$15, $E$9, 100%, $G$9) + CHOOSE(CONTROL!$C$38, 0.0256, 0)</f>
        <v>64.297499999999999</v>
      </c>
      <c r="G933" s="10">
        <f>59.4442 * CHOOSE(CONTROL!$C$15, $E$9, 100%, $G$9) + CHOOSE(CONTROL!$C$38, 0.0347, 0)</f>
        <v>59.478900000000003</v>
      </c>
      <c r="H933" s="10">
        <f>59.4442 * CHOOSE(CONTROL!$C$15, $E$9, 100%, $G$9) + CHOOSE(CONTROL!$C$38, 0.0347, 0)</f>
        <v>59.478900000000003</v>
      </c>
      <c r="I933" s="10">
        <f>59.4458 * CHOOSE(CONTROL!$C$15, $E$9, 100%, $G$9) + CHOOSE(CONTROL!$C$38, 0.0347, 0)</f>
        <v>59.480499999999999</v>
      </c>
      <c r="J933" s="26">
        <f>572.5941</f>
        <v>572.59410000000003</v>
      </c>
    </row>
    <row r="934" spans="1:10" ht="15.75" x14ac:dyDescent="0.25">
      <c r="A934" s="13">
        <v>69367</v>
      </c>
      <c r="B934" s="10">
        <f>64.6216 * CHOOSE(CONTROL!$C$15, $E$9, 100%, $G$9) + CHOOSE(CONTROL!$C$38, 0.0256, 0)</f>
        <v>64.647199999999998</v>
      </c>
      <c r="C934" s="10">
        <f>59.6392 * CHOOSE(CONTROL!$C$15, $E$9, 100%, $G$9) + CHOOSE(CONTROL!$C$38, 0.0347, 0)</f>
        <v>59.673900000000003</v>
      </c>
      <c r="D934" s="10">
        <f>59.6314 * CHOOSE(CONTROL!$C$15, $E$9, 100%, $G$9) + CHOOSE(CONTROL!$C$38, 0.0347, 0)</f>
        <v>59.6661</v>
      </c>
      <c r="E934" s="28">
        <f>64.4653 * CHOOSE(CONTROL!$C$15, $E$9, 100%, $G$9) + CHOOSE(CONTROL!$C$38, 0.0347, 0)</f>
        <v>64.5</v>
      </c>
      <c r="F934" s="27">
        <f>64.4653 * CHOOSE(CONTROL!$C$15, $E$9, 100%, $G$9) + CHOOSE(CONTROL!$C$38, 0.0256, 0)</f>
        <v>64.490899999999996</v>
      </c>
      <c r="G934" s="10">
        <f>59.6376 * CHOOSE(CONTROL!$C$15, $E$9, 100%, $G$9) + CHOOSE(CONTROL!$C$38, 0.0347, 0)</f>
        <v>59.6723</v>
      </c>
      <c r="H934" s="10">
        <f>59.6376 * CHOOSE(CONTROL!$C$15, $E$9, 100%, $G$9) + CHOOSE(CONTROL!$C$38, 0.0347, 0)</f>
        <v>59.6723</v>
      </c>
      <c r="I934" s="10">
        <f>59.6392 * CHOOSE(CONTROL!$C$15, $E$9, 100%, $G$9) + CHOOSE(CONTROL!$C$38, 0.0347, 0)</f>
        <v>59.673900000000003</v>
      </c>
      <c r="J934" s="26">
        <f>568.5142</f>
        <v>568.51419999999996</v>
      </c>
    </row>
    <row r="935" spans="1:10" ht="15.75" x14ac:dyDescent="0.25">
      <c r="A935" s="13">
        <v>69398</v>
      </c>
      <c r="B935" s="10">
        <f>65.2176 * CHOOSE(CONTROL!$C$15, $E$9, 100%, $G$9) + CHOOSE(CONTROL!$C$38, 0.0256, 0)</f>
        <v>65.243200000000002</v>
      </c>
      <c r="C935" s="10">
        <f>60.2353 * CHOOSE(CONTROL!$C$15, $E$9, 100%, $G$9) + CHOOSE(CONTROL!$C$38, 0.0347, 0)</f>
        <v>60.27</v>
      </c>
      <c r="D935" s="10">
        <f>60.2274 * CHOOSE(CONTROL!$C$15, $E$9, 100%, $G$9) + CHOOSE(CONTROL!$C$38, 0.0347, 0)</f>
        <v>60.262100000000004</v>
      </c>
      <c r="E935" s="28">
        <f>65.0614 * CHOOSE(CONTROL!$C$15, $E$9, 100%, $G$9) + CHOOSE(CONTROL!$C$38, 0.0347, 0)</f>
        <v>65.096100000000007</v>
      </c>
      <c r="F935" s="27">
        <f>65.0614 * CHOOSE(CONTROL!$C$15, $E$9, 100%, $G$9) + CHOOSE(CONTROL!$C$38, 0.0256, 0)</f>
        <v>65.087000000000003</v>
      </c>
      <c r="G935" s="10">
        <f>60.2337 * CHOOSE(CONTROL!$C$15, $E$9, 100%, $G$9) + CHOOSE(CONTROL!$C$38, 0.0347, 0)</f>
        <v>60.2684</v>
      </c>
      <c r="H935" s="10">
        <f>60.2337 * CHOOSE(CONTROL!$C$15, $E$9, 100%, $G$9) + CHOOSE(CONTROL!$C$38, 0.0347, 0)</f>
        <v>60.2684</v>
      </c>
      <c r="I935" s="10">
        <f>60.2353 * CHOOSE(CONTROL!$C$15, $E$9, 100%, $G$9) + CHOOSE(CONTROL!$C$38, 0.0347, 0)</f>
        <v>60.27</v>
      </c>
      <c r="J935" s="26">
        <f>551.6435</f>
        <v>551.64350000000002</v>
      </c>
    </row>
    <row r="936" spans="1:10" ht="15.75" x14ac:dyDescent="0.25">
      <c r="A936" s="13">
        <v>69429</v>
      </c>
      <c r="B936" s="10">
        <f>66.7383 * CHOOSE(CONTROL!$C$15, $E$9, 100%, $G$9) + CHOOSE(CONTROL!$C$38, 0.0256, 0)</f>
        <v>66.763899999999992</v>
      </c>
      <c r="C936" s="10">
        <f>61.6768 * CHOOSE(CONTROL!$C$15, $E$9, 100%, $G$9) + CHOOSE(CONTROL!$C$38, 0.0347, 0)</f>
        <v>61.711500000000001</v>
      </c>
      <c r="D936" s="10">
        <f>61.669 * CHOOSE(CONTROL!$C$15, $E$9, 100%, $G$9) + CHOOSE(CONTROL!$C$38, 0.0347, 0)</f>
        <v>61.703699999999998</v>
      </c>
      <c r="E936" s="28">
        <f>66.582 * CHOOSE(CONTROL!$C$15, $E$9, 100%, $G$9) + CHOOSE(CONTROL!$C$38, 0.0347, 0)</f>
        <v>66.616699999999994</v>
      </c>
      <c r="F936" s="27">
        <f>66.582 * CHOOSE(CONTROL!$C$15, $E$9, 100%, $G$9) + CHOOSE(CONTROL!$C$38, 0.0256, 0)</f>
        <v>66.607599999999991</v>
      </c>
      <c r="G936" s="10">
        <f>61.6752 * CHOOSE(CONTROL!$C$15, $E$9, 100%, $G$9) + CHOOSE(CONTROL!$C$38, 0.0347, 0)</f>
        <v>61.709899999999998</v>
      </c>
      <c r="H936" s="10">
        <f>61.6752 * CHOOSE(CONTROL!$C$15, $E$9, 100%, $G$9) + CHOOSE(CONTROL!$C$38, 0.0347, 0)</f>
        <v>61.709899999999998</v>
      </c>
      <c r="I936" s="10">
        <f>61.6768 * CHOOSE(CONTROL!$C$15, $E$9, 100%, $G$9) + CHOOSE(CONTROL!$C$38, 0.0347, 0)</f>
        <v>61.711500000000001</v>
      </c>
      <c r="J936" s="26">
        <f>550.59</f>
        <v>550.59</v>
      </c>
    </row>
    <row r="937" spans="1:10" ht="15.75" x14ac:dyDescent="0.25">
      <c r="A937" s="13">
        <v>69457</v>
      </c>
      <c r="B937" s="10">
        <f>66.959 * CHOOSE(CONTROL!$C$15, $E$9, 100%, $G$9) + CHOOSE(CONTROL!$C$38, 0.0256, 0)</f>
        <v>66.9846</v>
      </c>
      <c r="C937" s="10">
        <f>61.8975 * CHOOSE(CONTROL!$C$15, $E$9, 100%, $G$9) + CHOOSE(CONTROL!$C$38, 0.0347, 0)</f>
        <v>61.932200000000002</v>
      </c>
      <c r="D937" s="10">
        <f>61.8897 * CHOOSE(CONTROL!$C$15, $E$9, 100%, $G$9) + CHOOSE(CONTROL!$C$38, 0.0347, 0)</f>
        <v>61.924399999999999</v>
      </c>
      <c r="E937" s="28">
        <f>66.8028 * CHOOSE(CONTROL!$C$15, $E$9, 100%, $G$9) + CHOOSE(CONTROL!$C$38, 0.0347, 0)</f>
        <v>66.837500000000006</v>
      </c>
      <c r="F937" s="27">
        <f>66.8028 * CHOOSE(CONTROL!$C$15, $E$9, 100%, $G$9) + CHOOSE(CONTROL!$C$38, 0.0256, 0)</f>
        <v>66.828400000000002</v>
      </c>
      <c r="G937" s="10">
        <f>61.896 * CHOOSE(CONTROL!$C$15, $E$9, 100%, $G$9) + CHOOSE(CONTROL!$C$38, 0.0347, 0)</f>
        <v>61.930700000000002</v>
      </c>
      <c r="H937" s="10">
        <f>61.896 * CHOOSE(CONTROL!$C$15, $E$9, 100%, $G$9) + CHOOSE(CONTROL!$C$38, 0.0347, 0)</f>
        <v>61.930700000000002</v>
      </c>
      <c r="I937" s="10">
        <f>61.8975 * CHOOSE(CONTROL!$C$15, $E$9, 100%, $G$9) + CHOOSE(CONTROL!$C$38, 0.0347, 0)</f>
        <v>61.932200000000002</v>
      </c>
      <c r="J937" s="26">
        <f>549.0595</f>
        <v>549.05949999999996</v>
      </c>
    </row>
    <row r="938" spans="1:10" ht="15.75" x14ac:dyDescent="0.25">
      <c r="A938" s="13">
        <v>69488</v>
      </c>
      <c r="B938" s="10">
        <f>66.448 * CHOOSE(CONTROL!$C$15, $E$9, 100%, $G$9) + CHOOSE(CONTROL!$C$38, 0.0256, 0)</f>
        <v>66.47359999999999</v>
      </c>
      <c r="C938" s="10">
        <f>61.3865 * CHOOSE(CONTROL!$C$15, $E$9, 100%, $G$9) + CHOOSE(CONTROL!$C$38, 0.0347, 0)</f>
        <v>61.421199999999999</v>
      </c>
      <c r="D938" s="10">
        <f>61.3787 * CHOOSE(CONTROL!$C$15, $E$9, 100%, $G$9) + CHOOSE(CONTROL!$C$38, 0.0347, 0)</f>
        <v>61.413400000000003</v>
      </c>
      <c r="E938" s="28">
        <f>66.2917 * CHOOSE(CONTROL!$C$15, $E$9, 100%, $G$9) + CHOOSE(CONTROL!$C$38, 0.0347, 0)</f>
        <v>66.326400000000007</v>
      </c>
      <c r="F938" s="27">
        <f>66.2917 * CHOOSE(CONTROL!$C$15, $E$9, 100%, $G$9) + CHOOSE(CONTROL!$C$38, 0.0256, 0)</f>
        <v>66.317300000000003</v>
      </c>
      <c r="G938" s="10">
        <f>61.3849 * CHOOSE(CONTROL!$C$15, $E$9, 100%, $G$9) + CHOOSE(CONTROL!$C$38, 0.0347, 0)</f>
        <v>61.419600000000003</v>
      </c>
      <c r="H938" s="10">
        <f>61.3849 * CHOOSE(CONTROL!$C$15, $E$9, 100%, $G$9) + CHOOSE(CONTROL!$C$38, 0.0347, 0)</f>
        <v>61.419600000000003</v>
      </c>
      <c r="I938" s="10">
        <f>61.3865 * CHOOSE(CONTROL!$C$15, $E$9, 100%, $G$9) + CHOOSE(CONTROL!$C$38, 0.0347, 0)</f>
        <v>61.421199999999999</v>
      </c>
      <c r="J938" s="26">
        <f>577.9982</f>
        <v>577.9982</v>
      </c>
    </row>
    <row r="939" spans="1:10" ht="15.75" x14ac:dyDescent="0.25">
      <c r="A939" s="13">
        <v>69518</v>
      </c>
      <c r="B939" s="10">
        <f>65.9528 * CHOOSE(CONTROL!$C$15, $E$9, 100%, $G$9) + CHOOSE(CONTROL!$C$38, 0.0256, 0)</f>
        <v>65.978399999999993</v>
      </c>
      <c r="C939" s="10">
        <f>60.8913 * CHOOSE(CONTROL!$C$15, $E$9, 100%, $G$9) + CHOOSE(CONTROL!$C$38, 0.0347, 0)</f>
        <v>60.926000000000002</v>
      </c>
      <c r="D939" s="10">
        <f>60.8835 * CHOOSE(CONTROL!$C$15, $E$9, 100%, $G$9) + CHOOSE(CONTROL!$C$38, 0.0347, 0)</f>
        <v>60.918199999999999</v>
      </c>
      <c r="E939" s="28">
        <f>65.7966 * CHOOSE(CONTROL!$C$15, $E$9, 100%, $G$9) + CHOOSE(CONTROL!$C$38, 0.0347, 0)</f>
        <v>65.831299999999999</v>
      </c>
      <c r="F939" s="27">
        <f>65.7966 * CHOOSE(CONTROL!$C$15, $E$9, 100%, $G$9) + CHOOSE(CONTROL!$C$38, 0.0256, 0)</f>
        <v>65.822199999999995</v>
      </c>
      <c r="G939" s="10">
        <f>60.8898 * CHOOSE(CONTROL!$C$15, $E$9, 100%, $G$9) + CHOOSE(CONTROL!$C$38, 0.0347, 0)</f>
        <v>60.924500000000002</v>
      </c>
      <c r="H939" s="10">
        <f>60.8898 * CHOOSE(CONTROL!$C$15, $E$9, 100%, $G$9) + CHOOSE(CONTROL!$C$38, 0.0347, 0)</f>
        <v>60.924500000000002</v>
      </c>
      <c r="I939" s="10">
        <f>60.8913 * CHOOSE(CONTROL!$C$15, $E$9, 100%, $G$9) + CHOOSE(CONTROL!$C$38, 0.0347, 0)</f>
        <v>60.926000000000002</v>
      </c>
      <c r="J939" s="26">
        <f>615.5246</f>
        <v>615.52459999999996</v>
      </c>
    </row>
    <row r="940" spans="1:10" ht="15.75" x14ac:dyDescent="0.25">
      <c r="A940" s="13">
        <v>69549</v>
      </c>
      <c r="B940" s="10">
        <f>65.4367 * CHOOSE(CONTROL!$C$15, $E$9, 100%, $G$9) + CHOOSE(CONTROL!$C$38, 0.0278, 0)</f>
        <v>65.464500000000001</v>
      </c>
      <c r="C940" s="10">
        <f>60.3752 * CHOOSE(CONTROL!$C$15, $E$9, 100%, $G$9) + CHOOSE(CONTROL!$C$38, 0.0369, 0)</f>
        <v>60.412100000000002</v>
      </c>
      <c r="D940" s="10">
        <f>60.3674 * CHOOSE(CONTROL!$C$15, $E$9, 100%, $G$9) + CHOOSE(CONTROL!$C$38, 0.0369, 0)</f>
        <v>60.404300000000006</v>
      </c>
      <c r="E940" s="28">
        <f>65.2805 * CHOOSE(CONTROL!$C$15, $E$9, 100%, $G$9) + CHOOSE(CONTROL!$C$38, 0.0369, 0)</f>
        <v>65.317400000000006</v>
      </c>
      <c r="F940" s="27">
        <f>65.2805 * CHOOSE(CONTROL!$C$15, $E$9, 100%, $G$9) + CHOOSE(CONTROL!$C$38, 0.0278, 0)</f>
        <v>65.308300000000003</v>
      </c>
      <c r="G940" s="10">
        <f>60.3737 * CHOOSE(CONTROL!$C$15, $E$9, 100%, $G$9) + CHOOSE(CONTROL!$C$38, 0.0369, 0)</f>
        <v>60.410600000000002</v>
      </c>
      <c r="H940" s="10">
        <f>60.3737 * CHOOSE(CONTROL!$C$15, $E$9, 100%, $G$9) + CHOOSE(CONTROL!$C$38, 0.0369, 0)</f>
        <v>60.410600000000002</v>
      </c>
      <c r="I940" s="10">
        <f>60.3752 * CHOOSE(CONTROL!$C$15, $E$9, 100%, $G$9) + CHOOSE(CONTROL!$C$38, 0.0369, 0)</f>
        <v>60.412100000000002</v>
      </c>
      <c r="J940" s="26">
        <f>636.1804</f>
        <v>636.18039999999996</v>
      </c>
    </row>
    <row r="941" spans="1:10" ht="15.75" x14ac:dyDescent="0.25">
      <c r="A941" s="13">
        <v>69579</v>
      </c>
      <c r="B941" s="10">
        <f>65.0749 * CHOOSE(CONTROL!$C$15, $E$9, 100%, $G$9) + CHOOSE(CONTROL!$C$38, 0.0278, 0)</f>
        <v>65.102699999999999</v>
      </c>
      <c r="C941" s="10">
        <f>60.0134 * CHOOSE(CONTROL!$C$15, $E$9, 100%, $G$9) + CHOOSE(CONTROL!$C$38, 0.0369, 0)</f>
        <v>60.0503</v>
      </c>
      <c r="D941" s="10">
        <f>60.0056 * CHOOSE(CONTROL!$C$15, $E$9, 100%, $G$9) + CHOOSE(CONTROL!$C$38, 0.0369, 0)</f>
        <v>60.042500000000004</v>
      </c>
      <c r="E941" s="28">
        <f>64.9186 * CHOOSE(CONTROL!$C$15, $E$9, 100%, $G$9) + CHOOSE(CONTROL!$C$38, 0.0369, 0)</f>
        <v>64.955500000000001</v>
      </c>
      <c r="F941" s="27">
        <f>64.9186 * CHOOSE(CONTROL!$C$15, $E$9, 100%, $G$9) + CHOOSE(CONTROL!$C$38, 0.0278, 0)</f>
        <v>64.946399999999997</v>
      </c>
      <c r="G941" s="10">
        <f>60.0118 * CHOOSE(CONTROL!$C$15, $E$9, 100%, $G$9) + CHOOSE(CONTROL!$C$38, 0.0369, 0)</f>
        <v>60.048700000000004</v>
      </c>
      <c r="H941" s="10">
        <f>60.0118 * CHOOSE(CONTROL!$C$15, $E$9, 100%, $G$9) + CHOOSE(CONTROL!$C$38, 0.0369, 0)</f>
        <v>60.048700000000004</v>
      </c>
      <c r="I941" s="10">
        <f>60.0134 * CHOOSE(CONTROL!$C$15, $E$9, 100%, $G$9) + CHOOSE(CONTROL!$C$38, 0.0369, 0)</f>
        <v>60.0503</v>
      </c>
      <c r="J941" s="26">
        <f>645.3471</f>
        <v>645.34709999999995</v>
      </c>
    </row>
    <row r="942" spans="1:10" ht="15.75" x14ac:dyDescent="0.25">
      <c r="A942" s="13">
        <v>69610</v>
      </c>
      <c r="B942" s="10">
        <f>64.8684 * CHOOSE(CONTROL!$C$15, $E$9, 100%, $G$9) + CHOOSE(CONTROL!$C$38, 0.0278, 0)</f>
        <v>64.896199999999993</v>
      </c>
      <c r="C942" s="10">
        <f>59.8069 * CHOOSE(CONTROL!$C$15, $E$9, 100%, $G$9) + CHOOSE(CONTROL!$C$38, 0.0369, 0)</f>
        <v>59.843800000000002</v>
      </c>
      <c r="D942" s="10">
        <f>59.7991 * CHOOSE(CONTROL!$C$15, $E$9, 100%, $G$9) + CHOOSE(CONTROL!$C$38, 0.0369, 0)</f>
        <v>59.836000000000006</v>
      </c>
      <c r="E942" s="28">
        <f>64.7121 * CHOOSE(CONTROL!$C$15, $E$9, 100%, $G$9) + CHOOSE(CONTROL!$C$38, 0.0369, 0)</f>
        <v>64.749000000000009</v>
      </c>
      <c r="F942" s="27">
        <f>64.7121 * CHOOSE(CONTROL!$C$15, $E$9, 100%, $G$9) + CHOOSE(CONTROL!$C$38, 0.0278, 0)</f>
        <v>64.739900000000006</v>
      </c>
      <c r="G942" s="10">
        <f>59.8053 * CHOOSE(CONTROL!$C$15, $E$9, 100%, $G$9) + CHOOSE(CONTROL!$C$38, 0.0369, 0)</f>
        <v>59.842200000000005</v>
      </c>
      <c r="H942" s="10">
        <f>59.8053 * CHOOSE(CONTROL!$C$15, $E$9, 100%, $G$9) + CHOOSE(CONTROL!$C$38, 0.0369, 0)</f>
        <v>59.842200000000005</v>
      </c>
      <c r="I942" s="10">
        <f>59.8069 * CHOOSE(CONTROL!$C$15, $E$9, 100%, $G$9) + CHOOSE(CONTROL!$C$38, 0.0369, 0)</f>
        <v>59.843800000000002</v>
      </c>
      <c r="J942" s="26">
        <f>642.329</f>
        <v>642.32899999999995</v>
      </c>
    </row>
    <row r="943" spans="1:10" ht="15.75" x14ac:dyDescent="0.25">
      <c r="A943" s="13">
        <v>69641</v>
      </c>
      <c r="B943" s="10">
        <f>64.9703 * CHOOSE(CONTROL!$C$15, $E$9, 100%, $G$9) + CHOOSE(CONTROL!$C$38, 0.0278, 0)</f>
        <v>64.998099999999994</v>
      </c>
      <c r="C943" s="10">
        <f>59.9088 * CHOOSE(CONTROL!$C$15, $E$9, 100%, $G$9) + CHOOSE(CONTROL!$C$38, 0.0369, 0)</f>
        <v>59.945700000000002</v>
      </c>
      <c r="D943" s="10">
        <f>59.901 * CHOOSE(CONTROL!$C$15, $E$9, 100%, $G$9) + CHOOSE(CONTROL!$C$38, 0.0369, 0)</f>
        <v>59.937900000000006</v>
      </c>
      <c r="E943" s="28">
        <f>64.814 * CHOOSE(CONTROL!$C$15, $E$9, 100%, $G$9) + CHOOSE(CONTROL!$C$38, 0.0369, 0)</f>
        <v>64.850899999999996</v>
      </c>
      <c r="F943" s="27">
        <f>64.814 * CHOOSE(CONTROL!$C$15, $E$9, 100%, $G$9) + CHOOSE(CONTROL!$C$38, 0.0278, 0)</f>
        <v>64.841799999999992</v>
      </c>
      <c r="G943" s="10">
        <f>59.9072 * CHOOSE(CONTROL!$C$15, $E$9, 100%, $G$9) + CHOOSE(CONTROL!$C$38, 0.0369, 0)</f>
        <v>59.944100000000006</v>
      </c>
      <c r="H943" s="10">
        <f>59.9072 * CHOOSE(CONTROL!$C$15, $E$9, 100%, $G$9) + CHOOSE(CONTROL!$C$38, 0.0369, 0)</f>
        <v>59.944100000000006</v>
      </c>
      <c r="I943" s="10">
        <f>59.9088 * CHOOSE(CONTROL!$C$15, $E$9, 100%, $G$9) + CHOOSE(CONTROL!$C$38, 0.0369, 0)</f>
        <v>59.945700000000002</v>
      </c>
      <c r="J943" s="26">
        <f>627.3758</f>
        <v>627.37580000000003</v>
      </c>
    </row>
    <row r="944" spans="1:10" ht="15.75" x14ac:dyDescent="0.25">
      <c r="A944" s="13">
        <v>69671</v>
      </c>
      <c r="B944" s="10">
        <f>65.2471 * CHOOSE(CONTROL!$C$15, $E$9, 100%, $G$9) + CHOOSE(CONTROL!$C$38, 0.0278, 0)</f>
        <v>65.274900000000002</v>
      </c>
      <c r="C944" s="10">
        <f>60.1856 * CHOOSE(CONTROL!$C$15, $E$9, 100%, $G$9) + CHOOSE(CONTROL!$C$38, 0.0369, 0)</f>
        <v>60.222500000000004</v>
      </c>
      <c r="D944" s="10">
        <f>60.1778 * CHOOSE(CONTROL!$C$15, $E$9, 100%, $G$9) + CHOOSE(CONTROL!$C$38, 0.0369, 0)</f>
        <v>60.214700000000001</v>
      </c>
      <c r="E944" s="28">
        <f>65.0908 * CHOOSE(CONTROL!$C$15, $E$9, 100%, $G$9) + CHOOSE(CONTROL!$C$38, 0.0369, 0)</f>
        <v>65.127700000000004</v>
      </c>
      <c r="F944" s="27">
        <f>65.0908 * CHOOSE(CONTROL!$C$15, $E$9, 100%, $G$9) + CHOOSE(CONTROL!$C$38, 0.0278, 0)</f>
        <v>65.118600000000001</v>
      </c>
      <c r="G944" s="10">
        <f>60.184 * CHOOSE(CONTROL!$C$15, $E$9, 100%, $G$9) + CHOOSE(CONTROL!$C$38, 0.0369, 0)</f>
        <v>60.2209</v>
      </c>
      <c r="H944" s="10">
        <f>60.184 * CHOOSE(CONTROL!$C$15, $E$9, 100%, $G$9) + CHOOSE(CONTROL!$C$38, 0.0369, 0)</f>
        <v>60.2209</v>
      </c>
      <c r="I944" s="10">
        <f>60.1856 * CHOOSE(CONTROL!$C$15, $E$9, 100%, $G$9) + CHOOSE(CONTROL!$C$38, 0.0369, 0)</f>
        <v>60.222500000000004</v>
      </c>
      <c r="J944" s="26">
        <f>606.5229</f>
        <v>606.52290000000005</v>
      </c>
    </row>
    <row r="945" spans="1:10" ht="15.75" x14ac:dyDescent="0.25">
      <c r="A945" s="13">
        <v>69702</v>
      </c>
      <c r="B945" s="10">
        <f>65.4789 * CHOOSE(CONTROL!$C$15, $E$9, 100%, $G$9) + CHOOSE(CONTROL!$C$38, 0.0256, 0)</f>
        <v>65.504499999999993</v>
      </c>
      <c r="C945" s="10">
        <f>60.4174 * CHOOSE(CONTROL!$C$15, $E$9, 100%, $G$9) + CHOOSE(CONTROL!$C$38, 0.0347, 0)</f>
        <v>60.452100000000002</v>
      </c>
      <c r="D945" s="10">
        <f>60.4096 * CHOOSE(CONTROL!$C$15, $E$9, 100%, $G$9) + CHOOSE(CONTROL!$C$38, 0.0347, 0)</f>
        <v>60.444299999999998</v>
      </c>
      <c r="E945" s="28">
        <f>65.3227 * CHOOSE(CONTROL!$C$15, $E$9, 100%, $G$9) + CHOOSE(CONTROL!$C$38, 0.0347, 0)</f>
        <v>65.357399999999998</v>
      </c>
      <c r="F945" s="27">
        <f>65.3227 * CHOOSE(CONTROL!$C$15, $E$9, 100%, $G$9) + CHOOSE(CONTROL!$C$38, 0.0256, 0)</f>
        <v>65.348299999999995</v>
      </c>
      <c r="G945" s="10">
        <f>60.4159 * CHOOSE(CONTROL!$C$15, $E$9, 100%, $G$9) + CHOOSE(CONTROL!$C$38, 0.0347, 0)</f>
        <v>60.450600000000001</v>
      </c>
      <c r="H945" s="10">
        <f>60.4159 * CHOOSE(CONTROL!$C$15, $E$9, 100%, $G$9) + CHOOSE(CONTROL!$C$38, 0.0347, 0)</f>
        <v>60.450600000000001</v>
      </c>
      <c r="I945" s="10">
        <f>60.4174 * CHOOSE(CONTROL!$C$15, $E$9, 100%, $G$9) + CHOOSE(CONTROL!$C$38, 0.0347, 0)</f>
        <v>60.452100000000002</v>
      </c>
      <c r="J945" s="26">
        <f>585.5488</f>
        <v>585.54880000000003</v>
      </c>
    </row>
    <row r="946" spans="1:10" ht="15.75" x14ac:dyDescent="0.25">
      <c r="A946" s="13">
        <v>69732</v>
      </c>
      <c r="B946" s="10">
        <f>65.6724 * CHOOSE(CONTROL!$C$15, $E$9, 100%, $G$9) + CHOOSE(CONTROL!$C$38, 0.0256, 0)</f>
        <v>65.697999999999993</v>
      </c>
      <c r="C946" s="10">
        <f>60.6109 * CHOOSE(CONTROL!$C$15, $E$9, 100%, $G$9) + CHOOSE(CONTROL!$C$38, 0.0347, 0)</f>
        <v>60.645600000000002</v>
      </c>
      <c r="D946" s="10">
        <f>60.6031 * CHOOSE(CONTROL!$C$15, $E$9, 100%, $G$9) + CHOOSE(CONTROL!$C$38, 0.0347, 0)</f>
        <v>60.637799999999999</v>
      </c>
      <c r="E946" s="28">
        <f>65.5161 * CHOOSE(CONTROL!$C$15, $E$9, 100%, $G$9) + CHOOSE(CONTROL!$C$38, 0.0347, 0)</f>
        <v>65.550799999999995</v>
      </c>
      <c r="F946" s="27">
        <f>65.5161 * CHOOSE(CONTROL!$C$15, $E$9, 100%, $G$9) + CHOOSE(CONTROL!$C$38, 0.0256, 0)</f>
        <v>65.541699999999992</v>
      </c>
      <c r="G946" s="10">
        <f>60.6093 * CHOOSE(CONTROL!$C$15, $E$9, 100%, $G$9) + CHOOSE(CONTROL!$C$38, 0.0347, 0)</f>
        <v>60.643999999999998</v>
      </c>
      <c r="H946" s="10">
        <f>60.6093 * CHOOSE(CONTROL!$C$15, $E$9, 100%, $G$9) + CHOOSE(CONTROL!$C$38, 0.0347, 0)</f>
        <v>60.643999999999998</v>
      </c>
      <c r="I946" s="10">
        <f>60.6109 * CHOOSE(CONTROL!$C$15, $E$9, 100%, $G$9) + CHOOSE(CONTROL!$C$38, 0.0347, 0)</f>
        <v>60.645600000000002</v>
      </c>
      <c r="J946" s="26">
        <f>581.3766</f>
        <v>581.37660000000005</v>
      </c>
    </row>
    <row r="947" spans="1:10" ht="15.75" x14ac:dyDescent="0.25">
      <c r="A947" s="13">
        <v>69763</v>
      </c>
      <c r="B947" s="10">
        <f>66.2684 * CHOOSE(CONTROL!$C$15, $E$9, 100%, $G$9) + CHOOSE(CONTROL!$C$38, 0.0256, 0)</f>
        <v>66.293999999999997</v>
      </c>
      <c r="C947" s="10">
        <f>61.2069 * CHOOSE(CONTROL!$C$15, $E$9, 100%, $G$9) + CHOOSE(CONTROL!$C$38, 0.0347, 0)</f>
        <v>61.241599999999998</v>
      </c>
      <c r="D947" s="10">
        <f>61.1991 * CHOOSE(CONTROL!$C$15, $E$9, 100%, $G$9) + CHOOSE(CONTROL!$C$38, 0.0347, 0)</f>
        <v>61.233800000000002</v>
      </c>
      <c r="E947" s="28">
        <f>66.1122 * CHOOSE(CONTROL!$C$15, $E$9, 100%, $G$9) + CHOOSE(CONTROL!$C$38, 0.0347, 0)</f>
        <v>66.146900000000002</v>
      </c>
      <c r="F947" s="27">
        <f>66.1122 * CHOOSE(CONTROL!$C$15, $E$9, 100%, $G$9) + CHOOSE(CONTROL!$C$38, 0.0256, 0)</f>
        <v>66.137799999999999</v>
      </c>
      <c r="G947" s="10">
        <f>61.2054 * CHOOSE(CONTROL!$C$15, $E$9, 100%, $G$9) + CHOOSE(CONTROL!$C$38, 0.0347, 0)</f>
        <v>61.240099999999998</v>
      </c>
      <c r="H947" s="10">
        <f>61.2054 * CHOOSE(CONTROL!$C$15, $E$9, 100%, $G$9) + CHOOSE(CONTROL!$C$38, 0.0347, 0)</f>
        <v>61.240099999999998</v>
      </c>
      <c r="I947" s="10">
        <f>61.2069 * CHOOSE(CONTROL!$C$15, $E$9, 100%, $G$9) + CHOOSE(CONTROL!$C$38, 0.0347, 0)</f>
        <v>61.241599999999998</v>
      </c>
      <c r="J947" s="26">
        <f>564.1242</f>
        <v>564.12419999999997</v>
      </c>
    </row>
    <row r="948" spans="1:10" ht="15.75" x14ac:dyDescent="0.25">
      <c r="A948" s="13">
        <v>69794</v>
      </c>
      <c r="B948" s="10">
        <f>67.8063 * CHOOSE(CONTROL!$C$15, $E$9, 100%, $G$9) + CHOOSE(CONTROL!$C$38, 0.0256, 0)</f>
        <v>67.83189999999999</v>
      </c>
      <c r="C948" s="10">
        <f>62.6644 * CHOOSE(CONTROL!$C$15, $E$9, 100%, $G$9) + CHOOSE(CONTROL!$C$38, 0.0347, 0)</f>
        <v>62.699100000000001</v>
      </c>
      <c r="D948" s="10">
        <f>62.6566 * CHOOSE(CONTROL!$C$15, $E$9, 100%, $G$9) + CHOOSE(CONTROL!$C$38, 0.0347, 0)</f>
        <v>62.691299999999998</v>
      </c>
      <c r="E948" s="28">
        <f>67.65 * CHOOSE(CONTROL!$C$15, $E$9, 100%, $G$9) + CHOOSE(CONTROL!$C$38, 0.0347, 0)</f>
        <v>67.684700000000007</v>
      </c>
      <c r="F948" s="27">
        <f>67.65 * CHOOSE(CONTROL!$C$15, $E$9, 100%, $G$9) + CHOOSE(CONTROL!$C$38, 0.0256, 0)</f>
        <v>67.675600000000003</v>
      </c>
      <c r="G948" s="10">
        <f>62.6628 * CHOOSE(CONTROL!$C$15, $E$9, 100%, $G$9) + CHOOSE(CONTROL!$C$38, 0.0347, 0)</f>
        <v>62.697499999999998</v>
      </c>
      <c r="H948" s="10">
        <f>62.6628 * CHOOSE(CONTROL!$C$15, $E$9, 100%, $G$9) + CHOOSE(CONTROL!$C$38, 0.0347, 0)</f>
        <v>62.697499999999998</v>
      </c>
      <c r="I948" s="10">
        <f>62.6644 * CHOOSE(CONTROL!$C$15, $E$9, 100%, $G$9) + CHOOSE(CONTROL!$C$38, 0.0347, 0)</f>
        <v>62.699100000000001</v>
      </c>
      <c r="J948" s="26">
        <f>563.0468</f>
        <v>563.04679999999996</v>
      </c>
    </row>
    <row r="949" spans="1:10" ht="15.75" x14ac:dyDescent="0.25">
      <c r="A949" s="13">
        <v>69822</v>
      </c>
      <c r="B949" s="10">
        <f>68.0271 * CHOOSE(CONTROL!$C$15, $E$9, 100%, $G$9) + CHOOSE(CONTROL!$C$38, 0.0256, 0)</f>
        <v>68.052700000000002</v>
      </c>
      <c r="C949" s="10">
        <f>62.8851 * CHOOSE(CONTROL!$C$15, $E$9, 100%, $G$9) + CHOOSE(CONTROL!$C$38, 0.0347, 0)</f>
        <v>62.919800000000002</v>
      </c>
      <c r="D949" s="10">
        <f>62.8773 * CHOOSE(CONTROL!$C$15, $E$9, 100%, $G$9) + CHOOSE(CONTROL!$C$38, 0.0347, 0)</f>
        <v>62.911999999999999</v>
      </c>
      <c r="E949" s="28">
        <f>67.8708 * CHOOSE(CONTROL!$C$15, $E$9, 100%, $G$9) + CHOOSE(CONTROL!$C$38, 0.0347, 0)</f>
        <v>67.905500000000004</v>
      </c>
      <c r="F949" s="27">
        <f>67.8708 * CHOOSE(CONTROL!$C$15, $E$9, 100%, $G$9) + CHOOSE(CONTROL!$C$38, 0.0256, 0)</f>
        <v>67.8964</v>
      </c>
      <c r="G949" s="10">
        <f>62.8836 * CHOOSE(CONTROL!$C$15, $E$9, 100%, $G$9) + CHOOSE(CONTROL!$C$38, 0.0347, 0)</f>
        <v>62.918300000000002</v>
      </c>
      <c r="H949" s="10">
        <f>62.8836 * CHOOSE(CONTROL!$C$15, $E$9, 100%, $G$9) + CHOOSE(CONTROL!$C$38, 0.0347, 0)</f>
        <v>62.918300000000002</v>
      </c>
      <c r="I949" s="10">
        <f>62.8851 * CHOOSE(CONTROL!$C$15, $E$9, 100%, $G$9) + CHOOSE(CONTROL!$C$38, 0.0347, 0)</f>
        <v>62.919800000000002</v>
      </c>
      <c r="J949" s="26">
        <f>561.4817</f>
        <v>561.48170000000005</v>
      </c>
    </row>
    <row r="950" spans="1:10" ht="15.75" x14ac:dyDescent="0.25">
      <c r="A950" s="13">
        <v>69853</v>
      </c>
      <c r="B950" s="10">
        <f>67.516 * CHOOSE(CONTROL!$C$15, $E$9, 100%, $G$9) + CHOOSE(CONTROL!$C$38, 0.0256, 0)</f>
        <v>67.541600000000003</v>
      </c>
      <c r="C950" s="10">
        <f>62.3741 * CHOOSE(CONTROL!$C$15, $E$9, 100%, $G$9) + CHOOSE(CONTROL!$C$38, 0.0347, 0)</f>
        <v>62.408799999999999</v>
      </c>
      <c r="D950" s="10">
        <f>62.3663 * CHOOSE(CONTROL!$C$15, $E$9, 100%, $G$9) + CHOOSE(CONTROL!$C$38, 0.0347, 0)</f>
        <v>62.401000000000003</v>
      </c>
      <c r="E950" s="28">
        <f>67.3598 * CHOOSE(CONTROL!$C$15, $E$9, 100%, $G$9) + CHOOSE(CONTROL!$C$38, 0.0347, 0)</f>
        <v>67.394500000000008</v>
      </c>
      <c r="F950" s="27">
        <f>67.3598 * CHOOSE(CONTROL!$C$15, $E$9, 100%, $G$9) + CHOOSE(CONTROL!$C$38, 0.0256, 0)</f>
        <v>67.385400000000004</v>
      </c>
      <c r="G950" s="10">
        <f>62.3725 * CHOOSE(CONTROL!$C$15, $E$9, 100%, $G$9) + CHOOSE(CONTROL!$C$38, 0.0347, 0)</f>
        <v>62.407200000000003</v>
      </c>
      <c r="H950" s="10">
        <f>62.3725 * CHOOSE(CONTROL!$C$15, $E$9, 100%, $G$9) + CHOOSE(CONTROL!$C$38, 0.0347, 0)</f>
        <v>62.407200000000003</v>
      </c>
      <c r="I950" s="10">
        <f>62.3741 * CHOOSE(CONTROL!$C$15, $E$9, 100%, $G$9) + CHOOSE(CONTROL!$C$38, 0.0347, 0)</f>
        <v>62.408799999999999</v>
      </c>
      <c r="J950" s="26">
        <f>591.0751</f>
        <v>591.07510000000002</v>
      </c>
    </row>
    <row r="951" spans="1:10" ht="15.75" x14ac:dyDescent="0.25">
      <c r="A951" s="13">
        <v>69883</v>
      </c>
      <c r="B951" s="10">
        <f>67.0208 * CHOOSE(CONTROL!$C$15, $E$9, 100%, $G$9) + CHOOSE(CONTROL!$C$38, 0.0256, 0)</f>
        <v>67.046399999999991</v>
      </c>
      <c r="C951" s="10">
        <f>61.8789 * CHOOSE(CONTROL!$C$15, $E$9, 100%, $G$9) + CHOOSE(CONTROL!$C$38, 0.0347, 0)</f>
        <v>61.913600000000002</v>
      </c>
      <c r="D951" s="10">
        <f>61.8711 * CHOOSE(CONTROL!$C$15, $E$9, 100%, $G$9) + CHOOSE(CONTROL!$C$38, 0.0347, 0)</f>
        <v>61.905799999999999</v>
      </c>
      <c r="E951" s="28">
        <f>66.8646 * CHOOSE(CONTROL!$C$15, $E$9, 100%, $G$9) + CHOOSE(CONTROL!$C$38, 0.0347, 0)</f>
        <v>66.899299999999997</v>
      </c>
      <c r="F951" s="27">
        <f>66.8646 * CHOOSE(CONTROL!$C$15, $E$9, 100%, $G$9) + CHOOSE(CONTROL!$C$38, 0.0256, 0)</f>
        <v>66.890199999999993</v>
      </c>
      <c r="G951" s="10">
        <f>61.8774 * CHOOSE(CONTROL!$C$15, $E$9, 100%, $G$9) + CHOOSE(CONTROL!$C$38, 0.0347, 0)</f>
        <v>61.912100000000002</v>
      </c>
      <c r="H951" s="10">
        <f>61.8774 * CHOOSE(CONTROL!$C$15, $E$9, 100%, $G$9) + CHOOSE(CONTROL!$C$38, 0.0347, 0)</f>
        <v>61.912100000000002</v>
      </c>
      <c r="I951" s="10">
        <f>61.8789 * CHOOSE(CONTROL!$C$15, $E$9, 100%, $G$9) + CHOOSE(CONTROL!$C$38, 0.0347, 0)</f>
        <v>61.913600000000002</v>
      </c>
      <c r="J951" s="26">
        <f>629.4506</f>
        <v>629.45060000000001</v>
      </c>
    </row>
    <row r="952" spans="1:10" ht="15.75" x14ac:dyDescent="0.25">
      <c r="A952" s="13">
        <v>69914</v>
      </c>
      <c r="B952" s="10">
        <f>66.5047 * CHOOSE(CONTROL!$C$15, $E$9, 100%, $G$9) + CHOOSE(CONTROL!$C$38, 0.0278, 0)</f>
        <v>66.532499999999999</v>
      </c>
      <c r="C952" s="10">
        <f>61.3628 * CHOOSE(CONTROL!$C$15, $E$9, 100%, $G$9) + CHOOSE(CONTROL!$C$38, 0.0369, 0)</f>
        <v>61.399700000000003</v>
      </c>
      <c r="D952" s="10">
        <f>61.355 * CHOOSE(CONTROL!$C$15, $E$9, 100%, $G$9) + CHOOSE(CONTROL!$C$38, 0.0369, 0)</f>
        <v>61.3919</v>
      </c>
      <c r="E952" s="28">
        <f>66.3485 * CHOOSE(CONTROL!$C$15, $E$9, 100%, $G$9) + CHOOSE(CONTROL!$C$38, 0.0369, 0)</f>
        <v>66.385400000000004</v>
      </c>
      <c r="F952" s="27">
        <f>66.3485 * CHOOSE(CONTROL!$C$15, $E$9, 100%, $G$9) + CHOOSE(CONTROL!$C$38, 0.0278, 0)</f>
        <v>66.376300000000001</v>
      </c>
      <c r="G952" s="10">
        <f>61.3613 * CHOOSE(CONTROL!$C$15, $E$9, 100%, $G$9) + CHOOSE(CONTROL!$C$38, 0.0369, 0)</f>
        <v>61.398200000000003</v>
      </c>
      <c r="H952" s="10">
        <f>61.3613 * CHOOSE(CONTROL!$C$15, $E$9, 100%, $G$9) + CHOOSE(CONTROL!$C$38, 0.0369, 0)</f>
        <v>61.398200000000003</v>
      </c>
      <c r="I952" s="10">
        <f>61.3628 * CHOOSE(CONTROL!$C$15, $E$9, 100%, $G$9) + CHOOSE(CONTROL!$C$38, 0.0369, 0)</f>
        <v>61.399700000000003</v>
      </c>
      <c r="J952" s="26">
        <f>650.5737</f>
        <v>650.57370000000003</v>
      </c>
    </row>
    <row r="953" spans="1:10" ht="15.75" x14ac:dyDescent="0.25">
      <c r="A953" s="13">
        <v>69944</v>
      </c>
      <c r="B953" s="10">
        <f>66.1429 * CHOOSE(CONTROL!$C$15, $E$9, 100%, $G$9) + CHOOSE(CONTROL!$C$38, 0.0278, 0)</f>
        <v>66.170699999999997</v>
      </c>
      <c r="C953" s="10">
        <f>61.001 * CHOOSE(CONTROL!$C$15, $E$9, 100%, $G$9) + CHOOSE(CONTROL!$C$38, 0.0369, 0)</f>
        <v>61.0379</v>
      </c>
      <c r="D953" s="10">
        <f>60.9932 * CHOOSE(CONTROL!$C$15, $E$9, 100%, $G$9) + CHOOSE(CONTROL!$C$38, 0.0369, 0)</f>
        <v>61.030100000000004</v>
      </c>
      <c r="E953" s="28">
        <f>65.9866 * CHOOSE(CONTROL!$C$15, $E$9, 100%, $G$9) + CHOOSE(CONTROL!$C$38, 0.0369, 0)</f>
        <v>66.023499999999999</v>
      </c>
      <c r="F953" s="27">
        <f>65.9866 * CHOOSE(CONTROL!$C$15, $E$9, 100%, $G$9) + CHOOSE(CONTROL!$C$38, 0.0278, 0)</f>
        <v>66.014399999999995</v>
      </c>
      <c r="G953" s="10">
        <f>60.9994 * CHOOSE(CONTROL!$C$15, $E$9, 100%, $G$9) + CHOOSE(CONTROL!$C$38, 0.0369, 0)</f>
        <v>61.036300000000004</v>
      </c>
      <c r="H953" s="10">
        <f>60.9994 * CHOOSE(CONTROL!$C$15, $E$9, 100%, $G$9) + CHOOSE(CONTROL!$C$38, 0.0369, 0)</f>
        <v>61.036300000000004</v>
      </c>
      <c r="I953" s="10">
        <f>61.001 * CHOOSE(CONTROL!$C$15, $E$9, 100%, $G$9) + CHOOSE(CONTROL!$C$38, 0.0369, 0)</f>
        <v>61.0379</v>
      </c>
      <c r="J953" s="26">
        <f>659.9477</f>
        <v>659.94770000000005</v>
      </c>
    </row>
    <row r="954" spans="1:10" ht="15.75" x14ac:dyDescent="0.25">
      <c r="A954" s="13">
        <v>69975</v>
      </c>
      <c r="B954" s="10">
        <f>65.9364 * CHOOSE(CONTROL!$C$15, $E$9, 100%, $G$9) + CHOOSE(CONTROL!$C$38, 0.0278, 0)</f>
        <v>65.964200000000005</v>
      </c>
      <c r="C954" s="10">
        <f>60.7945 * CHOOSE(CONTROL!$C$15, $E$9, 100%, $G$9) + CHOOSE(CONTROL!$C$38, 0.0369, 0)</f>
        <v>60.831400000000002</v>
      </c>
      <c r="D954" s="10">
        <f>60.7867 * CHOOSE(CONTROL!$C$15, $E$9, 100%, $G$9) + CHOOSE(CONTROL!$C$38, 0.0369, 0)</f>
        <v>60.823600000000006</v>
      </c>
      <c r="E954" s="28">
        <f>65.7802 * CHOOSE(CONTROL!$C$15, $E$9, 100%, $G$9) + CHOOSE(CONTROL!$C$38, 0.0369, 0)</f>
        <v>65.817099999999996</v>
      </c>
      <c r="F954" s="27">
        <f>65.7802 * CHOOSE(CONTROL!$C$15, $E$9, 100%, $G$9) + CHOOSE(CONTROL!$C$38, 0.0278, 0)</f>
        <v>65.807999999999993</v>
      </c>
      <c r="G954" s="10">
        <f>60.7929 * CHOOSE(CONTROL!$C$15, $E$9, 100%, $G$9) + CHOOSE(CONTROL!$C$38, 0.0369, 0)</f>
        <v>60.829800000000006</v>
      </c>
      <c r="H954" s="10">
        <f>60.7929 * CHOOSE(CONTROL!$C$15, $E$9, 100%, $G$9) + CHOOSE(CONTROL!$C$38, 0.0369, 0)</f>
        <v>60.829800000000006</v>
      </c>
      <c r="I954" s="10">
        <f>60.7945 * CHOOSE(CONTROL!$C$15, $E$9, 100%, $G$9) + CHOOSE(CONTROL!$C$38, 0.0369, 0)</f>
        <v>60.831400000000002</v>
      </c>
      <c r="J954" s="26">
        <f>656.8614</f>
        <v>656.8614</v>
      </c>
    </row>
    <row r="955" spans="1:10" ht="15.75" x14ac:dyDescent="0.25">
      <c r="A955" s="13">
        <v>70006</v>
      </c>
      <c r="B955" s="10">
        <f>66.0383 * CHOOSE(CONTROL!$C$15, $E$9, 100%, $G$9) + CHOOSE(CONTROL!$C$38, 0.0278, 0)</f>
        <v>66.066100000000006</v>
      </c>
      <c r="C955" s="10">
        <f>60.8964 * CHOOSE(CONTROL!$C$15, $E$9, 100%, $G$9) + CHOOSE(CONTROL!$C$38, 0.0369, 0)</f>
        <v>60.933300000000003</v>
      </c>
      <c r="D955" s="10">
        <f>60.8886 * CHOOSE(CONTROL!$C$15, $E$9, 100%, $G$9) + CHOOSE(CONTROL!$C$38, 0.0369, 0)</f>
        <v>60.9255</v>
      </c>
      <c r="E955" s="28">
        <f>65.8821 * CHOOSE(CONTROL!$C$15, $E$9, 100%, $G$9) + CHOOSE(CONTROL!$C$38, 0.0369, 0)</f>
        <v>65.918999999999997</v>
      </c>
      <c r="F955" s="27">
        <f>65.8821 * CHOOSE(CONTROL!$C$15, $E$9, 100%, $G$9) + CHOOSE(CONTROL!$C$38, 0.0278, 0)</f>
        <v>65.909899999999993</v>
      </c>
      <c r="G955" s="10">
        <f>60.8948 * CHOOSE(CONTROL!$C$15, $E$9, 100%, $G$9) + CHOOSE(CONTROL!$C$38, 0.0369, 0)</f>
        <v>60.931699999999999</v>
      </c>
      <c r="H955" s="10">
        <f>60.8948 * CHOOSE(CONTROL!$C$15, $E$9, 100%, $G$9) + CHOOSE(CONTROL!$C$38, 0.0369, 0)</f>
        <v>60.931699999999999</v>
      </c>
      <c r="I955" s="10">
        <f>60.8964 * CHOOSE(CONTROL!$C$15, $E$9, 100%, $G$9) + CHOOSE(CONTROL!$C$38, 0.0369, 0)</f>
        <v>60.933300000000003</v>
      </c>
      <c r="J955" s="26">
        <f>641.5699</f>
        <v>641.56989999999996</v>
      </c>
    </row>
    <row r="956" spans="1:10" ht="15.75" x14ac:dyDescent="0.25">
      <c r="A956" s="13">
        <v>70036</v>
      </c>
      <c r="B956" s="10">
        <f>66.3151 * CHOOSE(CONTROL!$C$15, $E$9, 100%, $G$9) + CHOOSE(CONTROL!$C$38, 0.0278, 0)</f>
        <v>66.3429</v>
      </c>
      <c r="C956" s="10">
        <f>61.1732 * CHOOSE(CONTROL!$C$15, $E$9, 100%, $G$9) + CHOOSE(CONTROL!$C$38, 0.0369, 0)</f>
        <v>61.210100000000004</v>
      </c>
      <c r="D956" s="10">
        <f>61.1654 * CHOOSE(CONTROL!$C$15, $E$9, 100%, $G$9) + CHOOSE(CONTROL!$C$38, 0.0369, 0)</f>
        <v>61.202300000000001</v>
      </c>
      <c r="E956" s="28">
        <f>66.1589 * CHOOSE(CONTROL!$C$15, $E$9, 100%, $G$9) + CHOOSE(CONTROL!$C$38, 0.0369, 0)</f>
        <v>66.195800000000006</v>
      </c>
      <c r="F956" s="27">
        <f>66.1589 * CHOOSE(CONTROL!$C$15, $E$9, 100%, $G$9) + CHOOSE(CONTROL!$C$38, 0.0278, 0)</f>
        <v>66.186700000000002</v>
      </c>
      <c r="G956" s="10">
        <f>61.1716 * CHOOSE(CONTROL!$C$15, $E$9, 100%, $G$9) + CHOOSE(CONTROL!$C$38, 0.0369, 0)</f>
        <v>61.208500000000001</v>
      </c>
      <c r="H956" s="10">
        <f>61.1716 * CHOOSE(CONTROL!$C$15, $E$9, 100%, $G$9) + CHOOSE(CONTROL!$C$38, 0.0369, 0)</f>
        <v>61.208500000000001</v>
      </c>
      <c r="I956" s="10">
        <f>61.1732 * CHOOSE(CONTROL!$C$15, $E$9, 100%, $G$9) + CHOOSE(CONTROL!$C$38, 0.0369, 0)</f>
        <v>61.210100000000004</v>
      </c>
      <c r="J956" s="26">
        <f>620.2452</f>
        <v>620.24519999999995</v>
      </c>
    </row>
    <row r="957" spans="1:10" ht="15.75" x14ac:dyDescent="0.25">
      <c r="A957" s="13">
        <v>70067</v>
      </c>
      <c r="B957" s="10">
        <f>66.5469 * CHOOSE(CONTROL!$C$15, $E$9, 100%, $G$9) + CHOOSE(CONTROL!$C$38, 0.0256, 0)</f>
        <v>66.572499999999991</v>
      </c>
      <c r="C957" s="10">
        <f>61.405 * CHOOSE(CONTROL!$C$15, $E$9, 100%, $G$9) + CHOOSE(CONTROL!$C$38, 0.0347, 0)</f>
        <v>61.439700000000002</v>
      </c>
      <c r="D957" s="10">
        <f>61.3972 * CHOOSE(CONTROL!$C$15, $E$9, 100%, $G$9) + CHOOSE(CONTROL!$C$38, 0.0347, 0)</f>
        <v>61.431899999999999</v>
      </c>
      <c r="E957" s="28">
        <f>66.3907 * CHOOSE(CONTROL!$C$15, $E$9, 100%, $G$9) + CHOOSE(CONTROL!$C$38, 0.0347, 0)</f>
        <v>66.425399999999996</v>
      </c>
      <c r="F957" s="27">
        <f>66.3907 * CHOOSE(CONTROL!$C$15, $E$9, 100%, $G$9) + CHOOSE(CONTROL!$C$38, 0.0256, 0)</f>
        <v>66.416299999999993</v>
      </c>
      <c r="G957" s="10">
        <f>61.4035 * CHOOSE(CONTROL!$C$15, $E$9, 100%, $G$9) + CHOOSE(CONTROL!$C$38, 0.0347, 0)</f>
        <v>61.438200000000002</v>
      </c>
      <c r="H957" s="10">
        <f>61.4035 * CHOOSE(CONTROL!$C$15, $E$9, 100%, $G$9) + CHOOSE(CONTROL!$C$38, 0.0347, 0)</f>
        <v>61.438200000000002</v>
      </c>
      <c r="I957" s="10">
        <f>61.405 * CHOOSE(CONTROL!$C$15, $E$9, 100%, $G$9) + CHOOSE(CONTROL!$C$38, 0.0347, 0)</f>
        <v>61.439700000000002</v>
      </c>
      <c r="J957" s="26">
        <f>598.7965</f>
        <v>598.79650000000004</v>
      </c>
    </row>
    <row r="958" spans="1:10" ht="15.75" x14ac:dyDescent="0.25">
      <c r="A958" s="13">
        <v>70097</v>
      </c>
      <c r="B958" s="10">
        <f>66.7404 * CHOOSE(CONTROL!$C$15, $E$9, 100%, $G$9) + CHOOSE(CONTROL!$C$38, 0.0256, 0)</f>
        <v>66.765999999999991</v>
      </c>
      <c r="C958" s="10">
        <f>61.5985 * CHOOSE(CONTROL!$C$15, $E$9, 100%, $G$9) + CHOOSE(CONTROL!$C$38, 0.0347, 0)</f>
        <v>61.633200000000002</v>
      </c>
      <c r="D958" s="10">
        <f>61.5907 * CHOOSE(CONTROL!$C$15, $E$9, 100%, $G$9) + CHOOSE(CONTROL!$C$38, 0.0347, 0)</f>
        <v>61.625399999999999</v>
      </c>
      <c r="E958" s="28">
        <f>66.5841 * CHOOSE(CONTROL!$C$15, $E$9, 100%, $G$9) + CHOOSE(CONTROL!$C$38, 0.0347, 0)</f>
        <v>66.618800000000007</v>
      </c>
      <c r="F958" s="27">
        <f>66.5841 * CHOOSE(CONTROL!$C$15, $E$9, 100%, $G$9) + CHOOSE(CONTROL!$C$38, 0.0256, 0)</f>
        <v>66.609700000000004</v>
      </c>
      <c r="G958" s="10">
        <f>61.5969 * CHOOSE(CONTROL!$C$15, $E$9, 100%, $G$9) + CHOOSE(CONTROL!$C$38, 0.0347, 0)</f>
        <v>61.631599999999999</v>
      </c>
      <c r="H958" s="10">
        <f>61.5969 * CHOOSE(CONTROL!$C$15, $E$9, 100%, $G$9) + CHOOSE(CONTROL!$C$38, 0.0347, 0)</f>
        <v>61.631599999999999</v>
      </c>
      <c r="I958" s="10">
        <f>61.5985 * CHOOSE(CONTROL!$C$15, $E$9, 100%, $G$9) + CHOOSE(CONTROL!$C$38, 0.0347, 0)</f>
        <v>61.633200000000002</v>
      </c>
      <c r="J958" s="26">
        <f>594.5299</f>
        <v>594.5299</v>
      </c>
    </row>
    <row r="959" spans="1:10" ht="15.75" x14ac:dyDescent="0.25">
      <c r="A959" s="13">
        <v>70128</v>
      </c>
      <c r="B959" s="10">
        <f>67.3364 * CHOOSE(CONTROL!$C$15, $E$9, 100%, $G$9) + CHOOSE(CONTROL!$C$38, 0.0256, 0)</f>
        <v>67.361999999999995</v>
      </c>
      <c r="C959" s="10">
        <f>62.1945 * CHOOSE(CONTROL!$C$15, $E$9, 100%, $G$9) + CHOOSE(CONTROL!$C$38, 0.0347, 0)</f>
        <v>62.229199999999999</v>
      </c>
      <c r="D959" s="10">
        <f>62.1867 * CHOOSE(CONTROL!$C$15, $E$9, 100%, $G$9) + CHOOSE(CONTROL!$C$38, 0.0347, 0)</f>
        <v>62.221400000000003</v>
      </c>
      <c r="E959" s="28">
        <f>67.1802 * CHOOSE(CONTROL!$C$15, $E$9, 100%, $G$9) + CHOOSE(CONTROL!$C$38, 0.0347, 0)</f>
        <v>67.2149</v>
      </c>
      <c r="F959" s="27">
        <f>67.1802 * CHOOSE(CONTROL!$C$15, $E$9, 100%, $G$9) + CHOOSE(CONTROL!$C$38, 0.0256, 0)</f>
        <v>67.205799999999996</v>
      </c>
      <c r="G959" s="10">
        <f>62.193 * CHOOSE(CONTROL!$C$15, $E$9, 100%, $G$9) + CHOOSE(CONTROL!$C$38, 0.0347, 0)</f>
        <v>62.227699999999999</v>
      </c>
      <c r="H959" s="10">
        <f>62.193 * CHOOSE(CONTROL!$C$15, $E$9, 100%, $G$9) + CHOOSE(CONTROL!$C$38, 0.0347, 0)</f>
        <v>62.227699999999999</v>
      </c>
      <c r="I959" s="10">
        <f>62.1945 * CHOOSE(CONTROL!$C$15, $E$9, 100%, $G$9) + CHOOSE(CONTROL!$C$38, 0.0347, 0)</f>
        <v>62.229199999999999</v>
      </c>
      <c r="J959" s="26">
        <f>576.8872</f>
        <v>576.88720000000001</v>
      </c>
    </row>
    <row r="960" spans="1:10" ht="15.75" x14ac:dyDescent="0.25">
      <c r="A960" s="13">
        <v>70159</v>
      </c>
      <c r="B960" s="10">
        <f>68.8918 * CHOOSE(CONTROL!$C$15, $E$9, 100%, $G$9) + CHOOSE(CONTROL!$C$38, 0.0256, 0)</f>
        <v>68.917400000000001</v>
      </c>
      <c r="C960" s="10">
        <f>63.6682 * CHOOSE(CONTROL!$C$15, $E$9, 100%, $G$9) + CHOOSE(CONTROL!$C$38, 0.0347, 0)</f>
        <v>63.7029</v>
      </c>
      <c r="D960" s="10">
        <f>63.6604 * CHOOSE(CONTROL!$C$15, $E$9, 100%, $G$9) + CHOOSE(CONTROL!$C$38, 0.0347, 0)</f>
        <v>63.695100000000004</v>
      </c>
      <c r="E960" s="28">
        <f>68.7356 * CHOOSE(CONTROL!$C$15, $E$9, 100%, $G$9) + CHOOSE(CONTROL!$C$38, 0.0347, 0)</f>
        <v>68.770300000000006</v>
      </c>
      <c r="F960" s="27">
        <f>68.7356 * CHOOSE(CONTROL!$C$15, $E$9, 100%, $G$9) + CHOOSE(CONTROL!$C$38, 0.0256, 0)</f>
        <v>68.761200000000002</v>
      </c>
      <c r="G960" s="10">
        <f>63.6666 * CHOOSE(CONTROL!$C$15, $E$9, 100%, $G$9) + CHOOSE(CONTROL!$C$38, 0.0347, 0)</f>
        <v>63.701300000000003</v>
      </c>
      <c r="H960" s="10">
        <f>63.6666 * CHOOSE(CONTROL!$C$15, $E$9, 100%, $G$9) + CHOOSE(CONTROL!$C$38, 0.0347, 0)</f>
        <v>63.701300000000003</v>
      </c>
      <c r="I960" s="10">
        <f>63.6682 * CHOOSE(CONTROL!$C$15, $E$9, 100%, $G$9) + CHOOSE(CONTROL!$C$38, 0.0347, 0)</f>
        <v>63.7029</v>
      </c>
      <c r="J960" s="26">
        <f>575.7855</f>
        <v>575.78549999999996</v>
      </c>
    </row>
    <row r="961" spans="1:10" ht="15.75" x14ac:dyDescent="0.25">
      <c r="A961" s="13">
        <v>70188</v>
      </c>
      <c r="B961" s="10">
        <f>69.1126 * CHOOSE(CONTROL!$C$15, $E$9, 100%, $G$9) + CHOOSE(CONTROL!$C$38, 0.0256, 0)</f>
        <v>69.138199999999998</v>
      </c>
      <c r="C961" s="10">
        <f>63.8889 * CHOOSE(CONTROL!$C$15, $E$9, 100%, $G$9) + CHOOSE(CONTROL!$C$38, 0.0347, 0)</f>
        <v>63.9236</v>
      </c>
      <c r="D961" s="10">
        <f>63.8811 * CHOOSE(CONTROL!$C$15, $E$9, 100%, $G$9) + CHOOSE(CONTROL!$C$38, 0.0347, 0)</f>
        <v>63.915800000000004</v>
      </c>
      <c r="E961" s="28">
        <f>68.9563 * CHOOSE(CONTROL!$C$15, $E$9, 100%, $G$9) + CHOOSE(CONTROL!$C$38, 0.0347, 0)</f>
        <v>68.991</v>
      </c>
      <c r="F961" s="27">
        <f>68.9563 * CHOOSE(CONTROL!$C$15, $E$9, 100%, $G$9) + CHOOSE(CONTROL!$C$38, 0.0256, 0)</f>
        <v>68.981899999999996</v>
      </c>
      <c r="G961" s="10">
        <f>63.8874 * CHOOSE(CONTROL!$C$15, $E$9, 100%, $G$9) + CHOOSE(CONTROL!$C$38, 0.0347, 0)</f>
        <v>63.9221</v>
      </c>
      <c r="H961" s="10">
        <f>63.8874 * CHOOSE(CONTROL!$C$15, $E$9, 100%, $G$9) + CHOOSE(CONTROL!$C$38, 0.0347, 0)</f>
        <v>63.9221</v>
      </c>
      <c r="I961" s="10">
        <f>63.8889 * CHOOSE(CONTROL!$C$15, $E$9, 100%, $G$9) + CHOOSE(CONTROL!$C$38, 0.0347, 0)</f>
        <v>63.9236</v>
      </c>
      <c r="J961" s="26">
        <f>574.185</f>
        <v>574.18499999999995</v>
      </c>
    </row>
    <row r="962" spans="1:10" ht="15.75" x14ac:dyDescent="0.25">
      <c r="A962" s="13">
        <v>70219</v>
      </c>
      <c r="B962" s="10">
        <f>68.6016 * CHOOSE(CONTROL!$C$15, $E$9, 100%, $G$9) + CHOOSE(CONTROL!$C$38, 0.0256, 0)</f>
        <v>68.627200000000002</v>
      </c>
      <c r="C962" s="10">
        <f>63.3779 * CHOOSE(CONTROL!$C$15, $E$9, 100%, $G$9) + CHOOSE(CONTROL!$C$38, 0.0347, 0)</f>
        <v>63.412599999999998</v>
      </c>
      <c r="D962" s="10">
        <f>63.3701 * CHOOSE(CONTROL!$C$15, $E$9, 100%, $G$9) + CHOOSE(CONTROL!$C$38, 0.0347, 0)</f>
        <v>63.404800000000002</v>
      </c>
      <c r="E962" s="28">
        <f>68.4453 * CHOOSE(CONTROL!$C$15, $E$9, 100%, $G$9) + CHOOSE(CONTROL!$C$38, 0.0347, 0)</f>
        <v>68.48</v>
      </c>
      <c r="F962" s="27">
        <f>68.4453 * CHOOSE(CONTROL!$C$15, $E$9, 100%, $G$9) + CHOOSE(CONTROL!$C$38, 0.0256, 0)</f>
        <v>68.4709</v>
      </c>
      <c r="G962" s="10">
        <f>63.3763 * CHOOSE(CONTROL!$C$15, $E$9, 100%, $G$9) + CHOOSE(CONTROL!$C$38, 0.0347, 0)</f>
        <v>63.411000000000001</v>
      </c>
      <c r="H962" s="10">
        <f>63.3763 * CHOOSE(CONTROL!$C$15, $E$9, 100%, $G$9) + CHOOSE(CONTROL!$C$38, 0.0347, 0)</f>
        <v>63.411000000000001</v>
      </c>
      <c r="I962" s="10">
        <f>63.3779 * CHOOSE(CONTROL!$C$15, $E$9, 100%, $G$9) + CHOOSE(CONTROL!$C$38, 0.0347, 0)</f>
        <v>63.412599999999998</v>
      </c>
      <c r="J962" s="26">
        <f>604.4479</f>
        <v>604.4479</v>
      </c>
    </row>
    <row r="963" spans="1:10" ht="15.75" x14ac:dyDescent="0.25">
      <c r="A963" s="13">
        <v>70249</v>
      </c>
      <c r="B963" s="10">
        <f>68.1064 * CHOOSE(CONTROL!$C$15, $E$9, 100%, $G$9) + CHOOSE(CONTROL!$C$38, 0.0256, 0)</f>
        <v>68.131999999999991</v>
      </c>
      <c r="C963" s="10">
        <f>62.8827 * CHOOSE(CONTROL!$C$15, $E$9, 100%, $G$9) + CHOOSE(CONTROL!$C$38, 0.0347, 0)</f>
        <v>62.917400000000001</v>
      </c>
      <c r="D963" s="10">
        <f>62.8749 * CHOOSE(CONTROL!$C$15, $E$9, 100%, $G$9) + CHOOSE(CONTROL!$C$38, 0.0347, 0)</f>
        <v>62.909599999999998</v>
      </c>
      <c r="E963" s="28">
        <f>67.9501 * CHOOSE(CONTROL!$C$15, $E$9, 100%, $G$9) + CHOOSE(CONTROL!$C$38, 0.0347, 0)</f>
        <v>67.984800000000007</v>
      </c>
      <c r="F963" s="27">
        <f>67.9501 * CHOOSE(CONTROL!$C$15, $E$9, 100%, $G$9) + CHOOSE(CONTROL!$C$38, 0.0256, 0)</f>
        <v>67.975700000000003</v>
      </c>
      <c r="G963" s="10">
        <f>62.8812 * CHOOSE(CONTROL!$C$15, $E$9, 100%, $G$9) + CHOOSE(CONTROL!$C$38, 0.0347, 0)</f>
        <v>62.915900000000001</v>
      </c>
      <c r="H963" s="10">
        <f>62.8812 * CHOOSE(CONTROL!$C$15, $E$9, 100%, $G$9) + CHOOSE(CONTROL!$C$38, 0.0347, 0)</f>
        <v>62.915900000000001</v>
      </c>
      <c r="I963" s="10">
        <f>62.8827 * CHOOSE(CONTROL!$C$15, $E$9, 100%, $G$9) + CHOOSE(CONTROL!$C$38, 0.0347, 0)</f>
        <v>62.917400000000001</v>
      </c>
      <c r="J963" s="26">
        <f>643.6916</f>
        <v>643.69159999999999</v>
      </c>
    </row>
    <row r="964" spans="1:10" ht="15.75" x14ac:dyDescent="0.25">
      <c r="A964" s="13">
        <v>70280</v>
      </c>
      <c r="B964" s="10">
        <f>67.5903 * CHOOSE(CONTROL!$C$15, $E$9, 100%, $G$9) + CHOOSE(CONTROL!$C$38, 0.0278, 0)</f>
        <v>67.618099999999998</v>
      </c>
      <c r="C964" s="10">
        <f>62.3666 * CHOOSE(CONTROL!$C$15, $E$9, 100%, $G$9) + CHOOSE(CONTROL!$C$38, 0.0369, 0)</f>
        <v>62.403500000000001</v>
      </c>
      <c r="D964" s="10">
        <f>62.3588 * CHOOSE(CONTROL!$C$15, $E$9, 100%, $G$9) + CHOOSE(CONTROL!$C$38, 0.0369, 0)</f>
        <v>62.395700000000005</v>
      </c>
      <c r="E964" s="28">
        <f>67.434 * CHOOSE(CONTROL!$C$15, $E$9, 100%, $G$9) + CHOOSE(CONTROL!$C$38, 0.0369, 0)</f>
        <v>67.4709</v>
      </c>
      <c r="F964" s="27">
        <f>67.434 * CHOOSE(CONTROL!$C$15, $E$9, 100%, $G$9) + CHOOSE(CONTROL!$C$38, 0.0278, 0)</f>
        <v>67.461799999999997</v>
      </c>
      <c r="G964" s="10">
        <f>62.365 * CHOOSE(CONTROL!$C$15, $E$9, 100%, $G$9) + CHOOSE(CONTROL!$C$38, 0.0369, 0)</f>
        <v>62.401900000000005</v>
      </c>
      <c r="H964" s="10">
        <f>62.365 * CHOOSE(CONTROL!$C$15, $E$9, 100%, $G$9) + CHOOSE(CONTROL!$C$38, 0.0369, 0)</f>
        <v>62.401900000000005</v>
      </c>
      <c r="I964" s="10">
        <f>62.3666 * CHOOSE(CONTROL!$C$15, $E$9, 100%, $G$9) + CHOOSE(CONTROL!$C$38, 0.0369, 0)</f>
        <v>62.403500000000001</v>
      </c>
      <c r="J964" s="26">
        <f>665.2926</f>
        <v>665.29259999999999</v>
      </c>
    </row>
    <row r="965" spans="1:10" ht="15.75" x14ac:dyDescent="0.25">
      <c r="A965" s="13">
        <v>70310</v>
      </c>
      <c r="B965" s="10">
        <f>67.2284 * CHOOSE(CONTROL!$C$15, $E$9, 100%, $G$9) + CHOOSE(CONTROL!$C$38, 0.0278, 0)</f>
        <v>67.256199999999993</v>
      </c>
      <c r="C965" s="10">
        <f>62.0048 * CHOOSE(CONTROL!$C$15, $E$9, 100%, $G$9) + CHOOSE(CONTROL!$C$38, 0.0369, 0)</f>
        <v>62.041700000000006</v>
      </c>
      <c r="D965" s="10">
        <f>61.997 * CHOOSE(CONTROL!$C$15, $E$9, 100%, $G$9) + CHOOSE(CONTROL!$C$38, 0.0369, 0)</f>
        <v>62.033900000000003</v>
      </c>
      <c r="E965" s="28">
        <f>67.0722 * CHOOSE(CONTROL!$C$15, $E$9, 100%, $G$9) + CHOOSE(CONTROL!$C$38, 0.0369, 0)</f>
        <v>67.109099999999998</v>
      </c>
      <c r="F965" s="27">
        <f>67.0722 * CHOOSE(CONTROL!$C$15, $E$9, 100%, $G$9) + CHOOSE(CONTROL!$C$38, 0.0278, 0)</f>
        <v>67.099999999999994</v>
      </c>
      <c r="G965" s="10">
        <f>62.0032 * CHOOSE(CONTROL!$C$15, $E$9, 100%, $G$9) + CHOOSE(CONTROL!$C$38, 0.0369, 0)</f>
        <v>62.040100000000002</v>
      </c>
      <c r="H965" s="10">
        <f>62.0032 * CHOOSE(CONTROL!$C$15, $E$9, 100%, $G$9) + CHOOSE(CONTROL!$C$38, 0.0369, 0)</f>
        <v>62.040100000000002</v>
      </c>
      <c r="I965" s="10">
        <f>62.0048 * CHOOSE(CONTROL!$C$15, $E$9, 100%, $G$9) + CHOOSE(CONTROL!$C$38, 0.0369, 0)</f>
        <v>62.041700000000006</v>
      </c>
      <c r="J965" s="26">
        <f>674.8787</f>
        <v>674.87869999999998</v>
      </c>
    </row>
    <row r="966" spans="1:10" ht="15.75" x14ac:dyDescent="0.25">
      <c r="A966" s="13">
        <v>70341</v>
      </c>
      <c r="B966" s="10">
        <f>67.0219 * CHOOSE(CONTROL!$C$15, $E$9, 100%, $G$9) + CHOOSE(CONTROL!$C$38, 0.0278, 0)</f>
        <v>67.049700000000001</v>
      </c>
      <c r="C966" s="10">
        <f>61.7983 * CHOOSE(CONTROL!$C$15, $E$9, 100%, $G$9) + CHOOSE(CONTROL!$C$38, 0.0369, 0)</f>
        <v>61.8352</v>
      </c>
      <c r="D966" s="10">
        <f>61.7905 * CHOOSE(CONTROL!$C$15, $E$9, 100%, $G$9) + CHOOSE(CONTROL!$C$38, 0.0369, 0)</f>
        <v>61.827400000000004</v>
      </c>
      <c r="E966" s="28">
        <f>66.8657 * CHOOSE(CONTROL!$C$15, $E$9, 100%, $G$9) + CHOOSE(CONTROL!$C$38, 0.0369, 0)</f>
        <v>66.902600000000007</v>
      </c>
      <c r="F966" s="27">
        <f>66.8657 * CHOOSE(CONTROL!$C$15, $E$9, 100%, $G$9) + CHOOSE(CONTROL!$C$38, 0.0278, 0)</f>
        <v>66.893500000000003</v>
      </c>
      <c r="G966" s="10">
        <f>61.7967 * CHOOSE(CONTROL!$C$15, $E$9, 100%, $G$9) + CHOOSE(CONTROL!$C$38, 0.0369, 0)</f>
        <v>61.833600000000004</v>
      </c>
      <c r="H966" s="10">
        <f>61.7967 * CHOOSE(CONTROL!$C$15, $E$9, 100%, $G$9) + CHOOSE(CONTROL!$C$38, 0.0369, 0)</f>
        <v>61.833600000000004</v>
      </c>
      <c r="I966" s="10">
        <f>61.7983 * CHOOSE(CONTROL!$C$15, $E$9, 100%, $G$9) + CHOOSE(CONTROL!$C$38, 0.0369, 0)</f>
        <v>61.8352</v>
      </c>
      <c r="J966" s="26">
        <f>671.7225</f>
        <v>671.72249999999997</v>
      </c>
    </row>
    <row r="967" spans="1:10" ht="15.75" x14ac:dyDescent="0.25">
      <c r="A967" s="13">
        <v>70372</v>
      </c>
      <c r="B967" s="10">
        <f>67.1238 * CHOOSE(CONTROL!$C$15, $E$9, 100%, $G$9) + CHOOSE(CONTROL!$C$38, 0.0278, 0)</f>
        <v>67.151600000000002</v>
      </c>
      <c r="C967" s="10">
        <f>61.9002 * CHOOSE(CONTROL!$C$15, $E$9, 100%, $G$9) + CHOOSE(CONTROL!$C$38, 0.0369, 0)</f>
        <v>61.937100000000001</v>
      </c>
      <c r="D967" s="10">
        <f>61.8924 * CHOOSE(CONTROL!$C$15, $E$9, 100%, $G$9) + CHOOSE(CONTROL!$C$38, 0.0369, 0)</f>
        <v>61.929300000000005</v>
      </c>
      <c r="E967" s="28">
        <f>66.9676 * CHOOSE(CONTROL!$C$15, $E$9, 100%, $G$9) + CHOOSE(CONTROL!$C$38, 0.0369, 0)</f>
        <v>67.004500000000007</v>
      </c>
      <c r="F967" s="27">
        <f>66.9676 * CHOOSE(CONTROL!$C$15, $E$9, 100%, $G$9) + CHOOSE(CONTROL!$C$38, 0.0278, 0)</f>
        <v>66.995400000000004</v>
      </c>
      <c r="G967" s="10">
        <f>61.8986 * CHOOSE(CONTROL!$C$15, $E$9, 100%, $G$9) + CHOOSE(CONTROL!$C$38, 0.0369, 0)</f>
        <v>61.935500000000005</v>
      </c>
      <c r="H967" s="10">
        <f>61.8986 * CHOOSE(CONTROL!$C$15, $E$9, 100%, $G$9) + CHOOSE(CONTROL!$C$38, 0.0369, 0)</f>
        <v>61.935500000000005</v>
      </c>
      <c r="I967" s="10">
        <f>61.9002 * CHOOSE(CONTROL!$C$15, $E$9, 100%, $G$9) + CHOOSE(CONTROL!$C$38, 0.0369, 0)</f>
        <v>61.937100000000001</v>
      </c>
      <c r="J967" s="26">
        <f>656.0851</f>
        <v>656.08510000000001</v>
      </c>
    </row>
    <row r="968" spans="1:10" ht="15.75" x14ac:dyDescent="0.25">
      <c r="A968" s="13">
        <v>70402</v>
      </c>
      <c r="B968" s="10">
        <f>67.4006 * CHOOSE(CONTROL!$C$15, $E$9, 100%, $G$9) + CHOOSE(CONTROL!$C$38, 0.0278, 0)</f>
        <v>67.428399999999996</v>
      </c>
      <c r="C968" s="10">
        <f>62.177 * CHOOSE(CONTROL!$C$15, $E$9, 100%, $G$9) + CHOOSE(CONTROL!$C$38, 0.0369, 0)</f>
        <v>62.213900000000002</v>
      </c>
      <c r="D968" s="10">
        <f>62.1692 * CHOOSE(CONTROL!$C$15, $E$9, 100%, $G$9) + CHOOSE(CONTROL!$C$38, 0.0369, 0)</f>
        <v>62.206099999999999</v>
      </c>
      <c r="E968" s="28">
        <f>67.2444 * CHOOSE(CONTROL!$C$15, $E$9, 100%, $G$9) + CHOOSE(CONTROL!$C$38, 0.0369, 0)</f>
        <v>67.281300000000002</v>
      </c>
      <c r="F968" s="27">
        <f>67.2444 * CHOOSE(CONTROL!$C$15, $E$9, 100%, $G$9) + CHOOSE(CONTROL!$C$38, 0.0278, 0)</f>
        <v>67.272199999999998</v>
      </c>
      <c r="G968" s="10">
        <f>62.1754 * CHOOSE(CONTROL!$C$15, $E$9, 100%, $G$9) + CHOOSE(CONTROL!$C$38, 0.0369, 0)</f>
        <v>62.212300000000006</v>
      </c>
      <c r="H968" s="10">
        <f>62.1754 * CHOOSE(CONTROL!$C$15, $E$9, 100%, $G$9) + CHOOSE(CONTROL!$C$38, 0.0369, 0)</f>
        <v>62.212300000000006</v>
      </c>
      <c r="I968" s="10">
        <f>62.177 * CHOOSE(CONTROL!$C$15, $E$9, 100%, $G$9) + CHOOSE(CONTROL!$C$38, 0.0369, 0)</f>
        <v>62.213900000000002</v>
      </c>
      <c r="J968" s="26">
        <f>634.278</f>
        <v>634.27800000000002</v>
      </c>
    </row>
    <row r="969" spans="1:10" ht="15.75" x14ac:dyDescent="0.25">
      <c r="A969" s="13">
        <v>70433</v>
      </c>
      <c r="B969" s="10">
        <f>67.6325 * CHOOSE(CONTROL!$C$15, $E$9, 100%, $G$9) + CHOOSE(CONTROL!$C$38, 0.0256, 0)</f>
        <v>67.65809999999999</v>
      </c>
      <c r="C969" s="10">
        <f>62.4088 * CHOOSE(CONTROL!$C$15, $E$9, 100%, $G$9) + CHOOSE(CONTROL!$C$38, 0.0347, 0)</f>
        <v>62.4435</v>
      </c>
      <c r="D969" s="10">
        <f>62.401 * CHOOSE(CONTROL!$C$15, $E$9, 100%, $G$9) + CHOOSE(CONTROL!$C$38, 0.0347, 0)</f>
        <v>62.435700000000004</v>
      </c>
      <c r="E969" s="28">
        <f>67.4762 * CHOOSE(CONTROL!$C$15, $E$9, 100%, $G$9) + CHOOSE(CONTROL!$C$38, 0.0347, 0)</f>
        <v>67.510900000000007</v>
      </c>
      <c r="F969" s="27">
        <f>67.4762 * CHOOSE(CONTROL!$C$15, $E$9, 100%, $G$9) + CHOOSE(CONTROL!$C$38, 0.0256, 0)</f>
        <v>67.501800000000003</v>
      </c>
      <c r="G969" s="10">
        <f>62.4073 * CHOOSE(CONTROL!$C$15, $E$9, 100%, $G$9) + CHOOSE(CONTROL!$C$38, 0.0347, 0)</f>
        <v>62.442</v>
      </c>
      <c r="H969" s="10">
        <f>62.4073 * CHOOSE(CONTROL!$C$15, $E$9, 100%, $G$9) + CHOOSE(CONTROL!$C$38, 0.0347, 0)</f>
        <v>62.442</v>
      </c>
      <c r="I969" s="10">
        <f>62.4088 * CHOOSE(CONTROL!$C$15, $E$9, 100%, $G$9) + CHOOSE(CONTROL!$C$38, 0.0347, 0)</f>
        <v>62.4435</v>
      </c>
      <c r="J969" s="26">
        <f>612.344</f>
        <v>612.34400000000005</v>
      </c>
    </row>
    <row r="970" spans="1:10" ht="15.75" x14ac:dyDescent="0.25">
      <c r="A970" s="13">
        <v>70463</v>
      </c>
      <c r="B970" s="10">
        <f>67.8259 * CHOOSE(CONTROL!$C$15, $E$9, 100%, $G$9) + CHOOSE(CONTROL!$C$38, 0.0256, 0)</f>
        <v>67.851500000000001</v>
      </c>
      <c r="C970" s="10">
        <f>62.6023 * CHOOSE(CONTROL!$C$15, $E$9, 100%, $G$9) + CHOOSE(CONTROL!$C$38, 0.0347, 0)</f>
        <v>62.637</v>
      </c>
      <c r="D970" s="10">
        <f>62.5944 * CHOOSE(CONTROL!$C$15, $E$9, 100%, $G$9) + CHOOSE(CONTROL!$C$38, 0.0347, 0)</f>
        <v>62.629100000000001</v>
      </c>
      <c r="E970" s="28">
        <f>67.6697 * CHOOSE(CONTROL!$C$15, $E$9, 100%, $G$9) + CHOOSE(CONTROL!$C$38, 0.0347, 0)</f>
        <v>67.704400000000007</v>
      </c>
      <c r="F970" s="27">
        <f>67.6697 * CHOOSE(CONTROL!$C$15, $E$9, 100%, $G$9) + CHOOSE(CONTROL!$C$38, 0.0256, 0)</f>
        <v>67.695300000000003</v>
      </c>
      <c r="G970" s="10">
        <f>62.6007 * CHOOSE(CONTROL!$C$15, $E$9, 100%, $G$9) + CHOOSE(CONTROL!$C$38, 0.0347, 0)</f>
        <v>62.635400000000004</v>
      </c>
      <c r="H970" s="10">
        <f>62.6007 * CHOOSE(CONTROL!$C$15, $E$9, 100%, $G$9) + CHOOSE(CONTROL!$C$38, 0.0347, 0)</f>
        <v>62.635400000000004</v>
      </c>
      <c r="I970" s="10">
        <f>62.6023 * CHOOSE(CONTROL!$C$15, $E$9, 100%, $G$9) + CHOOSE(CONTROL!$C$38, 0.0347, 0)</f>
        <v>62.637</v>
      </c>
      <c r="J970" s="26">
        <f>607.9809</f>
        <v>607.98090000000002</v>
      </c>
    </row>
    <row r="971" spans="1:10" ht="15.75" x14ac:dyDescent="0.25">
      <c r="A971" s="13">
        <v>70494</v>
      </c>
      <c r="B971" s="10">
        <f>68.422 * CHOOSE(CONTROL!$C$15, $E$9, 100%, $G$9) + CHOOSE(CONTROL!$C$38, 0.0256, 0)</f>
        <v>68.447599999999994</v>
      </c>
      <c r="C971" s="10">
        <f>63.1983 * CHOOSE(CONTROL!$C$15, $E$9, 100%, $G$9) + CHOOSE(CONTROL!$C$38, 0.0347, 0)</f>
        <v>63.233000000000004</v>
      </c>
      <c r="D971" s="10">
        <f>63.1905 * CHOOSE(CONTROL!$C$15, $E$9, 100%, $G$9) + CHOOSE(CONTROL!$C$38, 0.0347, 0)</f>
        <v>63.225200000000001</v>
      </c>
      <c r="E971" s="28">
        <f>68.2657 * CHOOSE(CONTROL!$C$15, $E$9, 100%, $G$9) + CHOOSE(CONTROL!$C$38, 0.0347, 0)</f>
        <v>68.300399999999996</v>
      </c>
      <c r="F971" s="27">
        <f>68.2657 * CHOOSE(CONTROL!$C$15, $E$9, 100%, $G$9) + CHOOSE(CONTROL!$C$38, 0.0256, 0)</f>
        <v>68.291299999999993</v>
      </c>
      <c r="G971" s="10">
        <f>63.1968 * CHOOSE(CONTROL!$C$15, $E$9, 100%, $G$9) + CHOOSE(CONTROL!$C$38, 0.0347, 0)</f>
        <v>63.231500000000004</v>
      </c>
      <c r="H971" s="10">
        <f>63.1968 * CHOOSE(CONTROL!$C$15, $E$9, 100%, $G$9) + CHOOSE(CONTROL!$C$38, 0.0347, 0)</f>
        <v>63.231500000000004</v>
      </c>
      <c r="I971" s="10">
        <f>63.1983 * CHOOSE(CONTROL!$C$15, $E$9, 100%, $G$9) + CHOOSE(CONTROL!$C$38, 0.0347, 0)</f>
        <v>63.233000000000004</v>
      </c>
      <c r="J971" s="26">
        <f>589.939</f>
        <v>589.93899999999996</v>
      </c>
    </row>
    <row r="972" spans="1:10" ht="15.75" x14ac:dyDescent="0.25">
      <c r="A972" s="13">
        <v>70525</v>
      </c>
      <c r="B972" s="10">
        <f>69.9952 * CHOOSE(CONTROL!$C$15, $E$9, 100%, $G$9) + CHOOSE(CONTROL!$C$38, 0.0256, 0)</f>
        <v>70.020799999999994</v>
      </c>
      <c r="C972" s="10">
        <f>64.6884 * CHOOSE(CONTROL!$C$15, $E$9, 100%, $G$9) + CHOOSE(CONTROL!$C$38, 0.0347, 0)</f>
        <v>64.723100000000002</v>
      </c>
      <c r="D972" s="10">
        <f>64.6806 * CHOOSE(CONTROL!$C$15, $E$9, 100%, $G$9) + CHOOSE(CONTROL!$C$38, 0.0347, 0)</f>
        <v>64.715299999999999</v>
      </c>
      <c r="E972" s="28">
        <f>69.8389 * CHOOSE(CONTROL!$C$15, $E$9, 100%, $G$9) + CHOOSE(CONTROL!$C$38, 0.0347, 0)</f>
        <v>69.873599999999996</v>
      </c>
      <c r="F972" s="27">
        <f>69.8389 * CHOOSE(CONTROL!$C$15, $E$9, 100%, $G$9) + CHOOSE(CONTROL!$C$38, 0.0256, 0)</f>
        <v>69.864499999999992</v>
      </c>
      <c r="G972" s="10">
        <f>64.6869 * CHOOSE(CONTROL!$C$15, $E$9, 100%, $G$9) + CHOOSE(CONTROL!$C$38, 0.0347, 0)</f>
        <v>64.721599999999995</v>
      </c>
      <c r="H972" s="10">
        <f>64.6869 * CHOOSE(CONTROL!$C$15, $E$9, 100%, $G$9) + CHOOSE(CONTROL!$C$38, 0.0347, 0)</f>
        <v>64.721599999999995</v>
      </c>
      <c r="I972" s="10">
        <f>64.6884 * CHOOSE(CONTROL!$C$15, $E$9, 100%, $G$9) + CHOOSE(CONTROL!$C$38, 0.0347, 0)</f>
        <v>64.723100000000002</v>
      </c>
      <c r="J972" s="26">
        <f>588.8123</f>
        <v>588.81230000000005</v>
      </c>
    </row>
    <row r="973" spans="1:10" ht="15.75" x14ac:dyDescent="0.25">
      <c r="A973" s="13">
        <v>70553</v>
      </c>
      <c r="B973" s="10">
        <f>70.2159 * CHOOSE(CONTROL!$C$15, $E$9, 100%, $G$9) + CHOOSE(CONTROL!$C$38, 0.0256, 0)</f>
        <v>70.241500000000002</v>
      </c>
      <c r="C973" s="10">
        <f>64.9092 * CHOOSE(CONTROL!$C$15, $E$9, 100%, $G$9) + CHOOSE(CONTROL!$C$38, 0.0347, 0)</f>
        <v>64.943899999999999</v>
      </c>
      <c r="D973" s="10">
        <f>64.9014 * CHOOSE(CONTROL!$C$15, $E$9, 100%, $G$9) + CHOOSE(CONTROL!$C$38, 0.0347, 0)</f>
        <v>64.936099999999996</v>
      </c>
      <c r="E973" s="28">
        <f>70.0597 * CHOOSE(CONTROL!$C$15, $E$9, 100%, $G$9) + CHOOSE(CONTROL!$C$38, 0.0347, 0)</f>
        <v>70.094400000000007</v>
      </c>
      <c r="F973" s="27">
        <f>70.0597 * CHOOSE(CONTROL!$C$15, $E$9, 100%, $G$9) + CHOOSE(CONTROL!$C$38, 0.0256, 0)</f>
        <v>70.085300000000004</v>
      </c>
      <c r="G973" s="10">
        <f>64.9076 * CHOOSE(CONTROL!$C$15, $E$9, 100%, $G$9) + CHOOSE(CONTROL!$C$38, 0.0347, 0)</f>
        <v>64.942300000000003</v>
      </c>
      <c r="H973" s="10">
        <f>64.9076 * CHOOSE(CONTROL!$C$15, $E$9, 100%, $G$9) + CHOOSE(CONTROL!$C$38, 0.0347, 0)</f>
        <v>64.942300000000003</v>
      </c>
      <c r="I973" s="10">
        <f>64.9092 * CHOOSE(CONTROL!$C$15, $E$9, 100%, $G$9) + CHOOSE(CONTROL!$C$38, 0.0347, 0)</f>
        <v>64.943899999999999</v>
      </c>
      <c r="J973" s="26">
        <f>587.1756</f>
        <v>587.17560000000003</v>
      </c>
    </row>
    <row r="974" spans="1:10" ht="15.75" x14ac:dyDescent="0.25">
      <c r="A974" s="13">
        <v>70584</v>
      </c>
      <c r="B974" s="10">
        <f>69.7049 * CHOOSE(CONTROL!$C$15, $E$9, 100%, $G$9) + CHOOSE(CONTROL!$C$38, 0.0256, 0)</f>
        <v>69.730499999999992</v>
      </c>
      <c r="C974" s="10">
        <f>64.3982 * CHOOSE(CONTROL!$C$15, $E$9, 100%, $G$9) + CHOOSE(CONTROL!$C$38, 0.0347, 0)</f>
        <v>64.432900000000004</v>
      </c>
      <c r="D974" s="10">
        <f>64.3903 * CHOOSE(CONTROL!$C$15, $E$9, 100%, $G$9) + CHOOSE(CONTROL!$C$38, 0.0347, 0)</f>
        <v>64.424999999999997</v>
      </c>
      <c r="E974" s="28">
        <f>69.5486 * CHOOSE(CONTROL!$C$15, $E$9, 100%, $G$9) + CHOOSE(CONTROL!$C$38, 0.0347, 0)</f>
        <v>69.583299999999994</v>
      </c>
      <c r="F974" s="27">
        <f>69.5486 * CHOOSE(CONTROL!$C$15, $E$9, 100%, $G$9) + CHOOSE(CONTROL!$C$38, 0.0256, 0)</f>
        <v>69.57419999999999</v>
      </c>
      <c r="G974" s="10">
        <f>64.3966 * CHOOSE(CONTROL!$C$15, $E$9, 100%, $G$9) + CHOOSE(CONTROL!$C$38, 0.0347, 0)</f>
        <v>64.431300000000007</v>
      </c>
      <c r="H974" s="10">
        <f>64.3966 * CHOOSE(CONTROL!$C$15, $E$9, 100%, $G$9) + CHOOSE(CONTROL!$C$38, 0.0347, 0)</f>
        <v>64.431300000000007</v>
      </c>
      <c r="I974" s="10">
        <f>64.3982 * CHOOSE(CONTROL!$C$15, $E$9, 100%, $G$9) + CHOOSE(CONTROL!$C$38, 0.0347, 0)</f>
        <v>64.432900000000004</v>
      </c>
      <c r="J974" s="26">
        <f>618.1232</f>
        <v>618.1232</v>
      </c>
    </row>
    <row r="975" spans="1:10" ht="15.75" x14ac:dyDescent="0.25">
      <c r="A975" s="13">
        <v>70614</v>
      </c>
      <c r="B975" s="10">
        <f>69.2097 * CHOOSE(CONTROL!$C$15, $E$9, 100%, $G$9) + CHOOSE(CONTROL!$C$38, 0.0256, 0)</f>
        <v>69.235299999999995</v>
      </c>
      <c r="C975" s="10">
        <f>63.903 * CHOOSE(CONTROL!$C$15, $E$9, 100%, $G$9) + CHOOSE(CONTROL!$C$38, 0.0347, 0)</f>
        <v>63.9377</v>
      </c>
      <c r="D975" s="10">
        <f>63.8952 * CHOOSE(CONTROL!$C$15, $E$9, 100%, $G$9) + CHOOSE(CONTROL!$C$38, 0.0347, 0)</f>
        <v>63.929900000000004</v>
      </c>
      <c r="E975" s="28">
        <f>69.0535 * CHOOSE(CONTROL!$C$15, $E$9, 100%, $G$9) + CHOOSE(CONTROL!$C$38, 0.0347, 0)</f>
        <v>69.088200000000001</v>
      </c>
      <c r="F975" s="27">
        <f>69.0535 * CHOOSE(CONTROL!$C$15, $E$9, 100%, $G$9) + CHOOSE(CONTROL!$C$38, 0.0256, 0)</f>
        <v>69.079099999999997</v>
      </c>
      <c r="G975" s="10">
        <f>63.9014 * CHOOSE(CONTROL!$C$15, $E$9, 100%, $G$9) + CHOOSE(CONTROL!$C$38, 0.0347, 0)</f>
        <v>63.936100000000003</v>
      </c>
      <c r="H975" s="10">
        <f>63.9014 * CHOOSE(CONTROL!$C$15, $E$9, 100%, $G$9) + CHOOSE(CONTROL!$C$38, 0.0347, 0)</f>
        <v>63.936100000000003</v>
      </c>
      <c r="I975" s="10">
        <f>63.903 * CHOOSE(CONTROL!$C$15, $E$9, 100%, $G$9) + CHOOSE(CONTROL!$C$38, 0.0347, 0)</f>
        <v>63.9377</v>
      </c>
      <c r="J975" s="26">
        <f>658.2548</f>
        <v>658.25480000000005</v>
      </c>
    </row>
    <row r="976" spans="1:10" ht="15.75" x14ac:dyDescent="0.25">
      <c r="A976" s="13">
        <v>70645</v>
      </c>
      <c r="B976" s="10">
        <f>68.6936 * CHOOSE(CONTROL!$C$15, $E$9, 100%, $G$9) + CHOOSE(CONTROL!$C$38, 0.0278, 0)</f>
        <v>68.721400000000003</v>
      </c>
      <c r="C976" s="10">
        <f>63.3869 * CHOOSE(CONTROL!$C$15, $E$9, 100%, $G$9) + CHOOSE(CONTROL!$C$38, 0.0369, 0)</f>
        <v>63.4238</v>
      </c>
      <c r="D976" s="10">
        <f>63.379 * CHOOSE(CONTROL!$C$15, $E$9, 100%, $G$9) + CHOOSE(CONTROL!$C$38, 0.0369, 0)</f>
        <v>63.415900000000001</v>
      </c>
      <c r="E976" s="28">
        <f>68.5373 * CHOOSE(CONTROL!$C$15, $E$9, 100%, $G$9) + CHOOSE(CONTROL!$C$38, 0.0369, 0)</f>
        <v>68.574200000000005</v>
      </c>
      <c r="F976" s="27">
        <f>68.5373 * CHOOSE(CONTROL!$C$15, $E$9, 100%, $G$9) + CHOOSE(CONTROL!$C$38, 0.0278, 0)</f>
        <v>68.565100000000001</v>
      </c>
      <c r="G976" s="10">
        <f>63.3853 * CHOOSE(CONTROL!$C$15, $E$9, 100%, $G$9) + CHOOSE(CONTROL!$C$38, 0.0369, 0)</f>
        <v>63.422200000000004</v>
      </c>
      <c r="H976" s="10">
        <f>63.3853 * CHOOSE(CONTROL!$C$15, $E$9, 100%, $G$9) + CHOOSE(CONTROL!$C$38, 0.0369, 0)</f>
        <v>63.422200000000004</v>
      </c>
      <c r="I976" s="10">
        <f>63.3869 * CHOOSE(CONTROL!$C$15, $E$9, 100%, $G$9) + CHOOSE(CONTROL!$C$38, 0.0369, 0)</f>
        <v>63.4238</v>
      </c>
      <c r="J976" s="26">
        <f>680.3445</f>
        <v>680.34450000000004</v>
      </c>
    </row>
    <row r="977" spans="1:10" ht="15.75" x14ac:dyDescent="0.25">
      <c r="A977" s="13">
        <v>70675</v>
      </c>
      <c r="B977" s="10">
        <f>68.3318 * CHOOSE(CONTROL!$C$15, $E$9, 100%, $G$9) + CHOOSE(CONTROL!$C$38, 0.0278, 0)</f>
        <v>68.3596</v>
      </c>
      <c r="C977" s="10">
        <f>63.025 * CHOOSE(CONTROL!$C$15, $E$9, 100%, $G$9) + CHOOSE(CONTROL!$C$38, 0.0369, 0)</f>
        <v>63.061900000000001</v>
      </c>
      <c r="D977" s="10">
        <f>63.0172 * CHOOSE(CONTROL!$C$15, $E$9, 100%, $G$9) + CHOOSE(CONTROL!$C$38, 0.0369, 0)</f>
        <v>63.054100000000005</v>
      </c>
      <c r="E977" s="28">
        <f>68.1755 * CHOOSE(CONTROL!$C$15, $E$9, 100%, $G$9) + CHOOSE(CONTROL!$C$38, 0.0369, 0)</f>
        <v>68.212400000000002</v>
      </c>
      <c r="F977" s="27">
        <f>68.1755 * CHOOSE(CONTROL!$C$15, $E$9, 100%, $G$9) + CHOOSE(CONTROL!$C$38, 0.0278, 0)</f>
        <v>68.203299999999999</v>
      </c>
      <c r="G977" s="10">
        <f>63.0235 * CHOOSE(CONTROL!$C$15, $E$9, 100%, $G$9) + CHOOSE(CONTROL!$C$38, 0.0369, 0)</f>
        <v>63.060400000000001</v>
      </c>
      <c r="H977" s="10">
        <f>63.0235 * CHOOSE(CONTROL!$C$15, $E$9, 100%, $G$9) + CHOOSE(CONTROL!$C$38, 0.0369, 0)</f>
        <v>63.060400000000001</v>
      </c>
      <c r="I977" s="10">
        <f>63.025 * CHOOSE(CONTROL!$C$15, $E$9, 100%, $G$9) + CHOOSE(CONTROL!$C$38, 0.0369, 0)</f>
        <v>63.061900000000001</v>
      </c>
      <c r="J977" s="26">
        <f>690.1475</f>
        <v>690.14750000000004</v>
      </c>
    </row>
    <row r="978" spans="1:10" ht="15.75" x14ac:dyDescent="0.25">
      <c r="A978" s="13">
        <v>70706</v>
      </c>
      <c r="B978" s="10">
        <f>68.1253 * CHOOSE(CONTROL!$C$15, $E$9, 100%, $G$9) + CHOOSE(CONTROL!$C$38, 0.0278, 0)</f>
        <v>68.153099999999995</v>
      </c>
      <c r="C978" s="10">
        <f>62.8185 * CHOOSE(CONTROL!$C$15, $E$9, 100%, $G$9) + CHOOSE(CONTROL!$C$38, 0.0369, 0)</f>
        <v>62.855400000000003</v>
      </c>
      <c r="D978" s="10">
        <f>62.8107 * CHOOSE(CONTROL!$C$15, $E$9, 100%, $G$9) + CHOOSE(CONTROL!$C$38, 0.0369, 0)</f>
        <v>62.8476</v>
      </c>
      <c r="E978" s="28">
        <f>67.969 * CHOOSE(CONTROL!$C$15, $E$9, 100%, $G$9) + CHOOSE(CONTROL!$C$38, 0.0369, 0)</f>
        <v>68.005899999999997</v>
      </c>
      <c r="F978" s="27">
        <f>67.969 * CHOOSE(CONTROL!$C$15, $E$9, 100%, $G$9) + CHOOSE(CONTROL!$C$38, 0.0278, 0)</f>
        <v>67.996799999999993</v>
      </c>
      <c r="G978" s="10">
        <f>62.817 * CHOOSE(CONTROL!$C$15, $E$9, 100%, $G$9) + CHOOSE(CONTROL!$C$38, 0.0369, 0)</f>
        <v>62.853900000000003</v>
      </c>
      <c r="H978" s="10">
        <f>62.817 * CHOOSE(CONTROL!$C$15, $E$9, 100%, $G$9) + CHOOSE(CONTROL!$C$38, 0.0369, 0)</f>
        <v>62.853900000000003</v>
      </c>
      <c r="I978" s="10">
        <f>62.8185 * CHOOSE(CONTROL!$C$15, $E$9, 100%, $G$9) + CHOOSE(CONTROL!$C$38, 0.0369, 0)</f>
        <v>62.855400000000003</v>
      </c>
      <c r="J978" s="26">
        <f>686.9199</f>
        <v>686.91989999999998</v>
      </c>
    </row>
    <row r="979" spans="1:10" ht="15.75" x14ac:dyDescent="0.25">
      <c r="A979" s="13">
        <v>70737</v>
      </c>
      <c r="B979" s="10">
        <f>68.2272 * CHOOSE(CONTROL!$C$15, $E$9, 100%, $G$9) + CHOOSE(CONTROL!$C$38, 0.0278, 0)</f>
        <v>68.254999999999995</v>
      </c>
      <c r="C979" s="10">
        <f>62.9204 * CHOOSE(CONTROL!$C$15, $E$9, 100%, $G$9) + CHOOSE(CONTROL!$C$38, 0.0369, 0)</f>
        <v>62.957300000000004</v>
      </c>
      <c r="D979" s="10">
        <f>62.9126 * CHOOSE(CONTROL!$C$15, $E$9, 100%, $G$9) + CHOOSE(CONTROL!$C$38, 0.0369, 0)</f>
        <v>62.9495</v>
      </c>
      <c r="E979" s="28">
        <f>68.0709 * CHOOSE(CONTROL!$C$15, $E$9, 100%, $G$9) + CHOOSE(CONTROL!$C$38, 0.0369, 0)</f>
        <v>68.107799999999997</v>
      </c>
      <c r="F979" s="27">
        <f>68.0709 * CHOOSE(CONTROL!$C$15, $E$9, 100%, $G$9) + CHOOSE(CONTROL!$C$38, 0.0278, 0)</f>
        <v>68.098699999999994</v>
      </c>
      <c r="G979" s="10">
        <f>62.9189 * CHOOSE(CONTROL!$C$15, $E$9, 100%, $G$9) + CHOOSE(CONTROL!$C$38, 0.0369, 0)</f>
        <v>62.955800000000004</v>
      </c>
      <c r="H979" s="10">
        <f>62.9189 * CHOOSE(CONTROL!$C$15, $E$9, 100%, $G$9) + CHOOSE(CONTROL!$C$38, 0.0369, 0)</f>
        <v>62.955800000000004</v>
      </c>
      <c r="I979" s="10">
        <f>62.9204 * CHOOSE(CONTROL!$C$15, $E$9, 100%, $G$9) + CHOOSE(CONTROL!$C$38, 0.0369, 0)</f>
        <v>62.957300000000004</v>
      </c>
      <c r="J979" s="26">
        <f>670.9287</f>
        <v>670.92870000000005</v>
      </c>
    </row>
    <row r="980" spans="1:10" ht="15.75" x14ac:dyDescent="0.25">
      <c r="A980" s="13">
        <v>70767</v>
      </c>
      <c r="B980" s="10">
        <f>68.504 * CHOOSE(CONTROL!$C$15, $E$9, 100%, $G$9) + CHOOSE(CONTROL!$C$38, 0.0278, 0)</f>
        <v>68.531800000000004</v>
      </c>
      <c r="C980" s="10">
        <f>63.1972 * CHOOSE(CONTROL!$C$15, $E$9, 100%, $G$9) + CHOOSE(CONTROL!$C$38, 0.0369, 0)</f>
        <v>63.234100000000005</v>
      </c>
      <c r="D980" s="10">
        <f>63.1894 * CHOOSE(CONTROL!$C$15, $E$9, 100%, $G$9) + CHOOSE(CONTROL!$C$38, 0.0369, 0)</f>
        <v>63.226300000000002</v>
      </c>
      <c r="E980" s="28">
        <f>68.3477 * CHOOSE(CONTROL!$C$15, $E$9, 100%, $G$9) + CHOOSE(CONTROL!$C$38, 0.0369, 0)</f>
        <v>68.384600000000006</v>
      </c>
      <c r="F980" s="27">
        <f>68.3477 * CHOOSE(CONTROL!$C$15, $E$9, 100%, $G$9) + CHOOSE(CONTROL!$C$38, 0.0278, 0)</f>
        <v>68.375500000000002</v>
      </c>
      <c r="G980" s="10">
        <f>63.1957 * CHOOSE(CONTROL!$C$15, $E$9, 100%, $G$9) + CHOOSE(CONTROL!$C$38, 0.0369, 0)</f>
        <v>63.232600000000005</v>
      </c>
      <c r="H980" s="10">
        <f>63.1957 * CHOOSE(CONTROL!$C$15, $E$9, 100%, $G$9) + CHOOSE(CONTROL!$C$38, 0.0369, 0)</f>
        <v>63.232600000000005</v>
      </c>
      <c r="I980" s="10">
        <f>63.1972 * CHOOSE(CONTROL!$C$15, $E$9, 100%, $G$9) + CHOOSE(CONTROL!$C$38, 0.0369, 0)</f>
        <v>63.234100000000005</v>
      </c>
      <c r="J980" s="26">
        <f>648.6282</f>
        <v>648.62819999999999</v>
      </c>
    </row>
    <row r="981" spans="1:10" ht="15.75" x14ac:dyDescent="0.25">
      <c r="A981" s="13">
        <v>70798</v>
      </c>
      <c r="B981" s="10">
        <f>68.7358 * CHOOSE(CONTROL!$C$15, $E$9, 100%, $G$9) + CHOOSE(CONTROL!$C$38, 0.0256, 0)</f>
        <v>68.761399999999995</v>
      </c>
      <c r="C981" s="10">
        <f>63.4291 * CHOOSE(CONTROL!$C$15, $E$9, 100%, $G$9) + CHOOSE(CONTROL!$C$38, 0.0347, 0)</f>
        <v>63.463799999999999</v>
      </c>
      <c r="D981" s="10">
        <f>63.4213 * CHOOSE(CONTROL!$C$15, $E$9, 100%, $G$9) + CHOOSE(CONTROL!$C$38, 0.0347, 0)</f>
        <v>63.456000000000003</v>
      </c>
      <c r="E981" s="28">
        <f>68.5796 * CHOOSE(CONTROL!$C$15, $E$9, 100%, $G$9) + CHOOSE(CONTROL!$C$38, 0.0347, 0)</f>
        <v>68.6143</v>
      </c>
      <c r="F981" s="27">
        <f>68.5796 * CHOOSE(CONTROL!$C$15, $E$9, 100%, $G$9) + CHOOSE(CONTROL!$C$38, 0.0256, 0)</f>
        <v>68.605199999999996</v>
      </c>
      <c r="G981" s="10">
        <f>63.4275 * CHOOSE(CONTROL!$C$15, $E$9, 100%, $G$9) + CHOOSE(CONTROL!$C$38, 0.0347, 0)</f>
        <v>63.462200000000003</v>
      </c>
      <c r="H981" s="10">
        <f>63.4275 * CHOOSE(CONTROL!$C$15, $E$9, 100%, $G$9) + CHOOSE(CONTROL!$C$38, 0.0347, 0)</f>
        <v>63.462200000000003</v>
      </c>
      <c r="I981" s="10">
        <f>63.4291 * CHOOSE(CONTROL!$C$15, $E$9, 100%, $G$9) + CHOOSE(CONTROL!$C$38, 0.0347, 0)</f>
        <v>63.463799999999999</v>
      </c>
      <c r="J981" s="26">
        <f>626.1979</f>
        <v>626.1979</v>
      </c>
    </row>
    <row r="982" spans="1:10" ht="15.75" x14ac:dyDescent="0.25">
      <c r="A982" s="13">
        <v>70828</v>
      </c>
      <c r="B982" s="10">
        <f>68.9292 * CHOOSE(CONTROL!$C$15, $E$9, 100%, $G$9) + CHOOSE(CONTROL!$C$38, 0.0256, 0)</f>
        <v>68.954799999999992</v>
      </c>
      <c r="C982" s="10">
        <f>63.6225 * CHOOSE(CONTROL!$C$15, $E$9, 100%, $G$9) + CHOOSE(CONTROL!$C$38, 0.0347, 0)</f>
        <v>63.657200000000003</v>
      </c>
      <c r="D982" s="10">
        <f>63.6147 * CHOOSE(CONTROL!$C$15, $E$9, 100%, $G$9) + CHOOSE(CONTROL!$C$38, 0.0347, 0)</f>
        <v>63.6494</v>
      </c>
      <c r="E982" s="28">
        <f>68.773 * CHOOSE(CONTROL!$C$15, $E$9, 100%, $G$9) + CHOOSE(CONTROL!$C$38, 0.0347, 0)</f>
        <v>68.807699999999997</v>
      </c>
      <c r="F982" s="27">
        <f>68.773 * CHOOSE(CONTROL!$C$15, $E$9, 100%, $G$9) + CHOOSE(CONTROL!$C$38, 0.0256, 0)</f>
        <v>68.798599999999993</v>
      </c>
      <c r="G982" s="10">
        <f>63.6209 * CHOOSE(CONTROL!$C$15, $E$9, 100%, $G$9) + CHOOSE(CONTROL!$C$38, 0.0347, 0)</f>
        <v>63.6556</v>
      </c>
      <c r="H982" s="10">
        <f>63.6209 * CHOOSE(CONTROL!$C$15, $E$9, 100%, $G$9) + CHOOSE(CONTROL!$C$38, 0.0347, 0)</f>
        <v>63.6556</v>
      </c>
      <c r="I982" s="10">
        <f>63.6225 * CHOOSE(CONTROL!$C$15, $E$9, 100%, $G$9) + CHOOSE(CONTROL!$C$38, 0.0347, 0)</f>
        <v>63.657200000000003</v>
      </c>
      <c r="J982" s="26">
        <f>621.7361</f>
        <v>621.73609999999996</v>
      </c>
    </row>
    <row r="983" spans="1:10" ht="15.75" x14ac:dyDescent="0.25">
      <c r="A983" s="13">
        <v>70859</v>
      </c>
      <c r="B983" s="10">
        <f>69.5253 * CHOOSE(CONTROL!$C$15, $E$9, 100%, $G$9) + CHOOSE(CONTROL!$C$38, 0.0256, 0)</f>
        <v>69.550899999999999</v>
      </c>
      <c r="C983" s="10">
        <f>64.2186 * CHOOSE(CONTROL!$C$15, $E$9, 100%, $G$9) + CHOOSE(CONTROL!$C$38, 0.0347, 0)</f>
        <v>64.253299999999996</v>
      </c>
      <c r="D983" s="10">
        <f>64.2108 * CHOOSE(CONTROL!$C$15, $E$9, 100%, $G$9) + CHOOSE(CONTROL!$C$38, 0.0347, 0)</f>
        <v>64.245500000000007</v>
      </c>
      <c r="E983" s="28">
        <f>69.3691 * CHOOSE(CONTROL!$C$15, $E$9, 100%, $G$9) + CHOOSE(CONTROL!$C$38, 0.0347, 0)</f>
        <v>69.403800000000004</v>
      </c>
      <c r="F983" s="27">
        <f>69.3691 * CHOOSE(CONTROL!$C$15, $E$9, 100%, $G$9) + CHOOSE(CONTROL!$C$38, 0.0256, 0)</f>
        <v>69.3947</v>
      </c>
      <c r="G983" s="10">
        <f>64.217 * CHOOSE(CONTROL!$C$15, $E$9, 100%, $G$9) + CHOOSE(CONTROL!$C$38, 0.0347, 0)</f>
        <v>64.2517</v>
      </c>
      <c r="H983" s="10">
        <f>64.217 * CHOOSE(CONTROL!$C$15, $E$9, 100%, $G$9) + CHOOSE(CONTROL!$C$38, 0.0347, 0)</f>
        <v>64.2517</v>
      </c>
      <c r="I983" s="10">
        <f>64.2186 * CHOOSE(CONTROL!$C$15, $E$9, 100%, $G$9) + CHOOSE(CONTROL!$C$38, 0.0347, 0)</f>
        <v>64.253299999999996</v>
      </c>
      <c r="J983" s="26">
        <f>603.2861</f>
        <v>603.28610000000003</v>
      </c>
    </row>
    <row r="984" spans="1:10" ht="15.75" x14ac:dyDescent="0.25">
      <c r="A984" s="13">
        <v>70890</v>
      </c>
      <c r="B984" s="10">
        <f>71.1166 * CHOOSE(CONTROL!$C$15, $E$9, 100%, $G$9) + CHOOSE(CONTROL!$C$38, 0.0256, 0)</f>
        <v>71.142200000000003</v>
      </c>
      <c r="C984" s="10">
        <f>65.7254 * CHOOSE(CONTROL!$C$15, $E$9, 100%, $G$9) + CHOOSE(CONTROL!$C$38, 0.0347, 0)</f>
        <v>65.760099999999994</v>
      </c>
      <c r="D984" s="10">
        <f>65.7176 * CHOOSE(CONTROL!$C$15, $E$9, 100%, $G$9) + CHOOSE(CONTROL!$C$38, 0.0347, 0)</f>
        <v>65.752300000000005</v>
      </c>
      <c r="E984" s="28">
        <f>70.9603 * CHOOSE(CONTROL!$C$15, $E$9, 100%, $G$9) + CHOOSE(CONTROL!$C$38, 0.0347, 0)</f>
        <v>70.995000000000005</v>
      </c>
      <c r="F984" s="27">
        <f>70.9603 * CHOOSE(CONTROL!$C$15, $E$9, 100%, $G$9) + CHOOSE(CONTROL!$C$38, 0.0256, 0)</f>
        <v>70.985900000000001</v>
      </c>
      <c r="G984" s="10">
        <f>65.7238 * CHOOSE(CONTROL!$C$15, $E$9, 100%, $G$9) + CHOOSE(CONTROL!$C$38, 0.0347, 0)</f>
        <v>65.758499999999998</v>
      </c>
      <c r="H984" s="10">
        <f>65.7238 * CHOOSE(CONTROL!$C$15, $E$9, 100%, $G$9) + CHOOSE(CONTROL!$C$38, 0.0347, 0)</f>
        <v>65.758499999999998</v>
      </c>
      <c r="I984" s="10">
        <f>65.7254 * CHOOSE(CONTROL!$C$15, $E$9, 100%, $G$9) + CHOOSE(CONTROL!$C$38, 0.0347, 0)</f>
        <v>65.760099999999994</v>
      </c>
      <c r="J984" s="26">
        <f>602.1339</f>
        <v>602.13390000000004</v>
      </c>
    </row>
    <row r="985" spans="1:10" ht="15.75" x14ac:dyDescent="0.25">
      <c r="A985" s="13">
        <v>70918</v>
      </c>
      <c r="B985" s="10">
        <f>71.3373 * CHOOSE(CONTROL!$C$15, $E$9, 100%, $G$9) + CHOOSE(CONTROL!$C$38, 0.0256, 0)</f>
        <v>71.362899999999996</v>
      </c>
      <c r="C985" s="10">
        <f>65.9462 * CHOOSE(CONTROL!$C$15, $E$9, 100%, $G$9) + CHOOSE(CONTROL!$C$38, 0.0347, 0)</f>
        <v>65.980900000000005</v>
      </c>
      <c r="D985" s="10">
        <f>65.9384 * CHOOSE(CONTROL!$C$15, $E$9, 100%, $G$9) + CHOOSE(CONTROL!$C$38, 0.0347, 0)</f>
        <v>65.973100000000002</v>
      </c>
      <c r="E985" s="28">
        <f>71.1811 * CHOOSE(CONTROL!$C$15, $E$9, 100%, $G$9) + CHOOSE(CONTROL!$C$38, 0.0347, 0)</f>
        <v>71.215800000000002</v>
      </c>
      <c r="F985" s="27">
        <f>71.1811 * CHOOSE(CONTROL!$C$15, $E$9, 100%, $G$9) + CHOOSE(CONTROL!$C$38, 0.0256, 0)</f>
        <v>71.206699999999998</v>
      </c>
      <c r="G985" s="10">
        <f>65.9446 * CHOOSE(CONTROL!$C$15, $E$9, 100%, $G$9) + CHOOSE(CONTROL!$C$38, 0.0347, 0)</f>
        <v>65.979299999999995</v>
      </c>
      <c r="H985" s="10">
        <f>65.9446 * CHOOSE(CONTROL!$C$15, $E$9, 100%, $G$9) + CHOOSE(CONTROL!$C$38, 0.0347, 0)</f>
        <v>65.979299999999995</v>
      </c>
      <c r="I985" s="10">
        <f>65.9462 * CHOOSE(CONTROL!$C$15, $E$9, 100%, $G$9) + CHOOSE(CONTROL!$C$38, 0.0347, 0)</f>
        <v>65.980900000000005</v>
      </c>
      <c r="J985" s="26">
        <f>600.4602</f>
        <v>600.46019999999999</v>
      </c>
    </row>
    <row r="986" spans="1:10" ht="15.75" x14ac:dyDescent="0.25">
      <c r="A986" s="13">
        <v>70949</v>
      </c>
      <c r="B986" s="10">
        <f>70.8263 * CHOOSE(CONTROL!$C$15, $E$9, 100%, $G$9) + CHOOSE(CONTROL!$C$38, 0.0256, 0)</f>
        <v>70.851900000000001</v>
      </c>
      <c r="C986" s="10">
        <f>65.4351 * CHOOSE(CONTROL!$C$15, $E$9, 100%, $G$9) + CHOOSE(CONTROL!$C$38, 0.0347, 0)</f>
        <v>65.469800000000006</v>
      </c>
      <c r="D986" s="10">
        <f>65.4273 * CHOOSE(CONTROL!$C$15, $E$9, 100%, $G$9) + CHOOSE(CONTROL!$C$38, 0.0347, 0)</f>
        <v>65.462000000000003</v>
      </c>
      <c r="E986" s="28">
        <f>70.6701 * CHOOSE(CONTROL!$C$15, $E$9, 100%, $G$9) + CHOOSE(CONTROL!$C$38, 0.0347, 0)</f>
        <v>70.704800000000006</v>
      </c>
      <c r="F986" s="27">
        <f>70.6701 * CHOOSE(CONTROL!$C$15, $E$9, 100%, $G$9) + CHOOSE(CONTROL!$C$38, 0.0256, 0)</f>
        <v>70.695700000000002</v>
      </c>
      <c r="G986" s="10">
        <f>65.4336 * CHOOSE(CONTROL!$C$15, $E$9, 100%, $G$9) + CHOOSE(CONTROL!$C$38, 0.0347, 0)</f>
        <v>65.468299999999999</v>
      </c>
      <c r="H986" s="10">
        <f>65.4336 * CHOOSE(CONTROL!$C$15, $E$9, 100%, $G$9) + CHOOSE(CONTROL!$C$38, 0.0347, 0)</f>
        <v>65.468299999999999</v>
      </c>
      <c r="I986" s="10">
        <f>65.4351 * CHOOSE(CONTROL!$C$15, $E$9, 100%, $G$9) + CHOOSE(CONTROL!$C$38, 0.0347, 0)</f>
        <v>65.469800000000006</v>
      </c>
      <c r="J986" s="26">
        <f>632.1079</f>
        <v>632.10789999999997</v>
      </c>
    </row>
    <row r="987" spans="1:10" ht="15.75" x14ac:dyDescent="0.25">
      <c r="A987" s="13">
        <v>70979</v>
      </c>
      <c r="B987" s="10">
        <f>70.3311 * CHOOSE(CONTROL!$C$15, $E$9, 100%, $G$9) + CHOOSE(CONTROL!$C$38, 0.0256, 0)</f>
        <v>70.356700000000004</v>
      </c>
      <c r="C987" s="10">
        <f>64.94 * CHOOSE(CONTROL!$C$15, $E$9, 100%, $G$9) + CHOOSE(CONTROL!$C$38, 0.0347, 0)</f>
        <v>64.974699999999999</v>
      </c>
      <c r="D987" s="10">
        <f>64.9321 * CHOOSE(CONTROL!$C$15, $E$9, 100%, $G$9) + CHOOSE(CONTROL!$C$38, 0.0347, 0)</f>
        <v>64.966800000000006</v>
      </c>
      <c r="E987" s="28">
        <f>70.1749 * CHOOSE(CONTROL!$C$15, $E$9, 100%, $G$9) + CHOOSE(CONTROL!$C$38, 0.0347, 0)</f>
        <v>70.209599999999995</v>
      </c>
      <c r="F987" s="27">
        <f>70.1749 * CHOOSE(CONTROL!$C$15, $E$9, 100%, $G$9) + CHOOSE(CONTROL!$C$38, 0.0256, 0)</f>
        <v>70.200499999999991</v>
      </c>
      <c r="G987" s="10">
        <f>64.9384 * CHOOSE(CONTROL!$C$15, $E$9, 100%, $G$9) + CHOOSE(CONTROL!$C$38, 0.0347, 0)</f>
        <v>64.973100000000002</v>
      </c>
      <c r="H987" s="10">
        <f>64.9384 * CHOOSE(CONTROL!$C$15, $E$9, 100%, $G$9) + CHOOSE(CONTROL!$C$38, 0.0347, 0)</f>
        <v>64.973100000000002</v>
      </c>
      <c r="I987" s="10">
        <f>64.94 * CHOOSE(CONTROL!$C$15, $E$9, 100%, $G$9) + CHOOSE(CONTROL!$C$38, 0.0347, 0)</f>
        <v>64.974699999999999</v>
      </c>
      <c r="J987" s="26">
        <f>673.1474</f>
        <v>673.14739999999995</v>
      </c>
    </row>
    <row r="988" spans="1:10" ht="15.75" x14ac:dyDescent="0.25">
      <c r="A988" s="13">
        <v>71010</v>
      </c>
      <c r="B988" s="10">
        <f>69.815 * CHOOSE(CONTROL!$C$15, $E$9, 100%, $G$9) + CHOOSE(CONTROL!$C$38, 0.0278, 0)</f>
        <v>69.842799999999997</v>
      </c>
      <c r="C988" s="10">
        <f>64.4238 * CHOOSE(CONTROL!$C$15, $E$9, 100%, $G$9) + CHOOSE(CONTROL!$C$38, 0.0369, 0)</f>
        <v>64.460700000000003</v>
      </c>
      <c r="D988" s="10">
        <f>64.416 * CHOOSE(CONTROL!$C$15, $E$9, 100%, $G$9) + CHOOSE(CONTROL!$C$38, 0.0369, 0)</f>
        <v>64.4529</v>
      </c>
      <c r="E988" s="28">
        <f>69.6588 * CHOOSE(CONTROL!$C$15, $E$9, 100%, $G$9) + CHOOSE(CONTROL!$C$38, 0.0369, 0)</f>
        <v>69.695700000000002</v>
      </c>
      <c r="F988" s="27">
        <f>69.6588 * CHOOSE(CONTROL!$C$15, $E$9, 100%, $G$9) + CHOOSE(CONTROL!$C$38, 0.0278, 0)</f>
        <v>69.686599999999999</v>
      </c>
      <c r="G988" s="10">
        <f>64.4223 * CHOOSE(CONTROL!$C$15, $E$9, 100%, $G$9) + CHOOSE(CONTROL!$C$38, 0.0369, 0)</f>
        <v>64.45920000000001</v>
      </c>
      <c r="H988" s="10">
        <f>64.4223 * CHOOSE(CONTROL!$C$15, $E$9, 100%, $G$9) + CHOOSE(CONTROL!$C$38, 0.0369, 0)</f>
        <v>64.45920000000001</v>
      </c>
      <c r="I988" s="10">
        <f>64.4238 * CHOOSE(CONTROL!$C$15, $E$9, 100%, $G$9) + CHOOSE(CONTROL!$C$38, 0.0369, 0)</f>
        <v>64.460700000000003</v>
      </c>
      <c r="J988" s="26">
        <f>695.7369</f>
        <v>695.73689999999999</v>
      </c>
    </row>
    <row r="989" spans="1:10" ht="15.75" x14ac:dyDescent="0.25">
      <c r="A989" s="13">
        <v>71040</v>
      </c>
      <c r="B989" s="10">
        <f>69.4532 * CHOOSE(CONTROL!$C$15, $E$9, 100%, $G$9) + CHOOSE(CONTROL!$C$38, 0.0278, 0)</f>
        <v>69.480999999999995</v>
      </c>
      <c r="C989" s="10">
        <f>64.062 * CHOOSE(CONTROL!$C$15, $E$9, 100%, $G$9) + CHOOSE(CONTROL!$C$38, 0.0369, 0)</f>
        <v>64.0989</v>
      </c>
      <c r="D989" s="10">
        <f>64.0542 * CHOOSE(CONTROL!$C$15, $E$9, 100%, $G$9) + CHOOSE(CONTROL!$C$38, 0.0369, 0)</f>
        <v>64.091099999999997</v>
      </c>
      <c r="E989" s="28">
        <f>69.2969 * CHOOSE(CONTROL!$C$15, $E$9, 100%, $G$9) + CHOOSE(CONTROL!$C$38, 0.0369, 0)</f>
        <v>69.333799999999997</v>
      </c>
      <c r="F989" s="27">
        <f>69.2969 * CHOOSE(CONTROL!$C$15, $E$9, 100%, $G$9) + CHOOSE(CONTROL!$C$38, 0.0278, 0)</f>
        <v>69.324699999999993</v>
      </c>
      <c r="G989" s="10">
        <f>64.0604 * CHOOSE(CONTROL!$C$15, $E$9, 100%, $G$9) + CHOOSE(CONTROL!$C$38, 0.0369, 0)</f>
        <v>64.097300000000004</v>
      </c>
      <c r="H989" s="10">
        <f>64.0604 * CHOOSE(CONTROL!$C$15, $E$9, 100%, $G$9) + CHOOSE(CONTROL!$C$38, 0.0369, 0)</f>
        <v>64.097300000000004</v>
      </c>
      <c r="I989" s="10">
        <f>64.062 * CHOOSE(CONTROL!$C$15, $E$9, 100%, $G$9) + CHOOSE(CONTROL!$C$38, 0.0369, 0)</f>
        <v>64.0989</v>
      </c>
      <c r="J989" s="26">
        <f>705.7618</f>
        <v>705.76179999999999</v>
      </c>
    </row>
    <row r="990" spans="1:10" ht="15.75" x14ac:dyDescent="0.25">
      <c r="A990" s="13">
        <v>71071</v>
      </c>
      <c r="B990" s="10">
        <f>69.2467 * CHOOSE(CONTROL!$C$15, $E$9, 100%, $G$9) + CHOOSE(CONTROL!$C$38, 0.0278, 0)</f>
        <v>69.274500000000003</v>
      </c>
      <c r="C990" s="10">
        <f>63.8555 * CHOOSE(CONTROL!$C$15, $E$9, 100%, $G$9) + CHOOSE(CONTROL!$C$38, 0.0369, 0)</f>
        <v>63.892400000000002</v>
      </c>
      <c r="D990" s="10">
        <f>63.8477 * CHOOSE(CONTROL!$C$15, $E$9, 100%, $G$9) + CHOOSE(CONTROL!$C$38, 0.0369, 0)</f>
        <v>63.884600000000006</v>
      </c>
      <c r="E990" s="28">
        <f>69.0904 * CHOOSE(CONTROL!$C$15, $E$9, 100%, $G$9) + CHOOSE(CONTROL!$C$38, 0.0369, 0)</f>
        <v>69.127300000000005</v>
      </c>
      <c r="F990" s="27">
        <f>69.0904 * CHOOSE(CONTROL!$C$15, $E$9, 100%, $G$9) + CHOOSE(CONTROL!$C$38, 0.0278, 0)</f>
        <v>69.118200000000002</v>
      </c>
      <c r="G990" s="10">
        <f>63.854 * CHOOSE(CONTROL!$C$15, $E$9, 100%, $G$9) + CHOOSE(CONTROL!$C$38, 0.0369, 0)</f>
        <v>63.890900000000002</v>
      </c>
      <c r="H990" s="10">
        <f>63.854 * CHOOSE(CONTROL!$C$15, $E$9, 100%, $G$9) + CHOOSE(CONTROL!$C$38, 0.0369, 0)</f>
        <v>63.890900000000002</v>
      </c>
      <c r="I990" s="10">
        <f>63.8555 * CHOOSE(CONTROL!$C$15, $E$9, 100%, $G$9) + CHOOSE(CONTROL!$C$38, 0.0369, 0)</f>
        <v>63.892400000000002</v>
      </c>
      <c r="J990" s="26">
        <f>702.4611</f>
        <v>702.46109999999999</v>
      </c>
    </row>
    <row r="991" spans="1:10" ht="15.75" x14ac:dyDescent="0.25">
      <c r="A991" s="13">
        <v>71102</v>
      </c>
      <c r="B991" s="10">
        <f>69.3486 * CHOOSE(CONTROL!$C$15, $E$9, 100%, $G$9) + CHOOSE(CONTROL!$C$38, 0.0278, 0)</f>
        <v>69.376400000000004</v>
      </c>
      <c r="C991" s="10">
        <f>63.9574 * CHOOSE(CONTROL!$C$15, $E$9, 100%, $G$9) + CHOOSE(CONTROL!$C$38, 0.0369, 0)</f>
        <v>63.994300000000003</v>
      </c>
      <c r="D991" s="10">
        <f>63.9496 * CHOOSE(CONTROL!$C$15, $E$9, 100%, $G$9) + CHOOSE(CONTROL!$C$38, 0.0369, 0)</f>
        <v>63.986499999999999</v>
      </c>
      <c r="E991" s="28">
        <f>69.1924 * CHOOSE(CONTROL!$C$15, $E$9, 100%, $G$9) + CHOOSE(CONTROL!$C$38, 0.0369, 0)</f>
        <v>69.229300000000009</v>
      </c>
      <c r="F991" s="27">
        <f>69.1924 * CHOOSE(CONTROL!$C$15, $E$9, 100%, $G$9) + CHOOSE(CONTROL!$C$38, 0.0278, 0)</f>
        <v>69.220200000000006</v>
      </c>
      <c r="G991" s="10">
        <f>63.9559 * CHOOSE(CONTROL!$C$15, $E$9, 100%, $G$9) + CHOOSE(CONTROL!$C$38, 0.0369, 0)</f>
        <v>63.992800000000003</v>
      </c>
      <c r="H991" s="10">
        <f>63.9559 * CHOOSE(CONTROL!$C$15, $E$9, 100%, $G$9) + CHOOSE(CONTROL!$C$38, 0.0369, 0)</f>
        <v>63.992800000000003</v>
      </c>
      <c r="I991" s="10">
        <f>63.9574 * CHOOSE(CONTROL!$C$15, $E$9, 100%, $G$9) + CHOOSE(CONTROL!$C$38, 0.0369, 0)</f>
        <v>63.994300000000003</v>
      </c>
      <c r="J991" s="26">
        <f>686.1081</f>
        <v>686.10810000000004</v>
      </c>
    </row>
    <row r="992" spans="1:10" ht="15.75" x14ac:dyDescent="0.25">
      <c r="A992" s="13">
        <v>71132</v>
      </c>
      <c r="B992" s="10">
        <f>69.6254 * CHOOSE(CONTROL!$C$15, $E$9, 100%, $G$9) + CHOOSE(CONTROL!$C$38, 0.0278, 0)</f>
        <v>69.653199999999998</v>
      </c>
      <c r="C992" s="10">
        <f>64.2342 * CHOOSE(CONTROL!$C$15, $E$9, 100%, $G$9) + CHOOSE(CONTROL!$C$38, 0.0369, 0)</f>
        <v>64.271100000000004</v>
      </c>
      <c r="D992" s="10">
        <f>64.2264 * CHOOSE(CONTROL!$C$15, $E$9, 100%, $G$9) + CHOOSE(CONTROL!$C$38, 0.0369, 0)</f>
        <v>64.263300000000001</v>
      </c>
      <c r="E992" s="28">
        <f>69.4691 * CHOOSE(CONTROL!$C$15, $E$9, 100%, $G$9) + CHOOSE(CONTROL!$C$38, 0.0369, 0)</f>
        <v>69.506</v>
      </c>
      <c r="F992" s="27">
        <f>69.4691 * CHOOSE(CONTROL!$C$15, $E$9, 100%, $G$9) + CHOOSE(CONTROL!$C$38, 0.0278, 0)</f>
        <v>69.496899999999997</v>
      </c>
      <c r="G992" s="10">
        <f>64.2327 * CHOOSE(CONTROL!$C$15, $E$9, 100%, $G$9) + CHOOSE(CONTROL!$C$38, 0.0369, 0)</f>
        <v>64.269599999999997</v>
      </c>
      <c r="H992" s="10">
        <f>64.2327 * CHOOSE(CONTROL!$C$15, $E$9, 100%, $G$9) + CHOOSE(CONTROL!$C$38, 0.0369, 0)</f>
        <v>64.269599999999997</v>
      </c>
      <c r="I992" s="10">
        <f>64.2342 * CHOOSE(CONTROL!$C$15, $E$9, 100%, $G$9) + CHOOSE(CONTROL!$C$38, 0.0369, 0)</f>
        <v>64.271100000000004</v>
      </c>
      <c r="J992" s="26">
        <f>663.3031</f>
        <v>663.30309999999997</v>
      </c>
    </row>
    <row r="993" spans="1:10" ht="15.75" x14ac:dyDescent="0.25">
      <c r="A993" s="13">
        <v>71163</v>
      </c>
      <c r="B993" s="10">
        <f>69.8572 * CHOOSE(CONTROL!$C$15, $E$9, 100%, $G$9) + CHOOSE(CONTROL!$C$38, 0.0256, 0)</f>
        <v>69.882800000000003</v>
      </c>
      <c r="C993" s="10">
        <f>64.466 * CHOOSE(CONTROL!$C$15, $E$9, 100%, $G$9) + CHOOSE(CONTROL!$C$38, 0.0347, 0)</f>
        <v>64.500699999999995</v>
      </c>
      <c r="D993" s="10">
        <f>64.4582 * CHOOSE(CONTROL!$C$15, $E$9, 100%, $G$9) + CHOOSE(CONTROL!$C$38, 0.0347, 0)</f>
        <v>64.492900000000006</v>
      </c>
      <c r="E993" s="28">
        <f>69.701 * CHOOSE(CONTROL!$C$15, $E$9, 100%, $G$9) + CHOOSE(CONTROL!$C$38, 0.0347, 0)</f>
        <v>69.735699999999994</v>
      </c>
      <c r="F993" s="27">
        <f>69.701 * CHOOSE(CONTROL!$C$15, $E$9, 100%, $G$9) + CHOOSE(CONTROL!$C$38, 0.0256, 0)</f>
        <v>69.726599999999991</v>
      </c>
      <c r="G993" s="10">
        <f>64.4645 * CHOOSE(CONTROL!$C$15, $E$9, 100%, $G$9) + CHOOSE(CONTROL!$C$38, 0.0347, 0)</f>
        <v>64.499200000000002</v>
      </c>
      <c r="H993" s="10">
        <f>64.4645 * CHOOSE(CONTROL!$C$15, $E$9, 100%, $G$9) + CHOOSE(CONTROL!$C$38, 0.0347, 0)</f>
        <v>64.499200000000002</v>
      </c>
      <c r="I993" s="10">
        <f>64.466 * CHOOSE(CONTROL!$C$15, $E$9, 100%, $G$9) + CHOOSE(CONTROL!$C$38, 0.0347, 0)</f>
        <v>64.500699999999995</v>
      </c>
      <c r="J993" s="26">
        <f>640.3654</f>
        <v>640.36540000000002</v>
      </c>
    </row>
    <row r="994" spans="1:10" ht="15.75" x14ac:dyDescent="0.25">
      <c r="A994" s="13">
        <v>71193</v>
      </c>
      <c r="B994" s="10">
        <f>70.0507 * CHOOSE(CONTROL!$C$15, $E$9, 100%, $G$9) + CHOOSE(CONTROL!$C$38, 0.0256, 0)</f>
        <v>70.076300000000003</v>
      </c>
      <c r="C994" s="10">
        <f>64.6595 * CHOOSE(CONTROL!$C$15, $E$9, 100%, $G$9) + CHOOSE(CONTROL!$C$38, 0.0347, 0)</f>
        <v>64.694199999999995</v>
      </c>
      <c r="D994" s="10">
        <f>64.6517 * CHOOSE(CONTROL!$C$15, $E$9, 100%, $G$9) + CHOOSE(CONTROL!$C$38, 0.0347, 0)</f>
        <v>64.686400000000006</v>
      </c>
      <c r="E994" s="28">
        <f>69.8944 * CHOOSE(CONTROL!$C$15, $E$9, 100%, $G$9) + CHOOSE(CONTROL!$C$38, 0.0347, 0)</f>
        <v>69.929100000000005</v>
      </c>
      <c r="F994" s="27">
        <f>69.8944 * CHOOSE(CONTROL!$C$15, $E$9, 100%, $G$9) + CHOOSE(CONTROL!$C$38, 0.0256, 0)</f>
        <v>69.92</v>
      </c>
      <c r="G994" s="10">
        <f>64.6579 * CHOOSE(CONTROL!$C$15, $E$9, 100%, $G$9) + CHOOSE(CONTROL!$C$38, 0.0347, 0)</f>
        <v>64.692599999999999</v>
      </c>
      <c r="H994" s="10">
        <f>64.6579 * CHOOSE(CONTROL!$C$15, $E$9, 100%, $G$9) + CHOOSE(CONTROL!$C$38, 0.0347, 0)</f>
        <v>64.692599999999999</v>
      </c>
      <c r="I994" s="10">
        <f>64.6595 * CHOOSE(CONTROL!$C$15, $E$9, 100%, $G$9) + CHOOSE(CONTROL!$C$38, 0.0347, 0)</f>
        <v>64.694199999999995</v>
      </c>
      <c r="J994" s="26">
        <f>635.8026</f>
        <v>635.80259999999998</v>
      </c>
    </row>
    <row r="995" spans="1:10" ht="15.75" x14ac:dyDescent="0.25">
      <c r="A995" s="13">
        <v>71224</v>
      </c>
      <c r="B995" s="10">
        <f>70.6467 * CHOOSE(CONTROL!$C$15, $E$9, 100%, $G$9) + CHOOSE(CONTROL!$C$38, 0.0256, 0)</f>
        <v>70.672299999999993</v>
      </c>
      <c r="C995" s="10">
        <f>65.2556 * CHOOSE(CONTROL!$C$15, $E$9, 100%, $G$9) + CHOOSE(CONTROL!$C$38, 0.0347, 0)</f>
        <v>65.290300000000002</v>
      </c>
      <c r="D995" s="10">
        <f>65.2477 * CHOOSE(CONTROL!$C$15, $E$9, 100%, $G$9) + CHOOSE(CONTROL!$C$38, 0.0347, 0)</f>
        <v>65.282399999999996</v>
      </c>
      <c r="E995" s="28">
        <f>70.4905 * CHOOSE(CONTROL!$C$15, $E$9, 100%, $G$9) + CHOOSE(CONTROL!$C$38, 0.0347, 0)</f>
        <v>70.525199999999998</v>
      </c>
      <c r="F995" s="27">
        <f>70.4905 * CHOOSE(CONTROL!$C$15, $E$9, 100%, $G$9) + CHOOSE(CONTROL!$C$38, 0.0256, 0)</f>
        <v>70.516099999999994</v>
      </c>
      <c r="G995" s="10">
        <f>65.254 * CHOOSE(CONTROL!$C$15, $E$9, 100%, $G$9) + CHOOSE(CONTROL!$C$38, 0.0347, 0)</f>
        <v>65.288700000000006</v>
      </c>
      <c r="H995" s="10">
        <f>65.254 * CHOOSE(CONTROL!$C$15, $E$9, 100%, $G$9) + CHOOSE(CONTROL!$C$38, 0.0347, 0)</f>
        <v>65.288700000000006</v>
      </c>
      <c r="I995" s="10">
        <f>65.2556 * CHOOSE(CONTROL!$C$15, $E$9, 100%, $G$9) + CHOOSE(CONTROL!$C$38, 0.0347, 0)</f>
        <v>65.290300000000002</v>
      </c>
      <c r="J995" s="26">
        <f>616.9351</f>
        <v>616.93510000000003</v>
      </c>
    </row>
    <row r="996" spans="1:10" ht="15.75" x14ac:dyDescent="0.25">
      <c r="A996" s="13">
        <v>71255</v>
      </c>
      <c r="B996" s="10">
        <f>72.2564 * CHOOSE(CONTROL!$C$15, $E$9, 100%, $G$9) + CHOOSE(CONTROL!$C$38, 0.0256, 0)</f>
        <v>72.281999999999996</v>
      </c>
      <c r="C996" s="10">
        <f>66.7794 * CHOOSE(CONTROL!$C$15, $E$9, 100%, $G$9) + CHOOSE(CONTROL!$C$38, 0.0347, 0)</f>
        <v>66.814099999999996</v>
      </c>
      <c r="D996" s="10">
        <f>66.7716 * CHOOSE(CONTROL!$C$15, $E$9, 100%, $G$9) + CHOOSE(CONTROL!$C$38, 0.0347, 0)</f>
        <v>66.806300000000007</v>
      </c>
      <c r="E996" s="28">
        <f>72.1001 * CHOOSE(CONTROL!$C$15, $E$9, 100%, $G$9) + CHOOSE(CONTROL!$C$38, 0.0347, 0)</f>
        <v>72.134799999999998</v>
      </c>
      <c r="F996" s="27">
        <f>72.1001 * CHOOSE(CONTROL!$C$15, $E$9, 100%, $G$9) + CHOOSE(CONTROL!$C$38, 0.0256, 0)</f>
        <v>72.125699999999995</v>
      </c>
      <c r="G996" s="10">
        <f>66.7778 * CHOOSE(CONTROL!$C$15, $E$9, 100%, $G$9) + CHOOSE(CONTROL!$C$38, 0.0347, 0)</f>
        <v>66.8125</v>
      </c>
      <c r="H996" s="10">
        <f>66.7778 * CHOOSE(CONTROL!$C$15, $E$9, 100%, $G$9) + CHOOSE(CONTROL!$C$38, 0.0347, 0)</f>
        <v>66.8125</v>
      </c>
      <c r="I996" s="10">
        <f>66.7794 * CHOOSE(CONTROL!$C$15, $E$9, 100%, $G$9) + CHOOSE(CONTROL!$C$38, 0.0347, 0)</f>
        <v>66.814099999999996</v>
      </c>
      <c r="J996" s="26">
        <f>615.7569</f>
        <v>615.75689999999997</v>
      </c>
    </row>
    <row r="997" spans="1:10" ht="15.75" x14ac:dyDescent="0.25">
      <c r="A997" s="13">
        <v>71283</v>
      </c>
      <c r="B997" s="10">
        <f>72.4771 * CHOOSE(CONTROL!$C$15, $E$9, 100%, $G$9) + CHOOSE(CONTROL!$C$38, 0.0256, 0)</f>
        <v>72.50269999999999</v>
      </c>
      <c r="C997" s="10">
        <f>67.0001 * CHOOSE(CONTROL!$C$15, $E$9, 100%, $G$9) + CHOOSE(CONTROL!$C$38, 0.0347, 0)</f>
        <v>67.034800000000004</v>
      </c>
      <c r="D997" s="10">
        <f>66.9923 * CHOOSE(CONTROL!$C$15, $E$9, 100%, $G$9) + CHOOSE(CONTROL!$C$38, 0.0347, 0)</f>
        <v>67.027000000000001</v>
      </c>
      <c r="E997" s="28">
        <f>72.3209 * CHOOSE(CONTROL!$C$15, $E$9, 100%, $G$9) + CHOOSE(CONTROL!$C$38, 0.0347, 0)</f>
        <v>72.355599999999995</v>
      </c>
      <c r="F997" s="27">
        <f>72.3209 * CHOOSE(CONTROL!$C$15, $E$9, 100%, $G$9) + CHOOSE(CONTROL!$C$38, 0.0256, 0)</f>
        <v>72.346499999999992</v>
      </c>
      <c r="G997" s="10">
        <f>66.9986 * CHOOSE(CONTROL!$C$15, $E$9, 100%, $G$9) + CHOOSE(CONTROL!$C$38, 0.0347, 0)</f>
        <v>67.033299999999997</v>
      </c>
      <c r="H997" s="10">
        <f>66.9986 * CHOOSE(CONTROL!$C$15, $E$9, 100%, $G$9) + CHOOSE(CONTROL!$C$38, 0.0347, 0)</f>
        <v>67.033299999999997</v>
      </c>
      <c r="I997" s="10">
        <f>67.0001 * CHOOSE(CONTROL!$C$15, $E$9, 100%, $G$9) + CHOOSE(CONTROL!$C$38, 0.0347, 0)</f>
        <v>67.034800000000004</v>
      </c>
      <c r="J997" s="26">
        <f>614.0453</f>
        <v>614.0453</v>
      </c>
    </row>
    <row r="998" spans="1:10" ht="15.75" x14ac:dyDescent="0.25">
      <c r="A998" s="13">
        <v>71314</v>
      </c>
      <c r="B998" s="10">
        <f>71.9661 * CHOOSE(CONTROL!$C$15, $E$9, 100%, $G$9) + CHOOSE(CONTROL!$C$38, 0.0256, 0)</f>
        <v>71.991699999999994</v>
      </c>
      <c r="C998" s="10">
        <f>66.4891 * CHOOSE(CONTROL!$C$15, $E$9, 100%, $G$9) + CHOOSE(CONTROL!$C$38, 0.0347, 0)</f>
        <v>66.523799999999994</v>
      </c>
      <c r="D998" s="10">
        <f>66.4813 * CHOOSE(CONTROL!$C$15, $E$9, 100%, $G$9) + CHOOSE(CONTROL!$C$38, 0.0347, 0)</f>
        <v>66.516000000000005</v>
      </c>
      <c r="E998" s="28">
        <f>71.8099 * CHOOSE(CONTROL!$C$15, $E$9, 100%, $G$9) + CHOOSE(CONTROL!$C$38, 0.0347, 0)</f>
        <v>71.8446</v>
      </c>
      <c r="F998" s="27">
        <f>71.8099 * CHOOSE(CONTROL!$C$15, $E$9, 100%, $G$9) + CHOOSE(CONTROL!$C$38, 0.0256, 0)</f>
        <v>71.835499999999996</v>
      </c>
      <c r="G998" s="10">
        <f>66.4876 * CHOOSE(CONTROL!$C$15, $E$9, 100%, $G$9) + CHOOSE(CONTROL!$C$38, 0.0347, 0)</f>
        <v>66.522300000000001</v>
      </c>
      <c r="H998" s="10">
        <f>66.4876 * CHOOSE(CONTROL!$C$15, $E$9, 100%, $G$9) + CHOOSE(CONTROL!$C$38, 0.0347, 0)</f>
        <v>66.522300000000001</v>
      </c>
      <c r="I998" s="10">
        <f>66.4891 * CHOOSE(CONTROL!$C$15, $E$9, 100%, $G$9) + CHOOSE(CONTROL!$C$38, 0.0347, 0)</f>
        <v>66.523799999999994</v>
      </c>
      <c r="J998" s="26">
        <f>646.409</f>
        <v>646.40899999999999</v>
      </c>
    </row>
    <row r="999" spans="1:10" ht="15.75" x14ac:dyDescent="0.25">
      <c r="A999" s="13">
        <v>71344</v>
      </c>
      <c r="B999" s="10">
        <f>71.4709 * CHOOSE(CONTROL!$C$15, $E$9, 100%, $G$9) + CHOOSE(CONTROL!$C$38, 0.0256, 0)</f>
        <v>71.496499999999997</v>
      </c>
      <c r="C999" s="10">
        <f>65.9939 * CHOOSE(CONTROL!$C$15, $E$9, 100%, $G$9) + CHOOSE(CONTROL!$C$38, 0.0347, 0)</f>
        <v>66.028599999999997</v>
      </c>
      <c r="D999" s="10">
        <f>65.9861 * CHOOSE(CONTROL!$C$15, $E$9, 100%, $G$9) + CHOOSE(CONTROL!$C$38, 0.0347, 0)</f>
        <v>66.020799999999994</v>
      </c>
      <c r="E999" s="28">
        <f>71.3147 * CHOOSE(CONTROL!$C$15, $E$9, 100%, $G$9) + CHOOSE(CONTROL!$C$38, 0.0347, 0)</f>
        <v>71.349400000000003</v>
      </c>
      <c r="F999" s="27">
        <f>71.3147 * CHOOSE(CONTROL!$C$15, $E$9, 100%, $G$9) + CHOOSE(CONTROL!$C$38, 0.0256, 0)</f>
        <v>71.340299999999999</v>
      </c>
      <c r="G999" s="10">
        <f>65.9924 * CHOOSE(CONTROL!$C$15, $E$9, 100%, $G$9) + CHOOSE(CONTROL!$C$38, 0.0347, 0)</f>
        <v>66.027100000000004</v>
      </c>
      <c r="H999" s="10">
        <f>65.9924 * CHOOSE(CONTROL!$C$15, $E$9, 100%, $G$9) + CHOOSE(CONTROL!$C$38, 0.0347, 0)</f>
        <v>66.027100000000004</v>
      </c>
      <c r="I999" s="10">
        <f>65.9939 * CHOOSE(CONTROL!$C$15, $E$9, 100%, $G$9) + CHOOSE(CONTROL!$C$38, 0.0347, 0)</f>
        <v>66.028599999999997</v>
      </c>
      <c r="J999" s="26">
        <f>688.3771</f>
        <v>688.37710000000004</v>
      </c>
    </row>
    <row r="1000" spans="1:10" ht="15.75" x14ac:dyDescent="0.25">
      <c r="A1000" s="13">
        <v>71375</v>
      </c>
      <c r="B1000" s="10">
        <f>70.9548 * CHOOSE(CONTROL!$C$15, $E$9, 100%, $G$9) + CHOOSE(CONTROL!$C$38, 0.0278, 0)</f>
        <v>70.982600000000005</v>
      </c>
      <c r="C1000" s="10">
        <f>65.4778 * CHOOSE(CONTROL!$C$15, $E$9, 100%, $G$9) + CHOOSE(CONTROL!$C$38, 0.0369, 0)</f>
        <v>65.514700000000005</v>
      </c>
      <c r="D1000" s="10">
        <f>65.47 * CHOOSE(CONTROL!$C$15, $E$9, 100%, $G$9) + CHOOSE(CONTROL!$C$38, 0.0369, 0)</f>
        <v>65.506900000000002</v>
      </c>
      <c r="E1000" s="28">
        <f>70.7986 * CHOOSE(CONTROL!$C$15, $E$9, 100%, $G$9) + CHOOSE(CONTROL!$C$38, 0.0369, 0)</f>
        <v>70.835499999999996</v>
      </c>
      <c r="F1000" s="27">
        <f>70.7986 * CHOOSE(CONTROL!$C$15, $E$9, 100%, $G$9) + CHOOSE(CONTROL!$C$38, 0.0278, 0)</f>
        <v>70.826399999999992</v>
      </c>
      <c r="G1000" s="10">
        <f>65.4763 * CHOOSE(CONTROL!$C$15, $E$9, 100%, $G$9) + CHOOSE(CONTROL!$C$38, 0.0369, 0)</f>
        <v>65.513199999999998</v>
      </c>
      <c r="H1000" s="10">
        <f>65.4763 * CHOOSE(CONTROL!$C$15, $E$9, 100%, $G$9) + CHOOSE(CONTROL!$C$38, 0.0369, 0)</f>
        <v>65.513199999999998</v>
      </c>
      <c r="I1000" s="10">
        <f>65.4778 * CHOOSE(CONTROL!$C$15, $E$9, 100%, $G$9) + CHOOSE(CONTROL!$C$38, 0.0369, 0)</f>
        <v>65.514700000000005</v>
      </c>
      <c r="J1000" s="26">
        <f>711.4776</f>
        <v>711.47760000000005</v>
      </c>
    </row>
    <row r="1001" spans="1:10" ht="15.75" x14ac:dyDescent="0.25">
      <c r="A1001" s="13">
        <v>71405</v>
      </c>
      <c r="B1001" s="10">
        <f>70.593 * CHOOSE(CONTROL!$C$15, $E$9, 100%, $G$9) + CHOOSE(CONTROL!$C$38, 0.0278, 0)</f>
        <v>70.620800000000003</v>
      </c>
      <c r="C1001" s="10">
        <f>65.116 * CHOOSE(CONTROL!$C$15, $E$9, 100%, $G$9) + CHOOSE(CONTROL!$C$38, 0.0369, 0)</f>
        <v>65.152900000000002</v>
      </c>
      <c r="D1001" s="10">
        <f>65.1082 * CHOOSE(CONTROL!$C$15, $E$9, 100%, $G$9) + CHOOSE(CONTROL!$C$38, 0.0369, 0)</f>
        <v>65.145099999999999</v>
      </c>
      <c r="E1001" s="28">
        <f>70.4367 * CHOOSE(CONTROL!$C$15, $E$9, 100%, $G$9) + CHOOSE(CONTROL!$C$38, 0.0369, 0)</f>
        <v>70.473600000000005</v>
      </c>
      <c r="F1001" s="27">
        <f>70.4367 * CHOOSE(CONTROL!$C$15, $E$9, 100%, $G$9) + CHOOSE(CONTROL!$C$38, 0.0278, 0)</f>
        <v>70.464500000000001</v>
      </c>
      <c r="G1001" s="10">
        <f>65.1144 * CHOOSE(CONTROL!$C$15, $E$9, 100%, $G$9) + CHOOSE(CONTROL!$C$38, 0.0369, 0)</f>
        <v>65.151300000000006</v>
      </c>
      <c r="H1001" s="10">
        <f>65.1144 * CHOOSE(CONTROL!$C$15, $E$9, 100%, $G$9) + CHOOSE(CONTROL!$C$38, 0.0369, 0)</f>
        <v>65.151300000000006</v>
      </c>
      <c r="I1001" s="10">
        <f>65.116 * CHOOSE(CONTROL!$C$15, $E$9, 100%, $G$9) + CHOOSE(CONTROL!$C$38, 0.0369, 0)</f>
        <v>65.152900000000002</v>
      </c>
      <c r="J1001" s="26">
        <f>721.7293</f>
        <v>721.72929999999997</v>
      </c>
    </row>
    <row r="1002" spans="1:10" ht="15.75" x14ac:dyDescent="0.25">
      <c r="A1002" s="13">
        <v>71436</v>
      </c>
      <c r="B1002" s="10">
        <f>70.3865 * CHOOSE(CONTROL!$C$15, $E$9, 100%, $G$9) + CHOOSE(CONTROL!$C$38, 0.0278, 0)</f>
        <v>70.414299999999997</v>
      </c>
      <c r="C1002" s="10">
        <f>64.9095 * CHOOSE(CONTROL!$C$15, $E$9, 100%, $G$9) + CHOOSE(CONTROL!$C$38, 0.0369, 0)</f>
        <v>64.946399999999997</v>
      </c>
      <c r="D1002" s="10">
        <f>64.9017 * CHOOSE(CONTROL!$C$15, $E$9, 100%, $G$9) + CHOOSE(CONTROL!$C$38, 0.0369, 0)</f>
        <v>64.938600000000008</v>
      </c>
      <c r="E1002" s="28">
        <f>70.2303 * CHOOSE(CONTROL!$C$15, $E$9, 100%, $G$9) + CHOOSE(CONTROL!$C$38, 0.0369, 0)</f>
        <v>70.267200000000003</v>
      </c>
      <c r="F1002" s="27">
        <f>70.2303 * CHOOSE(CONTROL!$C$15, $E$9, 100%, $G$9) + CHOOSE(CONTROL!$C$38, 0.0278, 0)</f>
        <v>70.258099999999999</v>
      </c>
      <c r="G1002" s="10">
        <f>64.9079 * CHOOSE(CONTROL!$C$15, $E$9, 100%, $G$9) + CHOOSE(CONTROL!$C$38, 0.0369, 0)</f>
        <v>64.944800000000001</v>
      </c>
      <c r="H1002" s="10">
        <f>64.9079 * CHOOSE(CONTROL!$C$15, $E$9, 100%, $G$9) + CHOOSE(CONTROL!$C$38, 0.0369, 0)</f>
        <v>64.944800000000001</v>
      </c>
      <c r="I1002" s="10">
        <f>64.9095 * CHOOSE(CONTROL!$C$15, $E$9, 100%, $G$9) + CHOOSE(CONTROL!$C$38, 0.0369, 0)</f>
        <v>64.946399999999997</v>
      </c>
      <c r="J1002" s="26">
        <f>718.3539</f>
        <v>718.35389999999995</v>
      </c>
    </row>
    <row r="1003" spans="1:10" ht="15.75" x14ac:dyDescent="0.25">
      <c r="A1003" s="13">
        <v>71467</v>
      </c>
      <c r="B1003" s="10">
        <f>70.4884 * CHOOSE(CONTROL!$C$15, $E$9, 100%, $G$9) + CHOOSE(CONTROL!$C$38, 0.0278, 0)</f>
        <v>70.516199999999998</v>
      </c>
      <c r="C1003" s="10">
        <f>65.0114 * CHOOSE(CONTROL!$C$15, $E$9, 100%, $G$9) + CHOOSE(CONTROL!$C$38, 0.0369, 0)</f>
        <v>65.048299999999998</v>
      </c>
      <c r="D1003" s="10">
        <f>65.0036 * CHOOSE(CONTROL!$C$15, $E$9, 100%, $G$9) + CHOOSE(CONTROL!$C$38, 0.0369, 0)</f>
        <v>65.040500000000009</v>
      </c>
      <c r="E1003" s="28">
        <f>70.3322 * CHOOSE(CONTROL!$C$15, $E$9, 100%, $G$9) + CHOOSE(CONTROL!$C$38, 0.0369, 0)</f>
        <v>70.369100000000003</v>
      </c>
      <c r="F1003" s="27">
        <f>70.3322 * CHOOSE(CONTROL!$C$15, $E$9, 100%, $G$9) + CHOOSE(CONTROL!$C$38, 0.0278, 0)</f>
        <v>70.36</v>
      </c>
      <c r="G1003" s="10">
        <f>65.0098 * CHOOSE(CONTROL!$C$15, $E$9, 100%, $G$9) + CHOOSE(CONTROL!$C$38, 0.0369, 0)</f>
        <v>65.046700000000001</v>
      </c>
      <c r="H1003" s="10">
        <f>65.0098 * CHOOSE(CONTROL!$C$15, $E$9, 100%, $G$9) + CHOOSE(CONTROL!$C$38, 0.0369, 0)</f>
        <v>65.046700000000001</v>
      </c>
      <c r="I1003" s="10">
        <f>65.0114 * CHOOSE(CONTROL!$C$15, $E$9, 100%, $G$9) + CHOOSE(CONTROL!$C$38, 0.0369, 0)</f>
        <v>65.048299999999998</v>
      </c>
      <c r="J1003" s="26">
        <f>701.631</f>
        <v>701.63099999999997</v>
      </c>
    </row>
    <row r="1004" spans="1:10" ht="15.75" x14ac:dyDescent="0.25">
      <c r="A1004" s="13">
        <v>71497</v>
      </c>
      <c r="B1004" s="10">
        <f>70.7652 * CHOOSE(CONTROL!$C$15, $E$9, 100%, $G$9) + CHOOSE(CONTROL!$C$38, 0.0278, 0)</f>
        <v>70.792999999999992</v>
      </c>
      <c r="C1004" s="10">
        <f>65.2882 * CHOOSE(CONTROL!$C$15, $E$9, 100%, $G$9) + CHOOSE(CONTROL!$C$38, 0.0369, 0)</f>
        <v>65.325100000000006</v>
      </c>
      <c r="D1004" s="10">
        <f>65.2804 * CHOOSE(CONTROL!$C$15, $E$9, 100%, $G$9) + CHOOSE(CONTROL!$C$38, 0.0369, 0)</f>
        <v>65.317300000000003</v>
      </c>
      <c r="E1004" s="28">
        <f>70.609 * CHOOSE(CONTROL!$C$15, $E$9, 100%, $G$9) + CHOOSE(CONTROL!$C$38, 0.0369, 0)</f>
        <v>70.645899999999997</v>
      </c>
      <c r="F1004" s="27">
        <f>70.609 * CHOOSE(CONTROL!$C$15, $E$9, 100%, $G$9) + CHOOSE(CONTROL!$C$38, 0.0278, 0)</f>
        <v>70.636799999999994</v>
      </c>
      <c r="G1004" s="10">
        <f>65.2866 * CHOOSE(CONTROL!$C$15, $E$9, 100%, $G$9) + CHOOSE(CONTROL!$C$38, 0.0369, 0)</f>
        <v>65.32350000000001</v>
      </c>
      <c r="H1004" s="10">
        <f>65.2866 * CHOOSE(CONTROL!$C$15, $E$9, 100%, $G$9) + CHOOSE(CONTROL!$C$38, 0.0369, 0)</f>
        <v>65.32350000000001</v>
      </c>
      <c r="I1004" s="10">
        <f>65.2882 * CHOOSE(CONTROL!$C$15, $E$9, 100%, $G$9) + CHOOSE(CONTROL!$C$38, 0.0369, 0)</f>
        <v>65.325100000000006</v>
      </c>
      <c r="J1004" s="26">
        <f>678.31</f>
        <v>678.31</v>
      </c>
    </row>
    <row r="1005" spans="1:10" ht="15.75" x14ac:dyDescent="0.25">
      <c r="A1005" s="13">
        <v>71528</v>
      </c>
      <c r="B1005" s="10">
        <f>70.997 * CHOOSE(CONTROL!$C$15, $E$9, 100%, $G$9) + CHOOSE(CONTROL!$C$38, 0.0256, 0)</f>
        <v>71.022599999999997</v>
      </c>
      <c r="C1005" s="10">
        <f>65.52 * CHOOSE(CONTROL!$C$15, $E$9, 100%, $G$9) + CHOOSE(CONTROL!$C$38, 0.0347, 0)</f>
        <v>65.554699999999997</v>
      </c>
      <c r="D1005" s="10">
        <f>65.5122 * CHOOSE(CONTROL!$C$15, $E$9, 100%, $G$9) + CHOOSE(CONTROL!$C$38, 0.0347, 0)</f>
        <v>65.546900000000008</v>
      </c>
      <c r="E1005" s="28">
        <f>70.8408 * CHOOSE(CONTROL!$C$15, $E$9, 100%, $G$9) + CHOOSE(CONTROL!$C$38, 0.0347, 0)</f>
        <v>70.875500000000002</v>
      </c>
      <c r="F1005" s="27">
        <f>70.8408 * CHOOSE(CONTROL!$C$15, $E$9, 100%, $G$9) + CHOOSE(CONTROL!$C$38, 0.0256, 0)</f>
        <v>70.866399999999999</v>
      </c>
      <c r="G1005" s="10">
        <f>65.5185 * CHOOSE(CONTROL!$C$15, $E$9, 100%, $G$9) + CHOOSE(CONTROL!$C$38, 0.0347, 0)</f>
        <v>65.553200000000004</v>
      </c>
      <c r="H1005" s="10">
        <f>65.5185 * CHOOSE(CONTROL!$C$15, $E$9, 100%, $G$9) + CHOOSE(CONTROL!$C$38, 0.0347, 0)</f>
        <v>65.553200000000004</v>
      </c>
      <c r="I1005" s="10">
        <f>65.52 * CHOOSE(CONTROL!$C$15, $E$9, 100%, $G$9) + CHOOSE(CONTROL!$C$38, 0.0347, 0)</f>
        <v>65.554699999999997</v>
      </c>
      <c r="J1005" s="26">
        <f>654.8533</f>
        <v>654.85329999999999</v>
      </c>
    </row>
    <row r="1006" spans="1:10" ht="15.75" x14ac:dyDescent="0.25">
      <c r="A1006" s="13">
        <v>71558</v>
      </c>
      <c r="B1006" s="10">
        <f>71.1905 * CHOOSE(CONTROL!$C$15, $E$9, 100%, $G$9) + CHOOSE(CONTROL!$C$38, 0.0256, 0)</f>
        <v>71.216099999999997</v>
      </c>
      <c r="C1006" s="10">
        <f>65.7135 * CHOOSE(CONTROL!$C$15, $E$9, 100%, $G$9) + CHOOSE(CONTROL!$C$38, 0.0347, 0)</f>
        <v>65.748199999999997</v>
      </c>
      <c r="D1006" s="10">
        <f>65.7057 * CHOOSE(CONTROL!$C$15, $E$9, 100%, $G$9) + CHOOSE(CONTROL!$C$38, 0.0347, 0)</f>
        <v>65.740399999999994</v>
      </c>
      <c r="E1006" s="28">
        <f>71.0342 * CHOOSE(CONTROL!$C$15, $E$9, 100%, $G$9) + CHOOSE(CONTROL!$C$38, 0.0347, 0)</f>
        <v>71.068899999999999</v>
      </c>
      <c r="F1006" s="27">
        <f>71.0342 * CHOOSE(CONTROL!$C$15, $E$9, 100%, $G$9) + CHOOSE(CONTROL!$C$38, 0.0256, 0)</f>
        <v>71.059799999999996</v>
      </c>
      <c r="G1006" s="10">
        <f>65.7119 * CHOOSE(CONTROL!$C$15, $E$9, 100%, $G$9) + CHOOSE(CONTROL!$C$38, 0.0347, 0)</f>
        <v>65.746600000000001</v>
      </c>
      <c r="H1006" s="10">
        <f>65.7119 * CHOOSE(CONTROL!$C$15, $E$9, 100%, $G$9) + CHOOSE(CONTROL!$C$38, 0.0347, 0)</f>
        <v>65.746600000000001</v>
      </c>
      <c r="I1006" s="10">
        <f>65.7135 * CHOOSE(CONTROL!$C$15, $E$9, 100%, $G$9) + CHOOSE(CONTROL!$C$38, 0.0347, 0)</f>
        <v>65.748199999999997</v>
      </c>
      <c r="J1006" s="26">
        <f>650.1873</f>
        <v>650.18730000000005</v>
      </c>
    </row>
    <row r="1007" spans="1:10" ht="15.75" x14ac:dyDescent="0.25">
      <c r="A1007" s="13">
        <v>71589</v>
      </c>
      <c r="B1007" s="10">
        <f>71.7865 * CHOOSE(CONTROL!$C$15, $E$9, 100%, $G$9) + CHOOSE(CONTROL!$C$38, 0.0256, 0)</f>
        <v>71.812100000000001</v>
      </c>
      <c r="C1007" s="10">
        <f>66.3095 * CHOOSE(CONTROL!$C$15, $E$9, 100%, $G$9) + CHOOSE(CONTROL!$C$38, 0.0347, 0)</f>
        <v>66.344200000000001</v>
      </c>
      <c r="D1007" s="10">
        <f>66.3017 * CHOOSE(CONTROL!$C$15, $E$9, 100%, $G$9) + CHOOSE(CONTROL!$C$38, 0.0347, 0)</f>
        <v>66.336399999999998</v>
      </c>
      <c r="E1007" s="28">
        <f>71.6303 * CHOOSE(CONTROL!$C$15, $E$9, 100%, $G$9) + CHOOSE(CONTROL!$C$38, 0.0347, 0)</f>
        <v>71.665000000000006</v>
      </c>
      <c r="F1007" s="27">
        <f>71.6303 * CHOOSE(CONTROL!$C$15, $E$9, 100%, $G$9) + CHOOSE(CONTROL!$C$38, 0.0256, 0)</f>
        <v>71.655900000000003</v>
      </c>
      <c r="G1007" s="10">
        <f>66.308 * CHOOSE(CONTROL!$C$15, $E$9, 100%, $G$9) + CHOOSE(CONTROL!$C$38, 0.0347, 0)</f>
        <v>66.342700000000008</v>
      </c>
      <c r="H1007" s="10">
        <f>66.308 * CHOOSE(CONTROL!$C$15, $E$9, 100%, $G$9) + CHOOSE(CONTROL!$C$38, 0.0347, 0)</f>
        <v>66.342700000000008</v>
      </c>
      <c r="I1007" s="10">
        <f>66.3095 * CHOOSE(CONTROL!$C$15, $E$9, 100%, $G$9) + CHOOSE(CONTROL!$C$38, 0.0347, 0)</f>
        <v>66.344200000000001</v>
      </c>
      <c r="J1007" s="26">
        <f>630.893</f>
        <v>630.89300000000003</v>
      </c>
    </row>
    <row r="1008" spans="1:10" ht="15.75" x14ac:dyDescent="0.25">
      <c r="A1008" s="13">
        <v>71620</v>
      </c>
      <c r="B1008" s="10">
        <f>73.4149 * CHOOSE(CONTROL!$C$15, $E$9, 100%, $G$9) + CHOOSE(CONTROL!$C$38, 0.0256, 0)</f>
        <v>73.4405</v>
      </c>
      <c r="C1008" s="10">
        <f>67.8506 * CHOOSE(CONTROL!$C$15, $E$9, 100%, $G$9) + CHOOSE(CONTROL!$C$38, 0.0347, 0)</f>
        <v>67.885300000000001</v>
      </c>
      <c r="D1008" s="10">
        <f>67.8428 * CHOOSE(CONTROL!$C$15, $E$9, 100%, $G$9) + CHOOSE(CONTROL!$C$38, 0.0347, 0)</f>
        <v>67.877499999999998</v>
      </c>
      <c r="E1008" s="28">
        <f>73.2586 * CHOOSE(CONTROL!$C$15, $E$9, 100%, $G$9) + CHOOSE(CONTROL!$C$38, 0.0347, 0)</f>
        <v>73.293300000000002</v>
      </c>
      <c r="F1008" s="27">
        <f>73.2586 * CHOOSE(CONTROL!$C$15, $E$9, 100%, $G$9) + CHOOSE(CONTROL!$C$38, 0.0256, 0)</f>
        <v>73.284199999999998</v>
      </c>
      <c r="G1008" s="10">
        <f>67.8491 * CHOOSE(CONTROL!$C$15, $E$9, 100%, $G$9) + CHOOSE(CONTROL!$C$38, 0.0347, 0)</f>
        <v>67.883800000000008</v>
      </c>
      <c r="H1008" s="10">
        <f>67.8491 * CHOOSE(CONTROL!$C$15, $E$9, 100%, $G$9) + CHOOSE(CONTROL!$C$38, 0.0347, 0)</f>
        <v>67.883800000000008</v>
      </c>
      <c r="I1008" s="10">
        <f>67.8506 * CHOOSE(CONTROL!$C$15, $E$9, 100%, $G$9) + CHOOSE(CONTROL!$C$38, 0.0347, 0)</f>
        <v>67.885300000000001</v>
      </c>
      <c r="J1008" s="26">
        <f>629.6881</f>
        <v>629.68809999999996</v>
      </c>
    </row>
    <row r="1009" spans="1:10" ht="15.75" x14ac:dyDescent="0.25">
      <c r="A1009" s="13">
        <v>71649</v>
      </c>
      <c r="B1009" s="10">
        <f>73.6356 * CHOOSE(CONTROL!$C$15, $E$9, 100%, $G$9) + CHOOSE(CONTROL!$C$38, 0.0256, 0)</f>
        <v>73.661199999999994</v>
      </c>
      <c r="C1009" s="10">
        <f>68.0714 * CHOOSE(CONTROL!$C$15, $E$9, 100%, $G$9) + CHOOSE(CONTROL!$C$38, 0.0347, 0)</f>
        <v>68.106099999999998</v>
      </c>
      <c r="D1009" s="10">
        <f>68.0636 * CHOOSE(CONTROL!$C$15, $E$9, 100%, $G$9) + CHOOSE(CONTROL!$C$38, 0.0347, 0)</f>
        <v>68.098299999999995</v>
      </c>
      <c r="E1009" s="28">
        <f>73.4794 * CHOOSE(CONTROL!$C$15, $E$9, 100%, $G$9) + CHOOSE(CONTROL!$C$38, 0.0347, 0)</f>
        <v>73.514099999999999</v>
      </c>
      <c r="F1009" s="27">
        <f>73.4794 * CHOOSE(CONTROL!$C$15, $E$9, 100%, $G$9) + CHOOSE(CONTROL!$C$38, 0.0256, 0)</f>
        <v>73.504999999999995</v>
      </c>
      <c r="G1009" s="10">
        <f>68.0698 * CHOOSE(CONTROL!$C$15, $E$9, 100%, $G$9) + CHOOSE(CONTROL!$C$38, 0.0347, 0)</f>
        <v>68.104500000000002</v>
      </c>
      <c r="H1009" s="10">
        <f>68.0698 * CHOOSE(CONTROL!$C$15, $E$9, 100%, $G$9) + CHOOSE(CONTROL!$C$38, 0.0347, 0)</f>
        <v>68.104500000000002</v>
      </c>
      <c r="I1009" s="10">
        <f>68.0714 * CHOOSE(CONTROL!$C$15, $E$9, 100%, $G$9) + CHOOSE(CONTROL!$C$38, 0.0347, 0)</f>
        <v>68.106099999999998</v>
      </c>
      <c r="J1009" s="26">
        <f>627.9378</f>
        <v>627.93780000000004</v>
      </c>
    </row>
    <row r="1010" spans="1:10" ht="15.75" x14ac:dyDescent="0.25">
      <c r="A1010" s="13">
        <v>71680</v>
      </c>
      <c r="B1010" s="10">
        <f>73.1246 * CHOOSE(CONTROL!$C$15, $E$9, 100%, $G$9) + CHOOSE(CONTROL!$C$38, 0.0256, 0)</f>
        <v>73.150199999999998</v>
      </c>
      <c r="C1010" s="10">
        <f>67.5604 * CHOOSE(CONTROL!$C$15, $E$9, 100%, $G$9) + CHOOSE(CONTROL!$C$38, 0.0347, 0)</f>
        <v>67.595100000000002</v>
      </c>
      <c r="D1010" s="10">
        <f>67.5526 * CHOOSE(CONTROL!$C$15, $E$9, 100%, $G$9) + CHOOSE(CONTROL!$C$38, 0.0347, 0)</f>
        <v>67.587299999999999</v>
      </c>
      <c r="E1010" s="28">
        <f>72.9684 * CHOOSE(CONTROL!$C$15, $E$9, 100%, $G$9) + CHOOSE(CONTROL!$C$38, 0.0347, 0)</f>
        <v>73.003100000000003</v>
      </c>
      <c r="F1010" s="27">
        <f>72.9684 * CHOOSE(CONTROL!$C$15, $E$9, 100%, $G$9) + CHOOSE(CONTROL!$C$38, 0.0256, 0)</f>
        <v>72.994</v>
      </c>
      <c r="G1010" s="10">
        <f>67.5588 * CHOOSE(CONTROL!$C$15, $E$9, 100%, $G$9) + CHOOSE(CONTROL!$C$38, 0.0347, 0)</f>
        <v>67.593500000000006</v>
      </c>
      <c r="H1010" s="10">
        <f>67.5588 * CHOOSE(CONTROL!$C$15, $E$9, 100%, $G$9) + CHOOSE(CONTROL!$C$38, 0.0347, 0)</f>
        <v>67.593500000000006</v>
      </c>
      <c r="I1010" s="10">
        <f>67.5604 * CHOOSE(CONTROL!$C$15, $E$9, 100%, $G$9) + CHOOSE(CONTROL!$C$38, 0.0347, 0)</f>
        <v>67.595100000000002</v>
      </c>
      <c r="J1010" s="26">
        <f>661.0337</f>
        <v>661.03369999999995</v>
      </c>
    </row>
    <row r="1011" spans="1:10" ht="15.75" x14ac:dyDescent="0.25">
      <c r="A1011" s="13">
        <v>71710</v>
      </c>
      <c r="B1011" s="10">
        <f>72.6294 * CHOOSE(CONTROL!$C$15, $E$9, 100%, $G$9) + CHOOSE(CONTROL!$C$38, 0.0256, 0)</f>
        <v>72.655000000000001</v>
      </c>
      <c r="C1011" s="10">
        <f>67.0652 * CHOOSE(CONTROL!$C$15, $E$9, 100%, $G$9) + CHOOSE(CONTROL!$C$38, 0.0347, 0)</f>
        <v>67.099900000000005</v>
      </c>
      <c r="D1011" s="10">
        <f>67.0574 * CHOOSE(CONTROL!$C$15, $E$9, 100%, $G$9) + CHOOSE(CONTROL!$C$38, 0.0347, 0)</f>
        <v>67.092100000000002</v>
      </c>
      <c r="E1011" s="28">
        <f>72.4732 * CHOOSE(CONTROL!$C$15, $E$9, 100%, $G$9) + CHOOSE(CONTROL!$C$38, 0.0347, 0)</f>
        <v>72.507900000000006</v>
      </c>
      <c r="F1011" s="27">
        <f>72.4732 * CHOOSE(CONTROL!$C$15, $E$9, 100%, $G$9) + CHOOSE(CONTROL!$C$38, 0.0256, 0)</f>
        <v>72.498800000000003</v>
      </c>
      <c r="G1011" s="10">
        <f>67.0636 * CHOOSE(CONTROL!$C$15, $E$9, 100%, $G$9) + CHOOSE(CONTROL!$C$38, 0.0347, 0)</f>
        <v>67.098299999999995</v>
      </c>
      <c r="H1011" s="10">
        <f>67.0636 * CHOOSE(CONTROL!$C$15, $E$9, 100%, $G$9) + CHOOSE(CONTROL!$C$38, 0.0347, 0)</f>
        <v>67.098299999999995</v>
      </c>
      <c r="I1011" s="10">
        <f>67.0652 * CHOOSE(CONTROL!$C$15, $E$9, 100%, $G$9) + CHOOSE(CONTROL!$C$38, 0.0347, 0)</f>
        <v>67.099900000000005</v>
      </c>
      <c r="J1011" s="26">
        <f>703.9513</f>
        <v>703.95129999999995</v>
      </c>
    </row>
    <row r="1012" spans="1:10" ht="15.75" x14ac:dyDescent="0.25">
      <c r="A1012" s="13">
        <v>71741</v>
      </c>
      <c r="B1012" s="10">
        <f>72.1133 * CHOOSE(CONTROL!$C$15, $E$9, 100%, $G$9) + CHOOSE(CONTROL!$C$38, 0.0278, 0)</f>
        <v>72.141099999999994</v>
      </c>
      <c r="C1012" s="10">
        <f>66.5491 * CHOOSE(CONTROL!$C$15, $E$9, 100%, $G$9) + CHOOSE(CONTROL!$C$38, 0.0369, 0)</f>
        <v>66.585999999999999</v>
      </c>
      <c r="D1012" s="10">
        <f>66.5413 * CHOOSE(CONTROL!$C$15, $E$9, 100%, $G$9) + CHOOSE(CONTROL!$C$38, 0.0369, 0)</f>
        <v>66.57820000000001</v>
      </c>
      <c r="E1012" s="28">
        <f>71.9571 * CHOOSE(CONTROL!$C$15, $E$9, 100%, $G$9) + CHOOSE(CONTROL!$C$38, 0.0369, 0)</f>
        <v>71.994</v>
      </c>
      <c r="F1012" s="27">
        <f>71.9571 * CHOOSE(CONTROL!$C$15, $E$9, 100%, $G$9) + CHOOSE(CONTROL!$C$38, 0.0278, 0)</f>
        <v>71.984899999999996</v>
      </c>
      <c r="G1012" s="10">
        <f>66.5475 * CHOOSE(CONTROL!$C$15, $E$9, 100%, $G$9) + CHOOSE(CONTROL!$C$38, 0.0369, 0)</f>
        <v>66.584400000000002</v>
      </c>
      <c r="H1012" s="10">
        <f>66.5475 * CHOOSE(CONTROL!$C$15, $E$9, 100%, $G$9) + CHOOSE(CONTROL!$C$38, 0.0369, 0)</f>
        <v>66.584400000000002</v>
      </c>
      <c r="I1012" s="10">
        <f>66.5491 * CHOOSE(CONTROL!$C$15, $E$9, 100%, $G$9) + CHOOSE(CONTROL!$C$38, 0.0369, 0)</f>
        <v>66.585999999999999</v>
      </c>
      <c r="J1012" s="26">
        <f>727.5745</f>
        <v>727.57449999999994</v>
      </c>
    </row>
    <row r="1013" spans="1:10" ht="15.75" x14ac:dyDescent="0.25">
      <c r="A1013" s="13">
        <v>71771</v>
      </c>
      <c r="B1013" s="10">
        <f>71.7515 * CHOOSE(CONTROL!$C$15, $E$9, 100%, $G$9) + CHOOSE(CONTROL!$C$38, 0.0278, 0)</f>
        <v>71.779299999999992</v>
      </c>
      <c r="C1013" s="10">
        <f>66.1872 * CHOOSE(CONTROL!$C$15, $E$9, 100%, $G$9) + CHOOSE(CONTROL!$C$38, 0.0369, 0)</f>
        <v>66.224100000000007</v>
      </c>
      <c r="D1013" s="10">
        <f>66.1794 * CHOOSE(CONTROL!$C$15, $E$9, 100%, $G$9) + CHOOSE(CONTROL!$C$38, 0.0369, 0)</f>
        <v>66.216300000000004</v>
      </c>
      <c r="E1013" s="28">
        <f>71.5952 * CHOOSE(CONTROL!$C$15, $E$9, 100%, $G$9) + CHOOSE(CONTROL!$C$38, 0.0369, 0)</f>
        <v>71.632100000000008</v>
      </c>
      <c r="F1013" s="27">
        <f>71.5952 * CHOOSE(CONTROL!$C$15, $E$9, 100%, $G$9) + CHOOSE(CONTROL!$C$38, 0.0278, 0)</f>
        <v>71.623000000000005</v>
      </c>
      <c r="G1013" s="10">
        <f>66.1857 * CHOOSE(CONTROL!$C$15, $E$9, 100%, $G$9) + CHOOSE(CONTROL!$C$38, 0.0369, 0)</f>
        <v>66.2226</v>
      </c>
      <c r="H1013" s="10">
        <f>66.1857 * CHOOSE(CONTROL!$C$15, $E$9, 100%, $G$9) + CHOOSE(CONTROL!$C$38, 0.0369, 0)</f>
        <v>66.2226</v>
      </c>
      <c r="I1013" s="10">
        <f>66.1872 * CHOOSE(CONTROL!$C$15, $E$9, 100%, $G$9) + CHOOSE(CONTROL!$C$38, 0.0369, 0)</f>
        <v>66.224100000000007</v>
      </c>
      <c r="J1013" s="26">
        <f>738.058</f>
        <v>738.05799999999999</v>
      </c>
    </row>
    <row r="1014" spans="1:10" ht="15.75" x14ac:dyDescent="0.25">
      <c r="A1014" s="13">
        <v>71802</v>
      </c>
      <c r="B1014" s="10">
        <f>71.545 * CHOOSE(CONTROL!$C$15, $E$9, 100%, $G$9) + CHOOSE(CONTROL!$C$38, 0.0278, 0)</f>
        <v>71.572800000000001</v>
      </c>
      <c r="C1014" s="10">
        <f>65.9808 * CHOOSE(CONTROL!$C$15, $E$9, 100%, $G$9) + CHOOSE(CONTROL!$C$38, 0.0369, 0)</f>
        <v>66.017700000000005</v>
      </c>
      <c r="D1014" s="10">
        <f>65.9729 * CHOOSE(CONTROL!$C$15, $E$9, 100%, $G$9) + CHOOSE(CONTROL!$C$38, 0.0369, 0)</f>
        <v>66.009799999999998</v>
      </c>
      <c r="E1014" s="28">
        <f>71.3887 * CHOOSE(CONTROL!$C$15, $E$9, 100%, $G$9) + CHOOSE(CONTROL!$C$38, 0.0369, 0)</f>
        <v>71.425600000000003</v>
      </c>
      <c r="F1014" s="27">
        <f>71.3887 * CHOOSE(CONTROL!$C$15, $E$9, 100%, $G$9) + CHOOSE(CONTROL!$C$38, 0.0278, 0)</f>
        <v>71.416499999999999</v>
      </c>
      <c r="G1014" s="10">
        <f>65.9792 * CHOOSE(CONTROL!$C$15, $E$9, 100%, $G$9) + CHOOSE(CONTROL!$C$38, 0.0369, 0)</f>
        <v>66.016100000000009</v>
      </c>
      <c r="H1014" s="10">
        <f>65.9792 * CHOOSE(CONTROL!$C$15, $E$9, 100%, $G$9) + CHOOSE(CONTROL!$C$38, 0.0369, 0)</f>
        <v>66.016100000000009</v>
      </c>
      <c r="I1014" s="10">
        <f>65.9808 * CHOOSE(CONTROL!$C$15, $E$9, 100%, $G$9) + CHOOSE(CONTROL!$C$38, 0.0369, 0)</f>
        <v>66.017700000000005</v>
      </c>
      <c r="J1014" s="26">
        <f>734.6063</f>
        <v>734.60630000000003</v>
      </c>
    </row>
    <row r="1015" spans="1:10" ht="15.75" x14ac:dyDescent="0.25">
      <c r="A1015" s="13">
        <v>71833</v>
      </c>
      <c r="B1015" s="10">
        <f>71.6469 * CHOOSE(CONTROL!$C$15, $E$9, 100%, $G$9) + CHOOSE(CONTROL!$C$38, 0.0278, 0)</f>
        <v>71.674700000000001</v>
      </c>
      <c r="C1015" s="10">
        <f>66.0827 * CHOOSE(CONTROL!$C$15, $E$9, 100%, $G$9) + CHOOSE(CONTROL!$C$38, 0.0369, 0)</f>
        <v>66.119600000000005</v>
      </c>
      <c r="D1015" s="10">
        <f>66.0749 * CHOOSE(CONTROL!$C$15, $E$9, 100%, $G$9) + CHOOSE(CONTROL!$C$38, 0.0369, 0)</f>
        <v>66.111800000000002</v>
      </c>
      <c r="E1015" s="28">
        <f>71.4907 * CHOOSE(CONTROL!$C$15, $E$9, 100%, $G$9) + CHOOSE(CONTROL!$C$38, 0.0369, 0)</f>
        <v>71.527600000000007</v>
      </c>
      <c r="F1015" s="27">
        <f>71.4907 * CHOOSE(CONTROL!$C$15, $E$9, 100%, $G$9) + CHOOSE(CONTROL!$C$38, 0.0278, 0)</f>
        <v>71.518500000000003</v>
      </c>
      <c r="G1015" s="10">
        <f>66.0811 * CHOOSE(CONTROL!$C$15, $E$9, 100%, $G$9) + CHOOSE(CONTROL!$C$38, 0.0369, 0)</f>
        <v>66.118000000000009</v>
      </c>
      <c r="H1015" s="10">
        <f>66.0811 * CHOOSE(CONTROL!$C$15, $E$9, 100%, $G$9) + CHOOSE(CONTROL!$C$38, 0.0369, 0)</f>
        <v>66.118000000000009</v>
      </c>
      <c r="I1015" s="10">
        <f>66.0827 * CHOOSE(CONTROL!$C$15, $E$9, 100%, $G$9) + CHOOSE(CONTROL!$C$38, 0.0369, 0)</f>
        <v>66.119600000000005</v>
      </c>
      <c r="J1015" s="26">
        <f>717.505</f>
        <v>717.505</v>
      </c>
    </row>
    <row r="1016" spans="1:10" ht="15.75" x14ac:dyDescent="0.25">
      <c r="A1016" s="13">
        <v>71863</v>
      </c>
      <c r="B1016" s="10">
        <f>71.9237 * CHOOSE(CONTROL!$C$15, $E$9, 100%, $G$9) + CHOOSE(CONTROL!$C$38, 0.0278, 0)</f>
        <v>71.951499999999996</v>
      </c>
      <c r="C1016" s="10">
        <f>66.3595 * CHOOSE(CONTROL!$C$15, $E$9, 100%, $G$9) + CHOOSE(CONTROL!$C$38, 0.0369, 0)</f>
        <v>66.3964</v>
      </c>
      <c r="D1016" s="10">
        <f>66.3516 * CHOOSE(CONTROL!$C$15, $E$9, 100%, $G$9) + CHOOSE(CONTROL!$C$38, 0.0369, 0)</f>
        <v>66.388500000000008</v>
      </c>
      <c r="E1016" s="28">
        <f>71.7675 * CHOOSE(CONTROL!$C$15, $E$9, 100%, $G$9) + CHOOSE(CONTROL!$C$38, 0.0369, 0)</f>
        <v>71.804400000000001</v>
      </c>
      <c r="F1016" s="27">
        <f>71.7675 * CHOOSE(CONTROL!$C$15, $E$9, 100%, $G$9) + CHOOSE(CONTROL!$C$38, 0.0278, 0)</f>
        <v>71.795299999999997</v>
      </c>
      <c r="G1016" s="10">
        <f>66.3579 * CHOOSE(CONTROL!$C$15, $E$9, 100%, $G$9) + CHOOSE(CONTROL!$C$38, 0.0369, 0)</f>
        <v>66.394800000000004</v>
      </c>
      <c r="H1016" s="10">
        <f>66.3579 * CHOOSE(CONTROL!$C$15, $E$9, 100%, $G$9) + CHOOSE(CONTROL!$C$38, 0.0369, 0)</f>
        <v>66.394800000000004</v>
      </c>
      <c r="I1016" s="10">
        <f>66.3595 * CHOOSE(CONTROL!$C$15, $E$9, 100%, $G$9) + CHOOSE(CONTROL!$C$38, 0.0369, 0)</f>
        <v>66.3964</v>
      </c>
      <c r="J1016" s="26">
        <f>693.6564</f>
        <v>693.65639999999996</v>
      </c>
    </row>
    <row r="1017" spans="1:10" ht="15.75" x14ac:dyDescent="0.25">
      <c r="A1017" s="13">
        <v>71894</v>
      </c>
      <c r="B1017" s="10">
        <f>72.1555 * CHOOSE(CONTROL!$C$15, $E$9, 100%, $G$9) + CHOOSE(CONTROL!$C$38, 0.0256, 0)</f>
        <v>72.181100000000001</v>
      </c>
      <c r="C1017" s="10">
        <f>66.5913 * CHOOSE(CONTROL!$C$15, $E$9, 100%, $G$9) + CHOOSE(CONTROL!$C$38, 0.0347, 0)</f>
        <v>66.626000000000005</v>
      </c>
      <c r="D1017" s="10">
        <f>66.5835 * CHOOSE(CONTROL!$C$15, $E$9, 100%, $G$9) + CHOOSE(CONTROL!$C$38, 0.0347, 0)</f>
        <v>66.618200000000002</v>
      </c>
      <c r="E1017" s="28">
        <f>71.9993 * CHOOSE(CONTROL!$C$15, $E$9, 100%, $G$9) + CHOOSE(CONTROL!$C$38, 0.0347, 0)</f>
        <v>72.034000000000006</v>
      </c>
      <c r="F1017" s="27">
        <f>71.9993 * CHOOSE(CONTROL!$C$15, $E$9, 100%, $G$9) + CHOOSE(CONTROL!$C$38, 0.0256, 0)</f>
        <v>72.024900000000002</v>
      </c>
      <c r="G1017" s="10">
        <f>66.5897 * CHOOSE(CONTROL!$C$15, $E$9, 100%, $G$9) + CHOOSE(CONTROL!$C$38, 0.0347, 0)</f>
        <v>66.624399999999994</v>
      </c>
      <c r="H1017" s="10">
        <f>66.5897 * CHOOSE(CONTROL!$C$15, $E$9, 100%, $G$9) + CHOOSE(CONTROL!$C$38, 0.0347, 0)</f>
        <v>66.624399999999994</v>
      </c>
      <c r="I1017" s="10">
        <f>66.5913 * CHOOSE(CONTROL!$C$15, $E$9, 100%, $G$9) + CHOOSE(CONTROL!$C$38, 0.0347, 0)</f>
        <v>66.626000000000005</v>
      </c>
      <c r="J1017" s="26">
        <f>669.669</f>
        <v>669.66899999999998</v>
      </c>
    </row>
    <row r="1018" spans="1:10" ht="15.75" x14ac:dyDescent="0.25">
      <c r="A1018" s="13">
        <v>71924</v>
      </c>
      <c r="B1018" s="10">
        <f>72.349 * CHOOSE(CONTROL!$C$15, $E$9, 100%, $G$9) + CHOOSE(CONTROL!$C$38, 0.0256, 0)</f>
        <v>72.374600000000001</v>
      </c>
      <c r="C1018" s="10">
        <f>66.7847 * CHOOSE(CONTROL!$C$15, $E$9, 100%, $G$9) + CHOOSE(CONTROL!$C$38, 0.0347, 0)</f>
        <v>66.819400000000002</v>
      </c>
      <c r="D1018" s="10">
        <f>66.7769 * CHOOSE(CONTROL!$C$15, $E$9, 100%, $G$9) + CHOOSE(CONTROL!$C$38, 0.0347, 0)</f>
        <v>66.811599999999999</v>
      </c>
      <c r="E1018" s="28">
        <f>72.1927 * CHOOSE(CONTROL!$C$15, $E$9, 100%, $G$9) + CHOOSE(CONTROL!$C$38, 0.0347, 0)</f>
        <v>72.227400000000003</v>
      </c>
      <c r="F1018" s="27">
        <f>72.1927 * CHOOSE(CONTROL!$C$15, $E$9, 100%, $G$9) + CHOOSE(CONTROL!$C$38, 0.0256, 0)</f>
        <v>72.218299999999999</v>
      </c>
      <c r="G1018" s="10">
        <f>66.7832 * CHOOSE(CONTROL!$C$15, $E$9, 100%, $G$9) + CHOOSE(CONTROL!$C$38, 0.0347, 0)</f>
        <v>66.817899999999995</v>
      </c>
      <c r="H1018" s="10">
        <f>66.7832 * CHOOSE(CONTROL!$C$15, $E$9, 100%, $G$9) + CHOOSE(CONTROL!$C$38, 0.0347, 0)</f>
        <v>66.817899999999995</v>
      </c>
      <c r="I1018" s="10">
        <f>66.7847 * CHOOSE(CONTROL!$C$15, $E$9, 100%, $G$9) + CHOOSE(CONTROL!$C$38, 0.0347, 0)</f>
        <v>66.819400000000002</v>
      </c>
      <c r="J1018" s="26">
        <f>664.8975</f>
        <v>664.89750000000004</v>
      </c>
    </row>
    <row r="1019" spans="1:10" ht="15.75" x14ac:dyDescent="0.25">
      <c r="A1019" s="13">
        <v>71955</v>
      </c>
      <c r="B1019" s="10">
        <f>72.945 * CHOOSE(CONTROL!$C$15, $E$9, 100%, $G$9) + CHOOSE(CONTROL!$C$38, 0.0256, 0)</f>
        <v>72.97059999999999</v>
      </c>
      <c r="C1019" s="10">
        <f>67.3808 * CHOOSE(CONTROL!$C$15, $E$9, 100%, $G$9) + CHOOSE(CONTROL!$C$38, 0.0347, 0)</f>
        <v>67.415499999999994</v>
      </c>
      <c r="D1019" s="10">
        <f>67.373 * CHOOSE(CONTROL!$C$15, $E$9, 100%, $G$9) + CHOOSE(CONTROL!$C$38, 0.0347, 0)</f>
        <v>67.407700000000006</v>
      </c>
      <c r="E1019" s="28">
        <f>72.7888 * CHOOSE(CONTROL!$C$15, $E$9, 100%, $G$9) + CHOOSE(CONTROL!$C$38, 0.0347, 0)</f>
        <v>72.823499999999996</v>
      </c>
      <c r="F1019" s="27">
        <f>72.7888 * CHOOSE(CONTROL!$C$15, $E$9, 100%, $G$9) + CHOOSE(CONTROL!$C$38, 0.0256, 0)</f>
        <v>72.814399999999992</v>
      </c>
      <c r="G1019" s="10">
        <f>67.3792 * CHOOSE(CONTROL!$C$15, $E$9, 100%, $G$9) + CHOOSE(CONTROL!$C$38, 0.0347, 0)</f>
        <v>67.413899999999998</v>
      </c>
      <c r="H1019" s="10">
        <f>67.3792 * CHOOSE(CONTROL!$C$15, $E$9, 100%, $G$9) + CHOOSE(CONTROL!$C$38, 0.0347, 0)</f>
        <v>67.413899999999998</v>
      </c>
      <c r="I1019" s="10">
        <f>67.3808 * CHOOSE(CONTROL!$C$15, $E$9, 100%, $G$9) + CHOOSE(CONTROL!$C$38, 0.0347, 0)</f>
        <v>67.415499999999994</v>
      </c>
      <c r="J1019" s="26">
        <f>645.1666</f>
        <v>645.16660000000002</v>
      </c>
    </row>
    <row r="1020" spans="1:10" ht="15.75" x14ac:dyDescent="0.25">
      <c r="A1020" s="13">
        <v>71986</v>
      </c>
      <c r="B1020" s="10">
        <f>74.5924 * CHOOSE(CONTROL!$C$15, $E$9, 100%, $G$9) + CHOOSE(CONTROL!$C$38, 0.0256, 0)</f>
        <v>74.617999999999995</v>
      </c>
      <c r="C1020" s="10">
        <f>68.9395 * CHOOSE(CONTROL!$C$15, $E$9, 100%, $G$9) + CHOOSE(CONTROL!$C$38, 0.0347, 0)</f>
        <v>68.974199999999996</v>
      </c>
      <c r="D1020" s="10">
        <f>68.9317 * CHOOSE(CONTROL!$C$15, $E$9, 100%, $G$9) + CHOOSE(CONTROL!$C$38, 0.0347, 0)</f>
        <v>68.966400000000007</v>
      </c>
      <c r="E1020" s="28">
        <f>74.4361 * CHOOSE(CONTROL!$C$15, $E$9, 100%, $G$9) + CHOOSE(CONTROL!$C$38, 0.0347, 0)</f>
        <v>74.470799999999997</v>
      </c>
      <c r="F1020" s="27">
        <f>74.4361 * CHOOSE(CONTROL!$C$15, $E$9, 100%, $G$9) + CHOOSE(CONTROL!$C$38, 0.0256, 0)</f>
        <v>74.461699999999993</v>
      </c>
      <c r="G1020" s="10">
        <f>68.9379 * CHOOSE(CONTROL!$C$15, $E$9, 100%, $G$9) + CHOOSE(CONTROL!$C$38, 0.0347, 0)</f>
        <v>68.9726</v>
      </c>
      <c r="H1020" s="10">
        <f>68.9379 * CHOOSE(CONTROL!$C$15, $E$9, 100%, $G$9) + CHOOSE(CONTROL!$C$38, 0.0347, 0)</f>
        <v>68.9726</v>
      </c>
      <c r="I1020" s="10">
        <f>68.9395 * CHOOSE(CONTROL!$C$15, $E$9, 100%, $G$9) + CHOOSE(CONTROL!$C$38, 0.0347, 0)</f>
        <v>68.974199999999996</v>
      </c>
      <c r="J1020" s="26">
        <f>643.9345</f>
        <v>643.93449999999996</v>
      </c>
    </row>
    <row r="1021" spans="1:10" ht="15.75" x14ac:dyDescent="0.25">
      <c r="A1021" s="13">
        <v>72014</v>
      </c>
      <c r="B1021" s="10">
        <f>74.8131 * CHOOSE(CONTROL!$C$15, $E$9, 100%, $G$9) + CHOOSE(CONTROL!$C$38, 0.0256, 0)</f>
        <v>74.838700000000003</v>
      </c>
      <c r="C1021" s="10">
        <f>69.1602 * CHOOSE(CONTROL!$C$15, $E$9, 100%, $G$9) + CHOOSE(CONTROL!$C$38, 0.0347, 0)</f>
        <v>69.194900000000004</v>
      </c>
      <c r="D1021" s="10">
        <f>69.1524 * CHOOSE(CONTROL!$C$15, $E$9, 100%, $G$9) + CHOOSE(CONTROL!$C$38, 0.0347, 0)</f>
        <v>69.187100000000001</v>
      </c>
      <c r="E1021" s="28">
        <f>74.6569 * CHOOSE(CONTROL!$C$15, $E$9, 100%, $G$9) + CHOOSE(CONTROL!$C$38, 0.0347, 0)</f>
        <v>74.691599999999994</v>
      </c>
      <c r="F1021" s="27">
        <f>74.6569 * CHOOSE(CONTROL!$C$15, $E$9, 100%, $G$9) + CHOOSE(CONTROL!$C$38, 0.0256, 0)</f>
        <v>74.68249999999999</v>
      </c>
      <c r="G1021" s="10">
        <f>69.1587 * CHOOSE(CONTROL!$C$15, $E$9, 100%, $G$9) + CHOOSE(CONTROL!$C$38, 0.0347, 0)</f>
        <v>69.193399999999997</v>
      </c>
      <c r="H1021" s="10">
        <f>69.1587 * CHOOSE(CONTROL!$C$15, $E$9, 100%, $G$9) + CHOOSE(CONTROL!$C$38, 0.0347, 0)</f>
        <v>69.193399999999997</v>
      </c>
      <c r="I1021" s="10">
        <f>69.1602 * CHOOSE(CONTROL!$C$15, $E$9, 100%, $G$9) + CHOOSE(CONTROL!$C$38, 0.0347, 0)</f>
        <v>69.194900000000004</v>
      </c>
      <c r="J1021" s="26">
        <f>642.1445</f>
        <v>642.14449999999999</v>
      </c>
    </row>
    <row r="1022" spans="1:10" ht="15.75" x14ac:dyDescent="0.25">
      <c r="A1022" s="13">
        <v>72045</v>
      </c>
      <c r="B1022" s="10">
        <f>74.3021 * CHOOSE(CONTROL!$C$15, $E$9, 100%, $G$9) + CHOOSE(CONTROL!$C$38, 0.0256, 0)</f>
        <v>74.327699999999993</v>
      </c>
      <c r="C1022" s="10">
        <f>68.6492 * CHOOSE(CONTROL!$C$15, $E$9, 100%, $G$9) + CHOOSE(CONTROL!$C$38, 0.0347, 0)</f>
        <v>68.683899999999994</v>
      </c>
      <c r="D1022" s="10">
        <f>68.6414 * CHOOSE(CONTROL!$C$15, $E$9, 100%, $G$9) + CHOOSE(CONTROL!$C$38, 0.0347, 0)</f>
        <v>68.676100000000005</v>
      </c>
      <c r="E1022" s="28">
        <f>74.1459 * CHOOSE(CONTROL!$C$15, $E$9, 100%, $G$9) + CHOOSE(CONTROL!$C$38, 0.0347, 0)</f>
        <v>74.180599999999998</v>
      </c>
      <c r="F1022" s="27">
        <f>74.1459 * CHOOSE(CONTROL!$C$15, $E$9, 100%, $G$9) + CHOOSE(CONTROL!$C$38, 0.0256, 0)</f>
        <v>74.171499999999995</v>
      </c>
      <c r="G1022" s="10">
        <f>68.6476 * CHOOSE(CONTROL!$C$15, $E$9, 100%, $G$9) + CHOOSE(CONTROL!$C$38, 0.0347, 0)</f>
        <v>68.682299999999998</v>
      </c>
      <c r="H1022" s="10">
        <f>68.6476 * CHOOSE(CONTROL!$C$15, $E$9, 100%, $G$9) + CHOOSE(CONTROL!$C$38, 0.0347, 0)</f>
        <v>68.682299999999998</v>
      </c>
      <c r="I1022" s="10">
        <f>68.6492 * CHOOSE(CONTROL!$C$15, $E$9, 100%, $G$9) + CHOOSE(CONTROL!$C$38, 0.0347, 0)</f>
        <v>68.683899999999994</v>
      </c>
      <c r="J1022" s="26">
        <f>675.9893</f>
        <v>675.98929999999996</v>
      </c>
    </row>
    <row r="1023" spans="1:10" ht="15.75" x14ac:dyDescent="0.25">
      <c r="A1023" s="13">
        <v>72075</v>
      </c>
      <c r="B1023" s="10">
        <f>73.8069 * CHOOSE(CONTROL!$C$15, $E$9, 100%, $G$9) + CHOOSE(CONTROL!$C$38, 0.0256, 0)</f>
        <v>73.832499999999996</v>
      </c>
      <c r="C1023" s="10">
        <f>68.154 * CHOOSE(CONTROL!$C$15, $E$9, 100%, $G$9) + CHOOSE(CONTROL!$C$38, 0.0347, 0)</f>
        <v>68.188699999999997</v>
      </c>
      <c r="D1023" s="10">
        <f>68.1462 * CHOOSE(CONTROL!$C$15, $E$9, 100%, $G$9) + CHOOSE(CONTROL!$C$38, 0.0347, 0)</f>
        <v>68.180899999999994</v>
      </c>
      <c r="E1023" s="28">
        <f>73.6507 * CHOOSE(CONTROL!$C$15, $E$9, 100%, $G$9) + CHOOSE(CONTROL!$C$38, 0.0347, 0)</f>
        <v>73.685400000000001</v>
      </c>
      <c r="F1023" s="27">
        <f>73.6507 * CHOOSE(CONTROL!$C$15, $E$9, 100%, $G$9) + CHOOSE(CONTROL!$C$38, 0.0256, 0)</f>
        <v>73.676299999999998</v>
      </c>
      <c r="G1023" s="10">
        <f>68.1525 * CHOOSE(CONTROL!$C$15, $E$9, 100%, $G$9) + CHOOSE(CONTROL!$C$38, 0.0347, 0)</f>
        <v>68.187200000000004</v>
      </c>
      <c r="H1023" s="10">
        <f>68.1525 * CHOOSE(CONTROL!$C$15, $E$9, 100%, $G$9) + CHOOSE(CONTROL!$C$38, 0.0347, 0)</f>
        <v>68.187200000000004</v>
      </c>
      <c r="I1023" s="10">
        <f>68.154 * CHOOSE(CONTROL!$C$15, $E$9, 100%, $G$9) + CHOOSE(CONTROL!$C$38, 0.0347, 0)</f>
        <v>68.188699999999997</v>
      </c>
      <c r="J1023" s="26">
        <f>719.8778</f>
        <v>719.87779999999998</v>
      </c>
    </row>
    <row r="1024" spans="1:10" ht="15.75" x14ac:dyDescent="0.25">
      <c r="A1024" s="13">
        <v>72106</v>
      </c>
      <c r="B1024" s="10">
        <f>73.2908 * CHOOSE(CONTROL!$C$15, $E$9, 100%, $G$9) + CHOOSE(CONTROL!$C$38, 0.0278, 0)</f>
        <v>73.318600000000004</v>
      </c>
      <c r="C1024" s="10">
        <f>67.6379 * CHOOSE(CONTROL!$C$15, $E$9, 100%, $G$9) + CHOOSE(CONTROL!$C$38, 0.0369, 0)</f>
        <v>67.674800000000005</v>
      </c>
      <c r="D1024" s="10">
        <f>67.6301 * CHOOSE(CONTROL!$C$15, $E$9, 100%, $G$9) + CHOOSE(CONTROL!$C$38, 0.0369, 0)</f>
        <v>67.667000000000002</v>
      </c>
      <c r="E1024" s="28">
        <f>73.1346 * CHOOSE(CONTROL!$C$15, $E$9, 100%, $G$9) + CHOOSE(CONTROL!$C$38, 0.0369, 0)</f>
        <v>73.171500000000009</v>
      </c>
      <c r="F1024" s="27">
        <f>73.1346 * CHOOSE(CONTROL!$C$15, $E$9, 100%, $G$9) + CHOOSE(CONTROL!$C$38, 0.0278, 0)</f>
        <v>73.162400000000005</v>
      </c>
      <c r="G1024" s="10">
        <f>67.6363 * CHOOSE(CONTROL!$C$15, $E$9, 100%, $G$9) + CHOOSE(CONTROL!$C$38, 0.0369, 0)</f>
        <v>67.673200000000008</v>
      </c>
      <c r="H1024" s="10">
        <f>67.6363 * CHOOSE(CONTROL!$C$15, $E$9, 100%, $G$9) + CHOOSE(CONTROL!$C$38, 0.0369, 0)</f>
        <v>67.673200000000008</v>
      </c>
      <c r="I1024" s="10">
        <f>67.6379 * CHOOSE(CONTROL!$C$15, $E$9, 100%, $G$9) + CHOOSE(CONTROL!$C$38, 0.0369, 0)</f>
        <v>67.674800000000005</v>
      </c>
      <c r="J1024" s="26">
        <f>744.0355</f>
        <v>744.03549999999996</v>
      </c>
    </row>
    <row r="1025" spans="1:10" ht="15.75" x14ac:dyDescent="0.25">
      <c r="A1025" s="13">
        <v>72136</v>
      </c>
      <c r="B1025" s="10">
        <f>72.929 * CHOOSE(CONTROL!$C$15, $E$9, 100%, $G$9) + CHOOSE(CONTROL!$C$38, 0.0278, 0)</f>
        <v>72.956800000000001</v>
      </c>
      <c r="C1025" s="10">
        <f>67.2761 * CHOOSE(CONTROL!$C$15, $E$9, 100%, $G$9) + CHOOSE(CONTROL!$C$38, 0.0369, 0)</f>
        <v>67.313000000000002</v>
      </c>
      <c r="D1025" s="10">
        <f>67.2683 * CHOOSE(CONTROL!$C$15, $E$9, 100%, $G$9) + CHOOSE(CONTROL!$C$38, 0.0369, 0)</f>
        <v>67.305199999999999</v>
      </c>
      <c r="E1025" s="28">
        <f>72.7727 * CHOOSE(CONTROL!$C$15, $E$9, 100%, $G$9) + CHOOSE(CONTROL!$C$38, 0.0369, 0)</f>
        <v>72.809600000000003</v>
      </c>
      <c r="F1025" s="27">
        <f>72.7727 * CHOOSE(CONTROL!$C$15, $E$9, 100%, $G$9) + CHOOSE(CONTROL!$C$38, 0.0278, 0)</f>
        <v>72.8005</v>
      </c>
      <c r="G1025" s="10">
        <f>67.2745 * CHOOSE(CONTROL!$C$15, $E$9, 100%, $G$9) + CHOOSE(CONTROL!$C$38, 0.0369, 0)</f>
        <v>67.311400000000006</v>
      </c>
      <c r="H1025" s="10">
        <f>67.2745 * CHOOSE(CONTROL!$C$15, $E$9, 100%, $G$9) + CHOOSE(CONTROL!$C$38, 0.0369, 0)</f>
        <v>67.311400000000006</v>
      </c>
      <c r="I1025" s="10">
        <f>67.2761 * CHOOSE(CONTROL!$C$15, $E$9, 100%, $G$9) + CHOOSE(CONTROL!$C$38, 0.0369, 0)</f>
        <v>67.313000000000002</v>
      </c>
      <c r="J1025" s="26">
        <f>754.7562</f>
        <v>754.75620000000004</v>
      </c>
    </row>
    <row r="1026" spans="1:10" ht="15.75" x14ac:dyDescent="0.25">
      <c r="A1026" s="13">
        <v>72167</v>
      </c>
      <c r="B1026" s="10">
        <f>72.7225 * CHOOSE(CONTROL!$C$15, $E$9, 100%, $G$9) + CHOOSE(CONTROL!$C$38, 0.0278, 0)</f>
        <v>72.750299999999996</v>
      </c>
      <c r="C1026" s="10">
        <f>67.0696 * CHOOSE(CONTROL!$C$15, $E$9, 100%, $G$9) + CHOOSE(CONTROL!$C$38, 0.0369, 0)</f>
        <v>67.106499999999997</v>
      </c>
      <c r="D1026" s="10">
        <f>67.0618 * CHOOSE(CONTROL!$C$15, $E$9, 100%, $G$9) + CHOOSE(CONTROL!$C$38, 0.0369, 0)</f>
        <v>67.098700000000008</v>
      </c>
      <c r="E1026" s="28">
        <f>72.5662 * CHOOSE(CONTROL!$C$15, $E$9, 100%, $G$9) + CHOOSE(CONTROL!$C$38, 0.0369, 0)</f>
        <v>72.603099999999998</v>
      </c>
      <c r="F1026" s="27">
        <f>72.5662 * CHOOSE(CONTROL!$C$15, $E$9, 100%, $G$9) + CHOOSE(CONTROL!$C$38, 0.0278, 0)</f>
        <v>72.593999999999994</v>
      </c>
      <c r="G1026" s="10">
        <f>67.068 * CHOOSE(CONTROL!$C$15, $E$9, 100%, $G$9) + CHOOSE(CONTROL!$C$38, 0.0369, 0)</f>
        <v>67.104900000000001</v>
      </c>
      <c r="H1026" s="10">
        <f>67.068 * CHOOSE(CONTROL!$C$15, $E$9, 100%, $G$9) + CHOOSE(CONTROL!$C$38, 0.0369, 0)</f>
        <v>67.104900000000001</v>
      </c>
      <c r="I1026" s="10">
        <f>67.0696 * CHOOSE(CONTROL!$C$15, $E$9, 100%, $G$9) + CHOOSE(CONTROL!$C$38, 0.0369, 0)</f>
        <v>67.106499999999997</v>
      </c>
      <c r="J1026" s="26">
        <f>751.2264</f>
        <v>751.22640000000001</v>
      </c>
    </row>
    <row r="1027" spans="1:10" ht="15.75" x14ac:dyDescent="0.25">
      <c r="A1027" s="13">
        <v>72198</v>
      </c>
      <c r="B1027" s="10">
        <f>72.8244 * CHOOSE(CONTROL!$C$15, $E$9, 100%, $G$9) + CHOOSE(CONTROL!$C$38, 0.0278, 0)</f>
        <v>72.852199999999996</v>
      </c>
      <c r="C1027" s="10">
        <f>67.1715 * CHOOSE(CONTROL!$C$15, $E$9, 100%, $G$9) + CHOOSE(CONTROL!$C$38, 0.0369, 0)</f>
        <v>67.208399999999997</v>
      </c>
      <c r="D1027" s="10">
        <f>67.1637 * CHOOSE(CONTROL!$C$15, $E$9, 100%, $G$9) + CHOOSE(CONTROL!$C$38, 0.0369, 0)</f>
        <v>67.200600000000009</v>
      </c>
      <c r="E1027" s="28">
        <f>72.6681 * CHOOSE(CONTROL!$C$15, $E$9, 100%, $G$9) + CHOOSE(CONTROL!$C$38, 0.0369, 0)</f>
        <v>72.704999999999998</v>
      </c>
      <c r="F1027" s="27">
        <f>72.6681 * CHOOSE(CONTROL!$C$15, $E$9, 100%, $G$9) + CHOOSE(CONTROL!$C$38, 0.0278, 0)</f>
        <v>72.695899999999995</v>
      </c>
      <c r="G1027" s="10">
        <f>67.1699 * CHOOSE(CONTROL!$C$15, $E$9, 100%, $G$9) + CHOOSE(CONTROL!$C$38, 0.0369, 0)</f>
        <v>67.206800000000001</v>
      </c>
      <c r="H1027" s="10">
        <f>67.1699 * CHOOSE(CONTROL!$C$15, $E$9, 100%, $G$9) + CHOOSE(CONTROL!$C$38, 0.0369, 0)</f>
        <v>67.206800000000001</v>
      </c>
      <c r="I1027" s="10">
        <f>67.1715 * CHOOSE(CONTROL!$C$15, $E$9, 100%, $G$9) + CHOOSE(CONTROL!$C$38, 0.0369, 0)</f>
        <v>67.208399999999997</v>
      </c>
      <c r="J1027" s="26">
        <f>733.7382</f>
        <v>733.73820000000001</v>
      </c>
    </row>
    <row r="1028" spans="1:10" ht="15.75" x14ac:dyDescent="0.25">
      <c r="A1028" s="13">
        <v>72228</v>
      </c>
      <c r="B1028" s="10">
        <f>73.1012 * CHOOSE(CONTROL!$C$15, $E$9, 100%, $G$9) + CHOOSE(CONTROL!$C$38, 0.0278, 0)</f>
        <v>73.129000000000005</v>
      </c>
      <c r="C1028" s="10">
        <f>67.4483 * CHOOSE(CONTROL!$C$15, $E$9, 100%, $G$9) + CHOOSE(CONTROL!$C$38, 0.0369, 0)</f>
        <v>67.485200000000006</v>
      </c>
      <c r="D1028" s="10">
        <f>67.4405 * CHOOSE(CONTROL!$C$15, $E$9, 100%, $G$9) + CHOOSE(CONTROL!$C$38, 0.0369, 0)</f>
        <v>67.477400000000003</v>
      </c>
      <c r="E1028" s="28">
        <f>72.9449 * CHOOSE(CONTROL!$C$15, $E$9, 100%, $G$9) + CHOOSE(CONTROL!$C$38, 0.0369, 0)</f>
        <v>72.981800000000007</v>
      </c>
      <c r="F1028" s="27">
        <f>72.9449 * CHOOSE(CONTROL!$C$15, $E$9, 100%, $G$9) + CHOOSE(CONTROL!$C$38, 0.0278, 0)</f>
        <v>72.972700000000003</v>
      </c>
      <c r="G1028" s="10">
        <f>67.4467 * CHOOSE(CONTROL!$C$15, $E$9, 100%, $G$9) + CHOOSE(CONTROL!$C$38, 0.0369, 0)</f>
        <v>67.48360000000001</v>
      </c>
      <c r="H1028" s="10">
        <f>67.4467 * CHOOSE(CONTROL!$C$15, $E$9, 100%, $G$9) + CHOOSE(CONTROL!$C$38, 0.0369, 0)</f>
        <v>67.48360000000001</v>
      </c>
      <c r="I1028" s="10">
        <f>67.4483 * CHOOSE(CONTROL!$C$15, $E$9, 100%, $G$9) + CHOOSE(CONTROL!$C$38, 0.0369, 0)</f>
        <v>67.485200000000006</v>
      </c>
      <c r="J1028" s="26">
        <f>709.35</f>
        <v>709.35</v>
      </c>
    </row>
    <row r="1029" spans="1:10" ht="15.75" x14ac:dyDescent="0.25">
      <c r="A1029" s="13">
        <v>72259</v>
      </c>
      <c r="B1029" s="10">
        <f>73.333 * CHOOSE(CONTROL!$C$15, $E$9, 100%, $G$9) + CHOOSE(CONTROL!$C$38, 0.0256, 0)</f>
        <v>73.358599999999996</v>
      </c>
      <c r="C1029" s="10">
        <f>67.6801 * CHOOSE(CONTROL!$C$15, $E$9, 100%, $G$9) + CHOOSE(CONTROL!$C$38, 0.0347, 0)</f>
        <v>67.714799999999997</v>
      </c>
      <c r="D1029" s="10">
        <f>67.6723 * CHOOSE(CONTROL!$C$15, $E$9, 100%, $G$9) + CHOOSE(CONTROL!$C$38, 0.0347, 0)</f>
        <v>67.707000000000008</v>
      </c>
      <c r="E1029" s="28">
        <f>73.1768 * CHOOSE(CONTROL!$C$15, $E$9, 100%, $G$9) + CHOOSE(CONTROL!$C$38, 0.0347, 0)</f>
        <v>73.211500000000001</v>
      </c>
      <c r="F1029" s="27">
        <f>73.1768 * CHOOSE(CONTROL!$C$15, $E$9, 100%, $G$9) + CHOOSE(CONTROL!$C$38, 0.0256, 0)</f>
        <v>73.202399999999997</v>
      </c>
      <c r="G1029" s="10">
        <f>67.6785 * CHOOSE(CONTROL!$C$15, $E$9, 100%, $G$9) + CHOOSE(CONTROL!$C$38, 0.0347, 0)</f>
        <v>67.713200000000001</v>
      </c>
      <c r="H1029" s="10">
        <f>67.6785 * CHOOSE(CONTROL!$C$15, $E$9, 100%, $G$9) + CHOOSE(CONTROL!$C$38, 0.0347, 0)</f>
        <v>67.713200000000001</v>
      </c>
      <c r="I1029" s="10">
        <f>67.6801 * CHOOSE(CONTROL!$C$15, $E$9, 100%, $G$9) + CHOOSE(CONTROL!$C$38, 0.0347, 0)</f>
        <v>67.714799999999997</v>
      </c>
      <c r="J1029" s="26">
        <f>684.82</f>
        <v>684.82</v>
      </c>
    </row>
    <row r="1030" spans="1:10" ht="15.75" x14ac:dyDescent="0.25">
      <c r="A1030" s="13">
        <v>72289</v>
      </c>
      <c r="B1030" s="10">
        <f>73.5265 * CHOOSE(CONTROL!$C$15, $E$9, 100%, $G$9) + CHOOSE(CONTROL!$C$38, 0.0256, 0)</f>
        <v>73.552099999999996</v>
      </c>
      <c r="C1030" s="10">
        <f>67.8735 * CHOOSE(CONTROL!$C$15, $E$9, 100%, $G$9) + CHOOSE(CONTROL!$C$38, 0.0347, 0)</f>
        <v>67.908200000000008</v>
      </c>
      <c r="D1030" s="10">
        <f>67.8657 * CHOOSE(CONTROL!$C$15, $E$9, 100%, $G$9) + CHOOSE(CONTROL!$C$38, 0.0347, 0)</f>
        <v>67.900400000000005</v>
      </c>
      <c r="E1030" s="28">
        <f>73.3702 * CHOOSE(CONTROL!$C$15, $E$9, 100%, $G$9) + CHOOSE(CONTROL!$C$38, 0.0347, 0)</f>
        <v>73.404899999999998</v>
      </c>
      <c r="F1030" s="27">
        <f>73.3702 * CHOOSE(CONTROL!$C$15, $E$9, 100%, $G$9) + CHOOSE(CONTROL!$C$38, 0.0256, 0)</f>
        <v>73.395799999999994</v>
      </c>
      <c r="G1030" s="10">
        <f>67.872 * CHOOSE(CONTROL!$C$15, $E$9, 100%, $G$9) + CHOOSE(CONTROL!$C$38, 0.0347, 0)</f>
        <v>67.906700000000001</v>
      </c>
      <c r="H1030" s="10">
        <f>67.872 * CHOOSE(CONTROL!$C$15, $E$9, 100%, $G$9) + CHOOSE(CONTROL!$C$38, 0.0347, 0)</f>
        <v>67.906700000000001</v>
      </c>
      <c r="I1030" s="10">
        <f>67.8735 * CHOOSE(CONTROL!$C$15, $E$9, 100%, $G$9) + CHOOSE(CONTROL!$C$38, 0.0347, 0)</f>
        <v>67.908200000000008</v>
      </c>
      <c r="J1030" s="26">
        <f>679.9404</f>
        <v>679.94039999999995</v>
      </c>
    </row>
    <row r="1031" spans="1:10" ht="15.75" x14ac:dyDescent="0.25">
      <c r="A1031" s="13">
        <v>72320</v>
      </c>
      <c r="B1031" s="10">
        <f>74.1225 * CHOOSE(CONTROL!$C$15, $E$9, 100%, $G$9) + CHOOSE(CONTROL!$C$38, 0.0256, 0)</f>
        <v>74.148099999999999</v>
      </c>
      <c r="C1031" s="10">
        <f>68.4696 * CHOOSE(CONTROL!$C$15, $E$9, 100%, $G$9) + CHOOSE(CONTROL!$C$38, 0.0347, 0)</f>
        <v>68.504300000000001</v>
      </c>
      <c r="D1031" s="10">
        <f>68.4618 * CHOOSE(CONTROL!$C$15, $E$9, 100%, $G$9) + CHOOSE(CONTROL!$C$38, 0.0347, 0)</f>
        <v>68.496499999999997</v>
      </c>
      <c r="E1031" s="28">
        <f>73.9663 * CHOOSE(CONTROL!$C$15, $E$9, 100%, $G$9) + CHOOSE(CONTROL!$C$38, 0.0347, 0)</f>
        <v>74.001000000000005</v>
      </c>
      <c r="F1031" s="27">
        <f>73.9663 * CHOOSE(CONTROL!$C$15, $E$9, 100%, $G$9) + CHOOSE(CONTROL!$C$38, 0.0256, 0)</f>
        <v>73.991900000000001</v>
      </c>
      <c r="G1031" s="10">
        <f>68.4681 * CHOOSE(CONTROL!$C$15, $E$9, 100%, $G$9) + CHOOSE(CONTROL!$C$38, 0.0347, 0)</f>
        <v>68.502800000000008</v>
      </c>
      <c r="H1031" s="10">
        <f>68.4681 * CHOOSE(CONTROL!$C$15, $E$9, 100%, $G$9) + CHOOSE(CONTROL!$C$38, 0.0347, 0)</f>
        <v>68.502800000000008</v>
      </c>
      <c r="I1031" s="10">
        <f>68.4696 * CHOOSE(CONTROL!$C$15, $E$9, 100%, $G$9) + CHOOSE(CONTROL!$C$38, 0.0347, 0)</f>
        <v>68.504300000000001</v>
      </c>
      <c r="J1031" s="26">
        <f>659.7632</f>
        <v>659.76319999999998</v>
      </c>
    </row>
    <row r="1032" spans="1:10" ht="15.75" x14ac:dyDescent="0.25">
      <c r="A1032" s="13">
        <v>72351</v>
      </c>
      <c r="B1032" s="10">
        <f>75.7892 * CHOOSE(CONTROL!$C$15, $E$9, 100%, $G$9) + CHOOSE(CONTROL!$C$38, 0.0256, 0)</f>
        <v>75.814799999999991</v>
      </c>
      <c r="C1032" s="10">
        <f>70.0461 * CHOOSE(CONTROL!$C$15, $E$9, 100%, $G$9) + CHOOSE(CONTROL!$C$38, 0.0347, 0)</f>
        <v>70.080799999999996</v>
      </c>
      <c r="D1032" s="10">
        <f>70.0383 * CHOOSE(CONTROL!$C$15, $E$9, 100%, $G$9) + CHOOSE(CONTROL!$C$38, 0.0347, 0)</f>
        <v>70.073000000000008</v>
      </c>
      <c r="E1032" s="28">
        <f>75.6329 * CHOOSE(CONTROL!$C$15, $E$9, 100%, $G$9) + CHOOSE(CONTROL!$C$38, 0.0347, 0)</f>
        <v>75.667600000000007</v>
      </c>
      <c r="F1032" s="27">
        <f>75.6329 * CHOOSE(CONTROL!$C$15, $E$9, 100%, $G$9) + CHOOSE(CONTROL!$C$38, 0.0256, 0)</f>
        <v>75.658500000000004</v>
      </c>
      <c r="G1032" s="10">
        <f>70.0446 * CHOOSE(CONTROL!$C$15, $E$9, 100%, $G$9) + CHOOSE(CONTROL!$C$38, 0.0347, 0)</f>
        <v>70.079300000000003</v>
      </c>
      <c r="H1032" s="10">
        <f>70.0446 * CHOOSE(CONTROL!$C$15, $E$9, 100%, $G$9) + CHOOSE(CONTROL!$C$38, 0.0347, 0)</f>
        <v>70.079300000000003</v>
      </c>
      <c r="I1032" s="10">
        <f>70.0461 * CHOOSE(CONTROL!$C$15, $E$9, 100%, $G$9) + CHOOSE(CONTROL!$C$38, 0.0347, 0)</f>
        <v>70.080799999999996</v>
      </c>
      <c r="J1032" s="26">
        <f>658.5032</f>
        <v>658.50319999999999</v>
      </c>
    </row>
    <row r="1033" spans="1:10" ht="15.75" x14ac:dyDescent="0.25">
      <c r="A1033" s="13">
        <v>72379</v>
      </c>
      <c r="B1033" s="10">
        <f>76.0099 * CHOOSE(CONTROL!$C$15, $E$9, 100%, $G$9) + CHOOSE(CONTROL!$C$38, 0.0256, 0)</f>
        <v>76.035499999999999</v>
      </c>
      <c r="C1033" s="10">
        <f>70.2669 * CHOOSE(CONTROL!$C$15, $E$9, 100%, $G$9) + CHOOSE(CONTROL!$C$38, 0.0347, 0)</f>
        <v>70.301600000000008</v>
      </c>
      <c r="D1033" s="10">
        <f>70.2591 * CHOOSE(CONTROL!$C$15, $E$9, 100%, $G$9) + CHOOSE(CONTROL!$C$38, 0.0347, 0)</f>
        <v>70.293800000000005</v>
      </c>
      <c r="E1033" s="28">
        <f>75.8537 * CHOOSE(CONTROL!$C$15, $E$9, 100%, $G$9) + CHOOSE(CONTROL!$C$38, 0.0347, 0)</f>
        <v>75.888400000000004</v>
      </c>
      <c r="F1033" s="27">
        <f>75.8537 * CHOOSE(CONTROL!$C$15, $E$9, 100%, $G$9) + CHOOSE(CONTROL!$C$38, 0.0256, 0)</f>
        <v>75.879300000000001</v>
      </c>
      <c r="G1033" s="10">
        <f>70.2653 * CHOOSE(CONTROL!$C$15, $E$9, 100%, $G$9) + CHOOSE(CONTROL!$C$38, 0.0347, 0)</f>
        <v>70.3</v>
      </c>
      <c r="H1033" s="10">
        <f>70.2653 * CHOOSE(CONTROL!$C$15, $E$9, 100%, $G$9) + CHOOSE(CONTROL!$C$38, 0.0347, 0)</f>
        <v>70.3</v>
      </c>
      <c r="I1033" s="10">
        <f>70.2669 * CHOOSE(CONTROL!$C$15, $E$9, 100%, $G$9) + CHOOSE(CONTROL!$C$38, 0.0347, 0)</f>
        <v>70.301600000000008</v>
      </c>
      <c r="J1033" s="26">
        <f>656.6727</f>
        <v>656.67269999999996</v>
      </c>
    </row>
    <row r="1034" spans="1:10" ht="15.75" x14ac:dyDescent="0.25">
      <c r="A1034" s="13">
        <v>72410</v>
      </c>
      <c r="B1034" s="10">
        <f>75.4989 * CHOOSE(CONTROL!$C$15, $E$9, 100%, $G$9) + CHOOSE(CONTROL!$C$38, 0.0256, 0)</f>
        <v>75.524500000000003</v>
      </c>
      <c r="C1034" s="10">
        <f>69.7559 * CHOOSE(CONTROL!$C$15, $E$9, 100%, $G$9) + CHOOSE(CONTROL!$C$38, 0.0347, 0)</f>
        <v>69.790599999999998</v>
      </c>
      <c r="D1034" s="10">
        <f>69.7481 * CHOOSE(CONTROL!$C$15, $E$9, 100%, $G$9) + CHOOSE(CONTROL!$C$38, 0.0347, 0)</f>
        <v>69.782799999999995</v>
      </c>
      <c r="E1034" s="28">
        <f>75.3426 * CHOOSE(CONTROL!$C$15, $E$9, 100%, $G$9) + CHOOSE(CONTROL!$C$38, 0.0347, 0)</f>
        <v>75.377300000000005</v>
      </c>
      <c r="F1034" s="27">
        <f>75.3426 * CHOOSE(CONTROL!$C$15, $E$9, 100%, $G$9) + CHOOSE(CONTROL!$C$38, 0.0256, 0)</f>
        <v>75.368200000000002</v>
      </c>
      <c r="G1034" s="10">
        <f>69.7543 * CHOOSE(CONTROL!$C$15, $E$9, 100%, $G$9) + CHOOSE(CONTROL!$C$38, 0.0347, 0)</f>
        <v>69.789000000000001</v>
      </c>
      <c r="H1034" s="10">
        <f>69.7543 * CHOOSE(CONTROL!$C$15, $E$9, 100%, $G$9) + CHOOSE(CONTROL!$C$38, 0.0347, 0)</f>
        <v>69.789000000000001</v>
      </c>
      <c r="I1034" s="10">
        <f>69.7559 * CHOOSE(CONTROL!$C$15, $E$9, 100%, $G$9) + CHOOSE(CONTROL!$C$38, 0.0347, 0)</f>
        <v>69.790599999999998</v>
      </c>
      <c r="J1034" s="26">
        <f>691.2832</f>
        <v>691.28319999999997</v>
      </c>
    </row>
    <row r="1035" spans="1:10" ht="15.75" x14ac:dyDescent="0.25">
      <c r="A1035" s="13">
        <v>72440</v>
      </c>
      <c r="B1035" s="10">
        <f>75.0037 * CHOOSE(CONTROL!$C$15, $E$9, 100%, $G$9) + CHOOSE(CONTROL!$C$38, 0.0256, 0)</f>
        <v>75.029299999999992</v>
      </c>
      <c r="C1035" s="10">
        <f>69.2607 * CHOOSE(CONTROL!$C$15, $E$9, 100%, $G$9) + CHOOSE(CONTROL!$C$38, 0.0347, 0)</f>
        <v>69.295400000000001</v>
      </c>
      <c r="D1035" s="10">
        <f>69.2529 * CHOOSE(CONTROL!$C$15, $E$9, 100%, $G$9) + CHOOSE(CONTROL!$C$38, 0.0347, 0)</f>
        <v>69.287599999999998</v>
      </c>
      <c r="E1035" s="28">
        <f>74.8475 * CHOOSE(CONTROL!$C$15, $E$9, 100%, $G$9) + CHOOSE(CONTROL!$C$38, 0.0347, 0)</f>
        <v>74.882199999999997</v>
      </c>
      <c r="F1035" s="27">
        <f>74.8475 * CHOOSE(CONTROL!$C$15, $E$9, 100%, $G$9) + CHOOSE(CONTROL!$C$38, 0.0256, 0)</f>
        <v>74.873099999999994</v>
      </c>
      <c r="G1035" s="10">
        <f>69.2591 * CHOOSE(CONTROL!$C$15, $E$9, 100%, $G$9) + CHOOSE(CONTROL!$C$38, 0.0347, 0)</f>
        <v>69.293800000000005</v>
      </c>
      <c r="H1035" s="10">
        <f>69.2591 * CHOOSE(CONTROL!$C$15, $E$9, 100%, $G$9) + CHOOSE(CONTROL!$C$38, 0.0347, 0)</f>
        <v>69.293800000000005</v>
      </c>
      <c r="I1035" s="10">
        <f>69.2607 * CHOOSE(CONTROL!$C$15, $E$9, 100%, $G$9) + CHOOSE(CONTROL!$C$38, 0.0347, 0)</f>
        <v>69.295400000000001</v>
      </c>
      <c r="J1035" s="26">
        <f>736.1647</f>
        <v>736.16470000000004</v>
      </c>
    </row>
    <row r="1036" spans="1:10" ht="15.75" x14ac:dyDescent="0.25">
      <c r="A1036" s="13">
        <v>72471</v>
      </c>
      <c r="B1036" s="10">
        <f>74.4876 * CHOOSE(CONTROL!$C$15, $E$9, 100%, $G$9) + CHOOSE(CONTROL!$C$38, 0.0278, 0)</f>
        <v>74.5154</v>
      </c>
      <c r="C1036" s="10">
        <f>68.7446 * CHOOSE(CONTROL!$C$15, $E$9, 100%, $G$9) + CHOOSE(CONTROL!$C$38, 0.0369, 0)</f>
        <v>68.781500000000008</v>
      </c>
      <c r="D1036" s="10">
        <f>68.7368 * CHOOSE(CONTROL!$C$15, $E$9, 100%, $G$9) + CHOOSE(CONTROL!$C$38, 0.0369, 0)</f>
        <v>68.773700000000005</v>
      </c>
      <c r="E1036" s="28">
        <f>74.3314 * CHOOSE(CONTROL!$C$15, $E$9, 100%, $G$9) + CHOOSE(CONTROL!$C$38, 0.0369, 0)</f>
        <v>74.368300000000005</v>
      </c>
      <c r="F1036" s="27">
        <f>74.3314 * CHOOSE(CONTROL!$C$15, $E$9, 100%, $G$9) + CHOOSE(CONTROL!$C$38, 0.0278, 0)</f>
        <v>74.359200000000001</v>
      </c>
      <c r="G1036" s="10">
        <f>68.743 * CHOOSE(CONTROL!$C$15, $E$9, 100%, $G$9) + CHOOSE(CONTROL!$C$38, 0.0369, 0)</f>
        <v>68.779899999999998</v>
      </c>
      <c r="H1036" s="10">
        <f>68.743 * CHOOSE(CONTROL!$C$15, $E$9, 100%, $G$9) + CHOOSE(CONTROL!$C$38, 0.0369, 0)</f>
        <v>68.779899999999998</v>
      </c>
      <c r="I1036" s="10">
        <f>68.7446 * CHOOSE(CONTROL!$C$15, $E$9, 100%, $G$9) + CHOOSE(CONTROL!$C$38, 0.0369, 0)</f>
        <v>68.781500000000008</v>
      </c>
      <c r="J1036" s="26">
        <f>760.8689</f>
        <v>760.86890000000005</v>
      </c>
    </row>
    <row r="1037" spans="1:10" ht="15.75" x14ac:dyDescent="0.25">
      <c r="A1037" s="13">
        <v>72501</v>
      </c>
      <c r="B1037" s="10">
        <f>74.1258 * CHOOSE(CONTROL!$C$15, $E$9, 100%, $G$9) + CHOOSE(CONTROL!$C$38, 0.0278, 0)</f>
        <v>74.153599999999997</v>
      </c>
      <c r="C1037" s="10">
        <f>68.3827 * CHOOSE(CONTROL!$C$15, $E$9, 100%, $G$9) + CHOOSE(CONTROL!$C$38, 0.0369, 0)</f>
        <v>68.419600000000003</v>
      </c>
      <c r="D1037" s="10">
        <f>68.3749 * CHOOSE(CONTROL!$C$15, $E$9, 100%, $G$9) + CHOOSE(CONTROL!$C$38, 0.0369, 0)</f>
        <v>68.411799999999999</v>
      </c>
      <c r="E1037" s="28">
        <f>73.9695 * CHOOSE(CONTROL!$C$15, $E$9, 100%, $G$9) + CHOOSE(CONTROL!$C$38, 0.0369, 0)</f>
        <v>74.006399999999999</v>
      </c>
      <c r="F1037" s="27">
        <f>73.9695 * CHOOSE(CONTROL!$C$15, $E$9, 100%, $G$9) + CHOOSE(CONTROL!$C$38, 0.0278, 0)</f>
        <v>73.997299999999996</v>
      </c>
      <c r="G1037" s="10">
        <f>68.3812 * CHOOSE(CONTROL!$C$15, $E$9, 100%, $G$9) + CHOOSE(CONTROL!$C$38, 0.0369, 0)</f>
        <v>68.41810000000001</v>
      </c>
      <c r="H1037" s="10">
        <f>68.3812 * CHOOSE(CONTROL!$C$15, $E$9, 100%, $G$9) + CHOOSE(CONTROL!$C$38, 0.0369, 0)</f>
        <v>68.41810000000001</v>
      </c>
      <c r="I1037" s="10">
        <f>68.3827 * CHOOSE(CONTROL!$C$15, $E$9, 100%, $G$9) + CHOOSE(CONTROL!$C$38, 0.0369, 0)</f>
        <v>68.419600000000003</v>
      </c>
      <c r="J1037" s="26">
        <f>771.8322</f>
        <v>771.83219999999994</v>
      </c>
    </row>
    <row r="1038" spans="1:10" ht="15.75" x14ac:dyDescent="0.25">
      <c r="A1038" s="13">
        <v>72532</v>
      </c>
      <c r="B1038" s="10">
        <f>73.9193 * CHOOSE(CONTROL!$C$15, $E$9, 100%, $G$9) + CHOOSE(CONTROL!$C$38, 0.0278, 0)</f>
        <v>73.947100000000006</v>
      </c>
      <c r="C1038" s="10">
        <f>68.1763 * CHOOSE(CONTROL!$C$15, $E$9, 100%, $G$9) + CHOOSE(CONTROL!$C$38, 0.0369, 0)</f>
        <v>68.213200000000001</v>
      </c>
      <c r="D1038" s="10">
        <f>68.1684 * CHOOSE(CONTROL!$C$15, $E$9, 100%, $G$9) + CHOOSE(CONTROL!$C$38, 0.0369, 0)</f>
        <v>68.205300000000008</v>
      </c>
      <c r="E1038" s="28">
        <f>73.763 * CHOOSE(CONTROL!$C$15, $E$9, 100%, $G$9) + CHOOSE(CONTROL!$C$38, 0.0369, 0)</f>
        <v>73.799900000000008</v>
      </c>
      <c r="F1038" s="27">
        <f>73.763 * CHOOSE(CONTROL!$C$15, $E$9, 100%, $G$9) + CHOOSE(CONTROL!$C$38, 0.0278, 0)</f>
        <v>73.790800000000004</v>
      </c>
      <c r="G1038" s="10">
        <f>68.1747 * CHOOSE(CONTROL!$C$15, $E$9, 100%, $G$9) + CHOOSE(CONTROL!$C$38, 0.0369, 0)</f>
        <v>68.211600000000004</v>
      </c>
      <c r="H1038" s="10">
        <f>68.1747 * CHOOSE(CONTROL!$C$15, $E$9, 100%, $G$9) + CHOOSE(CONTROL!$C$38, 0.0369, 0)</f>
        <v>68.211600000000004</v>
      </c>
      <c r="I1038" s="10">
        <f>68.1763 * CHOOSE(CONTROL!$C$15, $E$9, 100%, $G$9) + CHOOSE(CONTROL!$C$38, 0.0369, 0)</f>
        <v>68.213200000000001</v>
      </c>
      <c r="J1038" s="26">
        <f>768.2226</f>
        <v>768.22260000000006</v>
      </c>
    </row>
    <row r="1039" spans="1:10" ht="15.75" x14ac:dyDescent="0.25">
      <c r="A1039" s="13">
        <v>72563</v>
      </c>
      <c r="B1039" s="10">
        <f>74.0212 * CHOOSE(CONTROL!$C$15, $E$9, 100%, $G$9) + CHOOSE(CONTROL!$C$38, 0.0278, 0)</f>
        <v>74.048999999999992</v>
      </c>
      <c r="C1039" s="10">
        <f>68.2782 * CHOOSE(CONTROL!$C$15, $E$9, 100%, $G$9) + CHOOSE(CONTROL!$C$38, 0.0369, 0)</f>
        <v>68.315100000000001</v>
      </c>
      <c r="D1039" s="10">
        <f>68.2704 * CHOOSE(CONTROL!$C$15, $E$9, 100%, $G$9) + CHOOSE(CONTROL!$C$38, 0.0369, 0)</f>
        <v>68.307299999999998</v>
      </c>
      <c r="E1039" s="28">
        <f>73.8649 * CHOOSE(CONTROL!$C$15, $E$9, 100%, $G$9) + CHOOSE(CONTROL!$C$38, 0.0369, 0)</f>
        <v>73.901800000000009</v>
      </c>
      <c r="F1039" s="27">
        <f>73.8649 * CHOOSE(CONTROL!$C$15, $E$9, 100%, $G$9) + CHOOSE(CONTROL!$C$38, 0.0278, 0)</f>
        <v>73.892700000000005</v>
      </c>
      <c r="G1039" s="10">
        <f>68.2766 * CHOOSE(CONTROL!$C$15, $E$9, 100%, $G$9) + CHOOSE(CONTROL!$C$38, 0.0369, 0)</f>
        <v>68.313500000000005</v>
      </c>
      <c r="H1039" s="10">
        <f>68.2766 * CHOOSE(CONTROL!$C$15, $E$9, 100%, $G$9) + CHOOSE(CONTROL!$C$38, 0.0369, 0)</f>
        <v>68.313500000000005</v>
      </c>
      <c r="I1039" s="10">
        <f>68.2782 * CHOOSE(CONTROL!$C$15, $E$9, 100%, $G$9) + CHOOSE(CONTROL!$C$38, 0.0369, 0)</f>
        <v>68.315100000000001</v>
      </c>
      <c r="J1039" s="26">
        <f>750.3387</f>
        <v>750.33870000000002</v>
      </c>
    </row>
    <row r="1040" spans="1:10" ht="15.75" x14ac:dyDescent="0.25">
      <c r="A1040" s="13">
        <v>72593</v>
      </c>
      <c r="B1040" s="10">
        <f>74.298 * CHOOSE(CONTROL!$C$15, $E$9, 100%, $G$9) + CHOOSE(CONTROL!$C$38, 0.0278, 0)</f>
        <v>74.325800000000001</v>
      </c>
      <c r="C1040" s="10">
        <f>68.555 * CHOOSE(CONTROL!$C$15, $E$9, 100%, $G$9) + CHOOSE(CONTROL!$C$38, 0.0369, 0)</f>
        <v>68.59190000000001</v>
      </c>
      <c r="D1040" s="10">
        <f>68.5471 * CHOOSE(CONTROL!$C$15, $E$9, 100%, $G$9) + CHOOSE(CONTROL!$C$38, 0.0369, 0)</f>
        <v>68.584000000000003</v>
      </c>
      <c r="E1040" s="28">
        <f>74.1417 * CHOOSE(CONTROL!$C$15, $E$9, 100%, $G$9) + CHOOSE(CONTROL!$C$38, 0.0369, 0)</f>
        <v>74.178600000000003</v>
      </c>
      <c r="F1040" s="27">
        <f>74.1417 * CHOOSE(CONTROL!$C$15, $E$9, 100%, $G$9) + CHOOSE(CONTROL!$C$38, 0.0278, 0)</f>
        <v>74.169499999999999</v>
      </c>
      <c r="G1040" s="10">
        <f>68.5534 * CHOOSE(CONTROL!$C$15, $E$9, 100%, $G$9) + CHOOSE(CONTROL!$C$38, 0.0369, 0)</f>
        <v>68.590299999999999</v>
      </c>
      <c r="H1040" s="10">
        <f>68.5534 * CHOOSE(CONTROL!$C$15, $E$9, 100%, $G$9) + CHOOSE(CONTROL!$C$38, 0.0369, 0)</f>
        <v>68.590299999999999</v>
      </c>
      <c r="I1040" s="10">
        <f>68.555 * CHOOSE(CONTROL!$C$15, $E$9, 100%, $G$9) + CHOOSE(CONTROL!$C$38, 0.0369, 0)</f>
        <v>68.59190000000001</v>
      </c>
      <c r="J1040" s="26">
        <f>725.3987</f>
        <v>725.39869999999996</v>
      </c>
    </row>
    <row r="1041" spans="1:10" ht="15.75" x14ac:dyDescent="0.25">
      <c r="A1041" s="13">
        <v>72624</v>
      </c>
      <c r="B1041" s="10">
        <f>74.5298 * CHOOSE(CONTROL!$C$15, $E$9, 100%, $G$9) + CHOOSE(CONTROL!$C$38, 0.0256, 0)</f>
        <v>74.555399999999992</v>
      </c>
      <c r="C1041" s="10">
        <f>68.7868 * CHOOSE(CONTROL!$C$15, $E$9, 100%, $G$9) + CHOOSE(CONTROL!$C$38, 0.0347, 0)</f>
        <v>68.8215</v>
      </c>
      <c r="D1041" s="10">
        <f>68.779 * CHOOSE(CONTROL!$C$15, $E$9, 100%, $G$9) + CHOOSE(CONTROL!$C$38, 0.0347, 0)</f>
        <v>68.813699999999997</v>
      </c>
      <c r="E1041" s="28">
        <f>74.3736 * CHOOSE(CONTROL!$C$15, $E$9, 100%, $G$9) + CHOOSE(CONTROL!$C$38, 0.0347, 0)</f>
        <v>74.408299999999997</v>
      </c>
      <c r="F1041" s="27">
        <f>74.3736 * CHOOSE(CONTROL!$C$15, $E$9, 100%, $G$9) + CHOOSE(CONTROL!$C$38, 0.0256, 0)</f>
        <v>74.399199999999993</v>
      </c>
      <c r="G1041" s="10">
        <f>68.7852 * CHOOSE(CONTROL!$C$15, $E$9, 100%, $G$9) + CHOOSE(CONTROL!$C$38, 0.0347, 0)</f>
        <v>68.819900000000004</v>
      </c>
      <c r="H1041" s="10">
        <f>68.7852 * CHOOSE(CONTROL!$C$15, $E$9, 100%, $G$9) + CHOOSE(CONTROL!$C$38, 0.0347, 0)</f>
        <v>68.819900000000004</v>
      </c>
      <c r="I1041" s="10">
        <f>68.7868 * CHOOSE(CONTROL!$C$15, $E$9, 100%, $G$9) + CHOOSE(CONTROL!$C$38, 0.0347, 0)</f>
        <v>68.8215</v>
      </c>
      <c r="J1041" s="26">
        <f>700.3137</f>
        <v>700.31370000000004</v>
      </c>
    </row>
    <row r="1042" spans="1:10" ht="15.75" x14ac:dyDescent="0.25">
      <c r="A1042" s="13">
        <v>72654</v>
      </c>
      <c r="B1042" s="10">
        <f>74.7232 * CHOOSE(CONTROL!$C$15, $E$9, 100%, $G$9) + CHOOSE(CONTROL!$C$38, 0.0256, 0)</f>
        <v>74.748800000000003</v>
      </c>
      <c r="C1042" s="10">
        <f>68.9802 * CHOOSE(CONTROL!$C$15, $E$9, 100%, $G$9) + CHOOSE(CONTROL!$C$38, 0.0347, 0)</f>
        <v>69.014899999999997</v>
      </c>
      <c r="D1042" s="10">
        <f>68.9724 * CHOOSE(CONTROL!$C$15, $E$9, 100%, $G$9) + CHOOSE(CONTROL!$C$38, 0.0347, 0)</f>
        <v>69.007099999999994</v>
      </c>
      <c r="E1042" s="28">
        <f>74.567 * CHOOSE(CONTROL!$C$15, $E$9, 100%, $G$9) + CHOOSE(CONTROL!$C$38, 0.0347, 0)</f>
        <v>74.601699999999994</v>
      </c>
      <c r="F1042" s="27">
        <f>74.567 * CHOOSE(CONTROL!$C$15, $E$9, 100%, $G$9) + CHOOSE(CONTROL!$C$38, 0.0256, 0)</f>
        <v>74.59259999999999</v>
      </c>
      <c r="G1042" s="10">
        <f>68.9787 * CHOOSE(CONTROL!$C$15, $E$9, 100%, $G$9) + CHOOSE(CONTROL!$C$38, 0.0347, 0)</f>
        <v>69.013400000000004</v>
      </c>
      <c r="H1042" s="10">
        <f>68.9787 * CHOOSE(CONTROL!$C$15, $E$9, 100%, $G$9) + CHOOSE(CONTROL!$C$38, 0.0347, 0)</f>
        <v>69.013400000000004</v>
      </c>
      <c r="I1042" s="10">
        <f>68.9802 * CHOOSE(CONTROL!$C$15, $E$9, 100%, $G$9) + CHOOSE(CONTROL!$C$38, 0.0347, 0)</f>
        <v>69.014899999999997</v>
      </c>
      <c r="J1042" s="26">
        <f>695.3238</f>
        <v>695.32380000000001</v>
      </c>
    </row>
    <row r="1043" spans="1:10" ht="15.75" x14ac:dyDescent="0.25">
      <c r="A1043" s="13">
        <v>72685</v>
      </c>
      <c r="B1043" s="10">
        <f>75.3193 * CHOOSE(CONTROL!$C$15, $E$9, 100%, $G$9) + CHOOSE(CONTROL!$C$38, 0.0256, 0)</f>
        <v>75.344899999999996</v>
      </c>
      <c r="C1043" s="10">
        <f>69.5763 * CHOOSE(CONTROL!$C$15, $E$9, 100%, $G$9) + CHOOSE(CONTROL!$C$38, 0.0347, 0)</f>
        <v>69.611000000000004</v>
      </c>
      <c r="D1043" s="10">
        <f>69.5685 * CHOOSE(CONTROL!$C$15, $E$9, 100%, $G$9) + CHOOSE(CONTROL!$C$38, 0.0347, 0)</f>
        <v>69.603200000000001</v>
      </c>
      <c r="E1043" s="28">
        <f>75.1631 * CHOOSE(CONTROL!$C$15, $E$9, 100%, $G$9) + CHOOSE(CONTROL!$C$38, 0.0347, 0)</f>
        <v>75.197800000000001</v>
      </c>
      <c r="F1043" s="27">
        <f>75.1631 * CHOOSE(CONTROL!$C$15, $E$9, 100%, $G$9) + CHOOSE(CONTROL!$C$38, 0.0256, 0)</f>
        <v>75.188699999999997</v>
      </c>
      <c r="G1043" s="10">
        <f>69.5747 * CHOOSE(CONTROL!$C$15, $E$9, 100%, $G$9) + CHOOSE(CONTROL!$C$38, 0.0347, 0)</f>
        <v>69.609400000000008</v>
      </c>
      <c r="H1043" s="10">
        <f>69.5747 * CHOOSE(CONTROL!$C$15, $E$9, 100%, $G$9) + CHOOSE(CONTROL!$C$38, 0.0347, 0)</f>
        <v>69.609400000000008</v>
      </c>
      <c r="I1043" s="10">
        <f>69.5763 * CHOOSE(CONTROL!$C$15, $E$9, 100%, $G$9) + CHOOSE(CONTROL!$C$38, 0.0347, 0)</f>
        <v>69.611000000000004</v>
      </c>
      <c r="J1043" s="26">
        <f>674.69</f>
        <v>674.69</v>
      </c>
    </row>
    <row r="1044" spans="1:10" ht="15.75" x14ac:dyDescent="0.25">
      <c r="A1044" s="13">
        <v>72716</v>
      </c>
      <c r="B1044" s="10">
        <f>77.0056 * CHOOSE(CONTROL!$C$15, $E$9, 100%, $G$9) + CHOOSE(CONTROL!$C$38, 0.0256, 0)</f>
        <v>77.031199999999998</v>
      </c>
      <c r="C1044" s="10">
        <f>71.171 * CHOOSE(CONTROL!$C$15, $E$9, 100%, $G$9) + CHOOSE(CONTROL!$C$38, 0.0347, 0)</f>
        <v>71.205700000000007</v>
      </c>
      <c r="D1044" s="10">
        <f>71.1631 * CHOOSE(CONTROL!$C$15, $E$9, 100%, $G$9) + CHOOSE(CONTROL!$C$38, 0.0347, 0)</f>
        <v>71.197800000000001</v>
      </c>
      <c r="E1044" s="28">
        <f>76.8493 * CHOOSE(CONTROL!$C$15, $E$9, 100%, $G$9) + CHOOSE(CONTROL!$C$38, 0.0347, 0)</f>
        <v>76.884</v>
      </c>
      <c r="F1044" s="27">
        <f>76.8493 * CHOOSE(CONTROL!$C$15, $E$9, 100%, $G$9) + CHOOSE(CONTROL!$C$38, 0.0256, 0)</f>
        <v>76.874899999999997</v>
      </c>
      <c r="G1044" s="10">
        <f>71.1694 * CHOOSE(CONTROL!$C$15, $E$9, 100%, $G$9) + CHOOSE(CONTROL!$C$38, 0.0347, 0)</f>
        <v>71.204099999999997</v>
      </c>
      <c r="H1044" s="10">
        <f>71.1694 * CHOOSE(CONTROL!$C$15, $E$9, 100%, $G$9) + CHOOSE(CONTROL!$C$38, 0.0347, 0)</f>
        <v>71.204099999999997</v>
      </c>
      <c r="I1044" s="10">
        <f>71.171 * CHOOSE(CONTROL!$C$15, $E$9, 100%, $G$9) + CHOOSE(CONTROL!$C$38, 0.0347, 0)</f>
        <v>71.205700000000007</v>
      </c>
      <c r="J1044" s="26">
        <f>673.4015</f>
        <v>673.40150000000006</v>
      </c>
    </row>
    <row r="1045" spans="1:10" ht="15.75" x14ac:dyDescent="0.25">
      <c r="A1045" s="13">
        <v>72744</v>
      </c>
      <c r="B1045" s="10">
        <f>77.2263 * CHOOSE(CONTROL!$C$15, $E$9, 100%, $G$9) + CHOOSE(CONTROL!$C$38, 0.0256, 0)</f>
        <v>77.251899999999992</v>
      </c>
      <c r="C1045" s="10">
        <f>71.3917 * CHOOSE(CONTROL!$C$15, $E$9, 100%, $G$9) + CHOOSE(CONTROL!$C$38, 0.0347, 0)</f>
        <v>71.426400000000001</v>
      </c>
      <c r="D1045" s="10">
        <f>71.3839 * CHOOSE(CONTROL!$C$15, $E$9, 100%, $G$9) + CHOOSE(CONTROL!$C$38, 0.0347, 0)</f>
        <v>71.418599999999998</v>
      </c>
      <c r="E1045" s="28">
        <f>77.0701 * CHOOSE(CONTROL!$C$15, $E$9, 100%, $G$9) + CHOOSE(CONTROL!$C$38, 0.0347, 0)</f>
        <v>77.104799999999997</v>
      </c>
      <c r="F1045" s="27">
        <f>77.0701 * CHOOSE(CONTROL!$C$15, $E$9, 100%, $G$9) + CHOOSE(CONTROL!$C$38, 0.0256, 0)</f>
        <v>77.095699999999994</v>
      </c>
      <c r="G1045" s="10">
        <f>71.3902 * CHOOSE(CONTROL!$C$15, $E$9, 100%, $G$9) + CHOOSE(CONTROL!$C$38, 0.0347, 0)</f>
        <v>71.424899999999994</v>
      </c>
      <c r="H1045" s="10">
        <f>71.3902 * CHOOSE(CONTROL!$C$15, $E$9, 100%, $G$9) + CHOOSE(CONTROL!$C$38, 0.0347, 0)</f>
        <v>71.424899999999994</v>
      </c>
      <c r="I1045" s="10">
        <f>71.3917 * CHOOSE(CONTROL!$C$15, $E$9, 100%, $G$9) + CHOOSE(CONTROL!$C$38, 0.0347, 0)</f>
        <v>71.426400000000001</v>
      </c>
      <c r="J1045" s="26">
        <f>671.5296</f>
        <v>671.52959999999996</v>
      </c>
    </row>
    <row r="1046" spans="1:10" ht="15.75" x14ac:dyDescent="0.25">
      <c r="A1046" s="13">
        <v>72775</v>
      </c>
      <c r="B1046" s="10">
        <f>76.7153 * CHOOSE(CONTROL!$C$15, $E$9, 100%, $G$9) + CHOOSE(CONTROL!$C$38, 0.0256, 0)</f>
        <v>76.740899999999996</v>
      </c>
      <c r="C1046" s="10">
        <f>70.8807 * CHOOSE(CONTROL!$C$15, $E$9, 100%, $G$9) + CHOOSE(CONTROL!$C$38, 0.0347, 0)</f>
        <v>70.915400000000005</v>
      </c>
      <c r="D1046" s="10">
        <f>70.8729 * CHOOSE(CONTROL!$C$15, $E$9, 100%, $G$9) + CHOOSE(CONTROL!$C$38, 0.0347, 0)</f>
        <v>70.907600000000002</v>
      </c>
      <c r="E1046" s="28">
        <f>76.5591 * CHOOSE(CONTROL!$C$15, $E$9, 100%, $G$9) + CHOOSE(CONTROL!$C$38, 0.0347, 0)</f>
        <v>76.593800000000002</v>
      </c>
      <c r="F1046" s="27">
        <f>76.5591 * CHOOSE(CONTROL!$C$15, $E$9, 100%, $G$9) + CHOOSE(CONTROL!$C$38, 0.0256, 0)</f>
        <v>76.584699999999998</v>
      </c>
      <c r="G1046" s="10">
        <f>70.8791 * CHOOSE(CONTROL!$C$15, $E$9, 100%, $G$9) + CHOOSE(CONTROL!$C$38, 0.0347, 0)</f>
        <v>70.913799999999995</v>
      </c>
      <c r="H1046" s="10">
        <f>70.8791 * CHOOSE(CONTROL!$C$15, $E$9, 100%, $G$9) + CHOOSE(CONTROL!$C$38, 0.0347, 0)</f>
        <v>70.913799999999995</v>
      </c>
      <c r="I1046" s="10">
        <f>70.8807 * CHOOSE(CONTROL!$C$15, $E$9, 100%, $G$9) + CHOOSE(CONTROL!$C$38, 0.0347, 0)</f>
        <v>70.915400000000005</v>
      </c>
      <c r="J1046" s="26">
        <f>706.9231</f>
        <v>706.92309999999998</v>
      </c>
    </row>
    <row r="1047" spans="1:10" ht="15.75" x14ac:dyDescent="0.25">
      <c r="A1047" s="13">
        <v>72805</v>
      </c>
      <c r="B1047" s="10">
        <f>76.2201 * CHOOSE(CONTROL!$C$15, $E$9, 100%, $G$9) + CHOOSE(CONTROL!$C$38, 0.0256, 0)</f>
        <v>76.245699999999999</v>
      </c>
      <c r="C1047" s="10">
        <f>70.3855 * CHOOSE(CONTROL!$C$15, $E$9, 100%, $G$9) + CHOOSE(CONTROL!$C$38, 0.0347, 0)</f>
        <v>70.420199999999994</v>
      </c>
      <c r="D1047" s="10">
        <f>70.3777 * CHOOSE(CONTROL!$C$15, $E$9, 100%, $G$9) + CHOOSE(CONTROL!$C$38, 0.0347, 0)</f>
        <v>70.412400000000005</v>
      </c>
      <c r="E1047" s="28">
        <f>76.0639 * CHOOSE(CONTROL!$C$15, $E$9, 100%, $G$9) + CHOOSE(CONTROL!$C$38, 0.0347, 0)</f>
        <v>76.098600000000005</v>
      </c>
      <c r="F1047" s="27">
        <f>76.0639 * CHOOSE(CONTROL!$C$15, $E$9, 100%, $G$9) + CHOOSE(CONTROL!$C$38, 0.0256, 0)</f>
        <v>76.089500000000001</v>
      </c>
      <c r="G1047" s="10">
        <f>70.3839 * CHOOSE(CONTROL!$C$15, $E$9, 100%, $G$9) + CHOOSE(CONTROL!$C$38, 0.0347, 0)</f>
        <v>70.418599999999998</v>
      </c>
      <c r="H1047" s="10">
        <f>70.3839 * CHOOSE(CONTROL!$C$15, $E$9, 100%, $G$9) + CHOOSE(CONTROL!$C$38, 0.0347, 0)</f>
        <v>70.418599999999998</v>
      </c>
      <c r="I1047" s="10">
        <f>70.3855 * CHOOSE(CONTROL!$C$15, $E$9, 100%, $G$9) + CHOOSE(CONTROL!$C$38, 0.0347, 0)</f>
        <v>70.420199999999994</v>
      </c>
      <c r="J1047" s="26">
        <f>752.82</f>
        <v>752.82</v>
      </c>
    </row>
    <row r="1048" spans="1:10" ht="15.75" x14ac:dyDescent="0.25">
      <c r="A1048" s="13">
        <v>72836</v>
      </c>
      <c r="B1048" s="10">
        <f>75.704 * CHOOSE(CONTROL!$C$15, $E$9, 100%, $G$9) + CHOOSE(CONTROL!$C$38, 0.0278, 0)</f>
        <v>75.731799999999993</v>
      </c>
      <c r="C1048" s="10">
        <f>69.8694 * CHOOSE(CONTROL!$C$15, $E$9, 100%, $G$9) + CHOOSE(CONTROL!$C$38, 0.0369, 0)</f>
        <v>69.906300000000002</v>
      </c>
      <c r="D1048" s="10">
        <f>69.8616 * CHOOSE(CONTROL!$C$15, $E$9, 100%, $G$9) + CHOOSE(CONTROL!$C$38, 0.0369, 0)</f>
        <v>69.898499999999999</v>
      </c>
      <c r="E1048" s="28">
        <f>75.5478 * CHOOSE(CONTROL!$C$15, $E$9, 100%, $G$9) + CHOOSE(CONTROL!$C$38, 0.0369, 0)</f>
        <v>75.584699999999998</v>
      </c>
      <c r="F1048" s="27">
        <f>75.5478 * CHOOSE(CONTROL!$C$15, $E$9, 100%, $G$9) + CHOOSE(CONTROL!$C$38, 0.0278, 0)</f>
        <v>75.575599999999994</v>
      </c>
      <c r="G1048" s="10">
        <f>69.8678 * CHOOSE(CONTROL!$C$15, $E$9, 100%, $G$9) + CHOOSE(CONTROL!$C$38, 0.0369, 0)</f>
        <v>69.904700000000005</v>
      </c>
      <c r="H1048" s="10">
        <f>69.8678 * CHOOSE(CONTROL!$C$15, $E$9, 100%, $G$9) + CHOOSE(CONTROL!$C$38, 0.0369, 0)</f>
        <v>69.904700000000005</v>
      </c>
      <c r="I1048" s="10">
        <f>69.8694 * CHOOSE(CONTROL!$C$15, $E$9, 100%, $G$9) + CHOOSE(CONTROL!$C$38, 0.0369, 0)</f>
        <v>69.906300000000002</v>
      </c>
      <c r="J1048" s="26">
        <f>778.0832</f>
        <v>778.08320000000003</v>
      </c>
    </row>
    <row r="1049" spans="1:10" ht="15.75" x14ac:dyDescent="0.25">
      <c r="A1049" s="13">
        <v>72866</v>
      </c>
      <c r="B1049" s="10">
        <f>75.3422 * CHOOSE(CONTROL!$C$15, $E$9, 100%, $G$9) + CHOOSE(CONTROL!$C$38, 0.0278, 0)</f>
        <v>75.37</v>
      </c>
      <c r="C1049" s="10">
        <f>69.5076 * CHOOSE(CONTROL!$C$15, $E$9, 100%, $G$9) + CHOOSE(CONTROL!$C$38, 0.0369, 0)</f>
        <v>69.544499999999999</v>
      </c>
      <c r="D1049" s="10">
        <f>69.4998 * CHOOSE(CONTROL!$C$15, $E$9, 100%, $G$9) + CHOOSE(CONTROL!$C$38, 0.0369, 0)</f>
        <v>69.536699999999996</v>
      </c>
      <c r="E1049" s="28">
        <f>75.1859 * CHOOSE(CONTROL!$C$15, $E$9, 100%, $G$9) + CHOOSE(CONTROL!$C$38, 0.0369, 0)</f>
        <v>75.222800000000007</v>
      </c>
      <c r="F1049" s="27">
        <f>75.1859 * CHOOSE(CONTROL!$C$15, $E$9, 100%, $G$9) + CHOOSE(CONTROL!$C$38, 0.0278, 0)</f>
        <v>75.213700000000003</v>
      </c>
      <c r="G1049" s="10">
        <f>69.506 * CHOOSE(CONTROL!$C$15, $E$9, 100%, $G$9) + CHOOSE(CONTROL!$C$38, 0.0369, 0)</f>
        <v>69.542900000000003</v>
      </c>
      <c r="H1049" s="10">
        <f>69.506 * CHOOSE(CONTROL!$C$15, $E$9, 100%, $G$9) + CHOOSE(CONTROL!$C$38, 0.0369, 0)</f>
        <v>69.542900000000003</v>
      </c>
      <c r="I1049" s="10">
        <f>69.5076 * CHOOSE(CONTROL!$C$15, $E$9, 100%, $G$9) + CHOOSE(CONTROL!$C$38, 0.0369, 0)</f>
        <v>69.544499999999999</v>
      </c>
      <c r="J1049" s="26">
        <f>789.2945</f>
        <v>789.29449999999997</v>
      </c>
    </row>
    <row r="1050" spans="1:10" ht="15.75" x14ac:dyDescent="0.25">
      <c r="A1050" s="13">
        <v>72897</v>
      </c>
      <c r="B1050" s="10">
        <f>75.1357 * CHOOSE(CONTROL!$C$15, $E$9, 100%, $G$9) + CHOOSE(CONTROL!$C$38, 0.0278, 0)</f>
        <v>75.163499999999999</v>
      </c>
      <c r="C1050" s="10">
        <f>69.3011 * CHOOSE(CONTROL!$C$15, $E$9, 100%, $G$9) + CHOOSE(CONTROL!$C$38, 0.0369, 0)</f>
        <v>69.338000000000008</v>
      </c>
      <c r="D1050" s="10">
        <f>69.2933 * CHOOSE(CONTROL!$C$15, $E$9, 100%, $G$9) + CHOOSE(CONTROL!$C$38, 0.0369, 0)</f>
        <v>69.330200000000005</v>
      </c>
      <c r="E1050" s="28">
        <f>74.9794 * CHOOSE(CONTROL!$C$15, $E$9, 100%, $G$9) + CHOOSE(CONTROL!$C$38, 0.0369, 0)</f>
        <v>75.016300000000001</v>
      </c>
      <c r="F1050" s="27">
        <f>74.9794 * CHOOSE(CONTROL!$C$15, $E$9, 100%, $G$9) + CHOOSE(CONTROL!$C$38, 0.0278, 0)</f>
        <v>75.007199999999997</v>
      </c>
      <c r="G1050" s="10">
        <f>69.2995 * CHOOSE(CONTROL!$C$15, $E$9, 100%, $G$9) + CHOOSE(CONTROL!$C$38, 0.0369, 0)</f>
        <v>69.336399999999998</v>
      </c>
      <c r="H1050" s="10">
        <f>69.2995 * CHOOSE(CONTROL!$C$15, $E$9, 100%, $G$9) + CHOOSE(CONTROL!$C$38, 0.0369, 0)</f>
        <v>69.336399999999998</v>
      </c>
      <c r="I1050" s="10">
        <f>69.3011 * CHOOSE(CONTROL!$C$15, $E$9, 100%, $G$9) + CHOOSE(CONTROL!$C$38, 0.0369, 0)</f>
        <v>69.338000000000008</v>
      </c>
      <c r="J1050" s="26">
        <f>785.6032</f>
        <v>785.60320000000002</v>
      </c>
    </row>
    <row r="1051" spans="1:10" ht="15.75" x14ac:dyDescent="0.25">
      <c r="A1051" s="13">
        <v>72928</v>
      </c>
      <c r="B1051" s="10">
        <f>75.2376 * CHOOSE(CONTROL!$C$15, $E$9, 100%, $G$9) + CHOOSE(CONTROL!$C$38, 0.0278, 0)</f>
        <v>75.2654</v>
      </c>
      <c r="C1051" s="10">
        <f>69.403 * CHOOSE(CONTROL!$C$15, $E$9, 100%, $G$9) + CHOOSE(CONTROL!$C$38, 0.0369, 0)</f>
        <v>69.439900000000009</v>
      </c>
      <c r="D1051" s="10">
        <f>69.3952 * CHOOSE(CONTROL!$C$15, $E$9, 100%, $G$9) + CHOOSE(CONTROL!$C$38, 0.0369, 0)</f>
        <v>69.432100000000005</v>
      </c>
      <c r="E1051" s="28">
        <f>75.0814 * CHOOSE(CONTROL!$C$15, $E$9, 100%, $G$9) + CHOOSE(CONTROL!$C$38, 0.0369, 0)</f>
        <v>75.118300000000005</v>
      </c>
      <c r="F1051" s="27">
        <f>75.0814 * CHOOSE(CONTROL!$C$15, $E$9, 100%, $G$9) + CHOOSE(CONTROL!$C$38, 0.0278, 0)</f>
        <v>75.109200000000001</v>
      </c>
      <c r="G1051" s="10">
        <f>69.4014 * CHOOSE(CONTROL!$C$15, $E$9, 100%, $G$9) + CHOOSE(CONTROL!$C$38, 0.0369, 0)</f>
        <v>69.438299999999998</v>
      </c>
      <c r="H1051" s="10">
        <f>69.4014 * CHOOSE(CONTROL!$C$15, $E$9, 100%, $G$9) + CHOOSE(CONTROL!$C$38, 0.0369, 0)</f>
        <v>69.438299999999998</v>
      </c>
      <c r="I1051" s="10">
        <f>69.403 * CHOOSE(CONTROL!$C$15, $E$9, 100%, $G$9) + CHOOSE(CONTROL!$C$38, 0.0369, 0)</f>
        <v>69.439900000000009</v>
      </c>
      <c r="J1051" s="26">
        <f>767.3147</f>
        <v>767.31470000000002</v>
      </c>
    </row>
    <row r="1052" spans="1:10" ht="15.75" x14ac:dyDescent="0.25">
      <c r="A1052" s="13">
        <v>72958</v>
      </c>
      <c r="B1052" s="10">
        <f>75.5144 * CHOOSE(CONTROL!$C$15, $E$9, 100%, $G$9) + CHOOSE(CONTROL!$C$38, 0.0278, 0)</f>
        <v>75.542199999999994</v>
      </c>
      <c r="C1052" s="10">
        <f>69.6798 * CHOOSE(CONTROL!$C$15, $E$9, 100%, $G$9) + CHOOSE(CONTROL!$C$38, 0.0369, 0)</f>
        <v>69.716700000000003</v>
      </c>
      <c r="D1052" s="10">
        <f>69.672 * CHOOSE(CONTROL!$C$15, $E$9, 100%, $G$9) + CHOOSE(CONTROL!$C$38, 0.0369, 0)</f>
        <v>69.7089</v>
      </c>
      <c r="E1052" s="28">
        <f>75.3581 * CHOOSE(CONTROL!$C$15, $E$9, 100%, $G$9) + CHOOSE(CONTROL!$C$38, 0.0369, 0)</f>
        <v>75.394999999999996</v>
      </c>
      <c r="F1052" s="27">
        <f>75.3581 * CHOOSE(CONTROL!$C$15, $E$9, 100%, $G$9) + CHOOSE(CONTROL!$C$38, 0.0278, 0)</f>
        <v>75.385899999999992</v>
      </c>
      <c r="G1052" s="10">
        <f>69.6782 * CHOOSE(CONTROL!$C$15, $E$9, 100%, $G$9) + CHOOSE(CONTROL!$C$38, 0.0369, 0)</f>
        <v>69.715100000000007</v>
      </c>
      <c r="H1052" s="10">
        <f>69.6782 * CHOOSE(CONTROL!$C$15, $E$9, 100%, $G$9) + CHOOSE(CONTROL!$C$38, 0.0369, 0)</f>
        <v>69.715100000000007</v>
      </c>
      <c r="I1052" s="10">
        <f>69.6798 * CHOOSE(CONTROL!$C$15, $E$9, 100%, $G$9) + CHOOSE(CONTROL!$C$38, 0.0369, 0)</f>
        <v>69.716700000000003</v>
      </c>
      <c r="J1052" s="26">
        <f>741.8105</f>
        <v>741.81050000000005</v>
      </c>
    </row>
    <row r="1053" spans="1:10" ht="15.75" x14ac:dyDescent="0.25">
      <c r="A1053" s="13">
        <v>72989</v>
      </c>
      <c r="B1053" s="10">
        <f>75.7462 * CHOOSE(CONTROL!$C$15, $E$9, 100%, $G$9) + CHOOSE(CONTROL!$C$38, 0.0256, 0)</f>
        <v>75.771799999999999</v>
      </c>
      <c r="C1053" s="10">
        <f>69.9116 * CHOOSE(CONTROL!$C$15, $E$9, 100%, $G$9) + CHOOSE(CONTROL!$C$38, 0.0347, 0)</f>
        <v>69.946300000000008</v>
      </c>
      <c r="D1053" s="10">
        <f>69.9038 * CHOOSE(CONTROL!$C$15, $E$9, 100%, $G$9) + CHOOSE(CONTROL!$C$38, 0.0347, 0)</f>
        <v>69.938500000000005</v>
      </c>
      <c r="E1053" s="28">
        <f>75.59 * CHOOSE(CONTROL!$C$15, $E$9, 100%, $G$9) + CHOOSE(CONTROL!$C$38, 0.0347, 0)</f>
        <v>75.624700000000004</v>
      </c>
      <c r="F1053" s="27">
        <f>75.59 * CHOOSE(CONTROL!$C$15, $E$9, 100%, $G$9) + CHOOSE(CONTROL!$C$38, 0.0256, 0)</f>
        <v>75.615600000000001</v>
      </c>
      <c r="G1053" s="10">
        <f>69.91 * CHOOSE(CONTROL!$C$15, $E$9, 100%, $G$9) + CHOOSE(CONTROL!$C$38, 0.0347, 0)</f>
        <v>69.944699999999997</v>
      </c>
      <c r="H1053" s="10">
        <f>69.91 * CHOOSE(CONTROL!$C$15, $E$9, 100%, $G$9) + CHOOSE(CONTROL!$C$38, 0.0347, 0)</f>
        <v>69.944699999999997</v>
      </c>
      <c r="I1053" s="10">
        <f>69.9116 * CHOOSE(CONTROL!$C$15, $E$9, 100%, $G$9) + CHOOSE(CONTROL!$C$38, 0.0347, 0)</f>
        <v>69.946300000000008</v>
      </c>
      <c r="J1053" s="26">
        <f>716.1579</f>
        <v>716.15790000000004</v>
      </c>
    </row>
    <row r="1054" spans="1:10" ht="15.75" x14ac:dyDescent="0.25">
      <c r="A1054" s="13">
        <v>73019</v>
      </c>
      <c r="B1054" s="10">
        <f>75.9397 * CHOOSE(CONTROL!$C$15, $E$9, 100%, $G$9) + CHOOSE(CONTROL!$C$38, 0.0256, 0)</f>
        <v>75.965299999999999</v>
      </c>
      <c r="C1054" s="10">
        <f>70.105 * CHOOSE(CONTROL!$C$15, $E$9, 100%, $G$9) + CHOOSE(CONTROL!$C$38, 0.0347, 0)</f>
        <v>70.139700000000005</v>
      </c>
      <c r="D1054" s="10">
        <f>70.0972 * CHOOSE(CONTROL!$C$15, $E$9, 100%, $G$9) + CHOOSE(CONTROL!$C$38, 0.0347, 0)</f>
        <v>70.131900000000002</v>
      </c>
      <c r="E1054" s="28">
        <f>75.7834 * CHOOSE(CONTROL!$C$15, $E$9, 100%, $G$9) + CHOOSE(CONTROL!$C$38, 0.0347, 0)</f>
        <v>75.818100000000001</v>
      </c>
      <c r="F1054" s="27">
        <f>75.7834 * CHOOSE(CONTROL!$C$15, $E$9, 100%, $G$9) + CHOOSE(CONTROL!$C$38, 0.0256, 0)</f>
        <v>75.808999999999997</v>
      </c>
      <c r="G1054" s="10">
        <f>70.1035 * CHOOSE(CONTROL!$C$15, $E$9, 100%, $G$9) + CHOOSE(CONTROL!$C$38, 0.0347, 0)</f>
        <v>70.138199999999998</v>
      </c>
      <c r="H1054" s="10">
        <f>70.1035 * CHOOSE(CONTROL!$C$15, $E$9, 100%, $G$9) + CHOOSE(CONTROL!$C$38, 0.0347, 0)</f>
        <v>70.138199999999998</v>
      </c>
      <c r="I1054" s="10">
        <f>70.105 * CHOOSE(CONTROL!$C$15, $E$9, 100%, $G$9) + CHOOSE(CONTROL!$C$38, 0.0347, 0)</f>
        <v>70.139700000000005</v>
      </c>
      <c r="J1054" s="26">
        <f>711.0551</f>
        <v>711.05510000000004</v>
      </c>
    </row>
    <row r="1055" spans="1:10" ht="15.75" x14ac:dyDescent="0.25">
      <c r="A1055" s="13">
        <v>73050</v>
      </c>
      <c r="B1055" s="10">
        <f>76.5357 * CHOOSE(CONTROL!$C$15, $E$9, 100%, $G$9) + CHOOSE(CONTROL!$C$38, 0.0256, 0)</f>
        <v>76.561300000000003</v>
      </c>
      <c r="C1055" s="10">
        <f>70.7011 * CHOOSE(CONTROL!$C$15, $E$9, 100%, $G$9) + CHOOSE(CONTROL!$C$38, 0.0347, 0)</f>
        <v>70.735799999999998</v>
      </c>
      <c r="D1055" s="10">
        <f>70.6933 * CHOOSE(CONTROL!$C$15, $E$9, 100%, $G$9) + CHOOSE(CONTROL!$C$38, 0.0347, 0)</f>
        <v>70.727999999999994</v>
      </c>
      <c r="E1055" s="28">
        <f>76.3795 * CHOOSE(CONTROL!$C$15, $E$9, 100%, $G$9) + CHOOSE(CONTROL!$C$38, 0.0347, 0)</f>
        <v>76.414199999999994</v>
      </c>
      <c r="F1055" s="27">
        <f>76.3795 * CHOOSE(CONTROL!$C$15, $E$9, 100%, $G$9) + CHOOSE(CONTROL!$C$38, 0.0256, 0)</f>
        <v>76.40509999999999</v>
      </c>
      <c r="G1055" s="10">
        <f>70.6996 * CHOOSE(CONTROL!$C$15, $E$9, 100%, $G$9) + CHOOSE(CONTROL!$C$38, 0.0347, 0)</f>
        <v>70.734300000000005</v>
      </c>
      <c r="H1055" s="10">
        <f>70.6996 * CHOOSE(CONTROL!$C$15, $E$9, 100%, $G$9) + CHOOSE(CONTROL!$C$38, 0.0347, 0)</f>
        <v>70.734300000000005</v>
      </c>
      <c r="I1055" s="10">
        <f>70.7011 * CHOOSE(CONTROL!$C$15, $E$9, 100%, $G$9) + CHOOSE(CONTROL!$C$38, 0.0347, 0)</f>
        <v>70.735799999999998</v>
      </c>
      <c r="J1055" s="26">
        <f>689.9545</f>
        <v>689.95450000000005</v>
      </c>
    </row>
    <row r="1056" spans="1:10" ht="15.75" x14ac:dyDescent="0.25">
      <c r="A1056" s="13">
        <v>73081</v>
      </c>
      <c r="B1056" s="10">
        <f>78.2419 * CHOOSE(CONTROL!$C$15, $E$9, 100%, $G$9) + CHOOSE(CONTROL!$C$38, 0.0256, 0)</f>
        <v>78.267499999999998</v>
      </c>
      <c r="C1056" s="10">
        <f>72.3142 * CHOOSE(CONTROL!$C$15, $E$9, 100%, $G$9) + CHOOSE(CONTROL!$C$38, 0.0347, 0)</f>
        <v>72.3489</v>
      </c>
      <c r="D1056" s="10">
        <f>72.3064 * CHOOSE(CONTROL!$C$15, $E$9, 100%, $G$9) + CHOOSE(CONTROL!$C$38, 0.0347, 0)</f>
        <v>72.341099999999997</v>
      </c>
      <c r="E1056" s="28">
        <f>78.0857 * CHOOSE(CONTROL!$C$15, $E$9, 100%, $G$9) + CHOOSE(CONTROL!$C$38, 0.0347, 0)</f>
        <v>78.120400000000004</v>
      </c>
      <c r="F1056" s="27">
        <f>78.0857 * CHOOSE(CONTROL!$C$15, $E$9, 100%, $G$9) + CHOOSE(CONTROL!$C$38, 0.0256, 0)</f>
        <v>78.1113</v>
      </c>
      <c r="G1056" s="10">
        <f>72.3127 * CHOOSE(CONTROL!$C$15, $E$9, 100%, $G$9) + CHOOSE(CONTROL!$C$38, 0.0347, 0)</f>
        <v>72.347400000000007</v>
      </c>
      <c r="H1056" s="10">
        <f>72.3127 * CHOOSE(CONTROL!$C$15, $E$9, 100%, $G$9) + CHOOSE(CONTROL!$C$38, 0.0347, 0)</f>
        <v>72.347400000000007</v>
      </c>
      <c r="I1056" s="10">
        <f>72.3142 * CHOOSE(CONTROL!$C$15, $E$9, 100%, $G$9) + CHOOSE(CONTROL!$C$38, 0.0347, 0)</f>
        <v>72.3489</v>
      </c>
      <c r="J1056" s="26">
        <f>688.6368</f>
        <v>688.63679999999999</v>
      </c>
    </row>
    <row r="1057" spans="1:11" ht="15.75" x14ac:dyDescent="0.25">
      <c r="A1057" s="13">
        <v>73109</v>
      </c>
      <c r="B1057" s="10">
        <f>78.4627 * CHOOSE(CONTROL!$C$15, $E$9, 100%, $G$9) + CHOOSE(CONTROL!$C$38, 0.0256, 0)</f>
        <v>78.488299999999995</v>
      </c>
      <c r="C1057" s="10">
        <f>72.535 * CHOOSE(CONTROL!$C$15, $E$9, 100%, $G$9) + CHOOSE(CONTROL!$C$38, 0.0347, 0)</f>
        <v>72.569699999999997</v>
      </c>
      <c r="D1057" s="10">
        <f>72.5272 * CHOOSE(CONTROL!$C$15, $E$9, 100%, $G$9) + CHOOSE(CONTROL!$C$38, 0.0347, 0)</f>
        <v>72.561899999999994</v>
      </c>
      <c r="E1057" s="28">
        <f>78.3065 * CHOOSE(CONTROL!$C$15, $E$9, 100%, $G$9) + CHOOSE(CONTROL!$C$38, 0.0347, 0)</f>
        <v>78.341200000000001</v>
      </c>
      <c r="F1057" s="27">
        <f>78.3065 * CHOOSE(CONTROL!$C$15, $E$9, 100%, $G$9) + CHOOSE(CONTROL!$C$38, 0.0256, 0)</f>
        <v>78.332099999999997</v>
      </c>
      <c r="G1057" s="10">
        <f>72.5334 * CHOOSE(CONTROL!$C$15, $E$9, 100%, $G$9) + CHOOSE(CONTROL!$C$38, 0.0347, 0)</f>
        <v>72.568100000000001</v>
      </c>
      <c r="H1057" s="10">
        <f>72.5334 * CHOOSE(CONTROL!$C$15, $E$9, 100%, $G$9) + CHOOSE(CONTROL!$C$38, 0.0347, 0)</f>
        <v>72.568100000000001</v>
      </c>
      <c r="I1057" s="10">
        <f>72.535 * CHOOSE(CONTROL!$C$15, $E$9, 100%, $G$9) + CHOOSE(CONTROL!$C$38, 0.0347, 0)</f>
        <v>72.569699999999997</v>
      </c>
      <c r="J1057" s="26">
        <f>686.7226</f>
        <v>686.72260000000006</v>
      </c>
    </row>
    <row r="1058" spans="1:11" ht="15.75" x14ac:dyDescent="0.25">
      <c r="A1058" s="13">
        <v>73140</v>
      </c>
      <c r="B1058" s="10">
        <f>77.9517 * CHOOSE(CONTROL!$C$15, $E$9, 100%, $G$9) + CHOOSE(CONTROL!$C$38, 0.0256, 0)</f>
        <v>77.9773</v>
      </c>
      <c r="C1058" s="10">
        <f>72.024 * CHOOSE(CONTROL!$C$15, $E$9, 100%, $G$9) + CHOOSE(CONTROL!$C$38, 0.0347, 0)</f>
        <v>72.058700000000002</v>
      </c>
      <c r="D1058" s="10">
        <f>72.0161 * CHOOSE(CONTROL!$C$15, $E$9, 100%, $G$9) + CHOOSE(CONTROL!$C$38, 0.0347, 0)</f>
        <v>72.050799999999995</v>
      </c>
      <c r="E1058" s="28">
        <f>77.7954 * CHOOSE(CONTROL!$C$15, $E$9, 100%, $G$9) + CHOOSE(CONTROL!$C$38, 0.0347, 0)</f>
        <v>77.830100000000002</v>
      </c>
      <c r="F1058" s="27">
        <f>77.7954 * CHOOSE(CONTROL!$C$15, $E$9, 100%, $G$9) + CHOOSE(CONTROL!$C$38, 0.0256, 0)</f>
        <v>77.820999999999998</v>
      </c>
      <c r="G1058" s="10">
        <f>72.0224 * CHOOSE(CONTROL!$C$15, $E$9, 100%, $G$9) + CHOOSE(CONTROL!$C$38, 0.0347, 0)</f>
        <v>72.057100000000005</v>
      </c>
      <c r="H1058" s="10">
        <f>72.0224 * CHOOSE(CONTROL!$C$15, $E$9, 100%, $G$9) + CHOOSE(CONTROL!$C$38, 0.0347, 0)</f>
        <v>72.057100000000005</v>
      </c>
      <c r="I1058" s="10">
        <f>72.024 * CHOOSE(CONTROL!$C$15, $E$9, 100%, $G$9) + CHOOSE(CONTROL!$C$38, 0.0347, 0)</f>
        <v>72.058700000000002</v>
      </c>
      <c r="J1058" s="26">
        <f>722.9169</f>
        <v>722.91690000000006</v>
      </c>
    </row>
    <row r="1059" spans="1:11" ht="15.75" x14ac:dyDescent="0.25">
      <c r="A1059" s="13">
        <v>73170</v>
      </c>
      <c r="B1059" s="10">
        <f>77.4565 * CHOOSE(CONTROL!$C$15, $E$9, 100%, $G$9) + CHOOSE(CONTROL!$C$38, 0.0256, 0)</f>
        <v>77.482100000000003</v>
      </c>
      <c r="C1059" s="10">
        <f>71.5288 * CHOOSE(CONTROL!$C$15, $E$9, 100%, $G$9) + CHOOSE(CONTROL!$C$38, 0.0347, 0)</f>
        <v>71.563500000000005</v>
      </c>
      <c r="D1059" s="10">
        <f>71.521 * CHOOSE(CONTROL!$C$15, $E$9, 100%, $G$9) + CHOOSE(CONTROL!$C$38, 0.0347, 0)</f>
        <v>71.555700000000002</v>
      </c>
      <c r="E1059" s="28">
        <f>77.3002 * CHOOSE(CONTROL!$C$15, $E$9, 100%, $G$9) + CHOOSE(CONTROL!$C$38, 0.0347, 0)</f>
        <v>77.334900000000005</v>
      </c>
      <c r="F1059" s="27">
        <f>77.3002 * CHOOSE(CONTROL!$C$15, $E$9, 100%, $G$9) + CHOOSE(CONTROL!$C$38, 0.0256, 0)</f>
        <v>77.325800000000001</v>
      </c>
      <c r="G1059" s="10">
        <f>71.5272 * CHOOSE(CONTROL!$C$15, $E$9, 100%, $G$9) + CHOOSE(CONTROL!$C$38, 0.0347, 0)</f>
        <v>71.561899999999994</v>
      </c>
      <c r="H1059" s="10">
        <f>71.5272 * CHOOSE(CONTROL!$C$15, $E$9, 100%, $G$9) + CHOOSE(CONTROL!$C$38, 0.0347, 0)</f>
        <v>71.561899999999994</v>
      </c>
      <c r="I1059" s="10">
        <f>71.5288 * CHOOSE(CONTROL!$C$15, $E$9, 100%, $G$9) + CHOOSE(CONTROL!$C$38, 0.0347, 0)</f>
        <v>71.563500000000005</v>
      </c>
      <c r="J1059" s="26">
        <f>769.8522</f>
        <v>769.85220000000004</v>
      </c>
    </row>
    <row r="1060" spans="1:11" ht="15.75" x14ac:dyDescent="0.25">
      <c r="A1060" s="13">
        <v>73201</v>
      </c>
      <c r="B1060" s="10">
        <f>76.9404 * CHOOSE(CONTROL!$C$15, $E$9, 100%, $G$9) + CHOOSE(CONTROL!$C$38, 0.0278, 0)</f>
        <v>76.968199999999996</v>
      </c>
      <c r="C1060" s="10">
        <f>71.0127 * CHOOSE(CONTROL!$C$15, $E$9, 100%, $G$9) + CHOOSE(CONTROL!$C$38, 0.0369, 0)</f>
        <v>71.049599999999998</v>
      </c>
      <c r="D1060" s="10">
        <f>71.0048 * CHOOSE(CONTROL!$C$15, $E$9, 100%, $G$9) + CHOOSE(CONTROL!$C$38, 0.0369, 0)</f>
        <v>71.041700000000006</v>
      </c>
      <c r="E1060" s="28">
        <f>76.7841 * CHOOSE(CONTROL!$C$15, $E$9, 100%, $G$9) + CHOOSE(CONTROL!$C$38, 0.0369, 0)</f>
        <v>76.820999999999998</v>
      </c>
      <c r="F1060" s="27">
        <f>76.7841 * CHOOSE(CONTROL!$C$15, $E$9, 100%, $G$9) + CHOOSE(CONTROL!$C$38, 0.0278, 0)</f>
        <v>76.811899999999994</v>
      </c>
      <c r="G1060" s="10">
        <f>71.0111 * CHOOSE(CONTROL!$C$15, $E$9, 100%, $G$9) + CHOOSE(CONTROL!$C$38, 0.0369, 0)</f>
        <v>71.048000000000002</v>
      </c>
      <c r="H1060" s="10">
        <f>71.0111 * CHOOSE(CONTROL!$C$15, $E$9, 100%, $G$9) + CHOOSE(CONTROL!$C$38, 0.0369, 0)</f>
        <v>71.048000000000002</v>
      </c>
      <c r="I1060" s="10">
        <f>71.0127 * CHOOSE(CONTROL!$C$15, $E$9, 100%, $G$9) + CHOOSE(CONTROL!$C$38, 0.0369, 0)</f>
        <v>71.049599999999998</v>
      </c>
      <c r="J1060" s="26">
        <f>795.6869</f>
        <v>795.68690000000004</v>
      </c>
    </row>
    <row r="1061" spans="1:11" ht="15.75" x14ac:dyDescent="0.25">
      <c r="A1061" s="13">
        <v>73231</v>
      </c>
      <c r="B1061" s="10">
        <f>76.5785 * CHOOSE(CONTROL!$C$15, $E$9, 100%, $G$9) + CHOOSE(CONTROL!$C$38, 0.0278, 0)</f>
        <v>76.606300000000005</v>
      </c>
      <c r="C1061" s="10">
        <f>70.6508 * CHOOSE(CONTROL!$C$15, $E$9, 100%, $G$9) + CHOOSE(CONTROL!$C$38, 0.0369, 0)</f>
        <v>70.687700000000007</v>
      </c>
      <c r="D1061" s="10">
        <f>70.643 * CHOOSE(CONTROL!$C$15, $E$9, 100%, $G$9) + CHOOSE(CONTROL!$C$38, 0.0369, 0)</f>
        <v>70.679900000000004</v>
      </c>
      <c r="E1061" s="28">
        <f>76.4223 * CHOOSE(CONTROL!$C$15, $E$9, 100%, $G$9) + CHOOSE(CONTROL!$C$38, 0.0369, 0)</f>
        <v>76.45920000000001</v>
      </c>
      <c r="F1061" s="27">
        <f>76.4223 * CHOOSE(CONTROL!$C$15, $E$9, 100%, $G$9) + CHOOSE(CONTROL!$C$38, 0.0278, 0)</f>
        <v>76.450100000000006</v>
      </c>
      <c r="G1061" s="10">
        <f>70.6493 * CHOOSE(CONTROL!$C$15, $E$9, 100%, $G$9) + CHOOSE(CONTROL!$C$38, 0.0369, 0)</f>
        <v>70.686199999999999</v>
      </c>
      <c r="H1061" s="10">
        <f>70.6493 * CHOOSE(CONTROL!$C$15, $E$9, 100%, $G$9) + CHOOSE(CONTROL!$C$38, 0.0369, 0)</f>
        <v>70.686199999999999</v>
      </c>
      <c r="I1061" s="10">
        <f>70.6508 * CHOOSE(CONTROL!$C$15, $E$9, 100%, $G$9) + CHOOSE(CONTROL!$C$38, 0.0369, 0)</f>
        <v>70.687700000000007</v>
      </c>
      <c r="J1061" s="26">
        <f>807.1519</f>
        <v>807.15189999999996</v>
      </c>
    </row>
    <row r="1062" spans="1:11" ht="15.75" x14ac:dyDescent="0.25">
      <c r="A1062" s="13">
        <v>73262</v>
      </c>
      <c r="B1062" s="10">
        <f>76.3721 * CHOOSE(CONTROL!$C$15, $E$9, 100%, $G$9) + CHOOSE(CONTROL!$C$38, 0.0278, 0)</f>
        <v>76.399900000000002</v>
      </c>
      <c r="C1062" s="10">
        <f>70.4443 * CHOOSE(CONTROL!$C$15, $E$9, 100%, $G$9) + CHOOSE(CONTROL!$C$38, 0.0369, 0)</f>
        <v>70.481200000000001</v>
      </c>
      <c r="D1062" s="10">
        <f>70.4365 * CHOOSE(CONTROL!$C$15, $E$9, 100%, $G$9) + CHOOSE(CONTROL!$C$38, 0.0369, 0)</f>
        <v>70.473399999999998</v>
      </c>
      <c r="E1062" s="28">
        <f>76.2158 * CHOOSE(CONTROL!$C$15, $E$9, 100%, $G$9) + CHOOSE(CONTROL!$C$38, 0.0369, 0)</f>
        <v>76.252700000000004</v>
      </c>
      <c r="F1062" s="27">
        <f>76.2158 * CHOOSE(CONTROL!$C$15, $E$9, 100%, $G$9) + CHOOSE(CONTROL!$C$38, 0.0278, 0)</f>
        <v>76.243600000000001</v>
      </c>
      <c r="G1062" s="10">
        <f>70.4428 * CHOOSE(CONTROL!$C$15, $E$9, 100%, $G$9) + CHOOSE(CONTROL!$C$38, 0.0369, 0)</f>
        <v>70.479700000000008</v>
      </c>
      <c r="H1062" s="10">
        <f>70.4428 * CHOOSE(CONTROL!$C$15, $E$9, 100%, $G$9) + CHOOSE(CONTROL!$C$38, 0.0369, 0)</f>
        <v>70.479700000000008</v>
      </c>
      <c r="I1062" s="10">
        <f>70.4443 * CHOOSE(CONTROL!$C$15, $E$9, 100%, $G$9) + CHOOSE(CONTROL!$C$38, 0.0369, 0)</f>
        <v>70.481200000000001</v>
      </c>
      <c r="J1062" s="26">
        <f>803.3771</f>
        <v>803.37710000000004</v>
      </c>
    </row>
    <row r="1063" spans="1:11" ht="15.75" x14ac:dyDescent="0.25">
      <c r="A1063" s="13">
        <v>73293</v>
      </c>
      <c r="B1063" s="10">
        <f>76.474 * CHOOSE(CONTROL!$C$15, $E$9, 100%, $G$9) + CHOOSE(CONTROL!$C$38, 0.0278, 0)</f>
        <v>76.501800000000003</v>
      </c>
      <c r="C1063" s="10">
        <f>70.5462 * CHOOSE(CONTROL!$C$15, $E$9, 100%, $G$9) + CHOOSE(CONTROL!$C$38, 0.0369, 0)</f>
        <v>70.583100000000002</v>
      </c>
      <c r="D1063" s="10">
        <f>70.5384 * CHOOSE(CONTROL!$C$15, $E$9, 100%, $G$9) + CHOOSE(CONTROL!$C$38, 0.0369, 0)</f>
        <v>70.575299999999999</v>
      </c>
      <c r="E1063" s="28">
        <f>76.3177 * CHOOSE(CONTROL!$C$15, $E$9, 100%, $G$9) + CHOOSE(CONTROL!$C$38, 0.0369, 0)</f>
        <v>76.354600000000005</v>
      </c>
      <c r="F1063" s="27">
        <f>76.3177 * CHOOSE(CONTROL!$C$15, $E$9, 100%, $G$9) + CHOOSE(CONTROL!$C$38, 0.0278, 0)</f>
        <v>76.345500000000001</v>
      </c>
      <c r="G1063" s="10">
        <f>70.5447 * CHOOSE(CONTROL!$C$15, $E$9, 100%, $G$9) + CHOOSE(CONTROL!$C$38, 0.0369, 0)</f>
        <v>70.581600000000009</v>
      </c>
      <c r="H1063" s="10">
        <f>70.5447 * CHOOSE(CONTROL!$C$15, $E$9, 100%, $G$9) + CHOOSE(CONTROL!$C$38, 0.0369, 0)</f>
        <v>70.581600000000009</v>
      </c>
      <c r="I1063" s="10">
        <f>70.5462 * CHOOSE(CONTROL!$C$15, $E$9, 100%, $G$9) + CHOOSE(CONTROL!$C$38, 0.0369, 0)</f>
        <v>70.583100000000002</v>
      </c>
      <c r="J1063" s="26">
        <f>784.6748</f>
        <v>784.6748</v>
      </c>
    </row>
    <row r="1064" spans="1:11" ht="15.75" x14ac:dyDescent="0.25">
      <c r="A1064" s="13">
        <v>73323</v>
      </c>
      <c r="B1064" s="10">
        <f>76.7508 * CHOOSE(CONTROL!$C$15, $E$9, 100%, $G$9) + CHOOSE(CONTROL!$C$38, 0.0278, 0)</f>
        <v>76.778599999999997</v>
      </c>
      <c r="C1064" s="10">
        <f>70.823 * CHOOSE(CONTROL!$C$15, $E$9, 100%, $G$9) + CHOOSE(CONTROL!$C$38, 0.0369, 0)</f>
        <v>70.859899999999996</v>
      </c>
      <c r="D1064" s="10">
        <f>70.8152 * CHOOSE(CONTROL!$C$15, $E$9, 100%, $G$9) + CHOOSE(CONTROL!$C$38, 0.0369, 0)</f>
        <v>70.852100000000007</v>
      </c>
      <c r="E1064" s="28">
        <f>76.5945 * CHOOSE(CONTROL!$C$15, $E$9, 100%, $G$9) + CHOOSE(CONTROL!$C$38, 0.0369, 0)</f>
        <v>76.631399999999999</v>
      </c>
      <c r="F1064" s="27">
        <f>76.5945 * CHOOSE(CONTROL!$C$15, $E$9, 100%, $G$9) + CHOOSE(CONTROL!$C$38, 0.0278, 0)</f>
        <v>76.622299999999996</v>
      </c>
      <c r="G1064" s="10">
        <f>70.8215 * CHOOSE(CONTROL!$C$15, $E$9, 100%, $G$9) + CHOOSE(CONTROL!$C$38, 0.0369, 0)</f>
        <v>70.858400000000003</v>
      </c>
      <c r="H1064" s="10">
        <f>70.8215 * CHOOSE(CONTROL!$C$15, $E$9, 100%, $G$9) + CHOOSE(CONTROL!$C$38, 0.0369, 0)</f>
        <v>70.858400000000003</v>
      </c>
      <c r="I1064" s="10">
        <f>70.823 * CHOOSE(CONTROL!$C$15, $E$9, 100%, $G$9) + CHOOSE(CONTROL!$C$38, 0.0369, 0)</f>
        <v>70.859899999999996</v>
      </c>
      <c r="J1064" s="26">
        <f>758.5936</f>
        <v>758.59360000000004</v>
      </c>
    </row>
    <row r="1065" spans="1:11" ht="15.75" x14ac:dyDescent="0.25">
      <c r="A1065" s="13">
        <v>73354</v>
      </c>
      <c r="B1065" s="10">
        <f>76.9826 * CHOOSE(CONTROL!$C$15, $E$9, 100%, $G$9) + CHOOSE(CONTROL!$C$38, 0.0256, 0)</f>
        <v>77.008200000000002</v>
      </c>
      <c r="C1065" s="10">
        <f>71.0549 * CHOOSE(CONTROL!$C$15, $E$9, 100%, $G$9) + CHOOSE(CONTROL!$C$38, 0.0347, 0)</f>
        <v>71.089600000000004</v>
      </c>
      <c r="D1065" s="10">
        <f>71.0471 * CHOOSE(CONTROL!$C$15, $E$9, 100%, $G$9) + CHOOSE(CONTROL!$C$38, 0.0347, 0)</f>
        <v>71.081800000000001</v>
      </c>
      <c r="E1065" s="28">
        <f>76.8263 * CHOOSE(CONTROL!$C$15, $E$9, 100%, $G$9) + CHOOSE(CONTROL!$C$38, 0.0347, 0)</f>
        <v>76.861000000000004</v>
      </c>
      <c r="F1065" s="27">
        <f>76.8263 * CHOOSE(CONTROL!$C$15, $E$9, 100%, $G$9) + CHOOSE(CONTROL!$C$38, 0.0256, 0)</f>
        <v>76.851900000000001</v>
      </c>
      <c r="G1065" s="10">
        <f>71.0533 * CHOOSE(CONTROL!$C$15, $E$9, 100%, $G$9) + CHOOSE(CONTROL!$C$38, 0.0347, 0)</f>
        <v>71.087999999999994</v>
      </c>
      <c r="H1065" s="10">
        <f>71.0533 * CHOOSE(CONTROL!$C$15, $E$9, 100%, $G$9) + CHOOSE(CONTROL!$C$38, 0.0347, 0)</f>
        <v>71.087999999999994</v>
      </c>
      <c r="I1065" s="10">
        <f>71.0549 * CHOOSE(CONTROL!$C$15, $E$9, 100%, $G$9) + CHOOSE(CONTROL!$C$38, 0.0347, 0)</f>
        <v>71.089600000000004</v>
      </c>
      <c r="J1065" s="26">
        <f>732.3606</f>
        <v>732.36059999999998</v>
      </c>
    </row>
    <row r="1066" spans="1:11" ht="15.75" x14ac:dyDescent="0.25">
      <c r="A1066" s="13">
        <v>73384</v>
      </c>
      <c r="B1066" s="10">
        <f>77.176 * CHOOSE(CONTROL!$C$15, $E$9, 100%, $G$9) + CHOOSE(CONTROL!$C$38, 0.0256, 0)</f>
        <v>77.201599999999999</v>
      </c>
      <c r="C1066" s="10">
        <f>71.2483 * CHOOSE(CONTROL!$C$15, $E$9, 100%, $G$9) + CHOOSE(CONTROL!$C$38, 0.0347, 0)</f>
        <v>71.283000000000001</v>
      </c>
      <c r="D1066" s="10">
        <f>71.2405 * CHOOSE(CONTROL!$C$15, $E$9, 100%, $G$9) + CHOOSE(CONTROL!$C$38, 0.0347, 0)</f>
        <v>71.275199999999998</v>
      </c>
      <c r="E1066" s="28">
        <f>77.0198 * CHOOSE(CONTROL!$C$15, $E$9, 100%, $G$9) + CHOOSE(CONTROL!$C$38, 0.0347, 0)</f>
        <v>77.054500000000004</v>
      </c>
      <c r="F1066" s="27">
        <f>77.0198 * CHOOSE(CONTROL!$C$15, $E$9, 100%, $G$9) + CHOOSE(CONTROL!$C$38, 0.0256, 0)</f>
        <v>77.045400000000001</v>
      </c>
      <c r="G1066" s="10">
        <f>71.2467 * CHOOSE(CONTROL!$C$15, $E$9, 100%, $G$9) + CHOOSE(CONTROL!$C$38, 0.0347, 0)</f>
        <v>71.281400000000005</v>
      </c>
      <c r="H1066" s="10">
        <f>71.2467 * CHOOSE(CONTROL!$C$15, $E$9, 100%, $G$9) + CHOOSE(CONTROL!$C$38, 0.0347, 0)</f>
        <v>71.281400000000005</v>
      </c>
      <c r="I1066" s="10">
        <f>71.2483 * CHOOSE(CONTROL!$C$15, $E$9, 100%, $G$9) + CHOOSE(CONTROL!$C$38, 0.0347, 0)</f>
        <v>71.283000000000001</v>
      </c>
      <c r="J1066" s="26">
        <f>727.1424</f>
        <v>727.14239999999995</v>
      </c>
    </row>
    <row r="1067" spans="1:11" ht="15.75" x14ac:dyDescent="0.25">
      <c r="A1067" s="13">
        <v>73415</v>
      </c>
      <c r="B1067" s="10">
        <f>77.7721 * CHOOSE(CONTROL!$C$15, $E$9, 100%, $G$9) + CHOOSE(CONTROL!$C$38, 0.0256, 0)</f>
        <v>77.797699999999992</v>
      </c>
      <c r="C1067" s="10">
        <f>71.8444 * CHOOSE(CONTROL!$C$15, $E$9, 100%, $G$9) + CHOOSE(CONTROL!$C$38, 0.0347, 0)</f>
        <v>71.879099999999994</v>
      </c>
      <c r="D1067" s="10">
        <f>71.8366 * CHOOSE(CONTROL!$C$15, $E$9, 100%, $G$9) + CHOOSE(CONTROL!$C$38, 0.0347, 0)</f>
        <v>71.871300000000005</v>
      </c>
      <c r="E1067" s="28">
        <f>77.6158 * CHOOSE(CONTROL!$C$15, $E$9, 100%, $G$9) + CHOOSE(CONTROL!$C$38, 0.0347, 0)</f>
        <v>77.650499999999994</v>
      </c>
      <c r="F1067" s="27">
        <f>77.6158 * CHOOSE(CONTROL!$C$15, $E$9, 100%, $G$9) + CHOOSE(CONTROL!$C$38, 0.0256, 0)</f>
        <v>77.64139999999999</v>
      </c>
      <c r="G1067" s="10">
        <f>71.8428 * CHOOSE(CONTROL!$C$15, $E$9, 100%, $G$9) + CHOOSE(CONTROL!$C$38, 0.0347, 0)</f>
        <v>71.877499999999998</v>
      </c>
      <c r="H1067" s="10">
        <f>71.8428 * CHOOSE(CONTROL!$C$15, $E$9, 100%, $G$9) + CHOOSE(CONTROL!$C$38, 0.0347, 0)</f>
        <v>71.877499999999998</v>
      </c>
      <c r="I1067" s="10">
        <f>71.8444 * CHOOSE(CONTROL!$C$15, $E$9, 100%, $G$9) + CHOOSE(CONTROL!$C$38, 0.0347, 0)</f>
        <v>71.879099999999994</v>
      </c>
      <c r="J1067" s="26">
        <f>705.5644</f>
        <v>705.56439999999998</v>
      </c>
    </row>
    <row r="1068" spans="1:11" ht="15" x14ac:dyDescent="0.2">
      <c r="A1068" s="12"/>
      <c r="B1068" s="10"/>
      <c r="C1068" s="10"/>
      <c r="D1068" s="10"/>
      <c r="E1068" s="10"/>
      <c r="F1068" s="10"/>
      <c r="G1068" s="10"/>
      <c r="H1068" s="10"/>
      <c r="I1068" s="10"/>
    </row>
    <row r="1069" spans="1:11" ht="15" x14ac:dyDescent="0.2">
      <c r="A1069" s="11">
        <v>2013</v>
      </c>
      <c r="B1069" s="10">
        <f t="shared" ref="B1069:J1069" si="0">AVERAGE(B12:B23)</f>
        <v>16.385457749724583</v>
      </c>
      <c r="C1069" s="10">
        <f t="shared" si="0"/>
        <v>15.66555543083866</v>
      </c>
      <c r="D1069" s="10">
        <f t="shared" si="0"/>
        <v>15.65774293083866</v>
      </c>
      <c r="E1069" s="10">
        <f t="shared" si="0"/>
        <v>15.72219605583866</v>
      </c>
      <c r="F1069" s="10">
        <f t="shared" si="0"/>
        <v>16.096193524651671</v>
      </c>
      <c r="G1069" s="10">
        <f t="shared" si="0"/>
        <v>15.66399293083866</v>
      </c>
      <c r="H1069" s="10">
        <f t="shared" si="0"/>
        <v>15.66399293083866</v>
      </c>
      <c r="I1069" s="10">
        <f t="shared" si="0"/>
        <v>15.66555543083866</v>
      </c>
      <c r="J1069" s="10">
        <f t="shared" si="0"/>
        <v>96.763333333333321</v>
      </c>
      <c r="K1069" s="10"/>
    </row>
    <row r="1070" spans="1:11" ht="15" x14ac:dyDescent="0.2">
      <c r="A1070" s="11">
        <v>2014</v>
      </c>
      <c r="B1070" s="10">
        <f t="shared" ref="B1070:J1070" si="1">AVERAGE(B24:B35)</f>
        <v>15.641669416922639</v>
      </c>
      <c r="C1070" s="10">
        <f t="shared" si="1"/>
        <v>14.843573341076294</v>
      </c>
      <c r="D1070" s="10">
        <f t="shared" si="1"/>
        <v>14.835763966076293</v>
      </c>
      <c r="E1070" s="10">
        <f t="shared" si="1"/>
        <v>15.49451709107629</v>
      </c>
      <c r="F1070" s="10">
        <f t="shared" si="1"/>
        <v>15.485423583589309</v>
      </c>
      <c r="G1070" s="10">
        <f t="shared" si="1"/>
        <v>14.842043132742964</v>
      </c>
      <c r="H1070" s="10">
        <f t="shared" si="1"/>
        <v>14.842043132742964</v>
      </c>
      <c r="I1070" s="10">
        <f t="shared" si="1"/>
        <v>14.843573341076294</v>
      </c>
      <c r="J1070" s="10">
        <f t="shared" si="1"/>
        <v>92.529166666666654</v>
      </c>
      <c r="K1070" s="10"/>
    </row>
    <row r="1071" spans="1:11" ht="15" x14ac:dyDescent="0.2">
      <c r="A1071" s="11">
        <v>2015</v>
      </c>
      <c r="B1071" s="10">
        <f t="shared" ref="B1071:J1071" si="2">AVERAGE(B36:B47)</f>
        <v>14.762516666666665</v>
      </c>
      <c r="C1071" s="10">
        <f t="shared" si="2"/>
        <v>14.585616666666667</v>
      </c>
      <c r="D1071" s="10">
        <f t="shared" si="2"/>
        <v>14.577816666666665</v>
      </c>
      <c r="E1071" s="10">
        <f t="shared" si="2"/>
        <v>14.615416666666663</v>
      </c>
      <c r="F1071" s="10">
        <f t="shared" si="2"/>
        <v>14.60631666666667</v>
      </c>
      <c r="G1071" s="10">
        <f t="shared" si="2"/>
        <v>14.584016666666669</v>
      </c>
      <c r="H1071" s="10">
        <f t="shared" si="2"/>
        <v>14.584016666666669</v>
      </c>
      <c r="I1071" s="10">
        <f t="shared" si="2"/>
        <v>14.585616666666667</v>
      </c>
      <c r="J1071" s="10">
        <f t="shared" si="2"/>
        <v>86.412500000000009</v>
      </c>
      <c r="K1071" s="10"/>
    </row>
    <row r="1072" spans="1:11" ht="15" x14ac:dyDescent="0.2">
      <c r="A1072" s="11">
        <v>2016</v>
      </c>
      <c r="B1072" s="10">
        <f t="shared" ref="B1072:J1072" si="3">AVERAGE(B48:B59)</f>
        <v>14.123100000000001</v>
      </c>
      <c r="C1072" s="10">
        <f t="shared" si="3"/>
        <v>13.946150000000001</v>
      </c>
      <c r="D1072" s="10">
        <f t="shared" si="3"/>
        <v>13.938341666666666</v>
      </c>
      <c r="E1072" s="10">
        <f t="shared" si="3"/>
        <v>13.975958333333333</v>
      </c>
      <c r="F1072" s="10">
        <f t="shared" si="3"/>
        <v>13.966858333333334</v>
      </c>
      <c r="G1072" s="10">
        <f t="shared" si="3"/>
        <v>13.944608333333333</v>
      </c>
      <c r="H1072" s="10">
        <f t="shared" si="3"/>
        <v>13.944608333333333</v>
      </c>
      <c r="I1072" s="10">
        <f t="shared" si="3"/>
        <v>13.946150000000001</v>
      </c>
      <c r="J1072" s="10">
        <f t="shared" si="3"/>
        <v>82.320000000000007</v>
      </c>
      <c r="K1072" s="10"/>
    </row>
    <row r="1073" spans="1:11" ht="15" x14ac:dyDescent="0.2">
      <c r="A1073" s="11">
        <v>2017</v>
      </c>
      <c r="B1073" s="10">
        <f t="shared" ref="B1073:J1073" si="4">AVERAGE(B60:B71)</f>
        <v>13.681958333333336</v>
      </c>
      <c r="C1073" s="10">
        <f t="shared" si="4"/>
        <v>13.505024999999998</v>
      </c>
      <c r="D1073" s="10">
        <f t="shared" si="4"/>
        <v>13.497208333333335</v>
      </c>
      <c r="E1073" s="10">
        <f t="shared" si="4"/>
        <v>13.53481666666667</v>
      </c>
      <c r="F1073" s="10">
        <f t="shared" si="4"/>
        <v>13.525716666666666</v>
      </c>
      <c r="G1073" s="10">
        <f t="shared" si="4"/>
        <v>13.503441666666665</v>
      </c>
      <c r="H1073" s="10">
        <f t="shared" si="4"/>
        <v>13.503441666666665</v>
      </c>
      <c r="I1073" s="10">
        <f t="shared" si="4"/>
        <v>13.505024999999998</v>
      </c>
      <c r="J1073" s="10">
        <f t="shared" si="4"/>
        <v>92.942283333333322</v>
      </c>
      <c r="K1073" s="10"/>
    </row>
    <row r="1074" spans="1:11" ht="15" x14ac:dyDescent="0.2">
      <c r="A1074" s="11">
        <v>2018</v>
      </c>
      <c r="B1074" s="10">
        <f t="shared" ref="B1074:J1074" si="5">AVERAGE(B72:B83)</f>
        <v>13.418416666666667</v>
      </c>
      <c r="C1074" s="10">
        <f t="shared" si="5"/>
        <v>13.244533333333331</v>
      </c>
      <c r="D1074" s="10">
        <f t="shared" si="5"/>
        <v>13.236716666666666</v>
      </c>
      <c r="E1074" s="10">
        <f t="shared" si="5"/>
        <v>13.271266666666667</v>
      </c>
      <c r="F1074" s="10">
        <f t="shared" si="5"/>
        <v>13.262166666666667</v>
      </c>
      <c r="G1074" s="10">
        <f t="shared" si="5"/>
        <v>13.242983333333333</v>
      </c>
      <c r="H1074" s="10">
        <f t="shared" si="5"/>
        <v>13.242983333333333</v>
      </c>
      <c r="I1074" s="10">
        <f t="shared" si="5"/>
        <v>13.244533333333331</v>
      </c>
      <c r="J1074" s="10">
        <f t="shared" si="5"/>
        <v>93.252374999999986</v>
      </c>
      <c r="K1074" s="10"/>
    </row>
    <row r="1075" spans="1:11" ht="15" x14ac:dyDescent="0.2">
      <c r="A1075" s="11">
        <v>2019</v>
      </c>
      <c r="B1075" s="10">
        <f t="shared" ref="B1075:J1075" si="6">AVERAGE(B84:B95)</f>
        <v>17.716216666666664</v>
      </c>
      <c r="C1075" s="10">
        <f t="shared" si="6"/>
        <v>16.808916666666665</v>
      </c>
      <c r="D1075" s="10">
        <f t="shared" si="6"/>
        <v>16.801108333333332</v>
      </c>
      <c r="E1075" s="10">
        <f t="shared" si="6"/>
        <v>17.569074999999998</v>
      </c>
      <c r="F1075" s="10">
        <f t="shared" si="6"/>
        <v>17.559975000000001</v>
      </c>
      <c r="G1075" s="10">
        <f t="shared" si="6"/>
        <v>16.807358333333333</v>
      </c>
      <c r="H1075" s="10">
        <f t="shared" si="6"/>
        <v>16.807358333333333</v>
      </c>
      <c r="I1075" s="10">
        <f t="shared" si="6"/>
        <v>16.808916666666665</v>
      </c>
      <c r="J1075" s="10">
        <f t="shared" si="6"/>
        <v>110.81963333333334</v>
      </c>
      <c r="K1075" s="10"/>
    </row>
    <row r="1076" spans="1:11" ht="15" x14ac:dyDescent="0.2">
      <c r="A1076" s="11">
        <v>2020</v>
      </c>
      <c r="B1076" s="10">
        <f t="shared" ref="B1076:J1076" si="7">AVERAGE(B96:B107)</f>
        <v>18.354158333333331</v>
      </c>
      <c r="C1076" s="10">
        <f t="shared" si="7"/>
        <v>17.282858333333333</v>
      </c>
      <c r="D1076" s="10">
        <f t="shared" si="7"/>
        <v>17.275041666666667</v>
      </c>
      <c r="E1076" s="10">
        <f t="shared" si="7"/>
        <v>18.207008333333334</v>
      </c>
      <c r="F1076" s="10">
        <f t="shared" si="7"/>
        <v>18.197908333333334</v>
      </c>
      <c r="G1076" s="10">
        <f t="shared" si="7"/>
        <v>17.281308333333332</v>
      </c>
      <c r="H1076" s="10">
        <f t="shared" si="7"/>
        <v>17.281308333333332</v>
      </c>
      <c r="I1076" s="10">
        <f t="shared" si="7"/>
        <v>17.282858333333333</v>
      </c>
      <c r="J1076" s="10">
        <f t="shared" si="7"/>
        <v>113.18234166666667</v>
      </c>
      <c r="K1076" s="10"/>
    </row>
    <row r="1077" spans="1:11" ht="15" x14ac:dyDescent="0.2">
      <c r="A1077" s="11">
        <v>2021</v>
      </c>
      <c r="B1077" s="10">
        <f t="shared" ref="B1077:J1077" si="8">AVERAGE(B108:B119)</f>
        <v>19.250266666666665</v>
      </c>
      <c r="C1077" s="10">
        <f t="shared" si="8"/>
        <v>17.946183333333334</v>
      </c>
      <c r="D1077" s="10">
        <f t="shared" si="8"/>
        <v>17.938358333333333</v>
      </c>
      <c r="E1077" s="10">
        <f t="shared" si="8"/>
        <v>19.103116666666665</v>
      </c>
      <c r="F1077" s="10">
        <f t="shared" si="8"/>
        <v>19.094016666666665</v>
      </c>
      <c r="G1077" s="10">
        <f t="shared" si="8"/>
        <v>17.944616666666672</v>
      </c>
      <c r="H1077" s="10">
        <f t="shared" si="8"/>
        <v>17.944616666666672</v>
      </c>
      <c r="I1077" s="10">
        <f t="shared" si="8"/>
        <v>17.946183333333334</v>
      </c>
      <c r="J1077" s="10">
        <f t="shared" si="8"/>
        <v>118.24135833333332</v>
      </c>
      <c r="K1077" s="10"/>
    </row>
    <row r="1078" spans="1:11" ht="15" x14ac:dyDescent="0.2">
      <c r="A1078" s="11">
        <v>2022</v>
      </c>
      <c r="B1078" s="10">
        <f t="shared" ref="B1078:J1078" si="9">AVERAGE(B120:B131)</f>
        <v>20.033508333333334</v>
      </c>
      <c r="C1078" s="10">
        <f t="shared" si="9"/>
        <v>18.632183333333334</v>
      </c>
      <c r="D1078" s="10">
        <f t="shared" si="9"/>
        <v>18.624366666666671</v>
      </c>
      <c r="E1078" s="10">
        <f t="shared" si="9"/>
        <v>19.886341666666667</v>
      </c>
      <c r="F1078" s="10">
        <f t="shared" si="9"/>
        <v>19.877241666666666</v>
      </c>
      <c r="G1078" s="10">
        <f t="shared" si="9"/>
        <v>18.630616666666665</v>
      </c>
      <c r="H1078" s="10">
        <f t="shared" si="9"/>
        <v>18.630616666666665</v>
      </c>
      <c r="I1078" s="10">
        <f t="shared" si="9"/>
        <v>18.632183333333334</v>
      </c>
      <c r="J1078" s="10">
        <f t="shared" si="9"/>
        <v>123.67511666666667</v>
      </c>
      <c r="K1078" s="10"/>
    </row>
    <row r="1079" spans="1:11" ht="15" x14ac:dyDescent="0.2">
      <c r="A1079" s="11">
        <v>2023</v>
      </c>
      <c r="B1079" s="10">
        <f t="shared" ref="B1079:J1079" si="10">AVERAGE(B132:B143)</f>
        <v>20.984041666666666</v>
      </c>
      <c r="C1079" s="10">
        <f t="shared" si="10"/>
        <v>19.403299999999998</v>
      </c>
      <c r="D1079" s="10">
        <f t="shared" si="10"/>
        <v>19.395491666666665</v>
      </c>
      <c r="E1079" s="10">
        <f t="shared" si="10"/>
        <v>20.83690833333333</v>
      </c>
      <c r="F1079" s="10">
        <f t="shared" si="10"/>
        <v>20.827808333333333</v>
      </c>
      <c r="G1079" s="10">
        <f t="shared" si="10"/>
        <v>19.401716666666669</v>
      </c>
      <c r="H1079" s="10">
        <f t="shared" si="10"/>
        <v>19.401716666666669</v>
      </c>
      <c r="I1079" s="10">
        <f t="shared" si="10"/>
        <v>19.403299999999998</v>
      </c>
      <c r="J1079" s="10">
        <f t="shared" si="10"/>
        <v>129.35190833333334</v>
      </c>
      <c r="K1079" s="10"/>
    </row>
    <row r="1080" spans="1:11" ht="15" x14ac:dyDescent="0.2">
      <c r="A1080" s="11">
        <v>2024</v>
      </c>
      <c r="B1080" s="10">
        <f t="shared" ref="B1080:J1080" si="11">AVERAGE(B144:B155)</f>
        <v>21.975516666666667</v>
      </c>
      <c r="C1080" s="10">
        <f t="shared" si="11"/>
        <v>20.214325000000002</v>
      </c>
      <c r="D1080" s="10">
        <f t="shared" si="11"/>
        <v>20.206516666666669</v>
      </c>
      <c r="E1080" s="10">
        <f t="shared" si="11"/>
        <v>21.828383333333331</v>
      </c>
      <c r="F1080" s="10">
        <f t="shared" si="11"/>
        <v>21.819283333333331</v>
      </c>
      <c r="G1080" s="10">
        <f t="shared" si="11"/>
        <v>20.212783333333331</v>
      </c>
      <c r="H1080" s="10">
        <f t="shared" si="11"/>
        <v>20.212783333333331</v>
      </c>
      <c r="I1080" s="10">
        <f t="shared" si="11"/>
        <v>20.214325000000002</v>
      </c>
      <c r="J1080" s="10">
        <f t="shared" si="11"/>
        <v>135.2825</v>
      </c>
      <c r="K1080" s="10"/>
    </row>
    <row r="1081" spans="1:11" ht="15" x14ac:dyDescent="0.2">
      <c r="A1081" s="11">
        <v>2025</v>
      </c>
      <c r="B1081" s="10">
        <f t="shared" ref="B1081:J1081" si="12">AVERAGE(B156:B167)</f>
        <v>23.033750000000001</v>
      </c>
      <c r="C1081" s="10">
        <f t="shared" si="12"/>
        <v>21.090508333333336</v>
      </c>
      <c r="D1081" s="10">
        <f t="shared" si="12"/>
        <v>21.082691666666665</v>
      </c>
      <c r="E1081" s="10">
        <f t="shared" si="12"/>
        <v>22.886608333333331</v>
      </c>
      <c r="F1081" s="10">
        <f t="shared" si="12"/>
        <v>22.877508333333328</v>
      </c>
      <c r="G1081" s="10">
        <f t="shared" si="12"/>
        <v>21.088925</v>
      </c>
      <c r="H1081" s="10">
        <f t="shared" si="12"/>
        <v>21.088925</v>
      </c>
      <c r="I1081" s="10">
        <f t="shared" si="12"/>
        <v>21.090508333333336</v>
      </c>
      <c r="J1081" s="10">
        <f t="shared" si="12"/>
        <v>141.47811666666666</v>
      </c>
      <c r="K1081" s="10"/>
    </row>
    <row r="1082" spans="1:11" ht="15" x14ac:dyDescent="0.2">
      <c r="A1082" s="11">
        <v>2026</v>
      </c>
      <c r="B1082" s="10">
        <f t="shared" ref="B1082:J1082" si="13">AVERAGE(B168:B179)</f>
        <v>23.397316666666665</v>
      </c>
      <c r="C1082" s="10">
        <f t="shared" si="13"/>
        <v>21.44520833333333</v>
      </c>
      <c r="D1082" s="10">
        <f t="shared" si="13"/>
        <v>21.437391666666667</v>
      </c>
      <c r="E1082" s="10">
        <f t="shared" si="13"/>
        <v>23.250158333333335</v>
      </c>
      <c r="F1082" s="10">
        <f t="shared" si="13"/>
        <v>23.241058333333338</v>
      </c>
      <c r="G1082" s="10">
        <f t="shared" si="13"/>
        <v>21.443625000000001</v>
      </c>
      <c r="H1082" s="10">
        <f t="shared" si="13"/>
        <v>21.443625000000001</v>
      </c>
      <c r="I1082" s="10">
        <f t="shared" si="13"/>
        <v>21.44520833333333</v>
      </c>
      <c r="J1082" s="10">
        <f t="shared" si="13"/>
        <v>144.33447500000003</v>
      </c>
      <c r="K1082" s="10"/>
    </row>
    <row r="1083" spans="1:11" ht="15" x14ac:dyDescent="0.2">
      <c r="A1083" s="11">
        <v>2027</v>
      </c>
      <c r="B1083" s="10">
        <f t="shared" ref="B1083:J1083" si="14">AVERAGE(B180:B191)</f>
        <v>23.785024999999994</v>
      </c>
      <c r="C1083" s="10">
        <f t="shared" si="14"/>
        <v>21.823458333333335</v>
      </c>
      <c r="D1083" s="10">
        <f t="shared" si="14"/>
        <v>21.815641666666668</v>
      </c>
      <c r="E1083" s="10">
        <f t="shared" si="14"/>
        <v>23.637891666666665</v>
      </c>
      <c r="F1083" s="10">
        <f t="shared" si="14"/>
        <v>23.628791666666668</v>
      </c>
      <c r="G1083" s="10">
        <f t="shared" si="14"/>
        <v>21.821908333333329</v>
      </c>
      <c r="H1083" s="10">
        <f t="shared" si="14"/>
        <v>21.821908333333329</v>
      </c>
      <c r="I1083" s="10">
        <f t="shared" si="14"/>
        <v>21.823458333333335</v>
      </c>
      <c r="J1083" s="10">
        <f t="shared" si="14"/>
        <v>147.24845000000002</v>
      </c>
      <c r="K1083" s="10"/>
    </row>
    <row r="1084" spans="1:11" ht="15" x14ac:dyDescent="0.2">
      <c r="A1084" s="11">
        <v>2028</v>
      </c>
      <c r="B1084" s="10">
        <f t="shared" ref="B1084:J1084" si="15">AVERAGE(B192:B203)</f>
        <v>24.257258333333329</v>
      </c>
      <c r="C1084" s="10">
        <f t="shared" si="15"/>
        <v>22.284166666666668</v>
      </c>
      <c r="D1084" s="10">
        <f t="shared" si="15"/>
        <v>22.276358333333334</v>
      </c>
      <c r="E1084" s="10">
        <f t="shared" si="15"/>
        <v>24.11011666666667</v>
      </c>
      <c r="F1084" s="10">
        <f t="shared" si="15"/>
        <v>24.101016666666666</v>
      </c>
      <c r="G1084" s="10">
        <f t="shared" si="15"/>
        <v>22.282608333333332</v>
      </c>
      <c r="H1084" s="10">
        <f t="shared" si="15"/>
        <v>22.282608333333332</v>
      </c>
      <c r="I1084" s="10">
        <f t="shared" si="15"/>
        <v>22.284166666666668</v>
      </c>
      <c r="J1084" s="10">
        <f t="shared" si="15"/>
        <v>150.22115833333334</v>
      </c>
      <c r="K1084" s="10"/>
    </row>
    <row r="1085" spans="1:11" ht="15" x14ac:dyDescent="0.2">
      <c r="A1085" s="11">
        <v>2029</v>
      </c>
      <c r="B1085" s="10">
        <f t="shared" ref="B1085:J1085" si="16">AVERAGE(B204:B215)</f>
        <v>24.722008333333331</v>
      </c>
      <c r="C1085" s="10">
        <f t="shared" si="16"/>
        <v>22.73758333333333</v>
      </c>
      <c r="D1085" s="10">
        <f t="shared" si="16"/>
        <v>22.729766666666666</v>
      </c>
      <c r="E1085" s="10">
        <f t="shared" si="16"/>
        <v>24.574850000000001</v>
      </c>
      <c r="F1085" s="10">
        <f t="shared" si="16"/>
        <v>24.565749999999998</v>
      </c>
      <c r="G1085" s="10">
        <f t="shared" si="16"/>
        <v>22.736016666666668</v>
      </c>
      <c r="H1085" s="10">
        <f t="shared" si="16"/>
        <v>22.736016666666668</v>
      </c>
      <c r="I1085" s="10">
        <f t="shared" si="16"/>
        <v>22.73758333333333</v>
      </c>
      <c r="J1085" s="10">
        <f t="shared" si="16"/>
        <v>153.25382500000001</v>
      </c>
      <c r="K1085" s="10"/>
    </row>
    <row r="1086" spans="1:11" ht="15" x14ac:dyDescent="0.2">
      <c r="A1086" s="11">
        <v>2030</v>
      </c>
      <c r="B1086" s="10">
        <f t="shared" ref="B1086:J1086" si="17">AVERAGE(B216:B227)</f>
        <v>25.196841666666661</v>
      </c>
      <c r="C1086" s="10">
        <f t="shared" si="17"/>
        <v>23.200824999999998</v>
      </c>
      <c r="D1086" s="10">
        <f t="shared" si="17"/>
        <v>23.193016666666665</v>
      </c>
      <c r="E1086" s="10">
        <f t="shared" si="17"/>
        <v>25.049699999999998</v>
      </c>
      <c r="F1086" s="10">
        <f t="shared" si="17"/>
        <v>25.040600000000001</v>
      </c>
      <c r="G1086" s="10">
        <f t="shared" si="17"/>
        <v>23.199275</v>
      </c>
      <c r="H1086" s="10">
        <f t="shared" si="17"/>
        <v>23.199275</v>
      </c>
      <c r="I1086" s="10">
        <f t="shared" si="17"/>
        <v>23.200824999999998</v>
      </c>
      <c r="J1086" s="10">
        <f t="shared" si="17"/>
        <v>156.34759999999997</v>
      </c>
      <c r="K1086" s="10"/>
    </row>
    <row r="1087" spans="1:11" ht="15" x14ac:dyDescent="0.2">
      <c r="A1087" s="11">
        <v>2031</v>
      </c>
      <c r="B1087" s="10">
        <f t="shared" ref="B1087:J1087" si="18">AVERAGE(B228:B239)</f>
        <v>25.599408333333333</v>
      </c>
      <c r="C1087" s="10">
        <f t="shared" si="18"/>
        <v>23.573083333333333</v>
      </c>
      <c r="D1087" s="10">
        <f t="shared" si="18"/>
        <v>23.565266666666663</v>
      </c>
      <c r="E1087" s="10">
        <f t="shared" si="18"/>
        <v>25.452241666666666</v>
      </c>
      <c r="F1087" s="10">
        <f t="shared" si="18"/>
        <v>25.443141666666666</v>
      </c>
      <c r="G1087" s="10">
        <f t="shared" si="18"/>
        <v>23.571516666666668</v>
      </c>
      <c r="H1087" s="10">
        <f t="shared" si="18"/>
        <v>23.571516666666668</v>
      </c>
      <c r="I1087" s="10">
        <f t="shared" si="18"/>
        <v>23.573083333333333</v>
      </c>
      <c r="J1087" s="10">
        <f t="shared" si="18"/>
        <v>159.88489166666668</v>
      </c>
      <c r="K1087" s="10"/>
    </row>
    <row r="1088" spans="1:11" ht="15" x14ac:dyDescent="0.2">
      <c r="A1088" s="11">
        <v>2032</v>
      </c>
      <c r="B1088" s="10">
        <f t="shared" ref="B1088:J1088" si="19">AVERAGE(B240:B251)</f>
        <v>26.00855</v>
      </c>
      <c r="C1088" s="10">
        <f t="shared" si="19"/>
        <v>23.951416666666663</v>
      </c>
      <c r="D1088" s="10">
        <f t="shared" si="19"/>
        <v>23.943616666666667</v>
      </c>
      <c r="E1088" s="10">
        <f t="shared" si="19"/>
        <v>25.86140833333333</v>
      </c>
      <c r="F1088" s="10">
        <f t="shared" si="19"/>
        <v>25.852308333333337</v>
      </c>
      <c r="G1088" s="10">
        <f t="shared" si="19"/>
        <v>23.949858333333335</v>
      </c>
      <c r="H1088" s="10">
        <f t="shared" si="19"/>
        <v>23.949858333333335</v>
      </c>
      <c r="I1088" s="10">
        <f t="shared" si="19"/>
        <v>23.951416666666663</v>
      </c>
      <c r="J1088" s="10">
        <f t="shared" si="19"/>
        <v>163.50219166666668</v>
      </c>
      <c r="K1088" s="10"/>
    </row>
    <row r="1089" spans="1:11" ht="15" x14ac:dyDescent="0.2">
      <c r="A1089" s="11">
        <v>2033</v>
      </c>
      <c r="B1089" s="10">
        <f t="shared" ref="B1089:J1089" si="20">AVERAGE(B252:B263)</f>
        <v>26.424416666666669</v>
      </c>
      <c r="C1089" s="10">
        <f t="shared" si="20"/>
        <v>24.335966666666668</v>
      </c>
      <c r="D1089" s="10">
        <f t="shared" si="20"/>
        <v>24.328158333333331</v>
      </c>
      <c r="E1089" s="10">
        <f t="shared" si="20"/>
        <v>26.277266666666662</v>
      </c>
      <c r="F1089" s="10">
        <f t="shared" si="20"/>
        <v>26.268166666666662</v>
      </c>
      <c r="G1089" s="10">
        <f t="shared" si="20"/>
        <v>24.334408333333332</v>
      </c>
      <c r="H1089" s="10">
        <f t="shared" si="20"/>
        <v>24.334408333333332</v>
      </c>
      <c r="I1089" s="10">
        <f t="shared" si="20"/>
        <v>24.335966666666668</v>
      </c>
      <c r="J1089" s="10">
        <f t="shared" si="20"/>
        <v>167.20135000000002</v>
      </c>
      <c r="K1089" s="10"/>
    </row>
    <row r="1090" spans="1:11" ht="15" x14ac:dyDescent="0.2">
      <c r="A1090" s="11">
        <v>2034</v>
      </c>
      <c r="B1090" s="10">
        <f t="shared" ref="B1090:J1090" si="21">AVERAGE(B264:B275)</f>
        <v>26.847108333333335</v>
      </c>
      <c r="C1090" s="10">
        <f t="shared" si="21"/>
        <v>24.726816666666668</v>
      </c>
      <c r="D1090" s="10">
        <f t="shared" si="21"/>
        <v>24.719016666666665</v>
      </c>
      <c r="E1090" s="10">
        <f t="shared" si="21"/>
        <v>26.699941666666671</v>
      </c>
      <c r="F1090" s="10">
        <f t="shared" si="21"/>
        <v>26.690841666666671</v>
      </c>
      <c r="G1090" s="10">
        <f t="shared" si="21"/>
        <v>24.725258333333333</v>
      </c>
      <c r="H1090" s="10">
        <f t="shared" si="21"/>
        <v>24.725258333333333</v>
      </c>
      <c r="I1090" s="10">
        <f t="shared" si="21"/>
        <v>24.726816666666668</v>
      </c>
      <c r="J1090" s="10">
        <f t="shared" si="21"/>
        <v>170.98420000000002</v>
      </c>
      <c r="K1090" s="10"/>
    </row>
    <row r="1091" spans="1:11" ht="15" x14ac:dyDescent="0.2">
      <c r="A1091" s="11">
        <v>2035</v>
      </c>
      <c r="B1091" s="10">
        <f t="shared" ref="B1091:J1091" si="22">AVERAGE(B276:B287)</f>
        <v>27.276708333333332</v>
      </c>
      <c r="C1091" s="10">
        <f t="shared" si="22"/>
        <v>25.124091666666668</v>
      </c>
      <c r="D1091" s="10">
        <f t="shared" si="22"/>
        <v>25.116266666666672</v>
      </c>
      <c r="E1091" s="10">
        <f t="shared" si="22"/>
        <v>27.129549999999998</v>
      </c>
      <c r="F1091" s="10">
        <f t="shared" si="22"/>
        <v>27.120450000000005</v>
      </c>
      <c r="G1091" s="10">
        <f t="shared" si="22"/>
        <v>25.122516666666666</v>
      </c>
      <c r="H1091" s="10">
        <f t="shared" si="22"/>
        <v>25.122516666666666</v>
      </c>
      <c r="I1091" s="10">
        <f t="shared" si="22"/>
        <v>25.124091666666668</v>
      </c>
      <c r="J1091" s="10">
        <f t="shared" si="22"/>
        <v>174.85262499999999</v>
      </c>
      <c r="K1091" s="10"/>
    </row>
    <row r="1092" spans="1:11" ht="15" x14ac:dyDescent="0.2">
      <c r="A1092" s="11">
        <v>2036</v>
      </c>
      <c r="B1092" s="10">
        <f t="shared" ref="B1092:J1092" si="23">AVERAGE(B288:B299)</f>
        <v>27.713358333333332</v>
      </c>
      <c r="C1092" s="10">
        <f t="shared" si="23"/>
        <v>25.527858333333338</v>
      </c>
      <c r="D1092" s="10">
        <f t="shared" si="23"/>
        <v>25.520041666666671</v>
      </c>
      <c r="E1092" s="10">
        <f t="shared" si="23"/>
        <v>27.566208333333332</v>
      </c>
      <c r="F1092" s="10">
        <f t="shared" si="23"/>
        <v>27.557108333333336</v>
      </c>
      <c r="G1092" s="10">
        <f t="shared" si="23"/>
        <v>25.526308333333336</v>
      </c>
      <c r="H1092" s="10">
        <f t="shared" si="23"/>
        <v>25.526308333333336</v>
      </c>
      <c r="I1092" s="10">
        <f t="shared" si="23"/>
        <v>25.527858333333338</v>
      </c>
      <c r="J1092" s="10">
        <f t="shared" si="23"/>
        <v>178.80859166666664</v>
      </c>
      <c r="K1092" s="10"/>
    </row>
    <row r="1093" spans="1:11" ht="15" x14ac:dyDescent="0.2">
      <c r="A1093" s="11">
        <v>2037</v>
      </c>
      <c r="B1093" s="10">
        <f t="shared" ref="B1093:J1093" si="24">AVERAGE(B300:B311)</f>
        <v>28.157175000000006</v>
      </c>
      <c r="C1093" s="10">
        <f t="shared" si="24"/>
        <v>25.938241666666659</v>
      </c>
      <c r="D1093" s="10">
        <f t="shared" si="24"/>
        <v>25.930425000000003</v>
      </c>
      <c r="E1093" s="10">
        <f t="shared" si="24"/>
        <v>28.010016666666669</v>
      </c>
      <c r="F1093" s="10">
        <f t="shared" si="24"/>
        <v>28.000916666666665</v>
      </c>
      <c r="G1093" s="10">
        <f t="shared" si="24"/>
        <v>25.936691666666661</v>
      </c>
      <c r="H1093" s="10">
        <f t="shared" si="24"/>
        <v>25.936691666666661</v>
      </c>
      <c r="I1093" s="10">
        <f t="shared" si="24"/>
        <v>25.938241666666659</v>
      </c>
      <c r="J1093" s="10">
        <f t="shared" si="24"/>
        <v>182.85403333333332</v>
      </c>
      <c r="K1093" s="10"/>
    </row>
    <row r="1094" spans="1:11" ht="15" x14ac:dyDescent="0.2">
      <c r="A1094" s="11">
        <f t="shared" ref="A1094:A1125" si="25">A1093+1</f>
        <v>2038</v>
      </c>
      <c r="B1094" s="10">
        <f t="shared" ref="B1094:J1094" si="26">AVERAGE(B312:B323)</f>
        <v>28.608258333333335</v>
      </c>
      <c r="C1094" s="10">
        <f t="shared" si="26"/>
        <v>26.355374999999995</v>
      </c>
      <c r="D1094" s="10">
        <f t="shared" si="26"/>
        <v>26.347558333333335</v>
      </c>
      <c r="E1094" s="10">
        <f t="shared" si="26"/>
        <v>28.461116666666669</v>
      </c>
      <c r="F1094" s="10">
        <f t="shared" si="26"/>
        <v>28.452016666666665</v>
      </c>
      <c r="G1094" s="10">
        <f t="shared" si="26"/>
        <v>26.353816666666663</v>
      </c>
      <c r="H1094" s="10">
        <f t="shared" si="26"/>
        <v>26.353816666666663</v>
      </c>
      <c r="I1094" s="10">
        <f t="shared" si="26"/>
        <v>26.355374999999995</v>
      </c>
      <c r="J1094" s="10">
        <f t="shared" si="26"/>
        <v>186.99100833333338</v>
      </c>
    </row>
    <row r="1095" spans="1:11" ht="15" x14ac:dyDescent="0.2">
      <c r="A1095" s="11">
        <f t="shared" si="25"/>
        <v>2039</v>
      </c>
      <c r="B1095" s="10">
        <f t="shared" ref="B1095:J1095" si="27">AVERAGE(B324:B335)</f>
        <v>29.066741666666662</v>
      </c>
      <c r="C1095" s="10">
        <f t="shared" si="27"/>
        <v>26.779324999999996</v>
      </c>
      <c r="D1095" s="10">
        <f t="shared" si="27"/>
        <v>26.771516666666667</v>
      </c>
      <c r="E1095" s="10">
        <f t="shared" si="27"/>
        <v>28.919608333333333</v>
      </c>
      <c r="F1095" s="10">
        <f t="shared" si="27"/>
        <v>28.910508333333336</v>
      </c>
      <c r="G1095" s="10">
        <f t="shared" si="27"/>
        <v>26.777775000000002</v>
      </c>
      <c r="H1095" s="10">
        <f t="shared" si="27"/>
        <v>26.777775000000002</v>
      </c>
      <c r="I1095" s="10">
        <f t="shared" si="27"/>
        <v>26.779324999999996</v>
      </c>
      <c r="J1095" s="10">
        <f t="shared" si="27"/>
        <v>191.2216</v>
      </c>
    </row>
    <row r="1096" spans="1:11" ht="15" x14ac:dyDescent="0.2">
      <c r="A1096" s="11">
        <f t="shared" si="25"/>
        <v>2040</v>
      </c>
      <c r="B1096" s="10">
        <f t="shared" ref="B1096:J1096" si="28">AVERAGE(B336:B347)</f>
        <v>29.532741666666666</v>
      </c>
      <c r="C1096" s="10">
        <f t="shared" si="28"/>
        <v>27.210241666666672</v>
      </c>
      <c r="D1096" s="10">
        <f t="shared" si="28"/>
        <v>27.202425000000005</v>
      </c>
      <c r="E1096" s="10">
        <f t="shared" si="28"/>
        <v>29.385608333333334</v>
      </c>
      <c r="F1096" s="10">
        <f t="shared" si="28"/>
        <v>29.376508333333334</v>
      </c>
      <c r="G1096" s="10">
        <f t="shared" si="28"/>
        <v>27.208691666666663</v>
      </c>
      <c r="H1096" s="10">
        <f t="shared" si="28"/>
        <v>27.208691666666663</v>
      </c>
      <c r="I1096" s="10">
        <f t="shared" si="28"/>
        <v>27.210241666666672</v>
      </c>
      <c r="J1096" s="10">
        <f t="shared" si="28"/>
        <v>195.54789166666669</v>
      </c>
    </row>
    <row r="1097" spans="1:11" ht="15" x14ac:dyDescent="0.2">
      <c r="A1097" s="11">
        <f t="shared" si="25"/>
        <v>2041</v>
      </c>
      <c r="B1097" s="10">
        <f t="shared" ref="B1097:J1097" si="29">AVERAGE(B348:B359)</f>
        <v>30.006391666666669</v>
      </c>
      <c r="C1097" s="10">
        <f t="shared" si="29"/>
        <v>27.648216666666659</v>
      </c>
      <c r="D1097" s="10">
        <f t="shared" si="29"/>
        <v>27.640416666666663</v>
      </c>
      <c r="E1097" s="10">
        <f t="shared" si="29"/>
        <v>29.859224999999999</v>
      </c>
      <c r="F1097" s="10">
        <f t="shared" si="29"/>
        <v>29.850125000000002</v>
      </c>
      <c r="G1097" s="10">
        <f t="shared" si="29"/>
        <v>27.646658333333331</v>
      </c>
      <c r="H1097" s="10">
        <f t="shared" si="29"/>
        <v>27.646658333333331</v>
      </c>
      <c r="I1097" s="10">
        <f t="shared" si="29"/>
        <v>27.648216666666659</v>
      </c>
      <c r="J1097" s="10">
        <f t="shared" si="29"/>
        <v>199.97207499999999</v>
      </c>
    </row>
    <row r="1098" spans="1:11" ht="15" x14ac:dyDescent="0.2">
      <c r="A1098" s="11">
        <f t="shared" si="25"/>
        <v>2042</v>
      </c>
      <c r="B1098" s="10">
        <f t="shared" ref="B1098:J1098" si="30">AVERAGE(B360:B371)</f>
        <v>30.487808333333337</v>
      </c>
      <c r="C1098" s="10">
        <f t="shared" si="30"/>
        <v>28.093383333333332</v>
      </c>
      <c r="D1098" s="10">
        <f t="shared" si="30"/>
        <v>28.085566666666676</v>
      </c>
      <c r="E1098" s="10">
        <f t="shared" si="30"/>
        <v>30.340641666666667</v>
      </c>
      <c r="F1098" s="10">
        <f t="shared" si="30"/>
        <v>30.331541666666663</v>
      </c>
      <c r="G1098" s="10">
        <f t="shared" si="30"/>
        <v>28.091816666666663</v>
      </c>
      <c r="H1098" s="10">
        <f t="shared" si="30"/>
        <v>28.091816666666663</v>
      </c>
      <c r="I1098" s="10">
        <f t="shared" si="30"/>
        <v>28.093383333333332</v>
      </c>
      <c r="J1098" s="10">
        <f t="shared" si="30"/>
        <v>204.49634166666669</v>
      </c>
    </row>
    <row r="1099" spans="1:11" ht="15" x14ac:dyDescent="0.2">
      <c r="A1099" s="11">
        <f t="shared" si="25"/>
        <v>2043</v>
      </c>
      <c r="B1099" s="10">
        <f t="shared" ref="B1099:J1099" si="31">AVERAGE(B372:B383)</f>
        <v>30.97710833333333</v>
      </c>
      <c r="C1099" s="10">
        <f t="shared" si="31"/>
        <v>28.545825000000004</v>
      </c>
      <c r="D1099" s="10">
        <f t="shared" si="31"/>
        <v>28.538016666666667</v>
      </c>
      <c r="E1099" s="10">
        <f t="shared" si="31"/>
        <v>30.829941666666667</v>
      </c>
      <c r="F1099" s="10">
        <f t="shared" si="31"/>
        <v>30.820841666666666</v>
      </c>
      <c r="G1099" s="10">
        <f t="shared" si="31"/>
        <v>28.544274999999999</v>
      </c>
      <c r="H1099" s="10">
        <f t="shared" si="31"/>
        <v>28.544274999999999</v>
      </c>
      <c r="I1099" s="10">
        <f t="shared" si="31"/>
        <v>28.545825000000004</v>
      </c>
      <c r="J1099" s="10">
        <f t="shared" si="31"/>
        <v>209.12295000000003</v>
      </c>
    </row>
    <row r="1100" spans="1:11" ht="15" x14ac:dyDescent="0.2">
      <c r="A1100" s="11">
        <f t="shared" si="25"/>
        <v>2044</v>
      </c>
      <c r="B1100" s="10">
        <f t="shared" ref="B1100:J1100" si="32">AVERAGE(B384:B395)</f>
        <v>31.474416666666659</v>
      </c>
      <c r="C1100" s="10">
        <f t="shared" si="32"/>
        <v>29.005716666666672</v>
      </c>
      <c r="D1100" s="10">
        <f t="shared" si="32"/>
        <v>28.997908333333331</v>
      </c>
      <c r="E1100" s="10">
        <f t="shared" si="32"/>
        <v>31.327266666666663</v>
      </c>
      <c r="F1100" s="10">
        <f t="shared" si="32"/>
        <v>31.31816666666667</v>
      </c>
      <c r="G1100" s="10">
        <f t="shared" si="32"/>
        <v>29.004141666666669</v>
      </c>
      <c r="H1100" s="10">
        <f t="shared" si="32"/>
        <v>29.004141666666669</v>
      </c>
      <c r="I1100" s="10">
        <f t="shared" si="32"/>
        <v>29.005716666666672</v>
      </c>
      <c r="J1100" s="10">
        <f t="shared" si="32"/>
        <v>213.85425000000006</v>
      </c>
    </row>
    <row r="1101" spans="1:11" ht="15" x14ac:dyDescent="0.2">
      <c r="A1101" s="11">
        <f t="shared" si="25"/>
        <v>2045</v>
      </c>
      <c r="B1101" s="10">
        <f t="shared" ref="B1101:J1101" si="33">AVERAGE(B396:B407)</f>
        <v>31.979908333333338</v>
      </c>
      <c r="C1101" s="10">
        <f t="shared" si="33"/>
        <v>29.47311666666667</v>
      </c>
      <c r="D1101" s="10">
        <f t="shared" si="33"/>
        <v>29.46531666666667</v>
      </c>
      <c r="E1101" s="10">
        <f t="shared" si="33"/>
        <v>31.832741666666674</v>
      </c>
      <c r="F1101" s="10">
        <f t="shared" si="33"/>
        <v>31.823641666666663</v>
      </c>
      <c r="G1101" s="10">
        <f t="shared" si="33"/>
        <v>29.471558333333338</v>
      </c>
      <c r="H1101" s="10">
        <f t="shared" si="33"/>
        <v>29.471558333333338</v>
      </c>
      <c r="I1101" s="10">
        <f t="shared" si="33"/>
        <v>29.47311666666667</v>
      </c>
      <c r="J1101" s="10">
        <f t="shared" si="33"/>
        <v>218.6926</v>
      </c>
    </row>
    <row r="1102" spans="1:11" ht="15" x14ac:dyDescent="0.2">
      <c r="A1102" s="11">
        <f t="shared" si="25"/>
        <v>2046</v>
      </c>
      <c r="B1102" s="10">
        <f t="shared" ref="B1102:J1102" si="34">AVERAGE(B408:B419)</f>
        <v>32.493658333333336</v>
      </c>
      <c r="C1102" s="10">
        <f t="shared" si="34"/>
        <v>29.948208333333337</v>
      </c>
      <c r="D1102" s="10">
        <f t="shared" si="34"/>
        <v>29.940391666666667</v>
      </c>
      <c r="E1102" s="10">
        <f t="shared" si="34"/>
        <v>32.346516666666673</v>
      </c>
      <c r="F1102" s="10">
        <f t="shared" si="34"/>
        <v>32.337416666666662</v>
      </c>
      <c r="G1102" s="10">
        <f t="shared" si="34"/>
        <v>29.946625000000001</v>
      </c>
      <c r="H1102" s="10">
        <f t="shared" si="34"/>
        <v>29.946625000000001</v>
      </c>
      <c r="I1102" s="10">
        <f t="shared" si="34"/>
        <v>29.948208333333337</v>
      </c>
      <c r="J1102" s="10">
        <f t="shared" si="34"/>
        <v>223.64039166666669</v>
      </c>
    </row>
    <row r="1103" spans="1:11" ht="15" x14ac:dyDescent="0.2">
      <c r="A1103" s="11">
        <f t="shared" si="25"/>
        <v>2047</v>
      </c>
      <c r="B1103" s="10">
        <f t="shared" ref="B1103:J1103" si="35">AVERAGE(B420:B431)</f>
        <v>33.015841666666667</v>
      </c>
      <c r="C1103" s="10">
        <f t="shared" si="35"/>
        <v>30.431066666666666</v>
      </c>
      <c r="D1103" s="10">
        <f t="shared" si="35"/>
        <v>30.423249999999999</v>
      </c>
      <c r="E1103" s="10">
        <f t="shared" si="35"/>
        <v>32.868708333333338</v>
      </c>
      <c r="F1103" s="10">
        <f t="shared" si="35"/>
        <v>32.859608333333327</v>
      </c>
      <c r="G1103" s="10">
        <f t="shared" si="35"/>
        <v>30.429508333333334</v>
      </c>
      <c r="H1103" s="10">
        <f t="shared" si="35"/>
        <v>30.429508333333334</v>
      </c>
      <c r="I1103" s="10">
        <f t="shared" si="35"/>
        <v>30.431066666666666</v>
      </c>
      <c r="J1103" s="10">
        <f t="shared" si="35"/>
        <v>228.70017500000003</v>
      </c>
    </row>
    <row r="1104" spans="1:11" ht="15" x14ac:dyDescent="0.2">
      <c r="A1104" s="11">
        <f t="shared" si="25"/>
        <v>2048</v>
      </c>
      <c r="B1104" s="10">
        <f t="shared" ref="B1104:J1104" si="36">AVERAGE(B432:B443)</f>
        <v>33.546608333333332</v>
      </c>
      <c r="C1104" s="10">
        <f t="shared" si="36"/>
        <v>30.921841666666669</v>
      </c>
      <c r="D1104" s="10">
        <f t="shared" si="36"/>
        <v>30.914024999999999</v>
      </c>
      <c r="E1104" s="10">
        <f t="shared" si="36"/>
        <v>33.399441666666668</v>
      </c>
      <c r="F1104" s="10">
        <f t="shared" si="36"/>
        <v>33.390341666666664</v>
      </c>
      <c r="G1104" s="10">
        <f t="shared" si="36"/>
        <v>30.920291666666667</v>
      </c>
      <c r="H1104" s="10">
        <f t="shared" si="36"/>
        <v>30.920291666666667</v>
      </c>
      <c r="I1104" s="10">
        <f t="shared" si="36"/>
        <v>30.921841666666669</v>
      </c>
      <c r="J1104" s="10">
        <f t="shared" si="36"/>
        <v>233.87439166666664</v>
      </c>
    </row>
    <row r="1105" spans="1:10" ht="15" x14ac:dyDescent="0.2">
      <c r="A1105" s="11">
        <f t="shared" si="25"/>
        <v>2049</v>
      </c>
      <c r="B1105" s="10">
        <f t="shared" ref="B1105:J1105" si="37">AVERAGE(B444:B455)</f>
        <v>34.086041666666667</v>
      </c>
      <c r="C1105" s="10">
        <f t="shared" si="37"/>
        <v>31.420683333333329</v>
      </c>
      <c r="D1105" s="10">
        <f t="shared" si="37"/>
        <v>31.412866666666662</v>
      </c>
      <c r="E1105" s="10">
        <f t="shared" si="37"/>
        <v>33.938908333333337</v>
      </c>
      <c r="F1105" s="10">
        <f t="shared" si="37"/>
        <v>33.929808333333327</v>
      </c>
      <c r="G1105" s="10">
        <f t="shared" si="37"/>
        <v>31.419116666666667</v>
      </c>
      <c r="H1105" s="10">
        <f t="shared" si="37"/>
        <v>31.419116666666667</v>
      </c>
      <c r="I1105" s="10">
        <f t="shared" si="37"/>
        <v>31.420683333333329</v>
      </c>
      <c r="J1105" s="10">
        <f t="shared" si="37"/>
        <v>239.16568333333336</v>
      </c>
    </row>
    <row r="1106" spans="1:10" ht="15" x14ac:dyDescent="0.2">
      <c r="A1106" s="11">
        <f t="shared" si="25"/>
        <v>2050</v>
      </c>
      <c r="B1106" s="10">
        <f t="shared" ref="B1106:J1106" si="38">AVERAGE(B456:B467)</f>
        <v>34.634324999999997</v>
      </c>
      <c r="C1106" s="10">
        <f t="shared" si="38"/>
        <v>31.927691666666664</v>
      </c>
      <c r="D1106" s="10">
        <f t="shared" si="38"/>
        <v>31.919883333333335</v>
      </c>
      <c r="E1106" s="10">
        <f t="shared" si="38"/>
        <v>34.487191666666668</v>
      </c>
      <c r="F1106" s="10">
        <f t="shared" si="38"/>
        <v>34.478091666666664</v>
      </c>
      <c r="G1106" s="10">
        <f t="shared" si="38"/>
        <v>31.926116666666672</v>
      </c>
      <c r="H1106" s="10">
        <f t="shared" si="38"/>
        <v>31.926116666666672</v>
      </c>
      <c r="I1106" s="10">
        <f t="shared" si="38"/>
        <v>31.927691666666664</v>
      </c>
      <c r="J1106" s="10">
        <f t="shared" si="38"/>
        <v>244.57669999999999</v>
      </c>
    </row>
    <row r="1107" spans="1:10" ht="15" x14ac:dyDescent="0.2">
      <c r="A1107" s="11">
        <f t="shared" si="25"/>
        <v>2051</v>
      </c>
      <c r="B1107" s="10">
        <f t="shared" ref="B1107:J1107" si="39">AVERAGE(B468:B479)</f>
        <v>35.191616666666668</v>
      </c>
      <c r="C1107" s="10">
        <f t="shared" si="39"/>
        <v>32.443008333333331</v>
      </c>
      <c r="D1107" s="10">
        <f t="shared" si="39"/>
        <v>32.435208333333328</v>
      </c>
      <c r="E1107" s="10">
        <f t="shared" si="39"/>
        <v>35.044474999999998</v>
      </c>
      <c r="F1107" s="10">
        <f t="shared" si="39"/>
        <v>35.035374999999995</v>
      </c>
      <c r="G1107" s="10">
        <f t="shared" si="39"/>
        <v>32.44144166666667</v>
      </c>
      <c r="H1107" s="10">
        <f t="shared" si="39"/>
        <v>32.44144166666667</v>
      </c>
      <c r="I1107" s="10">
        <f t="shared" si="39"/>
        <v>32.443008333333331</v>
      </c>
      <c r="J1107" s="10">
        <f t="shared" si="39"/>
        <v>250.11010833333333</v>
      </c>
    </row>
    <row r="1108" spans="1:10" ht="15" x14ac:dyDescent="0.2">
      <c r="A1108" s="11">
        <f t="shared" si="25"/>
        <v>2052</v>
      </c>
      <c r="B1108" s="10">
        <f t="shared" ref="B1108:J1108" si="40">AVERAGE(B480:B491)</f>
        <v>35.758041666666664</v>
      </c>
      <c r="C1108" s="10">
        <f t="shared" si="40"/>
        <v>32.966783333333332</v>
      </c>
      <c r="D1108" s="10">
        <f t="shared" si="40"/>
        <v>32.958966666666669</v>
      </c>
      <c r="E1108" s="10">
        <f t="shared" si="40"/>
        <v>35.610908333333334</v>
      </c>
      <c r="F1108" s="10">
        <f t="shared" si="40"/>
        <v>35.601808333333331</v>
      </c>
      <c r="G1108" s="10">
        <f t="shared" si="40"/>
        <v>32.96521666666667</v>
      </c>
      <c r="H1108" s="10">
        <f t="shared" si="40"/>
        <v>32.96521666666667</v>
      </c>
      <c r="I1108" s="10">
        <f t="shared" si="40"/>
        <v>32.966783333333332</v>
      </c>
      <c r="J1108" s="10">
        <f t="shared" si="40"/>
        <v>255.76873333333333</v>
      </c>
    </row>
    <row r="1109" spans="1:10" ht="15" x14ac:dyDescent="0.2">
      <c r="A1109" s="11">
        <f t="shared" si="25"/>
        <v>2053</v>
      </c>
      <c r="B1109" s="10">
        <f t="shared" ref="B1109:J1109" si="41">AVERAGE(B492:B503)</f>
        <v>36.333749999999995</v>
      </c>
      <c r="C1109" s="10">
        <f t="shared" si="41"/>
        <v>33.499124999999999</v>
      </c>
      <c r="D1109" s="10">
        <f t="shared" si="41"/>
        <v>33.49131666666667</v>
      </c>
      <c r="E1109" s="10">
        <f t="shared" si="41"/>
        <v>36.186608333333332</v>
      </c>
      <c r="F1109" s="10">
        <f t="shared" si="41"/>
        <v>36.177508333333328</v>
      </c>
      <c r="G1109" s="10">
        <f t="shared" si="41"/>
        <v>33.497566666666664</v>
      </c>
      <c r="H1109" s="10">
        <f t="shared" si="41"/>
        <v>33.497566666666664</v>
      </c>
      <c r="I1109" s="10">
        <f t="shared" si="41"/>
        <v>33.499124999999999</v>
      </c>
      <c r="J1109" s="10">
        <f t="shared" si="41"/>
        <v>261.55537500000003</v>
      </c>
    </row>
    <row r="1110" spans="1:10" ht="15" x14ac:dyDescent="0.2">
      <c r="A1110" s="11">
        <f t="shared" si="25"/>
        <v>2054</v>
      </c>
      <c r="B1110" s="10">
        <f t="shared" ref="B1110:J1110" si="42">AVERAGE(B504:B515)</f>
        <v>36.918908333333327</v>
      </c>
      <c r="C1110" s="10">
        <f t="shared" si="42"/>
        <v>34.040216666666673</v>
      </c>
      <c r="D1110" s="10">
        <f t="shared" si="42"/>
        <v>34.032408333333336</v>
      </c>
      <c r="E1110" s="10">
        <f t="shared" si="42"/>
        <v>36.771741666666664</v>
      </c>
      <c r="F1110" s="10">
        <f t="shared" si="42"/>
        <v>36.76264166666666</v>
      </c>
      <c r="G1110" s="10">
        <f t="shared" si="42"/>
        <v>34.038649999999997</v>
      </c>
      <c r="H1110" s="10">
        <f t="shared" si="42"/>
        <v>34.038649999999997</v>
      </c>
      <c r="I1110" s="10">
        <f t="shared" si="42"/>
        <v>34.040216666666673</v>
      </c>
      <c r="J1110" s="10">
        <f t="shared" si="42"/>
        <v>267.47294166666671</v>
      </c>
    </row>
    <row r="1111" spans="1:10" ht="15" x14ac:dyDescent="0.2">
      <c r="A1111" s="11">
        <f t="shared" si="25"/>
        <v>2055</v>
      </c>
      <c r="B1111" s="10">
        <f t="shared" ref="B1111:J1111" si="43">AVERAGE(B516:B527)</f>
        <v>37.513624999999998</v>
      </c>
      <c r="C1111" s="10">
        <f t="shared" si="43"/>
        <v>34.590175000000002</v>
      </c>
      <c r="D1111" s="10">
        <f t="shared" si="43"/>
        <v>34.582358333333332</v>
      </c>
      <c r="E1111" s="10">
        <f t="shared" si="43"/>
        <v>37.366491666666668</v>
      </c>
      <c r="F1111" s="10">
        <f t="shared" si="43"/>
        <v>37.357391666666665</v>
      </c>
      <c r="G1111" s="10">
        <f t="shared" si="43"/>
        <v>34.588616666666667</v>
      </c>
      <c r="H1111" s="10">
        <f t="shared" si="43"/>
        <v>34.588616666666667</v>
      </c>
      <c r="I1111" s="10">
        <f t="shared" si="43"/>
        <v>34.590175000000002</v>
      </c>
      <c r="J1111" s="10">
        <f t="shared" si="43"/>
        <v>273.52437499999996</v>
      </c>
    </row>
    <row r="1112" spans="1:10" ht="15" x14ac:dyDescent="0.2">
      <c r="A1112" s="11">
        <f t="shared" si="25"/>
        <v>2056</v>
      </c>
      <c r="B1112" s="10">
        <f t="shared" ref="B1112:J1112" si="44">AVERAGE(B528:B539)</f>
        <v>38.118116666666658</v>
      </c>
      <c r="C1112" s="10">
        <f t="shared" si="44"/>
        <v>35.149141666666672</v>
      </c>
      <c r="D1112" s="10">
        <f t="shared" si="44"/>
        <v>35.141325000000002</v>
      </c>
      <c r="E1112" s="10">
        <f t="shared" si="44"/>
        <v>37.970983333333329</v>
      </c>
      <c r="F1112" s="10">
        <f t="shared" si="44"/>
        <v>37.961883333333326</v>
      </c>
      <c r="G1112" s="10">
        <f t="shared" si="44"/>
        <v>35.147591666666663</v>
      </c>
      <c r="H1112" s="10">
        <f t="shared" si="44"/>
        <v>35.147591666666663</v>
      </c>
      <c r="I1112" s="10">
        <f t="shared" si="44"/>
        <v>35.149141666666672</v>
      </c>
      <c r="J1112" s="10">
        <f t="shared" si="44"/>
        <v>279.71270833333335</v>
      </c>
    </row>
    <row r="1113" spans="1:10" ht="15" x14ac:dyDescent="0.2">
      <c r="A1113" s="11">
        <f t="shared" si="25"/>
        <v>2057</v>
      </c>
      <c r="B1113" s="10">
        <f t="shared" ref="B1113:J1113" si="45">AVERAGE(B540:B551)</f>
        <v>38.732516666666669</v>
      </c>
      <c r="C1113" s="10">
        <f t="shared" si="45"/>
        <v>35.717291666666675</v>
      </c>
      <c r="D1113" s="10">
        <f t="shared" si="45"/>
        <v>35.709466666666671</v>
      </c>
      <c r="E1113" s="10">
        <f t="shared" si="45"/>
        <v>38.58538333333334</v>
      </c>
      <c r="F1113" s="10">
        <f t="shared" si="45"/>
        <v>38.576283333333329</v>
      </c>
      <c r="G1113" s="10">
        <f t="shared" si="45"/>
        <v>35.715716666666665</v>
      </c>
      <c r="H1113" s="10">
        <f t="shared" si="45"/>
        <v>35.715716666666665</v>
      </c>
      <c r="I1113" s="10">
        <f t="shared" si="45"/>
        <v>35.717291666666675</v>
      </c>
      <c r="J1113" s="10">
        <f t="shared" si="45"/>
        <v>286.04107500000003</v>
      </c>
    </row>
    <row r="1114" spans="1:10" ht="15" x14ac:dyDescent="0.2">
      <c r="A1114" s="11">
        <f t="shared" si="25"/>
        <v>2058</v>
      </c>
      <c r="B1114" s="10">
        <f t="shared" ref="B1114:J1114" si="46">AVERAGE(B552:B563)</f>
        <v>39.357008333333333</v>
      </c>
      <c r="C1114" s="10">
        <f t="shared" si="46"/>
        <v>36.294725</v>
      </c>
      <c r="D1114" s="10">
        <f t="shared" si="46"/>
        <v>36.28691666666667</v>
      </c>
      <c r="E1114" s="10">
        <f t="shared" si="46"/>
        <v>39.209849999999996</v>
      </c>
      <c r="F1114" s="10">
        <f t="shared" si="46"/>
        <v>39.200749999999992</v>
      </c>
      <c r="G1114" s="10">
        <f t="shared" si="46"/>
        <v>36.293166666666664</v>
      </c>
      <c r="H1114" s="10">
        <f t="shared" si="46"/>
        <v>36.293166666666664</v>
      </c>
      <c r="I1114" s="10">
        <f t="shared" si="46"/>
        <v>36.294725</v>
      </c>
      <c r="J1114" s="10">
        <f t="shared" si="46"/>
        <v>292.51261666666664</v>
      </c>
    </row>
    <row r="1115" spans="1:10" ht="15" x14ac:dyDescent="0.2">
      <c r="A1115" s="11">
        <f t="shared" si="25"/>
        <v>2059</v>
      </c>
      <c r="B1115" s="10">
        <f t="shared" ref="B1115:J1115" si="47">AVERAGE(B564:B575)</f>
        <v>39.991716666666662</v>
      </c>
      <c r="C1115" s="10">
        <f t="shared" si="47"/>
        <v>36.88165</v>
      </c>
      <c r="D1115" s="10">
        <f t="shared" si="47"/>
        <v>36.873825000000004</v>
      </c>
      <c r="E1115" s="10">
        <f t="shared" si="47"/>
        <v>39.844566666666665</v>
      </c>
      <c r="F1115" s="10">
        <f t="shared" si="47"/>
        <v>39.835466666666662</v>
      </c>
      <c r="G1115" s="10">
        <f t="shared" si="47"/>
        <v>36.880091666666665</v>
      </c>
      <c r="H1115" s="10">
        <f t="shared" si="47"/>
        <v>36.880091666666665</v>
      </c>
      <c r="I1115" s="10">
        <f t="shared" si="47"/>
        <v>36.88165</v>
      </c>
      <c r="J1115" s="10">
        <f t="shared" si="47"/>
        <v>299.13057499999996</v>
      </c>
    </row>
    <row r="1116" spans="1:10" ht="15" x14ac:dyDescent="0.2">
      <c r="A1116" s="11">
        <f t="shared" si="25"/>
        <v>2060</v>
      </c>
      <c r="B1116" s="10">
        <f t="shared" ref="B1116:J1116" si="48">AVERAGE(B576:B587)</f>
        <v>40.636824999999995</v>
      </c>
      <c r="C1116" s="10">
        <f t="shared" si="48"/>
        <v>37.478208333333335</v>
      </c>
      <c r="D1116" s="10">
        <f t="shared" si="48"/>
        <v>37.470391666666671</v>
      </c>
      <c r="E1116" s="10">
        <f t="shared" si="48"/>
        <v>40.489691666666666</v>
      </c>
      <c r="F1116" s="10">
        <f t="shared" si="48"/>
        <v>40.480591666666662</v>
      </c>
      <c r="G1116" s="10">
        <f t="shared" si="48"/>
        <v>37.476625000000006</v>
      </c>
      <c r="H1116" s="10">
        <f t="shared" si="48"/>
        <v>37.476625000000006</v>
      </c>
      <c r="I1116" s="10">
        <f t="shared" si="48"/>
        <v>37.478208333333335</v>
      </c>
      <c r="J1116" s="10">
        <f t="shared" si="48"/>
        <v>305.89822500000002</v>
      </c>
    </row>
    <row r="1117" spans="1:10" ht="15" x14ac:dyDescent="0.2">
      <c r="A1117" s="11">
        <f t="shared" si="25"/>
        <v>2061</v>
      </c>
      <c r="B1117" s="10">
        <f t="shared" ref="B1117:J1117" si="49">AVERAGE(B588:B599)</f>
        <v>41.292525000000005</v>
      </c>
      <c r="C1117" s="10">
        <f t="shared" si="49"/>
        <v>38.084516666666666</v>
      </c>
      <c r="D1117" s="10">
        <f t="shared" si="49"/>
        <v>38.076708333333336</v>
      </c>
      <c r="E1117" s="10">
        <f t="shared" si="49"/>
        <v>41.145391666666676</v>
      </c>
      <c r="F1117" s="10">
        <f t="shared" si="49"/>
        <v>41.136291666666658</v>
      </c>
      <c r="G1117" s="10">
        <f t="shared" si="49"/>
        <v>38.082949999999997</v>
      </c>
      <c r="H1117" s="10">
        <f t="shared" si="49"/>
        <v>38.082949999999997</v>
      </c>
      <c r="I1117" s="10">
        <f t="shared" si="49"/>
        <v>38.084516666666666</v>
      </c>
      <c r="J1117" s="10">
        <f t="shared" si="49"/>
        <v>312.81905833333332</v>
      </c>
    </row>
    <row r="1118" spans="1:10" ht="15" x14ac:dyDescent="0.2">
      <c r="A1118" s="11">
        <f t="shared" si="25"/>
        <v>2062</v>
      </c>
      <c r="B1118" s="10">
        <f t="shared" ref="B1118:J1127" ca="1" si="50">AVERAGE(OFFSET(B$600,($A1118-$A$1118)*12,0,12,1))</f>
        <v>41.958983333333329</v>
      </c>
      <c r="C1118" s="10">
        <f t="shared" ca="1" si="50"/>
        <v>38.700783333333334</v>
      </c>
      <c r="D1118" s="10">
        <f t="shared" ca="1" si="50"/>
        <v>38.692966666666671</v>
      </c>
      <c r="E1118" s="10">
        <f t="shared" ca="1" si="50"/>
        <v>41.811816666666665</v>
      </c>
      <c r="F1118" s="10">
        <f t="shared" ca="1" si="50"/>
        <v>41.802716666666669</v>
      </c>
      <c r="G1118" s="10">
        <f t="shared" ca="1" si="50"/>
        <v>38.699216666666672</v>
      </c>
      <c r="H1118" s="10">
        <f t="shared" ca="1" si="50"/>
        <v>38.699216666666672</v>
      </c>
      <c r="I1118" s="10">
        <f t="shared" ca="1" si="50"/>
        <v>38.700783333333334</v>
      </c>
      <c r="J1118" s="10">
        <f t="shared" ca="1" si="50"/>
        <v>319.89641666666665</v>
      </c>
    </row>
    <row r="1119" spans="1:10" ht="15" x14ac:dyDescent="0.2">
      <c r="A1119" s="11">
        <f t="shared" si="25"/>
        <v>2063</v>
      </c>
      <c r="B1119" s="10">
        <f t="shared" ca="1" si="50"/>
        <v>42.63635</v>
      </c>
      <c r="C1119" s="10">
        <f t="shared" ca="1" si="50"/>
        <v>39.32714166666667</v>
      </c>
      <c r="D1119" s="10">
        <f t="shared" ca="1" si="50"/>
        <v>39.319324999999999</v>
      </c>
      <c r="E1119" s="10">
        <f t="shared" ca="1" si="50"/>
        <v>42.48920833333333</v>
      </c>
      <c r="F1119" s="10">
        <f t="shared" ca="1" si="50"/>
        <v>42.480108333333334</v>
      </c>
      <c r="G1119" s="10">
        <f t="shared" ca="1" si="50"/>
        <v>39.325591666666675</v>
      </c>
      <c r="H1119" s="10">
        <f t="shared" ca="1" si="50"/>
        <v>39.325591666666675</v>
      </c>
      <c r="I1119" s="10">
        <f t="shared" ca="1" si="50"/>
        <v>39.32714166666667</v>
      </c>
      <c r="J1119" s="10">
        <f t="shared" ca="1" si="50"/>
        <v>327.13389999999998</v>
      </c>
    </row>
    <row r="1120" spans="1:10" ht="15" x14ac:dyDescent="0.2">
      <c r="A1120" s="11">
        <f t="shared" si="25"/>
        <v>2064</v>
      </c>
      <c r="B1120" s="10">
        <f t="shared" ca="1" si="50"/>
        <v>43.324816666666663</v>
      </c>
      <c r="C1120" s="10">
        <f t="shared" ca="1" si="50"/>
        <v>39.963791666666673</v>
      </c>
      <c r="D1120" s="10">
        <f t="shared" ca="1" si="50"/>
        <v>39.955966666666669</v>
      </c>
      <c r="E1120" s="10">
        <f t="shared" ca="1" si="50"/>
        <v>43.177683333333334</v>
      </c>
      <c r="F1120" s="10">
        <f t="shared" ca="1" si="50"/>
        <v>43.168583333333338</v>
      </c>
      <c r="G1120" s="10">
        <f t="shared" ca="1" si="50"/>
        <v>39.96221666666667</v>
      </c>
      <c r="H1120" s="10">
        <f t="shared" ca="1" si="50"/>
        <v>39.96221666666667</v>
      </c>
      <c r="I1120" s="10">
        <f t="shared" ca="1" si="50"/>
        <v>39.963791666666673</v>
      </c>
      <c r="J1120" s="10">
        <f t="shared" ca="1" si="50"/>
        <v>334.53516666666661</v>
      </c>
    </row>
    <row r="1121" spans="1:10" ht="15" x14ac:dyDescent="0.2">
      <c r="A1121" s="11">
        <f t="shared" si="25"/>
        <v>2065</v>
      </c>
      <c r="B1121" s="10">
        <f t="shared" ca="1" si="50"/>
        <v>44.024608333333333</v>
      </c>
      <c r="C1121" s="10">
        <f t="shared" ca="1" si="50"/>
        <v>40.610850000000006</v>
      </c>
      <c r="D1121" s="10">
        <f t="shared" ca="1" si="50"/>
        <v>40.603033333333329</v>
      </c>
      <c r="E1121" s="10">
        <f t="shared" ca="1" si="50"/>
        <v>43.87744166666667</v>
      </c>
      <c r="F1121" s="10">
        <f t="shared" ca="1" si="50"/>
        <v>43.868341666666659</v>
      </c>
      <c r="G1121" s="10">
        <f t="shared" ca="1" si="50"/>
        <v>40.609299999999998</v>
      </c>
      <c r="H1121" s="10">
        <f t="shared" ca="1" si="50"/>
        <v>40.609299999999998</v>
      </c>
      <c r="I1121" s="10">
        <f t="shared" ca="1" si="50"/>
        <v>40.610850000000006</v>
      </c>
      <c r="J1121" s="10">
        <f t="shared" ca="1" si="50"/>
        <v>342.10385833333339</v>
      </c>
    </row>
    <row r="1122" spans="1:10" ht="15" x14ac:dyDescent="0.2">
      <c r="A1122" s="11">
        <f t="shared" si="25"/>
        <v>2066</v>
      </c>
      <c r="B1122" s="10">
        <f t="shared" ca="1" si="50"/>
        <v>44.735825000000006</v>
      </c>
      <c r="C1122" s="10">
        <f t="shared" ca="1" si="50"/>
        <v>41.268525000000004</v>
      </c>
      <c r="D1122" s="10">
        <f t="shared" ca="1" si="50"/>
        <v>41.260716666666667</v>
      </c>
      <c r="E1122" s="10">
        <f t="shared" ca="1" si="50"/>
        <v>44.588691666666669</v>
      </c>
      <c r="F1122" s="10">
        <f t="shared" ca="1" si="50"/>
        <v>44.579591666666666</v>
      </c>
      <c r="G1122" s="10">
        <f t="shared" ca="1" si="50"/>
        <v>41.266983333333343</v>
      </c>
      <c r="H1122" s="10">
        <f t="shared" ca="1" si="50"/>
        <v>41.266983333333343</v>
      </c>
      <c r="I1122" s="10">
        <f t="shared" ca="1" si="50"/>
        <v>41.268525000000004</v>
      </c>
      <c r="J1122" s="10">
        <f t="shared" ca="1" si="50"/>
        <v>349.84377499999999</v>
      </c>
    </row>
    <row r="1123" spans="1:10" ht="15" x14ac:dyDescent="0.2">
      <c r="A1123" s="11">
        <f t="shared" si="25"/>
        <v>2067</v>
      </c>
      <c r="B1123" s="10">
        <f t="shared" ca="1" si="50"/>
        <v>45.458724999999994</v>
      </c>
      <c r="C1123" s="10">
        <f t="shared" ca="1" si="50"/>
        <v>41.937008333333331</v>
      </c>
      <c r="D1123" s="10">
        <f t="shared" ca="1" si="50"/>
        <v>41.929200000000002</v>
      </c>
      <c r="E1123" s="10">
        <f t="shared" ca="1" si="50"/>
        <v>45.311591666666658</v>
      </c>
      <c r="F1123" s="10">
        <f t="shared" ca="1" si="50"/>
        <v>45.302491666666661</v>
      </c>
      <c r="G1123" s="10">
        <f t="shared" ca="1" si="50"/>
        <v>41.935433333333336</v>
      </c>
      <c r="H1123" s="10">
        <f t="shared" ca="1" si="50"/>
        <v>41.935433333333336</v>
      </c>
      <c r="I1123" s="10">
        <f t="shared" ca="1" si="50"/>
        <v>41.937008333333331</v>
      </c>
      <c r="J1123" s="10">
        <f t="shared" ca="1" si="50"/>
        <v>357.75880000000001</v>
      </c>
    </row>
    <row r="1124" spans="1:10" ht="15" x14ac:dyDescent="0.2">
      <c r="A1124" s="11">
        <f t="shared" si="25"/>
        <v>2068</v>
      </c>
      <c r="B1124" s="10">
        <f t="shared" ca="1" si="50"/>
        <v>46.193491666666667</v>
      </c>
      <c r="C1124" s="10">
        <f t="shared" ca="1" si="50"/>
        <v>42.616416666666673</v>
      </c>
      <c r="D1124" s="10">
        <f t="shared" ca="1" si="50"/>
        <v>42.60861666666667</v>
      </c>
      <c r="E1124" s="10">
        <f t="shared" ca="1" si="50"/>
        <v>46.046325000000003</v>
      </c>
      <c r="F1124" s="10">
        <f t="shared" ca="1" si="50"/>
        <v>46.037224999999999</v>
      </c>
      <c r="G1124" s="10">
        <f t="shared" ca="1" si="50"/>
        <v>42.614866666666664</v>
      </c>
      <c r="H1124" s="10">
        <f t="shared" ca="1" si="50"/>
        <v>42.614866666666664</v>
      </c>
      <c r="I1124" s="10">
        <f t="shared" ca="1" si="50"/>
        <v>42.616416666666673</v>
      </c>
      <c r="J1124" s="10">
        <f t="shared" ca="1" si="50"/>
        <v>365.85293333333334</v>
      </c>
    </row>
    <row r="1125" spans="1:10" ht="15" x14ac:dyDescent="0.2">
      <c r="A1125" s="11">
        <f t="shared" si="25"/>
        <v>2069</v>
      </c>
      <c r="B1125" s="10">
        <f t="shared" ca="1" si="50"/>
        <v>46.94029166666666</v>
      </c>
      <c r="C1125" s="10">
        <f t="shared" ca="1" si="50"/>
        <v>43.306999999999995</v>
      </c>
      <c r="D1125" s="10">
        <f t="shared" ca="1" si="50"/>
        <v>43.299191666666673</v>
      </c>
      <c r="E1125" s="10">
        <f t="shared" ca="1" si="50"/>
        <v>46.793125000000011</v>
      </c>
      <c r="F1125" s="10">
        <f t="shared" ca="1" si="50"/>
        <v>46.784024999999986</v>
      </c>
      <c r="G1125" s="10">
        <f t="shared" ca="1" si="50"/>
        <v>43.305416666666673</v>
      </c>
      <c r="H1125" s="10">
        <f t="shared" ca="1" si="50"/>
        <v>43.305416666666673</v>
      </c>
      <c r="I1125" s="10">
        <f t="shared" ca="1" si="50"/>
        <v>43.306999999999995</v>
      </c>
      <c r="J1125" s="10">
        <f t="shared" ca="1" si="50"/>
        <v>374.13014999999996</v>
      </c>
    </row>
    <row r="1126" spans="1:10" ht="15" x14ac:dyDescent="0.2">
      <c r="A1126" s="11">
        <f t="shared" ref="A1126:A1156" si="51">A1125+1</f>
        <v>2070</v>
      </c>
      <c r="B1126" s="10">
        <f t="shared" ca="1" si="50"/>
        <v>47.699316666666675</v>
      </c>
      <c r="C1126" s="10">
        <f t="shared" ca="1" si="50"/>
        <v>44.00888333333333</v>
      </c>
      <c r="D1126" s="10">
        <f t="shared" ca="1" si="50"/>
        <v>44.001066666666674</v>
      </c>
      <c r="E1126" s="10">
        <f t="shared" ca="1" si="50"/>
        <v>47.552183333333339</v>
      </c>
      <c r="F1126" s="10">
        <f t="shared" ca="1" si="50"/>
        <v>47.543083333333328</v>
      </c>
      <c r="G1126" s="10">
        <f t="shared" ca="1" si="50"/>
        <v>44.007316666666668</v>
      </c>
      <c r="H1126" s="10">
        <f t="shared" ca="1" si="50"/>
        <v>44.007316666666668</v>
      </c>
      <c r="I1126" s="10">
        <f t="shared" ca="1" si="50"/>
        <v>44.00888333333333</v>
      </c>
      <c r="J1126" s="10">
        <f t="shared" ca="1" si="50"/>
        <v>382.59466666666663</v>
      </c>
    </row>
    <row r="1127" spans="1:10" ht="15" x14ac:dyDescent="0.2">
      <c r="A1127" s="11">
        <f t="shared" si="51"/>
        <v>2071</v>
      </c>
      <c r="B1127" s="10">
        <f t="shared" ca="1" si="50"/>
        <v>48.470816666666671</v>
      </c>
      <c r="C1127" s="10">
        <f t="shared" ca="1" si="50"/>
        <v>44.722274999999996</v>
      </c>
      <c r="D1127" s="10">
        <f t="shared" ca="1" si="50"/>
        <v>44.71445833333334</v>
      </c>
      <c r="E1127" s="10">
        <f t="shared" ca="1" si="50"/>
        <v>48.323666666666668</v>
      </c>
      <c r="F1127" s="10">
        <f t="shared" ca="1" si="50"/>
        <v>48.314566666666657</v>
      </c>
      <c r="G1127" s="10">
        <f t="shared" ca="1" si="50"/>
        <v>44.720716666666675</v>
      </c>
      <c r="H1127" s="10">
        <f t="shared" ca="1" si="50"/>
        <v>44.720716666666675</v>
      </c>
      <c r="I1127" s="10">
        <f t="shared" ca="1" si="50"/>
        <v>44.722274999999996</v>
      </c>
      <c r="J1127" s="10">
        <f t="shared" ca="1" si="50"/>
        <v>391.25068333333343</v>
      </c>
    </row>
    <row r="1128" spans="1:10" ht="15" x14ac:dyDescent="0.2">
      <c r="A1128" s="11">
        <f t="shared" si="51"/>
        <v>2072</v>
      </c>
      <c r="B1128" s="10">
        <f t="shared" ref="B1128:J1137" ca="1" si="52">AVERAGE(OFFSET(B$600,($A1128-$A$1118)*12,0,12,1))</f>
        <v>49.254949999999987</v>
      </c>
      <c r="C1128" s="10">
        <f t="shared" ca="1" si="52"/>
        <v>45.44736666666666</v>
      </c>
      <c r="D1128" s="10">
        <f t="shared" ca="1" si="52"/>
        <v>45.439550000000004</v>
      </c>
      <c r="E1128" s="10">
        <f t="shared" ca="1" si="52"/>
        <v>49.107808333333331</v>
      </c>
      <c r="F1128" s="10">
        <f t="shared" ca="1" si="52"/>
        <v>49.09870833333332</v>
      </c>
      <c r="G1128" s="10">
        <f t="shared" ca="1" si="52"/>
        <v>45.445808333333332</v>
      </c>
      <c r="H1128" s="10">
        <f t="shared" ca="1" si="52"/>
        <v>45.445808333333332</v>
      </c>
      <c r="I1128" s="10">
        <f t="shared" ca="1" si="52"/>
        <v>45.44736666666666</v>
      </c>
      <c r="J1128" s="10">
        <f t="shared" ca="1" si="52"/>
        <v>400.10253333333338</v>
      </c>
    </row>
    <row r="1129" spans="1:10" ht="15" x14ac:dyDescent="0.2">
      <c r="A1129" s="11">
        <f t="shared" si="51"/>
        <v>2073</v>
      </c>
      <c r="B1129" s="10">
        <f t="shared" ca="1" si="52"/>
        <v>50.051941666666664</v>
      </c>
      <c r="C1129" s="10">
        <f t="shared" ca="1" si="52"/>
        <v>46.184333333333335</v>
      </c>
      <c r="D1129" s="10">
        <f t="shared" ca="1" si="52"/>
        <v>46.176516666666679</v>
      </c>
      <c r="E1129" s="10">
        <f t="shared" ca="1" si="52"/>
        <v>49.904808333333335</v>
      </c>
      <c r="F1129" s="10">
        <f t="shared" ca="1" si="52"/>
        <v>49.895708333333339</v>
      </c>
      <c r="G1129" s="10">
        <f t="shared" ca="1" si="52"/>
        <v>46.182783333333333</v>
      </c>
      <c r="H1129" s="10">
        <f t="shared" ca="1" si="52"/>
        <v>46.182783333333333</v>
      </c>
      <c r="I1129" s="10">
        <f t="shared" ca="1" si="52"/>
        <v>46.184333333333335</v>
      </c>
      <c r="J1129" s="10">
        <f t="shared" ca="1" si="52"/>
        <v>409.15465</v>
      </c>
    </row>
    <row r="1130" spans="1:10" ht="15" x14ac:dyDescent="0.2">
      <c r="A1130" s="11">
        <f t="shared" si="51"/>
        <v>2074</v>
      </c>
      <c r="B1130" s="10">
        <f t="shared" ca="1" si="52"/>
        <v>50.862008333333335</v>
      </c>
      <c r="C1130" s="10">
        <f t="shared" ca="1" si="52"/>
        <v>46.933408333333325</v>
      </c>
      <c r="D1130" s="10">
        <f t="shared" ca="1" si="52"/>
        <v>46.925600000000003</v>
      </c>
      <c r="E1130" s="10">
        <f t="shared" ca="1" si="52"/>
        <v>50.714850000000006</v>
      </c>
      <c r="F1130" s="10">
        <f t="shared" ca="1" si="52"/>
        <v>50.705749999999995</v>
      </c>
      <c r="G1130" s="10">
        <f t="shared" ca="1" si="52"/>
        <v>46.931833333333323</v>
      </c>
      <c r="H1130" s="10">
        <f t="shared" ca="1" si="52"/>
        <v>46.931833333333323</v>
      </c>
      <c r="I1130" s="10">
        <f t="shared" ca="1" si="52"/>
        <v>46.933408333333325</v>
      </c>
      <c r="J1130" s="10">
        <f t="shared" ca="1" si="52"/>
        <v>418.41159166666665</v>
      </c>
    </row>
    <row r="1131" spans="1:10" ht="15" x14ac:dyDescent="0.2">
      <c r="A1131" s="11">
        <f t="shared" si="51"/>
        <v>2075</v>
      </c>
      <c r="B1131" s="10">
        <f t="shared" ca="1" si="52"/>
        <v>51.68533333333334</v>
      </c>
      <c r="C1131" s="10">
        <f t="shared" ca="1" si="52"/>
        <v>47.694741666666665</v>
      </c>
      <c r="D1131" s="10">
        <f t="shared" ca="1" si="52"/>
        <v>47.686925000000002</v>
      </c>
      <c r="E1131" s="10">
        <f t="shared" ca="1" si="52"/>
        <v>51.53820000000001</v>
      </c>
      <c r="F1131" s="10">
        <f t="shared" ca="1" si="52"/>
        <v>51.529100000000007</v>
      </c>
      <c r="G1131" s="10">
        <f t="shared" ca="1" si="52"/>
        <v>47.693191666666671</v>
      </c>
      <c r="H1131" s="10">
        <f t="shared" ca="1" si="52"/>
        <v>47.693191666666671</v>
      </c>
      <c r="I1131" s="10">
        <f t="shared" ca="1" si="52"/>
        <v>47.694741666666665</v>
      </c>
      <c r="J1131" s="10">
        <f t="shared" ca="1" si="52"/>
        <v>427.87790833333332</v>
      </c>
    </row>
    <row r="1132" spans="1:10" ht="15" x14ac:dyDescent="0.2">
      <c r="A1132" s="11">
        <f t="shared" si="51"/>
        <v>2076</v>
      </c>
      <c r="B1132" s="10">
        <f t="shared" ca="1" si="52"/>
        <v>52.522191666666657</v>
      </c>
      <c r="C1132" s="10">
        <f t="shared" ca="1" si="52"/>
        <v>48.468566666666668</v>
      </c>
      <c r="D1132" s="10">
        <f t="shared" ca="1" si="52"/>
        <v>48.460758333333338</v>
      </c>
      <c r="E1132" s="10">
        <f t="shared" ca="1" si="52"/>
        <v>52.375025000000001</v>
      </c>
      <c r="F1132" s="10">
        <f t="shared" ca="1" si="52"/>
        <v>52.365924999999997</v>
      </c>
      <c r="G1132" s="10">
        <f t="shared" ca="1" si="52"/>
        <v>48.467008333333332</v>
      </c>
      <c r="H1132" s="10">
        <f t="shared" ca="1" si="52"/>
        <v>48.467008333333332</v>
      </c>
      <c r="I1132" s="10">
        <f t="shared" ca="1" si="52"/>
        <v>48.468566666666668</v>
      </c>
      <c r="J1132" s="10">
        <f t="shared" ca="1" si="52"/>
        <v>437.55845833333325</v>
      </c>
    </row>
    <row r="1133" spans="1:10" ht="15" x14ac:dyDescent="0.2">
      <c r="A1133" s="11">
        <f t="shared" si="51"/>
        <v>2077</v>
      </c>
      <c r="B1133" s="10">
        <f t="shared" ca="1" si="52"/>
        <v>53.372724999999996</v>
      </c>
      <c r="C1133" s="10">
        <f t="shared" ca="1" si="52"/>
        <v>49.255091666666665</v>
      </c>
      <c r="D1133" s="10">
        <f t="shared" ca="1" si="52"/>
        <v>49.247266666666668</v>
      </c>
      <c r="E1133" s="10">
        <f t="shared" ca="1" si="52"/>
        <v>53.225591666666674</v>
      </c>
      <c r="F1133" s="10">
        <f t="shared" ca="1" si="52"/>
        <v>53.216491666666656</v>
      </c>
      <c r="G1133" s="10">
        <f t="shared" ca="1" si="52"/>
        <v>49.253516666666677</v>
      </c>
      <c r="H1133" s="10">
        <f t="shared" ca="1" si="52"/>
        <v>49.253516666666677</v>
      </c>
      <c r="I1133" s="10">
        <f t="shared" ca="1" si="52"/>
        <v>49.255091666666665</v>
      </c>
      <c r="J1133" s="10">
        <f t="shared" ca="1" si="52"/>
        <v>447.45797499999998</v>
      </c>
    </row>
    <row r="1134" spans="1:10" ht="15" x14ac:dyDescent="0.2">
      <c r="A1134" s="11">
        <f t="shared" si="51"/>
        <v>2078</v>
      </c>
      <c r="B1134" s="10">
        <f t="shared" ca="1" si="52"/>
        <v>54.237241666666669</v>
      </c>
      <c r="C1134" s="10">
        <f t="shared" ca="1" si="52"/>
        <v>50.054491666666671</v>
      </c>
      <c r="D1134" s="10">
        <f t="shared" ca="1" si="52"/>
        <v>50.046683333333334</v>
      </c>
      <c r="E1134" s="10">
        <f t="shared" ca="1" si="52"/>
        <v>54.090108333333326</v>
      </c>
      <c r="F1134" s="10">
        <f t="shared" ca="1" si="52"/>
        <v>54.08100833333333</v>
      </c>
      <c r="G1134" s="10">
        <f t="shared" ca="1" si="52"/>
        <v>50.052916666666668</v>
      </c>
      <c r="H1134" s="10">
        <f t="shared" ca="1" si="52"/>
        <v>50.052916666666668</v>
      </c>
      <c r="I1134" s="10">
        <f t="shared" ca="1" si="52"/>
        <v>50.054491666666671</v>
      </c>
      <c r="J1134" s="10">
        <f t="shared" ca="1" si="52"/>
        <v>457.58150000000001</v>
      </c>
    </row>
    <row r="1135" spans="1:10" ht="15" x14ac:dyDescent="0.2">
      <c r="A1135" s="11">
        <f t="shared" si="51"/>
        <v>2079</v>
      </c>
      <c r="B1135" s="10">
        <f t="shared" ca="1" si="52"/>
        <v>55.115916666666664</v>
      </c>
      <c r="C1135" s="10">
        <f t="shared" ca="1" si="52"/>
        <v>50.867008333333338</v>
      </c>
      <c r="D1135" s="10">
        <f t="shared" ca="1" si="52"/>
        <v>50.859191666666675</v>
      </c>
      <c r="E1135" s="10">
        <f t="shared" ca="1" si="52"/>
        <v>54.968775000000001</v>
      </c>
      <c r="F1135" s="10">
        <f t="shared" ca="1" si="52"/>
        <v>54.959674999999997</v>
      </c>
      <c r="G1135" s="10">
        <f t="shared" ca="1" si="52"/>
        <v>50.865424999999995</v>
      </c>
      <c r="H1135" s="10">
        <f t="shared" ca="1" si="52"/>
        <v>50.865424999999995</v>
      </c>
      <c r="I1135" s="10">
        <f t="shared" ca="1" si="52"/>
        <v>50.867008333333338</v>
      </c>
      <c r="J1135" s="10">
        <f t="shared" ca="1" si="52"/>
        <v>467.93405000000001</v>
      </c>
    </row>
    <row r="1136" spans="1:10" ht="15" x14ac:dyDescent="0.2">
      <c r="A1136" s="11">
        <f t="shared" si="51"/>
        <v>2080</v>
      </c>
      <c r="B1136" s="10">
        <f t="shared" ca="1" si="52"/>
        <v>56.009008333333327</v>
      </c>
      <c r="C1136" s="10">
        <f t="shared" ca="1" si="52"/>
        <v>51.692824999999999</v>
      </c>
      <c r="D1136" s="10">
        <f t="shared" ca="1" si="52"/>
        <v>51.685016666666662</v>
      </c>
      <c r="E1136" s="10">
        <f t="shared" ca="1" si="52"/>
        <v>55.861850000000004</v>
      </c>
      <c r="F1136" s="10">
        <f t="shared" ca="1" si="52"/>
        <v>55.852749999999993</v>
      </c>
      <c r="G1136" s="10">
        <f t="shared" ca="1" si="52"/>
        <v>51.691275000000012</v>
      </c>
      <c r="H1136" s="10">
        <f t="shared" ca="1" si="52"/>
        <v>51.691275000000012</v>
      </c>
      <c r="I1136" s="10">
        <f t="shared" ca="1" si="52"/>
        <v>51.692824999999999</v>
      </c>
      <c r="J1136" s="10">
        <f t="shared" ca="1" si="52"/>
        <v>478.52082499999989</v>
      </c>
    </row>
    <row r="1137" spans="1:10" ht="15" x14ac:dyDescent="0.2">
      <c r="A1137" s="11">
        <f t="shared" si="51"/>
        <v>2081</v>
      </c>
      <c r="B1137" s="10">
        <f t="shared" ca="1" si="52"/>
        <v>56.916724999999985</v>
      </c>
      <c r="C1137" s="10">
        <f t="shared" ca="1" si="52"/>
        <v>52.53221666666667</v>
      </c>
      <c r="D1137" s="10">
        <f t="shared" ca="1" si="52"/>
        <v>52.524408333333334</v>
      </c>
      <c r="E1137" s="10">
        <f t="shared" ca="1" si="52"/>
        <v>56.769591666666678</v>
      </c>
      <c r="F1137" s="10">
        <f t="shared" ca="1" si="52"/>
        <v>56.760491666666667</v>
      </c>
      <c r="G1137" s="10">
        <f t="shared" ca="1" si="52"/>
        <v>52.530641666666661</v>
      </c>
      <c r="H1137" s="10">
        <f t="shared" ca="1" si="52"/>
        <v>52.530641666666661</v>
      </c>
      <c r="I1137" s="10">
        <f t="shared" ca="1" si="52"/>
        <v>52.53221666666667</v>
      </c>
      <c r="J1137" s="10">
        <f t="shared" ca="1" si="52"/>
        <v>489.34710833333338</v>
      </c>
    </row>
    <row r="1138" spans="1:10" ht="15" x14ac:dyDescent="0.2">
      <c r="A1138" s="11">
        <f t="shared" si="51"/>
        <v>2082</v>
      </c>
      <c r="B1138" s="10">
        <f t="shared" ref="B1138:J1147" ca="1" si="53">AVERAGE(OFFSET(B$600,($A1138-$A$1118)*12,0,12,1))</f>
        <v>57.839333333333322</v>
      </c>
      <c r="C1138" s="10">
        <f t="shared" ca="1" si="53"/>
        <v>53.385341666666669</v>
      </c>
      <c r="D1138" s="10">
        <f t="shared" ca="1" si="53"/>
        <v>53.377524999999999</v>
      </c>
      <c r="E1138" s="10">
        <f t="shared" ca="1" si="53"/>
        <v>57.692200000000014</v>
      </c>
      <c r="F1138" s="10">
        <f t="shared" ca="1" si="53"/>
        <v>57.683100000000003</v>
      </c>
      <c r="G1138" s="10">
        <f t="shared" ca="1" si="53"/>
        <v>53.383791666666674</v>
      </c>
      <c r="H1138" s="10">
        <f t="shared" ca="1" si="53"/>
        <v>53.383791666666674</v>
      </c>
      <c r="I1138" s="10">
        <f t="shared" ca="1" si="53"/>
        <v>53.385341666666669</v>
      </c>
      <c r="J1138" s="10">
        <f t="shared" ca="1" si="53"/>
        <v>500.41834166666666</v>
      </c>
    </row>
    <row r="1139" spans="1:10" ht="15" x14ac:dyDescent="0.2">
      <c r="A1139" s="11">
        <f t="shared" si="51"/>
        <v>2083</v>
      </c>
      <c r="B1139" s="10">
        <f t="shared" ca="1" si="53"/>
        <v>58.77708333333333</v>
      </c>
      <c r="C1139" s="10">
        <f t="shared" ca="1" si="53"/>
        <v>54.25246666666667</v>
      </c>
      <c r="D1139" s="10">
        <f t="shared" ca="1" si="53"/>
        <v>54.244658333333341</v>
      </c>
      <c r="E1139" s="10">
        <f t="shared" ca="1" si="53"/>
        <v>58.629916666666666</v>
      </c>
      <c r="F1139" s="10">
        <f t="shared" ca="1" si="53"/>
        <v>58.620816666666663</v>
      </c>
      <c r="G1139" s="10">
        <f t="shared" ca="1" si="53"/>
        <v>54.250908333333321</v>
      </c>
      <c r="H1139" s="10">
        <f t="shared" ca="1" si="53"/>
        <v>54.250908333333321</v>
      </c>
      <c r="I1139" s="10">
        <f t="shared" ca="1" si="53"/>
        <v>54.25246666666667</v>
      </c>
      <c r="J1139" s="10">
        <f t="shared" ca="1" si="53"/>
        <v>511.74006666666673</v>
      </c>
    </row>
    <row r="1140" spans="1:10" ht="15" x14ac:dyDescent="0.2">
      <c r="A1140" s="11">
        <f t="shared" si="51"/>
        <v>2084</v>
      </c>
      <c r="B1140" s="10">
        <f t="shared" ca="1" si="53"/>
        <v>59.730191666666677</v>
      </c>
      <c r="C1140" s="10">
        <f t="shared" ca="1" si="53"/>
        <v>55.133808333333342</v>
      </c>
      <c r="D1140" s="10">
        <f t="shared" ca="1" si="53"/>
        <v>55.126008333333345</v>
      </c>
      <c r="E1140" s="10">
        <f t="shared" ca="1" si="53"/>
        <v>59.583024999999999</v>
      </c>
      <c r="F1140" s="10">
        <f t="shared" ca="1" si="53"/>
        <v>59.573924999999996</v>
      </c>
      <c r="G1140" s="10">
        <f t="shared" ca="1" si="53"/>
        <v>55.132241666666665</v>
      </c>
      <c r="H1140" s="10">
        <f t="shared" ca="1" si="53"/>
        <v>55.132241666666665</v>
      </c>
      <c r="I1140" s="10">
        <f t="shared" ca="1" si="53"/>
        <v>55.133808333333342</v>
      </c>
      <c r="J1140" s="10">
        <f t="shared" ca="1" si="53"/>
        <v>523.31792500000006</v>
      </c>
    </row>
    <row r="1141" spans="1:10" ht="15" x14ac:dyDescent="0.2">
      <c r="A1141" s="11">
        <f t="shared" si="51"/>
        <v>2085</v>
      </c>
      <c r="B1141" s="10">
        <f t="shared" ca="1" si="53"/>
        <v>60.698916666666662</v>
      </c>
      <c r="C1141" s="10">
        <f t="shared" ca="1" si="53"/>
        <v>56.02960833333335</v>
      </c>
      <c r="D1141" s="10">
        <f t="shared" ca="1" si="53"/>
        <v>56.021791666666672</v>
      </c>
      <c r="E1141" s="10">
        <f t="shared" ca="1" si="53"/>
        <v>60.551766666666673</v>
      </c>
      <c r="F1141" s="10">
        <f t="shared" ca="1" si="53"/>
        <v>60.542666666666662</v>
      </c>
      <c r="G1141" s="10">
        <f t="shared" ca="1" si="53"/>
        <v>56.028024999999992</v>
      </c>
      <c r="H1141" s="10">
        <f t="shared" ca="1" si="53"/>
        <v>56.028024999999992</v>
      </c>
      <c r="I1141" s="10">
        <f t="shared" ca="1" si="53"/>
        <v>56.02960833333335</v>
      </c>
      <c r="J1141" s="10">
        <f t="shared" ca="1" si="53"/>
        <v>535.15774166666665</v>
      </c>
    </row>
    <row r="1142" spans="1:10" ht="15" x14ac:dyDescent="0.2">
      <c r="A1142" s="11">
        <f t="shared" si="51"/>
        <v>2086</v>
      </c>
      <c r="B1142" s="10">
        <f t="shared" ca="1" si="53"/>
        <v>61.683524999999996</v>
      </c>
      <c r="C1142" s="10">
        <f t="shared" ca="1" si="53"/>
        <v>56.940083333333327</v>
      </c>
      <c r="D1142" s="10">
        <f t="shared" ca="1" si="53"/>
        <v>56.932258333333344</v>
      </c>
      <c r="E1142" s="10">
        <f t="shared" ca="1" si="53"/>
        <v>61.536391666666681</v>
      </c>
      <c r="F1142" s="10">
        <f t="shared" ca="1" si="53"/>
        <v>61.527291666666677</v>
      </c>
      <c r="G1142" s="10">
        <f t="shared" ca="1" si="53"/>
        <v>56.938516666666679</v>
      </c>
      <c r="H1142" s="10">
        <f t="shared" ca="1" si="53"/>
        <v>56.938516666666679</v>
      </c>
      <c r="I1142" s="10">
        <f t="shared" ca="1" si="53"/>
        <v>56.940083333333327</v>
      </c>
      <c r="J1142" s="10">
        <f t="shared" ca="1" si="53"/>
        <v>547.2654</v>
      </c>
    </row>
    <row r="1143" spans="1:10" ht="15" x14ac:dyDescent="0.2">
      <c r="A1143" s="11">
        <f t="shared" si="51"/>
        <v>2087</v>
      </c>
      <c r="B1143" s="10">
        <f t="shared" ca="1" si="53"/>
        <v>62.684308333333327</v>
      </c>
      <c r="C1143" s="10">
        <f t="shared" ca="1" si="53"/>
        <v>57.865483333333337</v>
      </c>
      <c r="D1143" s="10">
        <f t="shared" ca="1" si="53"/>
        <v>57.85766666666666</v>
      </c>
      <c r="E1143" s="10">
        <f t="shared" ca="1" si="53"/>
        <v>62.537141666666663</v>
      </c>
      <c r="F1143" s="10">
        <f t="shared" ca="1" si="53"/>
        <v>62.52804166666666</v>
      </c>
      <c r="G1143" s="10">
        <f t="shared" ca="1" si="53"/>
        <v>57.863916666666675</v>
      </c>
      <c r="H1143" s="10">
        <f t="shared" ca="1" si="53"/>
        <v>57.863916666666675</v>
      </c>
      <c r="I1143" s="10">
        <f t="shared" ca="1" si="53"/>
        <v>57.865483333333337</v>
      </c>
      <c r="J1143" s="10">
        <f t="shared" ca="1" si="53"/>
        <v>559.64700833333325</v>
      </c>
    </row>
    <row r="1144" spans="1:10" ht="15" x14ac:dyDescent="0.2">
      <c r="A1144" s="11">
        <f t="shared" si="51"/>
        <v>2088</v>
      </c>
      <c r="B1144" s="10">
        <f t="shared" ca="1" si="53"/>
        <v>63.701466666666668</v>
      </c>
      <c r="C1144" s="10">
        <f t="shared" ca="1" si="53"/>
        <v>58.806049999999999</v>
      </c>
      <c r="D1144" s="10">
        <f t="shared" ca="1" si="53"/>
        <v>58.798233333333336</v>
      </c>
      <c r="E1144" s="10">
        <f t="shared" ca="1" si="53"/>
        <v>63.554316666666665</v>
      </c>
      <c r="F1144" s="10">
        <f t="shared" ca="1" si="53"/>
        <v>63.545216666666668</v>
      </c>
      <c r="G1144" s="10">
        <f t="shared" ca="1" si="53"/>
        <v>58.804500000000012</v>
      </c>
      <c r="H1144" s="10">
        <f t="shared" ca="1" si="53"/>
        <v>58.804500000000012</v>
      </c>
      <c r="I1144" s="10">
        <f t="shared" ca="1" si="53"/>
        <v>58.806049999999999</v>
      </c>
      <c r="J1144" s="10">
        <f t="shared" ca="1" si="53"/>
        <v>572.30874166666672</v>
      </c>
    </row>
    <row r="1145" spans="1:10" ht="15" x14ac:dyDescent="0.2">
      <c r="A1145" s="11">
        <f t="shared" si="51"/>
        <v>2089</v>
      </c>
      <c r="B1145" s="10">
        <f t="shared" ca="1" si="53"/>
        <v>64.735316666666662</v>
      </c>
      <c r="C1145" s="10">
        <f t="shared" ca="1" si="53"/>
        <v>59.762049999999995</v>
      </c>
      <c r="D1145" s="10">
        <f t="shared" ca="1" si="53"/>
        <v>59.754224999999998</v>
      </c>
      <c r="E1145" s="10">
        <f t="shared" ca="1" si="53"/>
        <v>64.588166666666666</v>
      </c>
      <c r="F1145" s="10">
        <f t="shared" ca="1" si="53"/>
        <v>64.579066666666662</v>
      </c>
      <c r="G1145" s="10">
        <f t="shared" ca="1" si="53"/>
        <v>59.760491666666667</v>
      </c>
      <c r="H1145" s="10">
        <f t="shared" ca="1" si="53"/>
        <v>59.760491666666667</v>
      </c>
      <c r="I1145" s="10">
        <f t="shared" ca="1" si="53"/>
        <v>59.762049999999995</v>
      </c>
      <c r="J1145" s="10">
        <f t="shared" ca="1" si="53"/>
        <v>585.25695833333327</v>
      </c>
    </row>
    <row r="1146" spans="1:10" ht="15" x14ac:dyDescent="0.2">
      <c r="A1146" s="11">
        <f t="shared" si="51"/>
        <v>2090</v>
      </c>
      <c r="B1146" s="10">
        <f t="shared" ca="1" si="53"/>
        <v>65.786116666666658</v>
      </c>
      <c r="C1146" s="10">
        <f t="shared" ca="1" si="53"/>
        <v>60.733716666666652</v>
      </c>
      <c r="D1146" s="10">
        <f t="shared" ca="1" si="53"/>
        <v>60.72591666666667</v>
      </c>
      <c r="E1146" s="10">
        <f t="shared" ca="1" si="53"/>
        <v>65.638958333333335</v>
      </c>
      <c r="F1146" s="10">
        <f t="shared" ca="1" si="53"/>
        <v>65.629858333333331</v>
      </c>
      <c r="G1146" s="10">
        <f t="shared" ca="1" si="53"/>
        <v>60.732158333333331</v>
      </c>
      <c r="H1146" s="10">
        <f t="shared" ca="1" si="53"/>
        <v>60.732158333333331</v>
      </c>
      <c r="I1146" s="10">
        <f t="shared" ca="1" si="53"/>
        <v>60.733716666666652</v>
      </c>
      <c r="J1146" s="10">
        <f t="shared" ca="1" si="53"/>
        <v>598.49809166666671</v>
      </c>
    </row>
    <row r="1147" spans="1:10" ht="15" x14ac:dyDescent="0.2">
      <c r="A1147" s="11">
        <f t="shared" si="51"/>
        <v>2091</v>
      </c>
      <c r="B1147" s="10">
        <f t="shared" ca="1" si="53"/>
        <v>66.854124999999996</v>
      </c>
      <c r="C1147" s="10">
        <f t="shared" ca="1" si="53"/>
        <v>61.721316666666667</v>
      </c>
      <c r="D1147" s="10">
        <f t="shared" ca="1" si="53"/>
        <v>61.713516666666671</v>
      </c>
      <c r="E1147" s="10">
        <f t="shared" ca="1" si="53"/>
        <v>66.706991666666667</v>
      </c>
      <c r="F1147" s="10">
        <f t="shared" ca="1" si="53"/>
        <v>66.697891666666649</v>
      </c>
      <c r="G1147" s="10">
        <f t="shared" ca="1" si="53"/>
        <v>61.719758333333338</v>
      </c>
      <c r="H1147" s="10">
        <f t="shared" ca="1" si="53"/>
        <v>61.719758333333338</v>
      </c>
      <c r="I1147" s="10">
        <f t="shared" ca="1" si="53"/>
        <v>61.721316666666667</v>
      </c>
      <c r="J1147" s="10">
        <f t="shared" ca="1" si="53"/>
        <v>612.03880833333346</v>
      </c>
    </row>
    <row r="1148" spans="1:10" ht="15" x14ac:dyDescent="0.2">
      <c r="A1148" s="11">
        <f t="shared" si="51"/>
        <v>2092</v>
      </c>
      <c r="B1148" s="10">
        <f t="shared" ref="B1148:J1156" ca="1" si="54">AVERAGE(OFFSET(B$600,($A1148-$A$1118)*12,0,12,1))</f>
        <v>67.939666666666668</v>
      </c>
      <c r="C1148" s="10">
        <f t="shared" ca="1" si="54"/>
        <v>62.725116666666658</v>
      </c>
      <c r="D1148" s="10">
        <f t="shared" ca="1" si="54"/>
        <v>62.717308333333335</v>
      </c>
      <c r="E1148" s="10">
        <f t="shared" ca="1" si="54"/>
        <v>67.792516666666657</v>
      </c>
      <c r="F1148" s="10">
        <f t="shared" ca="1" si="54"/>
        <v>67.783416666666668</v>
      </c>
      <c r="G1148" s="10">
        <f t="shared" ca="1" si="54"/>
        <v>62.723549999999996</v>
      </c>
      <c r="H1148" s="10">
        <f t="shared" ca="1" si="54"/>
        <v>62.723549999999996</v>
      </c>
      <c r="I1148" s="10">
        <f t="shared" ca="1" si="54"/>
        <v>62.725116666666658</v>
      </c>
      <c r="J1148" s="10">
        <f t="shared" ca="1" si="54"/>
        <v>625.88590000000011</v>
      </c>
    </row>
    <row r="1149" spans="1:10" ht="15" x14ac:dyDescent="0.2">
      <c r="A1149" s="11">
        <f t="shared" si="51"/>
        <v>2093</v>
      </c>
      <c r="B1149" s="10">
        <f t="shared" ca="1" si="54"/>
        <v>69.043008333333333</v>
      </c>
      <c r="C1149" s="10">
        <f t="shared" ca="1" si="54"/>
        <v>63.745366666666662</v>
      </c>
      <c r="D1149" s="10">
        <f t="shared" ca="1" si="54"/>
        <v>63.737550000000006</v>
      </c>
      <c r="E1149" s="10">
        <f t="shared" ca="1" si="54"/>
        <v>68.895849999999996</v>
      </c>
      <c r="F1149" s="10">
        <f t="shared" ca="1" si="54"/>
        <v>68.886749999999992</v>
      </c>
      <c r="G1149" s="10">
        <f t="shared" ca="1" si="54"/>
        <v>63.743808333333355</v>
      </c>
      <c r="H1149" s="10">
        <f t="shared" ca="1" si="54"/>
        <v>63.743808333333355</v>
      </c>
      <c r="I1149" s="10">
        <f t="shared" ca="1" si="54"/>
        <v>63.745366666666662</v>
      </c>
      <c r="J1149" s="10">
        <f t="shared" ca="1" si="54"/>
        <v>640.04623333333348</v>
      </c>
    </row>
    <row r="1150" spans="1:10" ht="15" x14ac:dyDescent="0.2">
      <c r="A1150" s="11">
        <f t="shared" si="51"/>
        <v>2094</v>
      </c>
      <c r="B1150" s="10">
        <f t="shared" ca="1" si="54"/>
        <v>70.164416666666668</v>
      </c>
      <c r="C1150" s="10">
        <f t="shared" ca="1" si="54"/>
        <v>64.782341666666682</v>
      </c>
      <c r="D1150" s="10">
        <f t="shared" ca="1" si="54"/>
        <v>64.774524999999997</v>
      </c>
      <c r="E1150" s="10">
        <f t="shared" ca="1" si="54"/>
        <v>70.017274999999998</v>
      </c>
      <c r="F1150" s="10">
        <f t="shared" ca="1" si="54"/>
        <v>70.008174999999994</v>
      </c>
      <c r="G1150" s="10">
        <f t="shared" ca="1" si="54"/>
        <v>64.780791666666673</v>
      </c>
      <c r="H1150" s="10">
        <f t="shared" ca="1" si="54"/>
        <v>64.780791666666673</v>
      </c>
      <c r="I1150" s="10">
        <f t="shared" ca="1" si="54"/>
        <v>64.782341666666682</v>
      </c>
      <c r="J1150" s="10">
        <f t="shared" ca="1" si="54"/>
        <v>654.52695833333325</v>
      </c>
    </row>
    <row r="1151" spans="1:10" ht="15" x14ac:dyDescent="0.2">
      <c r="A1151" s="11">
        <f t="shared" si="51"/>
        <v>2095</v>
      </c>
      <c r="B1151" s="10">
        <f t="shared" ca="1" si="54"/>
        <v>71.304216666666662</v>
      </c>
      <c r="C1151" s="10">
        <f t="shared" ca="1" si="54"/>
        <v>65.836316666666661</v>
      </c>
      <c r="D1151" s="10">
        <f t="shared" ca="1" si="54"/>
        <v>65.828516666666687</v>
      </c>
      <c r="E1151" s="10">
        <f t="shared" ca="1" si="54"/>
        <v>71.157091666666659</v>
      </c>
      <c r="F1151" s="10">
        <f t="shared" ca="1" si="54"/>
        <v>71.147991666666655</v>
      </c>
      <c r="G1151" s="10">
        <f t="shared" ca="1" si="54"/>
        <v>65.834766666666653</v>
      </c>
      <c r="H1151" s="10">
        <f t="shared" ca="1" si="54"/>
        <v>65.834766666666653</v>
      </c>
      <c r="I1151" s="10">
        <f t="shared" ca="1" si="54"/>
        <v>65.836316666666661</v>
      </c>
      <c r="J1151" s="10">
        <f t="shared" ca="1" si="54"/>
        <v>669.3353083333335</v>
      </c>
    </row>
    <row r="1152" spans="1:10" ht="15" x14ac:dyDescent="0.2">
      <c r="A1152" s="11">
        <f t="shared" si="51"/>
        <v>2096</v>
      </c>
      <c r="B1152" s="10">
        <f t="shared" ca="1" si="54"/>
        <v>72.462716666666665</v>
      </c>
      <c r="C1152" s="10">
        <f t="shared" ca="1" si="54"/>
        <v>66.907591666666661</v>
      </c>
      <c r="D1152" s="10">
        <f t="shared" ca="1" si="54"/>
        <v>66.899774999999991</v>
      </c>
      <c r="E1152" s="10">
        <f t="shared" ca="1" si="54"/>
        <v>72.315583333333336</v>
      </c>
      <c r="F1152" s="10">
        <f t="shared" ca="1" si="54"/>
        <v>72.306483333333333</v>
      </c>
      <c r="G1152" s="10">
        <f t="shared" ca="1" si="54"/>
        <v>66.906016666666673</v>
      </c>
      <c r="H1152" s="10">
        <f t="shared" ca="1" si="54"/>
        <v>66.906016666666673</v>
      </c>
      <c r="I1152" s="10">
        <f t="shared" ca="1" si="54"/>
        <v>66.907591666666661</v>
      </c>
      <c r="J1152" s="10">
        <f t="shared" ca="1" si="54"/>
        <v>684.47868333333327</v>
      </c>
    </row>
    <row r="1153" spans="1:10" ht="15" x14ac:dyDescent="0.2">
      <c r="A1153" s="11">
        <f t="shared" si="51"/>
        <v>2097</v>
      </c>
      <c r="B1153" s="10">
        <f t="shared" ca="1" si="54"/>
        <v>73.640216666666674</v>
      </c>
      <c r="C1153" s="10">
        <f t="shared" ca="1" si="54"/>
        <v>67.996408333333321</v>
      </c>
      <c r="D1153" s="10">
        <f t="shared" ca="1" si="54"/>
        <v>67.988608333333332</v>
      </c>
      <c r="E1153" s="10">
        <f t="shared" ca="1" si="54"/>
        <v>73.493066666666664</v>
      </c>
      <c r="F1153" s="10">
        <f t="shared" ca="1" si="54"/>
        <v>73.48396666666666</v>
      </c>
      <c r="G1153" s="10">
        <f t="shared" ca="1" si="54"/>
        <v>67.994841666666673</v>
      </c>
      <c r="H1153" s="10">
        <f t="shared" ca="1" si="54"/>
        <v>67.994841666666673</v>
      </c>
      <c r="I1153" s="10">
        <f t="shared" ca="1" si="54"/>
        <v>67.996408333333321</v>
      </c>
      <c r="J1153" s="10">
        <f t="shared" ca="1" si="54"/>
        <v>699.96466666666663</v>
      </c>
    </row>
    <row r="1154" spans="1:10" ht="15" x14ac:dyDescent="0.2">
      <c r="A1154" s="11">
        <f t="shared" si="51"/>
        <v>2098</v>
      </c>
      <c r="B1154" s="10">
        <f t="shared" ca="1" si="54"/>
        <v>74.837008333333316</v>
      </c>
      <c r="C1154" s="10">
        <f t="shared" ca="1" si="54"/>
        <v>69.103091666666671</v>
      </c>
      <c r="D1154" s="10">
        <f t="shared" ca="1" si="54"/>
        <v>69.095275000000001</v>
      </c>
      <c r="E1154" s="10">
        <f t="shared" ca="1" si="54"/>
        <v>74.689858333333319</v>
      </c>
      <c r="F1154" s="10">
        <f t="shared" ca="1" si="54"/>
        <v>74.680758333333316</v>
      </c>
      <c r="G1154" s="10">
        <f t="shared" ca="1" si="54"/>
        <v>69.101516666666654</v>
      </c>
      <c r="H1154" s="10">
        <f t="shared" ca="1" si="54"/>
        <v>69.101516666666654</v>
      </c>
      <c r="I1154" s="10">
        <f t="shared" ca="1" si="54"/>
        <v>69.103091666666671</v>
      </c>
      <c r="J1154" s="10">
        <f t="shared" ca="1" si="54"/>
        <v>715.80103333333329</v>
      </c>
    </row>
    <row r="1155" spans="1:10" ht="15" x14ac:dyDescent="0.2">
      <c r="A1155" s="11">
        <f t="shared" si="51"/>
        <v>2099</v>
      </c>
      <c r="B1155" s="10">
        <f t="shared" ca="1" si="54"/>
        <v>76.053416666666649</v>
      </c>
      <c r="C1155" s="10">
        <f t="shared" ca="1" si="54"/>
        <v>70.227908333333332</v>
      </c>
      <c r="D1155" s="10">
        <f t="shared" ca="1" si="54"/>
        <v>70.220099999999988</v>
      </c>
      <c r="E1155" s="10">
        <f t="shared" ca="1" si="54"/>
        <v>75.906274999999994</v>
      </c>
      <c r="F1155" s="10">
        <f t="shared" ca="1" si="54"/>
        <v>75.89717499999999</v>
      </c>
      <c r="G1155" s="10">
        <f t="shared" ca="1" si="54"/>
        <v>70.226333333333329</v>
      </c>
      <c r="H1155" s="10">
        <f t="shared" ca="1" si="54"/>
        <v>70.226333333333329</v>
      </c>
      <c r="I1155" s="10">
        <f t="shared" ca="1" si="54"/>
        <v>70.227908333333332</v>
      </c>
      <c r="J1155" s="10">
        <f t="shared" ca="1" si="54"/>
        <v>731.99564999999996</v>
      </c>
    </row>
    <row r="1156" spans="1:10" ht="15" x14ac:dyDescent="0.2">
      <c r="A1156" s="11">
        <f t="shared" si="51"/>
        <v>2100</v>
      </c>
      <c r="B1156" s="10">
        <f t="shared" ca="1" si="54"/>
        <v>77.289791666666659</v>
      </c>
      <c r="C1156" s="10">
        <f t="shared" ca="1" si="54"/>
        <v>71.371166666666667</v>
      </c>
      <c r="D1156" s="10">
        <f t="shared" ca="1" si="54"/>
        <v>71.363349999999997</v>
      </c>
      <c r="E1156" s="10">
        <f t="shared" ca="1" si="54"/>
        <v>77.142624999999995</v>
      </c>
      <c r="F1156" s="10">
        <f t="shared" ca="1" si="54"/>
        <v>77.133524999999992</v>
      </c>
      <c r="G1156" s="10">
        <f t="shared" ca="1" si="54"/>
        <v>71.369608333333318</v>
      </c>
      <c r="H1156" s="10">
        <f t="shared" ca="1" si="54"/>
        <v>71.369608333333318</v>
      </c>
      <c r="I1156" s="10">
        <f t="shared" ca="1" si="54"/>
        <v>71.371166666666667</v>
      </c>
      <c r="J1156" s="10">
        <f t="shared" ca="1" si="54"/>
        <v>748.55668333333324</v>
      </c>
    </row>
    <row r="1157" spans="1:10" x14ac:dyDescent="0.2">
      <c r="A1157" s="8"/>
    </row>
    <row r="1158" spans="1:10" x14ac:dyDescent="0.2">
      <c r="A1158" s="8"/>
    </row>
    <row r="1159" spans="1:10" x14ac:dyDescent="0.2">
      <c r="A1159" s="8"/>
    </row>
    <row r="1160" spans="1:10" x14ac:dyDescent="0.2">
      <c r="A1160" s="8"/>
    </row>
    <row r="1161" spans="1:10" x14ac:dyDescent="0.2">
      <c r="A1161" s="8"/>
    </row>
    <row r="1162" spans="1:10" x14ac:dyDescent="0.2">
      <c r="A1162" s="8"/>
    </row>
    <row r="1163" spans="1:10" x14ac:dyDescent="0.2">
      <c r="A1163" s="8"/>
    </row>
    <row r="1164" spans="1:10" x14ac:dyDescent="0.2">
      <c r="A1164" s="8"/>
    </row>
    <row r="1165" spans="1:10" x14ac:dyDescent="0.2">
      <c r="A1165" s="8"/>
    </row>
    <row r="1166" spans="1:10" x14ac:dyDescent="0.2">
      <c r="A1166" s="8"/>
    </row>
    <row r="1167" spans="1:10" x14ac:dyDescent="0.2">
      <c r="A1167" s="8"/>
    </row>
    <row r="1168" spans="1:10" x14ac:dyDescent="0.2">
      <c r="A1168" s="8"/>
    </row>
    <row r="1169" spans="1:1" x14ac:dyDescent="0.2">
      <c r="A1169" s="8"/>
    </row>
    <row r="1170" spans="1:1" x14ac:dyDescent="0.2">
      <c r="A1170" s="8"/>
    </row>
    <row r="1171" spans="1:1" x14ac:dyDescent="0.2">
      <c r="A1171" s="8"/>
    </row>
    <row r="1172" spans="1:1" x14ac:dyDescent="0.2">
      <c r="A1172" s="8"/>
    </row>
    <row r="1173" spans="1:1" x14ac:dyDescent="0.2">
      <c r="A1173" s="8"/>
    </row>
    <row r="1174" spans="1:1" x14ac:dyDescent="0.2">
      <c r="A1174" s="8"/>
    </row>
    <row r="1175" spans="1:1" x14ac:dyDescent="0.2">
      <c r="A1175" s="8"/>
    </row>
    <row r="1176" spans="1:1" x14ac:dyDescent="0.2">
      <c r="A1176" s="8"/>
    </row>
  </sheetData>
  <pageMargins left="0.25" right="0.25" top="0.5" bottom="0.5" header="0.25" footer="0.25"/>
  <pageSetup paperSize="5" scale="9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7</xdr:col>
                    <xdr:colOff>180975</xdr:colOff>
                    <xdr:row>7</xdr:row>
                    <xdr:rowOff>142875</xdr:rowOff>
                  </from>
                  <to>
                    <xdr:col>8</xdr:col>
                    <xdr:colOff>314325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8</xdr:col>
                    <xdr:colOff>447675</xdr:colOff>
                    <xdr:row>7</xdr:row>
                    <xdr:rowOff>142875</xdr:rowOff>
                  </from>
                  <to>
                    <xdr:col>9</xdr:col>
                    <xdr:colOff>581025</xdr:colOff>
                    <xdr:row>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S1158"/>
  <sheetViews>
    <sheetView zoomScale="70" zoomScaleNormal="70" workbookViewId="0">
      <pane xSplit="1" ySplit="13" topLeftCell="B14" activePane="bottomRight" state="frozen"/>
      <selection activeCell="A4" sqref="A4:XFD6"/>
      <selection pane="topRight" activeCell="A4" sqref="A4:XFD6"/>
      <selection pane="bottomLeft" activeCell="A4" sqref="A4:XFD6"/>
      <selection pane="bottomRight" activeCell="B14" sqref="B14"/>
    </sheetView>
  </sheetViews>
  <sheetFormatPr defaultColWidth="7.109375" defaultRowHeight="12.75" x14ac:dyDescent="0.2"/>
  <cols>
    <col min="1" max="1" width="14.5546875" style="8" customWidth="1"/>
    <col min="2" max="2" width="19" style="8" customWidth="1"/>
    <col min="3" max="3" width="16.109375" style="8" customWidth="1"/>
    <col min="4" max="4" width="20.21875" style="8" customWidth="1"/>
    <col min="5" max="5" width="20.6640625" style="8" customWidth="1"/>
    <col min="6" max="6" width="16.109375" style="8" customWidth="1"/>
    <col min="7" max="9" width="20" style="8" customWidth="1"/>
    <col min="10" max="10" width="16.109375" style="8" customWidth="1"/>
    <col min="11" max="13" width="19.109375" style="8" customWidth="1"/>
    <col min="14" max="14" width="16.109375" style="8" customWidth="1"/>
    <col min="15" max="15" width="19.77734375" style="8" customWidth="1"/>
    <col min="16" max="16" width="16.109375" style="8" customWidth="1"/>
    <col min="17" max="19" width="17.6640625" style="8" customWidth="1"/>
    <col min="20" max="16384" width="7.109375" style="8"/>
  </cols>
  <sheetData>
    <row r="1" spans="1:19" ht="15.75" x14ac:dyDescent="0.25">
      <c r="A1" s="108" t="s">
        <v>91</v>
      </c>
    </row>
    <row r="2" spans="1:19" ht="15.75" x14ac:dyDescent="0.25">
      <c r="A2" s="108" t="s">
        <v>92</v>
      </c>
    </row>
    <row r="3" spans="1:19" ht="15.75" x14ac:dyDescent="0.25">
      <c r="A3" s="108" t="s">
        <v>93</v>
      </c>
    </row>
    <row r="4" spans="1:19" ht="15.75" x14ac:dyDescent="0.25">
      <c r="A4" s="108" t="s">
        <v>94</v>
      </c>
    </row>
    <row r="5" spans="1:19" ht="15.75" x14ac:dyDescent="0.25">
      <c r="A5" s="108" t="s">
        <v>96</v>
      </c>
    </row>
    <row r="6" spans="1:19" ht="15.75" x14ac:dyDescent="0.25">
      <c r="A6" s="108" t="s">
        <v>99</v>
      </c>
    </row>
    <row r="7" spans="1:19" ht="20.25" x14ac:dyDescent="0.3">
      <c r="A7" s="49"/>
    </row>
    <row r="8" spans="1:19" ht="18" x14ac:dyDescent="0.25">
      <c r="A8" s="48" t="s">
        <v>28</v>
      </c>
      <c r="B8" s="48"/>
      <c r="H8" s="45" t="s">
        <v>47</v>
      </c>
    </row>
    <row r="9" spans="1:19" ht="18" x14ac:dyDescent="0.25">
      <c r="A9" s="48"/>
      <c r="B9" s="47" t="s">
        <v>27</v>
      </c>
      <c r="C9" s="46">
        <f>1-0.154</f>
        <v>0.84599999999999997</v>
      </c>
      <c r="D9" s="47" t="s">
        <v>26</v>
      </c>
      <c r="E9" s="46">
        <f>1+0.154</f>
        <v>1.1539999999999999</v>
      </c>
      <c r="H9" s="45"/>
      <c r="P9" s="113"/>
      <c r="Q9" s="113"/>
      <c r="R9" s="113"/>
      <c r="S9" s="113"/>
    </row>
    <row r="10" spans="1:19" ht="15.75" x14ac:dyDescent="0.25">
      <c r="B10" s="112" t="s">
        <v>46</v>
      </c>
      <c r="C10" s="112"/>
      <c r="D10" s="112"/>
      <c r="E10" s="114" t="s">
        <v>45</v>
      </c>
      <c r="F10" s="114"/>
      <c r="G10" s="115"/>
      <c r="H10" s="116" t="s">
        <v>44</v>
      </c>
      <c r="I10" s="116"/>
      <c r="J10" s="116"/>
      <c r="K10" s="116"/>
      <c r="L10" s="115" t="s">
        <v>43</v>
      </c>
      <c r="M10" s="115"/>
      <c r="N10" s="115"/>
      <c r="O10" s="115"/>
      <c r="P10" s="113"/>
      <c r="Q10" s="113"/>
      <c r="R10" s="113"/>
      <c r="S10" s="113"/>
    </row>
    <row r="11" spans="1:19" ht="63" x14ac:dyDescent="0.25">
      <c r="B11" s="44" t="s">
        <v>42</v>
      </c>
      <c r="C11" s="43" t="s">
        <v>40</v>
      </c>
      <c r="D11" s="42" t="s">
        <v>39</v>
      </c>
      <c r="E11" s="44" t="s">
        <v>42</v>
      </c>
      <c r="F11" s="43" t="s">
        <v>40</v>
      </c>
      <c r="G11" s="42" t="s">
        <v>39</v>
      </c>
      <c r="H11" s="44" t="s">
        <v>42</v>
      </c>
      <c r="I11" s="44" t="s">
        <v>41</v>
      </c>
      <c r="J11" s="43" t="s">
        <v>40</v>
      </c>
      <c r="K11" s="42" t="s">
        <v>39</v>
      </c>
      <c r="L11" s="44" t="s">
        <v>42</v>
      </c>
      <c r="M11" s="44" t="s">
        <v>41</v>
      </c>
      <c r="N11" s="43" t="s">
        <v>40</v>
      </c>
      <c r="O11" s="42" t="s">
        <v>39</v>
      </c>
      <c r="P11" s="41"/>
      <c r="Q11" s="37"/>
      <c r="R11" s="37"/>
      <c r="S11" s="37"/>
    </row>
    <row r="12" spans="1:19" ht="13.5" customHeight="1" x14ac:dyDescent="0.25">
      <c r="B12" s="40"/>
      <c r="C12" s="39"/>
      <c r="D12" s="38"/>
      <c r="E12" s="40"/>
      <c r="F12" s="39"/>
      <c r="G12" s="38"/>
      <c r="H12" s="40"/>
      <c r="I12" s="40"/>
      <c r="J12" s="39"/>
      <c r="K12" s="38"/>
      <c r="L12" s="40"/>
      <c r="M12" s="40"/>
      <c r="N12" s="39"/>
      <c r="O12" s="38"/>
      <c r="P12" s="37"/>
      <c r="Q12" s="36"/>
      <c r="R12" s="36"/>
      <c r="S12" s="36"/>
    </row>
    <row r="13" spans="1:19" ht="20.25" x14ac:dyDescent="0.55000000000000004">
      <c r="A13" s="35" t="s">
        <v>15</v>
      </c>
      <c r="B13" s="34" t="s">
        <v>14</v>
      </c>
      <c r="C13" s="34" t="s">
        <v>14</v>
      </c>
      <c r="D13" s="34" t="s">
        <v>14</v>
      </c>
      <c r="E13" s="34" t="s">
        <v>14</v>
      </c>
      <c r="F13" s="34" t="s">
        <v>14</v>
      </c>
      <c r="G13" s="34" t="s">
        <v>14</v>
      </c>
      <c r="H13" s="34" t="s">
        <v>14</v>
      </c>
      <c r="I13" s="34" t="s">
        <v>14</v>
      </c>
      <c r="J13" s="34" t="s">
        <v>14</v>
      </c>
      <c r="K13" s="34" t="s">
        <v>14</v>
      </c>
      <c r="L13" s="34" t="s">
        <v>14</v>
      </c>
      <c r="M13" s="34" t="s">
        <v>14</v>
      </c>
      <c r="N13" s="34" t="s">
        <v>14</v>
      </c>
      <c r="O13" s="34" t="s">
        <v>14</v>
      </c>
      <c r="P13" s="34"/>
      <c r="Q13" s="34"/>
      <c r="R13" s="34"/>
      <c r="S13" s="34"/>
    </row>
    <row r="14" spans="1:19" ht="15" x14ac:dyDescent="0.2">
      <c r="A14" s="16">
        <v>41275</v>
      </c>
      <c r="B14" s="32">
        <f>2.2699 * CHOOSE(CONTROL!$C$32, $C$9, 100%, $E$9)</f>
        <v>2.2698999999999998</v>
      </c>
      <c r="C14" s="32">
        <f>2.2008 * CHOOSE(CONTROL!$C$32, $C$9, 100%, $E$9)</f>
        <v>2.2008000000000001</v>
      </c>
      <c r="D14" s="32">
        <f>2.2397 * CHOOSE(CONTROL!$C$32, $C$9, 100%, $E$9)</f>
        <v>2.2397</v>
      </c>
      <c r="E14" s="33">
        <f>3.5217 * CHOOSE(CONTROL!$C$32, $C$9, 100%, $E$9)</f>
        <v>3.5217000000000001</v>
      </c>
      <c r="F14" s="33">
        <f>3.0912 * CHOOSE(CONTROL!$C$32, $C$9, 100%, $E$9)</f>
        <v>3.0912000000000002</v>
      </c>
      <c r="G14" s="33">
        <f>3.1041 * CHOOSE(CONTROL!$C$32, $C$9, 100%, $E$9)</f>
        <v>3.1040999999999999</v>
      </c>
      <c r="H14" s="33">
        <f>5.79 * CHOOSE(CONTROL!$C$32, $C$9, 100%, $E$9)</f>
        <v>5.79</v>
      </c>
      <c r="I14" s="33">
        <f>5.8029 * CHOOSE(CONTROL!$C$32, $C$9, 100%, $E$9)</f>
        <v>5.8029000000000002</v>
      </c>
      <c r="J14" s="33">
        <f>5.79 * CHOOSE(CONTROL!$C$32, $C$9, 100%, $E$9)</f>
        <v>5.79</v>
      </c>
      <c r="K14" s="33">
        <f>5.8029 * CHOOSE(CONTROL!$C$32, $C$9, 100%, $E$9)</f>
        <v>5.8029000000000002</v>
      </c>
      <c r="L14" s="33">
        <f>3.5217 * CHOOSE(CONTROL!$C$32, $C$9, 100%, $E$9)</f>
        <v>3.5217000000000001</v>
      </c>
      <c r="M14" s="33">
        <f>3.5347 * CHOOSE(CONTROL!$C$32, $C$9, 100%, $E$9)</f>
        <v>3.5347</v>
      </c>
      <c r="N14" s="33">
        <f>3.5217 * CHOOSE(CONTROL!$C$32, $C$9, 100%, $E$9)</f>
        <v>3.5217000000000001</v>
      </c>
      <c r="O14" s="33">
        <f>3.5347 * CHOOSE(CONTROL!$C$32, $C$9, 100%, $E$9)</f>
        <v>3.5347</v>
      </c>
      <c r="P14" s="10"/>
      <c r="Q14" s="33"/>
      <c r="R14" s="33"/>
    </row>
    <row r="15" spans="1:19" ht="15" x14ac:dyDescent="0.2">
      <c r="A15" s="16">
        <v>41306</v>
      </c>
      <c r="B15" s="32">
        <f>2.2758 * CHOOSE(CONTROL!$C$32, $C$9, 100%, $E$9)</f>
        <v>2.2757999999999998</v>
      </c>
      <c r="C15" s="32">
        <f>2.2117 * CHOOSE(CONTROL!$C$32, $C$9, 100%, $E$9)</f>
        <v>2.2117</v>
      </c>
      <c r="D15" s="32">
        <f>2.2506 * CHOOSE(CONTROL!$C$32, $C$9, 100%, $E$9)</f>
        <v>2.2505999999999999</v>
      </c>
      <c r="E15" s="33">
        <f>3.4548 * CHOOSE(CONTROL!$C$32, $C$9, 100%, $E$9)</f>
        <v>3.4548000000000001</v>
      </c>
      <c r="F15" s="33">
        <f>3.0912 * CHOOSE(CONTROL!$C$32, $C$9, 100%, $E$9)</f>
        <v>3.0912000000000002</v>
      </c>
      <c r="G15" s="33">
        <f>3.1041 * CHOOSE(CONTROL!$C$32, $C$9, 100%, $E$9)</f>
        <v>3.1040999999999999</v>
      </c>
      <c r="H15" s="33">
        <f>5.79 * CHOOSE(CONTROL!$C$32, $C$9, 100%, $E$9)</f>
        <v>5.79</v>
      </c>
      <c r="I15" s="33">
        <f>5.8029 * CHOOSE(CONTROL!$C$32, $C$9, 100%, $E$9)</f>
        <v>5.8029000000000002</v>
      </c>
      <c r="J15" s="33">
        <f>5.79 * CHOOSE(CONTROL!$C$32, $C$9, 100%, $E$9)</f>
        <v>5.79</v>
      </c>
      <c r="K15" s="33">
        <f>5.8029 * CHOOSE(CONTROL!$C$32, $C$9, 100%, $E$9)</f>
        <v>5.8029000000000002</v>
      </c>
      <c r="L15" s="33">
        <f>3.4548 * CHOOSE(CONTROL!$C$32, $C$9, 100%, $E$9)</f>
        <v>3.4548000000000001</v>
      </c>
      <c r="M15" s="33">
        <f>3.4678 * CHOOSE(CONTROL!$C$32, $C$9, 100%, $E$9)</f>
        <v>3.4678</v>
      </c>
      <c r="N15" s="33">
        <f>3.4548 * CHOOSE(CONTROL!$C$32, $C$9, 100%, $E$9)</f>
        <v>3.4548000000000001</v>
      </c>
      <c r="O15" s="33">
        <f>3.4678 * CHOOSE(CONTROL!$C$32, $C$9, 100%, $E$9)</f>
        <v>3.4678</v>
      </c>
      <c r="P15" s="10"/>
      <c r="Q15" s="33"/>
      <c r="R15" s="33"/>
    </row>
    <row r="16" spans="1:19" ht="15" x14ac:dyDescent="0.2">
      <c r="A16" s="16">
        <v>41334</v>
      </c>
      <c r="B16" s="32">
        <f>2.2895 * CHOOSE(CONTROL!$C$32, $C$9, 100%, $E$9)</f>
        <v>2.2894999999999999</v>
      </c>
      <c r="C16" s="32">
        <f>2.2178 * CHOOSE(CONTROL!$C$32, $C$9, 100%, $E$9)</f>
        <v>2.2178</v>
      </c>
      <c r="D16" s="32">
        <f>2.2567 * CHOOSE(CONTROL!$C$32, $C$9, 100%, $E$9)</f>
        <v>2.2566999999999999</v>
      </c>
      <c r="E16" s="33">
        <f>3.4548 * CHOOSE(CONTROL!$C$32, $C$9, 100%, $E$9)</f>
        <v>3.4548000000000001</v>
      </c>
      <c r="F16" s="33">
        <f>3.0866 * CHOOSE(CONTROL!$C$32, $C$9, 100%, $E$9)</f>
        <v>3.0865999999999998</v>
      </c>
      <c r="G16" s="33">
        <f>3.0996 * CHOOSE(CONTROL!$C$32, $C$9, 100%, $E$9)</f>
        <v>3.0996000000000001</v>
      </c>
      <c r="H16" s="33">
        <f>5.79 * CHOOSE(CONTROL!$C$32, $C$9, 100%, $E$9)</f>
        <v>5.79</v>
      </c>
      <c r="I16" s="33">
        <f>5.8029 * CHOOSE(CONTROL!$C$32, $C$9, 100%, $E$9)</f>
        <v>5.8029000000000002</v>
      </c>
      <c r="J16" s="33">
        <f>5.79 * CHOOSE(CONTROL!$C$32, $C$9, 100%, $E$9)</f>
        <v>5.79</v>
      </c>
      <c r="K16" s="33">
        <f>5.8029 * CHOOSE(CONTROL!$C$32, $C$9, 100%, $E$9)</f>
        <v>5.8029000000000002</v>
      </c>
      <c r="L16" s="33">
        <f>3.4548 * CHOOSE(CONTROL!$C$32, $C$9, 100%, $E$9)</f>
        <v>3.4548000000000001</v>
      </c>
      <c r="M16" s="33">
        <f>3.4678 * CHOOSE(CONTROL!$C$32, $C$9, 100%, $E$9)</f>
        <v>3.4678</v>
      </c>
      <c r="N16" s="33">
        <f>3.4548 * CHOOSE(CONTROL!$C$32, $C$9, 100%, $E$9)</f>
        <v>3.4548000000000001</v>
      </c>
      <c r="O16" s="33">
        <f>3.4678 * CHOOSE(CONTROL!$C$32, $C$9, 100%, $E$9)</f>
        <v>3.4678</v>
      </c>
      <c r="P16" s="10"/>
      <c r="Q16" s="33"/>
      <c r="R16" s="33"/>
    </row>
    <row r="17" spans="1:18" ht="15" x14ac:dyDescent="0.2">
      <c r="A17" s="16">
        <v>41365</v>
      </c>
      <c r="B17" s="32">
        <f>2.2879 * CHOOSE(CONTROL!$C$32, $C$9, 100%, $E$9)</f>
        <v>2.2879</v>
      </c>
      <c r="C17" s="32">
        <f>2.1959 * CHOOSE(CONTROL!$C$32, $C$9, 100%, $E$9)</f>
        <v>2.1959</v>
      </c>
      <c r="D17" s="32">
        <f>2.2348 * CHOOSE(CONTROL!$C$32, $C$9, 100%, $E$9)</f>
        <v>2.2347999999999999</v>
      </c>
      <c r="E17" s="33">
        <f>3.4508 * CHOOSE(CONTROL!$C$32, $C$9, 100%, $E$9)</f>
        <v>3.4508000000000001</v>
      </c>
      <c r="F17" s="33">
        <f>3.0772 * CHOOSE(CONTROL!$C$32, $C$9, 100%, $E$9)</f>
        <v>3.0771999999999999</v>
      </c>
      <c r="G17" s="33">
        <f>3.0901 * CHOOSE(CONTROL!$C$32, $C$9, 100%, $E$9)</f>
        <v>3.0901000000000001</v>
      </c>
      <c r="H17" s="33">
        <f>5.829 * CHOOSE(CONTROL!$C$32, $C$9, 100%, $E$9)</f>
        <v>5.8289999999999997</v>
      </c>
      <c r="I17" s="33">
        <f>5.8419 * CHOOSE(CONTROL!$C$32, $C$9, 100%, $E$9)</f>
        <v>5.8418999999999999</v>
      </c>
      <c r="J17" s="33">
        <f>5.829 * CHOOSE(CONTROL!$C$32, $C$9, 100%, $E$9)</f>
        <v>5.8289999999999997</v>
      </c>
      <c r="K17" s="33">
        <f>5.8419 * CHOOSE(CONTROL!$C$32, $C$9, 100%, $E$9)</f>
        <v>5.8418999999999999</v>
      </c>
      <c r="L17" s="33">
        <f>3.4508 * CHOOSE(CONTROL!$C$32, $C$9, 100%, $E$9)</f>
        <v>3.4508000000000001</v>
      </c>
      <c r="M17" s="33">
        <f>3.4638 * CHOOSE(CONTROL!$C$32, $C$9, 100%, $E$9)</f>
        <v>3.4638</v>
      </c>
      <c r="N17" s="33">
        <f>3.4508 * CHOOSE(CONTROL!$C$32, $C$9, 100%, $E$9)</f>
        <v>3.4508000000000001</v>
      </c>
      <c r="O17" s="33">
        <f>3.4638 * CHOOSE(CONTROL!$C$32, $C$9, 100%, $E$9)</f>
        <v>3.4638</v>
      </c>
      <c r="P17" s="10"/>
      <c r="Q17" s="33"/>
      <c r="R17" s="33"/>
    </row>
    <row r="18" spans="1:18" ht="15" x14ac:dyDescent="0.2">
      <c r="A18" s="16">
        <v>41395</v>
      </c>
      <c r="B18" s="32">
        <f>2.2947 * CHOOSE(CONTROL!$C$32, $C$9, 100%, $E$9)</f>
        <v>2.2947000000000002</v>
      </c>
      <c r="C18" s="32">
        <f>2.19 * CHOOSE(CONTROL!$C$32, $C$9, 100%, $E$9)</f>
        <v>2.19</v>
      </c>
      <c r="D18" s="32">
        <f>2.2475 * CHOOSE(CONTROL!$C$32, $C$9, 100%, $E$9)</f>
        <v>2.2475000000000001</v>
      </c>
      <c r="E18" s="33">
        <f>3.4702 * CHOOSE(CONTROL!$C$32, $C$9, 100%, $E$9)</f>
        <v>3.4702000000000002</v>
      </c>
      <c r="F18" s="33">
        <f>3.084 * CHOOSE(CONTROL!$C$32, $C$9, 100%, $E$9)</f>
        <v>3.0840000000000001</v>
      </c>
      <c r="G18" s="33">
        <f>3.1031 * CHOOSE(CONTROL!$C$32, $C$9, 100%, $E$9)</f>
        <v>3.1031</v>
      </c>
      <c r="H18" s="33">
        <f>5.829 * CHOOSE(CONTROL!$C$32, $C$9, 100%, $E$9)</f>
        <v>5.8289999999999997</v>
      </c>
      <c r="I18" s="33">
        <f>5.8481 * CHOOSE(CONTROL!$C$32, $C$9, 100%, $E$9)</f>
        <v>5.8480999999999996</v>
      </c>
      <c r="J18" s="33">
        <f>5.829 * CHOOSE(CONTROL!$C$32, $C$9, 100%, $E$9)</f>
        <v>5.8289999999999997</v>
      </c>
      <c r="K18" s="33">
        <f>5.8481 * CHOOSE(CONTROL!$C$32, $C$9, 100%, $E$9)</f>
        <v>5.8480999999999996</v>
      </c>
      <c r="L18" s="33">
        <f>3.4702 * CHOOSE(CONTROL!$C$32, $C$9, 100%, $E$9)</f>
        <v>3.4702000000000002</v>
      </c>
      <c r="M18" s="33">
        <f>3.4892 * CHOOSE(CONTROL!$C$32, $C$9, 100%, $E$9)</f>
        <v>3.4891999999999999</v>
      </c>
      <c r="N18" s="33">
        <f>3.4702 * CHOOSE(CONTROL!$C$32, $C$9, 100%, $E$9)</f>
        <v>3.4702000000000002</v>
      </c>
      <c r="O18" s="33">
        <f>3.4892 * CHOOSE(CONTROL!$C$32, $C$9, 100%, $E$9)</f>
        <v>3.4891999999999999</v>
      </c>
      <c r="P18" s="10"/>
      <c r="Q18" s="33"/>
      <c r="R18" s="33"/>
    </row>
    <row r="19" spans="1:18" ht="15" x14ac:dyDescent="0.2">
      <c r="A19" s="16">
        <v>41426</v>
      </c>
      <c r="B19" s="32">
        <f>2.296 * CHOOSE(CONTROL!$C$32, $C$9, 100%, $E$9)</f>
        <v>2.2959999999999998</v>
      </c>
      <c r="C19" s="32">
        <f>2.1989 * CHOOSE(CONTROL!$C$32, $C$9, 100%, $E$9)</f>
        <v>2.1989000000000001</v>
      </c>
      <c r="D19" s="32">
        <f>2.2564 * CHOOSE(CONTROL!$C$32, $C$9, 100%, $E$9)</f>
        <v>2.2564000000000002</v>
      </c>
      <c r="E19" s="33">
        <f>3.4782 * CHOOSE(CONTROL!$C$32, $C$9, 100%, $E$9)</f>
        <v>3.4782000000000002</v>
      </c>
      <c r="F19" s="33">
        <f>3.109 * CHOOSE(CONTROL!$C$32, $C$9, 100%, $E$9)</f>
        <v>3.109</v>
      </c>
      <c r="G19" s="33">
        <f>3.1281 * CHOOSE(CONTROL!$C$32, $C$9, 100%, $E$9)</f>
        <v>3.1280999999999999</v>
      </c>
      <c r="H19" s="33">
        <f>5.829 * CHOOSE(CONTROL!$C$32, $C$9, 100%, $E$9)</f>
        <v>5.8289999999999997</v>
      </c>
      <c r="I19" s="33">
        <f>5.8481 * CHOOSE(CONTROL!$C$32, $C$9, 100%, $E$9)</f>
        <v>5.8480999999999996</v>
      </c>
      <c r="J19" s="33">
        <f>5.829 * CHOOSE(CONTROL!$C$32, $C$9, 100%, $E$9)</f>
        <v>5.8289999999999997</v>
      </c>
      <c r="K19" s="33">
        <f>5.8481 * CHOOSE(CONTROL!$C$32, $C$9, 100%, $E$9)</f>
        <v>5.8480999999999996</v>
      </c>
      <c r="L19" s="33">
        <f>3.4782 * CHOOSE(CONTROL!$C$32, $C$9, 100%, $E$9)</f>
        <v>3.4782000000000002</v>
      </c>
      <c r="M19" s="33">
        <f>3.4973 * CHOOSE(CONTROL!$C$32, $C$9, 100%, $E$9)</f>
        <v>3.4973000000000001</v>
      </c>
      <c r="N19" s="33">
        <f>3.4782 * CHOOSE(CONTROL!$C$32, $C$9, 100%, $E$9)</f>
        <v>3.4782000000000002</v>
      </c>
      <c r="O19" s="33">
        <f>3.4973 * CHOOSE(CONTROL!$C$32, $C$9, 100%, $E$9)</f>
        <v>3.4973000000000001</v>
      </c>
      <c r="P19" s="10"/>
      <c r="Q19" s="33"/>
      <c r="R19" s="33"/>
    </row>
    <row r="20" spans="1:18" ht="15" x14ac:dyDescent="0.2">
      <c r="A20" s="16">
        <v>41456</v>
      </c>
      <c r="B20" s="32">
        <f>2.3 * CHOOSE(CONTROL!$C$32, $C$9, 100%, $E$9)</f>
        <v>2.2999999999999998</v>
      </c>
      <c r="C20" s="32">
        <f>2.2233 * CHOOSE(CONTROL!$C$32, $C$9, 100%, $E$9)</f>
        <v>2.2233000000000001</v>
      </c>
      <c r="D20" s="32">
        <f>2.2808 * CHOOSE(CONTROL!$C$32, $C$9, 100%, $E$9)</f>
        <v>2.2808000000000002</v>
      </c>
      <c r="E20" s="33">
        <f>3.4973 * CHOOSE(CONTROL!$C$32, $C$9, 100%, $E$9)</f>
        <v>3.4973000000000001</v>
      </c>
      <c r="F20" s="33">
        <f>3.1418 * CHOOSE(CONTROL!$C$32, $C$9, 100%, $E$9)</f>
        <v>3.1417999999999999</v>
      </c>
      <c r="G20" s="33">
        <f>3.1609 * CHOOSE(CONTROL!$C$32, $C$9, 100%, $E$9)</f>
        <v>3.1608999999999998</v>
      </c>
      <c r="H20" s="33">
        <f>5.638 * CHOOSE(CONTROL!$C$32, $C$9, 100%, $E$9)</f>
        <v>5.6379999999999999</v>
      </c>
      <c r="I20" s="33">
        <f>5.6571 * CHOOSE(CONTROL!$C$32, $C$9, 100%, $E$9)</f>
        <v>5.6570999999999998</v>
      </c>
      <c r="J20" s="33">
        <f>5.638 * CHOOSE(CONTROL!$C$32, $C$9, 100%, $E$9)</f>
        <v>5.6379999999999999</v>
      </c>
      <c r="K20" s="33">
        <f>5.6571 * CHOOSE(CONTROL!$C$32, $C$9, 100%, $E$9)</f>
        <v>5.6570999999999998</v>
      </c>
      <c r="L20" s="33">
        <f>3.4973 * CHOOSE(CONTROL!$C$32, $C$9, 100%, $E$9)</f>
        <v>3.4973000000000001</v>
      </c>
      <c r="M20" s="33">
        <f>3.5163 * CHOOSE(CONTROL!$C$32, $C$9, 100%, $E$9)</f>
        <v>3.5163000000000002</v>
      </c>
      <c r="N20" s="33">
        <f>3.4973 * CHOOSE(CONTROL!$C$32, $C$9, 100%, $E$9)</f>
        <v>3.4973000000000001</v>
      </c>
      <c r="O20" s="33">
        <f>3.5163 * CHOOSE(CONTROL!$C$32, $C$9, 100%, $E$9)</f>
        <v>3.5163000000000002</v>
      </c>
      <c r="P20" s="10"/>
      <c r="Q20" s="33"/>
      <c r="R20" s="33"/>
    </row>
    <row r="21" spans="1:18" ht="15" x14ac:dyDescent="0.2">
      <c r="A21" s="16">
        <v>41487</v>
      </c>
      <c r="B21" s="32">
        <f>2.3085 * CHOOSE(CONTROL!$C$32, $C$9, 100%, $E$9)</f>
        <v>2.3085</v>
      </c>
      <c r="C21" s="32">
        <f>2.2521 * CHOOSE(CONTROL!$C$32, $C$9, 100%, $E$9)</f>
        <v>2.2521</v>
      </c>
      <c r="D21" s="32">
        <f>2.3096 * CHOOSE(CONTROL!$C$32, $C$9, 100%, $E$9)</f>
        <v>2.3096000000000001</v>
      </c>
      <c r="E21" s="33">
        <f>3.499 * CHOOSE(CONTROL!$C$32, $C$9, 100%, $E$9)</f>
        <v>3.4990000000000001</v>
      </c>
      <c r="F21" s="33">
        <f>3.1759 * CHOOSE(CONTROL!$C$32, $C$9, 100%, $E$9)</f>
        <v>3.1758999999999999</v>
      </c>
      <c r="G21" s="33">
        <f>3.195 * CHOOSE(CONTROL!$C$32, $C$9, 100%, $E$9)</f>
        <v>3.1949999999999998</v>
      </c>
      <c r="H21" s="33">
        <f>5.638 * CHOOSE(CONTROL!$C$32, $C$9, 100%, $E$9)</f>
        <v>5.6379999999999999</v>
      </c>
      <c r="I21" s="33">
        <f>5.6571 * CHOOSE(CONTROL!$C$32, $C$9, 100%, $E$9)</f>
        <v>5.6570999999999998</v>
      </c>
      <c r="J21" s="33">
        <f>5.638 * CHOOSE(CONTROL!$C$32, $C$9, 100%, $E$9)</f>
        <v>5.6379999999999999</v>
      </c>
      <c r="K21" s="33">
        <f>5.6571 * CHOOSE(CONTROL!$C$32, $C$9, 100%, $E$9)</f>
        <v>5.6570999999999998</v>
      </c>
      <c r="L21" s="33">
        <f>3.499 * CHOOSE(CONTROL!$C$32, $C$9, 100%, $E$9)</f>
        <v>3.4990000000000001</v>
      </c>
      <c r="M21" s="33">
        <f>3.518 * CHOOSE(CONTROL!$C$32, $C$9, 100%, $E$9)</f>
        <v>3.5179999999999998</v>
      </c>
      <c r="N21" s="33">
        <f>3.499 * CHOOSE(CONTROL!$C$32, $C$9, 100%, $E$9)</f>
        <v>3.4990000000000001</v>
      </c>
      <c r="O21" s="33">
        <f>3.518 * CHOOSE(CONTROL!$C$32, $C$9, 100%, $E$9)</f>
        <v>3.5179999999999998</v>
      </c>
      <c r="P21" s="10"/>
      <c r="Q21" s="33"/>
      <c r="R21" s="33"/>
    </row>
    <row r="22" spans="1:18" ht="15" x14ac:dyDescent="0.2">
      <c r="A22" s="16">
        <v>41518</v>
      </c>
      <c r="B22" s="32">
        <f>2.3073 * CHOOSE(CONTROL!$C$32, $C$9, 100%, $E$9)</f>
        <v>2.3073000000000001</v>
      </c>
      <c r="C22" s="32">
        <f>2.2458 * CHOOSE(CONTROL!$C$32, $C$9, 100%, $E$9)</f>
        <v>2.2458</v>
      </c>
      <c r="D22" s="32">
        <f>2.3033 * CHOOSE(CONTROL!$C$32, $C$9, 100%, $E$9)</f>
        <v>2.3033000000000001</v>
      </c>
      <c r="E22" s="33">
        <f>3.4957 * CHOOSE(CONTROL!$C$32, $C$9, 100%, $E$9)</f>
        <v>3.4956999999999998</v>
      </c>
      <c r="F22" s="33">
        <f>3.1918 * CHOOSE(CONTROL!$C$32, $C$9, 100%, $E$9)</f>
        <v>3.1918000000000002</v>
      </c>
      <c r="G22" s="33">
        <f>3.2109 * CHOOSE(CONTROL!$C$32, $C$9, 100%, $E$9)</f>
        <v>3.2109000000000001</v>
      </c>
      <c r="H22" s="33">
        <f>5.638 * CHOOSE(CONTROL!$C$32, $C$9, 100%, $E$9)</f>
        <v>5.6379999999999999</v>
      </c>
      <c r="I22" s="33">
        <f>5.6571 * CHOOSE(CONTROL!$C$32, $C$9, 100%, $E$9)</f>
        <v>5.6570999999999998</v>
      </c>
      <c r="J22" s="33">
        <f>5.638 * CHOOSE(CONTROL!$C$32, $C$9, 100%, $E$9)</f>
        <v>5.6379999999999999</v>
      </c>
      <c r="K22" s="33">
        <f>5.6571 * CHOOSE(CONTROL!$C$32, $C$9, 100%, $E$9)</f>
        <v>5.6570999999999998</v>
      </c>
      <c r="L22" s="33">
        <f>3.4957 * CHOOSE(CONTROL!$C$32, $C$9, 100%, $E$9)</f>
        <v>3.4956999999999998</v>
      </c>
      <c r="M22" s="33">
        <f>3.5147 * CHOOSE(CONTROL!$C$32, $C$9, 100%, $E$9)</f>
        <v>3.5146999999999999</v>
      </c>
      <c r="N22" s="33">
        <f>3.4957 * CHOOSE(CONTROL!$C$32, $C$9, 100%, $E$9)</f>
        <v>3.4956999999999998</v>
      </c>
      <c r="O22" s="33">
        <f>3.5147 * CHOOSE(CONTROL!$C$32, $C$9, 100%, $E$9)</f>
        <v>3.5146999999999999</v>
      </c>
      <c r="P22" s="10"/>
      <c r="Q22" s="33"/>
      <c r="R22" s="33"/>
    </row>
    <row r="23" spans="1:18" ht="15" x14ac:dyDescent="0.2">
      <c r="A23" s="16">
        <v>41548</v>
      </c>
      <c r="B23" s="32">
        <f>2.3058 * CHOOSE(CONTROL!$C$32, $C$9, 100%, $E$9)</f>
        <v>2.3058000000000001</v>
      </c>
      <c r="C23" s="32">
        <f>2.2367 * CHOOSE(CONTROL!$C$32, $C$9, 100%, $E$9)</f>
        <v>2.2366999999999999</v>
      </c>
      <c r="D23" s="32">
        <f>2.2756 * CHOOSE(CONTROL!$C$32, $C$9, 100%, $E$9)</f>
        <v>2.2755999999999998</v>
      </c>
      <c r="E23" s="33">
        <f>3.5106 * CHOOSE(CONTROL!$C$32, $C$9, 100%, $E$9)</f>
        <v>3.5106000000000002</v>
      </c>
      <c r="F23" s="33">
        <f>3.2177 * CHOOSE(CONTROL!$C$32, $C$9, 100%, $E$9)</f>
        <v>3.2176999999999998</v>
      </c>
      <c r="G23" s="33">
        <f>3.2307 * CHOOSE(CONTROL!$C$32, $C$9, 100%, $E$9)</f>
        <v>3.2307000000000001</v>
      </c>
      <c r="H23" s="33">
        <f>5.805 * CHOOSE(CONTROL!$C$32, $C$9, 100%, $E$9)</f>
        <v>5.8049999999999997</v>
      </c>
      <c r="I23" s="33">
        <f>5.8179 * CHOOSE(CONTROL!$C$32, $C$9, 100%, $E$9)</f>
        <v>5.8178999999999998</v>
      </c>
      <c r="J23" s="33">
        <f>5.805 * CHOOSE(CONTROL!$C$32, $C$9, 100%, $E$9)</f>
        <v>5.8049999999999997</v>
      </c>
      <c r="K23" s="33">
        <f>5.8179 * CHOOSE(CONTROL!$C$32, $C$9, 100%, $E$9)</f>
        <v>5.8178999999999998</v>
      </c>
      <c r="L23" s="33">
        <f>3.5106 * CHOOSE(CONTROL!$C$32, $C$9, 100%, $E$9)</f>
        <v>3.5106000000000002</v>
      </c>
      <c r="M23" s="33">
        <f>3.5235 * CHOOSE(CONTROL!$C$32, $C$9, 100%, $E$9)</f>
        <v>3.5234999999999999</v>
      </c>
      <c r="N23" s="33">
        <f>3.5106 * CHOOSE(CONTROL!$C$32, $C$9, 100%, $E$9)</f>
        <v>3.5106000000000002</v>
      </c>
      <c r="O23" s="33">
        <f>3.5235 * CHOOSE(CONTROL!$C$32, $C$9, 100%, $E$9)</f>
        <v>3.5234999999999999</v>
      </c>
      <c r="P23" s="10"/>
      <c r="Q23" s="33"/>
      <c r="R23" s="33"/>
    </row>
    <row r="24" spans="1:18" ht="15" x14ac:dyDescent="0.2">
      <c r="A24" s="16">
        <v>41579</v>
      </c>
      <c r="B24" s="32">
        <f>2.3113 * CHOOSE(CONTROL!$C$32, $C$9, 100%, $E$9)</f>
        <v>2.3113000000000001</v>
      </c>
      <c r="C24" s="32">
        <f>2.2472 * CHOOSE(CONTROL!$C$32, $C$9, 100%, $E$9)</f>
        <v>2.2471999999999999</v>
      </c>
      <c r="D24" s="32">
        <f>2.2862 * CHOOSE(CONTROL!$C$32, $C$9, 100%, $E$9)</f>
        <v>2.2862</v>
      </c>
      <c r="E24" s="33">
        <f>3.5106 * CHOOSE(CONTROL!$C$32, $C$9, 100%, $E$9)</f>
        <v>3.5106000000000002</v>
      </c>
      <c r="F24" s="33">
        <f>3.245 * CHOOSE(CONTROL!$C$32, $C$9, 100%, $E$9)</f>
        <v>3.2450000000000001</v>
      </c>
      <c r="G24" s="33">
        <f>3.258 * CHOOSE(CONTROL!$C$32, $C$9, 100%, $E$9)</f>
        <v>3.258</v>
      </c>
      <c r="H24" s="33">
        <f>5.805 * CHOOSE(CONTROL!$C$32, $C$9, 100%, $E$9)</f>
        <v>5.8049999999999997</v>
      </c>
      <c r="I24" s="33">
        <f>5.8179 * CHOOSE(CONTROL!$C$32, $C$9, 100%, $E$9)</f>
        <v>5.8178999999999998</v>
      </c>
      <c r="J24" s="33">
        <f>5.805 * CHOOSE(CONTROL!$C$32, $C$9, 100%, $E$9)</f>
        <v>5.8049999999999997</v>
      </c>
      <c r="K24" s="33">
        <f>5.8179 * CHOOSE(CONTROL!$C$32, $C$9, 100%, $E$9)</f>
        <v>5.8178999999999998</v>
      </c>
      <c r="L24" s="33">
        <f>3.5106 * CHOOSE(CONTROL!$C$32, $C$9, 100%, $E$9)</f>
        <v>3.5106000000000002</v>
      </c>
      <c r="M24" s="33">
        <f>3.5235 * CHOOSE(CONTROL!$C$32, $C$9, 100%, $E$9)</f>
        <v>3.5234999999999999</v>
      </c>
      <c r="N24" s="33">
        <f>3.5106 * CHOOSE(CONTROL!$C$32, $C$9, 100%, $E$9)</f>
        <v>3.5106000000000002</v>
      </c>
      <c r="O24" s="33">
        <f>3.5235 * CHOOSE(CONTROL!$C$32, $C$9, 100%, $E$9)</f>
        <v>3.5234999999999999</v>
      </c>
      <c r="P24" s="10"/>
      <c r="Q24" s="33"/>
      <c r="R24" s="33"/>
    </row>
    <row r="25" spans="1:18" ht="15" x14ac:dyDescent="0.2">
      <c r="A25" s="16">
        <v>41609</v>
      </c>
      <c r="B25" s="32">
        <f>2.3131 * CHOOSE(CONTROL!$C$32, $C$9, 100%, $E$9)</f>
        <v>2.3130999999999999</v>
      </c>
      <c r="C25" s="32">
        <f>2.2592 * CHOOSE(CONTROL!$C$32, $C$9, 100%, $E$9)</f>
        <v>2.2591999999999999</v>
      </c>
      <c r="D25" s="32">
        <f>2.2981 * CHOOSE(CONTROL!$C$32, $C$9, 100%, $E$9)</f>
        <v>2.2980999999999998</v>
      </c>
      <c r="E25" s="33">
        <f>3.5079 * CHOOSE(CONTROL!$C$32, $C$9, 100%, $E$9)</f>
        <v>3.5078999999999998</v>
      </c>
      <c r="F25" s="33">
        <f>3.2814 * CHOOSE(CONTROL!$C$32, $C$9, 100%, $E$9)</f>
        <v>3.2814000000000001</v>
      </c>
      <c r="G25" s="33">
        <f>3.2943 * CHOOSE(CONTROL!$C$32, $C$9, 100%, $E$9)</f>
        <v>3.2942999999999998</v>
      </c>
      <c r="H25" s="33">
        <f>5.805 * CHOOSE(CONTROL!$C$32, $C$9, 100%, $E$9)</f>
        <v>5.8049999999999997</v>
      </c>
      <c r="I25" s="33">
        <f>5.8179 * CHOOSE(CONTROL!$C$32, $C$9, 100%, $E$9)</f>
        <v>5.8178999999999998</v>
      </c>
      <c r="J25" s="33">
        <f>5.805 * CHOOSE(CONTROL!$C$32, $C$9, 100%, $E$9)</f>
        <v>5.8049999999999997</v>
      </c>
      <c r="K25" s="33">
        <f>5.8179 * CHOOSE(CONTROL!$C$32, $C$9, 100%, $E$9)</f>
        <v>5.8178999999999998</v>
      </c>
      <c r="L25" s="33">
        <f>3.5079 * CHOOSE(CONTROL!$C$32, $C$9, 100%, $E$9)</f>
        <v>3.5078999999999998</v>
      </c>
      <c r="M25" s="33">
        <f>3.5208 * CHOOSE(CONTROL!$C$32, $C$9, 100%, $E$9)</f>
        <v>3.5207999999999999</v>
      </c>
      <c r="N25" s="33">
        <f>3.5079 * CHOOSE(CONTROL!$C$32, $C$9, 100%, $E$9)</f>
        <v>3.5078999999999998</v>
      </c>
      <c r="O25" s="33">
        <f>3.5208 * CHOOSE(CONTROL!$C$32, $C$9, 100%, $E$9)</f>
        <v>3.5207999999999999</v>
      </c>
      <c r="P25" s="10"/>
      <c r="Q25" s="33"/>
      <c r="R25" s="33"/>
    </row>
    <row r="26" spans="1:18" ht="15" x14ac:dyDescent="0.2">
      <c r="A26" s="16">
        <v>41640</v>
      </c>
      <c r="B26" s="32">
        <v>2.3259726527614299</v>
      </c>
      <c r="C26" s="32">
        <v>2.2881931818181802</v>
      </c>
      <c r="D26" s="32">
        <v>2.3271061818181802</v>
      </c>
      <c r="E26" s="33">
        <v>3.4997846904753001</v>
      </c>
      <c r="F26" s="33">
        <v>3.2737288135593201</v>
      </c>
      <c r="G26" s="33">
        <v>3.2866738135593199</v>
      </c>
      <c r="H26" s="33">
        <v>5.6851303602769301</v>
      </c>
      <c r="I26" s="33">
        <v>5.6980753602769303</v>
      </c>
      <c r="J26" s="33">
        <v>5.6851303602769301</v>
      </c>
      <c r="K26" s="33">
        <v>5.6980753602769303</v>
      </c>
      <c r="L26" s="33">
        <v>3.4997846904753001</v>
      </c>
      <c r="M26" s="33">
        <v>3.5127296904752998</v>
      </c>
      <c r="N26" s="33">
        <v>3.4997846904753001</v>
      </c>
      <c r="O26" s="33">
        <v>3.5127296904752998</v>
      </c>
      <c r="P26" s="10"/>
      <c r="Q26" s="33"/>
      <c r="R26" s="33"/>
    </row>
    <row r="27" spans="1:18" ht="15" x14ac:dyDescent="0.2">
      <c r="A27" s="16">
        <v>41671</v>
      </c>
      <c r="B27" s="32">
        <f>2.338 * CHOOSE(CONTROL!$C$32, $C$9, 100%, $E$9)</f>
        <v>2.3380000000000001</v>
      </c>
      <c r="C27" s="32">
        <f>2.3077 * CHOOSE(CONTROL!$C$32, $C$9, 100%, $E$9)</f>
        <v>2.3077000000000001</v>
      </c>
      <c r="D27" s="32">
        <f>2.3467 * CHOOSE(CONTROL!$C$32, $C$9, 100%, $E$9)</f>
        <v>2.3466999999999998</v>
      </c>
      <c r="E27" s="33">
        <f>3.5012 * CHOOSE(CONTROL!$C$32, $C$9, 100%, $E$9)</f>
        <v>3.5011999999999999</v>
      </c>
      <c r="F27" s="33">
        <f>3.2886 * CHOOSE(CONTROL!$C$32, $C$9, 100%, $E$9)</f>
        <v>3.2886000000000002</v>
      </c>
      <c r="G27" s="33">
        <f>3.3015 * CHOOSE(CONTROL!$C$32, $C$9, 100%, $E$9)</f>
        <v>3.3014999999999999</v>
      </c>
      <c r="H27" s="33">
        <f>5.8292 * CHOOSE(CONTROL!$C$32, $C$9, 100%, $E$9)</f>
        <v>5.8292000000000002</v>
      </c>
      <c r="I27" s="33">
        <f>5.8422 * CHOOSE(CONTROL!$C$32, $C$9, 100%, $E$9)</f>
        <v>5.8422000000000001</v>
      </c>
      <c r="J27" s="33">
        <f>5.8292 * CHOOSE(CONTROL!$C$32, $C$9, 100%, $E$9)</f>
        <v>5.8292000000000002</v>
      </c>
      <c r="K27" s="33">
        <f>5.8422 * CHOOSE(CONTROL!$C$32, $C$9, 100%, $E$9)</f>
        <v>5.8422000000000001</v>
      </c>
      <c r="L27" s="33">
        <f>3.5012 * CHOOSE(CONTROL!$C$32, $C$9, 100%, $E$9)</f>
        <v>3.5011999999999999</v>
      </c>
      <c r="M27" s="33">
        <f>3.5142 * CHOOSE(CONTROL!$C$32, $C$9, 100%, $E$9)</f>
        <v>3.5142000000000002</v>
      </c>
      <c r="N27" s="33">
        <f>3.5012 * CHOOSE(CONTROL!$C$32, $C$9, 100%, $E$9)</f>
        <v>3.5011999999999999</v>
      </c>
      <c r="O27" s="33">
        <f>3.5142 * CHOOSE(CONTROL!$C$32, $C$9, 100%, $E$9)</f>
        <v>3.5142000000000002</v>
      </c>
      <c r="P27" s="10"/>
      <c r="Q27" s="33"/>
      <c r="R27" s="33"/>
    </row>
    <row r="28" spans="1:18" ht="15" x14ac:dyDescent="0.2">
      <c r="A28" s="16">
        <v>41699</v>
      </c>
      <c r="B28" s="32">
        <f>2.3423 * CHOOSE(CONTROL!$C$32, $C$9, 100%, $E$9)</f>
        <v>2.3422999999999998</v>
      </c>
      <c r="C28" s="32">
        <f>2.3166 * CHOOSE(CONTROL!$C$32, $C$9, 100%, $E$9)</f>
        <v>2.3166000000000002</v>
      </c>
      <c r="D28" s="32">
        <f>2.3555 * CHOOSE(CONTROL!$C$32, $C$9, 100%, $E$9)</f>
        <v>2.3555000000000001</v>
      </c>
      <c r="E28" s="33">
        <f>3.4055 * CHOOSE(CONTROL!$C$32, $C$9, 100%, $E$9)</f>
        <v>3.4055</v>
      </c>
      <c r="F28" s="33">
        <f>3.2949 * CHOOSE(CONTROL!$C$32, $C$9, 100%, $E$9)</f>
        <v>3.2949000000000002</v>
      </c>
      <c r="G28" s="33">
        <f>3.3079 * CHOOSE(CONTROL!$C$32, $C$9, 100%, $E$9)</f>
        <v>3.3079000000000001</v>
      </c>
      <c r="H28" s="33">
        <f>5.8414 * CHOOSE(CONTROL!$C$32, $C$9, 100%, $E$9)</f>
        <v>5.8414000000000001</v>
      </c>
      <c r="I28" s="33">
        <f>5.8543 * CHOOSE(CONTROL!$C$32, $C$9, 100%, $E$9)</f>
        <v>5.8543000000000003</v>
      </c>
      <c r="J28" s="33">
        <f>5.8414 * CHOOSE(CONTROL!$C$32, $C$9, 100%, $E$9)</f>
        <v>5.8414000000000001</v>
      </c>
      <c r="K28" s="33">
        <f>5.8543 * CHOOSE(CONTROL!$C$32, $C$9, 100%, $E$9)</f>
        <v>5.8543000000000003</v>
      </c>
      <c r="L28" s="33">
        <f>3.4055 * CHOOSE(CONTROL!$C$32, $C$9, 100%, $E$9)</f>
        <v>3.4055</v>
      </c>
      <c r="M28" s="33">
        <f>3.4184 * CHOOSE(CONTROL!$C$32, $C$9, 100%, $E$9)</f>
        <v>3.4184000000000001</v>
      </c>
      <c r="N28" s="33">
        <f>3.4055 * CHOOSE(CONTROL!$C$32, $C$9, 100%, $E$9)</f>
        <v>3.4055</v>
      </c>
      <c r="O28" s="33">
        <f>3.4184 * CHOOSE(CONTROL!$C$32, $C$9, 100%, $E$9)</f>
        <v>3.4184000000000001</v>
      </c>
      <c r="P28" s="10"/>
      <c r="Q28" s="33"/>
      <c r="R28" s="33"/>
    </row>
    <row r="29" spans="1:18" ht="15" x14ac:dyDescent="0.2">
      <c r="A29" s="16">
        <v>41730</v>
      </c>
      <c r="B29" s="32">
        <f>2.3408 * CHOOSE(CONTROL!$C$32, $C$9, 100%, $E$9)</f>
        <v>2.3408000000000002</v>
      </c>
      <c r="C29" s="32">
        <f>2.3136 * CHOOSE(CONTROL!$C$32, $C$9, 100%, $E$9)</f>
        <v>2.3136000000000001</v>
      </c>
      <c r="D29" s="32">
        <f>2.3525 * CHOOSE(CONTROL!$C$32, $C$9, 100%, $E$9)</f>
        <v>2.3525</v>
      </c>
      <c r="E29" s="33">
        <f>3.4026 * CHOOSE(CONTROL!$C$32, $C$9, 100%, $E$9)</f>
        <v>3.4026000000000001</v>
      </c>
      <c r="F29" s="33">
        <f>3.3055 * CHOOSE(CONTROL!$C$32, $C$9, 100%, $E$9)</f>
        <v>3.3054999999999999</v>
      </c>
      <c r="G29" s="33">
        <f>3.3185 * CHOOSE(CONTROL!$C$32, $C$9, 100%, $E$9)</f>
        <v>3.3184999999999998</v>
      </c>
      <c r="H29" s="33">
        <f>5.8535 * CHOOSE(CONTROL!$C$32, $C$9, 100%, $E$9)</f>
        <v>5.8535000000000004</v>
      </c>
      <c r="I29" s="33">
        <f>5.8665 * CHOOSE(CONTROL!$C$32, $C$9, 100%, $E$9)</f>
        <v>5.8665000000000003</v>
      </c>
      <c r="J29" s="33">
        <f>5.8535 * CHOOSE(CONTROL!$C$32, $C$9, 100%, $E$9)</f>
        <v>5.8535000000000004</v>
      </c>
      <c r="K29" s="33">
        <f>5.8665 * CHOOSE(CONTROL!$C$32, $C$9, 100%, $E$9)</f>
        <v>5.8665000000000003</v>
      </c>
      <c r="L29" s="33">
        <f>3.4026 * CHOOSE(CONTROL!$C$32, $C$9, 100%, $E$9)</f>
        <v>3.4026000000000001</v>
      </c>
      <c r="M29" s="33">
        <f>3.4156 * CHOOSE(CONTROL!$C$32, $C$9, 100%, $E$9)</f>
        <v>3.4156</v>
      </c>
      <c r="N29" s="33">
        <f>3.4026 * CHOOSE(CONTROL!$C$32, $C$9, 100%, $E$9)</f>
        <v>3.4026000000000001</v>
      </c>
      <c r="O29" s="33">
        <f>3.4156 * CHOOSE(CONTROL!$C$32, $C$9, 100%, $E$9)</f>
        <v>3.4156</v>
      </c>
      <c r="P29" s="10"/>
      <c r="Q29" s="33"/>
      <c r="R29" s="33"/>
    </row>
    <row r="30" spans="1:18" ht="15" x14ac:dyDescent="0.2">
      <c r="A30" s="16">
        <v>41760</v>
      </c>
      <c r="B30" s="32">
        <f>2.3438 * CHOOSE(CONTROL!$C$32, $C$9, 100%, $E$9)</f>
        <v>2.3437999999999999</v>
      </c>
      <c r="C30" s="32">
        <f>2.3151 * CHOOSE(CONTROL!$C$32, $C$9, 100%, $E$9)</f>
        <v>2.3151000000000002</v>
      </c>
      <c r="D30" s="32">
        <f>2.3726 * CHOOSE(CONTROL!$C$32, $C$9, 100%, $E$9)</f>
        <v>2.3725999999999998</v>
      </c>
      <c r="E30" s="33">
        <f>3.4085 * CHOOSE(CONTROL!$C$32, $C$9, 100%, $E$9)</f>
        <v>3.4085000000000001</v>
      </c>
      <c r="F30" s="33">
        <f>3.3161 * CHOOSE(CONTROL!$C$32, $C$9, 100%, $E$9)</f>
        <v>3.3161</v>
      </c>
      <c r="G30" s="33">
        <f>3.3352 * CHOOSE(CONTROL!$C$32, $C$9, 100%, $E$9)</f>
        <v>3.3351999999999999</v>
      </c>
      <c r="H30" s="33">
        <f>5.8657 * CHOOSE(CONTROL!$C$32, $C$9, 100%, $E$9)</f>
        <v>5.8657000000000004</v>
      </c>
      <c r="I30" s="33">
        <f>5.8848 * CHOOSE(CONTROL!$C$32, $C$9, 100%, $E$9)</f>
        <v>5.8848000000000003</v>
      </c>
      <c r="J30" s="33">
        <f>5.8657 * CHOOSE(CONTROL!$C$32, $C$9, 100%, $E$9)</f>
        <v>5.8657000000000004</v>
      </c>
      <c r="K30" s="33">
        <f>5.8848 * CHOOSE(CONTROL!$C$32, $C$9, 100%, $E$9)</f>
        <v>5.8848000000000003</v>
      </c>
      <c r="L30" s="33">
        <f>3.4085 * CHOOSE(CONTROL!$C$32, $C$9, 100%, $E$9)</f>
        <v>3.4085000000000001</v>
      </c>
      <c r="M30" s="33">
        <f>3.4276 * CHOOSE(CONTROL!$C$32, $C$9, 100%, $E$9)</f>
        <v>3.4276</v>
      </c>
      <c r="N30" s="33">
        <f>3.4085 * CHOOSE(CONTROL!$C$32, $C$9, 100%, $E$9)</f>
        <v>3.4085000000000001</v>
      </c>
      <c r="O30" s="33">
        <f>3.4276 * CHOOSE(CONTROL!$C$32, $C$9, 100%, $E$9)</f>
        <v>3.4276</v>
      </c>
      <c r="P30" s="10"/>
      <c r="Q30" s="33"/>
      <c r="R30" s="33"/>
    </row>
    <row r="31" spans="1:18" ht="15" x14ac:dyDescent="0.2">
      <c r="A31" s="16">
        <v>41791</v>
      </c>
      <c r="B31" s="32">
        <f>2.3496 * CHOOSE(CONTROL!$C$32, $C$9, 100%, $E$9)</f>
        <v>2.3496000000000001</v>
      </c>
      <c r="C31" s="32">
        <f>2.327 * CHOOSE(CONTROL!$C$32, $C$9, 100%, $E$9)</f>
        <v>2.327</v>
      </c>
      <c r="D31" s="32">
        <f>2.3845 * CHOOSE(CONTROL!$C$32, $C$9, 100%, $E$9)</f>
        <v>2.3845000000000001</v>
      </c>
      <c r="E31" s="33">
        <f>3.4321 * CHOOSE(CONTROL!$C$32, $C$9, 100%, $E$9)</f>
        <v>3.4321000000000002</v>
      </c>
      <c r="F31" s="33">
        <f>3.3585 * CHOOSE(CONTROL!$C$32, $C$9, 100%, $E$9)</f>
        <v>3.3584999999999998</v>
      </c>
      <c r="G31" s="33">
        <f>3.3775 * CHOOSE(CONTROL!$C$32, $C$9, 100%, $E$9)</f>
        <v>3.3774999999999999</v>
      </c>
      <c r="H31" s="33">
        <f>5.8779 * CHOOSE(CONTROL!$C$32, $C$9, 100%, $E$9)</f>
        <v>5.8779000000000003</v>
      </c>
      <c r="I31" s="33">
        <f>5.897 * CHOOSE(CONTROL!$C$32, $C$9, 100%, $E$9)</f>
        <v>5.8970000000000002</v>
      </c>
      <c r="J31" s="33">
        <f>5.8779 * CHOOSE(CONTROL!$C$32, $C$9, 100%, $E$9)</f>
        <v>5.8779000000000003</v>
      </c>
      <c r="K31" s="33">
        <f>5.897 * CHOOSE(CONTROL!$C$32, $C$9, 100%, $E$9)</f>
        <v>5.8970000000000002</v>
      </c>
      <c r="L31" s="33">
        <f>3.4321 * CHOOSE(CONTROL!$C$32, $C$9, 100%, $E$9)</f>
        <v>3.4321000000000002</v>
      </c>
      <c r="M31" s="33">
        <f>3.4511 * CHOOSE(CONTROL!$C$32, $C$9, 100%, $E$9)</f>
        <v>3.4510999999999998</v>
      </c>
      <c r="N31" s="33">
        <f>3.4321 * CHOOSE(CONTROL!$C$32, $C$9, 100%, $E$9)</f>
        <v>3.4321000000000002</v>
      </c>
      <c r="O31" s="33">
        <f>3.4511 * CHOOSE(CONTROL!$C$32, $C$9, 100%, $E$9)</f>
        <v>3.4510999999999998</v>
      </c>
      <c r="P31" s="10"/>
      <c r="Q31" s="33"/>
      <c r="R31" s="33"/>
    </row>
    <row r="32" spans="1:18" ht="15" x14ac:dyDescent="0.2">
      <c r="A32" s="16">
        <v>41821</v>
      </c>
      <c r="B32" s="32">
        <f>2.3649 * CHOOSE(CONTROL!$C$32, $C$9, 100%, $E$9)</f>
        <v>2.3649</v>
      </c>
      <c r="C32" s="32">
        <f>2.3574 * CHOOSE(CONTROL!$C$32, $C$9, 100%, $E$9)</f>
        <v>2.3574000000000002</v>
      </c>
      <c r="D32" s="32">
        <f>2.4149 * CHOOSE(CONTROL!$C$32, $C$9, 100%, $E$9)</f>
        <v>2.4148999999999998</v>
      </c>
      <c r="E32" s="33">
        <f>3.4478 * CHOOSE(CONTROL!$C$32, $C$9, 100%, $E$9)</f>
        <v>3.4478</v>
      </c>
      <c r="F32" s="33">
        <f>3.4008 * CHOOSE(CONTROL!$C$32, $C$9, 100%, $E$9)</f>
        <v>3.4007999999999998</v>
      </c>
      <c r="G32" s="33">
        <f>3.4199 * CHOOSE(CONTROL!$C$32, $C$9, 100%, $E$9)</f>
        <v>3.4199000000000002</v>
      </c>
      <c r="H32" s="33">
        <f>5.8902 * CHOOSE(CONTROL!$C$32, $C$9, 100%, $E$9)</f>
        <v>5.8902000000000001</v>
      </c>
      <c r="I32" s="33">
        <f>5.9092 * CHOOSE(CONTROL!$C$32, $C$9, 100%, $E$9)</f>
        <v>5.9092000000000002</v>
      </c>
      <c r="J32" s="33">
        <f>5.8902 * CHOOSE(CONTROL!$C$32, $C$9, 100%, $E$9)</f>
        <v>5.8902000000000001</v>
      </c>
      <c r="K32" s="33">
        <f>5.9092 * CHOOSE(CONTROL!$C$32, $C$9, 100%, $E$9)</f>
        <v>5.9092000000000002</v>
      </c>
      <c r="L32" s="33">
        <f>3.4478 * CHOOSE(CONTROL!$C$32, $C$9, 100%, $E$9)</f>
        <v>3.4478</v>
      </c>
      <c r="M32" s="33">
        <f>3.4668 * CHOOSE(CONTROL!$C$32, $C$9, 100%, $E$9)</f>
        <v>3.4668000000000001</v>
      </c>
      <c r="N32" s="33">
        <f>3.4478 * CHOOSE(CONTROL!$C$32, $C$9, 100%, $E$9)</f>
        <v>3.4478</v>
      </c>
      <c r="O32" s="33">
        <f>3.4668 * CHOOSE(CONTROL!$C$32, $C$9, 100%, $E$9)</f>
        <v>3.4668000000000001</v>
      </c>
      <c r="P32" s="10"/>
      <c r="Q32" s="33"/>
      <c r="R32" s="33"/>
    </row>
    <row r="33" spans="1:18" ht="15" x14ac:dyDescent="0.2">
      <c r="A33" s="16">
        <v>41852</v>
      </c>
      <c r="B33" s="32">
        <f>2.3848 * CHOOSE(CONTROL!$C$32, $C$9, 100%, $E$9)</f>
        <v>2.3847999999999998</v>
      </c>
      <c r="C33" s="32">
        <f>2.3923 * CHOOSE(CONTROL!$C$32, $C$9, 100%, $E$9)</f>
        <v>2.3923000000000001</v>
      </c>
      <c r="D33" s="32">
        <f>2.4498 * CHOOSE(CONTROL!$C$32, $C$9, 100%, $E$9)</f>
        <v>2.4498000000000002</v>
      </c>
      <c r="E33" s="33">
        <f>3.4793 * CHOOSE(CONTROL!$C$32, $C$9, 100%, $E$9)</f>
        <v>3.4792999999999998</v>
      </c>
      <c r="F33" s="33">
        <f>3.4517 * CHOOSE(CONTROL!$C$32, $C$9, 100%, $E$9)</f>
        <v>3.4517000000000002</v>
      </c>
      <c r="G33" s="33">
        <f>3.4707 * CHOOSE(CONTROL!$C$32, $C$9, 100%, $E$9)</f>
        <v>3.4706999999999999</v>
      </c>
      <c r="H33" s="33">
        <f>5.9025 * CHOOSE(CONTROL!$C$32, $C$9, 100%, $E$9)</f>
        <v>5.9024999999999999</v>
      </c>
      <c r="I33" s="33">
        <f>5.9215 * CHOOSE(CONTROL!$C$32, $C$9, 100%, $E$9)</f>
        <v>5.9215</v>
      </c>
      <c r="J33" s="33">
        <f>5.9025 * CHOOSE(CONTROL!$C$32, $C$9, 100%, $E$9)</f>
        <v>5.9024999999999999</v>
      </c>
      <c r="K33" s="33">
        <f>5.9215 * CHOOSE(CONTROL!$C$32, $C$9, 100%, $E$9)</f>
        <v>5.9215</v>
      </c>
      <c r="L33" s="33">
        <f>3.4793 * CHOOSE(CONTROL!$C$32, $C$9, 100%, $E$9)</f>
        <v>3.4792999999999998</v>
      </c>
      <c r="M33" s="33">
        <f>3.4983 * CHOOSE(CONTROL!$C$32, $C$9, 100%, $E$9)</f>
        <v>3.4983</v>
      </c>
      <c r="N33" s="33">
        <f>3.4793 * CHOOSE(CONTROL!$C$32, $C$9, 100%, $E$9)</f>
        <v>3.4792999999999998</v>
      </c>
      <c r="O33" s="33">
        <f>3.4983 * CHOOSE(CONTROL!$C$32, $C$9, 100%, $E$9)</f>
        <v>3.4983</v>
      </c>
      <c r="P33" s="10"/>
      <c r="Q33" s="33"/>
      <c r="R33" s="33"/>
    </row>
    <row r="34" spans="1:18" ht="15" x14ac:dyDescent="0.2">
      <c r="A34" s="16">
        <v>41883</v>
      </c>
      <c r="B34" s="32">
        <f>2.3937 * CHOOSE(CONTROL!$C$32, $C$9, 100%, $E$9)</f>
        <v>2.3936999999999999</v>
      </c>
      <c r="C34" s="32">
        <f>2.4103 * CHOOSE(CONTROL!$C$32, $C$9, 100%, $E$9)</f>
        <v>2.4102999999999999</v>
      </c>
      <c r="D34" s="32">
        <f>2.4678 * CHOOSE(CONTROL!$C$32, $C$9, 100%, $E$9)</f>
        <v>2.4678</v>
      </c>
      <c r="E34" s="33">
        <f>3.4806 * CHOOSE(CONTROL!$C$32, $C$9, 100%, $E$9)</f>
        <v>3.4805999999999999</v>
      </c>
      <c r="F34" s="33">
        <f>3.4538 * CHOOSE(CONTROL!$C$32, $C$9, 100%, $E$9)</f>
        <v>3.4538000000000002</v>
      </c>
      <c r="G34" s="33">
        <f>3.4729 * CHOOSE(CONTROL!$C$32, $C$9, 100%, $E$9)</f>
        <v>3.4729000000000001</v>
      </c>
      <c r="H34" s="33">
        <f>5.9148 * CHOOSE(CONTROL!$C$32, $C$9, 100%, $E$9)</f>
        <v>5.9147999999999996</v>
      </c>
      <c r="I34" s="33">
        <f>5.9338 * CHOOSE(CONTROL!$C$32, $C$9, 100%, $E$9)</f>
        <v>5.9337999999999997</v>
      </c>
      <c r="J34" s="33">
        <f>5.9148 * CHOOSE(CONTROL!$C$32, $C$9, 100%, $E$9)</f>
        <v>5.9147999999999996</v>
      </c>
      <c r="K34" s="33">
        <f>5.9338 * CHOOSE(CONTROL!$C$32, $C$9, 100%, $E$9)</f>
        <v>5.9337999999999997</v>
      </c>
      <c r="L34" s="33">
        <f>3.4806 * CHOOSE(CONTROL!$C$32, $C$9, 100%, $E$9)</f>
        <v>3.4805999999999999</v>
      </c>
      <c r="M34" s="33">
        <f>3.4996 * CHOOSE(CONTROL!$C$32, $C$9, 100%, $E$9)</f>
        <v>3.4996</v>
      </c>
      <c r="N34" s="33">
        <f>3.4806 * CHOOSE(CONTROL!$C$32, $C$9, 100%, $E$9)</f>
        <v>3.4805999999999999</v>
      </c>
      <c r="O34" s="33">
        <f>3.4996 * CHOOSE(CONTROL!$C$32, $C$9, 100%, $E$9)</f>
        <v>3.4996</v>
      </c>
      <c r="P34" s="10"/>
      <c r="Q34" s="33"/>
      <c r="R34" s="33"/>
    </row>
    <row r="35" spans="1:18" ht="15" x14ac:dyDescent="0.2">
      <c r="A35" s="16">
        <v>41913</v>
      </c>
      <c r="B35" s="32">
        <f>2.3937 * CHOOSE(CONTROL!$C$32, $C$9, 100%, $E$9)</f>
        <v>2.3936999999999999</v>
      </c>
      <c r="C35" s="32">
        <f>2.4103 * CHOOSE(CONTROL!$C$32, $C$9, 100%, $E$9)</f>
        <v>2.4102999999999999</v>
      </c>
      <c r="D35" s="32">
        <f>2.4492 * CHOOSE(CONTROL!$C$32, $C$9, 100%, $E$9)</f>
        <v>2.4491999999999998</v>
      </c>
      <c r="E35" s="33">
        <f>3.4819 * CHOOSE(CONTROL!$C$32, $C$9, 100%, $E$9)</f>
        <v>3.4819</v>
      </c>
      <c r="F35" s="33">
        <f>3.4559 * CHOOSE(CONTROL!$C$32, $C$9, 100%, $E$9)</f>
        <v>3.4559000000000002</v>
      </c>
      <c r="G35" s="33">
        <f>3.4689 * CHOOSE(CONTROL!$C$32, $C$9, 100%, $E$9)</f>
        <v>3.4689000000000001</v>
      </c>
      <c r="H35" s="33">
        <f>5.9271 * CHOOSE(CONTROL!$C$32, $C$9, 100%, $E$9)</f>
        <v>5.9271000000000003</v>
      </c>
      <c r="I35" s="33">
        <f>5.94 * CHOOSE(CONTROL!$C$32, $C$9, 100%, $E$9)</f>
        <v>5.94</v>
      </c>
      <c r="J35" s="33">
        <f>5.9271 * CHOOSE(CONTROL!$C$32, $C$9, 100%, $E$9)</f>
        <v>5.9271000000000003</v>
      </c>
      <c r="K35" s="33">
        <f>5.94 * CHOOSE(CONTROL!$C$32, $C$9, 100%, $E$9)</f>
        <v>5.94</v>
      </c>
      <c r="L35" s="33">
        <f>3.4819 * CHOOSE(CONTROL!$C$32, $C$9, 100%, $E$9)</f>
        <v>3.4819</v>
      </c>
      <c r="M35" s="33">
        <f>3.4948 * CHOOSE(CONTROL!$C$32, $C$9, 100%, $E$9)</f>
        <v>3.4948000000000001</v>
      </c>
      <c r="N35" s="33">
        <f>3.4819 * CHOOSE(CONTROL!$C$32, $C$9, 100%, $E$9)</f>
        <v>3.4819</v>
      </c>
      <c r="O35" s="33">
        <f>3.4948 * CHOOSE(CONTROL!$C$32, $C$9, 100%, $E$9)</f>
        <v>3.4948000000000001</v>
      </c>
      <c r="P35" s="10"/>
      <c r="Q35" s="33"/>
      <c r="R35" s="33"/>
    </row>
    <row r="36" spans="1:18" ht="15" x14ac:dyDescent="0.2">
      <c r="A36" s="16">
        <v>41944</v>
      </c>
      <c r="B36" s="32">
        <f>2.4013 * CHOOSE(CONTROL!$C$32, $C$9, 100%, $E$9)</f>
        <v>2.4013</v>
      </c>
      <c r="C36" s="32">
        <f>2.421 * CHOOSE(CONTROL!$C$32, $C$9, 100%, $E$9)</f>
        <v>2.4209999999999998</v>
      </c>
      <c r="D36" s="32">
        <f>2.4599 * CHOOSE(CONTROL!$C$32, $C$9, 100%, $E$9)</f>
        <v>2.4599000000000002</v>
      </c>
      <c r="E36" s="33">
        <f>3.4897 * CHOOSE(CONTROL!$C$32, $C$9, 100%, $E$9)</f>
        <v>3.4897</v>
      </c>
      <c r="F36" s="33">
        <f>3.4623 * CHOOSE(CONTROL!$C$32, $C$9, 100%, $E$9)</f>
        <v>3.4622999999999999</v>
      </c>
      <c r="G36" s="33">
        <f>3.4752 * CHOOSE(CONTROL!$C$32, $C$9, 100%, $E$9)</f>
        <v>3.4752000000000001</v>
      </c>
      <c r="H36" s="33">
        <f>5.9394 * CHOOSE(CONTROL!$C$32, $C$9, 100%, $E$9)</f>
        <v>5.9394</v>
      </c>
      <c r="I36" s="33">
        <f>5.9524 * CHOOSE(CONTROL!$C$32, $C$9, 100%, $E$9)</f>
        <v>5.9523999999999999</v>
      </c>
      <c r="J36" s="33">
        <f>5.9394 * CHOOSE(CONTROL!$C$32, $C$9, 100%, $E$9)</f>
        <v>5.9394</v>
      </c>
      <c r="K36" s="33">
        <f>5.9524 * CHOOSE(CONTROL!$C$32, $C$9, 100%, $E$9)</f>
        <v>5.9523999999999999</v>
      </c>
      <c r="L36" s="33">
        <f>3.4897 * CHOOSE(CONTROL!$C$32, $C$9, 100%, $E$9)</f>
        <v>3.4897</v>
      </c>
      <c r="M36" s="33">
        <f>3.5027 * CHOOSE(CONTROL!$C$32, $C$9, 100%, $E$9)</f>
        <v>3.5026999999999999</v>
      </c>
      <c r="N36" s="33">
        <f>3.4897 * CHOOSE(CONTROL!$C$32, $C$9, 100%, $E$9)</f>
        <v>3.4897</v>
      </c>
      <c r="O36" s="33">
        <f>3.5027 * CHOOSE(CONTROL!$C$32, $C$9, 100%, $E$9)</f>
        <v>3.5026999999999999</v>
      </c>
      <c r="P36" s="10"/>
      <c r="Q36" s="33"/>
      <c r="R36" s="33"/>
    </row>
    <row r="37" spans="1:18" ht="15" x14ac:dyDescent="0.2">
      <c r="A37" s="16">
        <v>41974</v>
      </c>
      <c r="B37" s="32">
        <f>2.4071 * CHOOSE(CONTROL!$C$32, $C$9, 100%, $E$9)</f>
        <v>2.4070999999999998</v>
      </c>
      <c r="C37" s="32">
        <f>2.4328 * CHOOSE(CONTROL!$C$32, $C$9, 100%, $E$9)</f>
        <v>2.4327999999999999</v>
      </c>
      <c r="D37" s="32">
        <f>2.4717 * CHOOSE(CONTROL!$C$32, $C$9, 100%, $E$9)</f>
        <v>2.4716999999999998</v>
      </c>
      <c r="E37" s="33">
        <f>3.4979 * CHOOSE(CONTROL!$C$32, $C$9, 100%, $E$9)</f>
        <v>3.4979</v>
      </c>
      <c r="F37" s="33">
        <f>3.475 * CHOOSE(CONTROL!$C$32, $C$9, 100%, $E$9)</f>
        <v>3.4750000000000001</v>
      </c>
      <c r="G37" s="33">
        <f>3.4879 * CHOOSE(CONTROL!$C$32, $C$9, 100%, $E$9)</f>
        <v>3.4878999999999998</v>
      </c>
      <c r="H37" s="33">
        <f>5.9518 * CHOOSE(CONTROL!$C$32, $C$9, 100%, $E$9)</f>
        <v>5.9518000000000004</v>
      </c>
      <c r="I37" s="33">
        <f>5.9647 * CHOOSE(CONTROL!$C$32, $C$9, 100%, $E$9)</f>
        <v>5.9646999999999997</v>
      </c>
      <c r="J37" s="33">
        <f>5.9518 * CHOOSE(CONTROL!$C$32, $C$9, 100%, $E$9)</f>
        <v>5.9518000000000004</v>
      </c>
      <c r="K37" s="33">
        <f>5.9647 * CHOOSE(CONTROL!$C$32, $C$9, 100%, $E$9)</f>
        <v>5.9646999999999997</v>
      </c>
      <c r="L37" s="33">
        <f>3.4979 * CHOOSE(CONTROL!$C$32, $C$9, 100%, $E$9)</f>
        <v>3.4979</v>
      </c>
      <c r="M37" s="33">
        <f>3.5108 * CHOOSE(CONTROL!$C$32, $C$9, 100%, $E$9)</f>
        <v>3.5108000000000001</v>
      </c>
      <c r="N37" s="33">
        <f>3.4979 * CHOOSE(CONTROL!$C$32, $C$9, 100%, $E$9)</f>
        <v>3.4979</v>
      </c>
      <c r="O37" s="33">
        <f>3.5108 * CHOOSE(CONTROL!$C$32, $C$9, 100%, $E$9)</f>
        <v>3.5108000000000001</v>
      </c>
      <c r="P37" s="10"/>
      <c r="Q37" s="33"/>
      <c r="R37" s="33"/>
    </row>
    <row r="38" spans="1:18" ht="15" x14ac:dyDescent="0.2">
      <c r="A38" s="16">
        <v>42005</v>
      </c>
      <c r="B38" s="32">
        <f>2.4532 * CHOOSE(CONTROL!$C$32, $C$9, 100%, $E$9)</f>
        <v>2.4531999999999998</v>
      </c>
      <c r="C38" s="32">
        <f>2.4532 * CHOOSE(CONTROL!$C$32, $C$9, 100%, $E$9)</f>
        <v>2.4531999999999998</v>
      </c>
      <c r="D38" s="32">
        <f>2.4542 * CHOOSE(CONTROL!$C$32, $C$9, 100%, $E$9)</f>
        <v>2.4542000000000002</v>
      </c>
      <c r="E38" s="33">
        <f>3.8055 * CHOOSE(CONTROL!$C$32, $C$9, 100%, $E$9)</f>
        <v>3.8054999999999999</v>
      </c>
      <c r="F38" s="33">
        <f>3.5836 * CHOOSE(CONTROL!$C$32, $C$9, 100%, $E$9)</f>
        <v>3.5836000000000001</v>
      </c>
      <c r="G38" s="33">
        <f>3.5872 * CHOOSE(CONTROL!$C$32, $C$9, 100%, $E$9)</f>
        <v>3.5872000000000002</v>
      </c>
      <c r="H38" s="33">
        <f>5.9642 * CHOOSE(CONTROL!$C$32, $C$9, 100%, $E$9)</f>
        <v>5.9641999999999999</v>
      </c>
      <c r="I38" s="33">
        <f>5.9678 * CHOOSE(CONTROL!$C$32, $C$9, 100%, $E$9)</f>
        <v>5.9678000000000004</v>
      </c>
      <c r="J38" s="33">
        <f>5.9642 * CHOOSE(CONTROL!$C$32, $C$9, 100%, $E$9)</f>
        <v>5.9641999999999999</v>
      </c>
      <c r="K38" s="33">
        <f>5.9678 * CHOOSE(CONTROL!$C$32, $C$9, 100%, $E$9)</f>
        <v>5.9678000000000004</v>
      </c>
      <c r="L38" s="33">
        <f>3.8055 * CHOOSE(CONTROL!$C$32, $C$9, 100%, $E$9)</f>
        <v>3.8054999999999999</v>
      </c>
      <c r="M38" s="33">
        <f>3.8091 * CHOOSE(CONTROL!$C$32, $C$9, 100%, $E$9)</f>
        <v>3.8090999999999999</v>
      </c>
      <c r="N38" s="33">
        <f>3.8055 * CHOOSE(CONTROL!$C$32, $C$9, 100%, $E$9)</f>
        <v>3.8054999999999999</v>
      </c>
      <c r="O38" s="33">
        <f>3.8091 * CHOOSE(CONTROL!$C$32, $C$9, 100%, $E$9)</f>
        <v>3.8090999999999999</v>
      </c>
      <c r="P38" s="10"/>
      <c r="Q38" s="33"/>
      <c r="R38" s="33"/>
    </row>
    <row r="39" spans="1:18" ht="15" x14ac:dyDescent="0.2">
      <c r="A39" s="16">
        <v>42036</v>
      </c>
      <c r="B39" s="32">
        <f>2.4638 * CHOOSE(CONTROL!$C$32, $C$9, 100%, $E$9)</f>
        <v>2.4638</v>
      </c>
      <c r="C39" s="32">
        <f>2.4638 * CHOOSE(CONTROL!$C$32, $C$9, 100%, $E$9)</f>
        <v>2.4638</v>
      </c>
      <c r="D39" s="32">
        <f>2.4648 * CHOOSE(CONTROL!$C$32, $C$9, 100%, $E$9)</f>
        <v>2.4647999999999999</v>
      </c>
      <c r="E39" s="33">
        <f>3.7577 * CHOOSE(CONTROL!$C$32, $C$9, 100%, $E$9)</f>
        <v>3.7576999999999998</v>
      </c>
      <c r="F39" s="33">
        <f>3.5836 * CHOOSE(CONTROL!$C$32, $C$9, 100%, $E$9)</f>
        <v>3.5836000000000001</v>
      </c>
      <c r="G39" s="33">
        <f>3.5872 * CHOOSE(CONTROL!$C$32, $C$9, 100%, $E$9)</f>
        <v>3.5872000000000002</v>
      </c>
      <c r="H39" s="33">
        <f>5.9766 * CHOOSE(CONTROL!$C$32, $C$9, 100%, $E$9)</f>
        <v>5.9766000000000004</v>
      </c>
      <c r="I39" s="33">
        <f>5.9802 * CHOOSE(CONTROL!$C$32, $C$9, 100%, $E$9)</f>
        <v>5.9802</v>
      </c>
      <c r="J39" s="33">
        <f>5.9766 * CHOOSE(CONTROL!$C$32, $C$9, 100%, $E$9)</f>
        <v>5.9766000000000004</v>
      </c>
      <c r="K39" s="33">
        <f>5.9802 * CHOOSE(CONTROL!$C$32, $C$9, 100%, $E$9)</f>
        <v>5.9802</v>
      </c>
      <c r="L39" s="33">
        <f>3.7577 * CHOOSE(CONTROL!$C$32, $C$9, 100%, $E$9)</f>
        <v>3.7576999999999998</v>
      </c>
      <c r="M39" s="33">
        <f>3.7613 * CHOOSE(CONTROL!$C$32, $C$9, 100%, $E$9)</f>
        <v>3.7612999999999999</v>
      </c>
      <c r="N39" s="33">
        <f>3.7577 * CHOOSE(CONTROL!$C$32, $C$9, 100%, $E$9)</f>
        <v>3.7576999999999998</v>
      </c>
      <c r="O39" s="33">
        <f>3.7613 * CHOOSE(CONTROL!$C$32, $C$9, 100%, $E$9)</f>
        <v>3.7612999999999999</v>
      </c>
      <c r="P39" s="10"/>
      <c r="Q39" s="33"/>
      <c r="R39" s="33"/>
    </row>
    <row r="40" spans="1:18" ht="15" x14ac:dyDescent="0.2">
      <c r="A40" s="16">
        <v>42064</v>
      </c>
      <c r="B40" s="32">
        <f>2.4574 * CHOOSE(CONTROL!$C$32, $C$9, 100%, $E$9)</f>
        <v>2.4573999999999998</v>
      </c>
      <c r="C40" s="32">
        <f>2.4574 * CHOOSE(CONTROL!$C$32, $C$9, 100%, $E$9)</f>
        <v>2.4573999999999998</v>
      </c>
      <c r="D40" s="32">
        <f>2.4584 * CHOOSE(CONTROL!$C$32, $C$9, 100%, $E$9)</f>
        <v>2.4584000000000001</v>
      </c>
      <c r="E40" s="33">
        <f>3.686 * CHOOSE(CONTROL!$C$32, $C$9, 100%, $E$9)</f>
        <v>3.6859999999999999</v>
      </c>
      <c r="F40" s="33">
        <f>3.5836 * CHOOSE(CONTROL!$C$32, $C$9, 100%, $E$9)</f>
        <v>3.5836000000000001</v>
      </c>
      <c r="G40" s="33">
        <f>3.5872 * CHOOSE(CONTROL!$C$32, $C$9, 100%, $E$9)</f>
        <v>3.5872000000000002</v>
      </c>
      <c r="H40" s="33">
        <f>5.9891 * CHOOSE(CONTROL!$C$32, $C$9, 100%, $E$9)</f>
        <v>5.9890999999999996</v>
      </c>
      <c r="I40" s="33">
        <f>5.9927 * CHOOSE(CONTROL!$C$32, $C$9, 100%, $E$9)</f>
        <v>5.9927000000000001</v>
      </c>
      <c r="J40" s="33">
        <f>5.9891 * CHOOSE(CONTROL!$C$32, $C$9, 100%, $E$9)</f>
        <v>5.9890999999999996</v>
      </c>
      <c r="K40" s="33">
        <f>5.9927 * CHOOSE(CONTROL!$C$32, $C$9, 100%, $E$9)</f>
        <v>5.9927000000000001</v>
      </c>
      <c r="L40" s="33">
        <f>3.686 * CHOOSE(CONTROL!$C$32, $C$9, 100%, $E$9)</f>
        <v>3.6859999999999999</v>
      </c>
      <c r="M40" s="33">
        <f>3.6896 * CHOOSE(CONTROL!$C$32, $C$9, 100%, $E$9)</f>
        <v>3.6896</v>
      </c>
      <c r="N40" s="33">
        <f>3.686 * CHOOSE(CONTROL!$C$32, $C$9, 100%, $E$9)</f>
        <v>3.6859999999999999</v>
      </c>
      <c r="O40" s="33">
        <f>3.6896 * CHOOSE(CONTROL!$C$32, $C$9, 100%, $E$9)</f>
        <v>3.6896</v>
      </c>
      <c r="P40" s="10"/>
      <c r="Q40" s="33"/>
      <c r="R40" s="33"/>
    </row>
    <row r="41" spans="1:18" ht="15" x14ac:dyDescent="0.2">
      <c r="A41" s="16">
        <v>42095</v>
      </c>
      <c r="B41" s="32">
        <f>2.4574 * CHOOSE(CONTROL!$C$32, $C$9, 100%, $E$9)</f>
        <v>2.4573999999999998</v>
      </c>
      <c r="C41" s="32">
        <f>2.4574 * CHOOSE(CONTROL!$C$32, $C$9, 100%, $E$9)</f>
        <v>2.4573999999999998</v>
      </c>
      <c r="D41" s="32">
        <f>2.4584 * CHOOSE(CONTROL!$C$32, $C$9, 100%, $E$9)</f>
        <v>2.4584000000000001</v>
      </c>
      <c r="E41" s="33">
        <f>3.6986 * CHOOSE(CONTROL!$C$32, $C$9, 100%, $E$9)</f>
        <v>3.6985999999999999</v>
      </c>
      <c r="F41" s="33">
        <f>3.5836 * CHOOSE(CONTROL!$C$32, $C$9, 100%, $E$9)</f>
        <v>3.5836000000000001</v>
      </c>
      <c r="G41" s="33">
        <f>3.5872 * CHOOSE(CONTROL!$C$32, $C$9, 100%, $E$9)</f>
        <v>3.5872000000000002</v>
      </c>
      <c r="H41" s="33">
        <f>6.0016 * CHOOSE(CONTROL!$C$32, $C$9, 100%, $E$9)</f>
        <v>6.0015999999999998</v>
      </c>
      <c r="I41" s="33">
        <f>6.0052 * CHOOSE(CONTROL!$C$32, $C$9, 100%, $E$9)</f>
        <v>6.0052000000000003</v>
      </c>
      <c r="J41" s="33">
        <f>6.0016 * CHOOSE(CONTROL!$C$32, $C$9, 100%, $E$9)</f>
        <v>6.0015999999999998</v>
      </c>
      <c r="K41" s="33">
        <f>6.0052 * CHOOSE(CONTROL!$C$32, $C$9, 100%, $E$9)</f>
        <v>6.0052000000000003</v>
      </c>
      <c r="L41" s="33">
        <f>3.6986 * CHOOSE(CONTROL!$C$32, $C$9, 100%, $E$9)</f>
        <v>3.6985999999999999</v>
      </c>
      <c r="M41" s="33">
        <f>3.7022 * CHOOSE(CONTROL!$C$32, $C$9, 100%, $E$9)</f>
        <v>3.7021999999999999</v>
      </c>
      <c r="N41" s="33">
        <f>3.6986 * CHOOSE(CONTROL!$C$32, $C$9, 100%, $E$9)</f>
        <v>3.6985999999999999</v>
      </c>
      <c r="O41" s="33">
        <f>3.7022 * CHOOSE(CONTROL!$C$32, $C$9, 100%, $E$9)</f>
        <v>3.7021999999999999</v>
      </c>
      <c r="P41" s="10"/>
      <c r="Q41" s="33"/>
      <c r="R41" s="33"/>
    </row>
    <row r="42" spans="1:18" ht="15" x14ac:dyDescent="0.2">
      <c r="A42" s="16">
        <v>42125</v>
      </c>
      <c r="B42" s="32">
        <f>2.4559 * CHOOSE(CONTROL!$C$32, $C$9, 100%, $E$9)</f>
        <v>2.4559000000000002</v>
      </c>
      <c r="C42" s="32">
        <f>2.4559 * CHOOSE(CONTROL!$C$32, $C$9, 100%, $E$9)</f>
        <v>2.4559000000000002</v>
      </c>
      <c r="D42" s="32">
        <f>2.4575 * CHOOSE(CONTROL!$C$32, $C$9, 100%, $E$9)</f>
        <v>2.4575</v>
      </c>
      <c r="E42" s="33">
        <f>3.7718 * CHOOSE(CONTROL!$C$32, $C$9, 100%, $E$9)</f>
        <v>3.7717999999999998</v>
      </c>
      <c r="F42" s="33">
        <f>3.5836 * CHOOSE(CONTROL!$C$32, $C$9, 100%, $E$9)</f>
        <v>3.5836000000000001</v>
      </c>
      <c r="G42" s="33">
        <f>3.5889 * CHOOSE(CONTROL!$C$32, $C$9, 100%, $E$9)</f>
        <v>3.5889000000000002</v>
      </c>
      <c r="H42" s="33">
        <f>6.0141 * CHOOSE(CONTROL!$C$32, $C$9, 100%, $E$9)</f>
        <v>6.0141</v>
      </c>
      <c r="I42" s="33">
        <f>6.0194 * CHOOSE(CONTROL!$C$32, $C$9, 100%, $E$9)</f>
        <v>6.0194000000000001</v>
      </c>
      <c r="J42" s="33">
        <f>6.0141 * CHOOSE(CONTROL!$C$32, $C$9, 100%, $E$9)</f>
        <v>6.0141</v>
      </c>
      <c r="K42" s="33">
        <f>6.0194 * CHOOSE(CONTROL!$C$32, $C$9, 100%, $E$9)</f>
        <v>6.0194000000000001</v>
      </c>
      <c r="L42" s="33">
        <f>3.7718 * CHOOSE(CONTROL!$C$32, $C$9, 100%, $E$9)</f>
        <v>3.7717999999999998</v>
      </c>
      <c r="M42" s="33">
        <f>3.7771 * CHOOSE(CONTROL!$C$32, $C$9, 100%, $E$9)</f>
        <v>3.7770999999999999</v>
      </c>
      <c r="N42" s="33">
        <f>3.7718 * CHOOSE(CONTROL!$C$32, $C$9, 100%, $E$9)</f>
        <v>3.7717999999999998</v>
      </c>
      <c r="O42" s="33">
        <f>3.7771 * CHOOSE(CONTROL!$C$32, $C$9, 100%, $E$9)</f>
        <v>3.7770999999999999</v>
      </c>
      <c r="P42" s="10"/>
      <c r="Q42" s="33"/>
      <c r="R42" s="33"/>
    </row>
    <row r="43" spans="1:18" ht="15" x14ac:dyDescent="0.2">
      <c r="A43" s="16">
        <v>42156</v>
      </c>
      <c r="B43" s="32">
        <f>2.4775 * CHOOSE(CONTROL!$C$32, $C$9, 100%, $E$9)</f>
        <v>2.4775</v>
      </c>
      <c r="C43" s="32">
        <f>2.4775 * CHOOSE(CONTROL!$C$32, $C$9, 100%, $E$9)</f>
        <v>2.4775</v>
      </c>
      <c r="D43" s="32">
        <f>2.4791 * CHOOSE(CONTROL!$C$32, $C$9, 100%, $E$9)</f>
        <v>2.4790999999999999</v>
      </c>
      <c r="E43" s="33">
        <f>3.8167 * CHOOSE(CONTROL!$C$32, $C$9, 100%, $E$9)</f>
        <v>3.8167</v>
      </c>
      <c r="F43" s="33">
        <f>3.5836 * CHOOSE(CONTROL!$C$32, $C$9, 100%, $E$9)</f>
        <v>3.5836000000000001</v>
      </c>
      <c r="G43" s="33">
        <f>3.5889 * CHOOSE(CONTROL!$C$32, $C$9, 100%, $E$9)</f>
        <v>3.5889000000000002</v>
      </c>
      <c r="H43" s="33">
        <f>6.0266 * CHOOSE(CONTROL!$C$32, $C$9, 100%, $E$9)</f>
        <v>6.0266000000000002</v>
      </c>
      <c r="I43" s="33">
        <f>6.0319 * CHOOSE(CONTROL!$C$32, $C$9, 100%, $E$9)</f>
        <v>6.0319000000000003</v>
      </c>
      <c r="J43" s="33">
        <f>6.0266 * CHOOSE(CONTROL!$C$32, $C$9, 100%, $E$9)</f>
        <v>6.0266000000000002</v>
      </c>
      <c r="K43" s="33">
        <f>6.0319 * CHOOSE(CONTROL!$C$32, $C$9, 100%, $E$9)</f>
        <v>6.0319000000000003</v>
      </c>
      <c r="L43" s="33">
        <f>3.8167 * CHOOSE(CONTROL!$C$32, $C$9, 100%, $E$9)</f>
        <v>3.8167</v>
      </c>
      <c r="M43" s="33">
        <f>3.822 * CHOOSE(CONTROL!$C$32, $C$9, 100%, $E$9)</f>
        <v>3.8220000000000001</v>
      </c>
      <c r="N43" s="33">
        <f>3.8167 * CHOOSE(CONTROL!$C$32, $C$9, 100%, $E$9)</f>
        <v>3.8167</v>
      </c>
      <c r="O43" s="33">
        <f>3.822 * CHOOSE(CONTROL!$C$32, $C$9, 100%, $E$9)</f>
        <v>3.8220000000000001</v>
      </c>
      <c r="P43" s="10"/>
      <c r="Q43" s="33"/>
      <c r="R43" s="33"/>
    </row>
    <row r="44" spans="1:18" ht="15" x14ac:dyDescent="0.2">
      <c r="A44" s="16">
        <v>42186</v>
      </c>
      <c r="B44" s="32">
        <f>2.5019 * CHOOSE(CONTROL!$C$32, $C$9, 100%, $E$9)</f>
        <v>2.5019</v>
      </c>
      <c r="C44" s="32">
        <f>2.5019 * CHOOSE(CONTROL!$C$32, $C$9, 100%, $E$9)</f>
        <v>2.5019</v>
      </c>
      <c r="D44" s="32">
        <f>2.5034 * CHOOSE(CONTROL!$C$32, $C$9, 100%, $E$9)</f>
        <v>2.5034000000000001</v>
      </c>
      <c r="E44" s="33">
        <f>3.8864 * CHOOSE(CONTROL!$C$32, $C$9, 100%, $E$9)</f>
        <v>3.8864000000000001</v>
      </c>
      <c r="F44" s="33">
        <f>3.5836 * CHOOSE(CONTROL!$C$32, $C$9, 100%, $E$9)</f>
        <v>3.5836000000000001</v>
      </c>
      <c r="G44" s="33">
        <f>3.5889 * CHOOSE(CONTROL!$C$32, $C$9, 100%, $E$9)</f>
        <v>3.5889000000000002</v>
      </c>
      <c r="H44" s="33">
        <f>6.0391 * CHOOSE(CONTROL!$C$32, $C$9, 100%, $E$9)</f>
        <v>6.0391000000000004</v>
      </c>
      <c r="I44" s="33">
        <f>6.0444 * CHOOSE(CONTROL!$C$32, $C$9, 100%, $E$9)</f>
        <v>6.0444000000000004</v>
      </c>
      <c r="J44" s="33">
        <f>6.0391 * CHOOSE(CONTROL!$C$32, $C$9, 100%, $E$9)</f>
        <v>6.0391000000000004</v>
      </c>
      <c r="K44" s="33">
        <f>6.0444 * CHOOSE(CONTROL!$C$32, $C$9, 100%, $E$9)</f>
        <v>6.0444000000000004</v>
      </c>
      <c r="L44" s="33">
        <f>3.8864 * CHOOSE(CONTROL!$C$32, $C$9, 100%, $E$9)</f>
        <v>3.8864000000000001</v>
      </c>
      <c r="M44" s="33">
        <f>3.8917 * CHOOSE(CONTROL!$C$32, $C$9, 100%, $E$9)</f>
        <v>3.8917000000000002</v>
      </c>
      <c r="N44" s="33">
        <f>3.8864 * CHOOSE(CONTROL!$C$32, $C$9, 100%, $E$9)</f>
        <v>3.8864000000000001</v>
      </c>
      <c r="O44" s="33">
        <f>3.8917 * CHOOSE(CONTROL!$C$32, $C$9, 100%, $E$9)</f>
        <v>3.8917000000000002</v>
      </c>
      <c r="P44" s="10"/>
      <c r="Q44" s="33"/>
      <c r="R44" s="33"/>
    </row>
    <row r="45" spans="1:18" ht="15" x14ac:dyDescent="0.2">
      <c r="A45" s="16">
        <v>42217</v>
      </c>
      <c r="B45" s="32">
        <f>2.5126 * CHOOSE(CONTROL!$C$32, $C$9, 100%, $E$9)</f>
        <v>2.5125999999999999</v>
      </c>
      <c r="C45" s="32">
        <f>2.5126 * CHOOSE(CONTROL!$C$32, $C$9, 100%, $E$9)</f>
        <v>2.5125999999999999</v>
      </c>
      <c r="D45" s="32">
        <f>2.5142 * CHOOSE(CONTROL!$C$32, $C$9, 100%, $E$9)</f>
        <v>2.5142000000000002</v>
      </c>
      <c r="E45" s="33">
        <f>3.8864 * CHOOSE(CONTROL!$C$32, $C$9, 100%, $E$9)</f>
        <v>3.8864000000000001</v>
      </c>
      <c r="F45" s="33">
        <f>3.5836 * CHOOSE(CONTROL!$C$32, $C$9, 100%, $E$9)</f>
        <v>3.5836000000000001</v>
      </c>
      <c r="G45" s="33">
        <f>3.5889 * CHOOSE(CONTROL!$C$32, $C$9, 100%, $E$9)</f>
        <v>3.5889000000000002</v>
      </c>
      <c r="H45" s="33">
        <f>6.0517 * CHOOSE(CONTROL!$C$32, $C$9, 100%, $E$9)</f>
        <v>6.0517000000000003</v>
      </c>
      <c r="I45" s="33">
        <f>6.057 * CHOOSE(CONTROL!$C$32, $C$9, 100%, $E$9)</f>
        <v>6.0570000000000004</v>
      </c>
      <c r="J45" s="33">
        <f>6.0517 * CHOOSE(CONTROL!$C$32, $C$9, 100%, $E$9)</f>
        <v>6.0517000000000003</v>
      </c>
      <c r="K45" s="33">
        <f>6.057 * CHOOSE(CONTROL!$C$32, $C$9, 100%, $E$9)</f>
        <v>6.0570000000000004</v>
      </c>
      <c r="L45" s="33">
        <f>3.8864 * CHOOSE(CONTROL!$C$32, $C$9, 100%, $E$9)</f>
        <v>3.8864000000000001</v>
      </c>
      <c r="M45" s="33">
        <f>3.8917 * CHOOSE(CONTROL!$C$32, $C$9, 100%, $E$9)</f>
        <v>3.8917000000000002</v>
      </c>
      <c r="N45" s="33">
        <f>3.8864 * CHOOSE(CONTROL!$C$32, $C$9, 100%, $E$9)</f>
        <v>3.8864000000000001</v>
      </c>
      <c r="O45" s="33">
        <f>3.8917 * CHOOSE(CONTROL!$C$32, $C$9, 100%, $E$9)</f>
        <v>3.8917000000000002</v>
      </c>
      <c r="P45" s="10"/>
      <c r="Q45" s="33"/>
      <c r="R45" s="33"/>
    </row>
    <row r="46" spans="1:18" ht="15" x14ac:dyDescent="0.2">
      <c r="A46" s="16">
        <v>42248</v>
      </c>
      <c r="B46" s="32">
        <f>2.5129 * CHOOSE(CONTROL!$C$32, $C$9, 100%, $E$9)</f>
        <v>2.5129000000000001</v>
      </c>
      <c r="C46" s="32">
        <f>2.5129 * CHOOSE(CONTROL!$C$32, $C$9, 100%, $E$9)</f>
        <v>2.5129000000000001</v>
      </c>
      <c r="D46" s="32">
        <f>2.5145 * CHOOSE(CONTROL!$C$32, $C$9, 100%, $E$9)</f>
        <v>2.5145</v>
      </c>
      <c r="E46" s="33">
        <f>3.7811 * CHOOSE(CONTROL!$C$32, $C$9, 100%, $E$9)</f>
        <v>3.7810999999999999</v>
      </c>
      <c r="F46" s="33">
        <f>3.5836 * CHOOSE(CONTROL!$C$32, $C$9, 100%, $E$9)</f>
        <v>3.5836000000000001</v>
      </c>
      <c r="G46" s="33">
        <f>3.5889 * CHOOSE(CONTROL!$C$32, $C$9, 100%, $E$9)</f>
        <v>3.5889000000000002</v>
      </c>
      <c r="H46" s="33">
        <f>6.0643 * CHOOSE(CONTROL!$C$32, $C$9, 100%, $E$9)</f>
        <v>6.0643000000000002</v>
      </c>
      <c r="I46" s="33">
        <f>6.0696 * CHOOSE(CONTROL!$C$32, $C$9, 100%, $E$9)</f>
        <v>6.0696000000000003</v>
      </c>
      <c r="J46" s="33">
        <f>6.0643 * CHOOSE(CONTROL!$C$32, $C$9, 100%, $E$9)</f>
        <v>6.0643000000000002</v>
      </c>
      <c r="K46" s="33">
        <f>6.0696 * CHOOSE(CONTROL!$C$32, $C$9, 100%, $E$9)</f>
        <v>6.0696000000000003</v>
      </c>
      <c r="L46" s="33">
        <f>3.7811 * CHOOSE(CONTROL!$C$32, $C$9, 100%, $E$9)</f>
        <v>3.7810999999999999</v>
      </c>
      <c r="M46" s="33">
        <f>3.7864 * CHOOSE(CONTROL!$C$32, $C$9, 100%, $E$9)</f>
        <v>3.7864</v>
      </c>
      <c r="N46" s="33">
        <f>3.7811 * CHOOSE(CONTROL!$C$32, $C$9, 100%, $E$9)</f>
        <v>3.7810999999999999</v>
      </c>
      <c r="O46" s="33">
        <f>3.7864 * CHOOSE(CONTROL!$C$32, $C$9, 100%, $E$9)</f>
        <v>3.7864</v>
      </c>
      <c r="P46" s="10"/>
      <c r="Q46" s="33"/>
      <c r="R46" s="33"/>
    </row>
    <row r="47" spans="1:18" ht="15" x14ac:dyDescent="0.2">
      <c r="A47" s="16">
        <v>42278</v>
      </c>
      <c r="B47" s="32">
        <f>2.5008 * CHOOSE(CONTROL!$C$32, $C$9, 100%, $E$9)</f>
        <v>2.5007999999999999</v>
      </c>
      <c r="C47" s="32">
        <f>2.5008 * CHOOSE(CONTROL!$C$32, $C$9, 100%, $E$9)</f>
        <v>2.5007999999999999</v>
      </c>
      <c r="D47" s="32">
        <f>2.5019 * CHOOSE(CONTROL!$C$32, $C$9, 100%, $E$9)</f>
        <v>2.5019</v>
      </c>
      <c r="E47" s="33">
        <f>3.865 * CHOOSE(CONTROL!$C$32, $C$9, 100%, $E$9)</f>
        <v>3.8650000000000002</v>
      </c>
      <c r="F47" s="33">
        <f>3.5836 * CHOOSE(CONTROL!$C$32, $C$9, 100%, $E$9)</f>
        <v>3.5836000000000001</v>
      </c>
      <c r="G47" s="33">
        <f>3.5872 * CHOOSE(CONTROL!$C$32, $C$9, 100%, $E$9)</f>
        <v>3.5872000000000002</v>
      </c>
      <c r="H47" s="33">
        <f>6.077 * CHOOSE(CONTROL!$C$32, $C$9, 100%, $E$9)</f>
        <v>6.077</v>
      </c>
      <c r="I47" s="33">
        <f>6.0806 * CHOOSE(CONTROL!$C$32, $C$9, 100%, $E$9)</f>
        <v>6.0805999999999996</v>
      </c>
      <c r="J47" s="33">
        <f>6.077 * CHOOSE(CONTROL!$C$32, $C$9, 100%, $E$9)</f>
        <v>6.077</v>
      </c>
      <c r="K47" s="33">
        <f>6.0806 * CHOOSE(CONTROL!$C$32, $C$9, 100%, $E$9)</f>
        <v>6.0805999999999996</v>
      </c>
      <c r="L47" s="33">
        <f>3.865 * CHOOSE(CONTROL!$C$32, $C$9, 100%, $E$9)</f>
        <v>3.8650000000000002</v>
      </c>
      <c r="M47" s="33">
        <f>3.8686 * CHOOSE(CONTROL!$C$32, $C$9, 100%, $E$9)</f>
        <v>3.8685999999999998</v>
      </c>
      <c r="N47" s="33">
        <f>3.865 * CHOOSE(CONTROL!$C$32, $C$9, 100%, $E$9)</f>
        <v>3.8650000000000002</v>
      </c>
      <c r="O47" s="33">
        <f>3.8686 * CHOOSE(CONTROL!$C$32, $C$9, 100%, $E$9)</f>
        <v>3.8685999999999998</v>
      </c>
      <c r="P47" s="10"/>
      <c r="Q47" s="33"/>
      <c r="R47" s="33"/>
    </row>
    <row r="48" spans="1:18" ht="15" x14ac:dyDescent="0.2">
      <c r="A48" s="16">
        <v>42309</v>
      </c>
      <c r="B48" s="32">
        <f>2.5055 * CHOOSE(CONTROL!$C$32, $C$9, 100%, $E$9)</f>
        <v>2.5055000000000001</v>
      </c>
      <c r="C48" s="32">
        <f>2.5055 * CHOOSE(CONTROL!$C$32, $C$9, 100%, $E$9)</f>
        <v>2.5055000000000001</v>
      </c>
      <c r="D48" s="32">
        <f>2.5065 * CHOOSE(CONTROL!$C$32, $C$9, 100%, $E$9)</f>
        <v>2.5065</v>
      </c>
      <c r="E48" s="33">
        <f>3.865 * CHOOSE(CONTROL!$C$32, $C$9, 100%, $E$9)</f>
        <v>3.8650000000000002</v>
      </c>
      <c r="F48" s="33">
        <f>3.5836 * CHOOSE(CONTROL!$C$32, $C$9, 100%, $E$9)</f>
        <v>3.5836000000000001</v>
      </c>
      <c r="G48" s="33">
        <f>3.5872 * CHOOSE(CONTROL!$C$32, $C$9, 100%, $E$9)</f>
        <v>3.5872000000000002</v>
      </c>
      <c r="H48" s="33">
        <f>6.0896 * CHOOSE(CONTROL!$C$32, $C$9, 100%, $E$9)</f>
        <v>6.0895999999999999</v>
      </c>
      <c r="I48" s="33">
        <f>6.0932 * CHOOSE(CONTROL!$C$32, $C$9, 100%, $E$9)</f>
        <v>6.0932000000000004</v>
      </c>
      <c r="J48" s="33">
        <f>6.0896 * CHOOSE(CONTROL!$C$32, $C$9, 100%, $E$9)</f>
        <v>6.0895999999999999</v>
      </c>
      <c r="K48" s="33">
        <f>6.0932 * CHOOSE(CONTROL!$C$32, $C$9, 100%, $E$9)</f>
        <v>6.0932000000000004</v>
      </c>
      <c r="L48" s="33">
        <f>3.865 * CHOOSE(CONTROL!$C$32, $C$9, 100%, $E$9)</f>
        <v>3.8650000000000002</v>
      </c>
      <c r="M48" s="33">
        <f>3.8686 * CHOOSE(CONTROL!$C$32, $C$9, 100%, $E$9)</f>
        <v>3.8685999999999998</v>
      </c>
      <c r="N48" s="33">
        <f>3.865 * CHOOSE(CONTROL!$C$32, $C$9, 100%, $E$9)</f>
        <v>3.8650000000000002</v>
      </c>
      <c r="O48" s="33">
        <f>3.8686 * CHOOSE(CONTROL!$C$32, $C$9, 100%, $E$9)</f>
        <v>3.8685999999999998</v>
      </c>
      <c r="P48" s="10"/>
      <c r="Q48" s="33"/>
      <c r="R48" s="33"/>
    </row>
    <row r="49" spans="1:18" ht="15" x14ac:dyDescent="0.2">
      <c r="A49" s="16">
        <v>42339</v>
      </c>
      <c r="B49" s="32">
        <f>2.5088 * CHOOSE(CONTROL!$C$32, $C$9, 100%, $E$9)</f>
        <v>2.5087999999999999</v>
      </c>
      <c r="C49" s="32">
        <f>2.5088 * CHOOSE(CONTROL!$C$32, $C$9, 100%, $E$9)</f>
        <v>2.5087999999999999</v>
      </c>
      <c r="D49" s="32">
        <f>2.5099 * CHOOSE(CONTROL!$C$32, $C$9, 100%, $E$9)</f>
        <v>2.5099</v>
      </c>
      <c r="E49" s="33">
        <f>3.8041 * CHOOSE(CONTROL!$C$32, $C$9, 100%, $E$9)</f>
        <v>3.8041</v>
      </c>
      <c r="F49" s="33">
        <f>3.5836 * CHOOSE(CONTROL!$C$32, $C$9, 100%, $E$9)</f>
        <v>3.5836000000000001</v>
      </c>
      <c r="G49" s="33">
        <f>3.5872 * CHOOSE(CONTROL!$C$32, $C$9, 100%, $E$9)</f>
        <v>3.5872000000000002</v>
      </c>
      <c r="H49" s="33">
        <f>6.1023 * CHOOSE(CONTROL!$C$32, $C$9, 100%, $E$9)</f>
        <v>6.1022999999999996</v>
      </c>
      <c r="I49" s="33">
        <f>6.1059 * CHOOSE(CONTROL!$C$32, $C$9, 100%, $E$9)</f>
        <v>6.1059000000000001</v>
      </c>
      <c r="J49" s="33">
        <f>6.1023 * CHOOSE(CONTROL!$C$32, $C$9, 100%, $E$9)</f>
        <v>6.1022999999999996</v>
      </c>
      <c r="K49" s="33">
        <f>6.1059 * CHOOSE(CONTROL!$C$32, $C$9, 100%, $E$9)</f>
        <v>6.1059000000000001</v>
      </c>
      <c r="L49" s="33">
        <f>3.8041 * CHOOSE(CONTROL!$C$32, $C$9, 100%, $E$9)</f>
        <v>3.8041</v>
      </c>
      <c r="M49" s="33">
        <f>3.8077 * CHOOSE(CONTROL!$C$32, $C$9, 100%, $E$9)</f>
        <v>3.8077000000000001</v>
      </c>
      <c r="N49" s="33">
        <f>3.8041 * CHOOSE(CONTROL!$C$32, $C$9, 100%, $E$9)</f>
        <v>3.8041</v>
      </c>
      <c r="O49" s="33">
        <f>3.8077 * CHOOSE(CONTROL!$C$32, $C$9, 100%, $E$9)</f>
        <v>3.8077000000000001</v>
      </c>
      <c r="P49" s="10"/>
      <c r="Q49" s="33"/>
      <c r="R49" s="33"/>
    </row>
    <row r="50" spans="1:18" ht="15" x14ac:dyDescent="0.2">
      <c r="A50" s="16">
        <v>42370</v>
      </c>
      <c r="B50" s="32">
        <f>3.2679 * CHOOSE(CONTROL!$C$32, $C$9, 100%, $E$9)</f>
        <v>3.2679</v>
      </c>
      <c r="C50" s="32">
        <f>3.2679 * CHOOSE(CONTROL!$C$32, $C$9, 100%, $E$9)</f>
        <v>3.2679</v>
      </c>
      <c r="D50" s="32">
        <f>3.269 * CHOOSE(CONTROL!$C$32, $C$9, 100%, $E$9)</f>
        <v>3.2690000000000001</v>
      </c>
      <c r="E50" s="33">
        <f>3.9546 * CHOOSE(CONTROL!$C$32, $C$9, 100%, $E$9)</f>
        <v>3.9546000000000001</v>
      </c>
      <c r="F50" s="33">
        <f>3.6856 * CHOOSE(CONTROL!$C$32, $C$9, 100%, $E$9)</f>
        <v>3.6856</v>
      </c>
      <c r="G50" s="33">
        <f>3.6892 * CHOOSE(CONTROL!$C$32, $C$9, 100%, $E$9)</f>
        <v>3.6892</v>
      </c>
      <c r="H50" s="33">
        <f>6.115 * CHOOSE(CONTROL!$C$32, $C$9, 100%, $E$9)</f>
        <v>6.1150000000000002</v>
      </c>
      <c r="I50" s="33">
        <f>6.1186 * CHOOSE(CONTROL!$C$32, $C$9, 100%, $E$9)</f>
        <v>6.1185999999999998</v>
      </c>
      <c r="J50" s="33">
        <f>6.115 * CHOOSE(CONTROL!$C$32, $C$9, 100%, $E$9)</f>
        <v>6.1150000000000002</v>
      </c>
      <c r="K50" s="33">
        <f>6.1186 * CHOOSE(CONTROL!$C$32, $C$9, 100%, $E$9)</f>
        <v>6.1185999999999998</v>
      </c>
      <c r="L50" s="33">
        <f>3.9546 * CHOOSE(CONTROL!$C$32, $C$9, 100%, $E$9)</f>
        <v>3.9546000000000001</v>
      </c>
      <c r="M50" s="33">
        <f>3.9582 * CHOOSE(CONTROL!$C$32, $C$9, 100%, $E$9)</f>
        <v>3.9582000000000002</v>
      </c>
      <c r="N50" s="33">
        <f>3.9546 * CHOOSE(CONTROL!$C$32, $C$9, 100%, $E$9)</f>
        <v>3.9546000000000001</v>
      </c>
      <c r="O50" s="33">
        <f>3.9582 * CHOOSE(CONTROL!$C$32, $C$9, 100%, $E$9)</f>
        <v>3.9582000000000002</v>
      </c>
      <c r="P50" s="10"/>
      <c r="Q50" s="33"/>
      <c r="R50" s="33"/>
    </row>
    <row r="51" spans="1:18" ht="15" x14ac:dyDescent="0.2">
      <c r="A51" s="16">
        <v>42401</v>
      </c>
      <c r="B51" s="32">
        <f>3.2731 * CHOOSE(CONTROL!$C$32, $C$9, 100%, $E$9)</f>
        <v>3.2730999999999999</v>
      </c>
      <c r="C51" s="32">
        <f>3.2731 * CHOOSE(CONTROL!$C$32, $C$9, 100%, $E$9)</f>
        <v>3.2730999999999999</v>
      </c>
      <c r="D51" s="32">
        <f>3.2741 * CHOOSE(CONTROL!$C$32, $C$9, 100%, $E$9)</f>
        <v>3.2740999999999998</v>
      </c>
      <c r="E51" s="33">
        <f>3.8942 * CHOOSE(CONTROL!$C$32, $C$9, 100%, $E$9)</f>
        <v>3.8942000000000001</v>
      </c>
      <c r="F51" s="33">
        <f>3.6856 * CHOOSE(CONTROL!$C$32, $C$9, 100%, $E$9)</f>
        <v>3.6856</v>
      </c>
      <c r="G51" s="33">
        <f>3.6892 * CHOOSE(CONTROL!$C$32, $C$9, 100%, $E$9)</f>
        <v>3.6892</v>
      </c>
      <c r="H51" s="33">
        <f>6.1278 * CHOOSE(CONTROL!$C$32, $C$9, 100%, $E$9)</f>
        <v>6.1277999999999997</v>
      </c>
      <c r="I51" s="33">
        <f>6.1314 * CHOOSE(CONTROL!$C$32, $C$9, 100%, $E$9)</f>
        <v>6.1314000000000002</v>
      </c>
      <c r="J51" s="33">
        <f>6.1278 * CHOOSE(CONTROL!$C$32, $C$9, 100%, $E$9)</f>
        <v>6.1277999999999997</v>
      </c>
      <c r="K51" s="33">
        <f>6.1314 * CHOOSE(CONTROL!$C$32, $C$9, 100%, $E$9)</f>
        <v>6.1314000000000002</v>
      </c>
      <c r="L51" s="33">
        <f>3.8942 * CHOOSE(CONTROL!$C$32, $C$9, 100%, $E$9)</f>
        <v>3.8942000000000001</v>
      </c>
      <c r="M51" s="33">
        <f>3.8978 * CHOOSE(CONTROL!$C$32, $C$9, 100%, $E$9)</f>
        <v>3.8978000000000002</v>
      </c>
      <c r="N51" s="33">
        <f>3.8942 * CHOOSE(CONTROL!$C$32, $C$9, 100%, $E$9)</f>
        <v>3.8942000000000001</v>
      </c>
      <c r="O51" s="33">
        <f>3.8978 * CHOOSE(CONTROL!$C$32, $C$9, 100%, $E$9)</f>
        <v>3.8978000000000002</v>
      </c>
      <c r="P51" s="10"/>
      <c r="Q51" s="33"/>
      <c r="R51" s="33"/>
    </row>
    <row r="52" spans="1:18" ht="15" x14ac:dyDescent="0.2">
      <c r="A52" s="16">
        <v>42430</v>
      </c>
      <c r="B52" s="32">
        <f>3.2698 * CHOOSE(CONTROL!$C$32, $C$9, 100%, $E$9)</f>
        <v>3.2698</v>
      </c>
      <c r="C52" s="32">
        <f>3.2698 * CHOOSE(CONTROL!$C$32, $C$9, 100%, $E$9)</f>
        <v>3.2698</v>
      </c>
      <c r="D52" s="32">
        <f>3.2709 * CHOOSE(CONTROL!$C$32, $C$9, 100%, $E$9)</f>
        <v>3.2709000000000001</v>
      </c>
      <c r="E52" s="33">
        <f>3.8028 * CHOOSE(CONTROL!$C$32, $C$9, 100%, $E$9)</f>
        <v>3.8028</v>
      </c>
      <c r="F52" s="33">
        <f>3.6856 * CHOOSE(CONTROL!$C$32, $C$9, 100%, $E$9)</f>
        <v>3.6856</v>
      </c>
      <c r="G52" s="33">
        <f>3.6892 * CHOOSE(CONTROL!$C$32, $C$9, 100%, $E$9)</f>
        <v>3.6892</v>
      </c>
      <c r="H52" s="33">
        <f>6.1405 * CHOOSE(CONTROL!$C$32, $C$9, 100%, $E$9)</f>
        <v>6.1405000000000003</v>
      </c>
      <c r="I52" s="33">
        <f>6.1441 * CHOOSE(CONTROL!$C$32, $C$9, 100%, $E$9)</f>
        <v>6.1440999999999999</v>
      </c>
      <c r="J52" s="33">
        <f>6.1405 * CHOOSE(CONTROL!$C$32, $C$9, 100%, $E$9)</f>
        <v>6.1405000000000003</v>
      </c>
      <c r="K52" s="33">
        <f>6.1441 * CHOOSE(CONTROL!$C$32, $C$9, 100%, $E$9)</f>
        <v>6.1440999999999999</v>
      </c>
      <c r="L52" s="33">
        <f>3.8028 * CHOOSE(CONTROL!$C$32, $C$9, 100%, $E$9)</f>
        <v>3.8028</v>
      </c>
      <c r="M52" s="33">
        <f>3.8064 * CHOOSE(CONTROL!$C$32, $C$9, 100%, $E$9)</f>
        <v>3.8064</v>
      </c>
      <c r="N52" s="33">
        <f>3.8028 * CHOOSE(CONTROL!$C$32, $C$9, 100%, $E$9)</f>
        <v>3.8028</v>
      </c>
      <c r="O52" s="33">
        <f>3.8064 * CHOOSE(CONTROL!$C$32, $C$9, 100%, $E$9)</f>
        <v>3.8064</v>
      </c>
      <c r="P52" s="10"/>
      <c r="Q52" s="33"/>
      <c r="R52" s="33"/>
    </row>
    <row r="53" spans="1:18" ht="15" x14ac:dyDescent="0.2">
      <c r="A53" s="16">
        <v>42461</v>
      </c>
      <c r="B53" s="32">
        <f>3.2637 * CHOOSE(CONTROL!$C$32, $C$9, 100%, $E$9)</f>
        <v>3.2637</v>
      </c>
      <c r="C53" s="32">
        <f>3.2637 * CHOOSE(CONTROL!$C$32, $C$9, 100%, $E$9)</f>
        <v>3.2637</v>
      </c>
      <c r="D53" s="32">
        <f>3.2648 * CHOOSE(CONTROL!$C$32, $C$9, 100%, $E$9)</f>
        <v>3.2648000000000001</v>
      </c>
      <c r="E53" s="33">
        <f>3.8942 * CHOOSE(CONTROL!$C$32, $C$9, 100%, $E$9)</f>
        <v>3.8942000000000001</v>
      </c>
      <c r="F53" s="33">
        <f>3.6856 * CHOOSE(CONTROL!$C$32, $C$9, 100%, $E$9)</f>
        <v>3.6856</v>
      </c>
      <c r="G53" s="33">
        <f>3.6892 * CHOOSE(CONTROL!$C$32, $C$9, 100%, $E$9)</f>
        <v>3.6892</v>
      </c>
      <c r="H53" s="33">
        <f>6.1533 * CHOOSE(CONTROL!$C$32, $C$9, 100%, $E$9)</f>
        <v>6.1532999999999998</v>
      </c>
      <c r="I53" s="33">
        <f>6.1569 * CHOOSE(CONTROL!$C$32, $C$9, 100%, $E$9)</f>
        <v>6.1569000000000003</v>
      </c>
      <c r="J53" s="33">
        <f>6.1533 * CHOOSE(CONTROL!$C$32, $C$9, 100%, $E$9)</f>
        <v>6.1532999999999998</v>
      </c>
      <c r="K53" s="33">
        <f>6.1569 * CHOOSE(CONTROL!$C$32, $C$9, 100%, $E$9)</f>
        <v>6.1569000000000003</v>
      </c>
      <c r="L53" s="33">
        <f>3.8942 * CHOOSE(CONTROL!$C$32, $C$9, 100%, $E$9)</f>
        <v>3.8942000000000001</v>
      </c>
      <c r="M53" s="33">
        <f>3.8978 * CHOOSE(CONTROL!$C$32, $C$9, 100%, $E$9)</f>
        <v>3.8978000000000002</v>
      </c>
      <c r="N53" s="33">
        <f>3.8942 * CHOOSE(CONTROL!$C$32, $C$9, 100%, $E$9)</f>
        <v>3.8942000000000001</v>
      </c>
      <c r="O53" s="33">
        <f>3.8978 * CHOOSE(CONTROL!$C$32, $C$9, 100%, $E$9)</f>
        <v>3.8978000000000002</v>
      </c>
      <c r="P53" s="10"/>
      <c r="Q53" s="33"/>
      <c r="R53" s="33"/>
    </row>
    <row r="54" spans="1:18" ht="15" x14ac:dyDescent="0.2">
      <c r="A54" s="16">
        <v>42491</v>
      </c>
      <c r="B54" s="32">
        <f>3.2722 * CHOOSE(CONTROL!$C$32, $C$9, 100%, $E$9)</f>
        <v>3.2722000000000002</v>
      </c>
      <c r="C54" s="32">
        <f>3.2722 * CHOOSE(CONTROL!$C$32, $C$9, 100%, $E$9)</f>
        <v>3.2722000000000002</v>
      </c>
      <c r="D54" s="32">
        <f>3.2738 * CHOOSE(CONTROL!$C$32, $C$9, 100%, $E$9)</f>
        <v>3.2738</v>
      </c>
      <c r="E54" s="33">
        <f>3.9546 * CHOOSE(CONTROL!$C$32, $C$9, 100%, $E$9)</f>
        <v>3.9546000000000001</v>
      </c>
      <c r="F54" s="33">
        <f>3.6856 * CHOOSE(CONTROL!$C$32, $C$9, 100%, $E$9)</f>
        <v>3.6856</v>
      </c>
      <c r="G54" s="33">
        <f>3.6909 * CHOOSE(CONTROL!$C$32, $C$9, 100%, $E$9)</f>
        <v>3.6909000000000001</v>
      </c>
      <c r="H54" s="33">
        <f>6.1661 * CHOOSE(CONTROL!$C$32, $C$9, 100%, $E$9)</f>
        <v>6.1661000000000001</v>
      </c>
      <c r="I54" s="33">
        <f>6.1714 * CHOOSE(CONTROL!$C$32, $C$9, 100%, $E$9)</f>
        <v>6.1714000000000002</v>
      </c>
      <c r="J54" s="33">
        <f>6.1661 * CHOOSE(CONTROL!$C$32, $C$9, 100%, $E$9)</f>
        <v>6.1661000000000001</v>
      </c>
      <c r="K54" s="33">
        <f>6.1714 * CHOOSE(CONTROL!$C$32, $C$9, 100%, $E$9)</f>
        <v>6.1714000000000002</v>
      </c>
      <c r="L54" s="33">
        <f>3.9546 * CHOOSE(CONTROL!$C$32, $C$9, 100%, $E$9)</f>
        <v>3.9546000000000001</v>
      </c>
      <c r="M54" s="33">
        <f>3.9599 * CHOOSE(CONTROL!$C$32, $C$9, 100%, $E$9)</f>
        <v>3.9599000000000002</v>
      </c>
      <c r="N54" s="33">
        <f>3.9546 * CHOOSE(CONTROL!$C$32, $C$9, 100%, $E$9)</f>
        <v>3.9546000000000001</v>
      </c>
      <c r="O54" s="33">
        <f>3.9599 * CHOOSE(CONTROL!$C$32, $C$9, 100%, $E$9)</f>
        <v>3.9599000000000002</v>
      </c>
      <c r="P54" s="10"/>
      <c r="Q54" s="33"/>
      <c r="R54" s="33"/>
    </row>
    <row r="55" spans="1:18" ht="15" x14ac:dyDescent="0.2">
      <c r="A55" s="16">
        <v>42522</v>
      </c>
      <c r="B55" s="32">
        <f>3.2786 * CHOOSE(CONTROL!$C$32, $C$9, 100%, $E$9)</f>
        <v>3.2786</v>
      </c>
      <c r="C55" s="32">
        <f>3.2786 * CHOOSE(CONTROL!$C$32, $C$9, 100%, $E$9)</f>
        <v>3.2786</v>
      </c>
      <c r="D55" s="32">
        <f>3.2801 * CHOOSE(CONTROL!$C$32, $C$9, 100%, $E$9)</f>
        <v>3.2801</v>
      </c>
      <c r="E55" s="33">
        <f>3.9458 * CHOOSE(CONTROL!$C$32, $C$9, 100%, $E$9)</f>
        <v>3.9458000000000002</v>
      </c>
      <c r="F55" s="33">
        <f>3.6856 * CHOOSE(CONTROL!$C$32, $C$9, 100%, $E$9)</f>
        <v>3.6856</v>
      </c>
      <c r="G55" s="33">
        <f>3.6909 * CHOOSE(CONTROL!$C$32, $C$9, 100%, $E$9)</f>
        <v>3.6909000000000001</v>
      </c>
      <c r="H55" s="33">
        <f>6.179 * CHOOSE(CONTROL!$C$32, $C$9, 100%, $E$9)</f>
        <v>6.1790000000000003</v>
      </c>
      <c r="I55" s="33">
        <f>6.1843 * CHOOSE(CONTROL!$C$32, $C$9, 100%, $E$9)</f>
        <v>6.1843000000000004</v>
      </c>
      <c r="J55" s="33">
        <f>6.179 * CHOOSE(CONTROL!$C$32, $C$9, 100%, $E$9)</f>
        <v>6.1790000000000003</v>
      </c>
      <c r="K55" s="33">
        <f>6.1843 * CHOOSE(CONTROL!$C$32, $C$9, 100%, $E$9)</f>
        <v>6.1843000000000004</v>
      </c>
      <c r="L55" s="33">
        <f>3.9458 * CHOOSE(CONTROL!$C$32, $C$9, 100%, $E$9)</f>
        <v>3.9458000000000002</v>
      </c>
      <c r="M55" s="33">
        <f>3.9511 * CHOOSE(CONTROL!$C$32, $C$9, 100%, $E$9)</f>
        <v>3.9510999999999998</v>
      </c>
      <c r="N55" s="33">
        <f>3.9458 * CHOOSE(CONTROL!$C$32, $C$9, 100%, $E$9)</f>
        <v>3.9458000000000002</v>
      </c>
      <c r="O55" s="33">
        <f>3.9511 * CHOOSE(CONTROL!$C$32, $C$9, 100%, $E$9)</f>
        <v>3.9510999999999998</v>
      </c>
      <c r="P55" s="10"/>
      <c r="Q55" s="33"/>
      <c r="R55" s="33"/>
    </row>
    <row r="56" spans="1:18" ht="15" x14ac:dyDescent="0.2">
      <c r="A56" s="16">
        <v>42552</v>
      </c>
      <c r="B56" s="32">
        <f>3.2759 * CHOOSE(CONTROL!$C$32, $C$9, 100%, $E$9)</f>
        <v>3.2759</v>
      </c>
      <c r="C56" s="32">
        <f>3.2759 * CHOOSE(CONTROL!$C$32, $C$9, 100%, $E$9)</f>
        <v>3.2759</v>
      </c>
      <c r="D56" s="32">
        <f>3.2774 * CHOOSE(CONTROL!$C$32, $C$9, 100%, $E$9)</f>
        <v>3.2774000000000001</v>
      </c>
      <c r="E56" s="33">
        <f>3.9546 * CHOOSE(CONTROL!$C$32, $C$9, 100%, $E$9)</f>
        <v>3.9546000000000001</v>
      </c>
      <c r="F56" s="33">
        <f>3.6856 * CHOOSE(CONTROL!$C$32, $C$9, 100%, $E$9)</f>
        <v>3.6856</v>
      </c>
      <c r="G56" s="33">
        <f>3.6909 * CHOOSE(CONTROL!$C$32, $C$9, 100%, $E$9)</f>
        <v>3.6909000000000001</v>
      </c>
      <c r="H56" s="33">
        <f>6.1919 * CHOOSE(CONTROL!$C$32, $C$9, 100%, $E$9)</f>
        <v>6.1919000000000004</v>
      </c>
      <c r="I56" s="33">
        <f>6.1972 * CHOOSE(CONTROL!$C$32, $C$9, 100%, $E$9)</f>
        <v>6.1971999999999996</v>
      </c>
      <c r="J56" s="33">
        <f>6.1919 * CHOOSE(CONTROL!$C$32, $C$9, 100%, $E$9)</f>
        <v>6.1919000000000004</v>
      </c>
      <c r="K56" s="33">
        <f>6.1972 * CHOOSE(CONTROL!$C$32, $C$9, 100%, $E$9)</f>
        <v>6.1971999999999996</v>
      </c>
      <c r="L56" s="33">
        <f>3.9546 * CHOOSE(CONTROL!$C$32, $C$9, 100%, $E$9)</f>
        <v>3.9546000000000001</v>
      </c>
      <c r="M56" s="33">
        <f>3.9599 * CHOOSE(CONTROL!$C$32, $C$9, 100%, $E$9)</f>
        <v>3.9599000000000002</v>
      </c>
      <c r="N56" s="33">
        <f>3.9546 * CHOOSE(CONTROL!$C$32, $C$9, 100%, $E$9)</f>
        <v>3.9546000000000001</v>
      </c>
      <c r="O56" s="33">
        <f>3.9599 * CHOOSE(CONTROL!$C$32, $C$9, 100%, $E$9)</f>
        <v>3.9599000000000002</v>
      </c>
      <c r="P56" s="10"/>
      <c r="Q56" s="10"/>
      <c r="R56" s="10"/>
    </row>
    <row r="57" spans="1:18" ht="15" x14ac:dyDescent="0.2">
      <c r="A57" s="16">
        <v>42583</v>
      </c>
      <c r="B57" s="32">
        <f>3.2911 * CHOOSE(CONTROL!$C$32, $C$9, 100%, $E$9)</f>
        <v>3.2911000000000001</v>
      </c>
      <c r="C57" s="32">
        <f>3.2911 * CHOOSE(CONTROL!$C$32, $C$9, 100%, $E$9)</f>
        <v>3.2911000000000001</v>
      </c>
      <c r="D57" s="32">
        <f>3.2926 * CHOOSE(CONTROL!$C$32, $C$9, 100%, $E$9)</f>
        <v>3.2926000000000002</v>
      </c>
      <c r="E57" s="33">
        <f>3.9996 * CHOOSE(CONTROL!$C$32, $C$9, 100%, $E$9)</f>
        <v>3.9996</v>
      </c>
      <c r="F57" s="33">
        <f>3.6856 * CHOOSE(CONTROL!$C$32, $C$9, 100%, $E$9)</f>
        <v>3.6856</v>
      </c>
      <c r="G57" s="33">
        <f>3.6909 * CHOOSE(CONTROL!$C$32, $C$9, 100%, $E$9)</f>
        <v>3.6909000000000001</v>
      </c>
      <c r="H57" s="33">
        <f>6.2048 * CHOOSE(CONTROL!$C$32, $C$9, 100%, $E$9)</f>
        <v>6.2047999999999996</v>
      </c>
      <c r="I57" s="33">
        <f>6.2101 * CHOOSE(CONTROL!$C$32, $C$9, 100%, $E$9)</f>
        <v>6.2100999999999997</v>
      </c>
      <c r="J57" s="33">
        <f>6.2048 * CHOOSE(CONTROL!$C$32, $C$9, 100%, $E$9)</f>
        <v>6.2047999999999996</v>
      </c>
      <c r="K57" s="33">
        <f>6.2101 * CHOOSE(CONTROL!$C$32, $C$9, 100%, $E$9)</f>
        <v>6.2100999999999997</v>
      </c>
      <c r="L57" s="33">
        <f>3.9996 * CHOOSE(CONTROL!$C$32, $C$9, 100%, $E$9)</f>
        <v>3.9996</v>
      </c>
      <c r="M57" s="33">
        <f>4.0049 * CHOOSE(CONTROL!$C$32, $C$9, 100%, $E$9)</f>
        <v>4.0049000000000001</v>
      </c>
      <c r="N57" s="33">
        <f>3.9996 * CHOOSE(CONTROL!$C$32, $C$9, 100%, $E$9)</f>
        <v>3.9996</v>
      </c>
      <c r="O57" s="33">
        <f>4.0049 * CHOOSE(CONTROL!$C$32, $C$9, 100%, $E$9)</f>
        <v>4.0049000000000001</v>
      </c>
      <c r="P57" s="10"/>
      <c r="Q57" s="10"/>
      <c r="R57" s="10"/>
    </row>
    <row r="58" spans="1:18" ht="15" x14ac:dyDescent="0.2">
      <c r="A58" s="16">
        <v>42614</v>
      </c>
      <c r="B58" s="32">
        <f>3.2883 * CHOOSE(CONTROL!$C$32, $C$9, 100%, $E$9)</f>
        <v>3.2883</v>
      </c>
      <c r="C58" s="32">
        <f>3.2883 * CHOOSE(CONTROL!$C$32, $C$9, 100%, $E$9)</f>
        <v>3.2883</v>
      </c>
      <c r="D58" s="32">
        <f>3.2898 * CHOOSE(CONTROL!$C$32, $C$9, 100%, $E$9)</f>
        <v>3.2898000000000001</v>
      </c>
      <c r="E58" s="33">
        <f>3.9458 * CHOOSE(CONTROL!$C$32, $C$9, 100%, $E$9)</f>
        <v>3.9458000000000002</v>
      </c>
      <c r="F58" s="33">
        <f>3.6856 * CHOOSE(CONTROL!$C$32, $C$9, 100%, $E$9)</f>
        <v>3.6856</v>
      </c>
      <c r="G58" s="33">
        <f>3.6909 * CHOOSE(CONTROL!$C$32, $C$9, 100%, $E$9)</f>
        <v>3.6909000000000001</v>
      </c>
      <c r="H58" s="33">
        <f>6.2177 * CHOOSE(CONTROL!$C$32, $C$9, 100%, $E$9)</f>
        <v>6.2176999999999998</v>
      </c>
      <c r="I58" s="33">
        <f>6.223 * CHOOSE(CONTROL!$C$32, $C$9, 100%, $E$9)</f>
        <v>6.2229999999999999</v>
      </c>
      <c r="J58" s="33">
        <f>6.2177 * CHOOSE(CONTROL!$C$32, $C$9, 100%, $E$9)</f>
        <v>6.2176999999999998</v>
      </c>
      <c r="K58" s="33">
        <f>6.223 * CHOOSE(CONTROL!$C$32, $C$9, 100%, $E$9)</f>
        <v>6.2229999999999999</v>
      </c>
      <c r="L58" s="33">
        <f>3.9458 * CHOOSE(CONTROL!$C$32, $C$9, 100%, $E$9)</f>
        <v>3.9458000000000002</v>
      </c>
      <c r="M58" s="33">
        <f>3.9511 * CHOOSE(CONTROL!$C$32, $C$9, 100%, $E$9)</f>
        <v>3.9510999999999998</v>
      </c>
      <c r="N58" s="33">
        <f>3.9458 * CHOOSE(CONTROL!$C$32, $C$9, 100%, $E$9)</f>
        <v>3.9458000000000002</v>
      </c>
      <c r="O58" s="33">
        <f>3.9511 * CHOOSE(CONTROL!$C$32, $C$9, 100%, $E$9)</f>
        <v>3.9510999999999998</v>
      </c>
      <c r="P58" s="10"/>
      <c r="Q58" s="10"/>
      <c r="R58" s="10"/>
    </row>
    <row r="59" spans="1:18" ht="15" x14ac:dyDescent="0.2">
      <c r="A59" s="16">
        <v>42644</v>
      </c>
      <c r="B59" s="32">
        <f>3.269 * CHOOSE(CONTROL!$C$32, $C$9, 100%, $E$9)</f>
        <v>3.2690000000000001</v>
      </c>
      <c r="C59" s="32">
        <f>3.269 * CHOOSE(CONTROL!$C$32, $C$9, 100%, $E$9)</f>
        <v>3.2690000000000001</v>
      </c>
      <c r="D59" s="32">
        <f>3.2701 * CHOOSE(CONTROL!$C$32, $C$9, 100%, $E$9)</f>
        <v>3.2700999999999998</v>
      </c>
      <c r="E59" s="33">
        <f>4.0035 * CHOOSE(CONTROL!$C$32, $C$9, 100%, $E$9)</f>
        <v>4.0034999999999998</v>
      </c>
      <c r="F59" s="33">
        <f>3.6856 * CHOOSE(CONTROL!$C$32, $C$9, 100%, $E$9)</f>
        <v>3.6856</v>
      </c>
      <c r="G59" s="33">
        <f>3.6892 * CHOOSE(CONTROL!$C$32, $C$9, 100%, $E$9)</f>
        <v>3.6892</v>
      </c>
      <c r="H59" s="33">
        <f>6.2306 * CHOOSE(CONTROL!$C$32, $C$9, 100%, $E$9)</f>
        <v>6.2305999999999999</v>
      </c>
      <c r="I59" s="33">
        <f>6.2343 * CHOOSE(CONTROL!$C$32, $C$9, 100%, $E$9)</f>
        <v>6.2343000000000002</v>
      </c>
      <c r="J59" s="33">
        <f>6.2306 * CHOOSE(CONTROL!$C$32, $C$9, 100%, $E$9)</f>
        <v>6.2305999999999999</v>
      </c>
      <c r="K59" s="33">
        <f>6.2343 * CHOOSE(CONTROL!$C$32, $C$9, 100%, $E$9)</f>
        <v>6.2343000000000002</v>
      </c>
      <c r="L59" s="33">
        <f>4.0035 * CHOOSE(CONTROL!$C$32, $C$9, 100%, $E$9)</f>
        <v>4.0034999999999998</v>
      </c>
      <c r="M59" s="33">
        <f>4.0071 * CHOOSE(CONTROL!$C$32, $C$9, 100%, $E$9)</f>
        <v>4.0071000000000003</v>
      </c>
      <c r="N59" s="33">
        <f>4.0035 * CHOOSE(CONTROL!$C$32, $C$9, 100%, $E$9)</f>
        <v>4.0034999999999998</v>
      </c>
      <c r="O59" s="33">
        <f>4.0071 * CHOOSE(CONTROL!$C$32, $C$9, 100%, $E$9)</f>
        <v>4.0071000000000003</v>
      </c>
      <c r="P59" s="10"/>
      <c r="Q59" s="10"/>
      <c r="R59" s="10"/>
    </row>
    <row r="60" spans="1:18" ht="15" x14ac:dyDescent="0.2">
      <c r="A60" s="16">
        <v>42675</v>
      </c>
      <c r="B60" s="32">
        <f>3.2806 * CHOOSE(CONTROL!$C$32, $C$9, 100%, $E$9)</f>
        <v>3.2806000000000002</v>
      </c>
      <c r="C60" s="32">
        <f>3.2806 * CHOOSE(CONTROL!$C$32, $C$9, 100%, $E$9)</f>
        <v>3.2806000000000002</v>
      </c>
      <c r="D60" s="32">
        <f>3.2817 * CHOOSE(CONTROL!$C$32, $C$9, 100%, $E$9)</f>
        <v>3.2816999999999998</v>
      </c>
      <c r="E60" s="33">
        <f>3.9579 * CHOOSE(CONTROL!$C$32, $C$9, 100%, $E$9)</f>
        <v>3.9579</v>
      </c>
      <c r="F60" s="33">
        <f>3.6856 * CHOOSE(CONTROL!$C$32, $C$9, 100%, $E$9)</f>
        <v>3.6856</v>
      </c>
      <c r="G60" s="33">
        <f>3.6892 * CHOOSE(CONTROL!$C$32, $C$9, 100%, $E$9)</f>
        <v>3.6892</v>
      </c>
      <c r="H60" s="33">
        <f>6.2436 * CHOOSE(CONTROL!$C$32, $C$9, 100%, $E$9)</f>
        <v>6.2435999999999998</v>
      </c>
      <c r="I60" s="33">
        <f>6.2472 * CHOOSE(CONTROL!$C$32, $C$9, 100%, $E$9)</f>
        <v>6.2472000000000003</v>
      </c>
      <c r="J60" s="33">
        <f>6.2436 * CHOOSE(CONTROL!$C$32, $C$9, 100%, $E$9)</f>
        <v>6.2435999999999998</v>
      </c>
      <c r="K60" s="33">
        <f>6.2472 * CHOOSE(CONTROL!$C$32, $C$9, 100%, $E$9)</f>
        <v>6.2472000000000003</v>
      </c>
      <c r="L60" s="33">
        <f>3.9579 * CHOOSE(CONTROL!$C$32, $C$9, 100%, $E$9)</f>
        <v>3.9579</v>
      </c>
      <c r="M60" s="33">
        <f>3.9615 * CHOOSE(CONTROL!$C$32, $C$9, 100%, $E$9)</f>
        <v>3.9615</v>
      </c>
      <c r="N60" s="33">
        <f>3.9579 * CHOOSE(CONTROL!$C$32, $C$9, 100%, $E$9)</f>
        <v>3.9579</v>
      </c>
      <c r="O60" s="33">
        <f>3.9615 * CHOOSE(CONTROL!$C$32, $C$9, 100%, $E$9)</f>
        <v>3.9615</v>
      </c>
      <c r="P60" s="10"/>
      <c r="Q60" s="10"/>
      <c r="R60" s="10"/>
    </row>
    <row r="61" spans="1:18" ht="15" x14ac:dyDescent="0.2">
      <c r="A61" s="16">
        <v>42705</v>
      </c>
      <c r="B61" s="32">
        <f>3.2808 * CHOOSE(CONTROL!$C$32, $C$9, 100%, $E$9)</f>
        <v>3.2808000000000002</v>
      </c>
      <c r="C61" s="32">
        <f>3.2808 * CHOOSE(CONTROL!$C$32, $C$9, 100%, $E$9)</f>
        <v>3.2808000000000002</v>
      </c>
      <c r="D61" s="32">
        <f>3.2819 * CHOOSE(CONTROL!$C$32, $C$9, 100%, $E$9)</f>
        <v>3.2818999999999998</v>
      </c>
      <c r="E61" s="33">
        <f>3.8968 * CHOOSE(CONTROL!$C$32, $C$9, 100%, $E$9)</f>
        <v>3.8967999999999998</v>
      </c>
      <c r="F61" s="33">
        <f>3.6856 * CHOOSE(CONTROL!$C$32, $C$9, 100%, $E$9)</f>
        <v>3.6856</v>
      </c>
      <c r="G61" s="33">
        <f>3.6892 * CHOOSE(CONTROL!$C$32, $C$9, 100%, $E$9)</f>
        <v>3.6892</v>
      </c>
      <c r="H61" s="33">
        <f>6.2566 * CHOOSE(CONTROL!$C$32, $C$9, 100%, $E$9)</f>
        <v>6.2565999999999997</v>
      </c>
      <c r="I61" s="33">
        <f>6.2602 * CHOOSE(CONTROL!$C$32, $C$9, 100%, $E$9)</f>
        <v>6.2602000000000002</v>
      </c>
      <c r="J61" s="33">
        <f>6.2566 * CHOOSE(CONTROL!$C$32, $C$9, 100%, $E$9)</f>
        <v>6.2565999999999997</v>
      </c>
      <c r="K61" s="33">
        <f>6.2602 * CHOOSE(CONTROL!$C$32, $C$9, 100%, $E$9)</f>
        <v>6.2602000000000002</v>
      </c>
      <c r="L61" s="33">
        <f>3.8968 * CHOOSE(CONTROL!$C$32, $C$9, 100%, $E$9)</f>
        <v>3.8967999999999998</v>
      </c>
      <c r="M61" s="33">
        <f>3.9004 * CHOOSE(CONTROL!$C$32, $C$9, 100%, $E$9)</f>
        <v>3.9003999999999999</v>
      </c>
      <c r="N61" s="33">
        <f>3.8968 * CHOOSE(CONTROL!$C$32, $C$9, 100%, $E$9)</f>
        <v>3.8967999999999998</v>
      </c>
      <c r="O61" s="33">
        <f>3.9004 * CHOOSE(CONTROL!$C$32, $C$9, 100%, $E$9)</f>
        <v>3.9003999999999999</v>
      </c>
      <c r="P61" s="10"/>
      <c r="Q61" s="10"/>
      <c r="R61" s="10"/>
    </row>
    <row r="62" spans="1:18" ht="15" x14ac:dyDescent="0.2">
      <c r="A62" s="16">
        <v>42736</v>
      </c>
      <c r="B62" s="32">
        <f>3.2762 * CHOOSE(CONTROL!$C$32, $C$9, 100%, $E$9)</f>
        <v>3.2761999999999998</v>
      </c>
      <c r="C62" s="32">
        <f>3.2762 * CHOOSE(CONTROL!$C$32, $C$9, 100%, $E$9)</f>
        <v>3.2761999999999998</v>
      </c>
      <c r="D62" s="32">
        <f>3.2773 * CHOOSE(CONTROL!$C$32, $C$9, 100%, $E$9)</f>
        <v>3.2772999999999999</v>
      </c>
      <c r="E62" s="33">
        <f>3.8371 * CHOOSE(CONTROL!$C$32, $C$9, 100%, $E$9)</f>
        <v>3.8371</v>
      </c>
      <c r="F62" s="33">
        <f>3.8371 * CHOOSE(CONTROL!$C$32, $C$9, 100%, $E$9)</f>
        <v>3.8371</v>
      </c>
      <c r="G62" s="33">
        <f>3.8407 * CHOOSE(CONTROL!$C$32, $C$9, 100%, $E$9)</f>
        <v>3.8407</v>
      </c>
      <c r="H62" s="33">
        <f>6.2697 * CHOOSE(CONTROL!$C$32, $C$9, 100%, $E$9)</f>
        <v>6.2697000000000003</v>
      </c>
      <c r="I62" s="33">
        <f>6.2733 * CHOOSE(CONTROL!$C$32, $C$9, 100%, $E$9)</f>
        <v>6.2732999999999999</v>
      </c>
      <c r="J62" s="33">
        <f>6.2697 * CHOOSE(CONTROL!$C$32, $C$9, 100%, $E$9)</f>
        <v>6.2697000000000003</v>
      </c>
      <c r="K62" s="33">
        <f>6.2733 * CHOOSE(CONTROL!$C$32, $C$9, 100%, $E$9)</f>
        <v>6.2732999999999999</v>
      </c>
      <c r="L62" s="33">
        <f>3.8371 * CHOOSE(CONTROL!$C$32, $C$9, 100%, $E$9)</f>
        <v>3.8371</v>
      </c>
      <c r="M62" s="33">
        <f>3.8407 * CHOOSE(CONTROL!$C$32, $C$9, 100%, $E$9)</f>
        <v>3.8407</v>
      </c>
      <c r="N62" s="33">
        <f>3.8371 * CHOOSE(CONTROL!$C$32, $C$9, 100%, $E$9)</f>
        <v>3.8371</v>
      </c>
      <c r="O62" s="33">
        <f>3.8407 * CHOOSE(CONTROL!$C$32, $C$9, 100%, $E$9)</f>
        <v>3.8407</v>
      </c>
      <c r="P62" s="10"/>
      <c r="Q62" s="10"/>
      <c r="R62" s="10"/>
    </row>
    <row r="63" spans="1:18" ht="15" x14ac:dyDescent="0.2">
      <c r="A63" s="16">
        <v>42767</v>
      </c>
      <c r="B63" s="32">
        <f>3.2814 * CHOOSE(CONTROL!$C$32, $C$9, 100%, $E$9)</f>
        <v>3.2814000000000001</v>
      </c>
      <c r="C63" s="32">
        <f>3.2814 * CHOOSE(CONTROL!$C$32, $C$9, 100%, $E$9)</f>
        <v>3.2814000000000001</v>
      </c>
      <c r="D63" s="32">
        <f>3.2825 * CHOOSE(CONTROL!$C$32, $C$9, 100%, $E$9)</f>
        <v>3.2825000000000002</v>
      </c>
      <c r="E63" s="33">
        <f>3.8351 * CHOOSE(CONTROL!$C$32, $C$9, 100%, $E$9)</f>
        <v>3.8351000000000002</v>
      </c>
      <c r="F63" s="33">
        <f>3.8351 * CHOOSE(CONTROL!$C$32, $C$9, 100%, $E$9)</f>
        <v>3.8351000000000002</v>
      </c>
      <c r="G63" s="33">
        <f>3.8387 * CHOOSE(CONTROL!$C$32, $C$9, 100%, $E$9)</f>
        <v>3.8386999999999998</v>
      </c>
      <c r="H63" s="33">
        <f>6.2827 * CHOOSE(CONTROL!$C$32, $C$9, 100%, $E$9)</f>
        <v>6.2827000000000002</v>
      </c>
      <c r="I63" s="33">
        <f>6.2863 * CHOOSE(CONTROL!$C$32, $C$9, 100%, $E$9)</f>
        <v>6.2862999999999998</v>
      </c>
      <c r="J63" s="33">
        <f>6.2827 * CHOOSE(CONTROL!$C$32, $C$9, 100%, $E$9)</f>
        <v>6.2827000000000002</v>
      </c>
      <c r="K63" s="33">
        <f>6.2863 * CHOOSE(CONTROL!$C$32, $C$9, 100%, $E$9)</f>
        <v>6.2862999999999998</v>
      </c>
      <c r="L63" s="33">
        <f>3.8351 * CHOOSE(CONTROL!$C$32, $C$9, 100%, $E$9)</f>
        <v>3.8351000000000002</v>
      </c>
      <c r="M63" s="33">
        <f>3.8387 * CHOOSE(CONTROL!$C$32, $C$9, 100%, $E$9)</f>
        <v>3.8386999999999998</v>
      </c>
      <c r="N63" s="33">
        <f>3.8351 * CHOOSE(CONTROL!$C$32, $C$9, 100%, $E$9)</f>
        <v>3.8351000000000002</v>
      </c>
      <c r="O63" s="33">
        <f>3.8387 * CHOOSE(CONTROL!$C$32, $C$9, 100%, $E$9)</f>
        <v>3.8386999999999998</v>
      </c>
      <c r="P63" s="10"/>
      <c r="Q63" s="10"/>
      <c r="R63" s="10"/>
    </row>
    <row r="64" spans="1:18" ht="15" x14ac:dyDescent="0.2">
      <c r="A64" s="16">
        <v>42795</v>
      </c>
      <c r="B64" s="32">
        <f>3.2785 * CHOOSE(CONTROL!$C$32, $C$9, 100%, $E$9)</f>
        <v>3.2785000000000002</v>
      </c>
      <c r="C64" s="32">
        <f>3.2785 * CHOOSE(CONTROL!$C$32, $C$9, 100%, $E$9)</f>
        <v>3.2785000000000002</v>
      </c>
      <c r="D64" s="32">
        <f>3.2796 * CHOOSE(CONTROL!$C$32, $C$9, 100%, $E$9)</f>
        <v>3.2795999999999998</v>
      </c>
      <c r="E64" s="33">
        <f>3.8331 * CHOOSE(CONTROL!$C$32, $C$9, 100%, $E$9)</f>
        <v>3.8331</v>
      </c>
      <c r="F64" s="33">
        <f>3.8331 * CHOOSE(CONTROL!$C$32, $C$9, 100%, $E$9)</f>
        <v>3.8331</v>
      </c>
      <c r="G64" s="33">
        <f>3.8367 * CHOOSE(CONTROL!$C$32, $C$9, 100%, $E$9)</f>
        <v>3.8367</v>
      </c>
      <c r="H64" s="33">
        <f>6.2958 * CHOOSE(CONTROL!$C$32, $C$9, 100%, $E$9)</f>
        <v>6.2957999999999998</v>
      </c>
      <c r="I64" s="33">
        <f>6.2994 * CHOOSE(CONTROL!$C$32, $C$9, 100%, $E$9)</f>
        <v>6.2994000000000003</v>
      </c>
      <c r="J64" s="33">
        <f>6.2958 * CHOOSE(CONTROL!$C$32, $C$9, 100%, $E$9)</f>
        <v>6.2957999999999998</v>
      </c>
      <c r="K64" s="33">
        <f>6.2994 * CHOOSE(CONTROL!$C$32, $C$9, 100%, $E$9)</f>
        <v>6.2994000000000003</v>
      </c>
      <c r="L64" s="33">
        <f>3.8331 * CHOOSE(CONTROL!$C$32, $C$9, 100%, $E$9)</f>
        <v>3.8331</v>
      </c>
      <c r="M64" s="33">
        <f>3.8367 * CHOOSE(CONTROL!$C$32, $C$9, 100%, $E$9)</f>
        <v>3.8367</v>
      </c>
      <c r="N64" s="33">
        <f>3.8331 * CHOOSE(CONTROL!$C$32, $C$9, 100%, $E$9)</f>
        <v>3.8331</v>
      </c>
      <c r="O64" s="33">
        <f>3.8367 * CHOOSE(CONTROL!$C$32, $C$9, 100%, $E$9)</f>
        <v>3.8367</v>
      </c>
      <c r="P64" s="10"/>
      <c r="Q64" s="10"/>
      <c r="R64" s="10"/>
    </row>
    <row r="65" spans="1:18" ht="15" x14ac:dyDescent="0.2">
      <c r="A65" s="16">
        <v>42826</v>
      </c>
      <c r="B65" s="32">
        <f>3.2725 * CHOOSE(CONTROL!$C$32, $C$9, 100%, $E$9)</f>
        <v>3.2725</v>
      </c>
      <c r="C65" s="32">
        <f>3.2725 * CHOOSE(CONTROL!$C$32, $C$9, 100%, $E$9)</f>
        <v>3.2725</v>
      </c>
      <c r="D65" s="32">
        <f>3.2735 * CHOOSE(CONTROL!$C$32, $C$9, 100%, $E$9)</f>
        <v>3.2734999999999999</v>
      </c>
      <c r="E65" s="33">
        <f>3.8305 * CHOOSE(CONTROL!$C$32, $C$9, 100%, $E$9)</f>
        <v>3.8304999999999998</v>
      </c>
      <c r="F65" s="33">
        <f>3.8305 * CHOOSE(CONTROL!$C$32, $C$9, 100%, $E$9)</f>
        <v>3.8304999999999998</v>
      </c>
      <c r="G65" s="33">
        <f>3.8342 * CHOOSE(CONTROL!$C$32, $C$9, 100%, $E$9)</f>
        <v>3.8342000000000001</v>
      </c>
      <c r="H65" s="33">
        <f>6.3089 * CHOOSE(CONTROL!$C$32, $C$9, 100%, $E$9)</f>
        <v>6.3089000000000004</v>
      </c>
      <c r="I65" s="33">
        <f>6.3125 * CHOOSE(CONTROL!$C$32, $C$9, 100%, $E$9)</f>
        <v>6.3125</v>
      </c>
      <c r="J65" s="33">
        <f>6.3089 * CHOOSE(CONTROL!$C$32, $C$9, 100%, $E$9)</f>
        <v>6.3089000000000004</v>
      </c>
      <c r="K65" s="33">
        <f>6.3125 * CHOOSE(CONTROL!$C$32, $C$9, 100%, $E$9)</f>
        <v>6.3125</v>
      </c>
      <c r="L65" s="33">
        <f>3.8305 * CHOOSE(CONTROL!$C$32, $C$9, 100%, $E$9)</f>
        <v>3.8304999999999998</v>
      </c>
      <c r="M65" s="33">
        <f>3.8342 * CHOOSE(CONTROL!$C$32, $C$9, 100%, $E$9)</f>
        <v>3.8342000000000001</v>
      </c>
      <c r="N65" s="33">
        <f>3.8305 * CHOOSE(CONTROL!$C$32, $C$9, 100%, $E$9)</f>
        <v>3.8304999999999998</v>
      </c>
      <c r="O65" s="33">
        <f>3.8342 * CHOOSE(CONTROL!$C$32, $C$9, 100%, $E$9)</f>
        <v>3.8342000000000001</v>
      </c>
      <c r="P65" s="10"/>
      <c r="Q65" s="10"/>
      <c r="R65" s="10"/>
    </row>
    <row r="66" spans="1:18" ht="15" x14ac:dyDescent="0.2">
      <c r="A66" s="16">
        <v>42856</v>
      </c>
      <c r="B66" s="32">
        <f>3.2809 * CHOOSE(CONTROL!$C$32, $C$9, 100%, $E$9)</f>
        <v>3.2808999999999999</v>
      </c>
      <c r="C66" s="32">
        <f>3.2809 * CHOOSE(CONTROL!$C$32, $C$9, 100%, $E$9)</f>
        <v>3.2808999999999999</v>
      </c>
      <c r="D66" s="32">
        <f>3.2825 * CHOOSE(CONTROL!$C$32, $C$9, 100%, $E$9)</f>
        <v>3.2825000000000002</v>
      </c>
      <c r="E66" s="33">
        <f>3.8305 * CHOOSE(CONTROL!$C$32, $C$9, 100%, $E$9)</f>
        <v>3.8304999999999998</v>
      </c>
      <c r="F66" s="33">
        <f>3.8305 * CHOOSE(CONTROL!$C$32, $C$9, 100%, $E$9)</f>
        <v>3.8304999999999998</v>
      </c>
      <c r="G66" s="33">
        <f>3.8358 * CHOOSE(CONTROL!$C$32, $C$9, 100%, $E$9)</f>
        <v>3.8357999999999999</v>
      </c>
      <c r="H66" s="33">
        <f>6.3221 * CHOOSE(CONTROL!$C$32, $C$9, 100%, $E$9)</f>
        <v>6.3220999999999998</v>
      </c>
      <c r="I66" s="33">
        <f>6.3274 * CHOOSE(CONTROL!$C$32, $C$9, 100%, $E$9)</f>
        <v>6.3273999999999999</v>
      </c>
      <c r="J66" s="33">
        <f>6.3221 * CHOOSE(CONTROL!$C$32, $C$9, 100%, $E$9)</f>
        <v>6.3220999999999998</v>
      </c>
      <c r="K66" s="33">
        <f>6.3274 * CHOOSE(CONTROL!$C$32, $C$9, 100%, $E$9)</f>
        <v>6.3273999999999999</v>
      </c>
      <c r="L66" s="33">
        <f>3.8305 * CHOOSE(CONTROL!$C$32, $C$9, 100%, $E$9)</f>
        <v>3.8304999999999998</v>
      </c>
      <c r="M66" s="33">
        <f>3.8358 * CHOOSE(CONTROL!$C$32, $C$9, 100%, $E$9)</f>
        <v>3.8357999999999999</v>
      </c>
      <c r="N66" s="33">
        <f>3.8305 * CHOOSE(CONTROL!$C$32, $C$9, 100%, $E$9)</f>
        <v>3.8304999999999998</v>
      </c>
      <c r="O66" s="33">
        <f>3.8358 * CHOOSE(CONTROL!$C$32, $C$9, 100%, $E$9)</f>
        <v>3.8357999999999999</v>
      </c>
      <c r="P66" s="10"/>
      <c r="Q66" s="10"/>
      <c r="R66" s="10"/>
    </row>
    <row r="67" spans="1:18" ht="15" x14ac:dyDescent="0.2">
      <c r="A67" s="16">
        <v>42887</v>
      </c>
      <c r="B67" s="32">
        <f>3.2871 * CHOOSE(CONTROL!$C$32, $C$9, 100%, $E$9)</f>
        <v>3.2871000000000001</v>
      </c>
      <c r="C67" s="32">
        <f>3.2871 * CHOOSE(CONTROL!$C$32, $C$9, 100%, $E$9)</f>
        <v>3.2871000000000001</v>
      </c>
      <c r="D67" s="32">
        <f>3.2887 * CHOOSE(CONTROL!$C$32, $C$9, 100%, $E$9)</f>
        <v>3.2887</v>
      </c>
      <c r="E67" s="33">
        <f>3.8345 * CHOOSE(CONTROL!$C$32, $C$9, 100%, $E$9)</f>
        <v>3.8344999999999998</v>
      </c>
      <c r="F67" s="33">
        <f>3.8345 * CHOOSE(CONTROL!$C$32, $C$9, 100%, $E$9)</f>
        <v>3.8344999999999998</v>
      </c>
      <c r="G67" s="33">
        <f>3.8398 * CHOOSE(CONTROL!$C$32, $C$9, 100%, $E$9)</f>
        <v>3.8397999999999999</v>
      </c>
      <c r="H67" s="33">
        <f>6.3352 * CHOOSE(CONTROL!$C$32, $C$9, 100%, $E$9)</f>
        <v>6.3352000000000004</v>
      </c>
      <c r="I67" s="33">
        <f>6.3405 * CHOOSE(CONTROL!$C$32, $C$9, 100%, $E$9)</f>
        <v>6.3404999999999996</v>
      </c>
      <c r="J67" s="33">
        <f>6.3352 * CHOOSE(CONTROL!$C$32, $C$9, 100%, $E$9)</f>
        <v>6.3352000000000004</v>
      </c>
      <c r="K67" s="33">
        <f>6.3405 * CHOOSE(CONTROL!$C$32, $C$9, 100%, $E$9)</f>
        <v>6.3404999999999996</v>
      </c>
      <c r="L67" s="33">
        <f>3.8345 * CHOOSE(CONTROL!$C$32, $C$9, 100%, $E$9)</f>
        <v>3.8344999999999998</v>
      </c>
      <c r="M67" s="33">
        <f>3.8398 * CHOOSE(CONTROL!$C$32, $C$9, 100%, $E$9)</f>
        <v>3.8397999999999999</v>
      </c>
      <c r="N67" s="33">
        <f>3.8345 * CHOOSE(CONTROL!$C$32, $C$9, 100%, $E$9)</f>
        <v>3.8344999999999998</v>
      </c>
      <c r="O67" s="33">
        <f>3.8398 * CHOOSE(CONTROL!$C$32, $C$9, 100%, $E$9)</f>
        <v>3.8397999999999999</v>
      </c>
      <c r="P67" s="10"/>
      <c r="Q67" s="10"/>
      <c r="R67" s="10"/>
    </row>
    <row r="68" spans="1:18" ht="15" x14ac:dyDescent="0.2">
      <c r="A68" s="16">
        <v>42917</v>
      </c>
      <c r="B68" s="32">
        <f>3.3418 * CHOOSE(CONTROL!$C$32, $C$9, 100%, $E$9)</f>
        <v>3.3418000000000001</v>
      </c>
      <c r="C68" s="32">
        <f>3.3418 * CHOOSE(CONTROL!$C$32, $C$9, 100%, $E$9)</f>
        <v>3.3418000000000001</v>
      </c>
      <c r="D68" s="32">
        <f>3.3434 * CHOOSE(CONTROL!$C$32, $C$9, 100%, $E$9)</f>
        <v>3.3433999999999999</v>
      </c>
      <c r="E68" s="33">
        <f>3.9255 * CHOOSE(CONTROL!$C$32, $C$9, 100%, $E$9)</f>
        <v>3.9255</v>
      </c>
      <c r="F68" s="33">
        <f>3.9255 * CHOOSE(CONTROL!$C$32, $C$9, 100%, $E$9)</f>
        <v>3.9255</v>
      </c>
      <c r="G68" s="33">
        <f>3.9308 * CHOOSE(CONTROL!$C$32, $C$9, 100%, $E$9)</f>
        <v>3.9308000000000001</v>
      </c>
      <c r="H68" s="33">
        <f>6.3484 * CHOOSE(CONTROL!$C$32, $C$9, 100%, $E$9)</f>
        <v>6.3483999999999998</v>
      </c>
      <c r="I68" s="33">
        <f>6.3537 * CHOOSE(CONTROL!$C$32, $C$9, 100%, $E$9)</f>
        <v>6.3536999999999999</v>
      </c>
      <c r="J68" s="33">
        <f>6.3484 * CHOOSE(CONTROL!$C$32, $C$9, 100%, $E$9)</f>
        <v>6.3483999999999998</v>
      </c>
      <c r="K68" s="33">
        <f>6.3537 * CHOOSE(CONTROL!$C$32, $C$9, 100%, $E$9)</f>
        <v>6.3536999999999999</v>
      </c>
      <c r="L68" s="33">
        <f>3.9255 * CHOOSE(CONTROL!$C$32, $C$9, 100%, $E$9)</f>
        <v>3.9255</v>
      </c>
      <c r="M68" s="33">
        <f>3.9308 * CHOOSE(CONTROL!$C$32, $C$9, 100%, $E$9)</f>
        <v>3.9308000000000001</v>
      </c>
      <c r="N68" s="33">
        <f>3.9255 * CHOOSE(CONTROL!$C$32, $C$9, 100%, $E$9)</f>
        <v>3.9255</v>
      </c>
      <c r="O68" s="33">
        <f>3.9308 * CHOOSE(CONTROL!$C$32, $C$9, 100%, $E$9)</f>
        <v>3.9308000000000001</v>
      </c>
      <c r="P68" s="10"/>
      <c r="Q68" s="10"/>
      <c r="R68" s="10"/>
    </row>
    <row r="69" spans="1:18" ht="15" x14ac:dyDescent="0.2">
      <c r="A69" s="16">
        <v>42948</v>
      </c>
      <c r="B69" s="32">
        <f>3.357 * CHOOSE(CONTROL!$C$32, $C$9, 100%, $E$9)</f>
        <v>3.3570000000000002</v>
      </c>
      <c r="C69" s="32">
        <f>3.357 * CHOOSE(CONTROL!$C$32, $C$9, 100%, $E$9)</f>
        <v>3.3570000000000002</v>
      </c>
      <c r="D69" s="32">
        <f>3.3586 * CHOOSE(CONTROL!$C$32, $C$9, 100%, $E$9)</f>
        <v>3.3586</v>
      </c>
      <c r="E69" s="33">
        <f>3.9299 * CHOOSE(CONTROL!$C$32, $C$9, 100%, $E$9)</f>
        <v>3.9298999999999999</v>
      </c>
      <c r="F69" s="33">
        <f>3.9299 * CHOOSE(CONTROL!$C$32, $C$9, 100%, $E$9)</f>
        <v>3.9298999999999999</v>
      </c>
      <c r="G69" s="33">
        <f>3.9352 * CHOOSE(CONTROL!$C$32, $C$9, 100%, $E$9)</f>
        <v>3.9352</v>
      </c>
      <c r="H69" s="33">
        <f>6.3617 * CHOOSE(CONTROL!$C$32, $C$9, 100%, $E$9)</f>
        <v>6.3616999999999999</v>
      </c>
      <c r="I69" s="33">
        <f>6.367 * CHOOSE(CONTROL!$C$32, $C$9, 100%, $E$9)</f>
        <v>6.367</v>
      </c>
      <c r="J69" s="33">
        <f>6.3617 * CHOOSE(CONTROL!$C$32, $C$9, 100%, $E$9)</f>
        <v>6.3616999999999999</v>
      </c>
      <c r="K69" s="33">
        <f>6.367 * CHOOSE(CONTROL!$C$32, $C$9, 100%, $E$9)</f>
        <v>6.367</v>
      </c>
      <c r="L69" s="33">
        <f>3.9299 * CHOOSE(CONTROL!$C$32, $C$9, 100%, $E$9)</f>
        <v>3.9298999999999999</v>
      </c>
      <c r="M69" s="33">
        <f>3.9352 * CHOOSE(CONTROL!$C$32, $C$9, 100%, $E$9)</f>
        <v>3.9352</v>
      </c>
      <c r="N69" s="33">
        <f>3.9299 * CHOOSE(CONTROL!$C$32, $C$9, 100%, $E$9)</f>
        <v>3.9298999999999999</v>
      </c>
      <c r="O69" s="33">
        <f>3.9352 * CHOOSE(CONTROL!$C$32, $C$9, 100%, $E$9)</f>
        <v>3.9352</v>
      </c>
      <c r="P69" s="10"/>
      <c r="Q69" s="10"/>
      <c r="R69" s="10"/>
    </row>
    <row r="70" spans="1:18" ht="15" x14ac:dyDescent="0.2">
      <c r="A70" s="16">
        <v>42979</v>
      </c>
      <c r="B70" s="32">
        <f>3.354 * CHOOSE(CONTROL!$C$32, $C$9, 100%, $E$9)</f>
        <v>3.3540000000000001</v>
      </c>
      <c r="C70" s="32">
        <f>3.354 * CHOOSE(CONTROL!$C$32, $C$9, 100%, $E$9)</f>
        <v>3.3540000000000001</v>
      </c>
      <c r="D70" s="32">
        <f>3.3556 * CHOOSE(CONTROL!$C$32, $C$9, 100%, $E$9)</f>
        <v>3.3555999999999999</v>
      </c>
      <c r="E70" s="33">
        <f>3.9279 * CHOOSE(CONTROL!$C$32, $C$9, 100%, $E$9)</f>
        <v>3.9279000000000002</v>
      </c>
      <c r="F70" s="33">
        <f>3.9279 * CHOOSE(CONTROL!$C$32, $C$9, 100%, $E$9)</f>
        <v>3.9279000000000002</v>
      </c>
      <c r="G70" s="33">
        <f>3.9332 * CHOOSE(CONTROL!$C$32, $C$9, 100%, $E$9)</f>
        <v>3.9331999999999998</v>
      </c>
      <c r="H70" s="33">
        <f>6.3749 * CHOOSE(CONTROL!$C$32, $C$9, 100%, $E$9)</f>
        <v>6.3749000000000002</v>
      </c>
      <c r="I70" s="33">
        <f>6.3802 * CHOOSE(CONTROL!$C$32, $C$9, 100%, $E$9)</f>
        <v>6.3802000000000003</v>
      </c>
      <c r="J70" s="33">
        <f>6.3749 * CHOOSE(CONTROL!$C$32, $C$9, 100%, $E$9)</f>
        <v>6.3749000000000002</v>
      </c>
      <c r="K70" s="33">
        <f>6.3802 * CHOOSE(CONTROL!$C$32, $C$9, 100%, $E$9)</f>
        <v>6.3802000000000003</v>
      </c>
      <c r="L70" s="33">
        <f>3.9279 * CHOOSE(CONTROL!$C$32, $C$9, 100%, $E$9)</f>
        <v>3.9279000000000002</v>
      </c>
      <c r="M70" s="33">
        <f>3.9332 * CHOOSE(CONTROL!$C$32, $C$9, 100%, $E$9)</f>
        <v>3.9331999999999998</v>
      </c>
      <c r="N70" s="33">
        <f>3.9279 * CHOOSE(CONTROL!$C$32, $C$9, 100%, $E$9)</f>
        <v>3.9279000000000002</v>
      </c>
      <c r="O70" s="33">
        <f>3.9332 * CHOOSE(CONTROL!$C$32, $C$9, 100%, $E$9)</f>
        <v>3.9331999999999998</v>
      </c>
      <c r="P70" s="10"/>
      <c r="Q70" s="10"/>
      <c r="R70" s="10"/>
    </row>
    <row r="71" spans="1:18" ht="15" x14ac:dyDescent="0.2">
      <c r="A71" s="16">
        <v>43009</v>
      </c>
      <c r="B71" s="32">
        <f>3.3348 * CHOOSE(CONTROL!$C$32, $C$9, 100%, $E$9)</f>
        <v>3.3348</v>
      </c>
      <c r="C71" s="32">
        <f>3.3348 * CHOOSE(CONTROL!$C$32, $C$9, 100%, $E$9)</f>
        <v>3.3348</v>
      </c>
      <c r="D71" s="32">
        <f>3.3358 * CHOOSE(CONTROL!$C$32, $C$9, 100%, $E$9)</f>
        <v>3.3357999999999999</v>
      </c>
      <c r="E71" s="33">
        <f>3.9209 * CHOOSE(CONTROL!$C$32, $C$9, 100%, $E$9)</f>
        <v>3.9209000000000001</v>
      </c>
      <c r="F71" s="33">
        <f>3.9209 * CHOOSE(CONTROL!$C$32, $C$9, 100%, $E$9)</f>
        <v>3.9209000000000001</v>
      </c>
      <c r="G71" s="33">
        <f>3.9245 * CHOOSE(CONTROL!$C$32, $C$9, 100%, $E$9)</f>
        <v>3.9245000000000001</v>
      </c>
      <c r="H71" s="33">
        <f>6.3882 * CHOOSE(CONTROL!$C$32, $C$9, 100%, $E$9)</f>
        <v>6.3882000000000003</v>
      </c>
      <c r="I71" s="33">
        <f>6.3918 * CHOOSE(CONTROL!$C$32, $C$9, 100%, $E$9)</f>
        <v>6.3917999999999999</v>
      </c>
      <c r="J71" s="33">
        <f>6.3882 * CHOOSE(CONTROL!$C$32, $C$9, 100%, $E$9)</f>
        <v>6.3882000000000003</v>
      </c>
      <c r="K71" s="33">
        <f>6.3918 * CHOOSE(CONTROL!$C$32, $C$9, 100%, $E$9)</f>
        <v>6.3917999999999999</v>
      </c>
      <c r="L71" s="33">
        <f>3.9209 * CHOOSE(CONTROL!$C$32, $C$9, 100%, $E$9)</f>
        <v>3.9209000000000001</v>
      </c>
      <c r="M71" s="33">
        <f>3.9245 * CHOOSE(CONTROL!$C$32, $C$9, 100%, $E$9)</f>
        <v>3.9245000000000001</v>
      </c>
      <c r="N71" s="33">
        <f>3.9209 * CHOOSE(CONTROL!$C$32, $C$9, 100%, $E$9)</f>
        <v>3.9209000000000001</v>
      </c>
      <c r="O71" s="33">
        <f>3.9245 * CHOOSE(CONTROL!$C$32, $C$9, 100%, $E$9)</f>
        <v>3.9245000000000001</v>
      </c>
      <c r="P71" s="10"/>
      <c r="Q71" s="10"/>
      <c r="R71" s="10"/>
    </row>
    <row r="72" spans="1:18" ht="15" x14ac:dyDescent="0.2">
      <c r="A72" s="16">
        <v>43040</v>
      </c>
      <c r="B72" s="32">
        <f>3.3463 * CHOOSE(CONTROL!$C$32, $C$9, 100%, $E$9)</f>
        <v>3.3462999999999998</v>
      </c>
      <c r="C72" s="32">
        <f>3.3463 * CHOOSE(CONTROL!$C$32, $C$9, 100%, $E$9)</f>
        <v>3.3462999999999998</v>
      </c>
      <c r="D72" s="32">
        <f>3.3474 * CHOOSE(CONTROL!$C$32, $C$9, 100%, $E$9)</f>
        <v>3.3473999999999999</v>
      </c>
      <c r="E72" s="33">
        <f>3.9229 * CHOOSE(CONTROL!$C$32, $C$9, 100%, $E$9)</f>
        <v>3.9228999999999998</v>
      </c>
      <c r="F72" s="33">
        <f>3.9229 * CHOOSE(CONTROL!$C$32, $C$9, 100%, $E$9)</f>
        <v>3.9228999999999998</v>
      </c>
      <c r="G72" s="33">
        <f>3.9265 * CHOOSE(CONTROL!$C$32, $C$9, 100%, $E$9)</f>
        <v>3.9264999999999999</v>
      </c>
      <c r="H72" s="33">
        <f>6.4015 * CHOOSE(CONTROL!$C$32, $C$9, 100%, $E$9)</f>
        <v>6.4015000000000004</v>
      </c>
      <c r="I72" s="33">
        <f>6.4051 * CHOOSE(CONTROL!$C$32, $C$9, 100%, $E$9)</f>
        <v>6.4051</v>
      </c>
      <c r="J72" s="33">
        <f>6.4015 * CHOOSE(CONTROL!$C$32, $C$9, 100%, $E$9)</f>
        <v>6.4015000000000004</v>
      </c>
      <c r="K72" s="33">
        <f>6.4051 * CHOOSE(CONTROL!$C$32, $C$9, 100%, $E$9)</f>
        <v>6.4051</v>
      </c>
      <c r="L72" s="33">
        <f>3.9229 * CHOOSE(CONTROL!$C$32, $C$9, 100%, $E$9)</f>
        <v>3.9228999999999998</v>
      </c>
      <c r="M72" s="33">
        <f>3.9265 * CHOOSE(CONTROL!$C$32, $C$9, 100%, $E$9)</f>
        <v>3.9264999999999999</v>
      </c>
      <c r="N72" s="33">
        <f>3.9229 * CHOOSE(CONTROL!$C$32, $C$9, 100%, $E$9)</f>
        <v>3.9228999999999998</v>
      </c>
      <c r="O72" s="33">
        <f>3.9265 * CHOOSE(CONTROL!$C$32, $C$9, 100%, $E$9)</f>
        <v>3.9264999999999999</v>
      </c>
      <c r="P72" s="10"/>
      <c r="Q72" s="10"/>
      <c r="R72" s="10"/>
    </row>
    <row r="73" spans="1:18" ht="15" x14ac:dyDescent="0.2">
      <c r="A73" s="16">
        <v>43070</v>
      </c>
      <c r="B73" s="32">
        <f>3.3463 * CHOOSE(CONTROL!$C$32, $C$9, 100%, $E$9)</f>
        <v>3.3462999999999998</v>
      </c>
      <c r="C73" s="32">
        <f>3.3463 * CHOOSE(CONTROL!$C$32, $C$9, 100%, $E$9)</f>
        <v>3.3462999999999998</v>
      </c>
      <c r="D73" s="32">
        <f>3.3474 * CHOOSE(CONTROL!$C$32, $C$9, 100%, $E$9)</f>
        <v>3.3473999999999999</v>
      </c>
      <c r="E73" s="33">
        <f>3.9229 * CHOOSE(CONTROL!$C$32, $C$9, 100%, $E$9)</f>
        <v>3.9228999999999998</v>
      </c>
      <c r="F73" s="33">
        <f>3.9229 * CHOOSE(CONTROL!$C$32, $C$9, 100%, $E$9)</f>
        <v>3.9228999999999998</v>
      </c>
      <c r="G73" s="33">
        <f>3.9265 * CHOOSE(CONTROL!$C$32, $C$9, 100%, $E$9)</f>
        <v>3.9264999999999999</v>
      </c>
      <c r="H73" s="33">
        <f>6.4148 * CHOOSE(CONTROL!$C$32, $C$9, 100%, $E$9)</f>
        <v>6.4147999999999996</v>
      </c>
      <c r="I73" s="33">
        <f>6.4185 * CHOOSE(CONTROL!$C$32, $C$9, 100%, $E$9)</f>
        <v>6.4184999999999999</v>
      </c>
      <c r="J73" s="33">
        <f>6.4148 * CHOOSE(CONTROL!$C$32, $C$9, 100%, $E$9)</f>
        <v>6.4147999999999996</v>
      </c>
      <c r="K73" s="33">
        <f>6.4185 * CHOOSE(CONTROL!$C$32, $C$9, 100%, $E$9)</f>
        <v>6.4184999999999999</v>
      </c>
      <c r="L73" s="33">
        <f>3.9229 * CHOOSE(CONTROL!$C$32, $C$9, 100%, $E$9)</f>
        <v>3.9228999999999998</v>
      </c>
      <c r="M73" s="33">
        <f>3.9265 * CHOOSE(CONTROL!$C$32, $C$9, 100%, $E$9)</f>
        <v>3.9264999999999999</v>
      </c>
      <c r="N73" s="33">
        <f>3.9229 * CHOOSE(CONTROL!$C$32, $C$9, 100%, $E$9)</f>
        <v>3.9228999999999998</v>
      </c>
      <c r="O73" s="33">
        <f>3.9265 * CHOOSE(CONTROL!$C$32, $C$9, 100%, $E$9)</f>
        <v>3.9264999999999999</v>
      </c>
      <c r="P73" s="10"/>
      <c r="Q73" s="10"/>
      <c r="R73" s="10"/>
    </row>
    <row r="74" spans="1:18" ht="15" x14ac:dyDescent="0.2">
      <c r="A74" s="16">
        <v>43101</v>
      </c>
      <c r="B74" s="32">
        <f>3.3747 * CHOOSE(CONTROL!$C$32, $C$9, 100%, $E$9)</f>
        <v>3.3746999999999998</v>
      </c>
      <c r="C74" s="32">
        <f>3.3747 * CHOOSE(CONTROL!$C$32, $C$9, 100%, $E$9)</f>
        <v>3.3746999999999998</v>
      </c>
      <c r="D74" s="32">
        <f>3.3758 * CHOOSE(CONTROL!$C$32, $C$9, 100%, $E$9)</f>
        <v>3.3757999999999999</v>
      </c>
      <c r="E74" s="33">
        <f>3.9606 * CHOOSE(CONTROL!$C$32, $C$9, 100%, $E$9)</f>
        <v>3.9605999999999999</v>
      </c>
      <c r="F74" s="33">
        <f>3.9606 * CHOOSE(CONTROL!$C$32, $C$9, 100%, $E$9)</f>
        <v>3.9605999999999999</v>
      </c>
      <c r="G74" s="33">
        <f>3.9642 * CHOOSE(CONTROL!$C$32, $C$9, 100%, $E$9)</f>
        <v>3.9641999999999999</v>
      </c>
      <c r="H74" s="33">
        <f>6.4282 * CHOOSE(CONTROL!$C$32, $C$9, 100%, $E$9)</f>
        <v>6.4282000000000004</v>
      </c>
      <c r="I74" s="33">
        <f>6.4318 * CHOOSE(CONTROL!$C$32, $C$9, 100%, $E$9)</f>
        <v>6.4318</v>
      </c>
      <c r="J74" s="33">
        <f>6.4282 * CHOOSE(CONTROL!$C$32, $C$9, 100%, $E$9)</f>
        <v>6.4282000000000004</v>
      </c>
      <c r="K74" s="33">
        <f>6.4318 * CHOOSE(CONTROL!$C$32, $C$9, 100%, $E$9)</f>
        <v>6.4318</v>
      </c>
      <c r="L74" s="33">
        <f>3.9606 * CHOOSE(CONTROL!$C$32, $C$9, 100%, $E$9)</f>
        <v>3.9605999999999999</v>
      </c>
      <c r="M74" s="33">
        <f>3.9642 * CHOOSE(CONTROL!$C$32, $C$9, 100%, $E$9)</f>
        <v>3.9641999999999999</v>
      </c>
      <c r="N74" s="33">
        <f>3.9606 * CHOOSE(CONTROL!$C$32, $C$9, 100%, $E$9)</f>
        <v>3.9605999999999999</v>
      </c>
      <c r="O74" s="33">
        <f>3.9642 * CHOOSE(CONTROL!$C$32, $C$9, 100%, $E$9)</f>
        <v>3.9641999999999999</v>
      </c>
      <c r="P74" s="10"/>
      <c r="Q74" s="10"/>
      <c r="R74" s="10"/>
    </row>
    <row r="75" spans="1:18" ht="15" x14ac:dyDescent="0.2">
      <c r="A75" s="16">
        <v>43132</v>
      </c>
      <c r="B75" s="32">
        <f>3.3805 * CHOOSE(CONTROL!$C$32, $C$9, 100%, $E$9)</f>
        <v>3.3805000000000001</v>
      </c>
      <c r="C75" s="32">
        <f>3.3805 * CHOOSE(CONTROL!$C$32, $C$9, 100%, $E$9)</f>
        <v>3.3805000000000001</v>
      </c>
      <c r="D75" s="32">
        <f>3.3816 * CHOOSE(CONTROL!$C$32, $C$9, 100%, $E$9)</f>
        <v>3.3816000000000002</v>
      </c>
      <c r="E75" s="33">
        <f>3.9586 * CHOOSE(CONTROL!$C$32, $C$9, 100%, $E$9)</f>
        <v>3.9586000000000001</v>
      </c>
      <c r="F75" s="33">
        <f>3.9586 * CHOOSE(CONTROL!$C$32, $C$9, 100%, $E$9)</f>
        <v>3.9586000000000001</v>
      </c>
      <c r="G75" s="33">
        <f>3.9622 * CHOOSE(CONTROL!$C$32, $C$9, 100%, $E$9)</f>
        <v>3.9622000000000002</v>
      </c>
      <c r="H75" s="33">
        <f>6.4416 * CHOOSE(CONTROL!$C$32, $C$9, 100%, $E$9)</f>
        <v>6.4416000000000002</v>
      </c>
      <c r="I75" s="33">
        <f>6.4452 * CHOOSE(CONTROL!$C$32, $C$9, 100%, $E$9)</f>
        <v>6.4451999999999998</v>
      </c>
      <c r="J75" s="33">
        <f>6.4416 * CHOOSE(CONTROL!$C$32, $C$9, 100%, $E$9)</f>
        <v>6.4416000000000002</v>
      </c>
      <c r="K75" s="33">
        <f>6.4452 * CHOOSE(CONTROL!$C$32, $C$9, 100%, $E$9)</f>
        <v>6.4451999999999998</v>
      </c>
      <c r="L75" s="33">
        <f>3.9586 * CHOOSE(CONTROL!$C$32, $C$9, 100%, $E$9)</f>
        <v>3.9586000000000001</v>
      </c>
      <c r="M75" s="33">
        <f>3.9622 * CHOOSE(CONTROL!$C$32, $C$9, 100%, $E$9)</f>
        <v>3.9622000000000002</v>
      </c>
      <c r="N75" s="33">
        <f>3.9586 * CHOOSE(CONTROL!$C$32, $C$9, 100%, $E$9)</f>
        <v>3.9586000000000001</v>
      </c>
      <c r="O75" s="33">
        <f>3.9622 * CHOOSE(CONTROL!$C$32, $C$9, 100%, $E$9)</f>
        <v>3.9622000000000002</v>
      </c>
      <c r="P75" s="10"/>
      <c r="Q75" s="10"/>
      <c r="R75" s="10"/>
    </row>
    <row r="76" spans="1:18" ht="15" x14ac:dyDescent="0.2">
      <c r="A76" s="16">
        <v>43160</v>
      </c>
      <c r="B76" s="32">
        <f>3.3774 * CHOOSE(CONTROL!$C$32, $C$9, 100%, $E$9)</f>
        <v>3.3774000000000002</v>
      </c>
      <c r="C76" s="32">
        <f>3.3774 * CHOOSE(CONTROL!$C$32, $C$9, 100%, $E$9)</f>
        <v>3.3774000000000002</v>
      </c>
      <c r="D76" s="32">
        <f>3.3785 * CHOOSE(CONTROL!$C$32, $C$9, 100%, $E$9)</f>
        <v>3.3784999999999998</v>
      </c>
      <c r="E76" s="33">
        <f>3.9566 * CHOOSE(CONTROL!$C$32, $C$9, 100%, $E$9)</f>
        <v>3.9565999999999999</v>
      </c>
      <c r="F76" s="33">
        <f>3.9566 * CHOOSE(CONTROL!$C$32, $C$9, 100%, $E$9)</f>
        <v>3.9565999999999999</v>
      </c>
      <c r="G76" s="33">
        <f>3.9602 * CHOOSE(CONTROL!$C$32, $C$9, 100%, $E$9)</f>
        <v>3.9601999999999999</v>
      </c>
      <c r="H76" s="33">
        <f>6.455 * CHOOSE(CONTROL!$C$32, $C$9, 100%, $E$9)</f>
        <v>6.4550000000000001</v>
      </c>
      <c r="I76" s="33">
        <f>6.4586 * CHOOSE(CONTROL!$C$32, $C$9, 100%, $E$9)</f>
        <v>6.4585999999999997</v>
      </c>
      <c r="J76" s="33">
        <f>6.455 * CHOOSE(CONTROL!$C$32, $C$9, 100%, $E$9)</f>
        <v>6.4550000000000001</v>
      </c>
      <c r="K76" s="33">
        <f>6.4586 * CHOOSE(CONTROL!$C$32, $C$9, 100%, $E$9)</f>
        <v>6.4585999999999997</v>
      </c>
      <c r="L76" s="33">
        <f>3.9566 * CHOOSE(CONTROL!$C$32, $C$9, 100%, $E$9)</f>
        <v>3.9565999999999999</v>
      </c>
      <c r="M76" s="33">
        <f>3.9602 * CHOOSE(CONTROL!$C$32, $C$9, 100%, $E$9)</f>
        <v>3.9601999999999999</v>
      </c>
      <c r="N76" s="33">
        <f>3.9566 * CHOOSE(CONTROL!$C$32, $C$9, 100%, $E$9)</f>
        <v>3.9565999999999999</v>
      </c>
      <c r="O76" s="33">
        <f>3.9602 * CHOOSE(CONTROL!$C$32, $C$9, 100%, $E$9)</f>
        <v>3.9601999999999999</v>
      </c>
      <c r="P76" s="10"/>
      <c r="Q76" s="10"/>
      <c r="R76" s="10"/>
    </row>
    <row r="77" spans="1:18" ht="15" x14ac:dyDescent="0.2">
      <c r="A77" s="16">
        <v>43191</v>
      </c>
      <c r="B77" s="32">
        <f>3.3713 * CHOOSE(CONTROL!$C$32, $C$9, 100%, $E$9)</f>
        <v>3.3713000000000002</v>
      </c>
      <c r="C77" s="32">
        <f>3.3713 * CHOOSE(CONTROL!$C$32, $C$9, 100%, $E$9)</f>
        <v>3.3713000000000002</v>
      </c>
      <c r="D77" s="32">
        <f>3.3724 * CHOOSE(CONTROL!$C$32, $C$9, 100%, $E$9)</f>
        <v>3.3723999999999998</v>
      </c>
      <c r="E77" s="33">
        <f>3.9541 * CHOOSE(CONTROL!$C$32, $C$9, 100%, $E$9)</f>
        <v>3.9540999999999999</v>
      </c>
      <c r="F77" s="33">
        <f>3.9541 * CHOOSE(CONTROL!$C$32, $C$9, 100%, $E$9)</f>
        <v>3.9540999999999999</v>
      </c>
      <c r="G77" s="33">
        <f>3.9577 * CHOOSE(CONTROL!$C$32, $C$9, 100%, $E$9)</f>
        <v>3.9577</v>
      </c>
      <c r="H77" s="33">
        <f>6.4685 * CHOOSE(CONTROL!$C$32, $C$9, 100%, $E$9)</f>
        <v>6.4684999999999997</v>
      </c>
      <c r="I77" s="33">
        <f>6.4721 * CHOOSE(CONTROL!$C$32, $C$9, 100%, $E$9)</f>
        <v>6.4721000000000002</v>
      </c>
      <c r="J77" s="33">
        <f>6.4685 * CHOOSE(CONTROL!$C$32, $C$9, 100%, $E$9)</f>
        <v>6.4684999999999997</v>
      </c>
      <c r="K77" s="33">
        <f>6.4721 * CHOOSE(CONTROL!$C$32, $C$9, 100%, $E$9)</f>
        <v>6.4721000000000002</v>
      </c>
      <c r="L77" s="33">
        <f>3.9541 * CHOOSE(CONTROL!$C$32, $C$9, 100%, $E$9)</f>
        <v>3.9540999999999999</v>
      </c>
      <c r="M77" s="33">
        <f>3.9577 * CHOOSE(CONTROL!$C$32, $C$9, 100%, $E$9)</f>
        <v>3.9577</v>
      </c>
      <c r="N77" s="33">
        <f>3.9541 * CHOOSE(CONTROL!$C$32, $C$9, 100%, $E$9)</f>
        <v>3.9540999999999999</v>
      </c>
      <c r="O77" s="33">
        <f>3.9577 * CHOOSE(CONTROL!$C$32, $C$9, 100%, $E$9)</f>
        <v>3.9577</v>
      </c>
      <c r="P77" s="10"/>
      <c r="Q77" s="10"/>
      <c r="R77" s="10"/>
    </row>
    <row r="78" spans="1:18" ht="15" x14ac:dyDescent="0.2">
      <c r="A78" s="16">
        <v>43221</v>
      </c>
      <c r="B78" s="32">
        <f>3.38 * CHOOSE(CONTROL!$C$32, $C$9, 100%, $E$9)</f>
        <v>3.38</v>
      </c>
      <c r="C78" s="32">
        <f>3.38 * CHOOSE(CONTROL!$C$32, $C$9, 100%, $E$9)</f>
        <v>3.38</v>
      </c>
      <c r="D78" s="32">
        <f>3.3815 * CHOOSE(CONTROL!$C$32, $C$9, 100%, $E$9)</f>
        <v>3.3815</v>
      </c>
      <c r="E78" s="33">
        <f>3.9541 * CHOOSE(CONTROL!$C$32, $C$9, 100%, $E$9)</f>
        <v>3.9540999999999999</v>
      </c>
      <c r="F78" s="33">
        <f>3.9541 * CHOOSE(CONTROL!$C$32, $C$9, 100%, $E$9)</f>
        <v>3.9540999999999999</v>
      </c>
      <c r="G78" s="33">
        <f>3.9594 * CHOOSE(CONTROL!$C$32, $C$9, 100%, $E$9)</f>
        <v>3.9594</v>
      </c>
      <c r="H78" s="33">
        <f>6.482 * CHOOSE(CONTROL!$C$32, $C$9, 100%, $E$9)</f>
        <v>6.4820000000000002</v>
      </c>
      <c r="I78" s="33">
        <f>6.4872 * CHOOSE(CONTROL!$C$32, $C$9, 100%, $E$9)</f>
        <v>6.4871999999999996</v>
      </c>
      <c r="J78" s="33">
        <f>6.482 * CHOOSE(CONTROL!$C$32, $C$9, 100%, $E$9)</f>
        <v>6.4820000000000002</v>
      </c>
      <c r="K78" s="33">
        <f>6.4872 * CHOOSE(CONTROL!$C$32, $C$9, 100%, $E$9)</f>
        <v>6.4871999999999996</v>
      </c>
      <c r="L78" s="33">
        <f>3.9541 * CHOOSE(CONTROL!$C$32, $C$9, 100%, $E$9)</f>
        <v>3.9540999999999999</v>
      </c>
      <c r="M78" s="33">
        <f>3.9594 * CHOOSE(CONTROL!$C$32, $C$9, 100%, $E$9)</f>
        <v>3.9594</v>
      </c>
      <c r="N78" s="33">
        <f>3.9541 * CHOOSE(CONTROL!$C$32, $C$9, 100%, $E$9)</f>
        <v>3.9540999999999999</v>
      </c>
      <c r="O78" s="33">
        <f>3.9594 * CHOOSE(CONTROL!$C$32, $C$9, 100%, $E$9)</f>
        <v>3.9594</v>
      </c>
      <c r="P78" s="10"/>
      <c r="Q78" s="10"/>
      <c r="R78" s="10"/>
    </row>
    <row r="79" spans="1:18" ht="15" x14ac:dyDescent="0.2">
      <c r="A79" s="16">
        <v>43252</v>
      </c>
      <c r="B79" s="32">
        <f>3.386 * CHOOSE(CONTROL!$C$32, $C$9, 100%, $E$9)</f>
        <v>3.3860000000000001</v>
      </c>
      <c r="C79" s="32">
        <f>3.386 * CHOOSE(CONTROL!$C$32, $C$9, 100%, $E$9)</f>
        <v>3.3860000000000001</v>
      </c>
      <c r="D79" s="32">
        <f>3.3876 * CHOOSE(CONTROL!$C$32, $C$9, 100%, $E$9)</f>
        <v>3.3875999999999999</v>
      </c>
      <c r="E79" s="33">
        <f>3.9581 * CHOOSE(CONTROL!$C$32, $C$9, 100%, $E$9)</f>
        <v>3.9581</v>
      </c>
      <c r="F79" s="33">
        <f>3.9581 * CHOOSE(CONTROL!$C$32, $C$9, 100%, $E$9)</f>
        <v>3.9581</v>
      </c>
      <c r="G79" s="33">
        <f>3.9634 * CHOOSE(CONTROL!$C$32, $C$9, 100%, $E$9)</f>
        <v>3.9634</v>
      </c>
      <c r="H79" s="33">
        <f>6.4955 * CHOOSE(CONTROL!$C$32, $C$9, 100%, $E$9)</f>
        <v>6.4954999999999998</v>
      </c>
      <c r="I79" s="33">
        <f>6.5007 * CHOOSE(CONTROL!$C$32, $C$9, 100%, $E$9)</f>
        <v>6.5007000000000001</v>
      </c>
      <c r="J79" s="33">
        <f>6.4955 * CHOOSE(CONTROL!$C$32, $C$9, 100%, $E$9)</f>
        <v>6.4954999999999998</v>
      </c>
      <c r="K79" s="33">
        <f>6.5007 * CHOOSE(CONTROL!$C$32, $C$9, 100%, $E$9)</f>
        <v>6.5007000000000001</v>
      </c>
      <c r="L79" s="33">
        <f>3.9581 * CHOOSE(CONTROL!$C$32, $C$9, 100%, $E$9)</f>
        <v>3.9581</v>
      </c>
      <c r="M79" s="33">
        <f>3.9634 * CHOOSE(CONTROL!$C$32, $C$9, 100%, $E$9)</f>
        <v>3.9634</v>
      </c>
      <c r="N79" s="33">
        <f>3.9581 * CHOOSE(CONTROL!$C$32, $C$9, 100%, $E$9)</f>
        <v>3.9581</v>
      </c>
      <c r="O79" s="33">
        <f>3.9634 * CHOOSE(CONTROL!$C$32, $C$9, 100%, $E$9)</f>
        <v>3.9634</v>
      </c>
      <c r="P79" s="10"/>
      <c r="Q79" s="10"/>
      <c r="R79" s="10"/>
    </row>
    <row r="80" spans="1:18" ht="15" x14ac:dyDescent="0.2">
      <c r="A80" s="16">
        <v>43282</v>
      </c>
      <c r="B80" s="32">
        <f>3.4206 * CHOOSE(CONTROL!$C$32, $C$9, 100%, $E$9)</f>
        <v>3.4205999999999999</v>
      </c>
      <c r="C80" s="32">
        <f>3.4206 * CHOOSE(CONTROL!$C$32, $C$9, 100%, $E$9)</f>
        <v>3.4205999999999999</v>
      </c>
      <c r="D80" s="32">
        <f>3.4222 * CHOOSE(CONTROL!$C$32, $C$9, 100%, $E$9)</f>
        <v>3.4222000000000001</v>
      </c>
      <c r="E80" s="33">
        <f>4.0414 * CHOOSE(CONTROL!$C$32, $C$9, 100%, $E$9)</f>
        <v>4.0414000000000003</v>
      </c>
      <c r="F80" s="33">
        <f>4.0414 * CHOOSE(CONTROL!$C$32, $C$9, 100%, $E$9)</f>
        <v>4.0414000000000003</v>
      </c>
      <c r="G80" s="33">
        <f>4.0467 * CHOOSE(CONTROL!$C$32, $C$9, 100%, $E$9)</f>
        <v>4.0467000000000004</v>
      </c>
      <c r="H80" s="33">
        <f>6.509 * CHOOSE(CONTROL!$C$32, $C$9, 100%, $E$9)</f>
        <v>6.5090000000000003</v>
      </c>
      <c r="I80" s="33">
        <f>6.5143 * CHOOSE(CONTROL!$C$32, $C$9, 100%, $E$9)</f>
        <v>6.5143000000000004</v>
      </c>
      <c r="J80" s="33">
        <f>6.509 * CHOOSE(CONTROL!$C$32, $C$9, 100%, $E$9)</f>
        <v>6.5090000000000003</v>
      </c>
      <c r="K80" s="33">
        <f>6.5143 * CHOOSE(CONTROL!$C$32, $C$9, 100%, $E$9)</f>
        <v>6.5143000000000004</v>
      </c>
      <c r="L80" s="33">
        <f>4.0414 * CHOOSE(CONTROL!$C$32, $C$9, 100%, $E$9)</f>
        <v>4.0414000000000003</v>
      </c>
      <c r="M80" s="33">
        <f>4.0467 * CHOOSE(CONTROL!$C$32, $C$9, 100%, $E$9)</f>
        <v>4.0467000000000004</v>
      </c>
      <c r="N80" s="33">
        <f>4.0414 * CHOOSE(CONTROL!$C$32, $C$9, 100%, $E$9)</f>
        <v>4.0414000000000003</v>
      </c>
      <c r="O80" s="33">
        <f>4.0467 * CHOOSE(CONTROL!$C$32, $C$9, 100%, $E$9)</f>
        <v>4.0467000000000004</v>
      </c>
      <c r="P80" s="10"/>
      <c r="Q80" s="10"/>
      <c r="R80" s="10"/>
    </row>
    <row r="81" spans="1:18" ht="15" x14ac:dyDescent="0.2">
      <c r="A81" s="16">
        <v>43313</v>
      </c>
      <c r="B81" s="32">
        <f>3.4359 * CHOOSE(CONTROL!$C$32, $C$9, 100%, $E$9)</f>
        <v>3.4359000000000002</v>
      </c>
      <c r="C81" s="32">
        <f>3.4359 * CHOOSE(CONTROL!$C$32, $C$9, 100%, $E$9)</f>
        <v>3.4359000000000002</v>
      </c>
      <c r="D81" s="32">
        <f>3.4375 * CHOOSE(CONTROL!$C$32, $C$9, 100%, $E$9)</f>
        <v>3.4375</v>
      </c>
      <c r="E81" s="33">
        <f>4.0458 * CHOOSE(CONTROL!$C$32, $C$9, 100%, $E$9)</f>
        <v>4.0457999999999998</v>
      </c>
      <c r="F81" s="33">
        <f>4.0458 * CHOOSE(CONTROL!$C$32, $C$9, 100%, $E$9)</f>
        <v>4.0457999999999998</v>
      </c>
      <c r="G81" s="33">
        <f>4.0511 * CHOOSE(CONTROL!$C$32, $C$9, 100%, $E$9)</f>
        <v>4.0510999999999999</v>
      </c>
      <c r="H81" s="33">
        <f>6.5225 * CHOOSE(CONTROL!$C$32, $C$9, 100%, $E$9)</f>
        <v>6.5225</v>
      </c>
      <c r="I81" s="33">
        <f>6.5278 * CHOOSE(CONTROL!$C$32, $C$9, 100%, $E$9)</f>
        <v>6.5278</v>
      </c>
      <c r="J81" s="33">
        <f>6.5225 * CHOOSE(CONTROL!$C$32, $C$9, 100%, $E$9)</f>
        <v>6.5225</v>
      </c>
      <c r="K81" s="33">
        <f>6.5278 * CHOOSE(CONTROL!$C$32, $C$9, 100%, $E$9)</f>
        <v>6.5278</v>
      </c>
      <c r="L81" s="33">
        <f>4.0458 * CHOOSE(CONTROL!$C$32, $C$9, 100%, $E$9)</f>
        <v>4.0457999999999998</v>
      </c>
      <c r="M81" s="33">
        <f>4.0511 * CHOOSE(CONTROL!$C$32, $C$9, 100%, $E$9)</f>
        <v>4.0510999999999999</v>
      </c>
      <c r="N81" s="33">
        <f>4.0458 * CHOOSE(CONTROL!$C$32, $C$9, 100%, $E$9)</f>
        <v>4.0457999999999998</v>
      </c>
      <c r="O81" s="33">
        <f>4.0511 * CHOOSE(CONTROL!$C$32, $C$9, 100%, $E$9)</f>
        <v>4.0510999999999999</v>
      </c>
      <c r="P81" s="10"/>
      <c r="Q81" s="10"/>
      <c r="R81" s="10"/>
    </row>
    <row r="82" spans="1:18" ht="15" x14ac:dyDescent="0.2">
      <c r="A82" s="16">
        <v>43344</v>
      </c>
      <c r="B82" s="32">
        <f>3.4328 * CHOOSE(CONTROL!$C$32, $C$9, 100%, $E$9)</f>
        <v>3.4327999999999999</v>
      </c>
      <c r="C82" s="32">
        <f>3.4328 * CHOOSE(CONTROL!$C$32, $C$9, 100%, $E$9)</f>
        <v>3.4327999999999999</v>
      </c>
      <c r="D82" s="32">
        <f>3.4344 * CHOOSE(CONTROL!$C$32, $C$9, 100%, $E$9)</f>
        <v>3.4344000000000001</v>
      </c>
      <c r="E82" s="33">
        <f>4.0438 * CHOOSE(CONTROL!$C$32, $C$9, 100%, $E$9)</f>
        <v>4.0438000000000001</v>
      </c>
      <c r="F82" s="33">
        <f>4.0438 * CHOOSE(CONTROL!$C$32, $C$9, 100%, $E$9)</f>
        <v>4.0438000000000001</v>
      </c>
      <c r="G82" s="33">
        <f>4.0491 * CHOOSE(CONTROL!$C$32, $C$9, 100%, $E$9)</f>
        <v>4.0491000000000001</v>
      </c>
      <c r="H82" s="33">
        <f>6.5361 * CHOOSE(CONTROL!$C$32, $C$9, 100%, $E$9)</f>
        <v>6.5361000000000002</v>
      </c>
      <c r="I82" s="33">
        <f>6.5414 * CHOOSE(CONTROL!$C$32, $C$9, 100%, $E$9)</f>
        <v>6.5414000000000003</v>
      </c>
      <c r="J82" s="33">
        <f>6.5361 * CHOOSE(CONTROL!$C$32, $C$9, 100%, $E$9)</f>
        <v>6.5361000000000002</v>
      </c>
      <c r="K82" s="33">
        <f>6.5414 * CHOOSE(CONTROL!$C$32, $C$9, 100%, $E$9)</f>
        <v>6.5414000000000003</v>
      </c>
      <c r="L82" s="33">
        <f>4.0438 * CHOOSE(CONTROL!$C$32, $C$9, 100%, $E$9)</f>
        <v>4.0438000000000001</v>
      </c>
      <c r="M82" s="33">
        <f>4.0491 * CHOOSE(CONTROL!$C$32, $C$9, 100%, $E$9)</f>
        <v>4.0491000000000001</v>
      </c>
      <c r="N82" s="33">
        <f>4.0438 * CHOOSE(CONTROL!$C$32, $C$9, 100%, $E$9)</f>
        <v>4.0438000000000001</v>
      </c>
      <c r="O82" s="33">
        <f>4.0491 * CHOOSE(CONTROL!$C$32, $C$9, 100%, $E$9)</f>
        <v>4.0491000000000001</v>
      </c>
      <c r="P82" s="10"/>
      <c r="Q82" s="10"/>
      <c r="R82" s="10"/>
    </row>
    <row r="83" spans="1:18" ht="15" x14ac:dyDescent="0.2">
      <c r="A83" s="16">
        <v>43374</v>
      </c>
      <c r="B83" s="32">
        <f>3.4135 * CHOOSE(CONTROL!$C$32, $C$9, 100%, $E$9)</f>
        <v>3.4135</v>
      </c>
      <c r="C83" s="32">
        <f>3.4135 * CHOOSE(CONTROL!$C$32, $C$9, 100%, $E$9)</f>
        <v>3.4135</v>
      </c>
      <c r="D83" s="32">
        <f>3.4146 * CHOOSE(CONTROL!$C$32, $C$9, 100%, $E$9)</f>
        <v>3.4146000000000001</v>
      </c>
      <c r="E83" s="33">
        <f>4.0369 * CHOOSE(CONTROL!$C$32, $C$9, 100%, $E$9)</f>
        <v>4.0369000000000002</v>
      </c>
      <c r="F83" s="33">
        <f>4.0369 * CHOOSE(CONTROL!$C$32, $C$9, 100%, $E$9)</f>
        <v>4.0369000000000002</v>
      </c>
      <c r="G83" s="33">
        <f>4.0406 * CHOOSE(CONTROL!$C$32, $C$9, 100%, $E$9)</f>
        <v>4.0406000000000004</v>
      </c>
      <c r="H83" s="33">
        <f>6.5498 * CHOOSE(CONTROL!$C$32, $C$9, 100%, $E$9)</f>
        <v>6.5498000000000003</v>
      </c>
      <c r="I83" s="33">
        <f>6.5534 * CHOOSE(CONTROL!$C$32, $C$9, 100%, $E$9)</f>
        <v>6.5533999999999999</v>
      </c>
      <c r="J83" s="33">
        <f>6.5498 * CHOOSE(CONTROL!$C$32, $C$9, 100%, $E$9)</f>
        <v>6.5498000000000003</v>
      </c>
      <c r="K83" s="33">
        <f>6.5534 * CHOOSE(CONTROL!$C$32, $C$9, 100%, $E$9)</f>
        <v>6.5533999999999999</v>
      </c>
      <c r="L83" s="33">
        <f>4.0369 * CHOOSE(CONTROL!$C$32, $C$9, 100%, $E$9)</f>
        <v>4.0369000000000002</v>
      </c>
      <c r="M83" s="33">
        <f>4.0406 * CHOOSE(CONTROL!$C$32, $C$9, 100%, $E$9)</f>
        <v>4.0406000000000004</v>
      </c>
      <c r="N83" s="33">
        <f>4.0369 * CHOOSE(CONTROL!$C$32, $C$9, 100%, $E$9)</f>
        <v>4.0369000000000002</v>
      </c>
      <c r="O83" s="33">
        <f>4.0406 * CHOOSE(CONTROL!$C$32, $C$9, 100%, $E$9)</f>
        <v>4.0406000000000004</v>
      </c>
      <c r="P83" s="10"/>
      <c r="Q83" s="10"/>
      <c r="R83" s="10"/>
    </row>
    <row r="84" spans="1:18" ht="15" x14ac:dyDescent="0.2">
      <c r="A84" s="16">
        <v>43405</v>
      </c>
      <c r="B84" s="32">
        <f>3.4253 * CHOOSE(CONTROL!$C$32, $C$9, 100%, $E$9)</f>
        <v>3.4253</v>
      </c>
      <c r="C84" s="32">
        <f>3.4253 * CHOOSE(CONTROL!$C$32, $C$9, 100%, $E$9)</f>
        <v>3.4253</v>
      </c>
      <c r="D84" s="32">
        <f>3.4263 * CHOOSE(CONTROL!$C$32, $C$9, 100%, $E$9)</f>
        <v>3.4262999999999999</v>
      </c>
      <c r="E84" s="33">
        <f>4.0389 * CHOOSE(CONTROL!$C$32, $C$9, 100%, $E$9)</f>
        <v>4.0388999999999999</v>
      </c>
      <c r="F84" s="33">
        <f>4.0389 * CHOOSE(CONTROL!$C$32, $C$9, 100%, $E$9)</f>
        <v>4.0388999999999999</v>
      </c>
      <c r="G84" s="33">
        <f>4.0426 * CHOOSE(CONTROL!$C$32, $C$9, 100%, $E$9)</f>
        <v>4.0426000000000002</v>
      </c>
      <c r="H84" s="33">
        <f>6.5634 * CHOOSE(CONTROL!$C$32, $C$9, 100%, $E$9)</f>
        <v>6.5633999999999997</v>
      </c>
      <c r="I84" s="33">
        <f>6.567 * CHOOSE(CONTROL!$C$32, $C$9, 100%, $E$9)</f>
        <v>6.5670000000000002</v>
      </c>
      <c r="J84" s="33">
        <f>6.5634 * CHOOSE(CONTROL!$C$32, $C$9, 100%, $E$9)</f>
        <v>6.5633999999999997</v>
      </c>
      <c r="K84" s="33">
        <f>6.567 * CHOOSE(CONTROL!$C$32, $C$9, 100%, $E$9)</f>
        <v>6.5670000000000002</v>
      </c>
      <c r="L84" s="33">
        <f>4.0389 * CHOOSE(CONTROL!$C$32, $C$9, 100%, $E$9)</f>
        <v>4.0388999999999999</v>
      </c>
      <c r="M84" s="33">
        <f>4.0426 * CHOOSE(CONTROL!$C$32, $C$9, 100%, $E$9)</f>
        <v>4.0426000000000002</v>
      </c>
      <c r="N84" s="33">
        <f>4.0389 * CHOOSE(CONTROL!$C$32, $C$9, 100%, $E$9)</f>
        <v>4.0388999999999999</v>
      </c>
      <c r="O84" s="33">
        <f>4.0426 * CHOOSE(CONTROL!$C$32, $C$9, 100%, $E$9)</f>
        <v>4.0426000000000002</v>
      </c>
      <c r="P84" s="10"/>
      <c r="Q84" s="10"/>
      <c r="R84" s="10"/>
    </row>
    <row r="85" spans="1:18" ht="15" x14ac:dyDescent="0.2">
      <c r="A85" s="16">
        <v>43435</v>
      </c>
      <c r="B85" s="32">
        <f>3.4251 * CHOOSE(CONTROL!$C$32, $C$9, 100%, $E$9)</f>
        <v>3.4251</v>
      </c>
      <c r="C85" s="32">
        <f>3.4251 * CHOOSE(CONTROL!$C$32, $C$9, 100%, $E$9)</f>
        <v>3.4251</v>
      </c>
      <c r="D85" s="32">
        <f>3.4262 * CHOOSE(CONTROL!$C$32, $C$9, 100%, $E$9)</f>
        <v>3.4262000000000001</v>
      </c>
      <c r="E85" s="33">
        <f>4.0389 * CHOOSE(CONTROL!$C$32, $C$9, 100%, $E$9)</f>
        <v>4.0388999999999999</v>
      </c>
      <c r="F85" s="33">
        <f>4.0389 * CHOOSE(CONTROL!$C$32, $C$9, 100%, $E$9)</f>
        <v>4.0388999999999999</v>
      </c>
      <c r="G85" s="33">
        <f>4.0426 * CHOOSE(CONTROL!$C$32, $C$9, 100%, $E$9)</f>
        <v>4.0426000000000002</v>
      </c>
      <c r="H85" s="33">
        <f>6.5771 * CHOOSE(CONTROL!$C$32, $C$9, 100%, $E$9)</f>
        <v>6.5770999999999997</v>
      </c>
      <c r="I85" s="33">
        <f>6.5807 * CHOOSE(CONTROL!$C$32, $C$9, 100%, $E$9)</f>
        <v>6.5807000000000002</v>
      </c>
      <c r="J85" s="33">
        <f>6.5771 * CHOOSE(CONTROL!$C$32, $C$9, 100%, $E$9)</f>
        <v>6.5770999999999997</v>
      </c>
      <c r="K85" s="33">
        <f>6.5807 * CHOOSE(CONTROL!$C$32, $C$9, 100%, $E$9)</f>
        <v>6.5807000000000002</v>
      </c>
      <c r="L85" s="33">
        <f>4.0389 * CHOOSE(CONTROL!$C$32, $C$9, 100%, $E$9)</f>
        <v>4.0388999999999999</v>
      </c>
      <c r="M85" s="33">
        <f>4.0426 * CHOOSE(CONTROL!$C$32, $C$9, 100%, $E$9)</f>
        <v>4.0426000000000002</v>
      </c>
      <c r="N85" s="33">
        <f>4.0389 * CHOOSE(CONTROL!$C$32, $C$9, 100%, $E$9)</f>
        <v>4.0388999999999999</v>
      </c>
      <c r="O85" s="33">
        <f>4.0426 * CHOOSE(CONTROL!$C$32, $C$9, 100%, $E$9)</f>
        <v>4.0426000000000002</v>
      </c>
      <c r="P85" s="10"/>
      <c r="Q85" s="10"/>
      <c r="R85" s="10"/>
    </row>
    <row r="86" spans="1:18" ht="15" x14ac:dyDescent="0.2">
      <c r="A86" s="16">
        <v>43466</v>
      </c>
      <c r="B86" s="32">
        <f>3.206 * CHOOSE(CONTROL!$C$32, $C$9, 100%, $E$9)</f>
        <v>3.206</v>
      </c>
      <c r="C86" s="32">
        <f>3.206 * CHOOSE(CONTROL!$C$32, $C$9, 100%, $E$9)</f>
        <v>3.206</v>
      </c>
      <c r="D86" s="32">
        <f>3.2071 * CHOOSE(CONTROL!$C$32, $C$9, 100%, $E$9)</f>
        <v>3.2071000000000001</v>
      </c>
      <c r="E86" s="33">
        <f>4.0646 * CHOOSE(CONTROL!$C$32, $C$9, 100%, $E$9)</f>
        <v>4.0646000000000004</v>
      </c>
      <c r="F86" s="33">
        <f>4.0646 * CHOOSE(CONTROL!$C$32, $C$9, 100%, $E$9)</f>
        <v>4.0646000000000004</v>
      </c>
      <c r="G86" s="33">
        <f>4.0682 * CHOOSE(CONTROL!$C$32, $C$9, 100%, $E$9)</f>
        <v>4.0682</v>
      </c>
      <c r="H86" s="33">
        <f>6.5908 * CHOOSE(CONTROL!$C$32, $C$9, 100%, $E$9)</f>
        <v>6.5907999999999998</v>
      </c>
      <c r="I86" s="33">
        <f>6.5944 * CHOOSE(CONTROL!$C$32, $C$9, 100%, $E$9)</f>
        <v>6.5944000000000003</v>
      </c>
      <c r="J86" s="33">
        <f>6.5908 * CHOOSE(CONTROL!$C$32, $C$9, 100%, $E$9)</f>
        <v>6.5907999999999998</v>
      </c>
      <c r="K86" s="33">
        <f>6.5944 * CHOOSE(CONTROL!$C$32, $C$9, 100%, $E$9)</f>
        <v>6.5944000000000003</v>
      </c>
      <c r="L86" s="33">
        <f>4.0646 * CHOOSE(CONTROL!$C$32, $C$9, 100%, $E$9)</f>
        <v>4.0646000000000004</v>
      </c>
      <c r="M86" s="33">
        <f>4.0682 * CHOOSE(CONTROL!$C$32, $C$9, 100%, $E$9)</f>
        <v>4.0682</v>
      </c>
      <c r="N86" s="33">
        <f>4.0646 * CHOOSE(CONTROL!$C$32, $C$9, 100%, $E$9)</f>
        <v>4.0646000000000004</v>
      </c>
      <c r="O86" s="33">
        <f>4.0682 * CHOOSE(CONTROL!$C$32, $C$9, 100%, $E$9)</f>
        <v>4.0682</v>
      </c>
      <c r="P86" s="10"/>
      <c r="Q86" s="10"/>
      <c r="R86" s="10"/>
    </row>
    <row r="87" spans="1:18" ht="15" x14ac:dyDescent="0.2">
      <c r="A87" s="16">
        <v>43497</v>
      </c>
      <c r="B87" s="32">
        <f>3.2029 * CHOOSE(CONTROL!$C$32, $C$9, 100%, $E$9)</f>
        <v>3.2029000000000001</v>
      </c>
      <c r="C87" s="32">
        <f>3.2029 * CHOOSE(CONTROL!$C$32, $C$9, 100%, $E$9)</f>
        <v>3.2029000000000001</v>
      </c>
      <c r="D87" s="32">
        <f>3.204 * CHOOSE(CONTROL!$C$32, $C$9, 100%, $E$9)</f>
        <v>3.2040000000000002</v>
      </c>
      <c r="E87" s="33">
        <f>4.0626 * CHOOSE(CONTROL!$C$32, $C$9, 100%, $E$9)</f>
        <v>4.0625999999999998</v>
      </c>
      <c r="F87" s="33">
        <f>4.0626 * CHOOSE(CONTROL!$C$32, $C$9, 100%, $E$9)</f>
        <v>4.0625999999999998</v>
      </c>
      <c r="G87" s="33">
        <f>4.0662 * CHOOSE(CONTROL!$C$32, $C$9, 100%, $E$9)</f>
        <v>4.0662000000000003</v>
      </c>
      <c r="H87" s="33">
        <f>6.6045 * CHOOSE(CONTROL!$C$32, $C$9, 100%, $E$9)</f>
        <v>6.6044999999999998</v>
      </c>
      <c r="I87" s="33">
        <f>6.6081 * CHOOSE(CONTROL!$C$32, $C$9, 100%, $E$9)</f>
        <v>6.6081000000000003</v>
      </c>
      <c r="J87" s="33">
        <f>6.6045 * CHOOSE(CONTROL!$C$32, $C$9, 100%, $E$9)</f>
        <v>6.6044999999999998</v>
      </c>
      <c r="K87" s="33">
        <f>6.6081 * CHOOSE(CONTROL!$C$32, $C$9, 100%, $E$9)</f>
        <v>6.6081000000000003</v>
      </c>
      <c r="L87" s="33">
        <f>4.0626 * CHOOSE(CONTROL!$C$32, $C$9, 100%, $E$9)</f>
        <v>4.0625999999999998</v>
      </c>
      <c r="M87" s="33">
        <f>4.0662 * CHOOSE(CONTROL!$C$32, $C$9, 100%, $E$9)</f>
        <v>4.0662000000000003</v>
      </c>
      <c r="N87" s="33">
        <f>4.0626 * CHOOSE(CONTROL!$C$32, $C$9, 100%, $E$9)</f>
        <v>4.0625999999999998</v>
      </c>
      <c r="O87" s="33">
        <f>4.0662 * CHOOSE(CONTROL!$C$32, $C$9, 100%, $E$9)</f>
        <v>4.0662000000000003</v>
      </c>
      <c r="P87" s="10"/>
      <c r="Q87" s="10"/>
      <c r="R87" s="10"/>
    </row>
    <row r="88" spans="1:18" ht="15" x14ac:dyDescent="0.2">
      <c r="A88" s="16">
        <v>43525</v>
      </c>
      <c r="B88" s="32">
        <f>3.1999 * CHOOSE(CONTROL!$C$32, $C$9, 100%, $E$9)</f>
        <v>3.1999</v>
      </c>
      <c r="C88" s="32">
        <f>3.1999 * CHOOSE(CONTROL!$C$32, $C$9, 100%, $E$9)</f>
        <v>3.1999</v>
      </c>
      <c r="D88" s="32">
        <f>3.201 * CHOOSE(CONTROL!$C$32, $C$9, 100%, $E$9)</f>
        <v>3.2010000000000001</v>
      </c>
      <c r="E88" s="33">
        <f>4.0606 * CHOOSE(CONTROL!$C$32, $C$9, 100%, $E$9)</f>
        <v>4.0606</v>
      </c>
      <c r="F88" s="33">
        <f>4.0606 * CHOOSE(CONTROL!$C$32, $C$9, 100%, $E$9)</f>
        <v>4.0606</v>
      </c>
      <c r="G88" s="33">
        <f>4.0642 * CHOOSE(CONTROL!$C$32, $C$9, 100%, $E$9)</f>
        <v>4.0641999999999996</v>
      </c>
      <c r="H88" s="33">
        <f>6.6183 * CHOOSE(CONTROL!$C$32, $C$9, 100%, $E$9)</f>
        <v>6.6182999999999996</v>
      </c>
      <c r="I88" s="33">
        <f>6.6219 * CHOOSE(CONTROL!$C$32, $C$9, 100%, $E$9)</f>
        <v>6.6219000000000001</v>
      </c>
      <c r="J88" s="33">
        <f>6.6183 * CHOOSE(CONTROL!$C$32, $C$9, 100%, $E$9)</f>
        <v>6.6182999999999996</v>
      </c>
      <c r="K88" s="33">
        <f>6.6219 * CHOOSE(CONTROL!$C$32, $C$9, 100%, $E$9)</f>
        <v>6.6219000000000001</v>
      </c>
      <c r="L88" s="33">
        <f>4.0606 * CHOOSE(CONTROL!$C$32, $C$9, 100%, $E$9)</f>
        <v>4.0606</v>
      </c>
      <c r="M88" s="33">
        <f>4.0642 * CHOOSE(CONTROL!$C$32, $C$9, 100%, $E$9)</f>
        <v>4.0641999999999996</v>
      </c>
      <c r="N88" s="33">
        <f>4.0606 * CHOOSE(CONTROL!$C$32, $C$9, 100%, $E$9)</f>
        <v>4.0606</v>
      </c>
      <c r="O88" s="33">
        <f>4.0642 * CHOOSE(CONTROL!$C$32, $C$9, 100%, $E$9)</f>
        <v>4.0641999999999996</v>
      </c>
      <c r="P88" s="10"/>
      <c r="Q88" s="10"/>
      <c r="R88" s="10"/>
    </row>
    <row r="89" spans="1:18" ht="15" x14ac:dyDescent="0.2">
      <c r="A89" s="16">
        <v>43556</v>
      </c>
      <c r="B89" s="32">
        <f>3.1968 * CHOOSE(CONTROL!$C$32, $C$9, 100%, $E$9)</f>
        <v>3.1968000000000001</v>
      </c>
      <c r="C89" s="32">
        <f>3.1968 * CHOOSE(CONTROL!$C$32, $C$9, 100%, $E$9)</f>
        <v>3.1968000000000001</v>
      </c>
      <c r="D89" s="32">
        <f>3.1979 * CHOOSE(CONTROL!$C$32, $C$9, 100%, $E$9)</f>
        <v>3.1979000000000002</v>
      </c>
      <c r="E89" s="33">
        <f>4.0581 * CHOOSE(CONTROL!$C$32, $C$9, 100%, $E$9)</f>
        <v>4.0580999999999996</v>
      </c>
      <c r="F89" s="33">
        <f>4.0581 * CHOOSE(CONTROL!$C$32, $C$9, 100%, $E$9)</f>
        <v>4.0580999999999996</v>
      </c>
      <c r="G89" s="33">
        <f>4.0617 * CHOOSE(CONTROL!$C$32, $C$9, 100%, $E$9)</f>
        <v>4.0617000000000001</v>
      </c>
      <c r="H89" s="33">
        <f>6.6321 * CHOOSE(CONTROL!$C$32, $C$9, 100%, $E$9)</f>
        <v>6.6321000000000003</v>
      </c>
      <c r="I89" s="33">
        <f>6.6357 * CHOOSE(CONTROL!$C$32, $C$9, 100%, $E$9)</f>
        <v>6.6356999999999999</v>
      </c>
      <c r="J89" s="33">
        <f>6.6321 * CHOOSE(CONTROL!$C$32, $C$9, 100%, $E$9)</f>
        <v>6.6321000000000003</v>
      </c>
      <c r="K89" s="33">
        <f>6.6357 * CHOOSE(CONTROL!$C$32, $C$9, 100%, $E$9)</f>
        <v>6.6356999999999999</v>
      </c>
      <c r="L89" s="33">
        <f>4.0581 * CHOOSE(CONTROL!$C$32, $C$9, 100%, $E$9)</f>
        <v>4.0580999999999996</v>
      </c>
      <c r="M89" s="33">
        <f>4.0617 * CHOOSE(CONTROL!$C$32, $C$9, 100%, $E$9)</f>
        <v>4.0617000000000001</v>
      </c>
      <c r="N89" s="33">
        <f>4.0581 * CHOOSE(CONTROL!$C$32, $C$9, 100%, $E$9)</f>
        <v>4.0580999999999996</v>
      </c>
      <c r="O89" s="33">
        <f>4.0617 * CHOOSE(CONTROL!$C$32, $C$9, 100%, $E$9)</f>
        <v>4.0617000000000001</v>
      </c>
      <c r="P89" s="10"/>
      <c r="Q89" s="10"/>
      <c r="R89" s="10"/>
    </row>
    <row r="90" spans="1:18" ht="15" x14ac:dyDescent="0.2">
      <c r="A90" s="16">
        <v>43586</v>
      </c>
      <c r="B90" s="32">
        <f>3.1968 * CHOOSE(CONTROL!$C$32, $C$9, 100%, $E$9)</f>
        <v>3.1968000000000001</v>
      </c>
      <c r="C90" s="32">
        <f>3.1968 * CHOOSE(CONTROL!$C$32, $C$9, 100%, $E$9)</f>
        <v>3.1968000000000001</v>
      </c>
      <c r="D90" s="32">
        <f>3.1984 * CHOOSE(CONTROL!$C$32, $C$9, 100%, $E$9)</f>
        <v>3.1983999999999999</v>
      </c>
      <c r="E90" s="33">
        <f>4.0581 * CHOOSE(CONTROL!$C$32, $C$9, 100%, $E$9)</f>
        <v>4.0580999999999996</v>
      </c>
      <c r="F90" s="33">
        <f>4.0581 * CHOOSE(CONTROL!$C$32, $C$9, 100%, $E$9)</f>
        <v>4.0580999999999996</v>
      </c>
      <c r="G90" s="33">
        <f>4.0634 * CHOOSE(CONTROL!$C$32, $C$9, 100%, $E$9)</f>
        <v>4.0633999999999997</v>
      </c>
      <c r="H90" s="33">
        <f>6.6459 * CHOOSE(CONTROL!$C$32, $C$9, 100%, $E$9)</f>
        <v>6.6459000000000001</v>
      </c>
      <c r="I90" s="33">
        <f>6.6512 * CHOOSE(CONTROL!$C$32, $C$9, 100%, $E$9)</f>
        <v>6.6512000000000002</v>
      </c>
      <c r="J90" s="33">
        <f>6.6459 * CHOOSE(CONTROL!$C$32, $C$9, 100%, $E$9)</f>
        <v>6.6459000000000001</v>
      </c>
      <c r="K90" s="33">
        <f>6.6512 * CHOOSE(CONTROL!$C$32, $C$9, 100%, $E$9)</f>
        <v>6.6512000000000002</v>
      </c>
      <c r="L90" s="33">
        <f>4.0581 * CHOOSE(CONTROL!$C$32, $C$9, 100%, $E$9)</f>
        <v>4.0580999999999996</v>
      </c>
      <c r="M90" s="33">
        <f>4.0634 * CHOOSE(CONTROL!$C$32, $C$9, 100%, $E$9)</f>
        <v>4.0633999999999997</v>
      </c>
      <c r="N90" s="33">
        <f>4.0581 * CHOOSE(CONTROL!$C$32, $C$9, 100%, $E$9)</f>
        <v>4.0580999999999996</v>
      </c>
      <c r="O90" s="33">
        <f>4.0634 * CHOOSE(CONTROL!$C$32, $C$9, 100%, $E$9)</f>
        <v>4.0633999999999997</v>
      </c>
      <c r="P90" s="10"/>
      <c r="Q90" s="10"/>
      <c r="R90" s="10"/>
    </row>
    <row r="91" spans="1:18" ht="15" x14ac:dyDescent="0.2">
      <c r="A91" s="16">
        <v>43617</v>
      </c>
      <c r="B91" s="32">
        <f>3.2029 * CHOOSE(CONTROL!$C$32, $C$9, 100%, $E$9)</f>
        <v>3.2029000000000001</v>
      </c>
      <c r="C91" s="32">
        <f>3.2029 * CHOOSE(CONTROL!$C$32, $C$9, 100%, $E$9)</f>
        <v>3.2029000000000001</v>
      </c>
      <c r="D91" s="32">
        <f>3.2045 * CHOOSE(CONTROL!$C$32, $C$9, 100%, $E$9)</f>
        <v>3.2044999999999999</v>
      </c>
      <c r="E91" s="33">
        <f>4.0621 * CHOOSE(CONTROL!$C$32, $C$9, 100%, $E$9)</f>
        <v>4.0621</v>
      </c>
      <c r="F91" s="33">
        <f>4.0621 * CHOOSE(CONTROL!$C$32, $C$9, 100%, $E$9)</f>
        <v>4.0621</v>
      </c>
      <c r="G91" s="33">
        <f>4.0674 * CHOOSE(CONTROL!$C$32, $C$9, 100%, $E$9)</f>
        <v>4.0674000000000001</v>
      </c>
      <c r="H91" s="33">
        <f>6.6597 * CHOOSE(CONTROL!$C$32, $C$9, 100%, $E$9)</f>
        <v>6.6597</v>
      </c>
      <c r="I91" s="33">
        <f>6.665 * CHOOSE(CONTROL!$C$32, $C$9, 100%, $E$9)</f>
        <v>6.665</v>
      </c>
      <c r="J91" s="33">
        <f>6.6597 * CHOOSE(CONTROL!$C$32, $C$9, 100%, $E$9)</f>
        <v>6.6597</v>
      </c>
      <c r="K91" s="33">
        <f>6.665 * CHOOSE(CONTROL!$C$32, $C$9, 100%, $E$9)</f>
        <v>6.665</v>
      </c>
      <c r="L91" s="33">
        <f>4.0621 * CHOOSE(CONTROL!$C$32, $C$9, 100%, $E$9)</f>
        <v>4.0621</v>
      </c>
      <c r="M91" s="33">
        <f>4.0674 * CHOOSE(CONTROL!$C$32, $C$9, 100%, $E$9)</f>
        <v>4.0674000000000001</v>
      </c>
      <c r="N91" s="33">
        <f>4.0621 * CHOOSE(CONTROL!$C$32, $C$9, 100%, $E$9)</f>
        <v>4.0621</v>
      </c>
      <c r="O91" s="33">
        <f>4.0674 * CHOOSE(CONTROL!$C$32, $C$9, 100%, $E$9)</f>
        <v>4.0674000000000001</v>
      </c>
      <c r="P91" s="10"/>
      <c r="Q91" s="10"/>
      <c r="R91" s="10"/>
    </row>
    <row r="92" spans="1:18" ht="15" x14ac:dyDescent="0.2">
      <c r="A92" s="16">
        <v>43647</v>
      </c>
      <c r="B92" s="32">
        <f>3.243 * CHOOSE(CONTROL!$C$32, $C$9, 100%, $E$9)</f>
        <v>3.2429999999999999</v>
      </c>
      <c r="C92" s="32">
        <f>3.243 * CHOOSE(CONTROL!$C$32, $C$9, 100%, $E$9)</f>
        <v>3.2429999999999999</v>
      </c>
      <c r="D92" s="32">
        <f>3.2446 * CHOOSE(CONTROL!$C$32, $C$9, 100%, $E$9)</f>
        <v>3.2446000000000002</v>
      </c>
      <c r="E92" s="33">
        <f>4.1173 * CHOOSE(CONTROL!$C$32, $C$9, 100%, $E$9)</f>
        <v>4.1173000000000002</v>
      </c>
      <c r="F92" s="33">
        <f>4.1173 * CHOOSE(CONTROL!$C$32, $C$9, 100%, $E$9)</f>
        <v>4.1173000000000002</v>
      </c>
      <c r="G92" s="33">
        <f>4.1226 * CHOOSE(CONTROL!$C$32, $C$9, 100%, $E$9)</f>
        <v>4.1226000000000003</v>
      </c>
      <c r="H92" s="33">
        <f>6.6736 * CHOOSE(CONTROL!$C$32, $C$9, 100%, $E$9)</f>
        <v>6.6736000000000004</v>
      </c>
      <c r="I92" s="33">
        <f>6.6789 * CHOOSE(CONTROL!$C$32, $C$9, 100%, $E$9)</f>
        <v>6.6788999999999996</v>
      </c>
      <c r="J92" s="33">
        <f>6.6736 * CHOOSE(CONTROL!$C$32, $C$9, 100%, $E$9)</f>
        <v>6.6736000000000004</v>
      </c>
      <c r="K92" s="33">
        <f>6.6789 * CHOOSE(CONTROL!$C$32, $C$9, 100%, $E$9)</f>
        <v>6.6788999999999996</v>
      </c>
      <c r="L92" s="33">
        <f>4.1173 * CHOOSE(CONTROL!$C$32, $C$9, 100%, $E$9)</f>
        <v>4.1173000000000002</v>
      </c>
      <c r="M92" s="33">
        <f>4.1226 * CHOOSE(CONTROL!$C$32, $C$9, 100%, $E$9)</f>
        <v>4.1226000000000003</v>
      </c>
      <c r="N92" s="33">
        <f>4.1173 * CHOOSE(CONTROL!$C$32, $C$9, 100%, $E$9)</f>
        <v>4.1173000000000002</v>
      </c>
      <c r="O92" s="33">
        <f>4.1226 * CHOOSE(CONTROL!$C$32, $C$9, 100%, $E$9)</f>
        <v>4.1226000000000003</v>
      </c>
      <c r="P92" s="10"/>
      <c r="Q92" s="10"/>
      <c r="R92" s="10"/>
    </row>
    <row r="93" spans="1:18" ht="15" x14ac:dyDescent="0.2">
      <c r="A93" s="16">
        <v>43678</v>
      </c>
      <c r="B93" s="32">
        <f>3.2497 * CHOOSE(CONTROL!$C$32, $C$9, 100%, $E$9)</f>
        <v>3.2496999999999998</v>
      </c>
      <c r="C93" s="32">
        <f>3.2497 * CHOOSE(CONTROL!$C$32, $C$9, 100%, $E$9)</f>
        <v>3.2496999999999998</v>
      </c>
      <c r="D93" s="32">
        <f>3.2512 * CHOOSE(CONTROL!$C$32, $C$9, 100%, $E$9)</f>
        <v>3.2511999999999999</v>
      </c>
      <c r="E93" s="33">
        <f>4.1217 * CHOOSE(CONTROL!$C$32, $C$9, 100%, $E$9)</f>
        <v>4.1216999999999997</v>
      </c>
      <c r="F93" s="33">
        <f>4.1217 * CHOOSE(CONTROL!$C$32, $C$9, 100%, $E$9)</f>
        <v>4.1216999999999997</v>
      </c>
      <c r="G93" s="33">
        <f>4.127 * CHOOSE(CONTROL!$C$32, $C$9, 100%, $E$9)</f>
        <v>4.1269999999999998</v>
      </c>
      <c r="H93" s="33">
        <f>6.6875 * CHOOSE(CONTROL!$C$32, $C$9, 100%, $E$9)</f>
        <v>6.6875</v>
      </c>
      <c r="I93" s="33">
        <f>6.6928 * CHOOSE(CONTROL!$C$32, $C$9, 100%, $E$9)</f>
        <v>6.6928000000000001</v>
      </c>
      <c r="J93" s="33">
        <f>6.6875 * CHOOSE(CONTROL!$C$32, $C$9, 100%, $E$9)</f>
        <v>6.6875</v>
      </c>
      <c r="K93" s="33">
        <f>6.6928 * CHOOSE(CONTROL!$C$32, $C$9, 100%, $E$9)</f>
        <v>6.6928000000000001</v>
      </c>
      <c r="L93" s="33">
        <f>4.1217 * CHOOSE(CONTROL!$C$32, $C$9, 100%, $E$9)</f>
        <v>4.1216999999999997</v>
      </c>
      <c r="M93" s="33">
        <f>4.127 * CHOOSE(CONTROL!$C$32, $C$9, 100%, $E$9)</f>
        <v>4.1269999999999998</v>
      </c>
      <c r="N93" s="33">
        <f>4.1217 * CHOOSE(CONTROL!$C$32, $C$9, 100%, $E$9)</f>
        <v>4.1216999999999997</v>
      </c>
      <c r="O93" s="33">
        <f>4.127 * CHOOSE(CONTROL!$C$32, $C$9, 100%, $E$9)</f>
        <v>4.1269999999999998</v>
      </c>
      <c r="P93" s="10"/>
      <c r="Q93" s="10"/>
      <c r="R93" s="10"/>
    </row>
    <row r="94" spans="1:18" ht="15" x14ac:dyDescent="0.2">
      <c r="A94" s="16">
        <v>43709</v>
      </c>
      <c r="B94" s="32">
        <f>3.2466 * CHOOSE(CONTROL!$C$32, $C$9, 100%, $E$9)</f>
        <v>3.2465999999999999</v>
      </c>
      <c r="C94" s="32">
        <f>3.2466 * CHOOSE(CONTROL!$C$32, $C$9, 100%, $E$9)</f>
        <v>3.2465999999999999</v>
      </c>
      <c r="D94" s="32">
        <f>3.2482 * CHOOSE(CONTROL!$C$32, $C$9, 100%, $E$9)</f>
        <v>3.2482000000000002</v>
      </c>
      <c r="E94" s="33">
        <f>4.1197 * CHOOSE(CONTROL!$C$32, $C$9, 100%, $E$9)</f>
        <v>4.1196999999999999</v>
      </c>
      <c r="F94" s="33">
        <f>4.1197 * CHOOSE(CONTROL!$C$32, $C$9, 100%, $E$9)</f>
        <v>4.1196999999999999</v>
      </c>
      <c r="G94" s="33">
        <f>4.125 * CHOOSE(CONTROL!$C$32, $C$9, 100%, $E$9)</f>
        <v>4.125</v>
      </c>
      <c r="H94" s="33">
        <f>6.7014 * CHOOSE(CONTROL!$C$32, $C$9, 100%, $E$9)</f>
        <v>6.7013999999999996</v>
      </c>
      <c r="I94" s="33">
        <f>6.7067 * CHOOSE(CONTROL!$C$32, $C$9, 100%, $E$9)</f>
        <v>6.7066999999999997</v>
      </c>
      <c r="J94" s="33">
        <f>6.7014 * CHOOSE(CONTROL!$C$32, $C$9, 100%, $E$9)</f>
        <v>6.7013999999999996</v>
      </c>
      <c r="K94" s="33">
        <f>6.7067 * CHOOSE(CONTROL!$C$32, $C$9, 100%, $E$9)</f>
        <v>6.7066999999999997</v>
      </c>
      <c r="L94" s="33">
        <f>4.1197 * CHOOSE(CONTROL!$C$32, $C$9, 100%, $E$9)</f>
        <v>4.1196999999999999</v>
      </c>
      <c r="M94" s="33">
        <f>4.125 * CHOOSE(CONTROL!$C$32, $C$9, 100%, $E$9)</f>
        <v>4.125</v>
      </c>
      <c r="N94" s="33">
        <f>4.1197 * CHOOSE(CONTROL!$C$32, $C$9, 100%, $E$9)</f>
        <v>4.1196999999999999</v>
      </c>
      <c r="O94" s="33">
        <f>4.125 * CHOOSE(CONTROL!$C$32, $C$9, 100%, $E$9)</f>
        <v>4.125</v>
      </c>
      <c r="P94" s="10"/>
      <c r="Q94" s="10"/>
      <c r="R94" s="10"/>
    </row>
    <row r="95" spans="1:18" ht="15" x14ac:dyDescent="0.2">
      <c r="A95" s="16">
        <v>43739</v>
      </c>
      <c r="B95" s="32">
        <f>3.239 * CHOOSE(CONTROL!$C$32, $C$9, 100%, $E$9)</f>
        <v>3.2389999999999999</v>
      </c>
      <c r="C95" s="32">
        <f>3.239 * CHOOSE(CONTROL!$C$32, $C$9, 100%, $E$9)</f>
        <v>3.2389999999999999</v>
      </c>
      <c r="D95" s="32">
        <f>3.24 * CHOOSE(CONTROL!$C$32, $C$9, 100%, $E$9)</f>
        <v>3.24</v>
      </c>
      <c r="E95" s="33">
        <f>4.113 * CHOOSE(CONTROL!$C$32, $C$9, 100%, $E$9)</f>
        <v>4.1130000000000004</v>
      </c>
      <c r="F95" s="33">
        <f>4.113 * CHOOSE(CONTROL!$C$32, $C$9, 100%, $E$9)</f>
        <v>4.1130000000000004</v>
      </c>
      <c r="G95" s="33">
        <f>4.1166 * CHOOSE(CONTROL!$C$32, $C$9, 100%, $E$9)</f>
        <v>4.1166</v>
      </c>
      <c r="H95" s="33">
        <f>6.7154 * CHOOSE(CONTROL!$C$32, $C$9, 100%, $E$9)</f>
        <v>6.7153999999999998</v>
      </c>
      <c r="I95" s="33">
        <f>6.719 * CHOOSE(CONTROL!$C$32, $C$9, 100%, $E$9)</f>
        <v>6.7190000000000003</v>
      </c>
      <c r="J95" s="33">
        <f>6.7154 * CHOOSE(CONTROL!$C$32, $C$9, 100%, $E$9)</f>
        <v>6.7153999999999998</v>
      </c>
      <c r="K95" s="33">
        <f>6.719 * CHOOSE(CONTROL!$C$32, $C$9, 100%, $E$9)</f>
        <v>6.7190000000000003</v>
      </c>
      <c r="L95" s="33">
        <f>4.113 * CHOOSE(CONTROL!$C$32, $C$9, 100%, $E$9)</f>
        <v>4.1130000000000004</v>
      </c>
      <c r="M95" s="33">
        <f>4.1166 * CHOOSE(CONTROL!$C$32, $C$9, 100%, $E$9)</f>
        <v>4.1166</v>
      </c>
      <c r="N95" s="33">
        <f>4.113 * CHOOSE(CONTROL!$C$32, $C$9, 100%, $E$9)</f>
        <v>4.1130000000000004</v>
      </c>
      <c r="O95" s="33">
        <f>4.1166 * CHOOSE(CONTROL!$C$32, $C$9, 100%, $E$9)</f>
        <v>4.1166</v>
      </c>
      <c r="P95" s="10"/>
      <c r="Q95" s="10"/>
      <c r="R95" s="10"/>
    </row>
    <row r="96" spans="1:18" ht="15" x14ac:dyDescent="0.2">
      <c r="A96" s="16">
        <v>43770</v>
      </c>
      <c r="B96" s="32">
        <f>3.242 * CHOOSE(CONTROL!$C$32, $C$9, 100%, $E$9)</f>
        <v>3.242</v>
      </c>
      <c r="C96" s="32">
        <f>3.242 * CHOOSE(CONTROL!$C$32, $C$9, 100%, $E$9)</f>
        <v>3.242</v>
      </c>
      <c r="D96" s="32">
        <f>3.2431 * CHOOSE(CONTROL!$C$32, $C$9, 100%, $E$9)</f>
        <v>3.2431000000000001</v>
      </c>
      <c r="E96" s="33">
        <f>4.115 * CHOOSE(CONTROL!$C$32, $C$9, 100%, $E$9)</f>
        <v>4.1150000000000002</v>
      </c>
      <c r="F96" s="33">
        <f>4.115 * CHOOSE(CONTROL!$C$32, $C$9, 100%, $E$9)</f>
        <v>4.1150000000000002</v>
      </c>
      <c r="G96" s="33">
        <f>4.1186 * CHOOSE(CONTROL!$C$32, $C$9, 100%, $E$9)</f>
        <v>4.1185999999999998</v>
      </c>
      <c r="H96" s="33">
        <f>6.7294 * CHOOSE(CONTROL!$C$32, $C$9, 100%, $E$9)</f>
        <v>6.7294</v>
      </c>
      <c r="I96" s="33">
        <f>6.733 * CHOOSE(CONTROL!$C$32, $C$9, 100%, $E$9)</f>
        <v>6.7329999999999997</v>
      </c>
      <c r="J96" s="33">
        <f>6.7294 * CHOOSE(CONTROL!$C$32, $C$9, 100%, $E$9)</f>
        <v>6.7294</v>
      </c>
      <c r="K96" s="33">
        <f>6.733 * CHOOSE(CONTROL!$C$32, $C$9, 100%, $E$9)</f>
        <v>6.7329999999999997</v>
      </c>
      <c r="L96" s="33">
        <f>4.115 * CHOOSE(CONTROL!$C$32, $C$9, 100%, $E$9)</f>
        <v>4.1150000000000002</v>
      </c>
      <c r="M96" s="33">
        <f>4.1186 * CHOOSE(CONTROL!$C$32, $C$9, 100%, $E$9)</f>
        <v>4.1185999999999998</v>
      </c>
      <c r="N96" s="33">
        <f>4.115 * CHOOSE(CONTROL!$C$32, $C$9, 100%, $E$9)</f>
        <v>4.1150000000000002</v>
      </c>
      <c r="O96" s="33">
        <f>4.1186 * CHOOSE(CONTROL!$C$32, $C$9, 100%, $E$9)</f>
        <v>4.1185999999999998</v>
      </c>
      <c r="P96" s="10"/>
      <c r="Q96" s="10"/>
      <c r="R96" s="10"/>
    </row>
    <row r="97" spans="1:18" ht="15" x14ac:dyDescent="0.2">
      <c r="A97" s="16">
        <v>43800</v>
      </c>
      <c r="B97" s="32">
        <f>3.242 * CHOOSE(CONTROL!$C$32, $C$9, 100%, $E$9)</f>
        <v>3.242</v>
      </c>
      <c r="C97" s="32">
        <f>3.242 * CHOOSE(CONTROL!$C$32, $C$9, 100%, $E$9)</f>
        <v>3.242</v>
      </c>
      <c r="D97" s="32">
        <f>3.2431 * CHOOSE(CONTROL!$C$32, $C$9, 100%, $E$9)</f>
        <v>3.2431000000000001</v>
      </c>
      <c r="E97" s="33">
        <f>4.115 * CHOOSE(CONTROL!$C$32, $C$9, 100%, $E$9)</f>
        <v>4.1150000000000002</v>
      </c>
      <c r="F97" s="33">
        <f>4.115 * CHOOSE(CONTROL!$C$32, $C$9, 100%, $E$9)</f>
        <v>4.1150000000000002</v>
      </c>
      <c r="G97" s="33">
        <f>4.1186 * CHOOSE(CONTROL!$C$32, $C$9, 100%, $E$9)</f>
        <v>4.1185999999999998</v>
      </c>
      <c r="H97" s="33">
        <f>6.7434 * CHOOSE(CONTROL!$C$32, $C$9, 100%, $E$9)</f>
        <v>6.7434000000000003</v>
      </c>
      <c r="I97" s="33">
        <f>6.747 * CHOOSE(CONTROL!$C$32, $C$9, 100%, $E$9)</f>
        <v>6.7469999999999999</v>
      </c>
      <c r="J97" s="33">
        <f>6.7434 * CHOOSE(CONTROL!$C$32, $C$9, 100%, $E$9)</f>
        <v>6.7434000000000003</v>
      </c>
      <c r="K97" s="33">
        <f>6.747 * CHOOSE(CONTROL!$C$32, $C$9, 100%, $E$9)</f>
        <v>6.7469999999999999</v>
      </c>
      <c r="L97" s="33">
        <f>4.115 * CHOOSE(CONTROL!$C$32, $C$9, 100%, $E$9)</f>
        <v>4.1150000000000002</v>
      </c>
      <c r="M97" s="33">
        <f>4.1186 * CHOOSE(CONTROL!$C$32, $C$9, 100%, $E$9)</f>
        <v>4.1185999999999998</v>
      </c>
      <c r="N97" s="33">
        <f>4.115 * CHOOSE(CONTROL!$C$32, $C$9, 100%, $E$9)</f>
        <v>4.1150000000000002</v>
      </c>
      <c r="O97" s="33">
        <f>4.1186 * CHOOSE(CONTROL!$C$32, $C$9, 100%, $E$9)</f>
        <v>4.1185999999999998</v>
      </c>
      <c r="P97" s="10"/>
      <c r="Q97" s="10"/>
      <c r="R97" s="10"/>
    </row>
    <row r="98" spans="1:18" ht="15" x14ac:dyDescent="0.2">
      <c r="A98" s="16">
        <v>43831</v>
      </c>
      <c r="B98" s="32">
        <f>3.2675 * CHOOSE(CONTROL!$C$32, $C$9, 100%, $E$9)</f>
        <v>3.2675000000000001</v>
      </c>
      <c r="C98" s="32">
        <f>3.2675 * CHOOSE(CONTROL!$C$32, $C$9, 100%, $E$9)</f>
        <v>3.2675000000000001</v>
      </c>
      <c r="D98" s="32">
        <f>3.2686 * CHOOSE(CONTROL!$C$32, $C$9, 100%, $E$9)</f>
        <v>3.2686000000000002</v>
      </c>
      <c r="E98" s="33">
        <f>4.148 * CHOOSE(CONTROL!$C$32, $C$9, 100%, $E$9)</f>
        <v>4.1479999999999997</v>
      </c>
      <c r="F98" s="33">
        <f>4.148 * CHOOSE(CONTROL!$C$32, $C$9, 100%, $E$9)</f>
        <v>4.1479999999999997</v>
      </c>
      <c r="G98" s="33">
        <f>4.1516 * CHOOSE(CONTROL!$C$32, $C$9, 100%, $E$9)</f>
        <v>4.1516000000000002</v>
      </c>
      <c r="H98" s="33">
        <f>6.7574 * CHOOSE(CONTROL!$C$32, $C$9, 100%, $E$9)</f>
        <v>6.7573999999999996</v>
      </c>
      <c r="I98" s="33">
        <f>6.7611 * CHOOSE(CONTROL!$C$32, $C$9, 100%, $E$9)</f>
        <v>6.7610999999999999</v>
      </c>
      <c r="J98" s="33">
        <f>6.7574 * CHOOSE(CONTROL!$C$32, $C$9, 100%, $E$9)</f>
        <v>6.7573999999999996</v>
      </c>
      <c r="K98" s="33">
        <f>6.7611 * CHOOSE(CONTROL!$C$32, $C$9, 100%, $E$9)</f>
        <v>6.7610999999999999</v>
      </c>
      <c r="L98" s="33">
        <f>4.148 * CHOOSE(CONTROL!$C$32, $C$9, 100%, $E$9)</f>
        <v>4.1479999999999997</v>
      </c>
      <c r="M98" s="33">
        <f>4.1516 * CHOOSE(CONTROL!$C$32, $C$9, 100%, $E$9)</f>
        <v>4.1516000000000002</v>
      </c>
      <c r="N98" s="33">
        <f>4.148 * CHOOSE(CONTROL!$C$32, $C$9, 100%, $E$9)</f>
        <v>4.1479999999999997</v>
      </c>
      <c r="O98" s="33">
        <f>4.1516 * CHOOSE(CONTROL!$C$32, $C$9, 100%, $E$9)</f>
        <v>4.1516000000000002</v>
      </c>
      <c r="P98" s="10"/>
      <c r="Q98" s="10"/>
      <c r="R98" s="10"/>
    </row>
    <row r="99" spans="1:18" ht="15" x14ac:dyDescent="0.2">
      <c r="A99" s="16">
        <v>43862</v>
      </c>
      <c r="B99" s="32">
        <f>3.2644 * CHOOSE(CONTROL!$C$32, $C$9, 100%, $E$9)</f>
        <v>3.2644000000000002</v>
      </c>
      <c r="C99" s="32">
        <f>3.2644 * CHOOSE(CONTROL!$C$32, $C$9, 100%, $E$9)</f>
        <v>3.2644000000000002</v>
      </c>
      <c r="D99" s="32">
        <f>3.2655 * CHOOSE(CONTROL!$C$32, $C$9, 100%, $E$9)</f>
        <v>3.2654999999999998</v>
      </c>
      <c r="E99" s="33">
        <f>4.146 * CHOOSE(CONTROL!$C$32, $C$9, 100%, $E$9)</f>
        <v>4.1459999999999999</v>
      </c>
      <c r="F99" s="33">
        <f>4.146 * CHOOSE(CONTROL!$C$32, $C$9, 100%, $E$9)</f>
        <v>4.1459999999999999</v>
      </c>
      <c r="G99" s="33">
        <f>4.1496 * CHOOSE(CONTROL!$C$32, $C$9, 100%, $E$9)</f>
        <v>4.1496000000000004</v>
      </c>
      <c r="H99" s="33">
        <f>6.7715 * CHOOSE(CONTROL!$C$32, $C$9, 100%, $E$9)</f>
        <v>6.7714999999999996</v>
      </c>
      <c r="I99" s="33">
        <f>6.7751 * CHOOSE(CONTROL!$C$32, $C$9, 100%, $E$9)</f>
        <v>6.7751000000000001</v>
      </c>
      <c r="J99" s="33">
        <f>6.7715 * CHOOSE(CONTROL!$C$32, $C$9, 100%, $E$9)</f>
        <v>6.7714999999999996</v>
      </c>
      <c r="K99" s="33">
        <f>6.7751 * CHOOSE(CONTROL!$C$32, $C$9, 100%, $E$9)</f>
        <v>6.7751000000000001</v>
      </c>
      <c r="L99" s="33">
        <f>4.146 * CHOOSE(CONTROL!$C$32, $C$9, 100%, $E$9)</f>
        <v>4.1459999999999999</v>
      </c>
      <c r="M99" s="33">
        <f>4.1496 * CHOOSE(CONTROL!$C$32, $C$9, 100%, $E$9)</f>
        <v>4.1496000000000004</v>
      </c>
      <c r="N99" s="33">
        <f>4.146 * CHOOSE(CONTROL!$C$32, $C$9, 100%, $E$9)</f>
        <v>4.1459999999999999</v>
      </c>
      <c r="O99" s="33">
        <f>4.1496 * CHOOSE(CONTROL!$C$32, $C$9, 100%, $E$9)</f>
        <v>4.1496000000000004</v>
      </c>
      <c r="P99" s="10"/>
      <c r="Q99" s="10"/>
      <c r="R99" s="10"/>
    </row>
    <row r="100" spans="1:18" ht="15" x14ac:dyDescent="0.2">
      <c r="A100" s="16">
        <v>43891</v>
      </c>
      <c r="B100" s="32">
        <f>3.2614 * CHOOSE(CONTROL!$C$32, $C$9, 100%, $E$9)</f>
        <v>3.2614000000000001</v>
      </c>
      <c r="C100" s="32">
        <f>3.2614 * CHOOSE(CONTROL!$C$32, $C$9, 100%, $E$9)</f>
        <v>3.2614000000000001</v>
      </c>
      <c r="D100" s="32">
        <f>3.2625 * CHOOSE(CONTROL!$C$32, $C$9, 100%, $E$9)</f>
        <v>3.2625000000000002</v>
      </c>
      <c r="E100" s="33">
        <f>4.144 * CHOOSE(CONTROL!$C$32, $C$9, 100%, $E$9)</f>
        <v>4.1440000000000001</v>
      </c>
      <c r="F100" s="33">
        <f>4.144 * CHOOSE(CONTROL!$C$32, $C$9, 100%, $E$9)</f>
        <v>4.1440000000000001</v>
      </c>
      <c r="G100" s="33">
        <f>4.1476 * CHOOSE(CONTROL!$C$32, $C$9, 100%, $E$9)</f>
        <v>4.1475999999999997</v>
      </c>
      <c r="H100" s="33">
        <f>6.7856 * CHOOSE(CONTROL!$C$32, $C$9, 100%, $E$9)</f>
        <v>6.7855999999999996</v>
      </c>
      <c r="I100" s="33">
        <f>6.7892 * CHOOSE(CONTROL!$C$32, $C$9, 100%, $E$9)</f>
        <v>6.7892000000000001</v>
      </c>
      <c r="J100" s="33">
        <f>6.7856 * CHOOSE(CONTROL!$C$32, $C$9, 100%, $E$9)</f>
        <v>6.7855999999999996</v>
      </c>
      <c r="K100" s="33">
        <f>6.7892 * CHOOSE(CONTROL!$C$32, $C$9, 100%, $E$9)</f>
        <v>6.7892000000000001</v>
      </c>
      <c r="L100" s="33">
        <f>4.144 * CHOOSE(CONTROL!$C$32, $C$9, 100%, $E$9)</f>
        <v>4.1440000000000001</v>
      </c>
      <c r="M100" s="33">
        <f>4.1476 * CHOOSE(CONTROL!$C$32, $C$9, 100%, $E$9)</f>
        <v>4.1475999999999997</v>
      </c>
      <c r="N100" s="33">
        <f>4.144 * CHOOSE(CONTROL!$C$32, $C$9, 100%, $E$9)</f>
        <v>4.1440000000000001</v>
      </c>
      <c r="O100" s="33">
        <f>4.1476 * CHOOSE(CONTROL!$C$32, $C$9, 100%, $E$9)</f>
        <v>4.1475999999999997</v>
      </c>
      <c r="P100" s="10"/>
      <c r="Q100" s="10"/>
      <c r="R100" s="10"/>
    </row>
    <row r="101" spans="1:18" ht="15" x14ac:dyDescent="0.2">
      <c r="A101" s="16">
        <v>43922</v>
      </c>
      <c r="B101" s="32">
        <f>3.2584 * CHOOSE(CONTROL!$C$32, $C$9, 100%, $E$9)</f>
        <v>3.2584</v>
      </c>
      <c r="C101" s="32">
        <f>3.2584 * CHOOSE(CONTROL!$C$32, $C$9, 100%, $E$9)</f>
        <v>3.2584</v>
      </c>
      <c r="D101" s="32">
        <f>3.2594 * CHOOSE(CONTROL!$C$32, $C$9, 100%, $E$9)</f>
        <v>3.2593999999999999</v>
      </c>
      <c r="E101" s="33">
        <f>4.1415 * CHOOSE(CONTROL!$C$32, $C$9, 100%, $E$9)</f>
        <v>4.1414999999999997</v>
      </c>
      <c r="F101" s="33">
        <f>4.1415 * CHOOSE(CONTROL!$C$32, $C$9, 100%, $E$9)</f>
        <v>4.1414999999999997</v>
      </c>
      <c r="G101" s="33">
        <f>4.1451 * CHOOSE(CONTROL!$C$32, $C$9, 100%, $E$9)</f>
        <v>4.1451000000000002</v>
      </c>
      <c r="H101" s="33">
        <f>6.7998 * CHOOSE(CONTROL!$C$32, $C$9, 100%, $E$9)</f>
        <v>6.7998000000000003</v>
      </c>
      <c r="I101" s="33">
        <f>6.8034 * CHOOSE(CONTROL!$C$32, $C$9, 100%, $E$9)</f>
        <v>6.8033999999999999</v>
      </c>
      <c r="J101" s="33">
        <f>6.7998 * CHOOSE(CONTROL!$C$32, $C$9, 100%, $E$9)</f>
        <v>6.7998000000000003</v>
      </c>
      <c r="K101" s="33">
        <f>6.8034 * CHOOSE(CONTROL!$C$32, $C$9, 100%, $E$9)</f>
        <v>6.8033999999999999</v>
      </c>
      <c r="L101" s="33">
        <f>4.1415 * CHOOSE(CONTROL!$C$32, $C$9, 100%, $E$9)</f>
        <v>4.1414999999999997</v>
      </c>
      <c r="M101" s="33">
        <f>4.1451 * CHOOSE(CONTROL!$C$32, $C$9, 100%, $E$9)</f>
        <v>4.1451000000000002</v>
      </c>
      <c r="N101" s="33">
        <f>4.1415 * CHOOSE(CONTROL!$C$32, $C$9, 100%, $E$9)</f>
        <v>4.1414999999999997</v>
      </c>
      <c r="O101" s="33">
        <f>4.1451 * CHOOSE(CONTROL!$C$32, $C$9, 100%, $E$9)</f>
        <v>4.1451000000000002</v>
      </c>
      <c r="P101" s="10"/>
      <c r="Q101" s="10"/>
      <c r="R101" s="10"/>
    </row>
    <row r="102" spans="1:18" ht="15" x14ac:dyDescent="0.2">
      <c r="A102" s="16">
        <v>43952</v>
      </c>
      <c r="B102" s="32">
        <f>3.2584 * CHOOSE(CONTROL!$C$32, $C$9, 100%, $E$9)</f>
        <v>3.2584</v>
      </c>
      <c r="C102" s="32">
        <f>3.2584 * CHOOSE(CONTROL!$C$32, $C$9, 100%, $E$9)</f>
        <v>3.2584</v>
      </c>
      <c r="D102" s="32">
        <f>3.2599 * CHOOSE(CONTROL!$C$32, $C$9, 100%, $E$9)</f>
        <v>3.2599</v>
      </c>
      <c r="E102" s="33">
        <f>4.1415 * CHOOSE(CONTROL!$C$32, $C$9, 100%, $E$9)</f>
        <v>4.1414999999999997</v>
      </c>
      <c r="F102" s="33">
        <f>4.1415 * CHOOSE(CONTROL!$C$32, $C$9, 100%, $E$9)</f>
        <v>4.1414999999999997</v>
      </c>
      <c r="G102" s="33">
        <f>4.1468 * CHOOSE(CONTROL!$C$32, $C$9, 100%, $E$9)</f>
        <v>4.1467999999999998</v>
      </c>
      <c r="H102" s="33">
        <f>6.8139 * CHOOSE(CONTROL!$C$32, $C$9, 100%, $E$9)</f>
        <v>6.8139000000000003</v>
      </c>
      <c r="I102" s="33">
        <f>6.8192 * CHOOSE(CONTROL!$C$32, $C$9, 100%, $E$9)</f>
        <v>6.8192000000000004</v>
      </c>
      <c r="J102" s="33">
        <f>6.8139 * CHOOSE(CONTROL!$C$32, $C$9, 100%, $E$9)</f>
        <v>6.8139000000000003</v>
      </c>
      <c r="K102" s="33">
        <f>6.8192 * CHOOSE(CONTROL!$C$32, $C$9, 100%, $E$9)</f>
        <v>6.8192000000000004</v>
      </c>
      <c r="L102" s="33">
        <f>4.1415 * CHOOSE(CONTROL!$C$32, $C$9, 100%, $E$9)</f>
        <v>4.1414999999999997</v>
      </c>
      <c r="M102" s="33">
        <f>4.1468 * CHOOSE(CONTROL!$C$32, $C$9, 100%, $E$9)</f>
        <v>4.1467999999999998</v>
      </c>
      <c r="N102" s="33">
        <f>4.1415 * CHOOSE(CONTROL!$C$32, $C$9, 100%, $E$9)</f>
        <v>4.1414999999999997</v>
      </c>
      <c r="O102" s="33">
        <f>4.1468 * CHOOSE(CONTROL!$C$32, $C$9, 100%, $E$9)</f>
        <v>4.1467999999999998</v>
      </c>
      <c r="P102" s="10"/>
      <c r="Q102" s="10"/>
      <c r="R102" s="10"/>
    </row>
    <row r="103" spans="1:18" ht="15" x14ac:dyDescent="0.2">
      <c r="A103" s="16">
        <v>43983</v>
      </c>
      <c r="B103" s="32">
        <f>3.2644 * CHOOSE(CONTROL!$C$32, $C$9, 100%, $E$9)</f>
        <v>3.2644000000000002</v>
      </c>
      <c r="C103" s="32">
        <f>3.2644 * CHOOSE(CONTROL!$C$32, $C$9, 100%, $E$9)</f>
        <v>3.2644000000000002</v>
      </c>
      <c r="D103" s="32">
        <f>3.266 * CHOOSE(CONTROL!$C$32, $C$9, 100%, $E$9)</f>
        <v>3.266</v>
      </c>
      <c r="E103" s="33">
        <f>4.1455 * CHOOSE(CONTROL!$C$32, $C$9, 100%, $E$9)</f>
        <v>4.1455000000000002</v>
      </c>
      <c r="F103" s="33">
        <f>4.1455 * CHOOSE(CONTROL!$C$32, $C$9, 100%, $E$9)</f>
        <v>4.1455000000000002</v>
      </c>
      <c r="G103" s="33">
        <f>4.1508 * CHOOSE(CONTROL!$C$32, $C$9, 100%, $E$9)</f>
        <v>4.1508000000000003</v>
      </c>
      <c r="H103" s="33">
        <f>6.8281 * CHOOSE(CONTROL!$C$32, $C$9, 100%, $E$9)</f>
        <v>6.8281000000000001</v>
      </c>
      <c r="I103" s="33">
        <f>6.8334 * CHOOSE(CONTROL!$C$32, $C$9, 100%, $E$9)</f>
        <v>6.8334000000000001</v>
      </c>
      <c r="J103" s="33">
        <f>6.8281 * CHOOSE(CONTROL!$C$32, $C$9, 100%, $E$9)</f>
        <v>6.8281000000000001</v>
      </c>
      <c r="K103" s="33">
        <f>6.8334 * CHOOSE(CONTROL!$C$32, $C$9, 100%, $E$9)</f>
        <v>6.8334000000000001</v>
      </c>
      <c r="L103" s="33">
        <f>4.1455 * CHOOSE(CONTROL!$C$32, $C$9, 100%, $E$9)</f>
        <v>4.1455000000000002</v>
      </c>
      <c r="M103" s="33">
        <f>4.1508 * CHOOSE(CONTROL!$C$32, $C$9, 100%, $E$9)</f>
        <v>4.1508000000000003</v>
      </c>
      <c r="N103" s="33">
        <f>4.1455 * CHOOSE(CONTROL!$C$32, $C$9, 100%, $E$9)</f>
        <v>4.1455000000000002</v>
      </c>
      <c r="O103" s="33">
        <f>4.1508 * CHOOSE(CONTROL!$C$32, $C$9, 100%, $E$9)</f>
        <v>4.1508000000000003</v>
      </c>
      <c r="P103" s="10"/>
      <c r="Q103" s="10"/>
      <c r="R103" s="10"/>
    </row>
    <row r="104" spans="1:18" ht="15" x14ac:dyDescent="0.2">
      <c r="A104" s="16">
        <v>44013</v>
      </c>
      <c r="B104" s="32">
        <f>3.3098 * CHOOSE(CONTROL!$C$32, $C$9, 100%, $E$9)</f>
        <v>3.3098000000000001</v>
      </c>
      <c r="C104" s="32">
        <f>3.3098 * CHOOSE(CONTROL!$C$32, $C$9, 100%, $E$9)</f>
        <v>3.3098000000000001</v>
      </c>
      <c r="D104" s="32">
        <f>3.3114 * CHOOSE(CONTROL!$C$32, $C$9, 100%, $E$9)</f>
        <v>3.3113999999999999</v>
      </c>
      <c r="E104" s="33">
        <f>4.2176 * CHOOSE(CONTROL!$C$32, $C$9, 100%, $E$9)</f>
        <v>4.2176</v>
      </c>
      <c r="F104" s="33">
        <f>4.2176 * CHOOSE(CONTROL!$C$32, $C$9, 100%, $E$9)</f>
        <v>4.2176</v>
      </c>
      <c r="G104" s="33">
        <f>4.2229 * CHOOSE(CONTROL!$C$32, $C$9, 100%, $E$9)</f>
        <v>4.2229000000000001</v>
      </c>
      <c r="H104" s="33">
        <f>6.8424 * CHOOSE(CONTROL!$C$32, $C$9, 100%, $E$9)</f>
        <v>6.8423999999999996</v>
      </c>
      <c r="I104" s="33">
        <f>6.8476 * CHOOSE(CONTROL!$C$32, $C$9, 100%, $E$9)</f>
        <v>6.8475999999999999</v>
      </c>
      <c r="J104" s="33">
        <f>6.8424 * CHOOSE(CONTROL!$C$32, $C$9, 100%, $E$9)</f>
        <v>6.8423999999999996</v>
      </c>
      <c r="K104" s="33">
        <f>6.8476 * CHOOSE(CONTROL!$C$32, $C$9, 100%, $E$9)</f>
        <v>6.8475999999999999</v>
      </c>
      <c r="L104" s="33">
        <f>4.2176 * CHOOSE(CONTROL!$C$32, $C$9, 100%, $E$9)</f>
        <v>4.2176</v>
      </c>
      <c r="M104" s="33">
        <f>4.2229 * CHOOSE(CONTROL!$C$32, $C$9, 100%, $E$9)</f>
        <v>4.2229000000000001</v>
      </c>
      <c r="N104" s="33">
        <f>4.2176 * CHOOSE(CONTROL!$C$32, $C$9, 100%, $E$9)</f>
        <v>4.2176</v>
      </c>
      <c r="O104" s="33">
        <f>4.2229 * CHOOSE(CONTROL!$C$32, $C$9, 100%, $E$9)</f>
        <v>4.2229000000000001</v>
      </c>
      <c r="P104" s="10"/>
      <c r="Q104" s="10"/>
      <c r="R104" s="10"/>
    </row>
    <row r="105" spans="1:18" ht="15" x14ac:dyDescent="0.2">
      <c r="A105" s="16">
        <v>44044</v>
      </c>
      <c r="B105" s="32">
        <f>3.3165 * CHOOSE(CONTROL!$C$32, $C$9, 100%, $E$9)</f>
        <v>3.3165</v>
      </c>
      <c r="C105" s="32">
        <f>3.3165 * CHOOSE(CONTROL!$C$32, $C$9, 100%, $E$9)</f>
        <v>3.3165</v>
      </c>
      <c r="D105" s="32">
        <f>3.3181 * CHOOSE(CONTROL!$C$32, $C$9, 100%, $E$9)</f>
        <v>3.3180999999999998</v>
      </c>
      <c r="E105" s="33">
        <f>4.222 * CHOOSE(CONTROL!$C$32, $C$9, 100%, $E$9)</f>
        <v>4.2220000000000004</v>
      </c>
      <c r="F105" s="33">
        <f>4.222 * CHOOSE(CONTROL!$C$32, $C$9, 100%, $E$9)</f>
        <v>4.2220000000000004</v>
      </c>
      <c r="G105" s="33">
        <f>4.2273 * CHOOSE(CONTROL!$C$32, $C$9, 100%, $E$9)</f>
        <v>4.2272999999999996</v>
      </c>
      <c r="H105" s="33">
        <f>6.8566 * CHOOSE(CONTROL!$C$32, $C$9, 100%, $E$9)</f>
        <v>6.8566000000000003</v>
      </c>
      <c r="I105" s="33">
        <f>6.8619 * CHOOSE(CONTROL!$C$32, $C$9, 100%, $E$9)</f>
        <v>6.8619000000000003</v>
      </c>
      <c r="J105" s="33">
        <f>6.8566 * CHOOSE(CONTROL!$C$32, $C$9, 100%, $E$9)</f>
        <v>6.8566000000000003</v>
      </c>
      <c r="K105" s="33">
        <f>6.8619 * CHOOSE(CONTROL!$C$32, $C$9, 100%, $E$9)</f>
        <v>6.8619000000000003</v>
      </c>
      <c r="L105" s="33">
        <f>4.222 * CHOOSE(CONTROL!$C$32, $C$9, 100%, $E$9)</f>
        <v>4.2220000000000004</v>
      </c>
      <c r="M105" s="33">
        <f>4.2273 * CHOOSE(CONTROL!$C$32, $C$9, 100%, $E$9)</f>
        <v>4.2272999999999996</v>
      </c>
      <c r="N105" s="33">
        <f>4.222 * CHOOSE(CONTROL!$C$32, $C$9, 100%, $E$9)</f>
        <v>4.2220000000000004</v>
      </c>
      <c r="O105" s="33">
        <f>4.2273 * CHOOSE(CONTROL!$C$32, $C$9, 100%, $E$9)</f>
        <v>4.2272999999999996</v>
      </c>
      <c r="P105" s="10"/>
      <c r="Q105" s="10"/>
      <c r="R105" s="10"/>
    </row>
    <row r="106" spans="1:18" ht="15" x14ac:dyDescent="0.2">
      <c r="A106" s="16">
        <v>44075</v>
      </c>
      <c r="B106" s="32">
        <f>3.3135 * CHOOSE(CONTROL!$C$32, $C$9, 100%, $E$9)</f>
        <v>3.3134999999999999</v>
      </c>
      <c r="C106" s="32">
        <f>3.3135 * CHOOSE(CONTROL!$C$32, $C$9, 100%, $E$9)</f>
        <v>3.3134999999999999</v>
      </c>
      <c r="D106" s="32">
        <f>3.3151 * CHOOSE(CONTROL!$C$32, $C$9, 100%, $E$9)</f>
        <v>3.3151000000000002</v>
      </c>
      <c r="E106" s="33">
        <f>4.22 * CHOOSE(CONTROL!$C$32, $C$9, 100%, $E$9)</f>
        <v>4.22</v>
      </c>
      <c r="F106" s="33">
        <f>4.22 * CHOOSE(CONTROL!$C$32, $C$9, 100%, $E$9)</f>
        <v>4.22</v>
      </c>
      <c r="G106" s="33">
        <f>4.2253 * CHOOSE(CONTROL!$C$32, $C$9, 100%, $E$9)</f>
        <v>4.2252999999999998</v>
      </c>
      <c r="H106" s="33">
        <f>6.8709 * CHOOSE(CONTROL!$C$32, $C$9, 100%, $E$9)</f>
        <v>6.8708999999999998</v>
      </c>
      <c r="I106" s="33">
        <f>6.8762 * CHOOSE(CONTROL!$C$32, $C$9, 100%, $E$9)</f>
        <v>6.8761999999999999</v>
      </c>
      <c r="J106" s="33">
        <f>6.8709 * CHOOSE(CONTROL!$C$32, $C$9, 100%, $E$9)</f>
        <v>6.8708999999999998</v>
      </c>
      <c r="K106" s="33">
        <f>6.8762 * CHOOSE(CONTROL!$C$32, $C$9, 100%, $E$9)</f>
        <v>6.8761999999999999</v>
      </c>
      <c r="L106" s="33">
        <f>4.22 * CHOOSE(CONTROL!$C$32, $C$9, 100%, $E$9)</f>
        <v>4.22</v>
      </c>
      <c r="M106" s="33">
        <f>4.2253 * CHOOSE(CONTROL!$C$32, $C$9, 100%, $E$9)</f>
        <v>4.2252999999999998</v>
      </c>
      <c r="N106" s="33">
        <f>4.22 * CHOOSE(CONTROL!$C$32, $C$9, 100%, $E$9)</f>
        <v>4.22</v>
      </c>
      <c r="O106" s="33">
        <f>4.2253 * CHOOSE(CONTROL!$C$32, $C$9, 100%, $E$9)</f>
        <v>4.2252999999999998</v>
      </c>
      <c r="P106" s="10"/>
      <c r="Q106" s="10"/>
      <c r="R106" s="10"/>
    </row>
    <row r="107" spans="1:18" ht="15" x14ac:dyDescent="0.2">
      <c r="A107" s="16">
        <v>44105</v>
      </c>
      <c r="B107" s="32">
        <f>3.3061 * CHOOSE(CONTROL!$C$32, $C$9, 100%, $E$9)</f>
        <v>3.3060999999999998</v>
      </c>
      <c r="C107" s="32">
        <f>3.3061 * CHOOSE(CONTROL!$C$32, $C$9, 100%, $E$9)</f>
        <v>3.3060999999999998</v>
      </c>
      <c r="D107" s="32">
        <f>3.3072 * CHOOSE(CONTROL!$C$32, $C$9, 100%, $E$9)</f>
        <v>3.3071999999999999</v>
      </c>
      <c r="E107" s="33">
        <f>4.2135 * CHOOSE(CONTROL!$C$32, $C$9, 100%, $E$9)</f>
        <v>4.2134999999999998</v>
      </c>
      <c r="F107" s="33">
        <f>4.2135 * CHOOSE(CONTROL!$C$32, $C$9, 100%, $E$9)</f>
        <v>4.2134999999999998</v>
      </c>
      <c r="G107" s="33">
        <f>4.2171 * CHOOSE(CONTROL!$C$32, $C$9, 100%, $E$9)</f>
        <v>4.2171000000000003</v>
      </c>
      <c r="H107" s="33">
        <f>6.8852 * CHOOSE(CONTROL!$C$32, $C$9, 100%, $E$9)</f>
        <v>6.8852000000000002</v>
      </c>
      <c r="I107" s="33">
        <f>6.8888 * CHOOSE(CONTROL!$C$32, $C$9, 100%, $E$9)</f>
        <v>6.8887999999999998</v>
      </c>
      <c r="J107" s="33">
        <f>6.8852 * CHOOSE(CONTROL!$C$32, $C$9, 100%, $E$9)</f>
        <v>6.8852000000000002</v>
      </c>
      <c r="K107" s="33">
        <f>6.8888 * CHOOSE(CONTROL!$C$32, $C$9, 100%, $E$9)</f>
        <v>6.8887999999999998</v>
      </c>
      <c r="L107" s="33">
        <f>4.2135 * CHOOSE(CONTROL!$C$32, $C$9, 100%, $E$9)</f>
        <v>4.2134999999999998</v>
      </c>
      <c r="M107" s="33">
        <f>4.2171 * CHOOSE(CONTROL!$C$32, $C$9, 100%, $E$9)</f>
        <v>4.2171000000000003</v>
      </c>
      <c r="N107" s="33">
        <f>4.2135 * CHOOSE(CONTROL!$C$32, $C$9, 100%, $E$9)</f>
        <v>4.2134999999999998</v>
      </c>
      <c r="O107" s="33">
        <f>4.2171 * CHOOSE(CONTROL!$C$32, $C$9, 100%, $E$9)</f>
        <v>4.2171000000000003</v>
      </c>
      <c r="P107" s="10"/>
      <c r="Q107" s="10"/>
      <c r="R107" s="10"/>
    </row>
    <row r="108" spans="1:18" ht="15" x14ac:dyDescent="0.2">
      <c r="A108" s="16">
        <v>44136</v>
      </c>
      <c r="B108" s="32">
        <f>3.3092 * CHOOSE(CONTROL!$C$32, $C$9, 100%, $E$9)</f>
        <v>3.3092000000000001</v>
      </c>
      <c r="C108" s="32">
        <f>3.3092 * CHOOSE(CONTROL!$C$32, $C$9, 100%, $E$9)</f>
        <v>3.3092000000000001</v>
      </c>
      <c r="D108" s="32">
        <f>3.3103 * CHOOSE(CONTROL!$C$32, $C$9, 100%, $E$9)</f>
        <v>3.3102999999999998</v>
      </c>
      <c r="E108" s="33">
        <f>4.2155 * CHOOSE(CONTROL!$C$32, $C$9, 100%, $E$9)</f>
        <v>4.2154999999999996</v>
      </c>
      <c r="F108" s="33">
        <f>4.2155 * CHOOSE(CONTROL!$C$32, $C$9, 100%, $E$9)</f>
        <v>4.2154999999999996</v>
      </c>
      <c r="G108" s="33">
        <f>4.2191 * CHOOSE(CONTROL!$C$32, $C$9, 100%, $E$9)</f>
        <v>4.2191000000000001</v>
      </c>
      <c r="H108" s="33">
        <f>6.8996 * CHOOSE(CONTROL!$C$32, $C$9, 100%, $E$9)</f>
        <v>6.8996000000000004</v>
      </c>
      <c r="I108" s="33">
        <f>6.9032 * CHOOSE(CONTROL!$C$32, $C$9, 100%, $E$9)</f>
        <v>6.9032</v>
      </c>
      <c r="J108" s="33">
        <f>6.8996 * CHOOSE(CONTROL!$C$32, $C$9, 100%, $E$9)</f>
        <v>6.8996000000000004</v>
      </c>
      <c r="K108" s="33">
        <f>6.9032 * CHOOSE(CONTROL!$C$32, $C$9, 100%, $E$9)</f>
        <v>6.9032</v>
      </c>
      <c r="L108" s="33">
        <f>4.2155 * CHOOSE(CONTROL!$C$32, $C$9, 100%, $E$9)</f>
        <v>4.2154999999999996</v>
      </c>
      <c r="M108" s="33">
        <f>4.2191 * CHOOSE(CONTROL!$C$32, $C$9, 100%, $E$9)</f>
        <v>4.2191000000000001</v>
      </c>
      <c r="N108" s="33">
        <f>4.2155 * CHOOSE(CONTROL!$C$32, $C$9, 100%, $E$9)</f>
        <v>4.2154999999999996</v>
      </c>
      <c r="O108" s="33">
        <f>4.2191 * CHOOSE(CONTROL!$C$32, $C$9, 100%, $E$9)</f>
        <v>4.2191000000000001</v>
      </c>
      <c r="P108" s="10"/>
      <c r="Q108" s="10"/>
      <c r="R108" s="10"/>
    </row>
    <row r="109" spans="1:18" ht="15" x14ac:dyDescent="0.2">
      <c r="A109" s="16">
        <v>44166</v>
      </c>
      <c r="B109" s="32">
        <f>3.3092 * CHOOSE(CONTROL!$C$32, $C$9, 100%, $E$9)</f>
        <v>3.3092000000000001</v>
      </c>
      <c r="C109" s="32">
        <f>3.3092 * CHOOSE(CONTROL!$C$32, $C$9, 100%, $E$9)</f>
        <v>3.3092000000000001</v>
      </c>
      <c r="D109" s="32">
        <f>3.3103 * CHOOSE(CONTROL!$C$32, $C$9, 100%, $E$9)</f>
        <v>3.3102999999999998</v>
      </c>
      <c r="E109" s="33">
        <f>4.2155 * CHOOSE(CONTROL!$C$32, $C$9, 100%, $E$9)</f>
        <v>4.2154999999999996</v>
      </c>
      <c r="F109" s="33">
        <f>4.2155 * CHOOSE(CONTROL!$C$32, $C$9, 100%, $E$9)</f>
        <v>4.2154999999999996</v>
      </c>
      <c r="G109" s="33">
        <f>4.2191 * CHOOSE(CONTROL!$C$32, $C$9, 100%, $E$9)</f>
        <v>4.2191000000000001</v>
      </c>
      <c r="H109" s="33">
        <f>6.9139 * CHOOSE(CONTROL!$C$32, $C$9, 100%, $E$9)</f>
        <v>6.9138999999999999</v>
      </c>
      <c r="I109" s="33">
        <f>6.9175 * CHOOSE(CONTROL!$C$32, $C$9, 100%, $E$9)</f>
        <v>6.9175000000000004</v>
      </c>
      <c r="J109" s="33">
        <f>6.9139 * CHOOSE(CONTROL!$C$32, $C$9, 100%, $E$9)</f>
        <v>6.9138999999999999</v>
      </c>
      <c r="K109" s="33">
        <f>6.9175 * CHOOSE(CONTROL!$C$32, $C$9, 100%, $E$9)</f>
        <v>6.9175000000000004</v>
      </c>
      <c r="L109" s="33">
        <f>4.2155 * CHOOSE(CONTROL!$C$32, $C$9, 100%, $E$9)</f>
        <v>4.2154999999999996</v>
      </c>
      <c r="M109" s="33">
        <f>4.2191 * CHOOSE(CONTROL!$C$32, $C$9, 100%, $E$9)</f>
        <v>4.2191000000000001</v>
      </c>
      <c r="N109" s="33">
        <f>4.2155 * CHOOSE(CONTROL!$C$32, $C$9, 100%, $E$9)</f>
        <v>4.2154999999999996</v>
      </c>
      <c r="O109" s="33">
        <f>4.2191 * CHOOSE(CONTROL!$C$32, $C$9, 100%, $E$9)</f>
        <v>4.2191000000000001</v>
      </c>
      <c r="P109" s="10"/>
      <c r="Q109" s="10"/>
      <c r="R109" s="10"/>
    </row>
    <row r="110" spans="1:18" ht="15" x14ac:dyDescent="0.2">
      <c r="A110" s="16">
        <v>44197</v>
      </c>
      <c r="B110" s="32">
        <f>3.3407 * CHOOSE(CONTROL!$C$32, $C$9, 100%, $E$9)</f>
        <v>3.3407</v>
      </c>
      <c r="C110" s="32">
        <f>3.3407 * CHOOSE(CONTROL!$C$32, $C$9, 100%, $E$9)</f>
        <v>3.3407</v>
      </c>
      <c r="D110" s="32">
        <f>3.3417 * CHOOSE(CONTROL!$C$32, $C$9, 100%, $E$9)</f>
        <v>3.3416999999999999</v>
      </c>
      <c r="E110" s="33">
        <f>4.2457 * CHOOSE(CONTROL!$C$32, $C$9, 100%, $E$9)</f>
        <v>4.2457000000000003</v>
      </c>
      <c r="F110" s="33">
        <f>4.2457 * CHOOSE(CONTROL!$C$32, $C$9, 100%, $E$9)</f>
        <v>4.2457000000000003</v>
      </c>
      <c r="G110" s="33">
        <f>4.2494 * CHOOSE(CONTROL!$C$32, $C$9, 100%, $E$9)</f>
        <v>4.2493999999999996</v>
      </c>
      <c r="H110" s="33">
        <f>6.9283 * CHOOSE(CONTROL!$C$32, $C$9, 100%, $E$9)</f>
        <v>6.9283000000000001</v>
      </c>
      <c r="I110" s="33">
        <f>6.9319 * CHOOSE(CONTROL!$C$32, $C$9, 100%, $E$9)</f>
        <v>6.9318999999999997</v>
      </c>
      <c r="J110" s="33">
        <f>6.9283 * CHOOSE(CONTROL!$C$32, $C$9, 100%, $E$9)</f>
        <v>6.9283000000000001</v>
      </c>
      <c r="K110" s="33">
        <f>6.9319 * CHOOSE(CONTROL!$C$32, $C$9, 100%, $E$9)</f>
        <v>6.9318999999999997</v>
      </c>
      <c r="L110" s="33">
        <f>4.2457 * CHOOSE(CONTROL!$C$32, $C$9, 100%, $E$9)</f>
        <v>4.2457000000000003</v>
      </c>
      <c r="M110" s="33">
        <f>4.2494 * CHOOSE(CONTROL!$C$32, $C$9, 100%, $E$9)</f>
        <v>4.2493999999999996</v>
      </c>
      <c r="N110" s="33">
        <f>4.2457 * CHOOSE(CONTROL!$C$32, $C$9, 100%, $E$9)</f>
        <v>4.2457000000000003</v>
      </c>
      <c r="O110" s="33">
        <f>4.2494 * CHOOSE(CONTROL!$C$32, $C$9, 100%, $E$9)</f>
        <v>4.2493999999999996</v>
      </c>
      <c r="P110" s="10"/>
      <c r="Q110" s="10"/>
      <c r="R110" s="10"/>
    </row>
    <row r="111" spans="1:18" ht="15" x14ac:dyDescent="0.2">
      <c r="A111" s="16">
        <v>44228</v>
      </c>
      <c r="B111" s="32">
        <f>3.3376 * CHOOSE(CONTROL!$C$32, $C$9, 100%, $E$9)</f>
        <v>3.3376000000000001</v>
      </c>
      <c r="C111" s="32">
        <f>3.3376 * CHOOSE(CONTROL!$C$32, $C$9, 100%, $E$9)</f>
        <v>3.3376000000000001</v>
      </c>
      <c r="D111" s="32">
        <f>3.3387 * CHOOSE(CONTROL!$C$32, $C$9, 100%, $E$9)</f>
        <v>3.3386999999999998</v>
      </c>
      <c r="E111" s="33">
        <f>4.2437 * CHOOSE(CONTROL!$C$32, $C$9, 100%, $E$9)</f>
        <v>4.2436999999999996</v>
      </c>
      <c r="F111" s="33">
        <f>4.2437 * CHOOSE(CONTROL!$C$32, $C$9, 100%, $E$9)</f>
        <v>4.2436999999999996</v>
      </c>
      <c r="G111" s="33">
        <f>4.2474 * CHOOSE(CONTROL!$C$32, $C$9, 100%, $E$9)</f>
        <v>4.2473999999999998</v>
      </c>
      <c r="H111" s="33">
        <f>6.9428 * CHOOSE(CONTROL!$C$32, $C$9, 100%, $E$9)</f>
        <v>6.9428000000000001</v>
      </c>
      <c r="I111" s="33">
        <f>6.9464 * CHOOSE(CONTROL!$C$32, $C$9, 100%, $E$9)</f>
        <v>6.9463999999999997</v>
      </c>
      <c r="J111" s="33">
        <f>6.9428 * CHOOSE(CONTROL!$C$32, $C$9, 100%, $E$9)</f>
        <v>6.9428000000000001</v>
      </c>
      <c r="K111" s="33">
        <f>6.9464 * CHOOSE(CONTROL!$C$32, $C$9, 100%, $E$9)</f>
        <v>6.9463999999999997</v>
      </c>
      <c r="L111" s="33">
        <f>4.2437 * CHOOSE(CONTROL!$C$32, $C$9, 100%, $E$9)</f>
        <v>4.2436999999999996</v>
      </c>
      <c r="M111" s="33">
        <f>4.2474 * CHOOSE(CONTROL!$C$32, $C$9, 100%, $E$9)</f>
        <v>4.2473999999999998</v>
      </c>
      <c r="N111" s="33">
        <f>4.2437 * CHOOSE(CONTROL!$C$32, $C$9, 100%, $E$9)</f>
        <v>4.2436999999999996</v>
      </c>
      <c r="O111" s="33">
        <f>4.2474 * CHOOSE(CONTROL!$C$32, $C$9, 100%, $E$9)</f>
        <v>4.2473999999999998</v>
      </c>
      <c r="P111" s="10"/>
      <c r="Q111" s="10"/>
      <c r="R111" s="10"/>
    </row>
    <row r="112" spans="1:18" ht="15" x14ac:dyDescent="0.2">
      <c r="A112" s="16">
        <v>44256</v>
      </c>
      <c r="B112" s="32">
        <f>3.3346 * CHOOSE(CONTROL!$C$32, $C$9, 100%, $E$9)</f>
        <v>3.3346</v>
      </c>
      <c r="C112" s="32">
        <f>3.3346 * CHOOSE(CONTROL!$C$32, $C$9, 100%, $E$9)</f>
        <v>3.3346</v>
      </c>
      <c r="D112" s="32">
        <f>3.3357 * CHOOSE(CONTROL!$C$32, $C$9, 100%, $E$9)</f>
        <v>3.3357000000000001</v>
      </c>
      <c r="E112" s="33">
        <f>4.2417 * CHOOSE(CONTROL!$C$32, $C$9, 100%, $E$9)</f>
        <v>4.2416999999999998</v>
      </c>
      <c r="F112" s="33">
        <f>4.2417 * CHOOSE(CONTROL!$C$32, $C$9, 100%, $E$9)</f>
        <v>4.2416999999999998</v>
      </c>
      <c r="G112" s="33">
        <f>4.2454 * CHOOSE(CONTROL!$C$32, $C$9, 100%, $E$9)</f>
        <v>4.2454000000000001</v>
      </c>
      <c r="H112" s="33">
        <f>6.9572 * CHOOSE(CONTROL!$C$32, $C$9, 100%, $E$9)</f>
        <v>6.9572000000000003</v>
      </c>
      <c r="I112" s="33">
        <f>6.9608 * CHOOSE(CONTROL!$C$32, $C$9, 100%, $E$9)</f>
        <v>6.9607999999999999</v>
      </c>
      <c r="J112" s="33">
        <f>6.9572 * CHOOSE(CONTROL!$C$32, $C$9, 100%, $E$9)</f>
        <v>6.9572000000000003</v>
      </c>
      <c r="K112" s="33">
        <f>6.9608 * CHOOSE(CONTROL!$C$32, $C$9, 100%, $E$9)</f>
        <v>6.9607999999999999</v>
      </c>
      <c r="L112" s="33">
        <f>4.2417 * CHOOSE(CONTROL!$C$32, $C$9, 100%, $E$9)</f>
        <v>4.2416999999999998</v>
      </c>
      <c r="M112" s="33">
        <f>4.2454 * CHOOSE(CONTROL!$C$32, $C$9, 100%, $E$9)</f>
        <v>4.2454000000000001</v>
      </c>
      <c r="N112" s="33">
        <f>4.2417 * CHOOSE(CONTROL!$C$32, $C$9, 100%, $E$9)</f>
        <v>4.2416999999999998</v>
      </c>
      <c r="O112" s="33">
        <f>4.2454 * CHOOSE(CONTROL!$C$32, $C$9, 100%, $E$9)</f>
        <v>4.2454000000000001</v>
      </c>
      <c r="P112" s="10"/>
      <c r="Q112" s="10"/>
      <c r="R112" s="10"/>
    </row>
    <row r="113" spans="1:18" ht="15" x14ac:dyDescent="0.2">
      <c r="A113" s="16">
        <v>44287</v>
      </c>
      <c r="B113" s="32">
        <f>3.3316 * CHOOSE(CONTROL!$C$32, $C$9, 100%, $E$9)</f>
        <v>3.3315999999999999</v>
      </c>
      <c r="C113" s="32">
        <f>3.3316 * CHOOSE(CONTROL!$C$32, $C$9, 100%, $E$9)</f>
        <v>3.3315999999999999</v>
      </c>
      <c r="D113" s="32">
        <f>3.3327 * CHOOSE(CONTROL!$C$32, $C$9, 100%, $E$9)</f>
        <v>3.3327</v>
      </c>
      <c r="E113" s="33">
        <f>4.2394 * CHOOSE(CONTROL!$C$32, $C$9, 100%, $E$9)</f>
        <v>4.2393999999999998</v>
      </c>
      <c r="F113" s="33">
        <f>4.2394 * CHOOSE(CONTROL!$C$32, $C$9, 100%, $E$9)</f>
        <v>4.2393999999999998</v>
      </c>
      <c r="G113" s="33">
        <f>4.243 * CHOOSE(CONTROL!$C$32, $C$9, 100%, $E$9)</f>
        <v>4.2430000000000003</v>
      </c>
      <c r="H113" s="33">
        <f>6.9717 * CHOOSE(CONTROL!$C$32, $C$9, 100%, $E$9)</f>
        <v>6.9717000000000002</v>
      </c>
      <c r="I113" s="33">
        <f>6.9753 * CHOOSE(CONTROL!$C$32, $C$9, 100%, $E$9)</f>
        <v>6.9752999999999998</v>
      </c>
      <c r="J113" s="33">
        <f>6.9717 * CHOOSE(CONTROL!$C$32, $C$9, 100%, $E$9)</f>
        <v>6.9717000000000002</v>
      </c>
      <c r="K113" s="33">
        <f>6.9753 * CHOOSE(CONTROL!$C$32, $C$9, 100%, $E$9)</f>
        <v>6.9752999999999998</v>
      </c>
      <c r="L113" s="33">
        <f>4.2394 * CHOOSE(CONTROL!$C$32, $C$9, 100%, $E$9)</f>
        <v>4.2393999999999998</v>
      </c>
      <c r="M113" s="33">
        <f>4.243 * CHOOSE(CONTROL!$C$32, $C$9, 100%, $E$9)</f>
        <v>4.2430000000000003</v>
      </c>
      <c r="N113" s="33">
        <f>4.2394 * CHOOSE(CONTROL!$C$32, $C$9, 100%, $E$9)</f>
        <v>4.2393999999999998</v>
      </c>
      <c r="O113" s="33">
        <f>4.243 * CHOOSE(CONTROL!$C$32, $C$9, 100%, $E$9)</f>
        <v>4.2430000000000003</v>
      </c>
      <c r="P113" s="10"/>
      <c r="Q113" s="10"/>
      <c r="R113" s="10"/>
    </row>
    <row r="114" spans="1:18" ht="15" x14ac:dyDescent="0.2">
      <c r="A114" s="16">
        <v>44317</v>
      </c>
      <c r="B114" s="32">
        <f>3.3316 * CHOOSE(CONTROL!$C$32, $C$9, 100%, $E$9)</f>
        <v>3.3315999999999999</v>
      </c>
      <c r="C114" s="32">
        <f>3.3316 * CHOOSE(CONTROL!$C$32, $C$9, 100%, $E$9)</f>
        <v>3.3315999999999999</v>
      </c>
      <c r="D114" s="32">
        <f>3.3332 * CHOOSE(CONTROL!$C$32, $C$9, 100%, $E$9)</f>
        <v>3.3332000000000002</v>
      </c>
      <c r="E114" s="33">
        <f>4.2394 * CHOOSE(CONTROL!$C$32, $C$9, 100%, $E$9)</f>
        <v>4.2393999999999998</v>
      </c>
      <c r="F114" s="33">
        <f>4.2394 * CHOOSE(CONTROL!$C$32, $C$9, 100%, $E$9)</f>
        <v>4.2393999999999998</v>
      </c>
      <c r="G114" s="33">
        <f>4.2447 * CHOOSE(CONTROL!$C$32, $C$9, 100%, $E$9)</f>
        <v>4.2446999999999999</v>
      </c>
      <c r="H114" s="33">
        <f>6.9862 * CHOOSE(CONTROL!$C$32, $C$9, 100%, $E$9)</f>
        <v>6.9862000000000002</v>
      </c>
      <c r="I114" s="33">
        <f>6.9915 * CHOOSE(CONTROL!$C$32, $C$9, 100%, $E$9)</f>
        <v>6.9915000000000003</v>
      </c>
      <c r="J114" s="33">
        <f>6.9862 * CHOOSE(CONTROL!$C$32, $C$9, 100%, $E$9)</f>
        <v>6.9862000000000002</v>
      </c>
      <c r="K114" s="33">
        <f>6.9915 * CHOOSE(CONTROL!$C$32, $C$9, 100%, $E$9)</f>
        <v>6.9915000000000003</v>
      </c>
      <c r="L114" s="33">
        <f>4.2394 * CHOOSE(CONTROL!$C$32, $C$9, 100%, $E$9)</f>
        <v>4.2393999999999998</v>
      </c>
      <c r="M114" s="33">
        <f>4.2447 * CHOOSE(CONTROL!$C$32, $C$9, 100%, $E$9)</f>
        <v>4.2446999999999999</v>
      </c>
      <c r="N114" s="33">
        <f>4.2394 * CHOOSE(CONTROL!$C$32, $C$9, 100%, $E$9)</f>
        <v>4.2393999999999998</v>
      </c>
      <c r="O114" s="33">
        <f>4.2447 * CHOOSE(CONTROL!$C$32, $C$9, 100%, $E$9)</f>
        <v>4.2446999999999999</v>
      </c>
      <c r="P114" s="10"/>
      <c r="Q114" s="10"/>
      <c r="R114" s="10"/>
    </row>
    <row r="115" spans="1:18" ht="15" x14ac:dyDescent="0.2">
      <c r="A115" s="16">
        <v>44348</v>
      </c>
      <c r="B115" s="32">
        <f>3.3377 * CHOOSE(CONTROL!$C$32, $C$9, 100%, $E$9)</f>
        <v>3.3376999999999999</v>
      </c>
      <c r="C115" s="32">
        <f>3.3377 * CHOOSE(CONTROL!$C$32, $C$9, 100%, $E$9)</f>
        <v>3.3376999999999999</v>
      </c>
      <c r="D115" s="32">
        <f>3.3393 * CHOOSE(CONTROL!$C$32, $C$9, 100%, $E$9)</f>
        <v>3.3393000000000002</v>
      </c>
      <c r="E115" s="33">
        <f>4.2434 * CHOOSE(CONTROL!$C$32, $C$9, 100%, $E$9)</f>
        <v>4.2434000000000003</v>
      </c>
      <c r="F115" s="33">
        <f>4.2434 * CHOOSE(CONTROL!$C$32, $C$9, 100%, $E$9)</f>
        <v>4.2434000000000003</v>
      </c>
      <c r="G115" s="33">
        <f>4.2487 * CHOOSE(CONTROL!$C$32, $C$9, 100%, $E$9)</f>
        <v>4.2487000000000004</v>
      </c>
      <c r="H115" s="33">
        <f>7.0008 * CHOOSE(CONTROL!$C$32, $C$9, 100%, $E$9)</f>
        <v>7.0007999999999999</v>
      </c>
      <c r="I115" s="33">
        <f>7.0061 * CHOOSE(CONTROL!$C$32, $C$9, 100%, $E$9)</f>
        <v>7.0061</v>
      </c>
      <c r="J115" s="33">
        <f>7.0008 * CHOOSE(CONTROL!$C$32, $C$9, 100%, $E$9)</f>
        <v>7.0007999999999999</v>
      </c>
      <c r="K115" s="33">
        <f>7.0061 * CHOOSE(CONTROL!$C$32, $C$9, 100%, $E$9)</f>
        <v>7.0061</v>
      </c>
      <c r="L115" s="33">
        <f>4.2434 * CHOOSE(CONTROL!$C$32, $C$9, 100%, $E$9)</f>
        <v>4.2434000000000003</v>
      </c>
      <c r="M115" s="33">
        <f>4.2487 * CHOOSE(CONTROL!$C$32, $C$9, 100%, $E$9)</f>
        <v>4.2487000000000004</v>
      </c>
      <c r="N115" s="33">
        <f>4.2434 * CHOOSE(CONTROL!$C$32, $C$9, 100%, $E$9)</f>
        <v>4.2434000000000003</v>
      </c>
      <c r="O115" s="33">
        <f>4.2487 * CHOOSE(CONTROL!$C$32, $C$9, 100%, $E$9)</f>
        <v>4.2487000000000004</v>
      </c>
      <c r="P115" s="10"/>
      <c r="Q115" s="10"/>
      <c r="R115" s="10"/>
    </row>
    <row r="116" spans="1:18" ht="15" x14ac:dyDescent="0.2">
      <c r="A116" s="16">
        <v>44378</v>
      </c>
      <c r="B116" s="32">
        <f>3.3976 * CHOOSE(CONTROL!$C$32, $C$9, 100%, $E$9)</f>
        <v>3.3976000000000002</v>
      </c>
      <c r="C116" s="32">
        <f>3.3976 * CHOOSE(CONTROL!$C$32, $C$9, 100%, $E$9)</f>
        <v>3.3976000000000002</v>
      </c>
      <c r="D116" s="32">
        <f>3.3992 * CHOOSE(CONTROL!$C$32, $C$9, 100%, $E$9)</f>
        <v>3.3992</v>
      </c>
      <c r="E116" s="33">
        <f>4.3089 * CHOOSE(CONTROL!$C$32, $C$9, 100%, $E$9)</f>
        <v>4.3089000000000004</v>
      </c>
      <c r="F116" s="33">
        <f>4.3089 * CHOOSE(CONTROL!$C$32, $C$9, 100%, $E$9)</f>
        <v>4.3089000000000004</v>
      </c>
      <c r="G116" s="33">
        <f>4.3142 * CHOOSE(CONTROL!$C$32, $C$9, 100%, $E$9)</f>
        <v>4.3141999999999996</v>
      </c>
      <c r="H116" s="33">
        <f>7.0154 * CHOOSE(CONTROL!$C$32, $C$9, 100%, $E$9)</f>
        <v>7.0153999999999996</v>
      </c>
      <c r="I116" s="33">
        <f>7.0207 * CHOOSE(CONTROL!$C$32, $C$9, 100%, $E$9)</f>
        <v>7.0206999999999997</v>
      </c>
      <c r="J116" s="33">
        <f>7.0154 * CHOOSE(CONTROL!$C$32, $C$9, 100%, $E$9)</f>
        <v>7.0153999999999996</v>
      </c>
      <c r="K116" s="33">
        <f>7.0207 * CHOOSE(CONTROL!$C$32, $C$9, 100%, $E$9)</f>
        <v>7.0206999999999997</v>
      </c>
      <c r="L116" s="33">
        <f>4.3089 * CHOOSE(CONTROL!$C$32, $C$9, 100%, $E$9)</f>
        <v>4.3089000000000004</v>
      </c>
      <c r="M116" s="33">
        <f>4.3142 * CHOOSE(CONTROL!$C$32, $C$9, 100%, $E$9)</f>
        <v>4.3141999999999996</v>
      </c>
      <c r="N116" s="33">
        <f>4.3089 * CHOOSE(CONTROL!$C$32, $C$9, 100%, $E$9)</f>
        <v>4.3089000000000004</v>
      </c>
      <c r="O116" s="33">
        <f>4.3142 * CHOOSE(CONTROL!$C$32, $C$9, 100%, $E$9)</f>
        <v>4.3141999999999996</v>
      </c>
      <c r="P116" s="10"/>
      <c r="Q116" s="10"/>
      <c r="R116" s="10"/>
    </row>
    <row r="117" spans="1:18" ht="15" x14ac:dyDescent="0.2">
      <c r="A117" s="16">
        <v>44409</v>
      </c>
      <c r="B117" s="32">
        <f>3.4043 * CHOOSE(CONTROL!$C$32, $C$9, 100%, $E$9)</f>
        <v>3.4043000000000001</v>
      </c>
      <c r="C117" s="32">
        <f>3.4043 * CHOOSE(CONTROL!$C$32, $C$9, 100%, $E$9)</f>
        <v>3.4043000000000001</v>
      </c>
      <c r="D117" s="32">
        <f>3.4059 * CHOOSE(CONTROL!$C$32, $C$9, 100%, $E$9)</f>
        <v>3.4058999999999999</v>
      </c>
      <c r="E117" s="33">
        <f>4.3133 * CHOOSE(CONTROL!$C$32, $C$9, 100%, $E$9)</f>
        <v>4.3132999999999999</v>
      </c>
      <c r="F117" s="33">
        <f>4.3133 * CHOOSE(CONTROL!$C$32, $C$9, 100%, $E$9)</f>
        <v>4.3132999999999999</v>
      </c>
      <c r="G117" s="33">
        <f>4.3186 * CHOOSE(CONTROL!$C$32, $C$9, 100%, $E$9)</f>
        <v>4.3186</v>
      </c>
      <c r="H117" s="33">
        <f>7.03 * CHOOSE(CONTROL!$C$32, $C$9, 100%, $E$9)</f>
        <v>7.03</v>
      </c>
      <c r="I117" s="33">
        <f>7.0353 * CHOOSE(CONTROL!$C$32, $C$9, 100%, $E$9)</f>
        <v>7.0353000000000003</v>
      </c>
      <c r="J117" s="33">
        <f>7.03 * CHOOSE(CONTROL!$C$32, $C$9, 100%, $E$9)</f>
        <v>7.03</v>
      </c>
      <c r="K117" s="33">
        <f>7.0353 * CHOOSE(CONTROL!$C$32, $C$9, 100%, $E$9)</f>
        <v>7.0353000000000003</v>
      </c>
      <c r="L117" s="33">
        <f>4.3133 * CHOOSE(CONTROL!$C$32, $C$9, 100%, $E$9)</f>
        <v>4.3132999999999999</v>
      </c>
      <c r="M117" s="33">
        <f>4.3186 * CHOOSE(CONTROL!$C$32, $C$9, 100%, $E$9)</f>
        <v>4.3186</v>
      </c>
      <c r="N117" s="33">
        <f>4.3133 * CHOOSE(CONTROL!$C$32, $C$9, 100%, $E$9)</f>
        <v>4.3132999999999999</v>
      </c>
      <c r="O117" s="33">
        <f>4.3186 * CHOOSE(CONTROL!$C$32, $C$9, 100%, $E$9)</f>
        <v>4.3186</v>
      </c>
      <c r="P117" s="10"/>
      <c r="Q117" s="10"/>
      <c r="R117" s="10"/>
    </row>
    <row r="118" spans="1:18" ht="15" x14ac:dyDescent="0.2">
      <c r="A118" s="16">
        <v>44440</v>
      </c>
      <c r="B118" s="32">
        <f>3.4012 * CHOOSE(CONTROL!$C$32, $C$9, 100%, $E$9)</f>
        <v>3.4011999999999998</v>
      </c>
      <c r="C118" s="32">
        <f>3.4012 * CHOOSE(CONTROL!$C$32, $C$9, 100%, $E$9)</f>
        <v>3.4011999999999998</v>
      </c>
      <c r="D118" s="32">
        <f>3.4028 * CHOOSE(CONTROL!$C$32, $C$9, 100%, $E$9)</f>
        <v>3.4028</v>
      </c>
      <c r="E118" s="33">
        <f>4.3113 * CHOOSE(CONTROL!$C$32, $C$9, 100%, $E$9)</f>
        <v>4.3113000000000001</v>
      </c>
      <c r="F118" s="33">
        <f>4.3113 * CHOOSE(CONTROL!$C$32, $C$9, 100%, $E$9)</f>
        <v>4.3113000000000001</v>
      </c>
      <c r="G118" s="33">
        <f>4.3166 * CHOOSE(CONTROL!$C$32, $C$9, 100%, $E$9)</f>
        <v>4.3166000000000002</v>
      </c>
      <c r="H118" s="33">
        <f>7.0446 * CHOOSE(CONTROL!$C$32, $C$9, 100%, $E$9)</f>
        <v>7.0446</v>
      </c>
      <c r="I118" s="33">
        <f>7.0499 * CHOOSE(CONTROL!$C$32, $C$9, 100%, $E$9)</f>
        <v>7.0499000000000001</v>
      </c>
      <c r="J118" s="33">
        <f>7.0446 * CHOOSE(CONTROL!$C$32, $C$9, 100%, $E$9)</f>
        <v>7.0446</v>
      </c>
      <c r="K118" s="33">
        <f>7.0499 * CHOOSE(CONTROL!$C$32, $C$9, 100%, $E$9)</f>
        <v>7.0499000000000001</v>
      </c>
      <c r="L118" s="33">
        <f>4.3113 * CHOOSE(CONTROL!$C$32, $C$9, 100%, $E$9)</f>
        <v>4.3113000000000001</v>
      </c>
      <c r="M118" s="33">
        <f>4.3166 * CHOOSE(CONTROL!$C$32, $C$9, 100%, $E$9)</f>
        <v>4.3166000000000002</v>
      </c>
      <c r="N118" s="33">
        <f>4.3113 * CHOOSE(CONTROL!$C$32, $C$9, 100%, $E$9)</f>
        <v>4.3113000000000001</v>
      </c>
      <c r="O118" s="33">
        <f>4.3166 * CHOOSE(CONTROL!$C$32, $C$9, 100%, $E$9)</f>
        <v>4.3166000000000002</v>
      </c>
      <c r="P118" s="10"/>
      <c r="Q118" s="10"/>
      <c r="R118" s="10"/>
    </row>
    <row r="119" spans="1:18" ht="15" x14ac:dyDescent="0.2">
      <c r="A119" s="16">
        <v>44470</v>
      </c>
      <c r="B119" s="32">
        <f>3.3942 * CHOOSE(CONTROL!$C$32, $C$9, 100%, $E$9)</f>
        <v>3.3942000000000001</v>
      </c>
      <c r="C119" s="32">
        <f>3.3942 * CHOOSE(CONTROL!$C$32, $C$9, 100%, $E$9)</f>
        <v>3.3942000000000001</v>
      </c>
      <c r="D119" s="32">
        <f>3.3953 * CHOOSE(CONTROL!$C$32, $C$9, 100%, $E$9)</f>
        <v>3.3953000000000002</v>
      </c>
      <c r="E119" s="33">
        <f>4.3049 * CHOOSE(CONTROL!$C$32, $C$9, 100%, $E$9)</f>
        <v>4.3048999999999999</v>
      </c>
      <c r="F119" s="33">
        <f>4.3049 * CHOOSE(CONTROL!$C$32, $C$9, 100%, $E$9)</f>
        <v>4.3048999999999999</v>
      </c>
      <c r="G119" s="33">
        <f>4.3085 * CHOOSE(CONTROL!$C$32, $C$9, 100%, $E$9)</f>
        <v>4.3085000000000004</v>
      </c>
      <c r="H119" s="33">
        <f>7.0593 * CHOOSE(CONTROL!$C$32, $C$9, 100%, $E$9)</f>
        <v>7.0593000000000004</v>
      </c>
      <c r="I119" s="33">
        <f>7.0629 * CHOOSE(CONTROL!$C$32, $C$9, 100%, $E$9)</f>
        <v>7.0629</v>
      </c>
      <c r="J119" s="33">
        <f>7.0593 * CHOOSE(CONTROL!$C$32, $C$9, 100%, $E$9)</f>
        <v>7.0593000000000004</v>
      </c>
      <c r="K119" s="33">
        <f>7.0629 * CHOOSE(CONTROL!$C$32, $C$9, 100%, $E$9)</f>
        <v>7.0629</v>
      </c>
      <c r="L119" s="33">
        <f>4.3049 * CHOOSE(CONTROL!$C$32, $C$9, 100%, $E$9)</f>
        <v>4.3048999999999999</v>
      </c>
      <c r="M119" s="33">
        <f>4.3085 * CHOOSE(CONTROL!$C$32, $C$9, 100%, $E$9)</f>
        <v>4.3085000000000004</v>
      </c>
      <c r="N119" s="33">
        <f>4.3049 * CHOOSE(CONTROL!$C$32, $C$9, 100%, $E$9)</f>
        <v>4.3048999999999999</v>
      </c>
      <c r="O119" s="33">
        <f>4.3085 * CHOOSE(CONTROL!$C$32, $C$9, 100%, $E$9)</f>
        <v>4.3085000000000004</v>
      </c>
      <c r="P119" s="10"/>
      <c r="Q119" s="10"/>
      <c r="R119" s="10"/>
    </row>
    <row r="120" spans="1:18" ht="15" x14ac:dyDescent="0.2">
      <c r="A120" s="16">
        <v>44501</v>
      </c>
      <c r="B120" s="32">
        <f>3.3972 * CHOOSE(CONTROL!$C$32, $C$9, 100%, $E$9)</f>
        <v>3.3972000000000002</v>
      </c>
      <c r="C120" s="32">
        <f>3.3972 * CHOOSE(CONTROL!$C$32, $C$9, 100%, $E$9)</f>
        <v>3.3972000000000002</v>
      </c>
      <c r="D120" s="32">
        <f>3.3983 * CHOOSE(CONTROL!$C$32, $C$9, 100%, $E$9)</f>
        <v>3.3982999999999999</v>
      </c>
      <c r="E120" s="33">
        <f>4.3069 * CHOOSE(CONTROL!$C$32, $C$9, 100%, $E$9)</f>
        <v>4.3068999999999997</v>
      </c>
      <c r="F120" s="33">
        <f>4.3069 * CHOOSE(CONTROL!$C$32, $C$9, 100%, $E$9)</f>
        <v>4.3068999999999997</v>
      </c>
      <c r="G120" s="33">
        <f>4.3105 * CHOOSE(CONTROL!$C$32, $C$9, 100%, $E$9)</f>
        <v>4.3105000000000002</v>
      </c>
      <c r="H120" s="33">
        <f>7.074 * CHOOSE(CONTROL!$C$32, $C$9, 100%, $E$9)</f>
        <v>7.0739999999999998</v>
      </c>
      <c r="I120" s="33">
        <f>7.0776 * CHOOSE(CONTROL!$C$32, $C$9, 100%, $E$9)</f>
        <v>7.0776000000000003</v>
      </c>
      <c r="J120" s="33">
        <f>7.074 * CHOOSE(CONTROL!$C$32, $C$9, 100%, $E$9)</f>
        <v>7.0739999999999998</v>
      </c>
      <c r="K120" s="33">
        <f>7.0776 * CHOOSE(CONTROL!$C$32, $C$9, 100%, $E$9)</f>
        <v>7.0776000000000003</v>
      </c>
      <c r="L120" s="33">
        <f>4.3069 * CHOOSE(CONTROL!$C$32, $C$9, 100%, $E$9)</f>
        <v>4.3068999999999997</v>
      </c>
      <c r="M120" s="33">
        <f>4.3105 * CHOOSE(CONTROL!$C$32, $C$9, 100%, $E$9)</f>
        <v>4.3105000000000002</v>
      </c>
      <c r="N120" s="33">
        <f>4.3069 * CHOOSE(CONTROL!$C$32, $C$9, 100%, $E$9)</f>
        <v>4.3068999999999997</v>
      </c>
      <c r="O120" s="33">
        <f>4.3105 * CHOOSE(CONTROL!$C$32, $C$9, 100%, $E$9)</f>
        <v>4.3105000000000002</v>
      </c>
      <c r="P120" s="10"/>
      <c r="Q120" s="10"/>
      <c r="R120" s="10"/>
    </row>
    <row r="121" spans="1:18" ht="15" x14ac:dyDescent="0.2">
      <c r="A121" s="16">
        <v>44531</v>
      </c>
      <c r="B121" s="32">
        <f>3.3972 * CHOOSE(CONTROL!$C$32, $C$9, 100%, $E$9)</f>
        <v>3.3972000000000002</v>
      </c>
      <c r="C121" s="32">
        <f>3.3972 * CHOOSE(CONTROL!$C$32, $C$9, 100%, $E$9)</f>
        <v>3.3972000000000002</v>
      </c>
      <c r="D121" s="32">
        <f>3.3983 * CHOOSE(CONTROL!$C$32, $C$9, 100%, $E$9)</f>
        <v>3.3982999999999999</v>
      </c>
      <c r="E121" s="33">
        <f>4.3069 * CHOOSE(CONTROL!$C$32, $C$9, 100%, $E$9)</f>
        <v>4.3068999999999997</v>
      </c>
      <c r="F121" s="33">
        <f>4.3069 * CHOOSE(CONTROL!$C$32, $C$9, 100%, $E$9)</f>
        <v>4.3068999999999997</v>
      </c>
      <c r="G121" s="33">
        <f>4.3105 * CHOOSE(CONTROL!$C$32, $C$9, 100%, $E$9)</f>
        <v>4.3105000000000002</v>
      </c>
      <c r="H121" s="33">
        <f>7.0888 * CHOOSE(CONTROL!$C$32, $C$9, 100%, $E$9)</f>
        <v>7.0888</v>
      </c>
      <c r="I121" s="33">
        <f>7.0924 * CHOOSE(CONTROL!$C$32, $C$9, 100%, $E$9)</f>
        <v>7.0923999999999996</v>
      </c>
      <c r="J121" s="33">
        <f>7.0888 * CHOOSE(CONTROL!$C$32, $C$9, 100%, $E$9)</f>
        <v>7.0888</v>
      </c>
      <c r="K121" s="33">
        <f>7.0924 * CHOOSE(CONTROL!$C$32, $C$9, 100%, $E$9)</f>
        <v>7.0923999999999996</v>
      </c>
      <c r="L121" s="33">
        <f>4.3069 * CHOOSE(CONTROL!$C$32, $C$9, 100%, $E$9)</f>
        <v>4.3068999999999997</v>
      </c>
      <c r="M121" s="33">
        <f>4.3105 * CHOOSE(CONTROL!$C$32, $C$9, 100%, $E$9)</f>
        <v>4.3105000000000002</v>
      </c>
      <c r="N121" s="33">
        <f>4.3069 * CHOOSE(CONTROL!$C$32, $C$9, 100%, $E$9)</f>
        <v>4.3068999999999997</v>
      </c>
      <c r="O121" s="33">
        <f>4.3105 * CHOOSE(CONTROL!$C$32, $C$9, 100%, $E$9)</f>
        <v>4.3105000000000002</v>
      </c>
      <c r="P121" s="10"/>
      <c r="Q121" s="10"/>
      <c r="R121" s="10"/>
    </row>
    <row r="122" spans="1:18" ht="15" x14ac:dyDescent="0.2">
      <c r="A122" s="16">
        <v>44562</v>
      </c>
      <c r="B122" s="32">
        <f>3.4251 * CHOOSE(CONTROL!$C$32, $C$9, 100%, $E$9)</f>
        <v>3.4251</v>
      </c>
      <c r="C122" s="32">
        <f>3.4251 * CHOOSE(CONTROL!$C$32, $C$9, 100%, $E$9)</f>
        <v>3.4251</v>
      </c>
      <c r="D122" s="32">
        <f>3.4261 * CHOOSE(CONTROL!$C$32, $C$9, 100%, $E$9)</f>
        <v>3.4260999999999999</v>
      </c>
      <c r="E122" s="33">
        <f>4.3439 * CHOOSE(CONTROL!$C$32, $C$9, 100%, $E$9)</f>
        <v>4.3438999999999997</v>
      </c>
      <c r="F122" s="33">
        <f>4.3439 * CHOOSE(CONTROL!$C$32, $C$9, 100%, $E$9)</f>
        <v>4.3438999999999997</v>
      </c>
      <c r="G122" s="33">
        <f>4.3475 * CHOOSE(CONTROL!$C$32, $C$9, 100%, $E$9)</f>
        <v>4.3475000000000001</v>
      </c>
      <c r="H122" s="33">
        <f>7.1035 * CHOOSE(CONTROL!$C$32, $C$9, 100%, $E$9)</f>
        <v>7.1035000000000004</v>
      </c>
      <c r="I122" s="33">
        <f>7.1072 * CHOOSE(CONTROL!$C$32, $C$9, 100%, $E$9)</f>
        <v>7.1071999999999997</v>
      </c>
      <c r="J122" s="33">
        <f>7.1035 * CHOOSE(CONTROL!$C$32, $C$9, 100%, $E$9)</f>
        <v>7.1035000000000004</v>
      </c>
      <c r="K122" s="33">
        <f>7.1072 * CHOOSE(CONTROL!$C$32, $C$9, 100%, $E$9)</f>
        <v>7.1071999999999997</v>
      </c>
      <c r="L122" s="33">
        <f>4.3439 * CHOOSE(CONTROL!$C$32, $C$9, 100%, $E$9)</f>
        <v>4.3438999999999997</v>
      </c>
      <c r="M122" s="33">
        <f>4.3475 * CHOOSE(CONTROL!$C$32, $C$9, 100%, $E$9)</f>
        <v>4.3475000000000001</v>
      </c>
      <c r="N122" s="33">
        <f>4.3439 * CHOOSE(CONTROL!$C$32, $C$9, 100%, $E$9)</f>
        <v>4.3438999999999997</v>
      </c>
      <c r="O122" s="33">
        <f>4.3475 * CHOOSE(CONTROL!$C$32, $C$9, 100%, $E$9)</f>
        <v>4.3475000000000001</v>
      </c>
      <c r="P122" s="10"/>
      <c r="Q122" s="10"/>
      <c r="R122" s="10"/>
    </row>
    <row r="123" spans="1:18" ht="15" x14ac:dyDescent="0.2">
      <c r="A123" s="16">
        <v>44593</v>
      </c>
      <c r="B123" s="32">
        <f>3.422 * CHOOSE(CONTROL!$C$32, $C$9, 100%, $E$9)</f>
        <v>3.4220000000000002</v>
      </c>
      <c r="C123" s="32">
        <f>3.422 * CHOOSE(CONTROL!$C$32, $C$9, 100%, $E$9)</f>
        <v>3.4220000000000002</v>
      </c>
      <c r="D123" s="32">
        <f>3.4231 * CHOOSE(CONTROL!$C$32, $C$9, 100%, $E$9)</f>
        <v>3.4230999999999998</v>
      </c>
      <c r="E123" s="33">
        <f>4.3419 * CHOOSE(CONTROL!$C$32, $C$9, 100%, $E$9)</f>
        <v>4.3418999999999999</v>
      </c>
      <c r="F123" s="33">
        <f>4.3419 * CHOOSE(CONTROL!$C$32, $C$9, 100%, $E$9)</f>
        <v>4.3418999999999999</v>
      </c>
      <c r="G123" s="33">
        <f>4.3455 * CHOOSE(CONTROL!$C$32, $C$9, 100%, $E$9)</f>
        <v>4.3455000000000004</v>
      </c>
      <c r="H123" s="33">
        <f>7.1183 * CHOOSE(CONTROL!$C$32, $C$9, 100%, $E$9)</f>
        <v>7.1182999999999996</v>
      </c>
      <c r="I123" s="33">
        <f>7.122 * CHOOSE(CONTROL!$C$32, $C$9, 100%, $E$9)</f>
        <v>7.1219999999999999</v>
      </c>
      <c r="J123" s="33">
        <f>7.1183 * CHOOSE(CONTROL!$C$32, $C$9, 100%, $E$9)</f>
        <v>7.1182999999999996</v>
      </c>
      <c r="K123" s="33">
        <f>7.122 * CHOOSE(CONTROL!$C$32, $C$9, 100%, $E$9)</f>
        <v>7.1219999999999999</v>
      </c>
      <c r="L123" s="33">
        <f>4.3419 * CHOOSE(CONTROL!$C$32, $C$9, 100%, $E$9)</f>
        <v>4.3418999999999999</v>
      </c>
      <c r="M123" s="33">
        <f>4.3455 * CHOOSE(CONTROL!$C$32, $C$9, 100%, $E$9)</f>
        <v>4.3455000000000004</v>
      </c>
      <c r="N123" s="33">
        <f>4.3419 * CHOOSE(CONTROL!$C$32, $C$9, 100%, $E$9)</f>
        <v>4.3418999999999999</v>
      </c>
      <c r="O123" s="33">
        <f>4.3455 * CHOOSE(CONTROL!$C$32, $C$9, 100%, $E$9)</f>
        <v>4.3455000000000004</v>
      </c>
      <c r="P123" s="10"/>
      <c r="Q123" s="10"/>
      <c r="R123" s="10"/>
    </row>
    <row r="124" spans="1:18" ht="15" x14ac:dyDescent="0.2">
      <c r="A124" s="16">
        <v>44621</v>
      </c>
      <c r="B124" s="32">
        <f>3.419 * CHOOSE(CONTROL!$C$32, $C$9, 100%, $E$9)</f>
        <v>3.419</v>
      </c>
      <c r="C124" s="32">
        <f>3.419 * CHOOSE(CONTROL!$C$32, $C$9, 100%, $E$9)</f>
        <v>3.419</v>
      </c>
      <c r="D124" s="32">
        <f>3.4201 * CHOOSE(CONTROL!$C$32, $C$9, 100%, $E$9)</f>
        <v>3.4201000000000001</v>
      </c>
      <c r="E124" s="33">
        <f>4.3399 * CHOOSE(CONTROL!$C$32, $C$9, 100%, $E$9)</f>
        <v>4.3399000000000001</v>
      </c>
      <c r="F124" s="33">
        <f>4.3399 * CHOOSE(CONTROL!$C$32, $C$9, 100%, $E$9)</f>
        <v>4.3399000000000001</v>
      </c>
      <c r="G124" s="33">
        <f>4.3435 * CHOOSE(CONTROL!$C$32, $C$9, 100%, $E$9)</f>
        <v>4.3434999999999997</v>
      </c>
      <c r="H124" s="33">
        <f>7.1332 * CHOOSE(CONTROL!$C$32, $C$9, 100%, $E$9)</f>
        <v>7.1332000000000004</v>
      </c>
      <c r="I124" s="33">
        <f>7.1368 * CHOOSE(CONTROL!$C$32, $C$9, 100%, $E$9)</f>
        <v>7.1368</v>
      </c>
      <c r="J124" s="33">
        <f>7.1332 * CHOOSE(CONTROL!$C$32, $C$9, 100%, $E$9)</f>
        <v>7.1332000000000004</v>
      </c>
      <c r="K124" s="33">
        <f>7.1368 * CHOOSE(CONTROL!$C$32, $C$9, 100%, $E$9)</f>
        <v>7.1368</v>
      </c>
      <c r="L124" s="33">
        <f>4.3399 * CHOOSE(CONTROL!$C$32, $C$9, 100%, $E$9)</f>
        <v>4.3399000000000001</v>
      </c>
      <c r="M124" s="33">
        <f>4.3435 * CHOOSE(CONTROL!$C$32, $C$9, 100%, $E$9)</f>
        <v>4.3434999999999997</v>
      </c>
      <c r="N124" s="33">
        <f>4.3399 * CHOOSE(CONTROL!$C$32, $C$9, 100%, $E$9)</f>
        <v>4.3399000000000001</v>
      </c>
      <c r="O124" s="33">
        <f>4.3435 * CHOOSE(CONTROL!$C$32, $C$9, 100%, $E$9)</f>
        <v>4.3434999999999997</v>
      </c>
      <c r="P124" s="10"/>
      <c r="Q124" s="10"/>
      <c r="R124" s="10"/>
    </row>
    <row r="125" spans="1:18" ht="15" x14ac:dyDescent="0.2">
      <c r="A125" s="16">
        <v>44652</v>
      </c>
      <c r="B125" s="32">
        <f>3.4161 * CHOOSE(CONTROL!$C$32, $C$9, 100%, $E$9)</f>
        <v>3.4161000000000001</v>
      </c>
      <c r="C125" s="32">
        <f>3.4161 * CHOOSE(CONTROL!$C$32, $C$9, 100%, $E$9)</f>
        <v>3.4161000000000001</v>
      </c>
      <c r="D125" s="32">
        <f>3.4172 * CHOOSE(CONTROL!$C$32, $C$9, 100%, $E$9)</f>
        <v>3.4171999999999998</v>
      </c>
      <c r="E125" s="33">
        <f>4.3376 * CHOOSE(CONTROL!$C$32, $C$9, 100%, $E$9)</f>
        <v>4.3376000000000001</v>
      </c>
      <c r="F125" s="33">
        <f>4.3376 * CHOOSE(CONTROL!$C$32, $C$9, 100%, $E$9)</f>
        <v>4.3376000000000001</v>
      </c>
      <c r="G125" s="33">
        <f>4.3412 * CHOOSE(CONTROL!$C$32, $C$9, 100%, $E$9)</f>
        <v>4.3411999999999997</v>
      </c>
      <c r="H125" s="33">
        <f>7.148 * CHOOSE(CONTROL!$C$32, $C$9, 100%, $E$9)</f>
        <v>7.1479999999999997</v>
      </c>
      <c r="I125" s="33">
        <f>7.1516 * CHOOSE(CONTROL!$C$32, $C$9, 100%, $E$9)</f>
        <v>7.1516000000000002</v>
      </c>
      <c r="J125" s="33">
        <f>7.148 * CHOOSE(CONTROL!$C$32, $C$9, 100%, $E$9)</f>
        <v>7.1479999999999997</v>
      </c>
      <c r="K125" s="33">
        <f>7.1516 * CHOOSE(CONTROL!$C$32, $C$9, 100%, $E$9)</f>
        <v>7.1516000000000002</v>
      </c>
      <c r="L125" s="33">
        <f>4.3376 * CHOOSE(CONTROL!$C$32, $C$9, 100%, $E$9)</f>
        <v>4.3376000000000001</v>
      </c>
      <c r="M125" s="33">
        <f>4.3412 * CHOOSE(CONTROL!$C$32, $C$9, 100%, $E$9)</f>
        <v>4.3411999999999997</v>
      </c>
      <c r="N125" s="33">
        <f>4.3376 * CHOOSE(CONTROL!$C$32, $C$9, 100%, $E$9)</f>
        <v>4.3376000000000001</v>
      </c>
      <c r="O125" s="33">
        <f>4.3412 * CHOOSE(CONTROL!$C$32, $C$9, 100%, $E$9)</f>
        <v>4.3411999999999997</v>
      </c>
      <c r="P125" s="10"/>
      <c r="Q125" s="10"/>
      <c r="R125" s="10"/>
    </row>
    <row r="126" spans="1:18" ht="15" x14ac:dyDescent="0.2">
      <c r="A126" s="16">
        <v>44682</v>
      </c>
      <c r="B126" s="32">
        <f>3.4161 * CHOOSE(CONTROL!$C$32, $C$9, 100%, $E$9)</f>
        <v>3.4161000000000001</v>
      </c>
      <c r="C126" s="32">
        <f>3.4161 * CHOOSE(CONTROL!$C$32, $C$9, 100%, $E$9)</f>
        <v>3.4161000000000001</v>
      </c>
      <c r="D126" s="32">
        <f>3.4177 * CHOOSE(CONTROL!$C$32, $C$9, 100%, $E$9)</f>
        <v>3.4177</v>
      </c>
      <c r="E126" s="33">
        <f>4.3376 * CHOOSE(CONTROL!$C$32, $C$9, 100%, $E$9)</f>
        <v>4.3376000000000001</v>
      </c>
      <c r="F126" s="33">
        <f>4.3376 * CHOOSE(CONTROL!$C$32, $C$9, 100%, $E$9)</f>
        <v>4.3376000000000001</v>
      </c>
      <c r="G126" s="33">
        <f>4.3429 * CHOOSE(CONTROL!$C$32, $C$9, 100%, $E$9)</f>
        <v>4.3429000000000002</v>
      </c>
      <c r="H126" s="33">
        <f>7.1629 * CHOOSE(CONTROL!$C$32, $C$9, 100%, $E$9)</f>
        <v>7.1628999999999996</v>
      </c>
      <c r="I126" s="33">
        <f>7.1682 * CHOOSE(CONTROL!$C$32, $C$9, 100%, $E$9)</f>
        <v>7.1681999999999997</v>
      </c>
      <c r="J126" s="33">
        <f>7.1629 * CHOOSE(CONTROL!$C$32, $C$9, 100%, $E$9)</f>
        <v>7.1628999999999996</v>
      </c>
      <c r="K126" s="33">
        <f>7.1682 * CHOOSE(CONTROL!$C$32, $C$9, 100%, $E$9)</f>
        <v>7.1681999999999997</v>
      </c>
      <c r="L126" s="33">
        <f>4.3376 * CHOOSE(CONTROL!$C$32, $C$9, 100%, $E$9)</f>
        <v>4.3376000000000001</v>
      </c>
      <c r="M126" s="33">
        <f>4.3429 * CHOOSE(CONTROL!$C$32, $C$9, 100%, $E$9)</f>
        <v>4.3429000000000002</v>
      </c>
      <c r="N126" s="33">
        <f>4.3376 * CHOOSE(CONTROL!$C$32, $C$9, 100%, $E$9)</f>
        <v>4.3376000000000001</v>
      </c>
      <c r="O126" s="33">
        <f>4.3429 * CHOOSE(CONTROL!$C$32, $C$9, 100%, $E$9)</f>
        <v>4.3429000000000002</v>
      </c>
      <c r="P126" s="10"/>
      <c r="Q126" s="10"/>
      <c r="R126" s="10"/>
    </row>
    <row r="127" spans="1:18" ht="15" x14ac:dyDescent="0.2">
      <c r="A127" s="16">
        <v>44713</v>
      </c>
      <c r="B127" s="32">
        <f>3.4222 * CHOOSE(CONTROL!$C$32, $C$9, 100%, $E$9)</f>
        <v>3.4222000000000001</v>
      </c>
      <c r="C127" s="32">
        <f>3.4222 * CHOOSE(CONTROL!$C$32, $C$9, 100%, $E$9)</f>
        <v>3.4222000000000001</v>
      </c>
      <c r="D127" s="32">
        <f>3.4238 * CHOOSE(CONTROL!$C$32, $C$9, 100%, $E$9)</f>
        <v>3.4238</v>
      </c>
      <c r="E127" s="33">
        <f>4.3416 * CHOOSE(CONTROL!$C$32, $C$9, 100%, $E$9)</f>
        <v>4.3415999999999997</v>
      </c>
      <c r="F127" s="33">
        <f>4.3416 * CHOOSE(CONTROL!$C$32, $C$9, 100%, $E$9)</f>
        <v>4.3415999999999997</v>
      </c>
      <c r="G127" s="33">
        <f>4.3469 * CHOOSE(CONTROL!$C$32, $C$9, 100%, $E$9)</f>
        <v>4.3468999999999998</v>
      </c>
      <c r="H127" s="33">
        <f>7.1778 * CHOOSE(CONTROL!$C$32, $C$9, 100%, $E$9)</f>
        <v>7.1778000000000004</v>
      </c>
      <c r="I127" s="33">
        <f>7.1831 * CHOOSE(CONTROL!$C$32, $C$9, 100%, $E$9)</f>
        <v>7.1830999999999996</v>
      </c>
      <c r="J127" s="33">
        <f>7.1778 * CHOOSE(CONTROL!$C$32, $C$9, 100%, $E$9)</f>
        <v>7.1778000000000004</v>
      </c>
      <c r="K127" s="33">
        <f>7.1831 * CHOOSE(CONTROL!$C$32, $C$9, 100%, $E$9)</f>
        <v>7.1830999999999996</v>
      </c>
      <c r="L127" s="33">
        <f>4.3416 * CHOOSE(CONTROL!$C$32, $C$9, 100%, $E$9)</f>
        <v>4.3415999999999997</v>
      </c>
      <c r="M127" s="33">
        <f>4.3469 * CHOOSE(CONTROL!$C$32, $C$9, 100%, $E$9)</f>
        <v>4.3468999999999998</v>
      </c>
      <c r="N127" s="33">
        <f>4.3416 * CHOOSE(CONTROL!$C$32, $C$9, 100%, $E$9)</f>
        <v>4.3415999999999997</v>
      </c>
      <c r="O127" s="33">
        <f>4.3469 * CHOOSE(CONTROL!$C$32, $C$9, 100%, $E$9)</f>
        <v>4.3468999999999998</v>
      </c>
      <c r="P127" s="10"/>
      <c r="Q127" s="10"/>
      <c r="R127" s="10"/>
    </row>
    <row r="128" spans="1:18" ht="15" x14ac:dyDescent="0.2">
      <c r="A128" s="16">
        <v>44743</v>
      </c>
      <c r="B128" s="32">
        <f>3.4729 * CHOOSE(CONTROL!$C$32, $C$9, 100%, $E$9)</f>
        <v>3.4729000000000001</v>
      </c>
      <c r="C128" s="32">
        <f>3.4729 * CHOOSE(CONTROL!$C$32, $C$9, 100%, $E$9)</f>
        <v>3.4729000000000001</v>
      </c>
      <c r="D128" s="32">
        <f>3.4745 * CHOOSE(CONTROL!$C$32, $C$9, 100%, $E$9)</f>
        <v>3.4744999999999999</v>
      </c>
      <c r="E128" s="33">
        <f>4.4233 * CHOOSE(CONTROL!$C$32, $C$9, 100%, $E$9)</f>
        <v>4.4233000000000002</v>
      </c>
      <c r="F128" s="33">
        <f>4.4233 * CHOOSE(CONTROL!$C$32, $C$9, 100%, $E$9)</f>
        <v>4.4233000000000002</v>
      </c>
      <c r="G128" s="33">
        <f>4.4286 * CHOOSE(CONTROL!$C$32, $C$9, 100%, $E$9)</f>
        <v>4.4286000000000003</v>
      </c>
      <c r="H128" s="33">
        <f>7.1928 * CHOOSE(CONTROL!$C$32, $C$9, 100%, $E$9)</f>
        <v>7.1928000000000001</v>
      </c>
      <c r="I128" s="33">
        <f>7.1981 * CHOOSE(CONTROL!$C$32, $C$9, 100%, $E$9)</f>
        <v>7.1981000000000002</v>
      </c>
      <c r="J128" s="33">
        <f>7.1928 * CHOOSE(CONTROL!$C$32, $C$9, 100%, $E$9)</f>
        <v>7.1928000000000001</v>
      </c>
      <c r="K128" s="33">
        <f>7.1981 * CHOOSE(CONTROL!$C$32, $C$9, 100%, $E$9)</f>
        <v>7.1981000000000002</v>
      </c>
      <c r="L128" s="33">
        <f>4.4233 * CHOOSE(CONTROL!$C$32, $C$9, 100%, $E$9)</f>
        <v>4.4233000000000002</v>
      </c>
      <c r="M128" s="33">
        <f>4.4286 * CHOOSE(CONTROL!$C$32, $C$9, 100%, $E$9)</f>
        <v>4.4286000000000003</v>
      </c>
      <c r="N128" s="33">
        <f>4.4233 * CHOOSE(CONTROL!$C$32, $C$9, 100%, $E$9)</f>
        <v>4.4233000000000002</v>
      </c>
      <c r="O128" s="33">
        <f>4.4286 * CHOOSE(CONTROL!$C$32, $C$9, 100%, $E$9)</f>
        <v>4.4286000000000003</v>
      </c>
      <c r="P128" s="10"/>
      <c r="Q128" s="10"/>
      <c r="R128" s="10"/>
    </row>
    <row r="129" spans="1:18" ht="15" x14ac:dyDescent="0.2">
      <c r="A129" s="16">
        <v>44774</v>
      </c>
      <c r="B129" s="32">
        <f>3.4796 * CHOOSE(CONTROL!$C$32, $C$9, 100%, $E$9)</f>
        <v>3.4796</v>
      </c>
      <c r="C129" s="32">
        <f>3.4796 * CHOOSE(CONTROL!$C$32, $C$9, 100%, $E$9)</f>
        <v>3.4796</v>
      </c>
      <c r="D129" s="32">
        <f>3.4811 * CHOOSE(CONTROL!$C$32, $C$9, 100%, $E$9)</f>
        <v>3.4811000000000001</v>
      </c>
      <c r="E129" s="33">
        <f>4.4277 * CHOOSE(CONTROL!$C$32, $C$9, 100%, $E$9)</f>
        <v>4.4276999999999997</v>
      </c>
      <c r="F129" s="33">
        <f>4.4277 * CHOOSE(CONTROL!$C$32, $C$9, 100%, $E$9)</f>
        <v>4.4276999999999997</v>
      </c>
      <c r="G129" s="33">
        <f>4.433 * CHOOSE(CONTROL!$C$32, $C$9, 100%, $E$9)</f>
        <v>4.4329999999999998</v>
      </c>
      <c r="H129" s="33">
        <f>7.2078 * CHOOSE(CONTROL!$C$32, $C$9, 100%, $E$9)</f>
        <v>7.2077999999999998</v>
      </c>
      <c r="I129" s="33">
        <f>7.2131 * CHOOSE(CONTROL!$C$32, $C$9, 100%, $E$9)</f>
        <v>7.2130999999999998</v>
      </c>
      <c r="J129" s="33">
        <f>7.2078 * CHOOSE(CONTROL!$C$32, $C$9, 100%, $E$9)</f>
        <v>7.2077999999999998</v>
      </c>
      <c r="K129" s="33">
        <f>7.2131 * CHOOSE(CONTROL!$C$32, $C$9, 100%, $E$9)</f>
        <v>7.2130999999999998</v>
      </c>
      <c r="L129" s="33">
        <f>4.4277 * CHOOSE(CONTROL!$C$32, $C$9, 100%, $E$9)</f>
        <v>4.4276999999999997</v>
      </c>
      <c r="M129" s="33">
        <f>4.433 * CHOOSE(CONTROL!$C$32, $C$9, 100%, $E$9)</f>
        <v>4.4329999999999998</v>
      </c>
      <c r="N129" s="33">
        <f>4.4277 * CHOOSE(CONTROL!$C$32, $C$9, 100%, $E$9)</f>
        <v>4.4276999999999997</v>
      </c>
      <c r="O129" s="33">
        <f>4.433 * CHOOSE(CONTROL!$C$32, $C$9, 100%, $E$9)</f>
        <v>4.4329999999999998</v>
      </c>
      <c r="P129" s="10"/>
      <c r="Q129" s="10"/>
      <c r="R129" s="10"/>
    </row>
    <row r="130" spans="1:18" ht="15" x14ac:dyDescent="0.2">
      <c r="A130" s="16">
        <v>44805</v>
      </c>
      <c r="B130" s="32">
        <f>3.4765 * CHOOSE(CONTROL!$C$32, $C$9, 100%, $E$9)</f>
        <v>3.4765000000000001</v>
      </c>
      <c r="C130" s="32">
        <f>3.4765 * CHOOSE(CONTROL!$C$32, $C$9, 100%, $E$9)</f>
        <v>3.4765000000000001</v>
      </c>
      <c r="D130" s="32">
        <f>3.4781 * CHOOSE(CONTROL!$C$32, $C$9, 100%, $E$9)</f>
        <v>3.4781</v>
      </c>
      <c r="E130" s="33">
        <f>4.4257 * CHOOSE(CONTROL!$C$32, $C$9, 100%, $E$9)</f>
        <v>4.4257</v>
      </c>
      <c r="F130" s="33">
        <f>4.4257 * CHOOSE(CONTROL!$C$32, $C$9, 100%, $E$9)</f>
        <v>4.4257</v>
      </c>
      <c r="G130" s="33">
        <f>4.431 * CHOOSE(CONTROL!$C$32, $C$9, 100%, $E$9)</f>
        <v>4.431</v>
      </c>
      <c r="H130" s="33">
        <f>7.2228 * CHOOSE(CONTROL!$C$32, $C$9, 100%, $E$9)</f>
        <v>7.2228000000000003</v>
      </c>
      <c r="I130" s="33">
        <f>7.2281 * CHOOSE(CONTROL!$C$32, $C$9, 100%, $E$9)</f>
        <v>7.2281000000000004</v>
      </c>
      <c r="J130" s="33">
        <f>7.2228 * CHOOSE(CONTROL!$C$32, $C$9, 100%, $E$9)</f>
        <v>7.2228000000000003</v>
      </c>
      <c r="K130" s="33">
        <f>7.2281 * CHOOSE(CONTROL!$C$32, $C$9, 100%, $E$9)</f>
        <v>7.2281000000000004</v>
      </c>
      <c r="L130" s="33">
        <f>4.4257 * CHOOSE(CONTROL!$C$32, $C$9, 100%, $E$9)</f>
        <v>4.4257</v>
      </c>
      <c r="M130" s="33">
        <f>4.431 * CHOOSE(CONTROL!$C$32, $C$9, 100%, $E$9)</f>
        <v>4.431</v>
      </c>
      <c r="N130" s="33">
        <f>4.4257 * CHOOSE(CONTROL!$C$32, $C$9, 100%, $E$9)</f>
        <v>4.4257</v>
      </c>
      <c r="O130" s="33">
        <f>4.431 * CHOOSE(CONTROL!$C$32, $C$9, 100%, $E$9)</f>
        <v>4.431</v>
      </c>
      <c r="P130" s="10"/>
      <c r="Q130" s="10"/>
      <c r="R130" s="10"/>
    </row>
    <row r="131" spans="1:18" ht="15" x14ac:dyDescent="0.2">
      <c r="A131" s="16">
        <v>44835</v>
      </c>
      <c r="B131" s="32">
        <f>3.4698 * CHOOSE(CONTROL!$C$32, $C$9, 100%, $E$9)</f>
        <v>3.4698000000000002</v>
      </c>
      <c r="C131" s="32">
        <f>3.4698 * CHOOSE(CONTROL!$C$32, $C$9, 100%, $E$9)</f>
        <v>3.4698000000000002</v>
      </c>
      <c r="D131" s="32">
        <f>3.4709 * CHOOSE(CONTROL!$C$32, $C$9, 100%, $E$9)</f>
        <v>3.4708999999999999</v>
      </c>
      <c r="E131" s="33">
        <f>4.4195 * CHOOSE(CONTROL!$C$32, $C$9, 100%, $E$9)</f>
        <v>4.4195000000000002</v>
      </c>
      <c r="F131" s="33">
        <f>4.4195 * CHOOSE(CONTROL!$C$32, $C$9, 100%, $E$9)</f>
        <v>4.4195000000000002</v>
      </c>
      <c r="G131" s="33">
        <f>4.4231 * CHOOSE(CONTROL!$C$32, $C$9, 100%, $E$9)</f>
        <v>4.4230999999999998</v>
      </c>
      <c r="H131" s="33">
        <f>7.2378 * CHOOSE(CONTROL!$C$32, $C$9, 100%, $E$9)</f>
        <v>7.2378</v>
      </c>
      <c r="I131" s="33">
        <f>7.2415 * CHOOSE(CONTROL!$C$32, $C$9, 100%, $E$9)</f>
        <v>7.2415000000000003</v>
      </c>
      <c r="J131" s="33">
        <f>7.2378 * CHOOSE(CONTROL!$C$32, $C$9, 100%, $E$9)</f>
        <v>7.2378</v>
      </c>
      <c r="K131" s="33">
        <f>7.2415 * CHOOSE(CONTROL!$C$32, $C$9, 100%, $E$9)</f>
        <v>7.2415000000000003</v>
      </c>
      <c r="L131" s="33">
        <f>4.4195 * CHOOSE(CONTROL!$C$32, $C$9, 100%, $E$9)</f>
        <v>4.4195000000000002</v>
      </c>
      <c r="M131" s="33">
        <f>4.4231 * CHOOSE(CONTROL!$C$32, $C$9, 100%, $E$9)</f>
        <v>4.4230999999999998</v>
      </c>
      <c r="N131" s="33">
        <f>4.4195 * CHOOSE(CONTROL!$C$32, $C$9, 100%, $E$9)</f>
        <v>4.4195000000000002</v>
      </c>
      <c r="O131" s="33">
        <f>4.4231 * CHOOSE(CONTROL!$C$32, $C$9, 100%, $E$9)</f>
        <v>4.4230999999999998</v>
      </c>
      <c r="P131" s="10"/>
      <c r="Q131" s="10"/>
      <c r="R131" s="10"/>
    </row>
    <row r="132" spans="1:18" ht="15" x14ac:dyDescent="0.2">
      <c r="A132" s="16">
        <v>44866</v>
      </c>
      <c r="B132" s="32">
        <f>3.4728 * CHOOSE(CONTROL!$C$32, $C$9, 100%, $E$9)</f>
        <v>3.4727999999999999</v>
      </c>
      <c r="C132" s="32">
        <f>3.4728 * CHOOSE(CONTROL!$C$32, $C$9, 100%, $E$9)</f>
        <v>3.4727999999999999</v>
      </c>
      <c r="D132" s="32">
        <f>3.4739 * CHOOSE(CONTROL!$C$32, $C$9, 100%, $E$9)</f>
        <v>3.4739</v>
      </c>
      <c r="E132" s="33">
        <f>4.4215 * CHOOSE(CONTROL!$C$32, $C$9, 100%, $E$9)</f>
        <v>4.4215</v>
      </c>
      <c r="F132" s="33">
        <f>4.4215 * CHOOSE(CONTROL!$C$32, $C$9, 100%, $E$9)</f>
        <v>4.4215</v>
      </c>
      <c r="G132" s="33">
        <f>4.4251 * CHOOSE(CONTROL!$C$32, $C$9, 100%, $E$9)</f>
        <v>4.4250999999999996</v>
      </c>
      <c r="H132" s="33">
        <f>7.2529 * CHOOSE(CONTROL!$C$32, $C$9, 100%, $E$9)</f>
        <v>7.2529000000000003</v>
      </c>
      <c r="I132" s="33">
        <f>7.2565 * CHOOSE(CONTROL!$C$32, $C$9, 100%, $E$9)</f>
        <v>7.2565</v>
      </c>
      <c r="J132" s="33">
        <f>7.2529 * CHOOSE(CONTROL!$C$32, $C$9, 100%, $E$9)</f>
        <v>7.2529000000000003</v>
      </c>
      <c r="K132" s="33">
        <f>7.2565 * CHOOSE(CONTROL!$C$32, $C$9, 100%, $E$9)</f>
        <v>7.2565</v>
      </c>
      <c r="L132" s="33">
        <f>4.4215 * CHOOSE(CONTROL!$C$32, $C$9, 100%, $E$9)</f>
        <v>4.4215</v>
      </c>
      <c r="M132" s="33">
        <f>4.4251 * CHOOSE(CONTROL!$C$32, $C$9, 100%, $E$9)</f>
        <v>4.4250999999999996</v>
      </c>
      <c r="N132" s="33">
        <f>4.4215 * CHOOSE(CONTROL!$C$32, $C$9, 100%, $E$9)</f>
        <v>4.4215</v>
      </c>
      <c r="O132" s="33">
        <f>4.4251 * CHOOSE(CONTROL!$C$32, $C$9, 100%, $E$9)</f>
        <v>4.4250999999999996</v>
      </c>
      <c r="P132" s="10"/>
      <c r="Q132" s="10"/>
      <c r="R132" s="10"/>
    </row>
    <row r="133" spans="1:18" ht="15" x14ac:dyDescent="0.2">
      <c r="A133" s="16">
        <v>44896</v>
      </c>
      <c r="B133" s="32">
        <f>3.4728 * CHOOSE(CONTROL!$C$32, $C$9, 100%, $E$9)</f>
        <v>3.4727999999999999</v>
      </c>
      <c r="C133" s="32">
        <f>3.4728 * CHOOSE(CONTROL!$C$32, $C$9, 100%, $E$9)</f>
        <v>3.4727999999999999</v>
      </c>
      <c r="D133" s="32">
        <f>3.4739 * CHOOSE(CONTROL!$C$32, $C$9, 100%, $E$9)</f>
        <v>3.4739</v>
      </c>
      <c r="E133" s="33">
        <f>4.4215 * CHOOSE(CONTROL!$C$32, $C$9, 100%, $E$9)</f>
        <v>4.4215</v>
      </c>
      <c r="F133" s="33">
        <f>4.4215 * CHOOSE(CONTROL!$C$32, $C$9, 100%, $E$9)</f>
        <v>4.4215</v>
      </c>
      <c r="G133" s="33">
        <f>4.4251 * CHOOSE(CONTROL!$C$32, $C$9, 100%, $E$9)</f>
        <v>4.4250999999999996</v>
      </c>
      <c r="H133" s="33">
        <f>7.268 * CHOOSE(CONTROL!$C$32, $C$9, 100%, $E$9)</f>
        <v>7.2679999999999998</v>
      </c>
      <c r="I133" s="33">
        <f>7.2716 * CHOOSE(CONTROL!$C$32, $C$9, 100%, $E$9)</f>
        <v>7.2716000000000003</v>
      </c>
      <c r="J133" s="33">
        <f>7.268 * CHOOSE(CONTROL!$C$32, $C$9, 100%, $E$9)</f>
        <v>7.2679999999999998</v>
      </c>
      <c r="K133" s="33">
        <f>7.2716 * CHOOSE(CONTROL!$C$32, $C$9, 100%, $E$9)</f>
        <v>7.2716000000000003</v>
      </c>
      <c r="L133" s="33">
        <f>4.4215 * CHOOSE(CONTROL!$C$32, $C$9, 100%, $E$9)</f>
        <v>4.4215</v>
      </c>
      <c r="M133" s="33">
        <f>4.4251 * CHOOSE(CONTROL!$C$32, $C$9, 100%, $E$9)</f>
        <v>4.4250999999999996</v>
      </c>
      <c r="N133" s="33">
        <f>4.4215 * CHOOSE(CONTROL!$C$32, $C$9, 100%, $E$9)</f>
        <v>4.4215</v>
      </c>
      <c r="O133" s="33">
        <f>4.4251 * CHOOSE(CONTROL!$C$32, $C$9, 100%, $E$9)</f>
        <v>4.4250999999999996</v>
      </c>
      <c r="P133" s="10"/>
      <c r="Q133" s="10"/>
      <c r="R133" s="10"/>
    </row>
    <row r="134" spans="1:18" ht="15" x14ac:dyDescent="0.2">
      <c r="A134" s="16">
        <v>44927</v>
      </c>
      <c r="B134" s="32">
        <f>3.5089 * CHOOSE(CONTROL!$C$32, $C$9, 100%, $E$9)</f>
        <v>3.5089000000000001</v>
      </c>
      <c r="C134" s="32">
        <f>3.5089 * CHOOSE(CONTROL!$C$32, $C$9, 100%, $E$9)</f>
        <v>3.5089000000000001</v>
      </c>
      <c r="D134" s="32">
        <f>3.5099 * CHOOSE(CONTROL!$C$32, $C$9, 100%, $E$9)</f>
        <v>3.5099</v>
      </c>
      <c r="E134" s="33">
        <f>4.4558 * CHOOSE(CONTROL!$C$32, $C$9, 100%, $E$9)</f>
        <v>4.4558</v>
      </c>
      <c r="F134" s="33">
        <f>4.4558 * CHOOSE(CONTROL!$C$32, $C$9, 100%, $E$9)</f>
        <v>4.4558</v>
      </c>
      <c r="G134" s="33">
        <f>4.4594 * CHOOSE(CONTROL!$C$32, $C$9, 100%, $E$9)</f>
        <v>4.4593999999999996</v>
      </c>
      <c r="H134" s="33">
        <f>7.2832 * CHOOSE(CONTROL!$C$32, $C$9, 100%, $E$9)</f>
        <v>7.2831999999999999</v>
      </c>
      <c r="I134" s="33">
        <f>7.2868 * CHOOSE(CONTROL!$C$32, $C$9, 100%, $E$9)</f>
        <v>7.2868000000000004</v>
      </c>
      <c r="J134" s="33">
        <f>7.2832 * CHOOSE(CONTROL!$C$32, $C$9, 100%, $E$9)</f>
        <v>7.2831999999999999</v>
      </c>
      <c r="K134" s="33">
        <f>7.2868 * CHOOSE(CONTROL!$C$32, $C$9, 100%, $E$9)</f>
        <v>7.2868000000000004</v>
      </c>
      <c r="L134" s="33">
        <f>4.4558 * CHOOSE(CONTROL!$C$32, $C$9, 100%, $E$9)</f>
        <v>4.4558</v>
      </c>
      <c r="M134" s="33">
        <f>4.4594 * CHOOSE(CONTROL!$C$32, $C$9, 100%, $E$9)</f>
        <v>4.4593999999999996</v>
      </c>
      <c r="N134" s="33">
        <f>4.4558 * CHOOSE(CONTROL!$C$32, $C$9, 100%, $E$9)</f>
        <v>4.4558</v>
      </c>
      <c r="O134" s="33">
        <f>4.4594 * CHOOSE(CONTROL!$C$32, $C$9, 100%, $E$9)</f>
        <v>4.4593999999999996</v>
      </c>
      <c r="P134" s="10"/>
      <c r="Q134" s="10"/>
      <c r="R134" s="10"/>
    </row>
    <row r="135" spans="1:18" ht="15" x14ac:dyDescent="0.2">
      <c r="A135" s="16">
        <v>44958</v>
      </c>
      <c r="B135" s="32">
        <f>3.5058 * CHOOSE(CONTROL!$C$32, $C$9, 100%, $E$9)</f>
        <v>3.5057999999999998</v>
      </c>
      <c r="C135" s="32">
        <f>3.5058 * CHOOSE(CONTROL!$C$32, $C$9, 100%, $E$9)</f>
        <v>3.5057999999999998</v>
      </c>
      <c r="D135" s="32">
        <f>3.5069 * CHOOSE(CONTROL!$C$32, $C$9, 100%, $E$9)</f>
        <v>3.5068999999999999</v>
      </c>
      <c r="E135" s="33">
        <f>4.4538 * CHOOSE(CONTROL!$C$32, $C$9, 100%, $E$9)</f>
        <v>4.4538000000000002</v>
      </c>
      <c r="F135" s="33">
        <f>4.4538 * CHOOSE(CONTROL!$C$32, $C$9, 100%, $E$9)</f>
        <v>4.4538000000000002</v>
      </c>
      <c r="G135" s="33">
        <f>4.4574 * CHOOSE(CONTROL!$C$32, $C$9, 100%, $E$9)</f>
        <v>4.4573999999999998</v>
      </c>
      <c r="H135" s="33">
        <f>7.2983 * CHOOSE(CONTROL!$C$32, $C$9, 100%, $E$9)</f>
        <v>7.2983000000000002</v>
      </c>
      <c r="I135" s="33">
        <f>7.302 * CHOOSE(CONTROL!$C$32, $C$9, 100%, $E$9)</f>
        <v>7.3019999999999996</v>
      </c>
      <c r="J135" s="33">
        <f>7.2983 * CHOOSE(CONTROL!$C$32, $C$9, 100%, $E$9)</f>
        <v>7.2983000000000002</v>
      </c>
      <c r="K135" s="33">
        <f>7.302 * CHOOSE(CONTROL!$C$32, $C$9, 100%, $E$9)</f>
        <v>7.3019999999999996</v>
      </c>
      <c r="L135" s="33">
        <f>4.4538 * CHOOSE(CONTROL!$C$32, $C$9, 100%, $E$9)</f>
        <v>4.4538000000000002</v>
      </c>
      <c r="M135" s="33">
        <f>4.4574 * CHOOSE(CONTROL!$C$32, $C$9, 100%, $E$9)</f>
        <v>4.4573999999999998</v>
      </c>
      <c r="N135" s="33">
        <f>4.4538 * CHOOSE(CONTROL!$C$32, $C$9, 100%, $E$9)</f>
        <v>4.4538000000000002</v>
      </c>
      <c r="O135" s="33">
        <f>4.4574 * CHOOSE(CONTROL!$C$32, $C$9, 100%, $E$9)</f>
        <v>4.4573999999999998</v>
      </c>
      <c r="P135" s="10"/>
      <c r="Q135" s="10"/>
      <c r="R135" s="10"/>
    </row>
    <row r="136" spans="1:18" ht="15" x14ac:dyDescent="0.2">
      <c r="A136" s="16">
        <v>44986</v>
      </c>
      <c r="B136" s="32">
        <f>3.5028 * CHOOSE(CONTROL!$C$32, $C$9, 100%, $E$9)</f>
        <v>3.5028000000000001</v>
      </c>
      <c r="C136" s="32">
        <f>3.5028 * CHOOSE(CONTROL!$C$32, $C$9, 100%, $E$9)</f>
        <v>3.5028000000000001</v>
      </c>
      <c r="D136" s="32">
        <f>3.5039 * CHOOSE(CONTROL!$C$32, $C$9, 100%, $E$9)</f>
        <v>3.5038999999999998</v>
      </c>
      <c r="E136" s="33">
        <f>4.4518 * CHOOSE(CONTROL!$C$32, $C$9, 100%, $E$9)</f>
        <v>4.4518000000000004</v>
      </c>
      <c r="F136" s="33">
        <f>4.4518 * CHOOSE(CONTROL!$C$32, $C$9, 100%, $E$9)</f>
        <v>4.4518000000000004</v>
      </c>
      <c r="G136" s="33">
        <f>4.4554 * CHOOSE(CONTROL!$C$32, $C$9, 100%, $E$9)</f>
        <v>4.4554</v>
      </c>
      <c r="H136" s="33">
        <f>7.3136 * CHOOSE(CONTROL!$C$32, $C$9, 100%, $E$9)</f>
        <v>7.3136000000000001</v>
      </c>
      <c r="I136" s="33">
        <f>7.3172 * CHOOSE(CONTROL!$C$32, $C$9, 100%, $E$9)</f>
        <v>7.3171999999999997</v>
      </c>
      <c r="J136" s="33">
        <f>7.3136 * CHOOSE(CONTROL!$C$32, $C$9, 100%, $E$9)</f>
        <v>7.3136000000000001</v>
      </c>
      <c r="K136" s="33">
        <f>7.3172 * CHOOSE(CONTROL!$C$32, $C$9, 100%, $E$9)</f>
        <v>7.3171999999999997</v>
      </c>
      <c r="L136" s="33">
        <f>4.4518 * CHOOSE(CONTROL!$C$32, $C$9, 100%, $E$9)</f>
        <v>4.4518000000000004</v>
      </c>
      <c r="M136" s="33">
        <f>4.4554 * CHOOSE(CONTROL!$C$32, $C$9, 100%, $E$9)</f>
        <v>4.4554</v>
      </c>
      <c r="N136" s="33">
        <f>4.4518 * CHOOSE(CONTROL!$C$32, $C$9, 100%, $E$9)</f>
        <v>4.4518000000000004</v>
      </c>
      <c r="O136" s="33">
        <f>4.4554 * CHOOSE(CONTROL!$C$32, $C$9, 100%, $E$9)</f>
        <v>4.4554</v>
      </c>
      <c r="P136" s="10"/>
      <c r="Q136" s="10"/>
      <c r="R136" s="10"/>
    </row>
    <row r="137" spans="1:18" ht="15" x14ac:dyDescent="0.2">
      <c r="A137" s="16">
        <v>45017</v>
      </c>
      <c r="B137" s="32">
        <f>3.5 * CHOOSE(CONTROL!$C$32, $C$9, 100%, $E$9)</f>
        <v>3.5</v>
      </c>
      <c r="C137" s="32">
        <f>3.5 * CHOOSE(CONTROL!$C$32, $C$9, 100%, $E$9)</f>
        <v>3.5</v>
      </c>
      <c r="D137" s="32">
        <f>3.5011 * CHOOSE(CONTROL!$C$32, $C$9, 100%, $E$9)</f>
        <v>3.5011000000000001</v>
      </c>
      <c r="E137" s="33">
        <f>4.4495 * CHOOSE(CONTROL!$C$32, $C$9, 100%, $E$9)</f>
        <v>4.4494999999999996</v>
      </c>
      <c r="F137" s="33">
        <f>4.4495 * CHOOSE(CONTROL!$C$32, $C$9, 100%, $E$9)</f>
        <v>4.4494999999999996</v>
      </c>
      <c r="G137" s="33">
        <f>4.4531 * CHOOSE(CONTROL!$C$32, $C$9, 100%, $E$9)</f>
        <v>4.4531000000000001</v>
      </c>
      <c r="H137" s="33">
        <f>7.3288 * CHOOSE(CONTROL!$C$32, $C$9, 100%, $E$9)</f>
        <v>7.3288000000000002</v>
      </c>
      <c r="I137" s="33">
        <f>7.3324 * CHOOSE(CONTROL!$C$32, $C$9, 100%, $E$9)</f>
        <v>7.3323999999999998</v>
      </c>
      <c r="J137" s="33">
        <f>7.3288 * CHOOSE(CONTROL!$C$32, $C$9, 100%, $E$9)</f>
        <v>7.3288000000000002</v>
      </c>
      <c r="K137" s="33">
        <f>7.3324 * CHOOSE(CONTROL!$C$32, $C$9, 100%, $E$9)</f>
        <v>7.3323999999999998</v>
      </c>
      <c r="L137" s="33">
        <f>4.4495 * CHOOSE(CONTROL!$C$32, $C$9, 100%, $E$9)</f>
        <v>4.4494999999999996</v>
      </c>
      <c r="M137" s="33">
        <f>4.4531 * CHOOSE(CONTROL!$C$32, $C$9, 100%, $E$9)</f>
        <v>4.4531000000000001</v>
      </c>
      <c r="N137" s="33">
        <f>4.4495 * CHOOSE(CONTROL!$C$32, $C$9, 100%, $E$9)</f>
        <v>4.4494999999999996</v>
      </c>
      <c r="O137" s="33">
        <f>4.4531 * CHOOSE(CONTROL!$C$32, $C$9, 100%, $E$9)</f>
        <v>4.4531000000000001</v>
      </c>
      <c r="P137" s="10"/>
      <c r="Q137" s="10"/>
      <c r="R137" s="10"/>
    </row>
    <row r="138" spans="1:18" ht="15" x14ac:dyDescent="0.2">
      <c r="A138" s="16">
        <v>45047</v>
      </c>
      <c r="B138" s="32">
        <f>3.5 * CHOOSE(CONTROL!$C$32, $C$9, 100%, $E$9)</f>
        <v>3.5</v>
      </c>
      <c r="C138" s="32">
        <f>3.5 * CHOOSE(CONTROL!$C$32, $C$9, 100%, $E$9)</f>
        <v>3.5</v>
      </c>
      <c r="D138" s="32">
        <f>3.5016 * CHOOSE(CONTROL!$C$32, $C$9, 100%, $E$9)</f>
        <v>3.5015999999999998</v>
      </c>
      <c r="E138" s="33">
        <f>4.4495 * CHOOSE(CONTROL!$C$32, $C$9, 100%, $E$9)</f>
        <v>4.4494999999999996</v>
      </c>
      <c r="F138" s="33">
        <f>4.4495 * CHOOSE(CONTROL!$C$32, $C$9, 100%, $E$9)</f>
        <v>4.4494999999999996</v>
      </c>
      <c r="G138" s="33">
        <f>4.4548 * CHOOSE(CONTROL!$C$32, $C$9, 100%, $E$9)</f>
        <v>4.4547999999999996</v>
      </c>
      <c r="H138" s="33">
        <f>7.3441 * CHOOSE(CONTROL!$C$32, $C$9, 100%, $E$9)</f>
        <v>7.3441000000000001</v>
      </c>
      <c r="I138" s="33">
        <f>7.3494 * CHOOSE(CONTROL!$C$32, $C$9, 100%, $E$9)</f>
        <v>7.3494000000000002</v>
      </c>
      <c r="J138" s="33">
        <f>7.3441 * CHOOSE(CONTROL!$C$32, $C$9, 100%, $E$9)</f>
        <v>7.3441000000000001</v>
      </c>
      <c r="K138" s="33">
        <f>7.3494 * CHOOSE(CONTROL!$C$32, $C$9, 100%, $E$9)</f>
        <v>7.3494000000000002</v>
      </c>
      <c r="L138" s="33">
        <f>4.4495 * CHOOSE(CONTROL!$C$32, $C$9, 100%, $E$9)</f>
        <v>4.4494999999999996</v>
      </c>
      <c r="M138" s="33">
        <f>4.4548 * CHOOSE(CONTROL!$C$32, $C$9, 100%, $E$9)</f>
        <v>4.4547999999999996</v>
      </c>
      <c r="N138" s="33">
        <f>4.4495 * CHOOSE(CONTROL!$C$32, $C$9, 100%, $E$9)</f>
        <v>4.4494999999999996</v>
      </c>
      <c r="O138" s="33">
        <f>4.4548 * CHOOSE(CONTROL!$C$32, $C$9, 100%, $E$9)</f>
        <v>4.4547999999999996</v>
      </c>
      <c r="P138" s="10"/>
      <c r="Q138" s="10"/>
      <c r="R138" s="10"/>
    </row>
    <row r="139" spans="1:18" ht="15" x14ac:dyDescent="0.2">
      <c r="A139" s="16">
        <v>45078</v>
      </c>
      <c r="B139" s="32">
        <f>3.5061 * CHOOSE(CONTROL!$C$32, $C$9, 100%, $E$9)</f>
        <v>3.5061</v>
      </c>
      <c r="C139" s="32">
        <f>3.5061 * CHOOSE(CONTROL!$C$32, $C$9, 100%, $E$9)</f>
        <v>3.5061</v>
      </c>
      <c r="D139" s="32">
        <f>3.5077 * CHOOSE(CONTROL!$C$32, $C$9, 100%, $E$9)</f>
        <v>3.5076999999999998</v>
      </c>
      <c r="E139" s="33">
        <f>4.4535 * CHOOSE(CONTROL!$C$32, $C$9, 100%, $E$9)</f>
        <v>4.4535</v>
      </c>
      <c r="F139" s="33">
        <f>4.4535 * CHOOSE(CONTROL!$C$32, $C$9, 100%, $E$9)</f>
        <v>4.4535</v>
      </c>
      <c r="G139" s="33">
        <f>4.4588 * CHOOSE(CONTROL!$C$32, $C$9, 100%, $E$9)</f>
        <v>4.4588000000000001</v>
      </c>
      <c r="H139" s="33">
        <f>7.3594 * CHOOSE(CONTROL!$C$32, $C$9, 100%, $E$9)</f>
        <v>7.3593999999999999</v>
      </c>
      <c r="I139" s="33">
        <f>7.3647 * CHOOSE(CONTROL!$C$32, $C$9, 100%, $E$9)</f>
        <v>7.3647</v>
      </c>
      <c r="J139" s="33">
        <f>7.3594 * CHOOSE(CONTROL!$C$32, $C$9, 100%, $E$9)</f>
        <v>7.3593999999999999</v>
      </c>
      <c r="K139" s="33">
        <f>7.3647 * CHOOSE(CONTROL!$C$32, $C$9, 100%, $E$9)</f>
        <v>7.3647</v>
      </c>
      <c r="L139" s="33">
        <f>4.4535 * CHOOSE(CONTROL!$C$32, $C$9, 100%, $E$9)</f>
        <v>4.4535</v>
      </c>
      <c r="M139" s="33">
        <f>4.4588 * CHOOSE(CONTROL!$C$32, $C$9, 100%, $E$9)</f>
        <v>4.4588000000000001</v>
      </c>
      <c r="N139" s="33">
        <f>4.4535 * CHOOSE(CONTROL!$C$32, $C$9, 100%, $E$9)</f>
        <v>4.4535</v>
      </c>
      <c r="O139" s="33">
        <f>4.4588 * CHOOSE(CONTROL!$C$32, $C$9, 100%, $E$9)</f>
        <v>4.4588000000000001</v>
      </c>
      <c r="P139" s="10"/>
      <c r="Q139" s="10"/>
      <c r="R139" s="10"/>
    </row>
    <row r="140" spans="1:18" ht="15" x14ac:dyDescent="0.2">
      <c r="A140" s="16">
        <v>45108</v>
      </c>
      <c r="B140" s="32">
        <f>3.5764 * CHOOSE(CONTROL!$C$32, $C$9, 100%, $E$9)</f>
        <v>3.5764</v>
      </c>
      <c r="C140" s="32">
        <f>3.5764 * CHOOSE(CONTROL!$C$32, $C$9, 100%, $E$9)</f>
        <v>3.5764</v>
      </c>
      <c r="D140" s="32">
        <f>3.578 * CHOOSE(CONTROL!$C$32, $C$9, 100%, $E$9)</f>
        <v>3.5779999999999998</v>
      </c>
      <c r="E140" s="33">
        <f>4.5283 * CHOOSE(CONTROL!$C$32, $C$9, 100%, $E$9)</f>
        <v>4.5282999999999998</v>
      </c>
      <c r="F140" s="33">
        <f>4.5283 * CHOOSE(CONTROL!$C$32, $C$9, 100%, $E$9)</f>
        <v>4.5282999999999998</v>
      </c>
      <c r="G140" s="33">
        <f>4.5336 * CHOOSE(CONTROL!$C$32, $C$9, 100%, $E$9)</f>
        <v>4.5335999999999999</v>
      </c>
      <c r="H140" s="33">
        <f>7.3747 * CHOOSE(CONTROL!$C$32, $C$9, 100%, $E$9)</f>
        <v>7.3746999999999998</v>
      </c>
      <c r="I140" s="33">
        <f>7.38 * CHOOSE(CONTROL!$C$32, $C$9, 100%, $E$9)</f>
        <v>7.38</v>
      </c>
      <c r="J140" s="33">
        <f>7.3747 * CHOOSE(CONTROL!$C$32, $C$9, 100%, $E$9)</f>
        <v>7.3746999999999998</v>
      </c>
      <c r="K140" s="33">
        <f>7.38 * CHOOSE(CONTROL!$C$32, $C$9, 100%, $E$9)</f>
        <v>7.38</v>
      </c>
      <c r="L140" s="33">
        <f>4.5283 * CHOOSE(CONTROL!$C$32, $C$9, 100%, $E$9)</f>
        <v>4.5282999999999998</v>
      </c>
      <c r="M140" s="33">
        <f>4.5336 * CHOOSE(CONTROL!$C$32, $C$9, 100%, $E$9)</f>
        <v>4.5335999999999999</v>
      </c>
      <c r="N140" s="33">
        <f>4.5283 * CHOOSE(CONTROL!$C$32, $C$9, 100%, $E$9)</f>
        <v>4.5282999999999998</v>
      </c>
      <c r="O140" s="33">
        <f>4.5336 * CHOOSE(CONTROL!$C$32, $C$9, 100%, $E$9)</f>
        <v>4.5335999999999999</v>
      </c>
      <c r="P140" s="10"/>
      <c r="Q140" s="10"/>
      <c r="R140" s="10"/>
    </row>
    <row r="141" spans="1:18" ht="15" x14ac:dyDescent="0.2">
      <c r="A141" s="16">
        <v>45139</v>
      </c>
      <c r="B141" s="32">
        <f>3.5831 * CHOOSE(CONTROL!$C$32, $C$9, 100%, $E$9)</f>
        <v>3.5831</v>
      </c>
      <c r="C141" s="32">
        <f>3.5831 * CHOOSE(CONTROL!$C$32, $C$9, 100%, $E$9)</f>
        <v>3.5831</v>
      </c>
      <c r="D141" s="32">
        <f>3.5846 * CHOOSE(CONTROL!$C$32, $C$9, 100%, $E$9)</f>
        <v>3.5846</v>
      </c>
      <c r="E141" s="33">
        <f>4.5327 * CHOOSE(CONTROL!$C$32, $C$9, 100%, $E$9)</f>
        <v>4.5327000000000002</v>
      </c>
      <c r="F141" s="33">
        <f>4.5327 * CHOOSE(CONTROL!$C$32, $C$9, 100%, $E$9)</f>
        <v>4.5327000000000002</v>
      </c>
      <c r="G141" s="33">
        <f>4.538 * CHOOSE(CONTROL!$C$32, $C$9, 100%, $E$9)</f>
        <v>4.5380000000000003</v>
      </c>
      <c r="H141" s="33">
        <f>7.3901 * CHOOSE(CONTROL!$C$32, $C$9, 100%, $E$9)</f>
        <v>7.3901000000000003</v>
      </c>
      <c r="I141" s="33">
        <f>7.3953 * CHOOSE(CONTROL!$C$32, $C$9, 100%, $E$9)</f>
        <v>7.3952999999999998</v>
      </c>
      <c r="J141" s="33">
        <f>7.3901 * CHOOSE(CONTROL!$C$32, $C$9, 100%, $E$9)</f>
        <v>7.3901000000000003</v>
      </c>
      <c r="K141" s="33">
        <f>7.3953 * CHOOSE(CONTROL!$C$32, $C$9, 100%, $E$9)</f>
        <v>7.3952999999999998</v>
      </c>
      <c r="L141" s="33">
        <f>4.5327 * CHOOSE(CONTROL!$C$32, $C$9, 100%, $E$9)</f>
        <v>4.5327000000000002</v>
      </c>
      <c r="M141" s="33">
        <f>4.538 * CHOOSE(CONTROL!$C$32, $C$9, 100%, $E$9)</f>
        <v>4.5380000000000003</v>
      </c>
      <c r="N141" s="33">
        <f>4.5327 * CHOOSE(CONTROL!$C$32, $C$9, 100%, $E$9)</f>
        <v>4.5327000000000002</v>
      </c>
      <c r="O141" s="33">
        <f>4.538 * CHOOSE(CONTROL!$C$32, $C$9, 100%, $E$9)</f>
        <v>4.5380000000000003</v>
      </c>
      <c r="P141" s="10"/>
      <c r="Q141" s="10"/>
      <c r="R141" s="10"/>
    </row>
    <row r="142" spans="1:18" ht="15" x14ac:dyDescent="0.2">
      <c r="A142" s="16">
        <v>45170</v>
      </c>
      <c r="B142" s="32">
        <f>3.58 * CHOOSE(CONTROL!$C$32, $C$9, 100%, $E$9)</f>
        <v>3.58</v>
      </c>
      <c r="C142" s="32">
        <f>3.58 * CHOOSE(CONTROL!$C$32, $C$9, 100%, $E$9)</f>
        <v>3.58</v>
      </c>
      <c r="D142" s="32">
        <f>3.5816 * CHOOSE(CONTROL!$C$32, $C$9, 100%, $E$9)</f>
        <v>3.5815999999999999</v>
      </c>
      <c r="E142" s="33">
        <f>4.5307 * CHOOSE(CONTROL!$C$32, $C$9, 100%, $E$9)</f>
        <v>4.5307000000000004</v>
      </c>
      <c r="F142" s="33">
        <f>4.5307 * CHOOSE(CONTROL!$C$32, $C$9, 100%, $E$9)</f>
        <v>4.5307000000000004</v>
      </c>
      <c r="G142" s="33">
        <f>4.536 * CHOOSE(CONTROL!$C$32, $C$9, 100%, $E$9)</f>
        <v>4.5359999999999996</v>
      </c>
      <c r="H142" s="33">
        <f>7.4054 * CHOOSE(CONTROL!$C$32, $C$9, 100%, $E$9)</f>
        <v>7.4054000000000002</v>
      </c>
      <c r="I142" s="33">
        <f>7.4107 * CHOOSE(CONTROL!$C$32, $C$9, 100%, $E$9)</f>
        <v>7.4107000000000003</v>
      </c>
      <c r="J142" s="33">
        <f>7.4054 * CHOOSE(CONTROL!$C$32, $C$9, 100%, $E$9)</f>
        <v>7.4054000000000002</v>
      </c>
      <c r="K142" s="33">
        <f>7.4107 * CHOOSE(CONTROL!$C$32, $C$9, 100%, $E$9)</f>
        <v>7.4107000000000003</v>
      </c>
      <c r="L142" s="33">
        <f>4.5307 * CHOOSE(CONTROL!$C$32, $C$9, 100%, $E$9)</f>
        <v>4.5307000000000004</v>
      </c>
      <c r="M142" s="33">
        <f>4.536 * CHOOSE(CONTROL!$C$32, $C$9, 100%, $E$9)</f>
        <v>4.5359999999999996</v>
      </c>
      <c r="N142" s="33">
        <f>4.5307 * CHOOSE(CONTROL!$C$32, $C$9, 100%, $E$9)</f>
        <v>4.5307000000000004</v>
      </c>
      <c r="O142" s="33">
        <f>4.536 * CHOOSE(CONTROL!$C$32, $C$9, 100%, $E$9)</f>
        <v>4.5359999999999996</v>
      </c>
      <c r="P142" s="10"/>
      <c r="Q142" s="10"/>
      <c r="R142" s="10"/>
    </row>
    <row r="143" spans="1:18" ht="15" x14ac:dyDescent="0.2">
      <c r="A143" s="16">
        <v>45200</v>
      </c>
      <c r="B143" s="32">
        <f>3.5736 * CHOOSE(CONTROL!$C$32, $C$9, 100%, $E$9)</f>
        <v>3.5735999999999999</v>
      </c>
      <c r="C143" s="32">
        <f>3.5736 * CHOOSE(CONTROL!$C$32, $C$9, 100%, $E$9)</f>
        <v>3.5735999999999999</v>
      </c>
      <c r="D143" s="32">
        <f>3.5747 * CHOOSE(CONTROL!$C$32, $C$9, 100%, $E$9)</f>
        <v>3.5747</v>
      </c>
      <c r="E143" s="33">
        <f>4.5247 * CHOOSE(CONTROL!$C$32, $C$9, 100%, $E$9)</f>
        <v>4.5247000000000002</v>
      </c>
      <c r="F143" s="33">
        <f>4.5247 * CHOOSE(CONTROL!$C$32, $C$9, 100%, $E$9)</f>
        <v>4.5247000000000002</v>
      </c>
      <c r="G143" s="33">
        <f>4.5283 * CHOOSE(CONTROL!$C$32, $C$9, 100%, $E$9)</f>
        <v>4.5282999999999998</v>
      </c>
      <c r="H143" s="33">
        <f>7.4209 * CHOOSE(CONTROL!$C$32, $C$9, 100%, $E$9)</f>
        <v>7.4208999999999996</v>
      </c>
      <c r="I143" s="33">
        <f>7.4245 * CHOOSE(CONTROL!$C$32, $C$9, 100%, $E$9)</f>
        <v>7.4245000000000001</v>
      </c>
      <c r="J143" s="33">
        <f>7.4209 * CHOOSE(CONTROL!$C$32, $C$9, 100%, $E$9)</f>
        <v>7.4208999999999996</v>
      </c>
      <c r="K143" s="33">
        <f>7.4245 * CHOOSE(CONTROL!$C$32, $C$9, 100%, $E$9)</f>
        <v>7.4245000000000001</v>
      </c>
      <c r="L143" s="33">
        <f>4.5247 * CHOOSE(CONTROL!$C$32, $C$9, 100%, $E$9)</f>
        <v>4.5247000000000002</v>
      </c>
      <c r="M143" s="33">
        <f>4.5283 * CHOOSE(CONTROL!$C$32, $C$9, 100%, $E$9)</f>
        <v>4.5282999999999998</v>
      </c>
      <c r="N143" s="33">
        <f>4.5247 * CHOOSE(CONTROL!$C$32, $C$9, 100%, $E$9)</f>
        <v>4.5247000000000002</v>
      </c>
      <c r="O143" s="33">
        <f>4.5283 * CHOOSE(CONTROL!$C$32, $C$9, 100%, $E$9)</f>
        <v>4.5282999999999998</v>
      </c>
      <c r="P143" s="10"/>
      <c r="Q143" s="10"/>
      <c r="R143" s="10"/>
    </row>
    <row r="144" spans="1:18" ht="15" x14ac:dyDescent="0.2">
      <c r="A144" s="16">
        <v>45231</v>
      </c>
      <c r="B144" s="32">
        <f>3.5766 * CHOOSE(CONTROL!$C$32, $C$9, 100%, $E$9)</f>
        <v>3.5766</v>
      </c>
      <c r="C144" s="32">
        <f>3.5766 * CHOOSE(CONTROL!$C$32, $C$9, 100%, $E$9)</f>
        <v>3.5766</v>
      </c>
      <c r="D144" s="32">
        <f>3.5777 * CHOOSE(CONTROL!$C$32, $C$9, 100%, $E$9)</f>
        <v>3.5777000000000001</v>
      </c>
      <c r="E144" s="33">
        <f>4.5267 * CHOOSE(CONTROL!$C$32, $C$9, 100%, $E$9)</f>
        <v>4.5266999999999999</v>
      </c>
      <c r="F144" s="33">
        <f>4.5267 * CHOOSE(CONTROL!$C$32, $C$9, 100%, $E$9)</f>
        <v>4.5266999999999999</v>
      </c>
      <c r="G144" s="33">
        <f>4.5303 * CHOOSE(CONTROL!$C$32, $C$9, 100%, $E$9)</f>
        <v>4.5303000000000004</v>
      </c>
      <c r="H144" s="33">
        <f>7.4363 * CHOOSE(CONTROL!$C$32, $C$9, 100%, $E$9)</f>
        <v>7.4363000000000001</v>
      </c>
      <c r="I144" s="33">
        <f>7.44 * CHOOSE(CONTROL!$C$32, $C$9, 100%, $E$9)</f>
        <v>7.44</v>
      </c>
      <c r="J144" s="33">
        <f>7.4363 * CHOOSE(CONTROL!$C$32, $C$9, 100%, $E$9)</f>
        <v>7.4363000000000001</v>
      </c>
      <c r="K144" s="33">
        <f>7.44 * CHOOSE(CONTROL!$C$32, $C$9, 100%, $E$9)</f>
        <v>7.44</v>
      </c>
      <c r="L144" s="33">
        <f>4.5267 * CHOOSE(CONTROL!$C$32, $C$9, 100%, $E$9)</f>
        <v>4.5266999999999999</v>
      </c>
      <c r="M144" s="33">
        <f>4.5303 * CHOOSE(CONTROL!$C$32, $C$9, 100%, $E$9)</f>
        <v>4.5303000000000004</v>
      </c>
      <c r="N144" s="33">
        <f>4.5267 * CHOOSE(CONTROL!$C$32, $C$9, 100%, $E$9)</f>
        <v>4.5266999999999999</v>
      </c>
      <c r="O144" s="33">
        <f>4.5303 * CHOOSE(CONTROL!$C$32, $C$9, 100%, $E$9)</f>
        <v>4.5303000000000004</v>
      </c>
      <c r="P144" s="10"/>
      <c r="Q144" s="10"/>
      <c r="R144" s="10"/>
    </row>
    <row r="145" spans="1:18" ht="15" x14ac:dyDescent="0.2">
      <c r="A145" s="16">
        <v>45261</v>
      </c>
      <c r="B145" s="32">
        <f>3.5766 * CHOOSE(CONTROL!$C$32, $C$9, 100%, $E$9)</f>
        <v>3.5766</v>
      </c>
      <c r="C145" s="32">
        <f>3.5766 * CHOOSE(CONTROL!$C$32, $C$9, 100%, $E$9)</f>
        <v>3.5766</v>
      </c>
      <c r="D145" s="32">
        <f>3.5777 * CHOOSE(CONTROL!$C$32, $C$9, 100%, $E$9)</f>
        <v>3.5777000000000001</v>
      </c>
      <c r="E145" s="33">
        <f>4.5267 * CHOOSE(CONTROL!$C$32, $C$9, 100%, $E$9)</f>
        <v>4.5266999999999999</v>
      </c>
      <c r="F145" s="33">
        <f>4.5267 * CHOOSE(CONTROL!$C$32, $C$9, 100%, $E$9)</f>
        <v>4.5266999999999999</v>
      </c>
      <c r="G145" s="33">
        <f>4.5303 * CHOOSE(CONTROL!$C$32, $C$9, 100%, $E$9)</f>
        <v>4.5303000000000004</v>
      </c>
      <c r="H145" s="33">
        <f>7.4518 * CHOOSE(CONTROL!$C$32, $C$9, 100%, $E$9)</f>
        <v>7.4518000000000004</v>
      </c>
      <c r="I145" s="33">
        <f>7.4554 * CHOOSE(CONTROL!$C$32, $C$9, 100%, $E$9)</f>
        <v>7.4554</v>
      </c>
      <c r="J145" s="33">
        <f>7.4518 * CHOOSE(CONTROL!$C$32, $C$9, 100%, $E$9)</f>
        <v>7.4518000000000004</v>
      </c>
      <c r="K145" s="33">
        <f>7.4554 * CHOOSE(CONTROL!$C$32, $C$9, 100%, $E$9)</f>
        <v>7.4554</v>
      </c>
      <c r="L145" s="33">
        <f>4.5267 * CHOOSE(CONTROL!$C$32, $C$9, 100%, $E$9)</f>
        <v>4.5266999999999999</v>
      </c>
      <c r="M145" s="33">
        <f>4.5303 * CHOOSE(CONTROL!$C$32, $C$9, 100%, $E$9)</f>
        <v>4.5303000000000004</v>
      </c>
      <c r="N145" s="33">
        <f>4.5267 * CHOOSE(CONTROL!$C$32, $C$9, 100%, $E$9)</f>
        <v>4.5266999999999999</v>
      </c>
      <c r="O145" s="33">
        <f>4.5303 * CHOOSE(CONTROL!$C$32, $C$9, 100%, $E$9)</f>
        <v>4.5303000000000004</v>
      </c>
      <c r="P145" s="10"/>
      <c r="Q145" s="10"/>
      <c r="R145" s="10"/>
    </row>
    <row r="146" spans="1:18" ht="15" x14ac:dyDescent="0.2">
      <c r="A146" s="16">
        <v>45292</v>
      </c>
      <c r="B146" s="32">
        <f>3.6058 * CHOOSE(CONTROL!$C$32, $C$9, 100%, $E$9)</f>
        <v>3.6057999999999999</v>
      </c>
      <c r="C146" s="32">
        <f>3.6058 * CHOOSE(CONTROL!$C$32, $C$9, 100%, $E$9)</f>
        <v>3.6057999999999999</v>
      </c>
      <c r="D146" s="32">
        <f>3.6069 * CHOOSE(CONTROL!$C$32, $C$9, 100%, $E$9)</f>
        <v>3.6069</v>
      </c>
      <c r="E146" s="33">
        <f>4.5664 * CHOOSE(CONTROL!$C$32, $C$9, 100%, $E$9)</f>
        <v>4.5663999999999998</v>
      </c>
      <c r="F146" s="33">
        <f>4.5664 * CHOOSE(CONTROL!$C$32, $C$9, 100%, $E$9)</f>
        <v>4.5663999999999998</v>
      </c>
      <c r="G146" s="33">
        <f>4.57 * CHOOSE(CONTROL!$C$32, $C$9, 100%, $E$9)</f>
        <v>4.57</v>
      </c>
      <c r="H146" s="33">
        <f>7.4674 * CHOOSE(CONTROL!$C$32, $C$9, 100%, $E$9)</f>
        <v>7.4673999999999996</v>
      </c>
      <c r="I146" s="33">
        <f>7.471 * CHOOSE(CONTROL!$C$32, $C$9, 100%, $E$9)</f>
        <v>7.4710000000000001</v>
      </c>
      <c r="J146" s="33">
        <f>7.4674 * CHOOSE(CONTROL!$C$32, $C$9, 100%, $E$9)</f>
        <v>7.4673999999999996</v>
      </c>
      <c r="K146" s="33">
        <f>7.471 * CHOOSE(CONTROL!$C$32, $C$9, 100%, $E$9)</f>
        <v>7.4710000000000001</v>
      </c>
      <c r="L146" s="33">
        <f>4.5664 * CHOOSE(CONTROL!$C$32, $C$9, 100%, $E$9)</f>
        <v>4.5663999999999998</v>
      </c>
      <c r="M146" s="33">
        <f>4.57 * CHOOSE(CONTROL!$C$32, $C$9, 100%, $E$9)</f>
        <v>4.57</v>
      </c>
      <c r="N146" s="33">
        <f>4.5664 * CHOOSE(CONTROL!$C$32, $C$9, 100%, $E$9)</f>
        <v>4.5663999999999998</v>
      </c>
      <c r="O146" s="33">
        <f>4.57 * CHOOSE(CONTROL!$C$32, $C$9, 100%, $E$9)</f>
        <v>4.57</v>
      </c>
      <c r="P146" s="10"/>
      <c r="Q146" s="10"/>
      <c r="R146" s="10"/>
    </row>
    <row r="147" spans="1:18" ht="15" x14ac:dyDescent="0.2">
      <c r="A147" s="16">
        <v>45323</v>
      </c>
      <c r="B147" s="32">
        <f>3.6028 * CHOOSE(CONTROL!$C$32, $C$9, 100%, $E$9)</f>
        <v>3.6027999999999998</v>
      </c>
      <c r="C147" s="32">
        <f>3.6028 * CHOOSE(CONTROL!$C$32, $C$9, 100%, $E$9)</f>
        <v>3.6027999999999998</v>
      </c>
      <c r="D147" s="32">
        <f>3.6038 * CHOOSE(CONTROL!$C$32, $C$9, 100%, $E$9)</f>
        <v>3.6038000000000001</v>
      </c>
      <c r="E147" s="33">
        <f>4.5644 * CHOOSE(CONTROL!$C$32, $C$9, 100%, $E$9)</f>
        <v>4.5644</v>
      </c>
      <c r="F147" s="33">
        <f>4.5644 * CHOOSE(CONTROL!$C$32, $C$9, 100%, $E$9)</f>
        <v>4.5644</v>
      </c>
      <c r="G147" s="33">
        <f>4.568 * CHOOSE(CONTROL!$C$32, $C$9, 100%, $E$9)</f>
        <v>4.5679999999999996</v>
      </c>
      <c r="H147" s="33">
        <f>7.4829 * CHOOSE(CONTROL!$C$32, $C$9, 100%, $E$9)</f>
        <v>7.4828999999999999</v>
      </c>
      <c r="I147" s="33">
        <f>7.4865 * CHOOSE(CONTROL!$C$32, $C$9, 100%, $E$9)</f>
        <v>7.4865000000000004</v>
      </c>
      <c r="J147" s="33">
        <f>7.4829 * CHOOSE(CONTROL!$C$32, $C$9, 100%, $E$9)</f>
        <v>7.4828999999999999</v>
      </c>
      <c r="K147" s="33">
        <f>7.4865 * CHOOSE(CONTROL!$C$32, $C$9, 100%, $E$9)</f>
        <v>7.4865000000000004</v>
      </c>
      <c r="L147" s="33">
        <f>4.5644 * CHOOSE(CONTROL!$C$32, $C$9, 100%, $E$9)</f>
        <v>4.5644</v>
      </c>
      <c r="M147" s="33">
        <f>4.568 * CHOOSE(CONTROL!$C$32, $C$9, 100%, $E$9)</f>
        <v>4.5679999999999996</v>
      </c>
      <c r="N147" s="33">
        <f>4.5644 * CHOOSE(CONTROL!$C$32, $C$9, 100%, $E$9)</f>
        <v>4.5644</v>
      </c>
      <c r="O147" s="33">
        <f>4.568 * CHOOSE(CONTROL!$C$32, $C$9, 100%, $E$9)</f>
        <v>4.5679999999999996</v>
      </c>
      <c r="P147" s="10"/>
      <c r="Q147" s="10"/>
      <c r="R147" s="10"/>
    </row>
    <row r="148" spans="1:18" ht="15" x14ac:dyDescent="0.2">
      <c r="A148" s="16">
        <v>45352</v>
      </c>
      <c r="B148" s="32">
        <f>3.5997 * CHOOSE(CONTROL!$C$32, $C$9, 100%, $E$9)</f>
        <v>3.5996999999999999</v>
      </c>
      <c r="C148" s="32">
        <f>3.5997 * CHOOSE(CONTROL!$C$32, $C$9, 100%, $E$9)</f>
        <v>3.5996999999999999</v>
      </c>
      <c r="D148" s="32">
        <f>3.6008 * CHOOSE(CONTROL!$C$32, $C$9, 100%, $E$9)</f>
        <v>3.6008</v>
      </c>
      <c r="E148" s="33">
        <f>4.5624 * CHOOSE(CONTROL!$C$32, $C$9, 100%, $E$9)</f>
        <v>4.5624000000000002</v>
      </c>
      <c r="F148" s="33">
        <f>4.5624 * CHOOSE(CONTROL!$C$32, $C$9, 100%, $E$9)</f>
        <v>4.5624000000000002</v>
      </c>
      <c r="G148" s="33">
        <f>4.566 * CHOOSE(CONTROL!$C$32, $C$9, 100%, $E$9)</f>
        <v>4.5659999999999998</v>
      </c>
      <c r="H148" s="33">
        <f>7.4985 * CHOOSE(CONTROL!$C$32, $C$9, 100%, $E$9)</f>
        <v>7.4984999999999999</v>
      </c>
      <c r="I148" s="33">
        <f>7.5021 * CHOOSE(CONTROL!$C$32, $C$9, 100%, $E$9)</f>
        <v>7.5021000000000004</v>
      </c>
      <c r="J148" s="33">
        <f>7.4985 * CHOOSE(CONTROL!$C$32, $C$9, 100%, $E$9)</f>
        <v>7.4984999999999999</v>
      </c>
      <c r="K148" s="33">
        <f>7.5021 * CHOOSE(CONTROL!$C$32, $C$9, 100%, $E$9)</f>
        <v>7.5021000000000004</v>
      </c>
      <c r="L148" s="33">
        <f>4.5624 * CHOOSE(CONTROL!$C$32, $C$9, 100%, $E$9)</f>
        <v>4.5624000000000002</v>
      </c>
      <c r="M148" s="33">
        <f>4.566 * CHOOSE(CONTROL!$C$32, $C$9, 100%, $E$9)</f>
        <v>4.5659999999999998</v>
      </c>
      <c r="N148" s="33">
        <f>4.5624 * CHOOSE(CONTROL!$C$32, $C$9, 100%, $E$9)</f>
        <v>4.5624000000000002</v>
      </c>
      <c r="O148" s="33">
        <f>4.566 * CHOOSE(CONTROL!$C$32, $C$9, 100%, $E$9)</f>
        <v>4.5659999999999998</v>
      </c>
      <c r="P148" s="10"/>
      <c r="Q148" s="10"/>
      <c r="R148" s="10"/>
    </row>
    <row r="149" spans="1:18" ht="15" x14ac:dyDescent="0.2">
      <c r="A149" s="16">
        <v>45383</v>
      </c>
      <c r="B149" s="32">
        <f>3.597 * CHOOSE(CONTROL!$C$32, $C$9, 100%, $E$9)</f>
        <v>3.597</v>
      </c>
      <c r="C149" s="32">
        <f>3.597 * CHOOSE(CONTROL!$C$32, $C$9, 100%, $E$9)</f>
        <v>3.597</v>
      </c>
      <c r="D149" s="32">
        <f>3.5981 * CHOOSE(CONTROL!$C$32, $C$9, 100%, $E$9)</f>
        <v>3.5981000000000001</v>
      </c>
      <c r="E149" s="33">
        <f>4.5602 * CHOOSE(CONTROL!$C$32, $C$9, 100%, $E$9)</f>
        <v>4.5602</v>
      </c>
      <c r="F149" s="33">
        <f>4.5602 * CHOOSE(CONTROL!$C$32, $C$9, 100%, $E$9)</f>
        <v>4.5602</v>
      </c>
      <c r="G149" s="33">
        <f>4.5638 * CHOOSE(CONTROL!$C$32, $C$9, 100%, $E$9)</f>
        <v>4.5637999999999996</v>
      </c>
      <c r="H149" s="33">
        <f>7.5141 * CHOOSE(CONTROL!$C$32, $C$9, 100%, $E$9)</f>
        <v>7.5141</v>
      </c>
      <c r="I149" s="33">
        <f>7.5177 * CHOOSE(CONTROL!$C$32, $C$9, 100%, $E$9)</f>
        <v>7.5176999999999996</v>
      </c>
      <c r="J149" s="33">
        <f>7.5141 * CHOOSE(CONTROL!$C$32, $C$9, 100%, $E$9)</f>
        <v>7.5141</v>
      </c>
      <c r="K149" s="33">
        <f>7.5177 * CHOOSE(CONTROL!$C$32, $C$9, 100%, $E$9)</f>
        <v>7.5176999999999996</v>
      </c>
      <c r="L149" s="33">
        <f>4.5602 * CHOOSE(CONTROL!$C$32, $C$9, 100%, $E$9)</f>
        <v>4.5602</v>
      </c>
      <c r="M149" s="33">
        <f>4.5638 * CHOOSE(CONTROL!$C$32, $C$9, 100%, $E$9)</f>
        <v>4.5637999999999996</v>
      </c>
      <c r="N149" s="33">
        <f>4.5602 * CHOOSE(CONTROL!$C$32, $C$9, 100%, $E$9)</f>
        <v>4.5602</v>
      </c>
      <c r="O149" s="33">
        <f>4.5638 * CHOOSE(CONTROL!$C$32, $C$9, 100%, $E$9)</f>
        <v>4.5637999999999996</v>
      </c>
      <c r="P149" s="10"/>
      <c r="Q149" s="10"/>
      <c r="R149" s="10"/>
    </row>
    <row r="150" spans="1:18" ht="15" x14ac:dyDescent="0.2">
      <c r="A150" s="16">
        <v>45413</v>
      </c>
      <c r="B150" s="32">
        <f>3.597 * CHOOSE(CONTROL!$C$32, $C$9, 100%, $E$9)</f>
        <v>3.597</v>
      </c>
      <c r="C150" s="32">
        <f>3.597 * CHOOSE(CONTROL!$C$32, $C$9, 100%, $E$9)</f>
        <v>3.597</v>
      </c>
      <c r="D150" s="32">
        <f>3.5986 * CHOOSE(CONTROL!$C$32, $C$9, 100%, $E$9)</f>
        <v>3.5985999999999998</v>
      </c>
      <c r="E150" s="33">
        <f>4.5602 * CHOOSE(CONTROL!$C$32, $C$9, 100%, $E$9)</f>
        <v>4.5602</v>
      </c>
      <c r="F150" s="33">
        <f>4.5602 * CHOOSE(CONTROL!$C$32, $C$9, 100%, $E$9)</f>
        <v>4.5602</v>
      </c>
      <c r="G150" s="33">
        <f>4.5654 * CHOOSE(CONTROL!$C$32, $C$9, 100%, $E$9)</f>
        <v>4.5654000000000003</v>
      </c>
      <c r="H150" s="33">
        <f>7.5298 * CHOOSE(CONTROL!$C$32, $C$9, 100%, $E$9)</f>
        <v>7.5297999999999998</v>
      </c>
      <c r="I150" s="33">
        <f>7.5351 * CHOOSE(CONTROL!$C$32, $C$9, 100%, $E$9)</f>
        <v>7.5350999999999999</v>
      </c>
      <c r="J150" s="33">
        <f>7.5298 * CHOOSE(CONTROL!$C$32, $C$9, 100%, $E$9)</f>
        <v>7.5297999999999998</v>
      </c>
      <c r="K150" s="33">
        <f>7.5351 * CHOOSE(CONTROL!$C$32, $C$9, 100%, $E$9)</f>
        <v>7.5350999999999999</v>
      </c>
      <c r="L150" s="33">
        <f>4.5602 * CHOOSE(CONTROL!$C$32, $C$9, 100%, $E$9)</f>
        <v>4.5602</v>
      </c>
      <c r="M150" s="33">
        <f>4.5654 * CHOOSE(CONTROL!$C$32, $C$9, 100%, $E$9)</f>
        <v>4.5654000000000003</v>
      </c>
      <c r="N150" s="33">
        <f>4.5602 * CHOOSE(CONTROL!$C$32, $C$9, 100%, $E$9)</f>
        <v>4.5602</v>
      </c>
      <c r="O150" s="33">
        <f>4.5654 * CHOOSE(CONTROL!$C$32, $C$9, 100%, $E$9)</f>
        <v>4.5654000000000003</v>
      </c>
      <c r="P150" s="10"/>
      <c r="Q150" s="10"/>
      <c r="R150" s="10"/>
    </row>
    <row r="151" spans="1:18" ht="15" x14ac:dyDescent="0.2">
      <c r="A151" s="16">
        <v>45444</v>
      </c>
      <c r="B151" s="32">
        <f>3.6031 * CHOOSE(CONTROL!$C$32, $C$9, 100%, $E$9)</f>
        <v>3.6031</v>
      </c>
      <c r="C151" s="32">
        <f>3.6031 * CHOOSE(CONTROL!$C$32, $C$9, 100%, $E$9)</f>
        <v>3.6031</v>
      </c>
      <c r="D151" s="32">
        <f>3.6047 * CHOOSE(CONTROL!$C$32, $C$9, 100%, $E$9)</f>
        <v>3.6046999999999998</v>
      </c>
      <c r="E151" s="33">
        <f>4.5642 * CHOOSE(CONTROL!$C$32, $C$9, 100%, $E$9)</f>
        <v>4.5641999999999996</v>
      </c>
      <c r="F151" s="33">
        <f>4.5642 * CHOOSE(CONTROL!$C$32, $C$9, 100%, $E$9)</f>
        <v>4.5641999999999996</v>
      </c>
      <c r="G151" s="33">
        <f>4.5694 * CHOOSE(CONTROL!$C$32, $C$9, 100%, $E$9)</f>
        <v>4.5693999999999999</v>
      </c>
      <c r="H151" s="33">
        <f>7.5455 * CHOOSE(CONTROL!$C$32, $C$9, 100%, $E$9)</f>
        <v>7.5454999999999997</v>
      </c>
      <c r="I151" s="33">
        <f>7.5508 * CHOOSE(CONTROL!$C$32, $C$9, 100%, $E$9)</f>
        <v>7.5507999999999997</v>
      </c>
      <c r="J151" s="33">
        <f>7.5455 * CHOOSE(CONTROL!$C$32, $C$9, 100%, $E$9)</f>
        <v>7.5454999999999997</v>
      </c>
      <c r="K151" s="33">
        <f>7.5508 * CHOOSE(CONTROL!$C$32, $C$9, 100%, $E$9)</f>
        <v>7.5507999999999997</v>
      </c>
      <c r="L151" s="33">
        <f>4.5642 * CHOOSE(CONTROL!$C$32, $C$9, 100%, $E$9)</f>
        <v>4.5641999999999996</v>
      </c>
      <c r="M151" s="33">
        <f>4.5694 * CHOOSE(CONTROL!$C$32, $C$9, 100%, $E$9)</f>
        <v>4.5693999999999999</v>
      </c>
      <c r="N151" s="33">
        <f>4.5642 * CHOOSE(CONTROL!$C$32, $C$9, 100%, $E$9)</f>
        <v>4.5641999999999996</v>
      </c>
      <c r="O151" s="33">
        <f>4.5694 * CHOOSE(CONTROL!$C$32, $C$9, 100%, $E$9)</f>
        <v>4.5693999999999999</v>
      </c>
      <c r="P151" s="10"/>
      <c r="Q151" s="10"/>
      <c r="R151" s="10"/>
    </row>
    <row r="152" spans="1:18" ht="15" x14ac:dyDescent="0.2">
      <c r="A152" s="16">
        <v>45474</v>
      </c>
      <c r="B152" s="32">
        <f>3.6559 * CHOOSE(CONTROL!$C$32, $C$9, 100%, $E$9)</f>
        <v>3.6558999999999999</v>
      </c>
      <c r="C152" s="32">
        <f>3.6559 * CHOOSE(CONTROL!$C$32, $C$9, 100%, $E$9)</f>
        <v>3.6558999999999999</v>
      </c>
      <c r="D152" s="32">
        <f>3.6575 * CHOOSE(CONTROL!$C$32, $C$9, 100%, $E$9)</f>
        <v>3.6575000000000002</v>
      </c>
      <c r="E152" s="33">
        <f>4.6521 * CHOOSE(CONTROL!$C$32, $C$9, 100%, $E$9)</f>
        <v>4.6520999999999999</v>
      </c>
      <c r="F152" s="33">
        <f>4.6521 * CHOOSE(CONTROL!$C$32, $C$9, 100%, $E$9)</f>
        <v>4.6520999999999999</v>
      </c>
      <c r="G152" s="33">
        <f>4.6574 * CHOOSE(CONTROL!$C$32, $C$9, 100%, $E$9)</f>
        <v>4.6574</v>
      </c>
      <c r="H152" s="33">
        <f>7.5612 * CHOOSE(CONTROL!$C$32, $C$9, 100%, $E$9)</f>
        <v>7.5612000000000004</v>
      </c>
      <c r="I152" s="33">
        <f>7.5665 * CHOOSE(CONTROL!$C$32, $C$9, 100%, $E$9)</f>
        <v>7.5664999999999996</v>
      </c>
      <c r="J152" s="33">
        <f>7.5612 * CHOOSE(CONTROL!$C$32, $C$9, 100%, $E$9)</f>
        <v>7.5612000000000004</v>
      </c>
      <c r="K152" s="33">
        <f>7.5665 * CHOOSE(CONTROL!$C$32, $C$9, 100%, $E$9)</f>
        <v>7.5664999999999996</v>
      </c>
      <c r="L152" s="33">
        <f>4.6521 * CHOOSE(CONTROL!$C$32, $C$9, 100%, $E$9)</f>
        <v>4.6520999999999999</v>
      </c>
      <c r="M152" s="33">
        <f>4.6574 * CHOOSE(CONTROL!$C$32, $C$9, 100%, $E$9)</f>
        <v>4.6574</v>
      </c>
      <c r="N152" s="33">
        <f>4.6521 * CHOOSE(CONTROL!$C$32, $C$9, 100%, $E$9)</f>
        <v>4.6520999999999999</v>
      </c>
      <c r="O152" s="33">
        <f>4.6574 * CHOOSE(CONTROL!$C$32, $C$9, 100%, $E$9)</f>
        <v>4.6574</v>
      </c>
      <c r="P152" s="10"/>
      <c r="Q152" s="10"/>
      <c r="R152" s="10"/>
    </row>
    <row r="153" spans="1:18" ht="15" x14ac:dyDescent="0.2">
      <c r="A153" s="16">
        <v>45505</v>
      </c>
      <c r="B153" s="32">
        <f>3.6626 * CHOOSE(CONTROL!$C$32, $C$9, 100%, $E$9)</f>
        <v>3.6625999999999999</v>
      </c>
      <c r="C153" s="32">
        <f>3.6626 * CHOOSE(CONTROL!$C$32, $C$9, 100%, $E$9)</f>
        <v>3.6625999999999999</v>
      </c>
      <c r="D153" s="32">
        <f>3.6642 * CHOOSE(CONTROL!$C$32, $C$9, 100%, $E$9)</f>
        <v>3.6642000000000001</v>
      </c>
      <c r="E153" s="33">
        <f>4.6565 * CHOOSE(CONTROL!$C$32, $C$9, 100%, $E$9)</f>
        <v>4.6565000000000003</v>
      </c>
      <c r="F153" s="33">
        <f>4.6565 * CHOOSE(CONTROL!$C$32, $C$9, 100%, $E$9)</f>
        <v>4.6565000000000003</v>
      </c>
      <c r="G153" s="33">
        <f>4.6618 * CHOOSE(CONTROL!$C$32, $C$9, 100%, $E$9)</f>
        <v>4.6618000000000004</v>
      </c>
      <c r="H153" s="33">
        <f>7.5769 * CHOOSE(CONTROL!$C$32, $C$9, 100%, $E$9)</f>
        <v>7.5769000000000002</v>
      </c>
      <c r="I153" s="33">
        <f>7.5822 * CHOOSE(CONTROL!$C$32, $C$9, 100%, $E$9)</f>
        <v>7.5822000000000003</v>
      </c>
      <c r="J153" s="33">
        <f>7.5769 * CHOOSE(CONTROL!$C$32, $C$9, 100%, $E$9)</f>
        <v>7.5769000000000002</v>
      </c>
      <c r="K153" s="33">
        <f>7.5822 * CHOOSE(CONTROL!$C$32, $C$9, 100%, $E$9)</f>
        <v>7.5822000000000003</v>
      </c>
      <c r="L153" s="33">
        <f>4.6565 * CHOOSE(CONTROL!$C$32, $C$9, 100%, $E$9)</f>
        <v>4.6565000000000003</v>
      </c>
      <c r="M153" s="33">
        <f>4.6618 * CHOOSE(CONTROL!$C$32, $C$9, 100%, $E$9)</f>
        <v>4.6618000000000004</v>
      </c>
      <c r="N153" s="33">
        <f>4.6565 * CHOOSE(CONTROL!$C$32, $C$9, 100%, $E$9)</f>
        <v>4.6565000000000003</v>
      </c>
      <c r="O153" s="33">
        <f>4.6618 * CHOOSE(CONTROL!$C$32, $C$9, 100%, $E$9)</f>
        <v>4.6618000000000004</v>
      </c>
      <c r="P153" s="10"/>
      <c r="Q153" s="10"/>
      <c r="R153" s="10"/>
    </row>
    <row r="154" spans="1:18" ht="15" x14ac:dyDescent="0.2">
      <c r="A154" s="16">
        <v>45536</v>
      </c>
      <c r="B154" s="32">
        <f>3.6595 * CHOOSE(CONTROL!$C$32, $C$9, 100%, $E$9)</f>
        <v>3.6595</v>
      </c>
      <c r="C154" s="32">
        <f>3.6595 * CHOOSE(CONTROL!$C$32, $C$9, 100%, $E$9)</f>
        <v>3.6595</v>
      </c>
      <c r="D154" s="32">
        <f>3.6611 * CHOOSE(CONTROL!$C$32, $C$9, 100%, $E$9)</f>
        <v>3.6610999999999998</v>
      </c>
      <c r="E154" s="33">
        <f>4.6545 * CHOOSE(CONTROL!$C$32, $C$9, 100%, $E$9)</f>
        <v>4.6544999999999996</v>
      </c>
      <c r="F154" s="33">
        <f>4.6545 * CHOOSE(CONTROL!$C$32, $C$9, 100%, $E$9)</f>
        <v>4.6544999999999996</v>
      </c>
      <c r="G154" s="33">
        <f>4.6598 * CHOOSE(CONTROL!$C$32, $C$9, 100%, $E$9)</f>
        <v>4.6597999999999997</v>
      </c>
      <c r="H154" s="33">
        <f>7.5927 * CHOOSE(CONTROL!$C$32, $C$9, 100%, $E$9)</f>
        <v>7.5926999999999998</v>
      </c>
      <c r="I154" s="33">
        <f>7.598 * CHOOSE(CONTROL!$C$32, $C$9, 100%, $E$9)</f>
        <v>7.5979999999999999</v>
      </c>
      <c r="J154" s="33">
        <f>7.5927 * CHOOSE(CONTROL!$C$32, $C$9, 100%, $E$9)</f>
        <v>7.5926999999999998</v>
      </c>
      <c r="K154" s="33">
        <f>7.598 * CHOOSE(CONTROL!$C$32, $C$9, 100%, $E$9)</f>
        <v>7.5979999999999999</v>
      </c>
      <c r="L154" s="33">
        <f>4.6545 * CHOOSE(CONTROL!$C$32, $C$9, 100%, $E$9)</f>
        <v>4.6544999999999996</v>
      </c>
      <c r="M154" s="33">
        <f>4.6598 * CHOOSE(CONTROL!$C$32, $C$9, 100%, $E$9)</f>
        <v>4.6597999999999997</v>
      </c>
      <c r="N154" s="33">
        <f>4.6545 * CHOOSE(CONTROL!$C$32, $C$9, 100%, $E$9)</f>
        <v>4.6544999999999996</v>
      </c>
      <c r="O154" s="33">
        <f>4.6598 * CHOOSE(CONTROL!$C$32, $C$9, 100%, $E$9)</f>
        <v>4.6597999999999997</v>
      </c>
      <c r="P154" s="10"/>
      <c r="Q154" s="10"/>
      <c r="R154" s="10"/>
    </row>
    <row r="155" spans="1:18" ht="15" x14ac:dyDescent="0.2">
      <c r="A155" s="16">
        <v>45566</v>
      </c>
      <c r="B155" s="32">
        <f>3.6534 * CHOOSE(CONTROL!$C$32, $C$9, 100%, $E$9)</f>
        <v>3.6534</v>
      </c>
      <c r="C155" s="32">
        <f>3.6534 * CHOOSE(CONTROL!$C$32, $C$9, 100%, $E$9)</f>
        <v>3.6534</v>
      </c>
      <c r="D155" s="32">
        <f>3.6545 * CHOOSE(CONTROL!$C$32, $C$9, 100%, $E$9)</f>
        <v>3.6545000000000001</v>
      </c>
      <c r="E155" s="33">
        <f>4.6486 * CHOOSE(CONTROL!$C$32, $C$9, 100%, $E$9)</f>
        <v>4.6486000000000001</v>
      </c>
      <c r="F155" s="33">
        <f>4.6486 * CHOOSE(CONTROL!$C$32, $C$9, 100%, $E$9)</f>
        <v>4.6486000000000001</v>
      </c>
      <c r="G155" s="33">
        <f>4.6522 * CHOOSE(CONTROL!$C$32, $C$9, 100%, $E$9)</f>
        <v>4.6521999999999997</v>
      </c>
      <c r="H155" s="33">
        <f>7.6085 * CHOOSE(CONTROL!$C$32, $C$9, 100%, $E$9)</f>
        <v>7.6085000000000003</v>
      </c>
      <c r="I155" s="33">
        <f>7.6122 * CHOOSE(CONTROL!$C$32, $C$9, 100%, $E$9)</f>
        <v>7.6121999999999996</v>
      </c>
      <c r="J155" s="33">
        <f>7.6085 * CHOOSE(CONTROL!$C$32, $C$9, 100%, $E$9)</f>
        <v>7.6085000000000003</v>
      </c>
      <c r="K155" s="33">
        <f>7.6122 * CHOOSE(CONTROL!$C$32, $C$9, 100%, $E$9)</f>
        <v>7.6121999999999996</v>
      </c>
      <c r="L155" s="33">
        <f>4.6486 * CHOOSE(CONTROL!$C$32, $C$9, 100%, $E$9)</f>
        <v>4.6486000000000001</v>
      </c>
      <c r="M155" s="33">
        <f>4.6522 * CHOOSE(CONTROL!$C$32, $C$9, 100%, $E$9)</f>
        <v>4.6521999999999997</v>
      </c>
      <c r="N155" s="33">
        <f>4.6486 * CHOOSE(CONTROL!$C$32, $C$9, 100%, $E$9)</f>
        <v>4.6486000000000001</v>
      </c>
      <c r="O155" s="33">
        <f>4.6522 * CHOOSE(CONTROL!$C$32, $C$9, 100%, $E$9)</f>
        <v>4.6521999999999997</v>
      </c>
      <c r="P155" s="10"/>
      <c r="Q155" s="10"/>
      <c r="R155" s="10"/>
    </row>
    <row r="156" spans="1:18" ht="15" x14ac:dyDescent="0.2">
      <c r="A156" s="16">
        <v>45597</v>
      </c>
      <c r="B156" s="32">
        <f>3.6565 * CHOOSE(CONTROL!$C$32, $C$9, 100%, $E$9)</f>
        <v>3.6564999999999999</v>
      </c>
      <c r="C156" s="32">
        <f>3.6565 * CHOOSE(CONTROL!$C$32, $C$9, 100%, $E$9)</f>
        <v>3.6564999999999999</v>
      </c>
      <c r="D156" s="32">
        <f>3.6576 * CHOOSE(CONTROL!$C$32, $C$9, 100%, $E$9)</f>
        <v>3.6576</v>
      </c>
      <c r="E156" s="33">
        <f>4.6506 * CHOOSE(CONTROL!$C$32, $C$9, 100%, $E$9)</f>
        <v>4.6505999999999998</v>
      </c>
      <c r="F156" s="33">
        <f>4.6506 * CHOOSE(CONTROL!$C$32, $C$9, 100%, $E$9)</f>
        <v>4.6505999999999998</v>
      </c>
      <c r="G156" s="33">
        <f>4.6542 * CHOOSE(CONTROL!$C$32, $C$9, 100%, $E$9)</f>
        <v>4.6542000000000003</v>
      </c>
      <c r="H156" s="33">
        <f>7.6244 * CHOOSE(CONTROL!$C$32, $C$9, 100%, $E$9)</f>
        <v>7.6243999999999996</v>
      </c>
      <c r="I156" s="33">
        <f>7.628 * CHOOSE(CONTROL!$C$32, $C$9, 100%, $E$9)</f>
        <v>7.6280000000000001</v>
      </c>
      <c r="J156" s="33">
        <f>7.6244 * CHOOSE(CONTROL!$C$32, $C$9, 100%, $E$9)</f>
        <v>7.6243999999999996</v>
      </c>
      <c r="K156" s="33">
        <f>7.628 * CHOOSE(CONTROL!$C$32, $C$9, 100%, $E$9)</f>
        <v>7.6280000000000001</v>
      </c>
      <c r="L156" s="33">
        <f>4.6506 * CHOOSE(CONTROL!$C$32, $C$9, 100%, $E$9)</f>
        <v>4.6505999999999998</v>
      </c>
      <c r="M156" s="33">
        <f>4.6542 * CHOOSE(CONTROL!$C$32, $C$9, 100%, $E$9)</f>
        <v>4.6542000000000003</v>
      </c>
      <c r="N156" s="33">
        <f>4.6506 * CHOOSE(CONTROL!$C$32, $C$9, 100%, $E$9)</f>
        <v>4.6505999999999998</v>
      </c>
      <c r="O156" s="33">
        <f>4.6542 * CHOOSE(CONTROL!$C$32, $C$9, 100%, $E$9)</f>
        <v>4.6542000000000003</v>
      </c>
      <c r="P156" s="10"/>
      <c r="Q156" s="10"/>
      <c r="R156" s="10"/>
    </row>
    <row r="157" spans="1:18" ht="15" x14ac:dyDescent="0.2">
      <c r="A157" s="16">
        <v>45627</v>
      </c>
      <c r="B157" s="32">
        <f>3.6565 * CHOOSE(CONTROL!$C$32, $C$9, 100%, $E$9)</f>
        <v>3.6564999999999999</v>
      </c>
      <c r="C157" s="32">
        <f>3.6565 * CHOOSE(CONTROL!$C$32, $C$9, 100%, $E$9)</f>
        <v>3.6564999999999999</v>
      </c>
      <c r="D157" s="32">
        <f>3.6576 * CHOOSE(CONTROL!$C$32, $C$9, 100%, $E$9)</f>
        <v>3.6576</v>
      </c>
      <c r="E157" s="33">
        <f>4.6506 * CHOOSE(CONTROL!$C$32, $C$9, 100%, $E$9)</f>
        <v>4.6505999999999998</v>
      </c>
      <c r="F157" s="33">
        <f>4.6506 * CHOOSE(CONTROL!$C$32, $C$9, 100%, $E$9)</f>
        <v>4.6505999999999998</v>
      </c>
      <c r="G157" s="33">
        <f>4.6542 * CHOOSE(CONTROL!$C$32, $C$9, 100%, $E$9)</f>
        <v>4.6542000000000003</v>
      </c>
      <c r="H157" s="33">
        <f>7.6403 * CHOOSE(CONTROL!$C$32, $C$9, 100%, $E$9)</f>
        <v>7.6402999999999999</v>
      </c>
      <c r="I157" s="33">
        <f>7.6439 * CHOOSE(CONTROL!$C$32, $C$9, 100%, $E$9)</f>
        <v>7.6439000000000004</v>
      </c>
      <c r="J157" s="33">
        <f>7.6403 * CHOOSE(CONTROL!$C$32, $C$9, 100%, $E$9)</f>
        <v>7.6402999999999999</v>
      </c>
      <c r="K157" s="33">
        <f>7.6439 * CHOOSE(CONTROL!$C$32, $C$9, 100%, $E$9)</f>
        <v>7.6439000000000004</v>
      </c>
      <c r="L157" s="33">
        <f>4.6506 * CHOOSE(CONTROL!$C$32, $C$9, 100%, $E$9)</f>
        <v>4.6505999999999998</v>
      </c>
      <c r="M157" s="33">
        <f>4.6542 * CHOOSE(CONTROL!$C$32, $C$9, 100%, $E$9)</f>
        <v>4.6542000000000003</v>
      </c>
      <c r="N157" s="33">
        <f>4.6506 * CHOOSE(CONTROL!$C$32, $C$9, 100%, $E$9)</f>
        <v>4.6505999999999998</v>
      </c>
      <c r="O157" s="33">
        <f>4.6542 * CHOOSE(CONTROL!$C$32, $C$9, 100%, $E$9)</f>
        <v>4.6542000000000003</v>
      </c>
      <c r="P157" s="10"/>
      <c r="Q157" s="10"/>
      <c r="R157" s="10"/>
    </row>
    <row r="158" spans="1:18" ht="15" x14ac:dyDescent="0.2">
      <c r="A158" s="16">
        <v>45658</v>
      </c>
      <c r="B158" s="32">
        <f>3.691 * CHOOSE(CONTROL!$C$32, $C$9, 100%, $E$9)</f>
        <v>3.6909999999999998</v>
      </c>
      <c r="C158" s="32">
        <f>3.691 * CHOOSE(CONTROL!$C$32, $C$9, 100%, $E$9)</f>
        <v>3.6909999999999998</v>
      </c>
      <c r="D158" s="32">
        <f>3.6921 * CHOOSE(CONTROL!$C$32, $C$9, 100%, $E$9)</f>
        <v>3.6920999999999999</v>
      </c>
      <c r="E158" s="33">
        <f>4.6908 * CHOOSE(CONTROL!$C$32, $C$9, 100%, $E$9)</f>
        <v>4.6908000000000003</v>
      </c>
      <c r="F158" s="33">
        <f>4.6908 * CHOOSE(CONTROL!$C$32, $C$9, 100%, $E$9)</f>
        <v>4.6908000000000003</v>
      </c>
      <c r="G158" s="33">
        <f>4.6945 * CHOOSE(CONTROL!$C$32, $C$9, 100%, $E$9)</f>
        <v>4.6944999999999997</v>
      </c>
      <c r="H158" s="33">
        <f>7.6562 * CHOOSE(CONTROL!$C$32, $C$9, 100%, $E$9)</f>
        <v>7.6562000000000001</v>
      </c>
      <c r="I158" s="33">
        <f>7.6598 * CHOOSE(CONTROL!$C$32, $C$9, 100%, $E$9)</f>
        <v>7.6597999999999997</v>
      </c>
      <c r="J158" s="33">
        <f>7.6562 * CHOOSE(CONTROL!$C$32, $C$9, 100%, $E$9)</f>
        <v>7.6562000000000001</v>
      </c>
      <c r="K158" s="33">
        <f>7.6598 * CHOOSE(CONTROL!$C$32, $C$9, 100%, $E$9)</f>
        <v>7.6597999999999997</v>
      </c>
      <c r="L158" s="33">
        <f>4.6908 * CHOOSE(CONTROL!$C$32, $C$9, 100%, $E$9)</f>
        <v>4.6908000000000003</v>
      </c>
      <c r="M158" s="33">
        <f>4.6945 * CHOOSE(CONTROL!$C$32, $C$9, 100%, $E$9)</f>
        <v>4.6944999999999997</v>
      </c>
      <c r="N158" s="33">
        <f>4.6908 * CHOOSE(CONTROL!$C$32, $C$9, 100%, $E$9)</f>
        <v>4.6908000000000003</v>
      </c>
      <c r="O158" s="33">
        <f>4.6945 * CHOOSE(CONTROL!$C$32, $C$9, 100%, $E$9)</f>
        <v>4.6944999999999997</v>
      </c>
      <c r="P158" s="10"/>
      <c r="Q158" s="10"/>
      <c r="R158" s="10"/>
    </row>
    <row r="159" spans="1:18" ht="15" x14ac:dyDescent="0.2">
      <c r="A159" s="16">
        <v>45689</v>
      </c>
      <c r="B159" s="32">
        <f>3.688 * CHOOSE(CONTROL!$C$32, $C$9, 100%, $E$9)</f>
        <v>3.6880000000000002</v>
      </c>
      <c r="C159" s="32">
        <f>3.688 * CHOOSE(CONTROL!$C$32, $C$9, 100%, $E$9)</f>
        <v>3.6880000000000002</v>
      </c>
      <c r="D159" s="32">
        <f>3.6891 * CHOOSE(CONTROL!$C$32, $C$9, 100%, $E$9)</f>
        <v>3.6890999999999998</v>
      </c>
      <c r="E159" s="33">
        <f>4.6888 * CHOOSE(CONTROL!$C$32, $C$9, 100%, $E$9)</f>
        <v>4.6887999999999996</v>
      </c>
      <c r="F159" s="33">
        <f>4.6888 * CHOOSE(CONTROL!$C$32, $C$9, 100%, $E$9)</f>
        <v>4.6887999999999996</v>
      </c>
      <c r="G159" s="33">
        <f>4.6925 * CHOOSE(CONTROL!$C$32, $C$9, 100%, $E$9)</f>
        <v>4.6924999999999999</v>
      </c>
      <c r="H159" s="33">
        <f>7.6721 * CHOOSE(CONTROL!$C$32, $C$9, 100%, $E$9)</f>
        <v>7.6721000000000004</v>
      </c>
      <c r="I159" s="33">
        <f>7.6758 * CHOOSE(CONTROL!$C$32, $C$9, 100%, $E$9)</f>
        <v>7.6757999999999997</v>
      </c>
      <c r="J159" s="33">
        <f>7.6721 * CHOOSE(CONTROL!$C$32, $C$9, 100%, $E$9)</f>
        <v>7.6721000000000004</v>
      </c>
      <c r="K159" s="33">
        <f>7.6758 * CHOOSE(CONTROL!$C$32, $C$9, 100%, $E$9)</f>
        <v>7.6757999999999997</v>
      </c>
      <c r="L159" s="33">
        <f>4.6888 * CHOOSE(CONTROL!$C$32, $C$9, 100%, $E$9)</f>
        <v>4.6887999999999996</v>
      </c>
      <c r="M159" s="33">
        <f>4.6925 * CHOOSE(CONTROL!$C$32, $C$9, 100%, $E$9)</f>
        <v>4.6924999999999999</v>
      </c>
      <c r="N159" s="33">
        <f>4.6888 * CHOOSE(CONTROL!$C$32, $C$9, 100%, $E$9)</f>
        <v>4.6887999999999996</v>
      </c>
      <c r="O159" s="33">
        <f>4.6925 * CHOOSE(CONTROL!$C$32, $C$9, 100%, $E$9)</f>
        <v>4.6924999999999999</v>
      </c>
      <c r="P159" s="10"/>
      <c r="Q159" s="10"/>
      <c r="R159" s="10"/>
    </row>
    <row r="160" spans="1:18" ht="15" x14ac:dyDescent="0.2">
      <c r="A160" s="16">
        <v>45717</v>
      </c>
      <c r="B160" s="32">
        <f>3.685 * CHOOSE(CONTROL!$C$32, $C$9, 100%, $E$9)</f>
        <v>3.6850000000000001</v>
      </c>
      <c r="C160" s="32">
        <f>3.685 * CHOOSE(CONTROL!$C$32, $C$9, 100%, $E$9)</f>
        <v>3.6850000000000001</v>
      </c>
      <c r="D160" s="32">
        <f>3.686 * CHOOSE(CONTROL!$C$32, $C$9, 100%, $E$9)</f>
        <v>3.6859999999999999</v>
      </c>
      <c r="E160" s="33">
        <f>4.6868 * CHOOSE(CONTROL!$C$32, $C$9, 100%, $E$9)</f>
        <v>4.6867999999999999</v>
      </c>
      <c r="F160" s="33">
        <f>4.6868 * CHOOSE(CONTROL!$C$32, $C$9, 100%, $E$9)</f>
        <v>4.6867999999999999</v>
      </c>
      <c r="G160" s="33">
        <f>4.6905 * CHOOSE(CONTROL!$C$32, $C$9, 100%, $E$9)</f>
        <v>4.6905000000000001</v>
      </c>
      <c r="H160" s="33">
        <f>7.6881 * CHOOSE(CONTROL!$C$32, $C$9, 100%, $E$9)</f>
        <v>7.6881000000000004</v>
      </c>
      <c r="I160" s="33">
        <f>7.6917 * CHOOSE(CONTROL!$C$32, $C$9, 100%, $E$9)</f>
        <v>7.6917</v>
      </c>
      <c r="J160" s="33">
        <f>7.6881 * CHOOSE(CONTROL!$C$32, $C$9, 100%, $E$9)</f>
        <v>7.6881000000000004</v>
      </c>
      <c r="K160" s="33">
        <f>7.6917 * CHOOSE(CONTROL!$C$32, $C$9, 100%, $E$9)</f>
        <v>7.6917</v>
      </c>
      <c r="L160" s="33">
        <f>4.6868 * CHOOSE(CONTROL!$C$32, $C$9, 100%, $E$9)</f>
        <v>4.6867999999999999</v>
      </c>
      <c r="M160" s="33">
        <f>4.6905 * CHOOSE(CONTROL!$C$32, $C$9, 100%, $E$9)</f>
        <v>4.6905000000000001</v>
      </c>
      <c r="N160" s="33">
        <f>4.6868 * CHOOSE(CONTROL!$C$32, $C$9, 100%, $E$9)</f>
        <v>4.6867999999999999</v>
      </c>
      <c r="O160" s="33">
        <f>4.6905 * CHOOSE(CONTROL!$C$32, $C$9, 100%, $E$9)</f>
        <v>4.6905000000000001</v>
      </c>
      <c r="P160" s="10"/>
      <c r="Q160" s="10"/>
      <c r="R160" s="10"/>
    </row>
    <row r="161" spans="1:18" ht="15" x14ac:dyDescent="0.2">
      <c r="A161" s="16">
        <v>45748</v>
      </c>
      <c r="B161" s="32">
        <f>3.6823 * CHOOSE(CONTROL!$C$32, $C$9, 100%, $E$9)</f>
        <v>3.6823000000000001</v>
      </c>
      <c r="C161" s="32">
        <f>3.6823 * CHOOSE(CONTROL!$C$32, $C$9, 100%, $E$9)</f>
        <v>3.6823000000000001</v>
      </c>
      <c r="D161" s="32">
        <f>3.6834 * CHOOSE(CONTROL!$C$32, $C$9, 100%, $E$9)</f>
        <v>3.6833999999999998</v>
      </c>
      <c r="E161" s="33">
        <f>4.6846 * CHOOSE(CONTROL!$C$32, $C$9, 100%, $E$9)</f>
        <v>4.6845999999999997</v>
      </c>
      <c r="F161" s="33">
        <f>4.6846 * CHOOSE(CONTROL!$C$32, $C$9, 100%, $E$9)</f>
        <v>4.6845999999999997</v>
      </c>
      <c r="G161" s="33">
        <f>4.6882 * CHOOSE(CONTROL!$C$32, $C$9, 100%, $E$9)</f>
        <v>4.6882000000000001</v>
      </c>
      <c r="H161" s="33">
        <f>7.7041 * CHOOSE(CONTROL!$C$32, $C$9, 100%, $E$9)</f>
        <v>7.7041000000000004</v>
      </c>
      <c r="I161" s="33">
        <f>7.7078 * CHOOSE(CONTROL!$C$32, $C$9, 100%, $E$9)</f>
        <v>7.7077999999999998</v>
      </c>
      <c r="J161" s="33">
        <f>7.7041 * CHOOSE(CONTROL!$C$32, $C$9, 100%, $E$9)</f>
        <v>7.7041000000000004</v>
      </c>
      <c r="K161" s="33">
        <f>7.7078 * CHOOSE(CONTROL!$C$32, $C$9, 100%, $E$9)</f>
        <v>7.7077999999999998</v>
      </c>
      <c r="L161" s="33">
        <f>4.6846 * CHOOSE(CONTROL!$C$32, $C$9, 100%, $E$9)</f>
        <v>4.6845999999999997</v>
      </c>
      <c r="M161" s="33">
        <f>4.6882 * CHOOSE(CONTROL!$C$32, $C$9, 100%, $E$9)</f>
        <v>4.6882000000000001</v>
      </c>
      <c r="N161" s="33">
        <f>4.6846 * CHOOSE(CONTROL!$C$32, $C$9, 100%, $E$9)</f>
        <v>4.6845999999999997</v>
      </c>
      <c r="O161" s="33">
        <f>4.6882 * CHOOSE(CONTROL!$C$32, $C$9, 100%, $E$9)</f>
        <v>4.6882000000000001</v>
      </c>
      <c r="P161" s="10"/>
      <c r="Q161" s="10"/>
      <c r="R161" s="10"/>
    </row>
    <row r="162" spans="1:18" ht="15" x14ac:dyDescent="0.2">
      <c r="A162" s="16">
        <v>45778</v>
      </c>
      <c r="B162" s="32">
        <f>3.6823 * CHOOSE(CONTROL!$C$32, $C$9, 100%, $E$9)</f>
        <v>3.6823000000000001</v>
      </c>
      <c r="C162" s="32">
        <f>3.6823 * CHOOSE(CONTROL!$C$32, $C$9, 100%, $E$9)</f>
        <v>3.6823000000000001</v>
      </c>
      <c r="D162" s="32">
        <f>3.6839 * CHOOSE(CONTROL!$C$32, $C$9, 100%, $E$9)</f>
        <v>3.6839</v>
      </c>
      <c r="E162" s="33">
        <f>4.6846 * CHOOSE(CONTROL!$C$32, $C$9, 100%, $E$9)</f>
        <v>4.6845999999999997</v>
      </c>
      <c r="F162" s="33">
        <f>4.6846 * CHOOSE(CONTROL!$C$32, $C$9, 100%, $E$9)</f>
        <v>4.6845999999999997</v>
      </c>
      <c r="G162" s="33">
        <f>4.6899 * CHOOSE(CONTROL!$C$32, $C$9, 100%, $E$9)</f>
        <v>4.6898999999999997</v>
      </c>
      <c r="H162" s="33">
        <f>7.7202 * CHOOSE(CONTROL!$C$32, $C$9, 100%, $E$9)</f>
        <v>7.7202000000000002</v>
      </c>
      <c r="I162" s="33">
        <f>7.7255 * CHOOSE(CONTROL!$C$32, $C$9, 100%, $E$9)</f>
        <v>7.7255000000000003</v>
      </c>
      <c r="J162" s="33">
        <f>7.7202 * CHOOSE(CONTROL!$C$32, $C$9, 100%, $E$9)</f>
        <v>7.7202000000000002</v>
      </c>
      <c r="K162" s="33">
        <f>7.7255 * CHOOSE(CONTROL!$C$32, $C$9, 100%, $E$9)</f>
        <v>7.7255000000000003</v>
      </c>
      <c r="L162" s="33">
        <f>4.6846 * CHOOSE(CONTROL!$C$32, $C$9, 100%, $E$9)</f>
        <v>4.6845999999999997</v>
      </c>
      <c r="M162" s="33">
        <f>4.6899 * CHOOSE(CONTROL!$C$32, $C$9, 100%, $E$9)</f>
        <v>4.6898999999999997</v>
      </c>
      <c r="N162" s="33">
        <f>4.6846 * CHOOSE(CONTROL!$C$32, $C$9, 100%, $E$9)</f>
        <v>4.6845999999999997</v>
      </c>
      <c r="O162" s="33">
        <f>4.6899 * CHOOSE(CONTROL!$C$32, $C$9, 100%, $E$9)</f>
        <v>4.6898999999999997</v>
      </c>
      <c r="P162" s="10"/>
      <c r="Q162" s="10"/>
      <c r="R162" s="10"/>
    </row>
    <row r="163" spans="1:18" ht="15" x14ac:dyDescent="0.2">
      <c r="A163" s="16">
        <v>45809</v>
      </c>
      <c r="B163" s="32">
        <f>3.6884 * CHOOSE(CONTROL!$C$32, $C$9, 100%, $E$9)</f>
        <v>3.6884000000000001</v>
      </c>
      <c r="C163" s="32">
        <f>3.6884 * CHOOSE(CONTROL!$C$32, $C$9, 100%, $E$9)</f>
        <v>3.6884000000000001</v>
      </c>
      <c r="D163" s="32">
        <f>3.69 * CHOOSE(CONTROL!$C$32, $C$9, 100%, $E$9)</f>
        <v>3.69</v>
      </c>
      <c r="E163" s="33">
        <f>4.6886 * CHOOSE(CONTROL!$C$32, $C$9, 100%, $E$9)</f>
        <v>4.6886000000000001</v>
      </c>
      <c r="F163" s="33">
        <f>4.6886 * CHOOSE(CONTROL!$C$32, $C$9, 100%, $E$9)</f>
        <v>4.6886000000000001</v>
      </c>
      <c r="G163" s="33">
        <f>4.6939 * CHOOSE(CONTROL!$C$32, $C$9, 100%, $E$9)</f>
        <v>4.6939000000000002</v>
      </c>
      <c r="H163" s="33">
        <f>7.7363 * CHOOSE(CONTROL!$C$32, $C$9, 100%, $E$9)</f>
        <v>7.7363</v>
      </c>
      <c r="I163" s="33">
        <f>7.7416 * CHOOSE(CONTROL!$C$32, $C$9, 100%, $E$9)</f>
        <v>7.7416</v>
      </c>
      <c r="J163" s="33">
        <f>7.7363 * CHOOSE(CONTROL!$C$32, $C$9, 100%, $E$9)</f>
        <v>7.7363</v>
      </c>
      <c r="K163" s="33">
        <f>7.7416 * CHOOSE(CONTROL!$C$32, $C$9, 100%, $E$9)</f>
        <v>7.7416</v>
      </c>
      <c r="L163" s="33">
        <f>4.6886 * CHOOSE(CONTROL!$C$32, $C$9, 100%, $E$9)</f>
        <v>4.6886000000000001</v>
      </c>
      <c r="M163" s="33">
        <f>4.6939 * CHOOSE(CONTROL!$C$32, $C$9, 100%, $E$9)</f>
        <v>4.6939000000000002</v>
      </c>
      <c r="N163" s="33">
        <f>4.6886 * CHOOSE(CONTROL!$C$32, $C$9, 100%, $E$9)</f>
        <v>4.6886000000000001</v>
      </c>
      <c r="O163" s="33">
        <f>4.6939 * CHOOSE(CONTROL!$C$32, $C$9, 100%, $E$9)</f>
        <v>4.6939000000000002</v>
      </c>
      <c r="P163" s="10"/>
      <c r="Q163" s="10"/>
      <c r="R163" s="10"/>
    </row>
    <row r="164" spans="1:18" ht="15" x14ac:dyDescent="0.2">
      <c r="A164" s="16">
        <v>45839</v>
      </c>
      <c r="B164" s="32">
        <f>3.7541 * CHOOSE(CONTROL!$C$32, $C$9, 100%, $E$9)</f>
        <v>3.7541000000000002</v>
      </c>
      <c r="C164" s="32">
        <f>3.7541 * CHOOSE(CONTROL!$C$32, $C$9, 100%, $E$9)</f>
        <v>3.7541000000000002</v>
      </c>
      <c r="D164" s="32">
        <f>3.7556 * CHOOSE(CONTROL!$C$32, $C$9, 100%, $E$9)</f>
        <v>3.7555999999999998</v>
      </c>
      <c r="E164" s="33">
        <f>4.7776 * CHOOSE(CONTROL!$C$32, $C$9, 100%, $E$9)</f>
        <v>4.7775999999999996</v>
      </c>
      <c r="F164" s="33">
        <f>4.7776 * CHOOSE(CONTROL!$C$32, $C$9, 100%, $E$9)</f>
        <v>4.7775999999999996</v>
      </c>
      <c r="G164" s="33">
        <f>4.7829 * CHOOSE(CONTROL!$C$32, $C$9, 100%, $E$9)</f>
        <v>4.7828999999999997</v>
      </c>
      <c r="H164" s="33">
        <f>7.7524 * CHOOSE(CONTROL!$C$32, $C$9, 100%, $E$9)</f>
        <v>7.7523999999999997</v>
      </c>
      <c r="I164" s="33">
        <f>7.7577 * CHOOSE(CONTROL!$C$32, $C$9, 100%, $E$9)</f>
        <v>7.7576999999999998</v>
      </c>
      <c r="J164" s="33">
        <f>7.7524 * CHOOSE(CONTROL!$C$32, $C$9, 100%, $E$9)</f>
        <v>7.7523999999999997</v>
      </c>
      <c r="K164" s="33">
        <f>7.7577 * CHOOSE(CONTROL!$C$32, $C$9, 100%, $E$9)</f>
        <v>7.7576999999999998</v>
      </c>
      <c r="L164" s="33">
        <f>4.7776 * CHOOSE(CONTROL!$C$32, $C$9, 100%, $E$9)</f>
        <v>4.7775999999999996</v>
      </c>
      <c r="M164" s="33">
        <f>4.7829 * CHOOSE(CONTROL!$C$32, $C$9, 100%, $E$9)</f>
        <v>4.7828999999999997</v>
      </c>
      <c r="N164" s="33">
        <f>4.7776 * CHOOSE(CONTROL!$C$32, $C$9, 100%, $E$9)</f>
        <v>4.7775999999999996</v>
      </c>
      <c r="O164" s="33">
        <f>4.7829 * CHOOSE(CONTROL!$C$32, $C$9, 100%, $E$9)</f>
        <v>4.7828999999999997</v>
      </c>
      <c r="P164" s="10"/>
      <c r="Q164" s="10"/>
      <c r="R164" s="10"/>
    </row>
    <row r="165" spans="1:18" ht="15" x14ac:dyDescent="0.2">
      <c r="A165" s="16">
        <v>45870</v>
      </c>
      <c r="B165" s="32">
        <f>3.7607 * CHOOSE(CONTROL!$C$32, $C$9, 100%, $E$9)</f>
        <v>3.7606999999999999</v>
      </c>
      <c r="C165" s="32">
        <f>3.7607 * CHOOSE(CONTROL!$C$32, $C$9, 100%, $E$9)</f>
        <v>3.7606999999999999</v>
      </c>
      <c r="D165" s="32">
        <f>3.7623 * CHOOSE(CONTROL!$C$32, $C$9, 100%, $E$9)</f>
        <v>3.7623000000000002</v>
      </c>
      <c r="E165" s="33">
        <f>4.782 * CHOOSE(CONTROL!$C$32, $C$9, 100%, $E$9)</f>
        <v>4.782</v>
      </c>
      <c r="F165" s="33">
        <f>4.782 * CHOOSE(CONTROL!$C$32, $C$9, 100%, $E$9)</f>
        <v>4.782</v>
      </c>
      <c r="G165" s="33">
        <f>4.7873 * CHOOSE(CONTROL!$C$32, $C$9, 100%, $E$9)</f>
        <v>4.7873000000000001</v>
      </c>
      <c r="H165" s="33">
        <f>7.7685 * CHOOSE(CONTROL!$C$32, $C$9, 100%, $E$9)</f>
        <v>7.7685000000000004</v>
      </c>
      <c r="I165" s="33">
        <f>7.7738 * CHOOSE(CONTROL!$C$32, $C$9, 100%, $E$9)</f>
        <v>7.7737999999999996</v>
      </c>
      <c r="J165" s="33">
        <f>7.7685 * CHOOSE(CONTROL!$C$32, $C$9, 100%, $E$9)</f>
        <v>7.7685000000000004</v>
      </c>
      <c r="K165" s="33">
        <f>7.7738 * CHOOSE(CONTROL!$C$32, $C$9, 100%, $E$9)</f>
        <v>7.7737999999999996</v>
      </c>
      <c r="L165" s="33">
        <f>4.782 * CHOOSE(CONTROL!$C$32, $C$9, 100%, $E$9)</f>
        <v>4.782</v>
      </c>
      <c r="M165" s="33">
        <f>4.7873 * CHOOSE(CONTROL!$C$32, $C$9, 100%, $E$9)</f>
        <v>4.7873000000000001</v>
      </c>
      <c r="N165" s="33">
        <f>4.782 * CHOOSE(CONTROL!$C$32, $C$9, 100%, $E$9)</f>
        <v>4.782</v>
      </c>
      <c r="O165" s="33">
        <f>4.7873 * CHOOSE(CONTROL!$C$32, $C$9, 100%, $E$9)</f>
        <v>4.7873000000000001</v>
      </c>
      <c r="P165" s="10"/>
      <c r="Q165" s="10"/>
      <c r="R165" s="10"/>
    </row>
    <row r="166" spans="1:18" ht="15" x14ac:dyDescent="0.2">
      <c r="A166" s="16">
        <v>45901</v>
      </c>
      <c r="B166" s="32">
        <f>3.7577 * CHOOSE(CONTROL!$C$32, $C$9, 100%, $E$9)</f>
        <v>3.7576999999999998</v>
      </c>
      <c r="C166" s="32">
        <f>3.7577 * CHOOSE(CONTROL!$C$32, $C$9, 100%, $E$9)</f>
        <v>3.7576999999999998</v>
      </c>
      <c r="D166" s="32">
        <f>3.7593 * CHOOSE(CONTROL!$C$32, $C$9, 100%, $E$9)</f>
        <v>3.7593000000000001</v>
      </c>
      <c r="E166" s="33">
        <f>4.78 * CHOOSE(CONTROL!$C$32, $C$9, 100%, $E$9)</f>
        <v>4.78</v>
      </c>
      <c r="F166" s="33">
        <f>4.78 * CHOOSE(CONTROL!$C$32, $C$9, 100%, $E$9)</f>
        <v>4.78</v>
      </c>
      <c r="G166" s="33">
        <f>4.7853 * CHOOSE(CONTROL!$C$32, $C$9, 100%, $E$9)</f>
        <v>4.7853000000000003</v>
      </c>
      <c r="H166" s="33">
        <f>7.7847 * CHOOSE(CONTROL!$C$32, $C$9, 100%, $E$9)</f>
        <v>7.7847</v>
      </c>
      <c r="I166" s="33">
        <f>7.79 * CHOOSE(CONTROL!$C$32, $C$9, 100%, $E$9)</f>
        <v>7.79</v>
      </c>
      <c r="J166" s="33">
        <f>7.7847 * CHOOSE(CONTROL!$C$32, $C$9, 100%, $E$9)</f>
        <v>7.7847</v>
      </c>
      <c r="K166" s="33">
        <f>7.79 * CHOOSE(CONTROL!$C$32, $C$9, 100%, $E$9)</f>
        <v>7.79</v>
      </c>
      <c r="L166" s="33">
        <f>4.78 * CHOOSE(CONTROL!$C$32, $C$9, 100%, $E$9)</f>
        <v>4.78</v>
      </c>
      <c r="M166" s="33">
        <f>4.7853 * CHOOSE(CONTROL!$C$32, $C$9, 100%, $E$9)</f>
        <v>4.7853000000000003</v>
      </c>
      <c r="N166" s="33">
        <f>4.78 * CHOOSE(CONTROL!$C$32, $C$9, 100%, $E$9)</f>
        <v>4.78</v>
      </c>
      <c r="O166" s="33">
        <f>4.7853 * CHOOSE(CONTROL!$C$32, $C$9, 100%, $E$9)</f>
        <v>4.7853000000000003</v>
      </c>
      <c r="P166" s="10"/>
      <c r="Q166" s="10"/>
      <c r="R166" s="10"/>
    </row>
    <row r="167" spans="1:18" ht="15" x14ac:dyDescent="0.2">
      <c r="A167" s="16">
        <v>45931</v>
      </c>
      <c r="B167" s="32">
        <f>3.7519 * CHOOSE(CONTROL!$C$32, $C$9, 100%, $E$9)</f>
        <v>3.7519</v>
      </c>
      <c r="C167" s="32">
        <f>3.7519 * CHOOSE(CONTROL!$C$32, $C$9, 100%, $E$9)</f>
        <v>3.7519</v>
      </c>
      <c r="D167" s="32">
        <f>3.753 * CHOOSE(CONTROL!$C$32, $C$9, 100%, $E$9)</f>
        <v>3.7530000000000001</v>
      </c>
      <c r="E167" s="33">
        <f>4.7743 * CHOOSE(CONTROL!$C$32, $C$9, 100%, $E$9)</f>
        <v>4.7743000000000002</v>
      </c>
      <c r="F167" s="33">
        <f>4.7743 * CHOOSE(CONTROL!$C$32, $C$9, 100%, $E$9)</f>
        <v>4.7743000000000002</v>
      </c>
      <c r="G167" s="33">
        <f>4.7779 * CHOOSE(CONTROL!$C$32, $C$9, 100%, $E$9)</f>
        <v>4.7778999999999998</v>
      </c>
      <c r="H167" s="33">
        <f>7.8009 * CHOOSE(CONTROL!$C$32, $C$9, 100%, $E$9)</f>
        <v>7.8009000000000004</v>
      </c>
      <c r="I167" s="33">
        <f>7.8046 * CHOOSE(CONTROL!$C$32, $C$9, 100%, $E$9)</f>
        <v>7.8045999999999998</v>
      </c>
      <c r="J167" s="33">
        <f>7.8009 * CHOOSE(CONTROL!$C$32, $C$9, 100%, $E$9)</f>
        <v>7.8009000000000004</v>
      </c>
      <c r="K167" s="33">
        <f>7.8046 * CHOOSE(CONTROL!$C$32, $C$9, 100%, $E$9)</f>
        <v>7.8045999999999998</v>
      </c>
      <c r="L167" s="33">
        <f>4.7743 * CHOOSE(CONTROL!$C$32, $C$9, 100%, $E$9)</f>
        <v>4.7743000000000002</v>
      </c>
      <c r="M167" s="33">
        <f>4.7779 * CHOOSE(CONTROL!$C$32, $C$9, 100%, $E$9)</f>
        <v>4.7778999999999998</v>
      </c>
      <c r="N167" s="33">
        <f>4.7743 * CHOOSE(CONTROL!$C$32, $C$9, 100%, $E$9)</f>
        <v>4.7743000000000002</v>
      </c>
      <c r="O167" s="33">
        <f>4.7779 * CHOOSE(CONTROL!$C$32, $C$9, 100%, $E$9)</f>
        <v>4.7778999999999998</v>
      </c>
      <c r="P167" s="10"/>
      <c r="Q167" s="10"/>
      <c r="R167" s="10"/>
    </row>
    <row r="168" spans="1:18" ht="15" x14ac:dyDescent="0.2">
      <c r="A168" s="16">
        <v>45962</v>
      </c>
      <c r="B168" s="32">
        <f>3.755 * CHOOSE(CONTROL!$C$32, $C$9, 100%, $E$9)</f>
        <v>3.7549999999999999</v>
      </c>
      <c r="C168" s="32">
        <f>3.755 * CHOOSE(CONTROL!$C$32, $C$9, 100%, $E$9)</f>
        <v>3.7549999999999999</v>
      </c>
      <c r="D168" s="32">
        <f>3.7561 * CHOOSE(CONTROL!$C$32, $C$9, 100%, $E$9)</f>
        <v>3.7561</v>
      </c>
      <c r="E168" s="33">
        <f>4.7763 * CHOOSE(CONTROL!$C$32, $C$9, 100%, $E$9)</f>
        <v>4.7763</v>
      </c>
      <c r="F168" s="33">
        <f>4.7763 * CHOOSE(CONTROL!$C$32, $C$9, 100%, $E$9)</f>
        <v>4.7763</v>
      </c>
      <c r="G168" s="33">
        <f>4.7799 * CHOOSE(CONTROL!$C$32, $C$9, 100%, $E$9)</f>
        <v>4.7798999999999996</v>
      </c>
      <c r="H168" s="33">
        <f>7.8172 * CHOOSE(CONTROL!$C$32, $C$9, 100%, $E$9)</f>
        <v>7.8171999999999997</v>
      </c>
      <c r="I168" s="33">
        <f>7.8208 * CHOOSE(CONTROL!$C$32, $C$9, 100%, $E$9)</f>
        <v>7.8208000000000002</v>
      </c>
      <c r="J168" s="33">
        <f>7.8172 * CHOOSE(CONTROL!$C$32, $C$9, 100%, $E$9)</f>
        <v>7.8171999999999997</v>
      </c>
      <c r="K168" s="33">
        <f>7.8208 * CHOOSE(CONTROL!$C$32, $C$9, 100%, $E$9)</f>
        <v>7.8208000000000002</v>
      </c>
      <c r="L168" s="33">
        <f>4.7763 * CHOOSE(CONTROL!$C$32, $C$9, 100%, $E$9)</f>
        <v>4.7763</v>
      </c>
      <c r="M168" s="33">
        <f>4.7799 * CHOOSE(CONTROL!$C$32, $C$9, 100%, $E$9)</f>
        <v>4.7798999999999996</v>
      </c>
      <c r="N168" s="33">
        <f>4.7763 * CHOOSE(CONTROL!$C$32, $C$9, 100%, $E$9)</f>
        <v>4.7763</v>
      </c>
      <c r="O168" s="33">
        <f>4.7799 * CHOOSE(CONTROL!$C$32, $C$9, 100%, $E$9)</f>
        <v>4.7798999999999996</v>
      </c>
    </row>
    <row r="169" spans="1:18" ht="15" x14ac:dyDescent="0.2">
      <c r="A169" s="16">
        <v>45992</v>
      </c>
      <c r="B169" s="32">
        <f>3.755 * CHOOSE(CONTROL!$C$32, $C$9, 100%, $E$9)</f>
        <v>3.7549999999999999</v>
      </c>
      <c r="C169" s="32">
        <f>3.755 * CHOOSE(CONTROL!$C$32, $C$9, 100%, $E$9)</f>
        <v>3.7549999999999999</v>
      </c>
      <c r="D169" s="32">
        <f>3.7561 * CHOOSE(CONTROL!$C$32, $C$9, 100%, $E$9)</f>
        <v>3.7561</v>
      </c>
      <c r="E169" s="33">
        <f>4.7763 * CHOOSE(CONTROL!$C$32, $C$9, 100%, $E$9)</f>
        <v>4.7763</v>
      </c>
      <c r="F169" s="33">
        <f>4.7763 * CHOOSE(CONTROL!$C$32, $C$9, 100%, $E$9)</f>
        <v>4.7763</v>
      </c>
      <c r="G169" s="33">
        <f>4.7799 * CHOOSE(CONTROL!$C$32, $C$9, 100%, $E$9)</f>
        <v>4.7798999999999996</v>
      </c>
      <c r="H169" s="33">
        <f>7.8335 * CHOOSE(CONTROL!$C$32, $C$9, 100%, $E$9)</f>
        <v>7.8334999999999999</v>
      </c>
      <c r="I169" s="33">
        <f>7.8371 * CHOOSE(CONTROL!$C$32, $C$9, 100%, $E$9)</f>
        <v>7.8371000000000004</v>
      </c>
      <c r="J169" s="33">
        <f>7.8335 * CHOOSE(CONTROL!$C$32, $C$9, 100%, $E$9)</f>
        <v>7.8334999999999999</v>
      </c>
      <c r="K169" s="33">
        <f>7.8371 * CHOOSE(CONTROL!$C$32, $C$9, 100%, $E$9)</f>
        <v>7.8371000000000004</v>
      </c>
      <c r="L169" s="33">
        <f>4.7763 * CHOOSE(CONTROL!$C$32, $C$9, 100%, $E$9)</f>
        <v>4.7763</v>
      </c>
      <c r="M169" s="33">
        <f>4.7799 * CHOOSE(CONTROL!$C$32, $C$9, 100%, $E$9)</f>
        <v>4.7798999999999996</v>
      </c>
      <c r="N169" s="33">
        <f>4.7763 * CHOOSE(CONTROL!$C$32, $C$9, 100%, $E$9)</f>
        <v>4.7763</v>
      </c>
      <c r="O169" s="33">
        <f>4.7799 * CHOOSE(CONTROL!$C$32, $C$9, 100%, $E$9)</f>
        <v>4.7798999999999996</v>
      </c>
    </row>
    <row r="170" spans="1:18" ht="15" x14ac:dyDescent="0.2">
      <c r="A170" s="16">
        <v>46023</v>
      </c>
      <c r="B170" s="32">
        <f>3.7892 * CHOOSE(CONTROL!$C$32, $C$9, 100%, $E$9)</f>
        <v>3.7892000000000001</v>
      </c>
      <c r="C170" s="32">
        <f>3.7892 * CHOOSE(CONTROL!$C$32, $C$9, 100%, $E$9)</f>
        <v>3.7892000000000001</v>
      </c>
      <c r="D170" s="32">
        <f>3.7902 * CHOOSE(CONTROL!$C$32, $C$9, 100%, $E$9)</f>
        <v>3.7902</v>
      </c>
      <c r="E170" s="33">
        <f>4.8185 * CHOOSE(CONTROL!$C$32, $C$9, 100%, $E$9)</f>
        <v>4.8185000000000002</v>
      </c>
      <c r="F170" s="33">
        <f>4.8185 * CHOOSE(CONTROL!$C$32, $C$9, 100%, $E$9)</f>
        <v>4.8185000000000002</v>
      </c>
      <c r="G170" s="33">
        <f>4.8221 * CHOOSE(CONTROL!$C$32, $C$9, 100%, $E$9)</f>
        <v>4.8220999999999998</v>
      </c>
      <c r="H170" s="33">
        <f>7.8498 * CHOOSE(CONTROL!$C$32, $C$9, 100%, $E$9)</f>
        <v>7.8498000000000001</v>
      </c>
      <c r="I170" s="33">
        <f>7.8534 * CHOOSE(CONTROL!$C$32, $C$9, 100%, $E$9)</f>
        <v>7.8533999999999997</v>
      </c>
      <c r="J170" s="33">
        <f>7.8498 * CHOOSE(CONTROL!$C$32, $C$9, 100%, $E$9)</f>
        <v>7.8498000000000001</v>
      </c>
      <c r="K170" s="33">
        <f>7.8534 * CHOOSE(CONTROL!$C$32, $C$9, 100%, $E$9)</f>
        <v>7.8533999999999997</v>
      </c>
      <c r="L170" s="33">
        <f>4.8185 * CHOOSE(CONTROL!$C$32, $C$9, 100%, $E$9)</f>
        <v>4.8185000000000002</v>
      </c>
      <c r="M170" s="33">
        <f>4.8221 * CHOOSE(CONTROL!$C$32, $C$9, 100%, $E$9)</f>
        <v>4.8220999999999998</v>
      </c>
      <c r="N170" s="33">
        <f>4.8185 * CHOOSE(CONTROL!$C$32, $C$9, 100%, $E$9)</f>
        <v>4.8185000000000002</v>
      </c>
      <c r="O170" s="33">
        <f>4.8221 * CHOOSE(CONTROL!$C$32, $C$9, 100%, $E$9)</f>
        <v>4.8220999999999998</v>
      </c>
    </row>
    <row r="171" spans="1:18" ht="15" x14ac:dyDescent="0.2">
      <c r="A171" s="16">
        <v>46054</v>
      </c>
      <c r="B171" s="32">
        <f>3.7861 * CHOOSE(CONTROL!$C$32, $C$9, 100%, $E$9)</f>
        <v>3.7860999999999998</v>
      </c>
      <c r="C171" s="32">
        <f>3.7861 * CHOOSE(CONTROL!$C$32, $C$9, 100%, $E$9)</f>
        <v>3.7860999999999998</v>
      </c>
      <c r="D171" s="32">
        <f>3.7872 * CHOOSE(CONTROL!$C$32, $C$9, 100%, $E$9)</f>
        <v>3.7871999999999999</v>
      </c>
      <c r="E171" s="33">
        <f>4.8165 * CHOOSE(CONTROL!$C$32, $C$9, 100%, $E$9)</f>
        <v>4.8164999999999996</v>
      </c>
      <c r="F171" s="33">
        <f>4.8165 * CHOOSE(CONTROL!$C$32, $C$9, 100%, $E$9)</f>
        <v>4.8164999999999996</v>
      </c>
      <c r="G171" s="33">
        <f>4.8201 * CHOOSE(CONTROL!$C$32, $C$9, 100%, $E$9)</f>
        <v>4.8201000000000001</v>
      </c>
      <c r="H171" s="33">
        <f>7.8662 * CHOOSE(CONTROL!$C$32, $C$9, 100%, $E$9)</f>
        <v>7.8662000000000001</v>
      </c>
      <c r="I171" s="33">
        <f>7.8698 * CHOOSE(CONTROL!$C$32, $C$9, 100%, $E$9)</f>
        <v>7.8697999999999997</v>
      </c>
      <c r="J171" s="33">
        <f>7.8662 * CHOOSE(CONTROL!$C$32, $C$9, 100%, $E$9)</f>
        <v>7.8662000000000001</v>
      </c>
      <c r="K171" s="33">
        <f>7.8698 * CHOOSE(CONTROL!$C$32, $C$9, 100%, $E$9)</f>
        <v>7.8697999999999997</v>
      </c>
      <c r="L171" s="33">
        <f>4.8165 * CHOOSE(CONTROL!$C$32, $C$9, 100%, $E$9)</f>
        <v>4.8164999999999996</v>
      </c>
      <c r="M171" s="33">
        <f>4.8201 * CHOOSE(CONTROL!$C$32, $C$9, 100%, $E$9)</f>
        <v>4.8201000000000001</v>
      </c>
      <c r="N171" s="33">
        <f>4.8165 * CHOOSE(CONTROL!$C$32, $C$9, 100%, $E$9)</f>
        <v>4.8164999999999996</v>
      </c>
      <c r="O171" s="33">
        <f>4.8201 * CHOOSE(CONTROL!$C$32, $C$9, 100%, $E$9)</f>
        <v>4.8201000000000001</v>
      </c>
    </row>
    <row r="172" spans="1:18" ht="15" x14ac:dyDescent="0.2">
      <c r="A172" s="16">
        <v>46082</v>
      </c>
      <c r="B172" s="32">
        <f>3.7831 * CHOOSE(CONTROL!$C$32, $C$9, 100%, $E$9)</f>
        <v>3.7831000000000001</v>
      </c>
      <c r="C172" s="32">
        <f>3.7831 * CHOOSE(CONTROL!$C$32, $C$9, 100%, $E$9)</f>
        <v>3.7831000000000001</v>
      </c>
      <c r="D172" s="32">
        <f>3.7842 * CHOOSE(CONTROL!$C$32, $C$9, 100%, $E$9)</f>
        <v>3.7841999999999998</v>
      </c>
      <c r="E172" s="33">
        <f>4.8145 * CHOOSE(CONTROL!$C$32, $C$9, 100%, $E$9)</f>
        <v>4.8144999999999998</v>
      </c>
      <c r="F172" s="33">
        <f>4.8145 * CHOOSE(CONTROL!$C$32, $C$9, 100%, $E$9)</f>
        <v>4.8144999999999998</v>
      </c>
      <c r="G172" s="33">
        <f>4.8181 * CHOOSE(CONTROL!$C$32, $C$9, 100%, $E$9)</f>
        <v>4.8181000000000003</v>
      </c>
      <c r="H172" s="33">
        <f>7.8825 * CHOOSE(CONTROL!$C$32, $C$9, 100%, $E$9)</f>
        <v>7.8825000000000003</v>
      </c>
      <c r="I172" s="33">
        <f>7.8862 * CHOOSE(CONTROL!$C$32, $C$9, 100%, $E$9)</f>
        <v>7.8861999999999997</v>
      </c>
      <c r="J172" s="33">
        <f>7.8825 * CHOOSE(CONTROL!$C$32, $C$9, 100%, $E$9)</f>
        <v>7.8825000000000003</v>
      </c>
      <c r="K172" s="33">
        <f>7.8862 * CHOOSE(CONTROL!$C$32, $C$9, 100%, $E$9)</f>
        <v>7.8861999999999997</v>
      </c>
      <c r="L172" s="33">
        <f>4.8145 * CHOOSE(CONTROL!$C$32, $C$9, 100%, $E$9)</f>
        <v>4.8144999999999998</v>
      </c>
      <c r="M172" s="33">
        <f>4.8181 * CHOOSE(CONTROL!$C$32, $C$9, 100%, $E$9)</f>
        <v>4.8181000000000003</v>
      </c>
      <c r="N172" s="33">
        <f>4.8145 * CHOOSE(CONTROL!$C$32, $C$9, 100%, $E$9)</f>
        <v>4.8144999999999998</v>
      </c>
      <c r="O172" s="33">
        <f>4.8181 * CHOOSE(CONTROL!$C$32, $C$9, 100%, $E$9)</f>
        <v>4.8181000000000003</v>
      </c>
    </row>
    <row r="173" spans="1:18" ht="15" x14ac:dyDescent="0.2">
      <c r="A173" s="16">
        <v>46113</v>
      </c>
      <c r="B173" s="32">
        <f>3.7805 * CHOOSE(CONTROL!$C$32, $C$9, 100%, $E$9)</f>
        <v>3.7805</v>
      </c>
      <c r="C173" s="32">
        <f>3.7805 * CHOOSE(CONTROL!$C$32, $C$9, 100%, $E$9)</f>
        <v>3.7805</v>
      </c>
      <c r="D173" s="32">
        <f>3.7816 * CHOOSE(CONTROL!$C$32, $C$9, 100%, $E$9)</f>
        <v>3.7816000000000001</v>
      </c>
      <c r="E173" s="33">
        <f>4.8123 * CHOOSE(CONTROL!$C$32, $C$9, 100%, $E$9)</f>
        <v>4.8122999999999996</v>
      </c>
      <c r="F173" s="33">
        <f>4.8123 * CHOOSE(CONTROL!$C$32, $C$9, 100%, $E$9)</f>
        <v>4.8122999999999996</v>
      </c>
      <c r="G173" s="33">
        <f>4.816 * CHOOSE(CONTROL!$C$32, $C$9, 100%, $E$9)</f>
        <v>4.8159999999999998</v>
      </c>
      <c r="H173" s="33">
        <f>7.899 * CHOOSE(CONTROL!$C$32, $C$9, 100%, $E$9)</f>
        <v>7.899</v>
      </c>
      <c r="I173" s="33">
        <f>7.9026 * CHOOSE(CONTROL!$C$32, $C$9, 100%, $E$9)</f>
        <v>7.9025999999999996</v>
      </c>
      <c r="J173" s="33">
        <f>7.899 * CHOOSE(CONTROL!$C$32, $C$9, 100%, $E$9)</f>
        <v>7.899</v>
      </c>
      <c r="K173" s="33">
        <f>7.9026 * CHOOSE(CONTROL!$C$32, $C$9, 100%, $E$9)</f>
        <v>7.9025999999999996</v>
      </c>
      <c r="L173" s="33">
        <f>4.8123 * CHOOSE(CONTROL!$C$32, $C$9, 100%, $E$9)</f>
        <v>4.8122999999999996</v>
      </c>
      <c r="M173" s="33">
        <f>4.816 * CHOOSE(CONTROL!$C$32, $C$9, 100%, $E$9)</f>
        <v>4.8159999999999998</v>
      </c>
      <c r="N173" s="33">
        <f>4.8123 * CHOOSE(CONTROL!$C$32, $C$9, 100%, $E$9)</f>
        <v>4.8122999999999996</v>
      </c>
      <c r="O173" s="33">
        <f>4.816 * CHOOSE(CONTROL!$C$32, $C$9, 100%, $E$9)</f>
        <v>4.8159999999999998</v>
      </c>
    </row>
    <row r="174" spans="1:18" ht="15" x14ac:dyDescent="0.2">
      <c r="A174" s="16">
        <v>46143</v>
      </c>
      <c r="B174" s="32">
        <f>3.7805 * CHOOSE(CONTROL!$C$32, $C$9, 100%, $E$9)</f>
        <v>3.7805</v>
      </c>
      <c r="C174" s="32">
        <f>3.7805 * CHOOSE(CONTROL!$C$32, $C$9, 100%, $E$9)</f>
        <v>3.7805</v>
      </c>
      <c r="D174" s="32">
        <f>3.7821 * CHOOSE(CONTROL!$C$32, $C$9, 100%, $E$9)</f>
        <v>3.7820999999999998</v>
      </c>
      <c r="E174" s="33">
        <f>4.8123 * CHOOSE(CONTROL!$C$32, $C$9, 100%, $E$9)</f>
        <v>4.8122999999999996</v>
      </c>
      <c r="F174" s="33">
        <f>4.8123 * CHOOSE(CONTROL!$C$32, $C$9, 100%, $E$9)</f>
        <v>4.8122999999999996</v>
      </c>
      <c r="G174" s="33">
        <f>4.8176 * CHOOSE(CONTROL!$C$32, $C$9, 100%, $E$9)</f>
        <v>4.8175999999999997</v>
      </c>
      <c r="H174" s="33">
        <f>7.9154 * CHOOSE(CONTROL!$C$32, $C$9, 100%, $E$9)</f>
        <v>7.9154</v>
      </c>
      <c r="I174" s="33">
        <f>7.9207 * CHOOSE(CONTROL!$C$32, $C$9, 100%, $E$9)</f>
        <v>7.9207000000000001</v>
      </c>
      <c r="J174" s="33">
        <f>7.9154 * CHOOSE(CONTROL!$C$32, $C$9, 100%, $E$9)</f>
        <v>7.9154</v>
      </c>
      <c r="K174" s="33">
        <f>7.9207 * CHOOSE(CONTROL!$C$32, $C$9, 100%, $E$9)</f>
        <v>7.9207000000000001</v>
      </c>
      <c r="L174" s="33">
        <f>4.8123 * CHOOSE(CONTROL!$C$32, $C$9, 100%, $E$9)</f>
        <v>4.8122999999999996</v>
      </c>
      <c r="M174" s="33">
        <f>4.8176 * CHOOSE(CONTROL!$C$32, $C$9, 100%, $E$9)</f>
        <v>4.8175999999999997</v>
      </c>
      <c r="N174" s="33">
        <f>4.8123 * CHOOSE(CONTROL!$C$32, $C$9, 100%, $E$9)</f>
        <v>4.8122999999999996</v>
      </c>
      <c r="O174" s="33">
        <f>4.8176 * CHOOSE(CONTROL!$C$32, $C$9, 100%, $E$9)</f>
        <v>4.8175999999999997</v>
      </c>
    </row>
    <row r="175" spans="1:18" ht="15" x14ac:dyDescent="0.2">
      <c r="A175" s="16">
        <v>46174</v>
      </c>
      <c r="B175" s="32">
        <f>3.7866 * CHOOSE(CONTROL!$C$32, $C$9, 100%, $E$9)</f>
        <v>3.7866</v>
      </c>
      <c r="C175" s="32">
        <f>3.7866 * CHOOSE(CONTROL!$C$32, $C$9, 100%, $E$9)</f>
        <v>3.7866</v>
      </c>
      <c r="D175" s="32">
        <f>3.7882 * CHOOSE(CONTROL!$C$32, $C$9, 100%, $E$9)</f>
        <v>3.7881999999999998</v>
      </c>
      <c r="E175" s="33">
        <f>4.8163 * CHOOSE(CONTROL!$C$32, $C$9, 100%, $E$9)</f>
        <v>4.8163</v>
      </c>
      <c r="F175" s="33">
        <f>4.8163 * CHOOSE(CONTROL!$C$32, $C$9, 100%, $E$9)</f>
        <v>4.8163</v>
      </c>
      <c r="G175" s="33">
        <f>4.8216 * CHOOSE(CONTROL!$C$32, $C$9, 100%, $E$9)</f>
        <v>4.8216000000000001</v>
      </c>
      <c r="H175" s="33">
        <f>7.9319 * CHOOSE(CONTROL!$C$32, $C$9, 100%, $E$9)</f>
        <v>7.9318999999999997</v>
      </c>
      <c r="I175" s="33">
        <f>7.9372 * CHOOSE(CONTROL!$C$32, $C$9, 100%, $E$9)</f>
        <v>7.9371999999999998</v>
      </c>
      <c r="J175" s="33">
        <f>7.9319 * CHOOSE(CONTROL!$C$32, $C$9, 100%, $E$9)</f>
        <v>7.9318999999999997</v>
      </c>
      <c r="K175" s="33">
        <f>7.9372 * CHOOSE(CONTROL!$C$32, $C$9, 100%, $E$9)</f>
        <v>7.9371999999999998</v>
      </c>
      <c r="L175" s="33">
        <f>4.8163 * CHOOSE(CONTROL!$C$32, $C$9, 100%, $E$9)</f>
        <v>4.8163</v>
      </c>
      <c r="M175" s="33">
        <f>4.8216 * CHOOSE(CONTROL!$C$32, $C$9, 100%, $E$9)</f>
        <v>4.8216000000000001</v>
      </c>
      <c r="N175" s="33">
        <f>4.8163 * CHOOSE(CONTROL!$C$32, $C$9, 100%, $E$9)</f>
        <v>4.8163</v>
      </c>
      <c r="O175" s="33">
        <f>4.8216 * CHOOSE(CONTROL!$C$32, $C$9, 100%, $E$9)</f>
        <v>4.8216000000000001</v>
      </c>
    </row>
    <row r="176" spans="1:18" ht="15" x14ac:dyDescent="0.2">
      <c r="A176" s="16">
        <v>46204</v>
      </c>
      <c r="B176" s="32">
        <f>3.8506 * CHOOSE(CONTROL!$C$32, $C$9, 100%, $E$9)</f>
        <v>3.8506</v>
      </c>
      <c r="C176" s="32">
        <f>3.8506 * CHOOSE(CONTROL!$C$32, $C$9, 100%, $E$9)</f>
        <v>3.8506</v>
      </c>
      <c r="D176" s="32">
        <f>3.8522 * CHOOSE(CONTROL!$C$32, $C$9, 100%, $E$9)</f>
        <v>3.8521999999999998</v>
      </c>
      <c r="E176" s="33">
        <f>4.9098 * CHOOSE(CONTROL!$C$32, $C$9, 100%, $E$9)</f>
        <v>4.9097999999999997</v>
      </c>
      <c r="F176" s="33">
        <f>4.9098 * CHOOSE(CONTROL!$C$32, $C$9, 100%, $E$9)</f>
        <v>4.9097999999999997</v>
      </c>
      <c r="G176" s="33">
        <f>4.9151 * CHOOSE(CONTROL!$C$32, $C$9, 100%, $E$9)</f>
        <v>4.9150999999999998</v>
      </c>
      <c r="H176" s="33">
        <f>7.9484 * CHOOSE(CONTROL!$C$32, $C$9, 100%, $E$9)</f>
        <v>7.9484000000000004</v>
      </c>
      <c r="I176" s="33">
        <f>7.9537 * CHOOSE(CONTROL!$C$32, $C$9, 100%, $E$9)</f>
        <v>7.9537000000000004</v>
      </c>
      <c r="J176" s="33">
        <f>7.9484 * CHOOSE(CONTROL!$C$32, $C$9, 100%, $E$9)</f>
        <v>7.9484000000000004</v>
      </c>
      <c r="K176" s="33">
        <f>7.9537 * CHOOSE(CONTROL!$C$32, $C$9, 100%, $E$9)</f>
        <v>7.9537000000000004</v>
      </c>
      <c r="L176" s="33">
        <f>4.9098 * CHOOSE(CONTROL!$C$32, $C$9, 100%, $E$9)</f>
        <v>4.9097999999999997</v>
      </c>
      <c r="M176" s="33">
        <f>4.9151 * CHOOSE(CONTROL!$C$32, $C$9, 100%, $E$9)</f>
        <v>4.9150999999999998</v>
      </c>
      <c r="N176" s="33">
        <f>4.9098 * CHOOSE(CONTROL!$C$32, $C$9, 100%, $E$9)</f>
        <v>4.9097999999999997</v>
      </c>
      <c r="O176" s="33">
        <f>4.9151 * CHOOSE(CONTROL!$C$32, $C$9, 100%, $E$9)</f>
        <v>4.9150999999999998</v>
      </c>
    </row>
    <row r="177" spans="1:15" ht="15" x14ac:dyDescent="0.2">
      <c r="A177" s="16">
        <v>46235</v>
      </c>
      <c r="B177" s="32">
        <f>3.8573 * CHOOSE(CONTROL!$C$32, $C$9, 100%, $E$9)</f>
        <v>3.8573</v>
      </c>
      <c r="C177" s="32">
        <f>3.8573 * CHOOSE(CONTROL!$C$32, $C$9, 100%, $E$9)</f>
        <v>3.8573</v>
      </c>
      <c r="D177" s="32">
        <f>3.8589 * CHOOSE(CONTROL!$C$32, $C$9, 100%, $E$9)</f>
        <v>3.8589000000000002</v>
      </c>
      <c r="E177" s="33">
        <f>4.9142 * CHOOSE(CONTROL!$C$32, $C$9, 100%, $E$9)</f>
        <v>4.9142000000000001</v>
      </c>
      <c r="F177" s="33">
        <f>4.9142 * CHOOSE(CONTROL!$C$32, $C$9, 100%, $E$9)</f>
        <v>4.9142000000000001</v>
      </c>
      <c r="G177" s="33">
        <f>4.9195 * CHOOSE(CONTROL!$C$32, $C$9, 100%, $E$9)</f>
        <v>4.9195000000000002</v>
      </c>
      <c r="H177" s="33">
        <f>7.965 * CHOOSE(CONTROL!$C$32, $C$9, 100%, $E$9)</f>
        <v>7.9649999999999999</v>
      </c>
      <c r="I177" s="33">
        <f>7.9703 * CHOOSE(CONTROL!$C$32, $C$9, 100%, $E$9)</f>
        <v>7.9702999999999999</v>
      </c>
      <c r="J177" s="33">
        <f>7.965 * CHOOSE(CONTROL!$C$32, $C$9, 100%, $E$9)</f>
        <v>7.9649999999999999</v>
      </c>
      <c r="K177" s="33">
        <f>7.9703 * CHOOSE(CONTROL!$C$32, $C$9, 100%, $E$9)</f>
        <v>7.9702999999999999</v>
      </c>
      <c r="L177" s="33">
        <f>4.9142 * CHOOSE(CONTROL!$C$32, $C$9, 100%, $E$9)</f>
        <v>4.9142000000000001</v>
      </c>
      <c r="M177" s="33">
        <f>4.9195 * CHOOSE(CONTROL!$C$32, $C$9, 100%, $E$9)</f>
        <v>4.9195000000000002</v>
      </c>
      <c r="N177" s="33">
        <f>4.9142 * CHOOSE(CONTROL!$C$32, $C$9, 100%, $E$9)</f>
        <v>4.9142000000000001</v>
      </c>
      <c r="O177" s="33">
        <f>4.9195 * CHOOSE(CONTROL!$C$32, $C$9, 100%, $E$9)</f>
        <v>4.9195000000000002</v>
      </c>
    </row>
    <row r="178" spans="1:15" ht="15" x14ac:dyDescent="0.2">
      <c r="A178" s="16">
        <v>46266</v>
      </c>
      <c r="B178" s="32">
        <f>3.8543 * CHOOSE(CONTROL!$C$32, $C$9, 100%, $E$9)</f>
        <v>3.8542999999999998</v>
      </c>
      <c r="C178" s="32">
        <f>3.8543 * CHOOSE(CONTROL!$C$32, $C$9, 100%, $E$9)</f>
        <v>3.8542999999999998</v>
      </c>
      <c r="D178" s="32">
        <f>3.8558 * CHOOSE(CONTROL!$C$32, $C$9, 100%, $E$9)</f>
        <v>3.8557999999999999</v>
      </c>
      <c r="E178" s="33">
        <f>4.9122 * CHOOSE(CONTROL!$C$32, $C$9, 100%, $E$9)</f>
        <v>4.9122000000000003</v>
      </c>
      <c r="F178" s="33">
        <f>4.9122 * CHOOSE(CONTROL!$C$32, $C$9, 100%, $E$9)</f>
        <v>4.9122000000000003</v>
      </c>
      <c r="G178" s="33">
        <f>4.9175 * CHOOSE(CONTROL!$C$32, $C$9, 100%, $E$9)</f>
        <v>4.9175000000000004</v>
      </c>
      <c r="H178" s="33">
        <f>7.9816 * CHOOSE(CONTROL!$C$32, $C$9, 100%, $E$9)</f>
        <v>7.9816000000000003</v>
      </c>
      <c r="I178" s="33">
        <f>7.9869 * CHOOSE(CONTROL!$C$32, $C$9, 100%, $E$9)</f>
        <v>7.9869000000000003</v>
      </c>
      <c r="J178" s="33">
        <f>7.9816 * CHOOSE(CONTROL!$C$32, $C$9, 100%, $E$9)</f>
        <v>7.9816000000000003</v>
      </c>
      <c r="K178" s="33">
        <f>7.9869 * CHOOSE(CONTROL!$C$32, $C$9, 100%, $E$9)</f>
        <v>7.9869000000000003</v>
      </c>
      <c r="L178" s="33">
        <f>4.9122 * CHOOSE(CONTROL!$C$32, $C$9, 100%, $E$9)</f>
        <v>4.9122000000000003</v>
      </c>
      <c r="M178" s="33">
        <f>4.9175 * CHOOSE(CONTROL!$C$32, $C$9, 100%, $E$9)</f>
        <v>4.9175000000000004</v>
      </c>
      <c r="N178" s="33">
        <f>4.9122 * CHOOSE(CONTROL!$C$32, $C$9, 100%, $E$9)</f>
        <v>4.9122000000000003</v>
      </c>
      <c r="O178" s="33">
        <f>4.9175 * CHOOSE(CONTROL!$C$32, $C$9, 100%, $E$9)</f>
        <v>4.9175000000000004</v>
      </c>
    </row>
    <row r="179" spans="1:15" ht="15" x14ac:dyDescent="0.2">
      <c r="A179" s="16">
        <v>46296</v>
      </c>
      <c r="B179" s="32">
        <f>3.8489 * CHOOSE(CONTROL!$C$32, $C$9, 100%, $E$9)</f>
        <v>3.8489</v>
      </c>
      <c r="C179" s="32">
        <f>3.8489 * CHOOSE(CONTROL!$C$32, $C$9, 100%, $E$9)</f>
        <v>3.8489</v>
      </c>
      <c r="D179" s="32">
        <f>3.8499 * CHOOSE(CONTROL!$C$32, $C$9, 100%, $E$9)</f>
        <v>3.8498999999999999</v>
      </c>
      <c r="E179" s="33">
        <f>4.9067 * CHOOSE(CONTROL!$C$32, $C$9, 100%, $E$9)</f>
        <v>4.9066999999999998</v>
      </c>
      <c r="F179" s="33">
        <f>4.9067 * CHOOSE(CONTROL!$C$32, $C$9, 100%, $E$9)</f>
        <v>4.9066999999999998</v>
      </c>
      <c r="G179" s="33">
        <f>4.9103 * CHOOSE(CONTROL!$C$32, $C$9, 100%, $E$9)</f>
        <v>4.9103000000000003</v>
      </c>
      <c r="H179" s="33">
        <f>7.9982 * CHOOSE(CONTROL!$C$32, $C$9, 100%, $E$9)</f>
        <v>7.9981999999999998</v>
      </c>
      <c r="I179" s="33">
        <f>8.0018 * CHOOSE(CONTROL!$C$32, $C$9, 100%, $E$9)</f>
        <v>8.0017999999999994</v>
      </c>
      <c r="J179" s="33">
        <f>7.9982 * CHOOSE(CONTROL!$C$32, $C$9, 100%, $E$9)</f>
        <v>7.9981999999999998</v>
      </c>
      <c r="K179" s="33">
        <f>8.0018 * CHOOSE(CONTROL!$C$32, $C$9, 100%, $E$9)</f>
        <v>8.0017999999999994</v>
      </c>
      <c r="L179" s="33">
        <f>4.9067 * CHOOSE(CONTROL!$C$32, $C$9, 100%, $E$9)</f>
        <v>4.9066999999999998</v>
      </c>
      <c r="M179" s="33">
        <f>4.9103 * CHOOSE(CONTROL!$C$32, $C$9, 100%, $E$9)</f>
        <v>4.9103000000000003</v>
      </c>
      <c r="N179" s="33">
        <f>4.9067 * CHOOSE(CONTROL!$C$32, $C$9, 100%, $E$9)</f>
        <v>4.9066999999999998</v>
      </c>
      <c r="O179" s="33">
        <f>4.9103 * CHOOSE(CONTROL!$C$32, $C$9, 100%, $E$9)</f>
        <v>4.9103000000000003</v>
      </c>
    </row>
    <row r="180" spans="1:15" ht="15" x14ac:dyDescent="0.2">
      <c r="A180" s="16">
        <v>46327</v>
      </c>
      <c r="B180" s="32">
        <f>3.8519 * CHOOSE(CONTROL!$C$32, $C$9, 100%, $E$9)</f>
        <v>3.8519000000000001</v>
      </c>
      <c r="C180" s="32">
        <f>3.8519 * CHOOSE(CONTROL!$C$32, $C$9, 100%, $E$9)</f>
        <v>3.8519000000000001</v>
      </c>
      <c r="D180" s="32">
        <f>3.853 * CHOOSE(CONTROL!$C$32, $C$9, 100%, $E$9)</f>
        <v>3.8530000000000002</v>
      </c>
      <c r="E180" s="33">
        <f>4.9087 * CHOOSE(CONTROL!$C$32, $C$9, 100%, $E$9)</f>
        <v>4.9086999999999996</v>
      </c>
      <c r="F180" s="33">
        <f>4.9087 * CHOOSE(CONTROL!$C$32, $C$9, 100%, $E$9)</f>
        <v>4.9086999999999996</v>
      </c>
      <c r="G180" s="33">
        <f>4.9123 * CHOOSE(CONTROL!$C$32, $C$9, 100%, $E$9)</f>
        <v>4.9123000000000001</v>
      </c>
      <c r="H180" s="33">
        <f>8.0149 * CHOOSE(CONTROL!$C$32, $C$9, 100%, $E$9)</f>
        <v>8.0149000000000008</v>
      </c>
      <c r="I180" s="33">
        <f>8.0185 * CHOOSE(CONTROL!$C$32, $C$9, 100%, $E$9)</f>
        <v>8.0184999999999995</v>
      </c>
      <c r="J180" s="33">
        <f>8.0149 * CHOOSE(CONTROL!$C$32, $C$9, 100%, $E$9)</f>
        <v>8.0149000000000008</v>
      </c>
      <c r="K180" s="33">
        <f>8.0185 * CHOOSE(CONTROL!$C$32, $C$9, 100%, $E$9)</f>
        <v>8.0184999999999995</v>
      </c>
      <c r="L180" s="33">
        <f>4.9087 * CHOOSE(CONTROL!$C$32, $C$9, 100%, $E$9)</f>
        <v>4.9086999999999996</v>
      </c>
      <c r="M180" s="33">
        <f>4.9123 * CHOOSE(CONTROL!$C$32, $C$9, 100%, $E$9)</f>
        <v>4.9123000000000001</v>
      </c>
      <c r="N180" s="33">
        <f>4.9087 * CHOOSE(CONTROL!$C$32, $C$9, 100%, $E$9)</f>
        <v>4.9086999999999996</v>
      </c>
      <c r="O180" s="33">
        <f>4.9123 * CHOOSE(CONTROL!$C$32, $C$9, 100%, $E$9)</f>
        <v>4.9123000000000001</v>
      </c>
    </row>
    <row r="181" spans="1:15" ht="15" x14ac:dyDescent="0.2">
      <c r="A181" s="16">
        <v>46357</v>
      </c>
      <c r="B181" s="32">
        <f>3.8519 * CHOOSE(CONTROL!$C$32, $C$9, 100%, $E$9)</f>
        <v>3.8519000000000001</v>
      </c>
      <c r="C181" s="32">
        <f>3.8519 * CHOOSE(CONTROL!$C$32, $C$9, 100%, $E$9)</f>
        <v>3.8519000000000001</v>
      </c>
      <c r="D181" s="32">
        <f>3.853 * CHOOSE(CONTROL!$C$32, $C$9, 100%, $E$9)</f>
        <v>3.8530000000000002</v>
      </c>
      <c r="E181" s="33">
        <f>4.9087 * CHOOSE(CONTROL!$C$32, $C$9, 100%, $E$9)</f>
        <v>4.9086999999999996</v>
      </c>
      <c r="F181" s="33">
        <f>4.9087 * CHOOSE(CONTROL!$C$32, $C$9, 100%, $E$9)</f>
        <v>4.9086999999999996</v>
      </c>
      <c r="G181" s="33">
        <f>4.9123 * CHOOSE(CONTROL!$C$32, $C$9, 100%, $E$9)</f>
        <v>4.9123000000000001</v>
      </c>
      <c r="H181" s="33">
        <f>8.0316 * CHOOSE(CONTROL!$C$32, $C$9, 100%, $E$9)</f>
        <v>8.0315999999999992</v>
      </c>
      <c r="I181" s="33">
        <f>8.0352 * CHOOSE(CONTROL!$C$32, $C$9, 100%, $E$9)</f>
        <v>8.0351999999999997</v>
      </c>
      <c r="J181" s="33">
        <f>8.0316 * CHOOSE(CONTROL!$C$32, $C$9, 100%, $E$9)</f>
        <v>8.0315999999999992</v>
      </c>
      <c r="K181" s="33">
        <f>8.0352 * CHOOSE(CONTROL!$C$32, $C$9, 100%, $E$9)</f>
        <v>8.0351999999999997</v>
      </c>
      <c r="L181" s="33">
        <f>4.9087 * CHOOSE(CONTROL!$C$32, $C$9, 100%, $E$9)</f>
        <v>4.9086999999999996</v>
      </c>
      <c r="M181" s="33">
        <f>4.9123 * CHOOSE(CONTROL!$C$32, $C$9, 100%, $E$9)</f>
        <v>4.9123000000000001</v>
      </c>
      <c r="N181" s="33">
        <f>4.9087 * CHOOSE(CONTROL!$C$32, $C$9, 100%, $E$9)</f>
        <v>4.9086999999999996</v>
      </c>
      <c r="O181" s="33">
        <f>4.9123 * CHOOSE(CONTROL!$C$32, $C$9, 100%, $E$9)</f>
        <v>4.9123000000000001</v>
      </c>
    </row>
    <row r="182" spans="1:15" ht="15" x14ac:dyDescent="0.2">
      <c r="A182" s="16">
        <v>46388</v>
      </c>
      <c r="B182" s="32">
        <f>3.8871 * CHOOSE(CONTROL!$C$32, $C$9, 100%, $E$9)</f>
        <v>3.8871000000000002</v>
      </c>
      <c r="C182" s="32">
        <f>3.8871 * CHOOSE(CONTROL!$C$32, $C$9, 100%, $E$9)</f>
        <v>3.8871000000000002</v>
      </c>
      <c r="D182" s="32">
        <f>3.8882 * CHOOSE(CONTROL!$C$32, $C$9, 100%, $E$9)</f>
        <v>3.8881999999999999</v>
      </c>
      <c r="E182" s="33">
        <f>4.9479 * CHOOSE(CONTROL!$C$32, $C$9, 100%, $E$9)</f>
        <v>4.9478999999999997</v>
      </c>
      <c r="F182" s="33">
        <f>4.9479 * CHOOSE(CONTROL!$C$32, $C$9, 100%, $E$9)</f>
        <v>4.9478999999999997</v>
      </c>
      <c r="G182" s="33">
        <f>4.9515 * CHOOSE(CONTROL!$C$32, $C$9, 100%, $E$9)</f>
        <v>4.9515000000000002</v>
      </c>
      <c r="H182" s="33">
        <f>8.0483 * CHOOSE(CONTROL!$C$32, $C$9, 100%, $E$9)</f>
        <v>8.0482999999999993</v>
      </c>
      <c r="I182" s="33">
        <f>8.0519 * CHOOSE(CONTROL!$C$32, $C$9, 100%, $E$9)</f>
        <v>8.0518999999999998</v>
      </c>
      <c r="J182" s="33">
        <f>8.0483 * CHOOSE(CONTROL!$C$32, $C$9, 100%, $E$9)</f>
        <v>8.0482999999999993</v>
      </c>
      <c r="K182" s="33">
        <f>8.0519 * CHOOSE(CONTROL!$C$32, $C$9, 100%, $E$9)</f>
        <v>8.0518999999999998</v>
      </c>
      <c r="L182" s="33">
        <f>4.9479 * CHOOSE(CONTROL!$C$32, $C$9, 100%, $E$9)</f>
        <v>4.9478999999999997</v>
      </c>
      <c r="M182" s="33">
        <f>4.9515 * CHOOSE(CONTROL!$C$32, $C$9, 100%, $E$9)</f>
        <v>4.9515000000000002</v>
      </c>
      <c r="N182" s="33">
        <f>4.9479 * CHOOSE(CONTROL!$C$32, $C$9, 100%, $E$9)</f>
        <v>4.9478999999999997</v>
      </c>
      <c r="O182" s="33">
        <f>4.9515 * CHOOSE(CONTROL!$C$32, $C$9, 100%, $E$9)</f>
        <v>4.9515000000000002</v>
      </c>
    </row>
    <row r="183" spans="1:15" ht="15" x14ac:dyDescent="0.2">
      <c r="A183" s="16">
        <v>46419</v>
      </c>
      <c r="B183" s="32">
        <f>3.884 * CHOOSE(CONTROL!$C$32, $C$9, 100%, $E$9)</f>
        <v>3.8839999999999999</v>
      </c>
      <c r="C183" s="32">
        <f>3.884 * CHOOSE(CONTROL!$C$32, $C$9, 100%, $E$9)</f>
        <v>3.8839999999999999</v>
      </c>
      <c r="D183" s="32">
        <f>3.8851 * CHOOSE(CONTROL!$C$32, $C$9, 100%, $E$9)</f>
        <v>3.8851</v>
      </c>
      <c r="E183" s="33">
        <f>4.9459 * CHOOSE(CONTROL!$C$32, $C$9, 100%, $E$9)</f>
        <v>4.9459</v>
      </c>
      <c r="F183" s="33">
        <f>4.9459 * CHOOSE(CONTROL!$C$32, $C$9, 100%, $E$9)</f>
        <v>4.9459</v>
      </c>
      <c r="G183" s="33">
        <f>4.9495 * CHOOSE(CONTROL!$C$32, $C$9, 100%, $E$9)</f>
        <v>4.9494999999999996</v>
      </c>
      <c r="H183" s="33">
        <f>8.0651 * CHOOSE(CONTROL!$C$32, $C$9, 100%, $E$9)</f>
        <v>8.0650999999999993</v>
      </c>
      <c r="I183" s="33">
        <f>8.0687 * CHOOSE(CONTROL!$C$32, $C$9, 100%, $E$9)</f>
        <v>8.0686999999999998</v>
      </c>
      <c r="J183" s="33">
        <f>8.0651 * CHOOSE(CONTROL!$C$32, $C$9, 100%, $E$9)</f>
        <v>8.0650999999999993</v>
      </c>
      <c r="K183" s="33">
        <f>8.0687 * CHOOSE(CONTROL!$C$32, $C$9, 100%, $E$9)</f>
        <v>8.0686999999999998</v>
      </c>
      <c r="L183" s="33">
        <f>4.9459 * CHOOSE(CONTROL!$C$32, $C$9, 100%, $E$9)</f>
        <v>4.9459</v>
      </c>
      <c r="M183" s="33">
        <f>4.9495 * CHOOSE(CONTROL!$C$32, $C$9, 100%, $E$9)</f>
        <v>4.9494999999999996</v>
      </c>
      <c r="N183" s="33">
        <f>4.9459 * CHOOSE(CONTROL!$C$32, $C$9, 100%, $E$9)</f>
        <v>4.9459</v>
      </c>
      <c r="O183" s="33">
        <f>4.9495 * CHOOSE(CONTROL!$C$32, $C$9, 100%, $E$9)</f>
        <v>4.9494999999999996</v>
      </c>
    </row>
    <row r="184" spans="1:15" ht="15" x14ac:dyDescent="0.2">
      <c r="A184" s="16">
        <v>46447</v>
      </c>
      <c r="B184" s="32">
        <f>3.881 * CHOOSE(CONTROL!$C$32, $C$9, 100%, $E$9)</f>
        <v>3.8809999999999998</v>
      </c>
      <c r="C184" s="32">
        <f>3.881 * CHOOSE(CONTROL!$C$32, $C$9, 100%, $E$9)</f>
        <v>3.8809999999999998</v>
      </c>
      <c r="D184" s="32">
        <f>3.8821 * CHOOSE(CONTROL!$C$32, $C$9, 100%, $E$9)</f>
        <v>3.8820999999999999</v>
      </c>
      <c r="E184" s="33">
        <f>4.9439 * CHOOSE(CONTROL!$C$32, $C$9, 100%, $E$9)</f>
        <v>4.9439000000000002</v>
      </c>
      <c r="F184" s="33">
        <f>4.9439 * CHOOSE(CONTROL!$C$32, $C$9, 100%, $E$9)</f>
        <v>4.9439000000000002</v>
      </c>
      <c r="G184" s="33">
        <f>4.9475 * CHOOSE(CONTROL!$C$32, $C$9, 100%, $E$9)</f>
        <v>4.9474999999999998</v>
      </c>
      <c r="H184" s="33">
        <f>8.0819 * CHOOSE(CONTROL!$C$32, $C$9, 100%, $E$9)</f>
        <v>8.0818999999999992</v>
      </c>
      <c r="I184" s="33">
        <f>8.0855 * CHOOSE(CONTROL!$C$32, $C$9, 100%, $E$9)</f>
        <v>8.0854999999999997</v>
      </c>
      <c r="J184" s="33">
        <f>8.0819 * CHOOSE(CONTROL!$C$32, $C$9, 100%, $E$9)</f>
        <v>8.0818999999999992</v>
      </c>
      <c r="K184" s="33">
        <f>8.0855 * CHOOSE(CONTROL!$C$32, $C$9, 100%, $E$9)</f>
        <v>8.0854999999999997</v>
      </c>
      <c r="L184" s="33">
        <f>4.9439 * CHOOSE(CONTROL!$C$32, $C$9, 100%, $E$9)</f>
        <v>4.9439000000000002</v>
      </c>
      <c r="M184" s="33">
        <f>4.9475 * CHOOSE(CONTROL!$C$32, $C$9, 100%, $E$9)</f>
        <v>4.9474999999999998</v>
      </c>
      <c r="N184" s="33">
        <f>4.9439 * CHOOSE(CONTROL!$C$32, $C$9, 100%, $E$9)</f>
        <v>4.9439000000000002</v>
      </c>
      <c r="O184" s="33">
        <f>4.9475 * CHOOSE(CONTROL!$C$32, $C$9, 100%, $E$9)</f>
        <v>4.9474999999999998</v>
      </c>
    </row>
    <row r="185" spans="1:15" ht="15" x14ac:dyDescent="0.2">
      <c r="A185" s="16">
        <v>46478</v>
      </c>
      <c r="B185" s="32">
        <f>3.8786 * CHOOSE(CONTROL!$C$32, $C$9, 100%, $E$9)</f>
        <v>3.8786</v>
      </c>
      <c r="C185" s="32">
        <f>3.8786 * CHOOSE(CONTROL!$C$32, $C$9, 100%, $E$9)</f>
        <v>3.8786</v>
      </c>
      <c r="D185" s="32">
        <f>3.8796 * CHOOSE(CONTROL!$C$32, $C$9, 100%, $E$9)</f>
        <v>3.8795999999999999</v>
      </c>
      <c r="E185" s="33">
        <f>4.9418 * CHOOSE(CONTROL!$C$32, $C$9, 100%, $E$9)</f>
        <v>4.9417999999999997</v>
      </c>
      <c r="F185" s="33">
        <f>4.9418 * CHOOSE(CONTROL!$C$32, $C$9, 100%, $E$9)</f>
        <v>4.9417999999999997</v>
      </c>
      <c r="G185" s="33">
        <f>4.9454 * CHOOSE(CONTROL!$C$32, $C$9, 100%, $E$9)</f>
        <v>4.9454000000000002</v>
      </c>
      <c r="H185" s="33">
        <f>8.0987 * CHOOSE(CONTROL!$C$32, $C$9, 100%, $E$9)</f>
        <v>8.0986999999999991</v>
      </c>
      <c r="I185" s="33">
        <f>8.1023 * CHOOSE(CONTROL!$C$32, $C$9, 100%, $E$9)</f>
        <v>8.1022999999999996</v>
      </c>
      <c r="J185" s="33">
        <f>8.0987 * CHOOSE(CONTROL!$C$32, $C$9, 100%, $E$9)</f>
        <v>8.0986999999999991</v>
      </c>
      <c r="K185" s="33">
        <f>8.1023 * CHOOSE(CONTROL!$C$32, $C$9, 100%, $E$9)</f>
        <v>8.1022999999999996</v>
      </c>
      <c r="L185" s="33">
        <f>4.9418 * CHOOSE(CONTROL!$C$32, $C$9, 100%, $E$9)</f>
        <v>4.9417999999999997</v>
      </c>
      <c r="M185" s="33">
        <f>4.9454 * CHOOSE(CONTROL!$C$32, $C$9, 100%, $E$9)</f>
        <v>4.9454000000000002</v>
      </c>
      <c r="N185" s="33">
        <f>4.9418 * CHOOSE(CONTROL!$C$32, $C$9, 100%, $E$9)</f>
        <v>4.9417999999999997</v>
      </c>
      <c r="O185" s="33">
        <f>4.9454 * CHOOSE(CONTROL!$C$32, $C$9, 100%, $E$9)</f>
        <v>4.9454000000000002</v>
      </c>
    </row>
    <row r="186" spans="1:15" ht="15" x14ac:dyDescent="0.2">
      <c r="A186" s="16">
        <v>46508</v>
      </c>
      <c r="B186" s="32">
        <f>3.8786 * CHOOSE(CONTROL!$C$32, $C$9, 100%, $E$9)</f>
        <v>3.8786</v>
      </c>
      <c r="C186" s="32">
        <f>3.8786 * CHOOSE(CONTROL!$C$32, $C$9, 100%, $E$9)</f>
        <v>3.8786</v>
      </c>
      <c r="D186" s="32">
        <f>3.8801 * CHOOSE(CONTROL!$C$32, $C$9, 100%, $E$9)</f>
        <v>3.8801000000000001</v>
      </c>
      <c r="E186" s="33">
        <f>4.9418 * CHOOSE(CONTROL!$C$32, $C$9, 100%, $E$9)</f>
        <v>4.9417999999999997</v>
      </c>
      <c r="F186" s="33">
        <f>4.9418 * CHOOSE(CONTROL!$C$32, $C$9, 100%, $E$9)</f>
        <v>4.9417999999999997</v>
      </c>
      <c r="G186" s="33">
        <f>4.9471 * CHOOSE(CONTROL!$C$32, $C$9, 100%, $E$9)</f>
        <v>4.9470999999999998</v>
      </c>
      <c r="H186" s="33">
        <f>8.1156 * CHOOSE(CONTROL!$C$32, $C$9, 100%, $E$9)</f>
        <v>8.1156000000000006</v>
      </c>
      <c r="I186" s="33">
        <f>8.1209 * CHOOSE(CONTROL!$C$32, $C$9, 100%, $E$9)</f>
        <v>8.1209000000000007</v>
      </c>
      <c r="J186" s="33">
        <f>8.1156 * CHOOSE(CONTROL!$C$32, $C$9, 100%, $E$9)</f>
        <v>8.1156000000000006</v>
      </c>
      <c r="K186" s="33">
        <f>8.1209 * CHOOSE(CONTROL!$C$32, $C$9, 100%, $E$9)</f>
        <v>8.1209000000000007</v>
      </c>
      <c r="L186" s="33">
        <f>4.9418 * CHOOSE(CONTROL!$C$32, $C$9, 100%, $E$9)</f>
        <v>4.9417999999999997</v>
      </c>
      <c r="M186" s="33">
        <f>4.9471 * CHOOSE(CONTROL!$C$32, $C$9, 100%, $E$9)</f>
        <v>4.9470999999999998</v>
      </c>
      <c r="N186" s="33">
        <f>4.9418 * CHOOSE(CONTROL!$C$32, $C$9, 100%, $E$9)</f>
        <v>4.9417999999999997</v>
      </c>
      <c r="O186" s="33">
        <f>4.9471 * CHOOSE(CONTROL!$C$32, $C$9, 100%, $E$9)</f>
        <v>4.9470999999999998</v>
      </c>
    </row>
    <row r="187" spans="1:15" ht="15" x14ac:dyDescent="0.2">
      <c r="A187" s="16">
        <v>46539</v>
      </c>
      <c r="B187" s="32">
        <f>3.8846 * CHOOSE(CONTROL!$C$32, $C$9, 100%, $E$9)</f>
        <v>3.8845999999999998</v>
      </c>
      <c r="C187" s="32">
        <f>3.8846 * CHOOSE(CONTROL!$C$32, $C$9, 100%, $E$9)</f>
        <v>3.8845999999999998</v>
      </c>
      <c r="D187" s="32">
        <f>3.8862 * CHOOSE(CONTROL!$C$32, $C$9, 100%, $E$9)</f>
        <v>3.8862000000000001</v>
      </c>
      <c r="E187" s="33">
        <f>4.9458 * CHOOSE(CONTROL!$C$32, $C$9, 100%, $E$9)</f>
        <v>4.9458000000000002</v>
      </c>
      <c r="F187" s="33">
        <f>4.9458 * CHOOSE(CONTROL!$C$32, $C$9, 100%, $E$9)</f>
        <v>4.9458000000000002</v>
      </c>
      <c r="G187" s="33">
        <f>4.9511 * CHOOSE(CONTROL!$C$32, $C$9, 100%, $E$9)</f>
        <v>4.9511000000000003</v>
      </c>
      <c r="H187" s="33">
        <f>8.1325 * CHOOSE(CONTROL!$C$32, $C$9, 100%, $E$9)</f>
        <v>8.1325000000000003</v>
      </c>
      <c r="I187" s="33">
        <f>8.1378 * CHOOSE(CONTROL!$C$32, $C$9, 100%, $E$9)</f>
        <v>8.1378000000000004</v>
      </c>
      <c r="J187" s="33">
        <f>8.1325 * CHOOSE(CONTROL!$C$32, $C$9, 100%, $E$9)</f>
        <v>8.1325000000000003</v>
      </c>
      <c r="K187" s="33">
        <f>8.1378 * CHOOSE(CONTROL!$C$32, $C$9, 100%, $E$9)</f>
        <v>8.1378000000000004</v>
      </c>
      <c r="L187" s="33">
        <f>4.9458 * CHOOSE(CONTROL!$C$32, $C$9, 100%, $E$9)</f>
        <v>4.9458000000000002</v>
      </c>
      <c r="M187" s="33">
        <f>4.9511 * CHOOSE(CONTROL!$C$32, $C$9, 100%, $E$9)</f>
        <v>4.9511000000000003</v>
      </c>
      <c r="N187" s="33">
        <f>4.9458 * CHOOSE(CONTROL!$C$32, $C$9, 100%, $E$9)</f>
        <v>4.9458000000000002</v>
      </c>
      <c r="O187" s="33">
        <f>4.9511 * CHOOSE(CONTROL!$C$32, $C$9, 100%, $E$9)</f>
        <v>4.9511000000000003</v>
      </c>
    </row>
    <row r="188" spans="1:15" ht="15" x14ac:dyDescent="0.2">
      <c r="A188" s="16">
        <v>46569</v>
      </c>
      <c r="B188" s="32">
        <f>3.951 * CHOOSE(CONTROL!$C$32, $C$9, 100%, $E$9)</f>
        <v>3.9510000000000001</v>
      </c>
      <c r="C188" s="32">
        <f>3.951 * CHOOSE(CONTROL!$C$32, $C$9, 100%, $E$9)</f>
        <v>3.9510000000000001</v>
      </c>
      <c r="D188" s="32">
        <f>3.9526 * CHOOSE(CONTROL!$C$32, $C$9, 100%, $E$9)</f>
        <v>3.9525999999999999</v>
      </c>
      <c r="E188" s="33">
        <f>5.0318 * CHOOSE(CONTROL!$C$32, $C$9, 100%, $E$9)</f>
        <v>5.0317999999999996</v>
      </c>
      <c r="F188" s="33">
        <f>5.0318 * CHOOSE(CONTROL!$C$32, $C$9, 100%, $E$9)</f>
        <v>5.0317999999999996</v>
      </c>
      <c r="G188" s="33">
        <f>5.0371 * CHOOSE(CONTROL!$C$32, $C$9, 100%, $E$9)</f>
        <v>5.0370999999999997</v>
      </c>
      <c r="H188" s="33">
        <f>8.1494 * CHOOSE(CONTROL!$C$32, $C$9, 100%, $E$9)</f>
        <v>8.1494</v>
      </c>
      <c r="I188" s="33">
        <f>8.1547 * CHOOSE(CONTROL!$C$32, $C$9, 100%, $E$9)</f>
        <v>8.1547000000000001</v>
      </c>
      <c r="J188" s="33">
        <f>8.1494 * CHOOSE(CONTROL!$C$32, $C$9, 100%, $E$9)</f>
        <v>8.1494</v>
      </c>
      <c r="K188" s="33">
        <f>8.1547 * CHOOSE(CONTROL!$C$32, $C$9, 100%, $E$9)</f>
        <v>8.1547000000000001</v>
      </c>
      <c r="L188" s="33">
        <f>5.0318 * CHOOSE(CONTROL!$C$32, $C$9, 100%, $E$9)</f>
        <v>5.0317999999999996</v>
      </c>
      <c r="M188" s="33">
        <f>5.0371 * CHOOSE(CONTROL!$C$32, $C$9, 100%, $E$9)</f>
        <v>5.0370999999999997</v>
      </c>
      <c r="N188" s="33">
        <f>5.0318 * CHOOSE(CONTROL!$C$32, $C$9, 100%, $E$9)</f>
        <v>5.0317999999999996</v>
      </c>
      <c r="O188" s="33">
        <f>5.0371 * CHOOSE(CONTROL!$C$32, $C$9, 100%, $E$9)</f>
        <v>5.0370999999999997</v>
      </c>
    </row>
    <row r="189" spans="1:15" ht="15" x14ac:dyDescent="0.2">
      <c r="A189" s="16">
        <v>46600</v>
      </c>
      <c r="B189" s="32">
        <f>3.9577 * CHOOSE(CONTROL!$C$32, $C$9, 100%, $E$9)</f>
        <v>3.9577</v>
      </c>
      <c r="C189" s="32">
        <f>3.9577 * CHOOSE(CONTROL!$C$32, $C$9, 100%, $E$9)</f>
        <v>3.9577</v>
      </c>
      <c r="D189" s="32">
        <f>3.9592 * CHOOSE(CONTROL!$C$32, $C$9, 100%, $E$9)</f>
        <v>3.9592000000000001</v>
      </c>
      <c r="E189" s="33">
        <f>5.0362 * CHOOSE(CONTROL!$C$32, $C$9, 100%, $E$9)</f>
        <v>5.0362</v>
      </c>
      <c r="F189" s="33">
        <f>5.0362 * CHOOSE(CONTROL!$C$32, $C$9, 100%, $E$9)</f>
        <v>5.0362</v>
      </c>
      <c r="G189" s="33">
        <f>5.0415 * CHOOSE(CONTROL!$C$32, $C$9, 100%, $E$9)</f>
        <v>5.0415000000000001</v>
      </c>
      <c r="H189" s="33">
        <f>8.1664 * CHOOSE(CONTROL!$C$32, $C$9, 100%, $E$9)</f>
        <v>8.1663999999999994</v>
      </c>
      <c r="I189" s="33">
        <f>8.1717 * CHOOSE(CONTROL!$C$32, $C$9, 100%, $E$9)</f>
        <v>8.1716999999999995</v>
      </c>
      <c r="J189" s="33">
        <f>8.1664 * CHOOSE(CONTROL!$C$32, $C$9, 100%, $E$9)</f>
        <v>8.1663999999999994</v>
      </c>
      <c r="K189" s="33">
        <f>8.1717 * CHOOSE(CONTROL!$C$32, $C$9, 100%, $E$9)</f>
        <v>8.1716999999999995</v>
      </c>
      <c r="L189" s="33">
        <f>5.0362 * CHOOSE(CONTROL!$C$32, $C$9, 100%, $E$9)</f>
        <v>5.0362</v>
      </c>
      <c r="M189" s="33">
        <f>5.0415 * CHOOSE(CONTROL!$C$32, $C$9, 100%, $E$9)</f>
        <v>5.0415000000000001</v>
      </c>
      <c r="N189" s="33">
        <f>5.0362 * CHOOSE(CONTROL!$C$32, $C$9, 100%, $E$9)</f>
        <v>5.0362</v>
      </c>
      <c r="O189" s="33">
        <f>5.0415 * CHOOSE(CONTROL!$C$32, $C$9, 100%, $E$9)</f>
        <v>5.0415000000000001</v>
      </c>
    </row>
    <row r="190" spans="1:15" ht="15" x14ac:dyDescent="0.2">
      <c r="A190" s="16">
        <v>46631</v>
      </c>
      <c r="B190" s="32">
        <f>3.9546 * CHOOSE(CONTROL!$C$32, $C$9, 100%, $E$9)</f>
        <v>3.9546000000000001</v>
      </c>
      <c r="C190" s="32">
        <f>3.9546 * CHOOSE(CONTROL!$C$32, $C$9, 100%, $E$9)</f>
        <v>3.9546000000000001</v>
      </c>
      <c r="D190" s="32">
        <f>3.9562 * CHOOSE(CONTROL!$C$32, $C$9, 100%, $E$9)</f>
        <v>3.9561999999999999</v>
      </c>
      <c r="E190" s="33">
        <f>5.0342 * CHOOSE(CONTROL!$C$32, $C$9, 100%, $E$9)</f>
        <v>5.0342000000000002</v>
      </c>
      <c r="F190" s="33">
        <f>5.0342 * CHOOSE(CONTROL!$C$32, $C$9, 100%, $E$9)</f>
        <v>5.0342000000000002</v>
      </c>
      <c r="G190" s="33">
        <f>5.0395 * CHOOSE(CONTROL!$C$32, $C$9, 100%, $E$9)</f>
        <v>5.0395000000000003</v>
      </c>
      <c r="H190" s="33">
        <f>8.1834 * CHOOSE(CONTROL!$C$32, $C$9, 100%, $E$9)</f>
        <v>8.1834000000000007</v>
      </c>
      <c r="I190" s="33">
        <f>8.1887 * CHOOSE(CONTROL!$C$32, $C$9, 100%, $E$9)</f>
        <v>8.1887000000000008</v>
      </c>
      <c r="J190" s="33">
        <f>8.1834 * CHOOSE(CONTROL!$C$32, $C$9, 100%, $E$9)</f>
        <v>8.1834000000000007</v>
      </c>
      <c r="K190" s="33">
        <f>8.1887 * CHOOSE(CONTROL!$C$32, $C$9, 100%, $E$9)</f>
        <v>8.1887000000000008</v>
      </c>
      <c r="L190" s="33">
        <f>5.0342 * CHOOSE(CONTROL!$C$32, $C$9, 100%, $E$9)</f>
        <v>5.0342000000000002</v>
      </c>
      <c r="M190" s="33">
        <f>5.0395 * CHOOSE(CONTROL!$C$32, $C$9, 100%, $E$9)</f>
        <v>5.0395000000000003</v>
      </c>
      <c r="N190" s="33">
        <f>5.0342 * CHOOSE(CONTROL!$C$32, $C$9, 100%, $E$9)</f>
        <v>5.0342000000000002</v>
      </c>
      <c r="O190" s="33">
        <f>5.0395 * CHOOSE(CONTROL!$C$32, $C$9, 100%, $E$9)</f>
        <v>5.0395000000000003</v>
      </c>
    </row>
    <row r="191" spans="1:15" ht="15" x14ac:dyDescent="0.2">
      <c r="A191" s="16">
        <v>46661</v>
      </c>
      <c r="B191" s="32">
        <f>3.9496 * CHOOSE(CONTROL!$C$32, $C$9, 100%, $E$9)</f>
        <v>3.9496000000000002</v>
      </c>
      <c r="C191" s="32">
        <f>3.9496 * CHOOSE(CONTROL!$C$32, $C$9, 100%, $E$9)</f>
        <v>3.9496000000000002</v>
      </c>
      <c r="D191" s="32">
        <f>3.9506 * CHOOSE(CONTROL!$C$32, $C$9, 100%, $E$9)</f>
        <v>3.9506000000000001</v>
      </c>
      <c r="E191" s="33">
        <f>5.0288 * CHOOSE(CONTROL!$C$32, $C$9, 100%, $E$9)</f>
        <v>5.0288000000000004</v>
      </c>
      <c r="F191" s="33">
        <f>5.0288 * CHOOSE(CONTROL!$C$32, $C$9, 100%, $E$9)</f>
        <v>5.0288000000000004</v>
      </c>
      <c r="G191" s="33">
        <f>5.0324 * CHOOSE(CONTROL!$C$32, $C$9, 100%, $E$9)</f>
        <v>5.0324</v>
      </c>
      <c r="H191" s="33">
        <f>8.2005 * CHOOSE(CONTROL!$C$32, $C$9, 100%, $E$9)</f>
        <v>8.2004999999999999</v>
      </c>
      <c r="I191" s="33">
        <f>8.2041 * CHOOSE(CONTROL!$C$32, $C$9, 100%, $E$9)</f>
        <v>8.2041000000000004</v>
      </c>
      <c r="J191" s="33">
        <f>8.2005 * CHOOSE(CONTROL!$C$32, $C$9, 100%, $E$9)</f>
        <v>8.2004999999999999</v>
      </c>
      <c r="K191" s="33">
        <f>8.2041 * CHOOSE(CONTROL!$C$32, $C$9, 100%, $E$9)</f>
        <v>8.2041000000000004</v>
      </c>
      <c r="L191" s="33">
        <f>5.0288 * CHOOSE(CONTROL!$C$32, $C$9, 100%, $E$9)</f>
        <v>5.0288000000000004</v>
      </c>
      <c r="M191" s="33">
        <f>5.0324 * CHOOSE(CONTROL!$C$32, $C$9, 100%, $E$9)</f>
        <v>5.0324</v>
      </c>
      <c r="N191" s="33">
        <f>5.0288 * CHOOSE(CONTROL!$C$32, $C$9, 100%, $E$9)</f>
        <v>5.0288000000000004</v>
      </c>
      <c r="O191" s="33">
        <f>5.0324 * CHOOSE(CONTROL!$C$32, $C$9, 100%, $E$9)</f>
        <v>5.0324</v>
      </c>
    </row>
    <row r="192" spans="1:15" ht="15" x14ac:dyDescent="0.2">
      <c r="A192" s="16">
        <v>46692</v>
      </c>
      <c r="B192" s="32">
        <f>3.9526 * CHOOSE(CONTROL!$C$32, $C$9, 100%, $E$9)</f>
        <v>3.9525999999999999</v>
      </c>
      <c r="C192" s="32">
        <f>3.9526 * CHOOSE(CONTROL!$C$32, $C$9, 100%, $E$9)</f>
        <v>3.9525999999999999</v>
      </c>
      <c r="D192" s="32">
        <f>3.9537 * CHOOSE(CONTROL!$C$32, $C$9, 100%, $E$9)</f>
        <v>3.9537</v>
      </c>
      <c r="E192" s="33">
        <f>5.0308 * CHOOSE(CONTROL!$C$32, $C$9, 100%, $E$9)</f>
        <v>5.0308000000000002</v>
      </c>
      <c r="F192" s="33">
        <f>5.0308 * CHOOSE(CONTROL!$C$32, $C$9, 100%, $E$9)</f>
        <v>5.0308000000000002</v>
      </c>
      <c r="G192" s="33">
        <f>5.0344 * CHOOSE(CONTROL!$C$32, $C$9, 100%, $E$9)</f>
        <v>5.0343999999999998</v>
      </c>
      <c r="H192" s="33">
        <f>8.2176 * CHOOSE(CONTROL!$C$32, $C$9, 100%, $E$9)</f>
        <v>8.2175999999999991</v>
      </c>
      <c r="I192" s="33">
        <f>8.2212 * CHOOSE(CONTROL!$C$32, $C$9, 100%, $E$9)</f>
        <v>8.2211999999999996</v>
      </c>
      <c r="J192" s="33">
        <f>8.2176 * CHOOSE(CONTROL!$C$32, $C$9, 100%, $E$9)</f>
        <v>8.2175999999999991</v>
      </c>
      <c r="K192" s="33">
        <f>8.2212 * CHOOSE(CONTROL!$C$32, $C$9, 100%, $E$9)</f>
        <v>8.2211999999999996</v>
      </c>
      <c r="L192" s="33">
        <f>5.0308 * CHOOSE(CONTROL!$C$32, $C$9, 100%, $E$9)</f>
        <v>5.0308000000000002</v>
      </c>
      <c r="M192" s="33">
        <f>5.0344 * CHOOSE(CONTROL!$C$32, $C$9, 100%, $E$9)</f>
        <v>5.0343999999999998</v>
      </c>
      <c r="N192" s="33">
        <f>5.0308 * CHOOSE(CONTROL!$C$32, $C$9, 100%, $E$9)</f>
        <v>5.0308000000000002</v>
      </c>
      <c r="O192" s="33">
        <f>5.0344 * CHOOSE(CONTROL!$C$32, $C$9, 100%, $E$9)</f>
        <v>5.0343999999999998</v>
      </c>
    </row>
    <row r="193" spans="1:15" ht="15" x14ac:dyDescent="0.2">
      <c r="A193" s="16">
        <v>46722</v>
      </c>
      <c r="B193" s="32">
        <f>3.9526 * CHOOSE(CONTROL!$C$32, $C$9, 100%, $E$9)</f>
        <v>3.9525999999999999</v>
      </c>
      <c r="C193" s="32">
        <f>3.9526 * CHOOSE(CONTROL!$C$32, $C$9, 100%, $E$9)</f>
        <v>3.9525999999999999</v>
      </c>
      <c r="D193" s="32">
        <f>3.9537 * CHOOSE(CONTROL!$C$32, $C$9, 100%, $E$9)</f>
        <v>3.9537</v>
      </c>
      <c r="E193" s="33">
        <f>5.0308 * CHOOSE(CONTROL!$C$32, $C$9, 100%, $E$9)</f>
        <v>5.0308000000000002</v>
      </c>
      <c r="F193" s="33">
        <f>5.0308 * CHOOSE(CONTROL!$C$32, $C$9, 100%, $E$9)</f>
        <v>5.0308000000000002</v>
      </c>
      <c r="G193" s="33">
        <f>5.0344 * CHOOSE(CONTROL!$C$32, $C$9, 100%, $E$9)</f>
        <v>5.0343999999999998</v>
      </c>
      <c r="H193" s="33">
        <f>8.2347 * CHOOSE(CONTROL!$C$32, $C$9, 100%, $E$9)</f>
        <v>8.2347000000000001</v>
      </c>
      <c r="I193" s="33">
        <f>8.2383 * CHOOSE(CONTROL!$C$32, $C$9, 100%, $E$9)</f>
        <v>8.2383000000000006</v>
      </c>
      <c r="J193" s="33">
        <f>8.2347 * CHOOSE(CONTROL!$C$32, $C$9, 100%, $E$9)</f>
        <v>8.2347000000000001</v>
      </c>
      <c r="K193" s="33">
        <f>8.2383 * CHOOSE(CONTROL!$C$32, $C$9, 100%, $E$9)</f>
        <v>8.2383000000000006</v>
      </c>
      <c r="L193" s="33">
        <f>5.0308 * CHOOSE(CONTROL!$C$32, $C$9, 100%, $E$9)</f>
        <v>5.0308000000000002</v>
      </c>
      <c r="M193" s="33">
        <f>5.0344 * CHOOSE(CONTROL!$C$32, $C$9, 100%, $E$9)</f>
        <v>5.0343999999999998</v>
      </c>
      <c r="N193" s="33">
        <f>5.0308 * CHOOSE(CONTROL!$C$32, $C$9, 100%, $E$9)</f>
        <v>5.0308000000000002</v>
      </c>
      <c r="O193" s="33">
        <f>5.0344 * CHOOSE(CONTROL!$C$32, $C$9, 100%, $E$9)</f>
        <v>5.0343999999999998</v>
      </c>
    </row>
    <row r="194" spans="1:15" ht="15" x14ac:dyDescent="0.2">
      <c r="A194" s="16">
        <v>46753</v>
      </c>
      <c r="B194" s="32">
        <f>3.9901 * CHOOSE(CONTROL!$C$32, $C$9, 100%, $E$9)</f>
        <v>3.9901</v>
      </c>
      <c r="C194" s="32">
        <f>3.9901 * CHOOSE(CONTROL!$C$32, $C$9, 100%, $E$9)</f>
        <v>3.9901</v>
      </c>
      <c r="D194" s="32">
        <f>3.9912 * CHOOSE(CONTROL!$C$32, $C$9, 100%, $E$9)</f>
        <v>3.9912000000000001</v>
      </c>
      <c r="E194" s="33">
        <f>5.0753 * CHOOSE(CONTROL!$C$32, $C$9, 100%, $E$9)</f>
        <v>5.0753000000000004</v>
      </c>
      <c r="F194" s="33">
        <f>5.0753 * CHOOSE(CONTROL!$C$32, $C$9, 100%, $E$9)</f>
        <v>5.0753000000000004</v>
      </c>
      <c r="G194" s="33">
        <f>5.0789 * CHOOSE(CONTROL!$C$32, $C$9, 100%, $E$9)</f>
        <v>5.0789</v>
      </c>
      <c r="H194" s="33">
        <f>8.2518 * CHOOSE(CONTROL!$C$32, $C$9, 100%, $E$9)</f>
        <v>8.2517999999999994</v>
      </c>
      <c r="I194" s="33">
        <f>8.2555 * CHOOSE(CONTROL!$C$32, $C$9, 100%, $E$9)</f>
        <v>8.2554999999999996</v>
      </c>
      <c r="J194" s="33">
        <f>8.2518 * CHOOSE(CONTROL!$C$32, $C$9, 100%, $E$9)</f>
        <v>8.2517999999999994</v>
      </c>
      <c r="K194" s="33">
        <f>8.2555 * CHOOSE(CONTROL!$C$32, $C$9, 100%, $E$9)</f>
        <v>8.2554999999999996</v>
      </c>
      <c r="L194" s="33">
        <f>5.0753 * CHOOSE(CONTROL!$C$32, $C$9, 100%, $E$9)</f>
        <v>5.0753000000000004</v>
      </c>
      <c r="M194" s="33">
        <f>5.0789 * CHOOSE(CONTROL!$C$32, $C$9, 100%, $E$9)</f>
        <v>5.0789</v>
      </c>
      <c r="N194" s="33">
        <f>5.0753 * CHOOSE(CONTROL!$C$32, $C$9, 100%, $E$9)</f>
        <v>5.0753000000000004</v>
      </c>
      <c r="O194" s="33">
        <f>5.0789 * CHOOSE(CONTROL!$C$32, $C$9, 100%, $E$9)</f>
        <v>5.0789</v>
      </c>
    </row>
    <row r="195" spans="1:15" ht="15" x14ac:dyDescent="0.2">
      <c r="A195" s="16">
        <v>46784</v>
      </c>
      <c r="B195" s="32">
        <f>3.9871 * CHOOSE(CONTROL!$C$32, $C$9, 100%, $E$9)</f>
        <v>3.9870999999999999</v>
      </c>
      <c r="C195" s="32">
        <f>3.9871 * CHOOSE(CONTROL!$C$32, $C$9, 100%, $E$9)</f>
        <v>3.9870999999999999</v>
      </c>
      <c r="D195" s="32">
        <f>3.9882 * CHOOSE(CONTROL!$C$32, $C$9, 100%, $E$9)</f>
        <v>3.9882</v>
      </c>
      <c r="E195" s="33">
        <f>5.0733 * CHOOSE(CONTROL!$C$32, $C$9, 100%, $E$9)</f>
        <v>5.0732999999999997</v>
      </c>
      <c r="F195" s="33">
        <f>5.0733 * CHOOSE(CONTROL!$C$32, $C$9, 100%, $E$9)</f>
        <v>5.0732999999999997</v>
      </c>
      <c r="G195" s="33">
        <f>5.0769 * CHOOSE(CONTROL!$C$32, $C$9, 100%, $E$9)</f>
        <v>5.0769000000000002</v>
      </c>
      <c r="H195" s="33">
        <f>8.269 * CHOOSE(CONTROL!$C$32, $C$9, 100%, $E$9)</f>
        <v>8.2690000000000001</v>
      </c>
      <c r="I195" s="33">
        <f>8.2727 * CHOOSE(CONTROL!$C$32, $C$9, 100%, $E$9)</f>
        <v>8.2727000000000004</v>
      </c>
      <c r="J195" s="33">
        <f>8.269 * CHOOSE(CONTROL!$C$32, $C$9, 100%, $E$9)</f>
        <v>8.2690000000000001</v>
      </c>
      <c r="K195" s="33">
        <f>8.2727 * CHOOSE(CONTROL!$C$32, $C$9, 100%, $E$9)</f>
        <v>8.2727000000000004</v>
      </c>
      <c r="L195" s="33">
        <f>5.0733 * CHOOSE(CONTROL!$C$32, $C$9, 100%, $E$9)</f>
        <v>5.0732999999999997</v>
      </c>
      <c r="M195" s="33">
        <f>5.0769 * CHOOSE(CONTROL!$C$32, $C$9, 100%, $E$9)</f>
        <v>5.0769000000000002</v>
      </c>
      <c r="N195" s="33">
        <f>5.0733 * CHOOSE(CONTROL!$C$32, $C$9, 100%, $E$9)</f>
        <v>5.0732999999999997</v>
      </c>
      <c r="O195" s="33">
        <f>5.0769 * CHOOSE(CONTROL!$C$32, $C$9, 100%, $E$9)</f>
        <v>5.0769000000000002</v>
      </c>
    </row>
    <row r="196" spans="1:15" ht="15" x14ac:dyDescent="0.2">
      <c r="A196" s="16">
        <v>46813</v>
      </c>
      <c r="B196" s="32">
        <f>3.984 * CHOOSE(CONTROL!$C$32, $C$9, 100%, $E$9)</f>
        <v>3.984</v>
      </c>
      <c r="C196" s="32">
        <f>3.984 * CHOOSE(CONTROL!$C$32, $C$9, 100%, $E$9)</f>
        <v>3.984</v>
      </c>
      <c r="D196" s="32">
        <f>3.9851 * CHOOSE(CONTROL!$C$32, $C$9, 100%, $E$9)</f>
        <v>3.9851000000000001</v>
      </c>
      <c r="E196" s="33">
        <f>5.0713 * CHOOSE(CONTROL!$C$32, $C$9, 100%, $E$9)</f>
        <v>5.0712999999999999</v>
      </c>
      <c r="F196" s="33">
        <f>5.0713 * CHOOSE(CONTROL!$C$32, $C$9, 100%, $E$9)</f>
        <v>5.0712999999999999</v>
      </c>
      <c r="G196" s="33">
        <f>5.0749 * CHOOSE(CONTROL!$C$32, $C$9, 100%, $E$9)</f>
        <v>5.0749000000000004</v>
      </c>
      <c r="H196" s="33">
        <f>8.2863 * CHOOSE(CONTROL!$C$32, $C$9, 100%, $E$9)</f>
        <v>8.2863000000000007</v>
      </c>
      <c r="I196" s="33">
        <f>8.2899 * CHOOSE(CONTROL!$C$32, $C$9, 100%, $E$9)</f>
        <v>8.2898999999999994</v>
      </c>
      <c r="J196" s="33">
        <f>8.2863 * CHOOSE(CONTROL!$C$32, $C$9, 100%, $E$9)</f>
        <v>8.2863000000000007</v>
      </c>
      <c r="K196" s="33">
        <f>8.2899 * CHOOSE(CONTROL!$C$32, $C$9, 100%, $E$9)</f>
        <v>8.2898999999999994</v>
      </c>
      <c r="L196" s="33">
        <f>5.0713 * CHOOSE(CONTROL!$C$32, $C$9, 100%, $E$9)</f>
        <v>5.0712999999999999</v>
      </c>
      <c r="M196" s="33">
        <f>5.0749 * CHOOSE(CONTROL!$C$32, $C$9, 100%, $E$9)</f>
        <v>5.0749000000000004</v>
      </c>
      <c r="N196" s="33">
        <f>5.0713 * CHOOSE(CONTROL!$C$32, $C$9, 100%, $E$9)</f>
        <v>5.0712999999999999</v>
      </c>
      <c r="O196" s="33">
        <f>5.0749 * CHOOSE(CONTROL!$C$32, $C$9, 100%, $E$9)</f>
        <v>5.0749000000000004</v>
      </c>
    </row>
    <row r="197" spans="1:15" ht="15" x14ac:dyDescent="0.2">
      <c r="A197" s="16">
        <v>46844</v>
      </c>
      <c r="B197" s="32">
        <f>3.9817 * CHOOSE(CONTROL!$C$32, $C$9, 100%, $E$9)</f>
        <v>3.9817</v>
      </c>
      <c r="C197" s="32">
        <f>3.9817 * CHOOSE(CONTROL!$C$32, $C$9, 100%, $E$9)</f>
        <v>3.9817</v>
      </c>
      <c r="D197" s="32">
        <f>3.9828 * CHOOSE(CONTROL!$C$32, $C$9, 100%, $E$9)</f>
        <v>3.9828000000000001</v>
      </c>
      <c r="E197" s="33">
        <f>5.0692 * CHOOSE(CONTROL!$C$32, $C$9, 100%, $E$9)</f>
        <v>5.0692000000000004</v>
      </c>
      <c r="F197" s="33">
        <f>5.0692 * CHOOSE(CONTROL!$C$32, $C$9, 100%, $E$9)</f>
        <v>5.0692000000000004</v>
      </c>
      <c r="G197" s="33">
        <f>5.0728 * CHOOSE(CONTROL!$C$32, $C$9, 100%, $E$9)</f>
        <v>5.0728</v>
      </c>
      <c r="H197" s="33">
        <f>8.3035 * CHOOSE(CONTROL!$C$32, $C$9, 100%, $E$9)</f>
        <v>8.3034999999999997</v>
      </c>
      <c r="I197" s="33">
        <f>8.3071 * CHOOSE(CONTROL!$C$32, $C$9, 100%, $E$9)</f>
        <v>8.3071000000000002</v>
      </c>
      <c r="J197" s="33">
        <f>8.3035 * CHOOSE(CONTROL!$C$32, $C$9, 100%, $E$9)</f>
        <v>8.3034999999999997</v>
      </c>
      <c r="K197" s="33">
        <f>8.3071 * CHOOSE(CONTROL!$C$32, $C$9, 100%, $E$9)</f>
        <v>8.3071000000000002</v>
      </c>
      <c r="L197" s="33">
        <f>5.0692 * CHOOSE(CONTROL!$C$32, $C$9, 100%, $E$9)</f>
        <v>5.0692000000000004</v>
      </c>
      <c r="M197" s="33">
        <f>5.0728 * CHOOSE(CONTROL!$C$32, $C$9, 100%, $E$9)</f>
        <v>5.0728</v>
      </c>
      <c r="N197" s="33">
        <f>5.0692 * CHOOSE(CONTROL!$C$32, $C$9, 100%, $E$9)</f>
        <v>5.0692000000000004</v>
      </c>
      <c r="O197" s="33">
        <f>5.0728 * CHOOSE(CONTROL!$C$32, $C$9, 100%, $E$9)</f>
        <v>5.0728</v>
      </c>
    </row>
    <row r="198" spans="1:15" ht="15" x14ac:dyDescent="0.2">
      <c r="A198" s="16">
        <v>46874</v>
      </c>
      <c r="B198" s="32">
        <f>3.9817 * CHOOSE(CONTROL!$C$32, $C$9, 100%, $E$9)</f>
        <v>3.9817</v>
      </c>
      <c r="C198" s="32">
        <f>3.9817 * CHOOSE(CONTROL!$C$32, $C$9, 100%, $E$9)</f>
        <v>3.9817</v>
      </c>
      <c r="D198" s="32">
        <f>3.9833 * CHOOSE(CONTROL!$C$32, $C$9, 100%, $E$9)</f>
        <v>3.9832999999999998</v>
      </c>
      <c r="E198" s="33">
        <f>5.0692 * CHOOSE(CONTROL!$C$32, $C$9, 100%, $E$9)</f>
        <v>5.0692000000000004</v>
      </c>
      <c r="F198" s="33">
        <f>5.0692 * CHOOSE(CONTROL!$C$32, $C$9, 100%, $E$9)</f>
        <v>5.0692000000000004</v>
      </c>
      <c r="G198" s="33">
        <f>5.0745 * CHOOSE(CONTROL!$C$32, $C$9, 100%, $E$9)</f>
        <v>5.0744999999999996</v>
      </c>
      <c r="H198" s="33">
        <f>8.3208 * CHOOSE(CONTROL!$C$32, $C$9, 100%, $E$9)</f>
        <v>8.3208000000000002</v>
      </c>
      <c r="I198" s="33">
        <f>8.3261 * CHOOSE(CONTROL!$C$32, $C$9, 100%, $E$9)</f>
        <v>8.3261000000000003</v>
      </c>
      <c r="J198" s="33">
        <f>8.3208 * CHOOSE(CONTROL!$C$32, $C$9, 100%, $E$9)</f>
        <v>8.3208000000000002</v>
      </c>
      <c r="K198" s="33">
        <f>8.3261 * CHOOSE(CONTROL!$C$32, $C$9, 100%, $E$9)</f>
        <v>8.3261000000000003</v>
      </c>
      <c r="L198" s="33">
        <f>5.0692 * CHOOSE(CONTROL!$C$32, $C$9, 100%, $E$9)</f>
        <v>5.0692000000000004</v>
      </c>
      <c r="M198" s="33">
        <f>5.0745 * CHOOSE(CONTROL!$C$32, $C$9, 100%, $E$9)</f>
        <v>5.0744999999999996</v>
      </c>
      <c r="N198" s="33">
        <f>5.0692 * CHOOSE(CONTROL!$C$32, $C$9, 100%, $E$9)</f>
        <v>5.0692000000000004</v>
      </c>
      <c r="O198" s="33">
        <f>5.0745 * CHOOSE(CONTROL!$C$32, $C$9, 100%, $E$9)</f>
        <v>5.0744999999999996</v>
      </c>
    </row>
    <row r="199" spans="1:15" ht="15" x14ac:dyDescent="0.2">
      <c r="A199" s="16">
        <v>46905</v>
      </c>
      <c r="B199" s="32">
        <f>3.9878 * CHOOSE(CONTROL!$C$32, $C$9, 100%, $E$9)</f>
        <v>3.9878</v>
      </c>
      <c r="C199" s="32">
        <f>3.9878 * CHOOSE(CONTROL!$C$32, $C$9, 100%, $E$9)</f>
        <v>3.9878</v>
      </c>
      <c r="D199" s="32">
        <f>3.9893 * CHOOSE(CONTROL!$C$32, $C$9, 100%, $E$9)</f>
        <v>3.9893000000000001</v>
      </c>
      <c r="E199" s="33">
        <f>5.0732 * CHOOSE(CONTROL!$C$32, $C$9, 100%, $E$9)</f>
        <v>5.0731999999999999</v>
      </c>
      <c r="F199" s="33">
        <f>5.0732 * CHOOSE(CONTROL!$C$32, $C$9, 100%, $E$9)</f>
        <v>5.0731999999999999</v>
      </c>
      <c r="G199" s="33">
        <f>5.0785 * CHOOSE(CONTROL!$C$32, $C$9, 100%, $E$9)</f>
        <v>5.0785</v>
      </c>
      <c r="H199" s="33">
        <f>8.3382 * CHOOSE(CONTROL!$C$32, $C$9, 100%, $E$9)</f>
        <v>8.3382000000000005</v>
      </c>
      <c r="I199" s="33">
        <f>8.3435 * CHOOSE(CONTROL!$C$32, $C$9, 100%, $E$9)</f>
        <v>8.3435000000000006</v>
      </c>
      <c r="J199" s="33">
        <f>8.3382 * CHOOSE(CONTROL!$C$32, $C$9, 100%, $E$9)</f>
        <v>8.3382000000000005</v>
      </c>
      <c r="K199" s="33">
        <f>8.3435 * CHOOSE(CONTROL!$C$32, $C$9, 100%, $E$9)</f>
        <v>8.3435000000000006</v>
      </c>
      <c r="L199" s="33">
        <f>5.0732 * CHOOSE(CONTROL!$C$32, $C$9, 100%, $E$9)</f>
        <v>5.0731999999999999</v>
      </c>
      <c r="M199" s="33">
        <f>5.0785 * CHOOSE(CONTROL!$C$32, $C$9, 100%, $E$9)</f>
        <v>5.0785</v>
      </c>
      <c r="N199" s="33">
        <f>5.0732 * CHOOSE(CONTROL!$C$32, $C$9, 100%, $E$9)</f>
        <v>5.0731999999999999</v>
      </c>
      <c r="O199" s="33">
        <f>5.0785 * CHOOSE(CONTROL!$C$32, $C$9, 100%, $E$9)</f>
        <v>5.0785</v>
      </c>
    </row>
    <row r="200" spans="1:15" ht="15" x14ac:dyDescent="0.2">
      <c r="A200" s="16">
        <v>46935</v>
      </c>
      <c r="B200" s="32">
        <f>4.0588 * CHOOSE(CONTROL!$C$32, $C$9, 100%, $E$9)</f>
        <v>4.0587999999999997</v>
      </c>
      <c r="C200" s="32">
        <f>4.0588 * CHOOSE(CONTROL!$C$32, $C$9, 100%, $E$9)</f>
        <v>4.0587999999999997</v>
      </c>
      <c r="D200" s="32">
        <f>4.0603 * CHOOSE(CONTROL!$C$32, $C$9, 100%, $E$9)</f>
        <v>4.0602999999999998</v>
      </c>
      <c r="E200" s="33">
        <f>5.1714 * CHOOSE(CONTROL!$C$32, $C$9, 100%, $E$9)</f>
        <v>5.1714000000000002</v>
      </c>
      <c r="F200" s="33">
        <f>5.1714 * CHOOSE(CONTROL!$C$32, $C$9, 100%, $E$9)</f>
        <v>5.1714000000000002</v>
      </c>
      <c r="G200" s="33">
        <f>5.1767 * CHOOSE(CONTROL!$C$32, $C$9, 100%, $E$9)</f>
        <v>5.1767000000000003</v>
      </c>
      <c r="H200" s="33">
        <f>8.3555 * CHOOSE(CONTROL!$C$32, $C$9, 100%, $E$9)</f>
        <v>8.3554999999999993</v>
      </c>
      <c r="I200" s="33">
        <f>8.3608 * CHOOSE(CONTROL!$C$32, $C$9, 100%, $E$9)</f>
        <v>8.3607999999999993</v>
      </c>
      <c r="J200" s="33">
        <f>8.3555 * CHOOSE(CONTROL!$C$32, $C$9, 100%, $E$9)</f>
        <v>8.3554999999999993</v>
      </c>
      <c r="K200" s="33">
        <f>8.3608 * CHOOSE(CONTROL!$C$32, $C$9, 100%, $E$9)</f>
        <v>8.3607999999999993</v>
      </c>
      <c r="L200" s="33">
        <f>5.1714 * CHOOSE(CONTROL!$C$32, $C$9, 100%, $E$9)</f>
        <v>5.1714000000000002</v>
      </c>
      <c r="M200" s="33">
        <f>5.1767 * CHOOSE(CONTROL!$C$32, $C$9, 100%, $E$9)</f>
        <v>5.1767000000000003</v>
      </c>
      <c r="N200" s="33">
        <f>5.1714 * CHOOSE(CONTROL!$C$32, $C$9, 100%, $E$9)</f>
        <v>5.1714000000000002</v>
      </c>
      <c r="O200" s="33">
        <f>5.1767 * CHOOSE(CONTROL!$C$32, $C$9, 100%, $E$9)</f>
        <v>5.1767000000000003</v>
      </c>
    </row>
    <row r="201" spans="1:15" ht="15" x14ac:dyDescent="0.2">
      <c r="A201" s="16">
        <v>46966</v>
      </c>
      <c r="B201" s="32">
        <f>4.0654 * CHOOSE(CONTROL!$C$32, $C$9, 100%, $E$9)</f>
        <v>4.0654000000000003</v>
      </c>
      <c r="C201" s="32">
        <f>4.0654 * CHOOSE(CONTROL!$C$32, $C$9, 100%, $E$9)</f>
        <v>4.0654000000000003</v>
      </c>
      <c r="D201" s="32">
        <f>4.067 * CHOOSE(CONTROL!$C$32, $C$9, 100%, $E$9)</f>
        <v>4.0670000000000002</v>
      </c>
      <c r="E201" s="33">
        <f>5.1758 * CHOOSE(CONTROL!$C$32, $C$9, 100%, $E$9)</f>
        <v>5.1757999999999997</v>
      </c>
      <c r="F201" s="33">
        <f>5.1758 * CHOOSE(CONTROL!$C$32, $C$9, 100%, $E$9)</f>
        <v>5.1757999999999997</v>
      </c>
      <c r="G201" s="33">
        <f>5.1811 * CHOOSE(CONTROL!$C$32, $C$9, 100%, $E$9)</f>
        <v>5.1810999999999998</v>
      </c>
      <c r="H201" s="33">
        <f>8.3729 * CHOOSE(CONTROL!$C$32, $C$9, 100%, $E$9)</f>
        <v>8.3728999999999996</v>
      </c>
      <c r="I201" s="33">
        <f>8.3782 * CHOOSE(CONTROL!$C$32, $C$9, 100%, $E$9)</f>
        <v>8.3781999999999996</v>
      </c>
      <c r="J201" s="33">
        <f>8.3729 * CHOOSE(CONTROL!$C$32, $C$9, 100%, $E$9)</f>
        <v>8.3728999999999996</v>
      </c>
      <c r="K201" s="33">
        <f>8.3782 * CHOOSE(CONTROL!$C$32, $C$9, 100%, $E$9)</f>
        <v>8.3781999999999996</v>
      </c>
      <c r="L201" s="33">
        <f>5.1758 * CHOOSE(CONTROL!$C$32, $C$9, 100%, $E$9)</f>
        <v>5.1757999999999997</v>
      </c>
      <c r="M201" s="33">
        <f>5.1811 * CHOOSE(CONTROL!$C$32, $C$9, 100%, $E$9)</f>
        <v>5.1810999999999998</v>
      </c>
      <c r="N201" s="33">
        <f>5.1758 * CHOOSE(CONTROL!$C$32, $C$9, 100%, $E$9)</f>
        <v>5.1757999999999997</v>
      </c>
      <c r="O201" s="33">
        <f>5.1811 * CHOOSE(CONTROL!$C$32, $C$9, 100%, $E$9)</f>
        <v>5.1810999999999998</v>
      </c>
    </row>
    <row r="202" spans="1:15" ht="15" x14ac:dyDescent="0.2">
      <c r="A202" s="16">
        <v>46997</v>
      </c>
      <c r="B202" s="32">
        <f>4.0624 * CHOOSE(CONTROL!$C$32, $C$9, 100%, $E$9)</f>
        <v>4.0624000000000002</v>
      </c>
      <c r="C202" s="32">
        <f>4.0624 * CHOOSE(CONTROL!$C$32, $C$9, 100%, $E$9)</f>
        <v>4.0624000000000002</v>
      </c>
      <c r="D202" s="32">
        <f>4.064 * CHOOSE(CONTROL!$C$32, $C$9, 100%, $E$9)</f>
        <v>4.0640000000000001</v>
      </c>
      <c r="E202" s="33">
        <f>5.1738 * CHOOSE(CONTROL!$C$32, $C$9, 100%, $E$9)</f>
        <v>5.1738</v>
      </c>
      <c r="F202" s="33">
        <f>5.1738 * CHOOSE(CONTROL!$C$32, $C$9, 100%, $E$9)</f>
        <v>5.1738</v>
      </c>
      <c r="G202" s="33">
        <f>5.1791 * CHOOSE(CONTROL!$C$32, $C$9, 100%, $E$9)</f>
        <v>5.1791</v>
      </c>
      <c r="H202" s="33">
        <f>8.3904 * CHOOSE(CONTROL!$C$32, $C$9, 100%, $E$9)</f>
        <v>8.3903999999999996</v>
      </c>
      <c r="I202" s="33">
        <f>8.3957 * CHOOSE(CONTROL!$C$32, $C$9, 100%, $E$9)</f>
        <v>8.3956999999999997</v>
      </c>
      <c r="J202" s="33">
        <f>8.3904 * CHOOSE(CONTROL!$C$32, $C$9, 100%, $E$9)</f>
        <v>8.3903999999999996</v>
      </c>
      <c r="K202" s="33">
        <f>8.3957 * CHOOSE(CONTROL!$C$32, $C$9, 100%, $E$9)</f>
        <v>8.3956999999999997</v>
      </c>
      <c r="L202" s="33">
        <f>5.1738 * CHOOSE(CONTROL!$C$32, $C$9, 100%, $E$9)</f>
        <v>5.1738</v>
      </c>
      <c r="M202" s="33">
        <f>5.1791 * CHOOSE(CONTROL!$C$32, $C$9, 100%, $E$9)</f>
        <v>5.1791</v>
      </c>
      <c r="N202" s="33">
        <f>5.1738 * CHOOSE(CONTROL!$C$32, $C$9, 100%, $E$9)</f>
        <v>5.1738</v>
      </c>
      <c r="O202" s="33">
        <f>5.1791 * CHOOSE(CONTROL!$C$32, $C$9, 100%, $E$9)</f>
        <v>5.1791</v>
      </c>
    </row>
    <row r="203" spans="1:15" ht="15" x14ac:dyDescent="0.2">
      <c r="A203" s="16">
        <v>47027</v>
      </c>
      <c r="B203" s="32">
        <f>4.0577 * CHOOSE(CONTROL!$C$32, $C$9, 100%, $E$9)</f>
        <v>4.0576999999999996</v>
      </c>
      <c r="C203" s="32">
        <f>4.0577 * CHOOSE(CONTROL!$C$32, $C$9, 100%, $E$9)</f>
        <v>4.0576999999999996</v>
      </c>
      <c r="D203" s="32">
        <f>4.0588 * CHOOSE(CONTROL!$C$32, $C$9, 100%, $E$9)</f>
        <v>4.0587999999999997</v>
      </c>
      <c r="E203" s="33">
        <f>5.1686 * CHOOSE(CONTROL!$C$32, $C$9, 100%, $E$9)</f>
        <v>5.1685999999999996</v>
      </c>
      <c r="F203" s="33">
        <f>5.1686 * CHOOSE(CONTROL!$C$32, $C$9, 100%, $E$9)</f>
        <v>5.1685999999999996</v>
      </c>
      <c r="G203" s="33">
        <f>5.1722 * CHOOSE(CONTROL!$C$32, $C$9, 100%, $E$9)</f>
        <v>5.1722000000000001</v>
      </c>
      <c r="H203" s="33">
        <f>8.4079 * CHOOSE(CONTROL!$C$32, $C$9, 100%, $E$9)</f>
        <v>8.4078999999999997</v>
      </c>
      <c r="I203" s="33">
        <f>8.4115 * CHOOSE(CONTROL!$C$32, $C$9, 100%, $E$9)</f>
        <v>8.4115000000000002</v>
      </c>
      <c r="J203" s="33">
        <f>8.4079 * CHOOSE(CONTROL!$C$32, $C$9, 100%, $E$9)</f>
        <v>8.4078999999999997</v>
      </c>
      <c r="K203" s="33">
        <f>8.4115 * CHOOSE(CONTROL!$C$32, $C$9, 100%, $E$9)</f>
        <v>8.4115000000000002</v>
      </c>
      <c r="L203" s="33">
        <f>5.1686 * CHOOSE(CONTROL!$C$32, $C$9, 100%, $E$9)</f>
        <v>5.1685999999999996</v>
      </c>
      <c r="M203" s="33">
        <f>5.1722 * CHOOSE(CONTROL!$C$32, $C$9, 100%, $E$9)</f>
        <v>5.1722000000000001</v>
      </c>
      <c r="N203" s="33">
        <f>5.1686 * CHOOSE(CONTROL!$C$32, $C$9, 100%, $E$9)</f>
        <v>5.1685999999999996</v>
      </c>
      <c r="O203" s="33">
        <f>5.1722 * CHOOSE(CONTROL!$C$32, $C$9, 100%, $E$9)</f>
        <v>5.1722000000000001</v>
      </c>
    </row>
    <row r="204" spans="1:15" ht="15" x14ac:dyDescent="0.2">
      <c r="A204" s="16">
        <v>47058</v>
      </c>
      <c r="B204" s="32">
        <f>4.0607 * CHOOSE(CONTROL!$C$32, $C$9, 100%, $E$9)</f>
        <v>4.0606999999999998</v>
      </c>
      <c r="C204" s="32">
        <f>4.0607 * CHOOSE(CONTROL!$C$32, $C$9, 100%, $E$9)</f>
        <v>4.0606999999999998</v>
      </c>
      <c r="D204" s="32">
        <f>4.0618 * CHOOSE(CONTROL!$C$32, $C$9, 100%, $E$9)</f>
        <v>4.0617999999999999</v>
      </c>
      <c r="E204" s="33">
        <f>5.1706 * CHOOSE(CONTROL!$C$32, $C$9, 100%, $E$9)</f>
        <v>5.1706000000000003</v>
      </c>
      <c r="F204" s="33">
        <f>5.1706 * CHOOSE(CONTROL!$C$32, $C$9, 100%, $E$9)</f>
        <v>5.1706000000000003</v>
      </c>
      <c r="G204" s="33">
        <f>5.1742 * CHOOSE(CONTROL!$C$32, $C$9, 100%, $E$9)</f>
        <v>5.1741999999999999</v>
      </c>
      <c r="H204" s="33">
        <f>8.4254 * CHOOSE(CONTROL!$C$32, $C$9, 100%, $E$9)</f>
        <v>8.4253999999999998</v>
      </c>
      <c r="I204" s="33">
        <f>8.429 * CHOOSE(CONTROL!$C$32, $C$9, 100%, $E$9)</f>
        <v>8.4290000000000003</v>
      </c>
      <c r="J204" s="33">
        <f>8.4254 * CHOOSE(CONTROL!$C$32, $C$9, 100%, $E$9)</f>
        <v>8.4253999999999998</v>
      </c>
      <c r="K204" s="33">
        <f>8.429 * CHOOSE(CONTROL!$C$32, $C$9, 100%, $E$9)</f>
        <v>8.4290000000000003</v>
      </c>
      <c r="L204" s="33">
        <f>5.1706 * CHOOSE(CONTROL!$C$32, $C$9, 100%, $E$9)</f>
        <v>5.1706000000000003</v>
      </c>
      <c r="M204" s="33">
        <f>5.1742 * CHOOSE(CONTROL!$C$32, $C$9, 100%, $E$9)</f>
        <v>5.1741999999999999</v>
      </c>
      <c r="N204" s="33">
        <f>5.1706 * CHOOSE(CONTROL!$C$32, $C$9, 100%, $E$9)</f>
        <v>5.1706000000000003</v>
      </c>
      <c r="O204" s="33">
        <f>5.1742 * CHOOSE(CONTROL!$C$32, $C$9, 100%, $E$9)</f>
        <v>5.1741999999999999</v>
      </c>
    </row>
    <row r="205" spans="1:15" ht="15" x14ac:dyDescent="0.2">
      <c r="A205" s="16">
        <v>47088</v>
      </c>
      <c r="B205" s="32">
        <f>4.0607 * CHOOSE(CONTROL!$C$32, $C$9, 100%, $E$9)</f>
        <v>4.0606999999999998</v>
      </c>
      <c r="C205" s="32">
        <f>4.0607 * CHOOSE(CONTROL!$C$32, $C$9, 100%, $E$9)</f>
        <v>4.0606999999999998</v>
      </c>
      <c r="D205" s="32">
        <f>4.0618 * CHOOSE(CONTROL!$C$32, $C$9, 100%, $E$9)</f>
        <v>4.0617999999999999</v>
      </c>
      <c r="E205" s="33">
        <f>5.1706 * CHOOSE(CONTROL!$C$32, $C$9, 100%, $E$9)</f>
        <v>5.1706000000000003</v>
      </c>
      <c r="F205" s="33">
        <f>5.1706 * CHOOSE(CONTROL!$C$32, $C$9, 100%, $E$9)</f>
        <v>5.1706000000000003</v>
      </c>
      <c r="G205" s="33">
        <f>5.1742 * CHOOSE(CONTROL!$C$32, $C$9, 100%, $E$9)</f>
        <v>5.1741999999999999</v>
      </c>
      <c r="H205" s="33">
        <f>8.4429 * CHOOSE(CONTROL!$C$32, $C$9, 100%, $E$9)</f>
        <v>8.4428999999999998</v>
      </c>
      <c r="I205" s="33">
        <f>8.4465 * CHOOSE(CONTROL!$C$32, $C$9, 100%, $E$9)</f>
        <v>8.4465000000000003</v>
      </c>
      <c r="J205" s="33">
        <f>8.4429 * CHOOSE(CONTROL!$C$32, $C$9, 100%, $E$9)</f>
        <v>8.4428999999999998</v>
      </c>
      <c r="K205" s="33">
        <f>8.4465 * CHOOSE(CONTROL!$C$32, $C$9, 100%, $E$9)</f>
        <v>8.4465000000000003</v>
      </c>
      <c r="L205" s="33">
        <f>5.1706 * CHOOSE(CONTROL!$C$32, $C$9, 100%, $E$9)</f>
        <v>5.1706000000000003</v>
      </c>
      <c r="M205" s="33">
        <f>5.1742 * CHOOSE(CONTROL!$C$32, $C$9, 100%, $E$9)</f>
        <v>5.1741999999999999</v>
      </c>
      <c r="N205" s="33">
        <f>5.1706 * CHOOSE(CONTROL!$C$32, $C$9, 100%, $E$9)</f>
        <v>5.1706000000000003</v>
      </c>
      <c r="O205" s="33">
        <f>5.1742 * CHOOSE(CONTROL!$C$32, $C$9, 100%, $E$9)</f>
        <v>5.1741999999999999</v>
      </c>
    </row>
    <row r="206" spans="1:15" ht="15" x14ac:dyDescent="0.2">
      <c r="A206" s="16">
        <v>47119</v>
      </c>
      <c r="B206" s="32">
        <f>4.0932 * CHOOSE(CONTROL!$C$32, $C$9, 100%, $E$9)</f>
        <v>4.0932000000000004</v>
      </c>
      <c r="C206" s="32">
        <f>4.0932 * CHOOSE(CONTROL!$C$32, $C$9, 100%, $E$9)</f>
        <v>4.0932000000000004</v>
      </c>
      <c r="D206" s="32">
        <f>4.0943 * CHOOSE(CONTROL!$C$32, $C$9, 100%, $E$9)</f>
        <v>4.0942999999999996</v>
      </c>
      <c r="E206" s="33">
        <f>5.2103 * CHOOSE(CONTROL!$C$32, $C$9, 100%, $E$9)</f>
        <v>5.2103000000000002</v>
      </c>
      <c r="F206" s="33">
        <f>5.2103 * CHOOSE(CONTROL!$C$32, $C$9, 100%, $E$9)</f>
        <v>5.2103000000000002</v>
      </c>
      <c r="G206" s="33">
        <f>5.2139 * CHOOSE(CONTROL!$C$32, $C$9, 100%, $E$9)</f>
        <v>5.2138999999999998</v>
      </c>
      <c r="H206" s="33">
        <f>8.4605 * CHOOSE(CONTROL!$C$32, $C$9, 100%, $E$9)</f>
        <v>8.4604999999999997</v>
      </c>
      <c r="I206" s="33">
        <f>8.4641 * CHOOSE(CONTROL!$C$32, $C$9, 100%, $E$9)</f>
        <v>8.4641000000000002</v>
      </c>
      <c r="J206" s="33">
        <f>8.4605 * CHOOSE(CONTROL!$C$32, $C$9, 100%, $E$9)</f>
        <v>8.4604999999999997</v>
      </c>
      <c r="K206" s="33">
        <f>8.4641 * CHOOSE(CONTROL!$C$32, $C$9, 100%, $E$9)</f>
        <v>8.4641000000000002</v>
      </c>
      <c r="L206" s="33">
        <f>5.2103 * CHOOSE(CONTROL!$C$32, $C$9, 100%, $E$9)</f>
        <v>5.2103000000000002</v>
      </c>
      <c r="M206" s="33">
        <f>5.2139 * CHOOSE(CONTROL!$C$32, $C$9, 100%, $E$9)</f>
        <v>5.2138999999999998</v>
      </c>
      <c r="N206" s="33">
        <f>5.2103 * CHOOSE(CONTROL!$C$32, $C$9, 100%, $E$9)</f>
        <v>5.2103000000000002</v>
      </c>
      <c r="O206" s="33">
        <f>5.2139 * CHOOSE(CONTROL!$C$32, $C$9, 100%, $E$9)</f>
        <v>5.2138999999999998</v>
      </c>
    </row>
    <row r="207" spans="1:15" ht="15" x14ac:dyDescent="0.2">
      <c r="A207" s="16">
        <v>47150</v>
      </c>
      <c r="B207" s="32">
        <f>4.0902 * CHOOSE(CONTROL!$C$32, $C$9, 100%, $E$9)</f>
        <v>4.0902000000000003</v>
      </c>
      <c r="C207" s="32">
        <f>4.0902 * CHOOSE(CONTROL!$C$32, $C$9, 100%, $E$9)</f>
        <v>4.0902000000000003</v>
      </c>
      <c r="D207" s="32">
        <f>4.0913 * CHOOSE(CONTROL!$C$32, $C$9, 100%, $E$9)</f>
        <v>4.0913000000000004</v>
      </c>
      <c r="E207" s="33">
        <f>5.2083 * CHOOSE(CONTROL!$C$32, $C$9, 100%, $E$9)</f>
        <v>5.2083000000000004</v>
      </c>
      <c r="F207" s="33">
        <f>5.2083 * CHOOSE(CONTROL!$C$32, $C$9, 100%, $E$9)</f>
        <v>5.2083000000000004</v>
      </c>
      <c r="G207" s="33">
        <f>5.2119 * CHOOSE(CONTROL!$C$32, $C$9, 100%, $E$9)</f>
        <v>5.2119</v>
      </c>
      <c r="H207" s="33">
        <f>8.4781 * CHOOSE(CONTROL!$C$32, $C$9, 100%, $E$9)</f>
        <v>8.4780999999999995</v>
      </c>
      <c r="I207" s="33">
        <f>8.4818 * CHOOSE(CONTROL!$C$32, $C$9, 100%, $E$9)</f>
        <v>8.4817999999999998</v>
      </c>
      <c r="J207" s="33">
        <f>8.4781 * CHOOSE(CONTROL!$C$32, $C$9, 100%, $E$9)</f>
        <v>8.4780999999999995</v>
      </c>
      <c r="K207" s="33">
        <f>8.4818 * CHOOSE(CONTROL!$C$32, $C$9, 100%, $E$9)</f>
        <v>8.4817999999999998</v>
      </c>
      <c r="L207" s="33">
        <f>5.2083 * CHOOSE(CONTROL!$C$32, $C$9, 100%, $E$9)</f>
        <v>5.2083000000000004</v>
      </c>
      <c r="M207" s="33">
        <f>5.2119 * CHOOSE(CONTROL!$C$32, $C$9, 100%, $E$9)</f>
        <v>5.2119</v>
      </c>
      <c r="N207" s="33">
        <f>5.2083 * CHOOSE(CONTROL!$C$32, $C$9, 100%, $E$9)</f>
        <v>5.2083000000000004</v>
      </c>
      <c r="O207" s="33">
        <f>5.2119 * CHOOSE(CONTROL!$C$32, $C$9, 100%, $E$9)</f>
        <v>5.2119</v>
      </c>
    </row>
    <row r="208" spans="1:15" ht="15" x14ac:dyDescent="0.2">
      <c r="A208" s="16">
        <v>47178</v>
      </c>
      <c r="B208" s="32">
        <f>4.0872 * CHOOSE(CONTROL!$C$32, $C$9, 100%, $E$9)</f>
        <v>4.0872000000000002</v>
      </c>
      <c r="C208" s="32">
        <f>4.0872 * CHOOSE(CONTROL!$C$32, $C$9, 100%, $E$9)</f>
        <v>4.0872000000000002</v>
      </c>
      <c r="D208" s="32">
        <f>4.0882 * CHOOSE(CONTROL!$C$32, $C$9, 100%, $E$9)</f>
        <v>4.0881999999999996</v>
      </c>
      <c r="E208" s="33">
        <f>5.2063 * CHOOSE(CONTROL!$C$32, $C$9, 100%, $E$9)</f>
        <v>5.2062999999999997</v>
      </c>
      <c r="F208" s="33">
        <f>5.2063 * CHOOSE(CONTROL!$C$32, $C$9, 100%, $E$9)</f>
        <v>5.2062999999999997</v>
      </c>
      <c r="G208" s="33">
        <f>5.2099 * CHOOSE(CONTROL!$C$32, $C$9, 100%, $E$9)</f>
        <v>5.2099000000000002</v>
      </c>
      <c r="H208" s="33">
        <f>8.4958 * CHOOSE(CONTROL!$C$32, $C$9, 100%, $E$9)</f>
        <v>8.4957999999999991</v>
      </c>
      <c r="I208" s="33">
        <f>8.4994 * CHOOSE(CONTROL!$C$32, $C$9, 100%, $E$9)</f>
        <v>8.4993999999999996</v>
      </c>
      <c r="J208" s="33">
        <f>8.4958 * CHOOSE(CONTROL!$C$32, $C$9, 100%, $E$9)</f>
        <v>8.4957999999999991</v>
      </c>
      <c r="K208" s="33">
        <f>8.4994 * CHOOSE(CONTROL!$C$32, $C$9, 100%, $E$9)</f>
        <v>8.4993999999999996</v>
      </c>
      <c r="L208" s="33">
        <f>5.2063 * CHOOSE(CONTROL!$C$32, $C$9, 100%, $E$9)</f>
        <v>5.2062999999999997</v>
      </c>
      <c r="M208" s="33">
        <f>5.2099 * CHOOSE(CONTROL!$C$32, $C$9, 100%, $E$9)</f>
        <v>5.2099000000000002</v>
      </c>
      <c r="N208" s="33">
        <f>5.2063 * CHOOSE(CONTROL!$C$32, $C$9, 100%, $E$9)</f>
        <v>5.2062999999999997</v>
      </c>
      <c r="O208" s="33">
        <f>5.2099 * CHOOSE(CONTROL!$C$32, $C$9, 100%, $E$9)</f>
        <v>5.2099000000000002</v>
      </c>
    </row>
    <row r="209" spans="1:15" ht="15" x14ac:dyDescent="0.2">
      <c r="A209" s="16">
        <v>47209</v>
      </c>
      <c r="B209" s="32">
        <f>4.0849 * CHOOSE(CONTROL!$C$32, $C$9, 100%, $E$9)</f>
        <v>4.0849000000000002</v>
      </c>
      <c r="C209" s="32">
        <f>4.0849 * CHOOSE(CONTROL!$C$32, $C$9, 100%, $E$9)</f>
        <v>4.0849000000000002</v>
      </c>
      <c r="D209" s="32">
        <f>4.086 * CHOOSE(CONTROL!$C$32, $C$9, 100%, $E$9)</f>
        <v>4.0860000000000003</v>
      </c>
      <c r="E209" s="33">
        <f>5.2043 * CHOOSE(CONTROL!$C$32, $C$9, 100%, $E$9)</f>
        <v>5.2042999999999999</v>
      </c>
      <c r="F209" s="33">
        <f>5.2043 * CHOOSE(CONTROL!$C$32, $C$9, 100%, $E$9)</f>
        <v>5.2042999999999999</v>
      </c>
      <c r="G209" s="33">
        <f>5.2079 * CHOOSE(CONTROL!$C$32, $C$9, 100%, $E$9)</f>
        <v>5.2079000000000004</v>
      </c>
      <c r="H209" s="33">
        <f>8.5135 * CHOOSE(CONTROL!$C$32, $C$9, 100%, $E$9)</f>
        <v>8.5135000000000005</v>
      </c>
      <c r="I209" s="33">
        <f>8.5171 * CHOOSE(CONTROL!$C$32, $C$9, 100%, $E$9)</f>
        <v>8.5170999999999992</v>
      </c>
      <c r="J209" s="33">
        <f>8.5135 * CHOOSE(CONTROL!$C$32, $C$9, 100%, $E$9)</f>
        <v>8.5135000000000005</v>
      </c>
      <c r="K209" s="33">
        <f>8.5171 * CHOOSE(CONTROL!$C$32, $C$9, 100%, $E$9)</f>
        <v>8.5170999999999992</v>
      </c>
      <c r="L209" s="33">
        <f>5.2043 * CHOOSE(CONTROL!$C$32, $C$9, 100%, $E$9)</f>
        <v>5.2042999999999999</v>
      </c>
      <c r="M209" s="33">
        <f>5.2079 * CHOOSE(CONTROL!$C$32, $C$9, 100%, $E$9)</f>
        <v>5.2079000000000004</v>
      </c>
      <c r="N209" s="33">
        <f>5.2043 * CHOOSE(CONTROL!$C$32, $C$9, 100%, $E$9)</f>
        <v>5.2042999999999999</v>
      </c>
      <c r="O209" s="33">
        <f>5.2079 * CHOOSE(CONTROL!$C$32, $C$9, 100%, $E$9)</f>
        <v>5.2079000000000004</v>
      </c>
    </row>
    <row r="210" spans="1:15" ht="15" x14ac:dyDescent="0.2">
      <c r="A210" s="16">
        <v>47239</v>
      </c>
      <c r="B210" s="32">
        <f>4.0849 * CHOOSE(CONTROL!$C$32, $C$9, 100%, $E$9)</f>
        <v>4.0849000000000002</v>
      </c>
      <c r="C210" s="32">
        <f>4.0849 * CHOOSE(CONTROL!$C$32, $C$9, 100%, $E$9)</f>
        <v>4.0849000000000002</v>
      </c>
      <c r="D210" s="32">
        <f>4.0865 * CHOOSE(CONTROL!$C$32, $C$9, 100%, $E$9)</f>
        <v>4.0865</v>
      </c>
      <c r="E210" s="33">
        <f>5.2043 * CHOOSE(CONTROL!$C$32, $C$9, 100%, $E$9)</f>
        <v>5.2042999999999999</v>
      </c>
      <c r="F210" s="33">
        <f>5.2043 * CHOOSE(CONTROL!$C$32, $C$9, 100%, $E$9)</f>
        <v>5.2042999999999999</v>
      </c>
      <c r="G210" s="33">
        <f>5.2096 * CHOOSE(CONTROL!$C$32, $C$9, 100%, $E$9)</f>
        <v>5.2096</v>
      </c>
      <c r="H210" s="33">
        <f>8.5312 * CHOOSE(CONTROL!$C$32, $C$9, 100%, $E$9)</f>
        <v>8.5312000000000001</v>
      </c>
      <c r="I210" s="33">
        <f>8.5365 * CHOOSE(CONTROL!$C$32, $C$9, 100%, $E$9)</f>
        <v>8.5365000000000002</v>
      </c>
      <c r="J210" s="33">
        <f>8.5312 * CHOOSE(CONTROL!$C$32, $C$9, 100%, $E$9)</f>
        <v>8.5312000000000001</v>
      </c>
      <c r="K210" s="33">
        <f>8.5365 * CHOOSE(CONTROL!$C$32, $C$9, 100%, $E$9)</f>
        <v>8.5365000000000002</v>
      </c>
      <c r="L210" s="33">
        <f>5.2043 * CHOOSE(CONTROL!$C$32, $C$9, 100%, $E$9)</f>
        <v>5.2042999999999999</v>
      </c>
      <c r="M210" s="33">
        <f>5.2096 * CHOOSE(CONTROL!$C$32, $C$9, 100%, $E$9)</f>
        <v>5.2096</v>
      </c>
      <c r="N210" s="33">
        <f>5.2043 * CHOOSE(CONTROL!$C$32, $C$9, 100%, $E$9)</f>
        <v>5.2042999999999999</v>
      </c>
      <c r="O210" s="33">
        <f>5.2096 * CHOOSE(CONTROL!$C$32, $C$9, 100%, $E$9)</f>
        <v>5.2096</v>
      </c>
    </row>
    <row r="211" spans="1:15" ht="15" x14ac:dyDescent="0.2">
      <c r="A211" s="16">
        <v>47270</v>
      </c>
      <c r="B211" s="32">
        <f>4.091 * CHOOSE(CONTROL!$C$32, $C$9, 100%, $E$9)</f>
        <v>4.0910000000000002</v>
      </c>
      <c r="C211" s="32">
        <f>4.091 * CHOOSE(CONTROL!$C$32, $C$9, 100%, $E$9)</f>
        <v>4.0910000000000002</v>
      </c>
      <c r="D211" s="32">
        <f>4.0925 * CHOOSE(CONTROL!$C$32, $C$9, 100%, $E$9)</f>
        <v>4.0925000000000002</v>
      </c>
      <c r="E211" s="33">
        <f>5.2083 * CHOOSE(CONTROL!$C$32, $C$9, 100%, $E$9)</f>
        <v>5.2083000000000004</v>
      </c>
      <c r="F211" s="33">
        <f>5.2083 * CHOOSE(CONTROL!$C$32, $C$9, 100%, $E$9)</f>
        <v>5.2083000000000004</v>
      </c>
      <c r="G211" s="33">
        <f>5.2136 * CHOOSE(CONTROL!$C$32, $C$9, 100%, $E$9)</f>
        <v>5.2135999999999996</v>
      </c>
      <c r="H211" s="33">
        <f>8.549 * CHOOSE(CONTROL!$C$32, $C$9, 100%, $E$9)</f>
        <v>8.5489999999999995</v>
      </c>
      <c r="I211" s="33">
        <f>8.5543 * CHOOSE(CONTROL!$C$32, $C$9, 100%, $E$9)</f>
        <v>8.5542999999999996</v>
      </c>
      <c r="J211" s="33">
        <f>8.549 * CHOOSE(CONTROL!$C$32, $C$9, 100%, $E$9)</f>
        <v>8.5489999999999995</v>
      </c>
      <c r="K211" s="33">
        <f>8.5543 * CHOOSE(CONTROL!$C$32, $C$9, 100%, $E$9)</f>
        <v>8.5542999999999996</v>
      </c>
      <c r="L211" s="33">
        <f>5.2083 * CHOOSE(CONTROL!$C$32, $C$9, 100%, $E$9)</f>
        <v>5.2083000000000004</v>
      </c>
      <c r="M211" s="33">
        <f>5.2136 * CHOOSE(CONTROL!$C$32, $C$9, 100%, $E$9)</f>
        <v>5.2135999999999996</v>
      </c>
      <c r="N211" s="33">
        <f>5.2083 * CHOOSE(CONTROL!$C$32, $C$9, 100%, $E$9)</f>
        <v>5.2083000000000004</v>
      </c>
      <c r="O211" s="33">
        <f>5.2136 * CHOOSE(CONTROL!$C$32, $C$9, 100%, $E$9)</f>
        <v>5.2135999999999996</v>
      </c>
    </row>
    <row r="212" spans="1:15" ht="15" x14ac:dyDescent="0.2">
      <c r="A212" s="16">
        <v>47300</v>
      </c>
      <c r="B212" s="32">
        <f>4.1496 * CHOOSE(CONTROL!$C$32, $C$9, 100%, $E$9)</f>
        <v>4.1496000000000004</v>
      </c>
      <c r="C212" s="32">
        <f>4.1496 * CHOOSE(CONTROL!$C$32, $C$9, 100%, $E$9)</f>
        <v>4.1496000000000004</v>
      </c>
      <c r="D212" s="32">
        <f>4.1512 * CHOOSE(CONTROL!$C$32, $C$9, 100%, $E$9)</f>
        <v>4.1512000000000002</v>
      </c>
      <c r="E212" s="33">
        <f>5.2949 * CHOOSE(CONTROL!$C$32, $C$9, 100%, $E$9)</f>
        <v>5.2949000000000002</v>
      </c>
      <c r="F212" s="33">
        <f>5.2949 * CHOOSE(CONTROL!$C$32, $C$9, 100%, $E$9)</f>
        <v>5.2949000000000002</v>
      </c>
      <c r="G212" s="33">
        <f>5.3002 * CHOOSE(CONTROL!$C$32, $C$9, 100%, $E$9)</f>
        <v>5.3002000000000002</v>
      </c>
      <c r="H212" s="33">
        <f>8.5668 * CHOOSE(CONTROL!$C$32, $C$9, 100%, $E$9)</f>
        <v>8.5668000000000006</v>
      </c>
      <c r="I212" s="33">
        <f>8.5721 * CHOOSE(CONTROL!$C$32, $C$9, 100%, $E$9)</f>
        <v>8.5721000000000007</v>
      </c>
      <c r="J212" s="33">
        <f>8.5668 * CHOOSE(CONTROL!$C$32, $C$9, 100%, $E$9)</f>
        <v>8.5668000000000006</v>
      </c>
      <c r="K212" s="33">
        <f>8.5721 * CHOOSE(CONTROL!$C$32, $C$9, 100%, $E$9)</f>
        <v>8.5721000000000007</v>
      </c>
      <c r="L212" s="33">
        <f>5.2949 * CHOOSE(CONTROL!$C$32, $C$9, 100%, $E$9)</f>
        <v>5.2949000000000002</v>
      </c>
      <c r="M212" s="33">
        <f>5.3002 * CHOOSE(CONTROL!$C$32, $C$9, 100%, $E$9)</f>
        <v>5.3002000000000002</v>
      </c>
      <c r="N212" s="33">
        <f>5.2949 * CHOOSE(CONTROL!$C$32, $C$9, 100%, $E$9)</f>
        <v>5.2949000000000002</v>
      </c>
      <c r="O212" s="33">
        <f>5.3002 * CHOOSE(CONTROL!$C$32, $C$9, 100%, $E$9)</f>
        <v>5.3002000000000002</v>
      </c>
    </row>
    <row r="213" spans="1:15" ht="15" x14ac:dyDescent="0.2">
      <c r="A213" s="16">
        <v>47331</v>
      </c>
      <c r="B213" s="32">
        <f>4.1563 * CHOOSE(CONTROL!$C$32, $C$9, 100%, $E$9)</f>
        <v>4.1562999999999999</v>
      </c>
      <c r="C213" s="32">
        <f>4.1563 * CHOOSE(CONTROL!$C$32, $C$9, 100%, $E$9)</f>
        <v>4.1562999999999999</v>
      </c>
      <c r="D213" s="32">
        <f>4.1579 * CHOOSE(CONTROL!$C$32, $C$9, 100%, $E$9)</f>
        <v>4.1578999999999997</v>
      </c>
      <c r="E213" s="33">
        <f>5.2993 * CHOOSE(CONTROL!$C$32, $C$9, 100%, $E$9)</f>
        <v>5.2992999999999997</v>
      </c>
      <c r="F213" s="33">
        <f>5.2993 * CHOOSE(CONTROL!$C$32, $C$9, 100%, $E$9)</f>
        <v>5.2992999999999997</v>
      </c>
      <c r="G213" s="33">
        <f>5.3046 * CHOOSE(CONTROL!$C$32, $C$9, 100%, $E$9)</f>
        <v>5.3045999999999998</v>
      </c>
      <c r="H213" s="33">
        <f>8.5847 * CHOOSE(CONTROL!$C$32, $C$9, 100%, $E$9)</f>
        <v>8.5846999999999998</v>
      </c>
      <c r="I213" s="33">
        <f>8.59 * CHOOSE(CONTROL!$C$32, $C$9, 100%, $E$9)</f>
        <v>8.59</v>
      </c>
      <c r="J213" s="33">
        <f>8.5847 * CHOOSE(CONTROL!$C$32, $C$9, 100%, $E$9)</f>
        <v>8.5846999999999998</v>
      </c>
      <c r="K213" s="33">
        <f>8.59 * CHOOSE(CONTROL!$C$32, $C$9, 100%, $E$9)</f>
        <v>8.59</v>
      </c>
      <c r="L213" s="33">
        <f>5.2993 * CHOOSE(CONTROL!$C$32, $C$9, 100%, $E$9)</f>
        <v>5.2992999999999997</v>
      </c>
      <c r="M213" s="33">
        <f>5.3046 * CHOOSE(CONTROL!$C$32, $C$9, 100%, $E$9)</f>
        <v>5.3045999999999998</v>
      </c>
      <c r="N213" s="33">
        <f>5.2993 * CHOOSE(CONTROL!$C$32, $C$9, 100%, $E$9)</f>
        <v>5.2992999999999997</v>
      </c>
      <c r="O213" s="33">
        <f>5.3046 * CHOOSE(CONTROL!$C$32, $C$9, 100%, $E$9)</f>
        <v>5.3045999999999998</v>
      </c>
    </row>
    <row r="214" spans="1:15" ht="15" x14ac:dyDescent="0.2">
      <c r="A214" s="16">
        <v>47362</v>
      </c>
      <c r="B214" s="32">
        <f>4.1533 * CHOOSE(CONTROL!$C$32, $C$9, 100%, $E$9)</f>
        <v>4.1532999999999998</v>
      </c>
      <c r="C214" s="32">
        <f>4.1533 * CHOOSE(CONTROL!$C$32, $C$9, 100%, $E$9)</f>
        <v>4.1532999999999998</v>
      </c>
      <c r="D214" s="32">
        <f>4.1548 * CHOOSE(CONTROL!$C$32, $C$9, 100%, $E$9)</f>
        <v>4.1547999999999998</v>
      </c>
      <c r="E214" s="33">
        <f>5.2973 * CHOOSE(CONTROL!$C$32, $C$9, 100%, $E$9)</f>
        <v>5.2972999999999999</v>
      </c>
      <c r="F214" s="33">
        <f>5.2973 * CHOOSE(CONTROL!$C$32, $C$9, 100%, $E$9)</f>
        <v>5.2972999999999999</v>
      </c>
      <c r="G214" s="33">
        <f>5.3026 * CHOOSE(CONTROL!$C$32, $C$9, 100%, $E$9)</f>
        <v>5.3026</v>
      </c>
      <c r="H214" s="33">
        <f>8.6026 * CHOOSE(CONTROL!$C$32, $C$9, 100%, $E$9)</f>
        <v>8.6026000000000007</v>
      </c>
      <c r="I214" s="33">
        <f>8.6079 * CHOOSE(CONTROL!$C$32, $C$9, 100%, $E$9)</f>
        <v>8.6079000000000008</v>
      </c>
      <c r="J214" s="33">
        <f>8.6026 * CHOOSE(CONTROL!$C$32, $C$9, 100%, $E$9)</f>
        <v>8.6026000000000007</v>
      </c>
      <c r="K214" s="33">
        <f>8.6079 * CHOOSE(CONTROL!$C$32, $C$9, 100%, $E$9)</f>
        <v>8.6079000000000008</v>
      </c>
      <c r="L214" s="33">
        <f>5.2973 * CHOOSE(CONTROL!$C$32, $C$9, 100%, $E$9)</f>
        <v>5.2972999999999999</v>
      </c>
      <c r="M214" s="33">
        <f>5.3026 * CHOOSE(CONTROL!$C$32, $C$9, 100%, $E$9)</f>
        <v>5.3026</v>
      </c>
      <c r="N214" s="33">
        <f>5.2973 * CHOOSE(CONTROL!$C$32, $C$9, 100%, $E$9)</f>
        <v>5.2972999999999999</v>
      </c>
      <c r="O214" s="33">
        <f>5.3026 * CHOOSE(CONTROL!$C$32, $C$9, 100%, $E$9)</f>
        <v>5.3026</v>
      </c>
    </row>
    <row r="215" spans="1:15" ht="15" x14ac:dyDescent="0.2">
      <c r="A215" s="16">
        <v>47392</v>
      </c>
      <c r="B215" s="32">
        <f>4.1489 * CHOOSE(CONTROL!$C$32, $C$9, 100%, $E$9)</f>
        <v>4.1489000000000003</v>
      </c>
      <c r="C215" s="32">
        <f>4.1489 * CHOOSE(CONTROL!$C$32, $C$9, 100%, $E$9)</f>
        <v>4.1489000000000003</v>
      </c>
      <c r="D215" s="32">
        <f>4.15 * CHOOSE(CONTROL!$C$32, $C$9, 100%, $E$9)</f>
        <v>4.1500000000000004</v>
      </c>
      <c r="E215" s="33">
        <f>5.2923 * CHOOSE(CONTROL!$C$32, $C$9, 100%, $E$9)</f>
        <v>5.2923</v>
      </c>
      <c r="F215" s="33">
        <f>5.2923 * CHOOSE(CONTROL!$C$32, $C$9, 100%, $E$9)</f>
        <v>5.2923</v>
      </c>
      <c r="G215" s="33">
        <f>5.2959 * CHOOSE(CONTROL!$C$32, $C$9, 100%, $E$9)</f>
        <v>5.2958999999999996</v>
      </c>
      <c r="H215" s="33">
        <f>8.6205 * CHOOSE(CONTROL!$C$32, $C$9, 100%, $E$9)</f>
        <v>8.6204999999999998</v>
      </c>
      <c r="I215" s="33">
        <f>8.6241 * CHOOSE(CONTROL!$C$32, $C$9, 100%, $E$9)</f>
        <v>8.6241000000000003</v>
      </c>
      <c r="J215" s="33">
        <f>8.6205 * CHOOSE(CONTROL!$C$32, $C$9, 100%, $E$9)</f>
        <v>8.6204999999999998</v>
      </c>
      <c r="K215" s="33">
        <f>8.6241 * CHOOSE(CONTROL!$C$32, $C$9, 100%, $E$9)</f>
        <v>8.6241000000000003</v>
      </c>
      <c r="L215" s="33">
        <f>5.2923 * CHOOSE(CONTROL!$C$32, $C$9, 100%, $E$9)</f>
        <v>5.2923</v>
      </c>
      <c r="M215" s="33">
        <f>5.2959 * CHOOSE(CONTROL!$C$32, $C$9, 100%, $E$9)</f>
        <v>5.2958999999999996</v>
      </c>
      <c r="N215" s="33">
        <f>5.2923 * CHOOSE(CONTROL!$C$32, $C$9, 100%, $E$9)</f>
        <v>5.2923</v>
      </c>
      <c r="O215" s="33">
        <f>5.2959 * CHOOSE(CONTROL!$C$32, $C$9, 100%, $E$9)</f>
        <v>5.2958999999999996</v>
      </c>
    </row>
    <row r="216" spans="1:15" ht="15" x14ac:dyDescent="0.2">
      <c r="A216" s="16">
        <v>47423</v>
      </c>
      <c r="B216" s="32">
        <f>4.152 * CHOOSE(CONTROL!$C$32, $C$9, 100%, $E$9)</f>
        <v>4.1520000000000001</v>
      </c>
      <c r="C216" s="32">
        <f>4.152 * CHOOSE(CONTROL!$C$32, $C$9, 100%, $E$9)</f>
        <v>4.1520000000000001</v>
      </c>
      <c r="D216" s="32">
        <f>4.153 * CHOOSE(CONTROL!$C$32, $C$9, 100%, $E$9)</f>
        <v>4.1529999999999996</v>
      </c>
      <c r="E216" s="33">
        <f>5.2943 * CHOOSE(CONTROL!$C$32, $C$9, 100%, $E$9)</f>
        <v>5.2942999999999998</v>
      </c>
      <c r="F216" s="33">
        <f>5.2943 * CHOOSE(CONTROL!$C$32, $C$9, 100%, $E$9)</f>
        <v>5.2942999999999998</v>
      </c>
      <c r="G216" s="33">
        <f>5.2979 * CHOOSE(CONTROL!$C$32, $C$9, 100%, $E$9)</f>
        <v>5.2979000000000003</v>
      </c>
      <c r="H216" s="33">
        <f>8.6384 * CHOOSE(CONTROL!$C$32, $C$9, 100%, $E$9)</f>
        <v>8.6384000000000007</v>
      </c>
      <c r="I216" s="33">
        <f>8.6421 * CHOOSE(CONTROL!$C$32, $C$9, 100%, $E$9)</f>
        <v>8.6420999999999992</v>
      </c>
      <c r="J216" s="33">
        <f>8.6384 * CHOOSE(CONTROL!$C$32, $C$9, 100%, $E$9)</f>
        <v>8.6384000000000007</v>
      </c>
      <c r="K216" s="33">
        <f>8.6421 * CHOOSE(CONTROL!$C$32, $C$9, 100%, $E$9)</f>
        <v>8.6420999999999992</v>
      </c>
      <c r="L216" s="33">
        <f>5.2943 * CHOOSE(CONTROL!$C$32, $C$9, 100%, $E$9)</f>
        <v>5.2942999999999998</v>
      </c>
      <c r="M216" s="33">
        <f>5.2979 * CHOOSE(CONTROL!$C$32, $C$9, 100%, $E$9)</f>
        <v>5.2979000000000003</v>
      </c>
      <c r="N216" s="33">
        <f>5.2943 * CHOOSE(CONTROL!$C$32, $C$9, 100%, $E$9)</f>
        <v>5.2942999999999998</v>
      </c>
      <c r="O216" s="33">
        <f>5.2979 * CHOOSE(CONTROL!$C$32, $C$9, 100%, $E$9)</f>
        <v>5.2979000000000003</v>
      </c>
    </row>
    <row r="217" spans="1:15" ht="15" x14ac:dyDescent="0.2">
      <c r="A217" s="16">
        <v>47453</v>
      </c>
      <c r="B217" s="32">
        <f>4.152 * CHOOSE(CONTROL!$C$32, $C$9, 100%, $E$9)</f>
        <v>4.1520000000000001</v>
      </c>
      <c r="C217" s="32">
        <f>4.152 * CHOOSE(CONTROL!$C$32, $C$9, 100%, $E$9)</f>
        <v>4.1520000000000001</v>
      </c>
      <c r="D217" s="32">
        <f>4.153 * CHOOSE(CONTROL!$C$32, $C$9, 100%, $E$9)</f>
        <v>4.1529999999999996</v>
      </c>
      <c r="E217" s="33">
        <f>5.2943 * CHOOSE(CONTROL!$C$32, $C$9, 100%, $E$9)</f>
        <v>5.2942999999999998</v>
      </c>
      <c r="F217" s="33">
        <f>5.2943 * CHOOSE(CONTROL!$C$32, $C$9, 100%, $E$9)</f>
        <v>5.2942999999999998</v>
      </c>
      <c r="G217" s="33">
        <f>5.2979 * CHOOSE(CONTROL!$C$32, $C$9, 100%, $E$9)</f>
        <v>5.2979000000000003</v>
      </c>
      <c r="H217" s="33">
        <f>8.6564 * CHOOSE(CONTROL!$C$32, $C$9, 100%, $E$9)</f>
        <v>8.6563999999999997</v>
      </c>
      <c r="I217" s="33">
        <f>8.6601 * CHOOSE(CONTROL!$C$32, $C$9, 100%, $E$9)</f>
        <v>8.6600999999999999</v>
      </c>
      <c r="J217" s="33">
        <f>8.6564 * CHOOSE(CONTROL!$C$32, $C$9, 100%, $E$9)</f>
        <v>8.6563999999999997</v>
      </c>
      <c r="K217" s="33">
        <f>8.6601 * CHOOSE(CONTROL!$C$32, $C$9, 100%, $E$9)</f>
        <v>8.6600999999999999</v>
      </c>
      <c r="L217" s="33">
        <f>5.2943 * CHOOSE(CONTROL!$C$32, $C$9, 100%, $E$9)</f>
        <v>5.2942999999999998</v>
      </c>
      <c r="M217" s="33">
        <f>5.2979 * CHOOSE(CONTROL!$C$32, $C$9, 100%, $E$9)</f>
        <v>5.2979000000000003</v>
      </c>
      <c r="N217" s="33">
        <f>5.2943 * CHOOSE(CONTROL!$C$32, $C$9, 100%, $E$9)</f>
        <v>5.2942999999999998</v>
      </c>
      <c r="O217" s="33">
        <f>5.2979 * CHOOSE(CONTROL!$C$32, $C$9, 100%, $E$9)</f>
        <v>5.2979000000000003</v>
      </c>
    </row>
    <row r="218" spans="1:15" ht="15" x14ac:dyDescent="0.2">
      <c r="A218" s="16">
        <v>47484</v>
      </c>
      <c r="B218" s="32">
        <f>4.1883 * CHOOSE(CONTROL!$C$32, $C$9, 100%, $E$9)</f>
        <v>4.1882999999999999</v>
      </c>
      <c r="C218" s="32">
        <f>4.1883 * CHOOSE(CONTROL!$C$32, $C$9, 100%, $E$9)</f>
        <v>4.1882999999999999</v>
      </c>
      <c r="D218" s="32">
        <f>4.1893 * CHOOSE(CONTROL!$C$32, $C$9, 100%, $E$9)</f>
        <v>4.1893000000000002</v>
      </c>
      <c r="E218" s="33">
        <f>5.3388 * CHOOSE(CONTROL!$C$32, $C$9, 100%, $E$9)</f>
        <v>5.3388</v>
      </c>
      <c r="F218" s="33">
        <f>5.3388 * CHOOSE(CONTROL!$C$32, $C$9, 100%, $E$9)</f>
        <v>5.3388</v>
      </c>
      <c r="G218" s="33">
        <f>5.3424 * CHOOSE(CONTROL!$C$32, $C$9, 100%, $E$9)</f>
        <v>5.3423999999999996</v>
      </c>
      <c r="H218" s="33">
        <f>8.6745 * CHOOSE(CONTROL!$C$32, $C$9, 100%, $E$9)</f>
        <v>8.6745000000000001</v>
      </c>
      <c r="I218" s="33">
        <f>8.6781 * CHOOSE(CONTROL!$C$32, $C$9, 100%, $E$9)</f>
        <v>8.6781000000000006</v>
      </c>
      <c r="J218" s="33">
        <f>8.6745 * CHOOSE(CONTROL!$C$32, $C$9, 100%, $E$9)</f>
        <v>8.6745000000000001</v>
      </c>
      <c r="K218" s="33">
        <f>8.6781 * CHOOSE(CONTROL!$C$32, $C$9, 100%, $E$9)</f>
        <v>8.6781000000000006</v>
      </c>
      <c r="L218" s="33">
        <f>5.3388 * CHOOSE(CONTROL!$C$32, $C$9, 100%, $E$9)</f>
        <v>5.3388</v>
      </c>
      <c r="M218" s="33">
        <f>5.3424 * CHOOSE(CONTROL!$C$32, $C$9, 100%, $E$9)</f>
        <v>5.3423999999999996</v>
      </c>
      <c r="N218" s="33">
        <f>5.3388 * CHOOSE(CONTROL!$C$32, $C$9, 100%, $E$9)</f>
        <v>5.3388</v>
      </c>
      <c r="O218" s="33">
        <f>5.3424 * CHOOSE(CONTROL!$C$32, $C$9, 100%, $E$9)</f>
        <v>5.3423999999999996</v>
      </c>
    </row>
    <row r="219" spans="1:15" ht="15" x14ac:dyDescent="0.2">
      <c r="A219" s="16">
        <v>47515</v>
      </c>
      <c r="B219" s="32">
        <f>4.1852 * CHOOSE(CONTROL!$C$32, $C$9, 100%, $E$9)</f>
        <v>4.1852</v>
      </c>
      <c r="C219" s="32">
        <f>4.1852 * CHOOSE(CONTROL!$C$32, $C$9, 100%, $E$9)</f>
        <v>4.1852</v>
      </c>
      <c r="D219" s="32">
        <f>4.1863 * CHOOSE(CONTROL!$C$32, $C$9, 100%, $E$9)</f>
        <v>4.1863000000000001</v>
      </c>
      <c r="E219" s="33">
        <f>5.3368 * CHOOSE(CONTROL!$C$32, $C$9, 100%, $E$9)</f>
        <v>5.3368000000000002</v>
      </c>
      <c r="F219" s="33">
        <f>5.3368 * CHOOSE(CONTROL!$C$32, $C$9, 100%, $E$9)</f>
        <v>5.3368000000000002</v>
      </c>
      <c r="G219" s="33">
        <f>5.3404 * CHOOSE(CONTROL!$C$32, $C$9, 100%, $E$9)</f>
        <v>5.3403999999999998</v>
      </c>
      <c r="H219" s="33">
        <f>8.6925 * CHOOSE(CONTROL!$C$32, $C$9, 100%, $E$9)</f>
        <v>8.6925000000000008</v>
      </c>
      <c r="I219" s="33">
        <f>8.6962 * CHOOSE(CONTROL!$C$32, $C$9, 100%, $E$9)</f>
        <v>8.6961999999999993</v>
      </c>
      <c r="J219" s="33">
        <f>8.6925 * CHOOSE(CONTROL!$C$32, $C$9, 100%, $E$9)</f>
        <v>8.6925000000000008</v>
      </c>
      <c r="K219" s="33">
        <f>8.6962 * CHOOSE(CONTROL!$C$32, $C$9, 100%, $E$9)</f>
        <v>8.6961999999999993</v>
      </c>
      <c r="L219" s="33">
        <f>5.3368 * CHOOSE(CONTROL!$C$32, $C$9, 100%, $E$9)</f>
        <v>5.3368000000000002</v>
      </c>
      <c r="M219" s="33">
        <f>5.3404 * CHOOSE(CONTROL!$C$32, $C$9, 100%, $E$9)</f>
        <v>5.3403999999999998</v>
      </c>
      <c r="N219" s="33">
        <f>5.3368 * CHOOSE(CONTROL!$C$32, $C$9, 100%, $E$9)</f>
        <v>5.3368000000000002</v>
      </c>
      <c r="O219" s="33">
        <f>5.3404 * CHOOSE(CONTROL!$C$32, $C$9, 100%, $E$9)</f>
        <v>5.3403999999999998</v>
      </c>
    </row>
    <row r="220" spans="1:15" ht="15" x14ac:dyDescent="0.2">
      <c r="A220" s="16">
        <v>47543</v>
      </c>
      <c r="B220" s="32">
        <f>4.1822 * CHOOSE(CONTROL!$C$32, $C$9, 100%, $E$9)</f>
        <v>4.1821999999999999</v>
      </c>
      <c r="C220" s="32">
        <f>4.1822 * CHOOSE(CONTROL!$C$32, $C$9, 100%, $E$9)</f>
        <v>4.1821999999999999</v>
      </c>
      <c r="D220" s="32">
        <f>4.1833 * CHOOSE(CONTROL!$C$32, $C$9, 100%, $E$9)</f>
        <v>4.1833</v>
      </c>
      <c r="E220" s="33">
        <f>5.3348 * CHOOSE(CONTROL!$C$32, $C$9, 100%, $E$9)</f>
        <v>5.3348000000000004</v>
      </c>
      <c r="F220" s="33">
        <f>5.3348 * CHOOSE(CONTROL!$C$32, $C$9, 100%, $E$9)</f>
        <v>5.3348000000000004</v>
      </c>
      <c r="G220" s="33">
        <f>5.3384 * CHOOSE(CONTROL!$C$32, $C$9, 100%, $E$9)</f>
        <v>5.3384</v>
      </c>
      <c r="H220" s="33">
        <f>8.7107 * CHOOSE(CONTROL!$C$32, $C$9, 100%, $E$9)</f>
        <v>8.7106999999999992</v>
      </c>
      <c r="I220" s="33">
        <f>8.7143 * CHOOSE(CONTROL!$C$32, $C$9, 100%, $E$9)</f>
        <v>8.7142999999999997</v>
      </c>
      <c r="J220" s="33">
        <f>8.7107 * CHOOSE(CONTROL!$C$32, $C$9, 100%, $E$9)</f>
        <v>8.7106999999999992</v>
      </c>
      <c r="K220" s="33">
        <f>8.7143 * CHOOSE(CONTROL!$C$32, $C$9, 100%, $E$9)</f>
        <v>8.7142999999999997</v>
      </c>
      <c r="L220" s="33">
        <f>5.3348 * CHOOSE(CONTROL!$C$32, $C$9, 100%, $E$9)</f>
        <v>5.3348000000000004</v>
      </c>
      <c r="M220" s="33">
        <f>5.3384 * CHOOSE(CONTROL!$C$32, $C$9, 100%, $E$9)</f>
        <v>5.3384</v>
      </c>
      <c r="N220" s="33">
        <f>5.3348 * CHOOSE(CONTROL!$C$32, $C$9, 100%, $E$9)</f>
        <v>5.3348000000000004</v>
      </c>
      <c r="O220" s="33">
        <f>5.3384 * CHOOSE(CONTROL!$C$32, $C$9, 100%, $E$9)</f>
        <v>5.3384</v>
      </c>
    </row>
    <row r="221" spans="1:15" ht="15" x14ac:dyDescent="0.2">
      <c r="A221" s="16">
        <v>47574</v>
      </c>
      <c r="B221" s="32">
        <f>4.18 * CHOOSE(CONTROL!$C$32, $C$9, 100%, $E$9)</f>
        <v>4.18</v>
      </c>
      <c r="C221" s="32">
        <f>4.18 * CHOOSE(CONTROL!$C$32, $C$9, 100%, $E$9)</f>
        <v>4.18</v>
      </c>
      <c r="D221" s="32">
        <f>4.1811 * CHOOSE(CONTROL!$C$32, $C$9, 100%, $E$9)</f>
        <v>4.1810999999999998</v>
      </c>
      <c r="E221" s="33">
        <f>5.3328 * CHOOSE(CONTROL!$C$32, $C$9, 100%, $E$9)</f>
        <v>5.3327999999999998</v>
      </c>
      <c r="F221" s="33">
        <f>5.3328 * CHOOSE(CONTROL!$C$32, $C$9, 100%, $E$9)</f>
        <v>5.3327999999999998</v>
      </c>
      <c r="G221" s="33">
        <f>5.3364 * CHOOSE(CONTROL!$C$32, $C$9, 100%, $E$9)</f>
        <v>5.3364000000000003</v>
      </c>
      <c r="H221" s="33">
        <f>8.7288 * CHOOSE(CONTROL!$C$32, $C$9, 100%, $E$9)</f>
        <v>8.7287999999999997</v>
      </c>
      <c r="I221" s="33">
        <f>8.7324 * CHOOSE(CONTROL!$C$32, $C$9, 100%, $E$9)</f>
        <v>8.7324000000000002</v>
      </c>
      <c r="J221" s="33">
        <f>8.7288 * CHOOSE(CONTROL!$C$32, $C$9, 100%, $E$9)</f>
        <v>8.7287999999999997</v>
      </c>
      <c r="K221" s="33">
        <f>8.7324 * CHOOSE(CONTROL!$C$32, $C$9, 100%, $E$9)</f>
        <v>8.7324000000000002</v>
      </c>
      <c r="L221" s="33">
        <f>5.3328 * CHOOSE(CONTROL!$C$32, $C$9, 100%, $E$9)</f>
        <v>5.3327999999999998</v>
      </c>
      <c r="M221" s="33">
        <f>5.3364 * CHOOSE(CONTROL!$C$32, $C$9, 100%, $E$9)</f>
        <v>5.3364000000000003</v>
      </c>
      <c r="N221" s="33">
        <f>5.3328 * CHOOSE(CONTROL!$C$32, $C$9, 100%, $E$9)</f>
        <v>5.3327999999999998</v>
      </c>
      <c r="O221" s="33">
        <f>5.3364 * CHOOSE(CONTROL!$C$32, $C$9, 100%, $E$9)</f>
        <v>5.3364000000000003</v>
      </c>
    </row>
    <row r="222" spans="1:15" ht="15" x14ac:dyDescent="0.2">
      <c r="A222" s="16">
        <v>47604</v>
      </c>
      <c r="B222" s="32">
        <f>4.18 * CHOOSE(CONTROL!$C$32, $C$9, 100%, $E$9)</f>
        <v>4.18</v>
      </c>
      <c r="C222" s="32">
        <f>4.18 * CHOOSE(CONTROL!$C$32, $C$9, 100%, $E$9)</f>
        <v>4.18</v>
      </c>
      <c r="D222" s="32">
        <f>4.1816 * CHOOSE(CONTROL!$C$32, $C$9, 100%, $E$9)</f>
        <v>4.1816000000000004</v>
      </c>
      <c r="E222" s="33">
        <f>5.3328 * CHOOSE(CONTROL!$C$32, $C$9, 100%, $E$9)</f>
        <v>5.3327999999999998</v>
      </c>
      <c r="F222" s="33">
        <f>5.3328 * CHOOSE(CONTROL!$C$32, $C$9, 100%, $E$9)</f>
        <v>5.3327999999999998</v>
      </c>
      <c r="G222" s="33">
        <f>5.3381 * CHOOSE(CONTROL!$C$32, $C$9, 100%, $E$9)</f>
        <v>5.3380999999999998</v>
      </c>
      <c r="H222" s="33">
        <f>8.747 * CHOOSE(CONTROL!$C$32, $C$9, 100%, $E$9)</f>
        <v>8.7469999999999999</v>
      </c>
      <c r="I222" s="33">
        <f>8.7523 * CHOOSE(CONTROL!$C$32, $C$9, 100%, $E$9)</f>
        <v>8.7523</v>
      </c>
      <c r="J222" s="33">
        <f>8.747 * CHOOSE(CONTROL!$C$32, $C$9, 100%, $E$9)</f>
        <v>8.7469999999999999</v>
      </c>
      <c r="K222" s="33">
        <f>8.7523 * CHOOSE(CONTROL!$C$32, $C$9, 100%, $E$9)</f>
        <v>8.7523</v>
      </c>
      <c r="L222" s="33">
        <f>5.3328 * CHOOSE(CONTROL!$C$32, $C$9, 100%, $E$9)</f>
        <v>5.3327999999999998</v>
      </c>
      <c r="M222" s="33">
        <f>5.3381 * CHOOSE(CONTROL!$C$32, $C$9, 100%, $E$9)</f>
        <v>5.3380999999999998</v>
      </c>
      <c r="N222" s="33">
        <f>5.3328 * CHOOSE(CONTROL!$C$32, $C$9, 100%, $E$9)</f>
        <v>5.3327999999999998</v>
      </c>
      <c r="O222" s="33">
        <f>5.3381 * CHOOSE(CONTROL!$C$32, $C$9, 100%, $E$9)</f>
        <v>5.3380999999999998</v>
      </c>
    </row>
    <row r="223" spans="1:15" ht="15" x14ac:dyDescent="0.2">
      <c r="A223" s="16">
        <v>47635</v>
      </c>
      <c r="B223" s="32">
        <f>4.1861 * CHOOSE(CONTROL!$C$32, $C$9, 100%, $E$9)</f>
        <v>4.1860999999999997</v>
      </c>
      <c r="C223" s="32">
        <f>4.1861 * CHOOSE(CONTROL!$C$32, $C$9, 100%, $E$9)</f>
        <v>4.1860999999999997</v>
      </c>
      <c r="D223" s="32">
        <f>4.1877 * CHOOSE(CONTROL!$C$32, $C$9, 100%, $E$9)</f>
        <v>4.1877000000000004</v>
      </c>
      <c r="E223" s="33">
        <f>5.3368 * CHOOSE(CONTROL!$C$32, $C$9, 100%, $E$9)</f>
        <v>5.3368000000000002</v>
      </c>
      <c r="F223" s="33">
        <f>5.3368 * CHOOSE(CONTROL!$C$32, $C$9, 100%, $E$9)</f>
        <v>5.3368000000000002</v>
      </c>
      <c r="G223" s="33">
        <f>5.3421 * CHOOSE(CONTROL!$C$32, $C$9, 100%, $E$9)</f>
        <v>5.3421000000000003</v>
      </c>
      <c r="H223" s="33">
        <f>8.7652 * CHOOSE(CONTROL!$C$32, $C$9, 100%, $E$9)</f>
        <v>8.7652000000000001</v>
      </c>
      <c r="I223" s="33">
        <f>8.7705 * CHOOSE(CONTROL!$C$32, $C$9, 100%, $E$9)</f>
        <v>8.7705000000000002</v>
      </c>
      <c r="J223" s="33">
        <f>8.7652 * CHOOSE(CONTROL!$C$32, $C$9, 100%, $E$9)</f>
        <v>8.7652000000000001</v>
      </c>
      <c r="K223" s="33">
        <f>8.7705 * CHOOSE(CONTROL!$C$32, $C$9, 100%, $E$9)</f>
        <v>8.7705000000000002</v>
      </c>
      <c r="L223" s="33">
        <f>5.3368 * CHOOSE(CONTROL!$C$32, $C$9, 100%, $E$9)</f>
        <v>5.3368000000000002</v>
      </c>
      <c r="M223" s="33">
        <f>5.3421 * CHOOSE(CONTROL!$C$32, $C$9, 100%, $E$9)</f>
        <v>5.3421000000000003</v>
      </c>
      <c r="N223" s="33">
        <f>5.3368 * CHOOSE(CONTROL!$C$32, $C$9, 100%, $E$9)</f>
        <v>5.3368000000000002</v>
      </c>
      <c r="O223" s="33">
        <f>5.3421 * CHOOSE(CONTROL!$C$32, $C$9, 100%, $E$9)</f>
        <v>5.3421000000000003</v>
      </c>
    </row>
    <row r="224" spans="1:15" ht="15" x14ac:dyDescent="0.2">
      <c r="A224" s="16">
        <v>47665</v>
      </c>
      <c r="B224" s="32">
        <f>4.2533 * CHOOSE(CONTROL!$C$32, $C$9, 100%, $E$9)</f>
        <v>4.2533000000000003</v>
      </c>
      <c r="C224" s="32">
        <f>4.2533 * CHOOSE(CONTROL!$C$32, $C$9, 100%, $E$9)</f>
        <v>4.2533000000000003</v>
      </c>
      <c r="D224" s="32">
        <f>4.2549 * CHOOSE(CONTROL!$C$32, $C$9, 100%, $E$9)</f>
        <v>4.2549000000000001</v>
      </c>
      <c r="E224" s="33">
        <f>5.4347 * CHOOSE(CONTROL!$C$32, $C$9, 100%, $E$9)</f>
        <v>5.4347000000000003</v>
      </c>
      <c r="F224" s="33">
        <f>5.4347 * CHOOSE(CONTROL!$C$32, $C$9, 100%, $E$9)</f>
        <v>5.4347000000000003</v>
      </c>
      <c r="G224" s="33">
        <f>5.44 * CHOOSE(CONTROL!$C$32, $C$9, 100%, $E$9)</f>
        <v>5.44</v>
      </c>
      <c r="H224" s="33">
        <f>8.7835 * CHOOSE(CONTROL!$C$32, $C$9, 100%, $E$9)</f>
        <v>8.7835000000000001</v>
      </c>
      <c r="I224" s="33">
        <f>8.7888 * CHOOSE(CONTROL!$C$32, $C$9, 100%, $E$9)</f>
        <v>8.7888000000000002</v>
      </c>
      <c r="J224" s="33">
        <f>8.7835 * CHOOSE(CONTROL!$C$32, $C$9, 100%, $E$9)</f>
        <v>8.7835000000000001</v>
      </c>
      <c r="K224" s="33">
        <f>8.7888 * CHOOSE(CONTROL!$C$32, $C$9, 100%, $E$9)</f>
        <v>8.7888000000000002</v>
      </c>
      <c r="L224" s="33">
        <f>5.4347 * CHOOSE(CONTROL!$C$32, $C$9, 100%, $E$9)</f>
        <v>5.4347000000000003</v>
      </c>
      <c r="M224" s="33">
        <f>5.44 * CHOOSE(CONTROL!$C$32, $C$9, 100%, $E$9)</f>
        <v>5.44</v>
      </c>
      <c r="N224" s="33">
        <f>5.4347 * CHOOSE(CONTROL!$C$32, $C$9, 100%, $E$9)</f>
        <v>5.4347000000000003</v>
      </c>
      <c r="O224" s="33">
        <f>5.44 * CHOOSE(CONTROL!$C$32, $C$9, 100%, $E$9)</f>
        <v>5.44</v>
      </c>
    </row>
    <row r="225" spans="1:15" ht="15" x14ac:dyDescent="0.2">
      <c r="A225" s="16">
        <v>47696</v>
      </c>
      <c r="B225" s="32">
        <f>4.26 * CHOOSE(CONTROL!$C$32, $C$9, 100%, $E$9)</f>
        <v>4.26</v>
      </c>
      <c r="C225" s="32">
        <f>4.26 * CHOOSE(CONTROL!$C$32, $C$9, 100%, $E$9)</f>
        <v>4.26</v>
      </c>
      <c r="D225" s="32">
        <f>4.2616 * CHOOSE(CONTROL!$C$32, $C$9, 100%, $E$9)</f>
        <v>4.2615999999999996</v>
      </c>
      <c r="E225" s="33">
        <f>5.4391 * CHOOSE(CONTROL!$C$32, $C$9, 100%, $E$9)</f>
        <v>5.4390999999999998</v>
      </c>
      <c r="F225" s="33">
        <f>5.4391 * CHOOSE(CONTROL!$C$32, $C$9, 100%, $E$9)</f>
        <v>5.4390999999999998</v>
      </c>
      <c r="G225" s="33">
        <f>5.4444 * CHOOSE(CONTROL!$C$32, $C$9, 100%, $E$9)</f>
        <v>5.4443999999999999</v>
      </c>
      <c r="H225" s="33">
        <f>8.8018 * CHOOSE(CONTROL!$C$32, $C$9, 100%, $E$9)</f>
        <v>8.8018000000000001</v>
      </c>
      <c r="I225" s="33">
        <f>8.8071 * CHOOSE(CONTROL!$C$32, $C$9, 100%, $E$9)</f>
        <v>8.8071000000000002</v>
      </c>
      <c r="J225" s="33">
        <f>8.8018 * CHOOSE(CONTROL!$C$32, $C$9, 100%, $E$9)</f>
        <v>8.8018000000000001</v>
      </c>
      <c r="K225" s="33">
        <f>8.8071 * CHOOSE(CONTROL!$C$32, $C$9, 100%, $E$9)</f>
        <v>8.8071000000000002</v>
      </c>
      <c r="L225" s="33">
        <f>5.4391 * CHOOSE(CONTROL!$C$32, $C$9, 100%, $E$9)</f>
        <v>5.4390999999999998</v>
      </c>
      <c r="M225" s="33">
        <f>5.4444 * CHOOSE(CONTROL!$C$32, $C$9, 100%, $E$9)</f>
        <v>5.4443999999999999</v>
      </c>
      <c r="N225" s="33">
        <f>5.4391 * CHOOSE(CONTROL!$C$32, $C$9, 100%, $E$9)</f>
        <v>5.4390999999999998</v>
      </c>
      <c r="O225" s="33">
        <f>5.4444 * CHOOSE(CONTROL!$C$32, $C$9, 100%, $E$9)</f>
        <v>5.4443999999999999</v>
      </c>
    </row>
    <row r="226" spans="1:15" ht="15" x14ac:dyDescent="0.2">
      <c r="A226" s="16">
        <v>47727</v>
      </c>
      <c r="B226" s="32">
        <f>4.2569 * CHOOSE(CONTROL!$C$32, $C$9, 100%, $E$9)</f>
        <v>4.2568999999999999</v>
      </c>
      <c r="C226" s="32">
        <f>4.2569 * CHOOSE(CONTROL!$C$32, $C$9, 100%, $E$9)</f>
        <v>4.2568999999999999</v>
      </c>
      <c r="D226" s="32">
        <f>4.2585 * CHOOSE(CONTROL!$C$32, $C$9, 100%, $E$9)</f>
        <v>4.2584999999999997</v>
      </c>
      <c r="E226" s="33">
        <f>5.4371 * CHOOSE(CONTROL!$C$32, $C$9, 100%, $E$9)</f>
        <v>5.4371</v>
      </c>
      <c r="F226" s="33">
        <f>5.4371 * CHOOSE(CONTROL!$C$32, $C$9, 100%, $E$9)</f>
        <v>5.4371</v>
      </c>
      <c r="G226" s="33">
        <f>5.4424 * CHOOSE(CONTROL!$C$32, $C$9, 100%, $E$9)</f>
        <v>5.4424000000000001</v>
      </c>
      <c r="H226" s="33">
        <f>8.8201 * CHOOSE(CONTROL!$C$32, $C$9, 100%, $E$9)</f>
        <v>8.8201000000000001</v>
      </c>
      <c r="I226" s="33">
        <f>8.8254 * CHOOSE(CONTROL!$C$32, $C$9, 100%, $E$9)</f>
        <v>8.8254000000000001</v>
      </c>
      <c r="J226" s="33">
        <f>8.8201 * CHOOSE(CONTROL!$C$32, $C$9, 100%, $E$9)</f>
        <v>8.8201000000000001</v>
      </c>
      <c r="K226" s="33">
        <f>8.8254 * CHOOSE(CONTROL!$C$32, $C$9, 100%, $E$9)</f>
        <v>8.8254000000000001</v>
      </c>
      <c r="L226" s="33">
        <f>5.4371 * CHOOSE(CONTROL!$C$32, $C$9, 100%, $E$9)</f>
        <v>5.4371</v>
      </c>
      <c r="M226" s="33">
        <f>5.4424 * CHOOSE(CONTROL!$C$32, $C$9, 100%, $E$9)</f>
        <v>5.4424000000000001</v>
      </c>
      <c r="N226" s="33">
        <f>5.4371 * CHOOSE(CONTROL!$C$32, $C$9, 100%, $E$9)</f>
        <v>5.4371</v>
      </c>
      <c r="O226" s="33">
        <f>5.4424 * CHOOSE(CONTROL!$C$32, $C$9, 100%, $E$9)</f>
        <v>5.4424000000000001</v>
      </c>
    </row>
    <row r="227" spans="1:15" ht="15" x14ac:dyDescent="0.2">
      <c r="A227" s="16">
        <v>47757</v>
      </c>
      <c r="B227" s="32">
        <f>4.253 * CHOOSE(CONTROL!$C$32, $C$9, 100%, $E$9)</f>
        <v>4.2530000000000001</v>
      </c>
      <c r="C227" s="32">
        <f>4.253 * CHOOSE(CONTROL!$C$32, $C$9, 100%, $E$9)</f>
        <v>4.2530000000000001</v>
      </c>
      <c r="D227" s="32">
        <f>4.254 * CHOOSE(CONTROL!$C$32, $C$9, 100%, $E$9)</f>
        <v>4.2539999999999996</v>
      </c>
      <c r="E227" s="33">
        <f>5.4323 * CHOOSE(CONTROL!$C$32, $C$9, 100%, $E$9)</f>
        <v>5.4322999999999997</v>
      </c>
      <c r="F227" s="33">
        <f>5.4323 * CHOOSE(CONTROL!$C$32, $C$9, 100%, $E$9)</f>
        <v>5.4322999999999997</v>
      </c>
      <c r="G227" s="33">
        <f>5.436 * CHOOSE(CONTROL!$C$32, $C$9, 100%, $E$9)</f>
        <v>5.4359999999999999</v>
      </c>
      <c r="H227" s="33">
        <f>8.8385 * CHOOSE(CONTROL!$C$32, $C$9, 100%, $E$9)</f>
        <v>8.8384999999999998</v>
      </c>
      <c r="I227" s="33">
        <f>8.8421 * CHOOSE(CONTROL!$C$32, $C$9, 100%, $E$9)</f>
        <v>8.8421000000000003</v>
      </c>
      <c r="J227" s="33">
        <f>8.8385 * CHOOSE(CONTROL!$C$32, $C$9, 100%, $E$9)</f>
        <v>8.8384999999999998</v>
      </c>
      <c r="K227" s="33">
        <f>8.8421 * CHOOSE(CONTROL!$C$32, $C$9, 100%, $E$9)</f>
        <v>8.8421000000000003</v>
      </c>
      <c r="L227" s="33">
        <f>5.4323 * CHOOSE(CONTROL!$C$32, $C$9, 100%, $E$9)</f>
        <v>5.4322999999999997</v>
      </c>
      <c r="M227" s="33">
        <f>5.436 * CHOOSE(CONTROL!$C$32, $C$9, 100%, $E$9)</f>
        <v>5.4359999999999999</v>
      </c>
      <c r="N227" s="33">
        <f>5.4323 * CHOOSE(CONTROL!$C$32, $C$9, 100%, $E$9)</f>
        <v>5.4322999999999997</v>
      </c>
      <c r="O227" s="33">
        <f>5.436 * CHOOSE(CONTROL!$C$32, $C$9, 100%, $E$9)</f>
        <v>5.4359999999999999</v>
      </c>
    </row>
    <row r="228" spans="1:15" ht="15" x14ac:dyDescent="0.2">
      <c r="A228" s="16">
        <v>47788</v>
      </c>
      <c r="B228" s="32">
        <f>4.256 * CHOOSE(CONTROL!$C$32, $C$9, 100%, $E$9)</f>
        <v>4.2560000000000002</v>
      </c>
      <c r="C228" s="32">
        <f>4.256 * CHOOSE(CONTROL!$C$32, $C$9, 100%, $E$9)</f>
        <v>4.2560000000000002</v>
      </c>
      <c r="D228" s="32">
        <f>4.2571 * CHOOSE(CONTROL!$C$32, $C$9, 100%, $E$9)</f>
        <v>4.2571000000000003</v>
      </c>
      <c r="E228" s="33">
        <f>5.4343 * CHOOSE(CONTROL!$C$32, $C$9, 100%, $E$9)</f>
        <v>5.4343000000000004</v>
      </c>
      <c r="F228" s="33">
        <f>5.4343 * CHOOSE(CONTROL!$C$32, $C$9, 100%, $E$9)</f>
        <v>5.4343000000000004</v>
      </c>
      <c r="G228" s="33">
        <f>5.438 * CHOOSE(CONTROL!$C$32, $C$9, 100%, $E$9)</f>
        <v>5.4379999999999997</v>
      </c>
      <c r="H228" s="33">
        <f>8.8569 * CHOOSE(CONTROL!$C$32, $C$9, 100%, $E$9)</f>
        <v>8.8568999999999996</v>
      </c>
      <c r="I228" s="33">
        <f>8.8605 * CHOOSE(CONTROL!$C$32, $C$9, 100%, $E$9)</f>
        <v>8.8605</v>
      </c>
      <c r="J228" s="33">
        <f>8.8569 * CHOOSE(CONTROL!$C$32, $C$9, 100%, $E$9)</f>
        <v>8.8568999999999996</v>
      </c>
      <c r="K228" s="33">
        <f>8.8605 * CHOOSE(CONTROL!$C$32, $C$9, 100%, $E$9)</f>
        <v>8.8605</v>
      </c>
      <c r="L228" s="33">
        <f>5.4343 * CHOOSE(CONTROL!$C$32, $C$9, 100%, $E$9)</f>
        <v>5.4343000000000004</v>
      </c>
      <c r="M228" s="33">
        <f>5.438 * CHOOSE(CONTROL!$C$32, $C$9, 100%, $E$9)</f>
        <v>5.4379999999999997</v>
      </c>
      <c r="N228" s="33">
        <f>5.4343 * CHOOSE(CONTROL!$C$32, $C$9, 100%, $E$9)</f>
        <v>5.4343000000000004</v>
      </c>
      <c r="O228" s="33">
        <f>5.438 * CHOOSE(CONTROL!$C$32, $C$9, 100%, $E$9)</f>
        <v>5.4379999999999997</v>
      </c>
    </row>
    <row r="229" spans="1:15" ht="15" x14ac:dyDescent="0.2">
      <c r="A229" s="16">
        <v>47818</v>
      </c>
      <c r="B229" s="32">
        <f>4.256 * CHOOSE(CONTROL!$C$32, $C$9, 100%, $E$9)</f>
        <v>4.2560000000000002</v>
      </c>
      <c r="C229" s="32">
        <f>4.256 * CHOOSE(CONTROL!$C$32, $C$9, 100%, $E$9)</f>
        <v>4.2560000000000002</v>
      </c>
      <c r="D229" s="32">
        <f>4.2571 * CHOOSE(CONTROL!$C$32, $C$9, 100%, $E$9)</f>
        <v>4.2571000000000003</v>
      </c>
      <c r="E229" s="33">
        <f>5.4343 * CHOOSE(CONTROL!$C$32, $C$9, 100%, $E$9)</f>
        <v>5.4343000000000004</v>
      </c>
      <c r="F229" s="33">
        <f>5.4343 * CHOOSE(CONTROL!$C$32, $C$9, 100%, $E$9)</f>
        <v>5.4343000000000004</v>
      </c>
      <c r="G229" s="33">
        <f>5.438 * CHOOSE(CONTROL!$C$32, $C$9, 100%, $E$9)</f>
        <v>5.4379999999999997</v>
      </c>
      <c r="H229" s="33">
        <f>8.8753 * CHOOSE(CONTROL!$C$32, $C$9, 100%, $E$9)</f>
        <v>8.8752999999999993</v>
      </c>
      <c r="I229" s="33">
        <f>8.879 * CHOOSE(CONTROL!$C$32, $C$9, 100%, $E$9)</f>
        <v>8.8789999999999996</v>
      </c>
      <c r="J229" s="33">
        <f>8.8753 * CHOOSE(CONTROL!$C$32, $C$9, 100%, $E$9)</f>
        <v>8.8752999999999993</v>
      </c>
      <c r="K229" s="33">
        <f>8.879 * CHOOSE(CONTROL!$C$32, $C$9, 100%, $E$9)</f>
        <v>8.8789999999999996</v>
      </c>
      <c r="L229" s="33">
        <f>5.4343 * CHOOSE(CONTROL!$C$32, $C$9, 100%, $E$9)</f>
        <v>5.4343000000000004</v>
      </c>
      <c r="M229" s="33">
        <f>5.438 * CHOOSE(CONTROL!$C$32, $C$9, 100%, $E$9)</f>
        <v>5.4379999999999997</v>
      </c>
      <c r="N229" s="33">
        <f>5.4343 * CHOOSE(CONTROL!$C$32, $C$9, 100%, $E$9)</f>
        <v>5.4343000000000004</v>
      </c>
      <c r="O229" s="33">
        <f>5.438 * CHOOSE(CONTROL!$C$32, $C$9, 100%, $E$9)</f>
        <v>5.4379999999999997</v>
      </c>
    </row>
    <row r="230" spans="1:15" ht="15" x14ac:dyDescent="0.2">
      <c r="A230" s="16">
        <v>47849</v>
      </c>
      <c r="B230" s="32">
        <f>4.2906 * CHOOSE(CONTROL!$C$32, $C$9, 100%, $E$9)</f>
        <v>4.2906000000000004</v>
      </c>
      <c r="C230" s="32">
        <f>4.2906 * CHOOSE(CONTROL!$C$32, $C$9, 100%, $E$9)</f>
        <v>4.2906000000000004</v>
      </c>
      <c r="D230" s="32">
        <f>4.2916 * CHOOSE(CONTROL!$C$32, $C$9, 100%, $E$9)</f>
        <v>4.2915999999999999</v>
      </c>
      <c r="E230" s="33">
        <f>5.4769 * CHOOSE(CONTROL!$C$32, $C$9, 100%, $E$9)</f>
        <v>5.4768999999999997</v>
      </c>
      <c r="F230" s="33">
        <f>5.4769 * CHOOSE(CONTROL!$C$32, $C$9, 100%, $E$9)</f>
        <v>5.4768999999999997</v>
      </c>
      <c r="G230" s="33">
        <f>5.4806 * CHOOSE(CONTROL!$C$32, $C$9, 100%, $E$9)</f>
        <v>5.4805999999999999</v>
      </c>
      <c r="H230" s="33">
        <f>8.8938 * CHOOSE(CONTROL!$C$32, $C$9, 100%, $E$9)</f>
        <v>8.8938000000000006</v>
      </c>
      <c r="I230" s="33">
        <f>8.8975 * CHOOSE(CONTROL!$C$32, $C$9, 100%, $E$9)</f>
        <v>8.8975000000000009</v>
      </c>
      <c r="J230" s="33">
        <f>8.8938 * CHOOSE(CONTROL!$C$32, $C$9, 100%, $E$9)</f>
        <v>8.8938000000000006</v>
      </c>
      <c r="K230" s="33">
        <f>8.8975 * CHOOSE(CONTROL!$C$32, $C$9, 100%, $E$9)</f>
        <v>8.8975000000000009</v>
      </c>
      <c r="L230" s="33">
        <f>5.4769 * CHOOSE(CONTROL!$C$32, $C$9, 100%, $E$9)</f>
        <v>5.4768999999999997</v>
      </c>
      <c r="M230" s="33">
        <f>5.4806 * CHOOSE(CONTROL!$C$32, $C$9, 100%, $E$9)</f>
        <v>5.4805999999999999</v>
      </c>
      <c r="N230" s="33">
        <f>5.4769 * CHOOSE(CONTROL!$C$32, $C$9, 100%, $E$9)</f>
        <v>5.4768999999999997</v>
      </c>
      <c r="O230" s="33">
        <f>5.4806 * CHOOSE(CONTROL!$C$32, $C$9, 100%, $E$9)</f>
        <v>5.4805999999999999</v>
      </c>
    </row>
    <row r="231" spans="1:15" ht="15" x14ac:dyDescent="0.2">
      <c r="A231" s="16">
        <v>47880</v>
      </c>
      <c r="B231" s="32">
        <f>4.2875 * CHOOSE(CONTROL!$C$32, $C$9, 100%, $E$9)</f>
        <v>4.2874999999999996</v>
      </c>
      <c r="C231" s="32">
        <f>4.2875 * CHOOSE(CONTROL!$C$32, $C$9, 100%, $E$9)</f>
        <v>4.2874999999999996</v>
      </c>
      <c r="D231" s="32">
        <f>4.2886 * CHOOSE(CONTROL!$C$32, $C$9, 100%, $E$9)</f>
        <v>4.2885999999999997</v>
      </c>
      <c r="E231" s="33">
        <f>5.4749 * CHOOSE(CONTROL!$C$32, $C$9, 100%, $E$9)</f>
        <v>5.4748999999999999</v>
      </c>
      <c r="F231" s="33">
        <f>5.4749 * CHOOSE(CONTROL!$C$32, $C$9, 100%, $E$9)</f>
        <v>5.4748999999999999</v>
      </c>
      <c r="G231" s="33">
        <f>5.4786 * CHOOSE(CONTROL!$C$32, $C$9, 100%, $E$9)</f>
        <v>5.4786000000000001</v>
      </c>
      <c r="H231" s="33">
        <f>8.9124 * CHOOSE(CONTROL!$C$32, $C$9, 100%, $E$9)</f>
        <v>8.9123999999999999</v>
      </c>
      <c r="I231" s="33">
        <f>8.916 * CHOOSE(CONTROL!$C$32, $C$9, 100%, $E$9)</f>
        <v>8.9160000000000004</v>
      </c>
      <c r="J231" s="33">
        <f>8.9124 * CHOOSE(CONTROL!$C$32, $C$9, 100%, $E$9)</f>
        <v>8.9123999999999999</v>
      </c>
      <c r="K231" s="33">
        <f>8.916 * CHOOSE(CONTROL!$C$32, $C$9, 100%, $E$9)</f>
        <v>8.9160000000000004</v>
      </c>
      <c r="L231" s="33">
        <f>5.4749 * CHOOSE(CONTROL!$C$32, $C$9, 100%, $E$9)</f>
        <v>5.4748999999999999</v>
      </c>
      <c r="M231" s="33">
        <f>5.4786 * CHOOSE(CONTROL!$C$32, $C$9, 100%, $E$9)</f>
        <v>5.4786000000000001</v>
      </c>
      <c r="N231" s="33">
        <f>5.4749 * CHOOSE(CONTROL!$C$32, $C$9, 100%, $E$9)</f>
        <v>5.4748999999999999</v>
      </c>
      <c r="O231" s="33">
        <f>5.4786 * CHOOSE(CONTROL!$C$32, $C$9, 100%, $E$9)</f>
        <v>5.4786000000000001</v>
      </c>
    </row>
    <row r="232" spans="1:15" ht="15" x14ac:dyDescent="0.2">
      <c r="A232" s="16">
        <v>47908</v>
      </c>
      <c r="B232" s="32">
        <f>4.2845 * CHOOSE(CONTROL!$C$32, $C$9, 100%, $E$9)</f>
        <v>4.2845000000000004</v>
      </c>
      <c r="C232" s="32">
        <f>4.2845 * CHOOSE(CONTROL!$C$32, $C$9, 100%, $E$9)</f>
        <v>4.2845000000000004</v>
      </c>
      <c r="D232" s="32">
        <f>4.2856 * CHOOSE(CONTROL!$C$32, $C$9, 100%, $E$9)</f>
        <v>4.2855999999999996</v>
      </c>
      <c r="E232" s="33">
        <f>5.4729 * CHOOSE(CONTROL!$C$32, $C$9, 100%, $E$9)</f>
        <v>5.4729000000000001</v>
      </c>
      <c r="F232" s="33">
        <f>5.4729 * CHOOSE(CONTROL!$C$32, $C$9, 100%, $E$9)</f>
        <v>5.4729000000000001</v>
      </c>
      <c r="G232" s="33">
        <f>5.4766 * CHOOSE(CONTROL!$C$32, $C$9, 100%, $E$9)</f>
        <v>5.4766000000000004</v>
      </c>
      <c r="H232" s="33">
        <f>8.9309 * CHOOSE(CONTROL!$C$32, $C$9, 100%, $E$9)</f>
        <v>8.9308999999999994</v>
      </c>
      <c r="I232" s="33">
        <f>8.9346 * CHOOSE(CONTROL!$C$32, $C$9, 100%, $E$9)</f>
        <v>8.9345999999999997</v>
      </c>
      <c r="J232" s="33">
        <f>8.9309 * CHOOSE(CONTROL!$C$32, $C$9, 100%, $E$9)</f>
        <v>8.9308999999999994</v>
      </c>
      <c r="K232" s="33">
        <f>8.9346 * CHOOSE(CONTROL!$C$32, $C$9, 100%, $E$9)</f>
        <v>8.9345999999999997</v>
      </c>
      <c r="L232" s="33">
        <f>5.4729 * CHOOSE(CONTROL!$C$32, $C$9, 100%, $E$9)</f>
        <v>5.4729000000000001</v>
      </c>
      <c r="M232" s="33">
        <f>5.4766 * CHOOSE(CONTROL!$C$32, $C$9, 100%, $E$9)</f>
        <v>5.4766000000000004</v>
      </c>
      <c r="N232" s="33">
        <f>5.4729 * CHOOSE(CONTROL!$C$32, $C$9, 100%, $E$9)</f>
        <v>5.4729000000000001</v>
      </c>
      <c r="O232" s="33">
        <f>5.4766 * CHOOSE(CONTROL!$C$32, $C$9, 100%, $E$9)</f>
        <v>5.4766000000000004</v>
      </c>
    </row>
    <row r="233" spans="1:15" ht="15" x14ac:dyDescent="0.2">
      <c r="A233" s="16">
        <v>47939</v>
      </c>
      <c r="B233" s="32">
        <f>4.2824 * CHOOSE(CONTROL!$C$32, $C$9, 100%, $E$9)</f>
        <v>4.2824</v>
      </c>
      <c r="C233" s="32">
        <f>4.2824 * CHOOSE(CONTROL!$C$32, $C$9, 100%, $E$9)</f>
        <v>4.2824</v>
      </c>
      <c r="D233" s="32">
        <f>4.2835 * CHOOSE(CONTROL!$C$32, $C$9, 100%, $E$9)</f>
        <v>4.2835000000000001</v>
      </c>
      <c r="E233" s="33">
        <f>5.471 * CHOOSE(CONTROL!$C$32, $C$9, 100%, $E$9)</f>
        <v>5.4710000000000001</v>
      </c>
      <c r="F233" s="33">
        <f>5.471 * CHOOSE(CONTROL!$C$32, $C$9, 100%, $E$9)</f>
        <v>5.4710000000000001</v>
      </c>
      <c r="G233" s="33">
        <f>5.4746 * CHOOSE(CONTROL!$C$32, $C$9, 100%, $E$9)</f>
        <v>5.4745999999999997</v>
      </c>
      <c r="H233" s="33">
        <f>8.9495 * CHOOSE(CONTROL!$C$32, $C$9, 100%, $E$9)</f>
        <v>8.9495000000000005</v>
      </c>
      <c r="I233" s="33">
        <f>8.9532 * CHOOSE(CONTROL!$C$32, $C$9, 100%, $E$9)</f>
        <v>8.9532000000000007</v>
      </c>
      <c r="J233" s="33">
        <f>8.9495 * CHOOSE(CONTROL!$C$32, $C$9, 100%, $E$9)</f>
        <v>8.9495000000000005</v>
      </c>
      <c r="K233" s="33">
        <f>8.9532 * CHOOSE(CONTROL!$C$32, $C$9, 100%, $E$9)</f>
        <v>8.9532000000000007</v>
      </c>
      <c r="L233" s="33">
        <f>5.471 * CHOOSE(CONTROL!$C$32, $C$9, 100%, $E$9)</f>
        <v>5.4710000000000001</v>
      </c>
      <c r="M233" s="33">
        <f>5.4746 * CHOOSE(CONTROL!$C$32, $C$9, 100%, $E$9)</f>
        <v>5.4745999999999997</v>
      </c>
      <c r="N233" s="33">
        <f>5.471 * CHOOSE(CONTROL!$C$32, $C$9, 100%, $E$9)</f>
        <v>5.4710000000000001</v>
      </c>
      <c r="O233" s="33">
        <f>5.4746 * CHOOSE(CONTROL!$C$32, $C$9, 100%, $E$9)</f>
        <v>5.4745999999999997</v>
      </c>
    </row>
    <row r="234" spans="1:15" ht="15" x14ac:dyDescent="0.2">
      <c r="A234" s="16">
        <v>47969</v>
      </c>
      <c r="B234" s="32">
        <f>4.2824 * CHOOSE(CONTROL!$C$32, $C$9, 100%, $E$9)</f>
        <v>4.2824</v>
      </c>
      <c r="C234" s="32">
        <f>4.2824 * CHOOSE(CONTROL!$C$32, $C$9, 100%, $E$9)</f>
        <v>4.2824</v>
      </c>
      <c r="D234" s="32">
        <f>4.284 * CHOOSE(CONTROL!$C$32, $C$9, 100%, $E$9)</f>
        <v>4.2839999999999998</v>
      </c>
      <c r="E234" s="33">
        <f>5.471 * CHOOSE(CONTROL!$C$32, $C$9, 100%, $E$9)</f>
        <v>5.4710000000000001</v>
      </c>
      <c r="F234" s="33">
        <f>5.471 * CHOOSE(CONTROL!$C$32, $C$9, 100%, $E$9)</f>
        <v>5.4710000000000001</v>
      </c>
      <c r="G234" s="33">
        <f>5.4763 * CHOOSE(CONTROL!$C$32, $C$9, 100%, $E$9)</f>
        <v>5.4763000000000002</v>
      </c>
      <c r="H234" s="33">
        <f>8.9682 * CHOOSE(CONTROL!$C$32, $C$9, 100%, $E$9)</f>
        <v>8.9681999999999995</v>
      </c>
      <c r="I234" s="33">
        <f>8.9735 * CHOOSE(CONTROL!$C$32, $C$9, 100%, $E$9)</f>
        <v>8.9734999999999996</v>
      </c>
      <c r="J234" s="33">
        <f>8.9682 * CHOOSE(CONTROL!$C$32, $C$9, 100%, $E$9)</f>
        <v>8.9681999999999995</v>
      </c>
      <c r="K234" s="33">
        <f>8.9735 * CHOOSE(CONTROL!$C$32, $C$9, 100%, $E$9)</f>
        <v>8.9734999999999996</v>
      </c>
      <c r="L234" s="33">
        <f>5.471 * CHOOSE(CONTROL!$C$32, $C$9, 100%, $E$9)</f>
        <v>5.4710000000000001</v>
      </c>
      <c r="M234" s="33">
        <f>5.4763 * CHOOSE(CONTROL!$C$32, $C$9, 100%, $E$9)</f>
        <v>5.4763000000000002</v>
      </c>
      <c r="N234" s="33">
        <f>5.471 * CHOOSE(CONTROL!$C$32, $C$9, 100%, $E$9)</f>
        <v>5.4710000000000001</v>
      </c>
      <c r="O234" s="33">
        <f>5.4763 * CHOOSE(CONTROL!$C$32, $C$9, 100%, $E$9)</f>
        <v>5.4763000000000002</v>
      </c>
    </row>
    <row r="235" spans="1:15" ht="15" x14ac:dyDescent="0.2">
      <c r="A235" s="16">
        <v>48000</v>
      </c>
      <c r="B235" s="32">
        <f>4.2885 * CHOOSE(CONTROL!$C$32, $C$9, 100%, $E$9)</f>
        <v>4.2885</v>
      </c>
      <c r="C235" s="32">
        <f>4.2885 * CHOOSE(CONTROL!$C$32, $C$9, 100%, $E$9)</f>
        <v>4.2885</v>
      </c>
      <c r="D235" s="32">
        <f>4.2901 * CHOOSE(CONTROL!$C$32, $C$9, 100%, $E$9)</f>
        <v>4.2900999999999998</v>
      </c>
      <c r="E235" s="33">
        <f>5.475 * CHOOSE(CONTROL!$C$32, $C$9, 100%, $E$9)</f>
        <v>5.4749999999999996</v>
      </c>
      <c r="F235" s="33">
        <f>5.475 * CHOOSE(CONTROL!$C$32, $C$9, 100%, $E$9)</f>
        <v>5.4749999999999996</v>
      </c>
      <c r="G235" s="33">
        <f>5.4803 * CHOOSE(CONTROL!$C$32, $C$9, 100%, $E$9)</f>
        <v>5.4802999999999997</v>
      </c>
      <c r="H235" s="33">
        <f>8.9869 * CHOOSE(CONTROL!$C$32, $C$9, 100%, $E$9)</f>
        <v>8.9869000000000003</v>
      </c>
      <c r="I235" s="33">
        <f>8.9922 * CHOOSE(CONTROL!$C$32, $C$9, 100%, $E$9)</f>
        <v>8.9922000000000004</v>
      </c>
      <c r="J235" s="33">
        <f>8.9869 * CHOOSE(CONTROL!$C$32, $C$9, 100%, $E$9)</f>
        <v>8.9869000000000003</v>
      </c>
      <c r="K235" s="33">
        <f>8.9922 * CHOOSE(CONTROL!$C$32, $C$9, 100%, $E$9)</f>
        <v>8.9922000000000004</v>
      </c>
      <c r="L235" s="33">
        <f>5.475 * CHOOSE(CONTROL!$C$32, $C$9, 100%, $E$9)</f>
        <v>5.4749999999999996</v>
      </c>
      <c r="M235" s="33">
        <f>5.4803 * CHOOSE(CONTROL!$C$32, $C$9, 100%, $E$9)</f>
        <v>5.4802999999999997</v>
      </c>
      <c r="N235" s="33">
        <f>5.475 * CHOOSE(CONTROL!$C$32, $C$9, 100%, $E$9)</f>
        <v>5.4749999999999996</v>
      </c>
      <c r="O235" s="33">
        <f>5.4803 * CHOOSE(CONTROL!$C$32, $C$9, 100%, $E$9)</f>
        <v>5.4802999999999997</v>
      </c>
    </row>
    <row r="236" spans="1:15" ht="15" x14ac:dyDescent="0.2">
      <c r="A236" s="16">
        <v>48030</v>
      </c>
      <c r="B236" s="32">
        <f>4.3512 * CHOOSE(CONTROL!$C$32, $C$9, 100%, $E$9)</f>
        <v>4.3512000000000004</v>
      </c>
      <c r="C236" s="32">
        <f>4.3512 * CHOOSE(CONTROL!$C$32, $C$9, 100%, $E$9)</f>
        <v>4.3512000000000004</v>
      </c>
      <c r="D236" s="32">
        <f>4.3528 * CHOOSE(CONTROL!$C$32, $C$9, 100%, $E$9)</f>
        <v>4.3528000000000002</v>
      </c>
      <c r="E236" s="33">
        <f>5.5682 * CHOOSE(CONTROL!$C$32, $C$9, 100%, $E$9)</f>
        <v>5.5682</v>
      </c>
      <c r="F236" s="33">
        <f>5.5682 * CHOOSE(CONTROL!$C$32, $C$9, 100%, $E$9)</f>
        <v>5.5682</v>
      </c>
      <c r="G236" s="33">
        <f>5.5735 * CHOOSE(CONTROL!$C$32, $C$9, 100%, $E$9)</f>
        <v>5.5735000000000001</v>
      </c>
      <c r="H236" s="33">
        <f>9.0056 * CHOOSE(CONTROL!$C$32, $C$9, 100%, $E$9)</f>
        <v>9.0055999999999994</v>
      </c>
      <c r="I236" s="33">
        <f>9.0109 * CHOOSE(CONTROL!$C$32, $C$9, 100%, $E$9)</f>
        <v>9.0108999999999995</v>
      </c>
      <c r="J236" s="33">
        <f>9.0056 * CHOOSE(CONTROL!$C$32, $C$9, 100%, $E$9)</f>
        <v>9.0055999999999994</v>
      </c>
      <c r="K236" s="33">
        <f>9.0109 * CHOOSE(CONTROL!$C$32, $C$9, 100%, $E$9)</f>
        <v>9.0108999999999995</v>
      </c>
      <c r="L236" s="33">
        <f>5.5682 * CHOOSE(CONTROL!$C$32, $C$9, 100%, $E$9)</f>
        <v>5.5682</v>
      </c>
      <c r="M236" s="33">
        <f>5.5735 * CHOOSE(CONTROL!$C$32, $C$9, 100%, $E$9)</f>
        <v>5.5735000000000001</v>
      </c>
      <c r="N236" s="33">
        <f>5.5682 * CHOOSE(CONTROL!$C$32, $C$9, 100%, $E$9)</f>
        <v>5.5682</v>
      </c>
      <c r="O236" s="33">
        <f>5.5735 * CHOOSE(CONTROL!$C$32, $C$9, 100%, $E$9)</f>
        <v>5.5735000000000001</v>
      </c>
    </row>
    <row r="237" spans="1:15" ht="15" x14ac:dyDescent="0.2">
      <c r="A237" s="16">
        <v>48061</v>
      </c>
      <c r="B237" s="32">
        <f>4.3579 * CHOOSE(CONTROL!$C$32, $C$9, 100%, $E$9)</f>
        <v>4.3578999999999999</v>
      </c>
      <c r="C237" s="32">
        <f>4.3579 * CHOOSE(CONTROL!$C$32, $C$9, 100%, $E$9)</f>
        <v>4.3578999999999999</v>
      </c>
      <c r="D237" s="32">
        <f>4.3595 * CHOOSE(CONTROL!$C$32, $C$9, 100%, $E$9)</f>
        <v>4.3594999999999997</v>
      </c>
      <c r="E237" s="33">
        <f>5.5726 * CHOOSE(CONTROL!$C$32, $C$9, 100%, $E$9)</f>
        <v>5.5726000000000004</v>
      </c>
      <c r="F237" s="33">
        <f>5.5726 * CHOOSE(CONTROL!$C$32, $C$9, 100%, $E$9)</f>
        <v>5.5726000000000004</v>
      </c>
      <c r="G237" s="33">
        <f>5.5779 * CHOOSE(CONTROL!$C$32, $C$9, 100%, $E$9)</f>
        <v>5.5778999999999996</v>
      </c>
      <c r="H237" s="33">
        <f>9.0244 * CHOOSE(CONTROL!$C$32, $C$9, 100%, $E$9)</f>
        <v>9.0244</v>
      </c>
      <c r="I237" s="33">
        <f>9.0296 * CHOOSE(CONTROL!$C$32, $C$9, 100%, $E$9)</f>
        <v>9.0296000000000003</v>
      </c>
      <c r="J237" s="33">
        <f>9.0244 * CHOOSE(CONTROL!$C$32, $C$9, 100%, $E$9)</f>
        <v>9.0244</v>
      </c>
      <c r="K237" s="33">
        <f>9.0296 * CHOOSE(CONTROL!$C$32, $C$9, 100%, $E$9)</f>
        <v>9.0296000000000003</v>
      </c>
      <c r="L237" s="33">
        <f>5.5726 * CHOOSE(CONTROL!$C$32, $C$9, 100%, $E$9)</f>
        <v>5.5726000000000004</v>
      </c>
      <c r="M237" s="33">
        <f>5.5779 * CHOOSE(CONTROL!$C$32, $C$9, 100%, $E$9)</f>
        <v>5.5778999999999996</v>
      </c>
      <c r="N237" s="33">
        <f>5.5726 * CHOOSE(CONTROL!$C$32, $C$9, 100%, $E$9)</f>
        <v>5.5726000000000004</v>
      </c>
      <c r="O237" s="33">
        <f>5.5779 * CHOOSE(CONTROL!$C$32, $C$9, 100%, $E$9)</f>
        <v>5.5778999999999996</v>
      </c>
    </row>
    <row r="238" spans="1:15" ht="15" x14ac:dyDescent="0.2">
      <c r="A238" s="16">
        <v>48092</v>
      </c>
      <c r="B238" s="32">
        <f>4.3549 * CHOOSE(CONTROL!$C$32, $C$9, 100%, $E$9)</f>
        <v>4.3548999999999998</v>
      </c>
      <c r="C238" s="32">
        <f>4.3549 * CHOOSE(CONTROL!$C$32, $C$9, 100%, $E$9)</f>
        <v>4.3548999999999998</v>
      </c>
      <c r="D238" s="32">
        <f>4.3565 * CHOOSE(CONTROL!$C$32, $C$9, 100%, $E$9)</f>
        <v>4.3564999999999996</v>
      </c>
      <c r="E238" s="33">
        <f>5.5706 * CHOOSE(CONTROL!$C$32, $C$9, 100%, $E$9)</f>
        <v>5.5705999999999998</v>
      </c>
      <c r="F238" s="33">
        <f>5.5706 * CHOOSE(CONTROL!$C$32, $C$9, 100%, $E$9)</f>
        <v>5.5705999999999998</v>
      </c>
      <c r="G238" s="33">
        <f>5.5759 * CHOOSE(CONTROL!$C$32, $C$9, 100%, $E$9)</f>
        <v>5.5758999999999999</v>
      </c>
      <c r="H238" s="33">
        <f>9.0432 * CHOOSE(CONTROL!$C$32, $C$9, 100%, $E$9)</f>
        <v>9.0432000000000006</v>
      </c>
      <c r="I238" s="33">
        <f>9.0484 * CHOOSE(CONTROL!$C$32, $C$9, 100%, $E$9)</f>
        <v>9.0484000000000009</v>
      </c>
      <c r="J238" s="33">
        <f>9.0432 * CHOOSE(CONTROL!$C$32, $C$9, 100%, $E$9)</f>
        <v>9.0432000000000006</v>
      </c>
      <c r="K238" s="33">
        <f>9.0484 * CHOOSE(CONTROL!$C$32, $C$9, 100%, $E$9)</f>
        <v>9.0484000000000009</v>
      </c>
      <c r="L238" s="33">
        <f>5.5706 * CHOOSE(CONTROL!$C$32, $C$9, 100%, $E$9)</f>
        <v>5.5705999999999998</v>
      </c>
      <c r="M238" s="33">
        <f>5.5759 * CHOOSE(CONTROL!$C$32, $C$9, 100%, $E$9)</f>
        <v>5.5758999999999999</v>
      </c>
      <c r="N238" s="33">
        <f>5.5706 * CHOOSE(CONTROL!$C$32, $C$9, 100%, $E$9)</f>
        <v>5.5705999999999998</v>
      </c>
      <c r="O238" s="33">
        <f>5.5759 * CHOOSE(CONTROL!$C$32, $C$9, 100%, $E$9)</f>
        <v>5.5758999999999999</v>
      </c>
    </row>
    <row r="239" spans="1:15" ht="15" x14ac:dyDescent="0.2">
      <c r="A239" s="16">
        <v>48122</v>
      </c>
      <c r="B239" s="32">
        <f>4.3513 * CHOOSE(CONTROL!$C$32, $C$9, 100%, $E$9)</f>
        <v>4.3513000000000002</v>
      </c>
      <c r="C239" s="32">
        <f>4.3513 * CHOOSE(CONTROL!$C$32, $C$9, 100%, $E$9)</f>
        <v>4.3513000000000002</v>
      </c>
      <c r="D239" s="32">
        <f>4.3523 * CHOOSE(CONTROL!$C$32, $C$9, 100%, $E$9)</f>
        <v>4.3522999999999996</v>
      </c>
      <c r="E239" s="33">
        <f>5.566 * CHOOSE(CONTROL!$C$32, $C$9, 100%, $E$9)</f>
        <v>5.5659999999999998</v>
      </c>
      <c r="F239" s="33">
        <f>5.566 * CHOOSE(CONTROL!$C$32, $C$9, 100%, $E$9)</f>
        <v>5.5659999999999998</v>
      </c>
      <c r="G239" s="33">
        <f>5.5696 * CHOOSE(CONTROL!$C$32, $C$9, 100%, $E$9)</f>
        <v>5.5696000000000003</v>
      </c>
      <c r="H239" s="33">
        <f>9.062 * CHOOSE(CONTROL!$C$32, $C$9, 100%, $E$9)</f>
        <v>9.0619999999999994</v>
      </c>
      <c r="I239" s="33">
        <f>9.0656 * CHOOSE(CONTROL!$C$32, $C$9, 100%, $E$9)</f>
        <v>9.0655999999999999</v>
      </c>
      <c r="J239" s="33">
        <f>9.062 * CHOOSE(CONTROL!$C$32, $C$9, 100%, $E$9)</f>
        <v>9.0619999999999994</v>
      </c>
      <c r="K239" s="33">
        <f>9.0656 * CHOOSE(CONTROL!$C$32, $C$9, 100%, $E$9)</f>
        <v>9.0655999999999999</v>
      </c>
      <c r="L239" s="33">
        <f>5.566 * CHOOSE(CONTROL!$C$32, $C$9, 100%, $E$9)</f>
        <v>5.5659999999999998</v>
      </c>
      <c r="M239" s="33">
        <f>5.5696 * CHOOSE(CONTROL!$C$32, $C$9, 100%, $E$9)</f>
        <v>5.5696000000000003</v>
      </c>
      <c r="N239" s="33">
        <f>5.566 * CHOOSE(CONTROL!$C$32, $C$9, 100%, $E$9)</f>
        <v>5.5659999999999998</v>
      </c>
      <c r="O239" s="33">
        <f>5.5696 * CHOOSE(CONTROL!$C$32, $C$9, 100%, $E$9)</f>
        <v>5.5696000000000003</v>
      </c>
    </row>
    <row r="240" spans="1:15" ht="15" x14ac:dyDescent="0.2">
      <c r="A240" s="16">
        <v>48153</v>
      </c>
      <c r="B240" s="32">
        <f>4.3543 * CHOOSE(CONTROL!$C$32, $C$9, 100%, $E$9)</f>
        <v>4.3543000000000003</v>
      </c>
      <c r="C240" s="32">
        <f>4.3543 * CHOOSE(CONTROL!$C$32, $C$9, 100%, $E$9)</f>
        <v>4.3543000000000003</v>
      </c>
      <c r="D240" s="32">
        <f>4.3554 * CHOOSE(CONTROL!$C$32, $C$9, 100%, $E$9)</f>
        <v>4.3554000000000004</v>
      </c>
      <c r="E240" s="33">
        <f>5.568 * CHOOSE(CONTROL!$C$32, $C$9, 100%, $E$9)</f>
        <v>5.5679999999999996</v>
      </c>
      <c r="F240" s="33">
        <f>5.568 * CHOOSE(CONTROL!$C$32, $C$9, 100%, $E$9)</f>
        <v>5.5679999999999996</v>
      </c>
      <c r="G240" s="33">
        <f>5.5716 * CHOOSE(CONTROL!$C$32, $C$9, 100%, $E$9)</f>
        <v>5.5716000000000001</v>
      </c>
      <c r="H240" s="33">
        <f>9.0809 * CHOOSE(CONTROL!$C$32, $C$9, 100%, $E$9)</f>
        <v>9.0808999999999997</v>
      </c>
      <c r="I240" s="33">
        <f>9.0845 * CHOOSE(CONTROL!$C$32, $C$9, 100%, $E$9)</f>
        <v>9.0845000000000002</v>
      </c>
      <c r="J240" s="33">
        <f>9.0809 * CHOOSE(CONTROL!$C$32, $C$9, 100%, $E$9)</f>
        <v>9.0808999999999997</v>
      </c>
      <c r="K240" s="33">
        <f>9.0845 * CHOOSE(CONTROL!$C$32, $C$9, 100%, $E$9)</f>
        <v>9.0845000000000002</v>
      </c>
      <c r="L240" s="33">
        <f>5.568 * CHOOSE(CONTROL!$C$32, $C$9, 100%, $E$9)</f>
        <v>5.5679999999999996</v>
      </c>
      <c r="M240" s="33">
        <f>5.5716 * CHOOSE(CONTROL!$C$32, $C$9, 100%, $E$9)</f>
        <v>5.5716000000000001</v>
      </c>
      <c r="N240" s="33">
        <f>5.568 * CHOOSE(CONTROL!$C$32, $C$9, 100%, $E$9)</f>
        <v>5.5679999999999996</v>
      </c>
      <c r="O240" s="33">
        <f>5.5716 * CHOOSE(CONTROL!$C$32, $C$9, 100%, $E$9)</f>
        <v>5.5716000000000001</v>
      </c>
    </row>
    <row r="241" spans="1:15" ht="15" x14ac:dyDescent="0.2">
      <c r="A241" s="16">
        <v>48183</v>
      </c>
      <c r="B241" s="32">
        <f>4.3543 * CHOOSE(CONTROL!$C$32, $C$9, 100%, $E$9)</f>
        <v>4.3543000000000003</v>
      </c>
      <c r="C241" s="32">
        <f>4.3543 * CHOOSE(CONTROL!$C$32, $C$9, 100%, $E$9)</f>
        <v>4.3543000000000003</v>
      </c>
      <c r="D241" s="32">
        <f>4.3554 * CHOOSE(CONTROL!$C$32, $C$9, 100%, $E$9)</f>
        <v>4.3554000000000004</v>
      </c>
      <c r="E241" s="33">
        <f>5.568 * CHOOSE(CONTROL!$C$32, $C$9, 100%, $E$9)</f>
        <v>5.5679999999999996</v>
      </c>
      <c r="F241" s="33">
        <f>5.568 * CHOOSE(CONTROL!$C$32, $C$9, 100%, $E$9)</f>
        <v>5.5679999999999996</v>
      </c>
      <c r="G241" s="33">
        <f>5.5716 * CHOOSE(CONTROL!$C$32, $C$9, 100%, $E$9)</f>
        <v>5.5716000000000001</v>
      </c>
      <c r="H241" s="33">
        <f>9.0998 * CHOOSE(CONTROL!$C$32, $C$9, 100%, $E$9)</f>
        <v>9.0998000000000001</v>
      </c>
      <c r="I241" s="33">
        <f>9.1034 * CHOOSE(CONTROL!$C$32, $C$9, 100%, $E$9)</f>
        <v>9.1034000000000006</v>
      </c>
      <c r="J241" s="33">
        <f>9.0998 * CHOOSE(CONTROL!$C$32, $C$9, 100%, $E$9)</f>
        <v>9.0998000000000001</v>
      </c>
      <c r="K241" s="33">
        <f>9.1034 * CHOOSE(CONTROL!$C$32, $C$9, 100%, $E$9)</f>
        <v>9.1034000000000006</v>
      </c>
      <c r="L241" s="33">
        <f>5.568 * CHOOSE(CONTROL!$C$32, $C$9, 100%, $E$9)</f>
        <v>5.5679999999999996</v>
      </c>
      <c r="M241" s="33">
        <f>5.5716 * CHOOSE(CONTROL!$C$32, $C$9, 100%, $E$9)</f>
        <v>5.5716000000000001</v>
      </c>
      <c r="N241" s="33">
        <f>5.568 * CHOOSE(CONTROL!$C$32, $C$9, 100%, $E$9)</f>
        <v>5.5679999999999996</v>
      </c>
      <c r="O241" s="33">
        <f>5.5716 * CHOOSE(CONTROL!$C$32, $C$9, 100%, $E$9)</f>
        <v>5.5716000000000001</v>
      </c>
    </row>
    <row r="242" spans="1:15" ht="15" x14ac:dyDescent="0.2">
      <c r="A242" s="16">
        <v>48214</v>
      </c>
      <c r="B242" s="32">
        <f>4.3913 * CHOOSE(CONTROL!$C$32, $C$9, 100%, $E$9)</f>
        <v>4.3913000000000002</v>
      </c>
      <c r="C242" s="32">
        <f>4.3913 * CHOOSE(CONTROL!$C$32, $C$9, 100%, $E$9)</f>
        <v>4.3913000000000002</v>
      </c>
      <c r="D242" s="32">
        <f>4.3923 * CHOOSE(CONTROL!$C$32, $C$9, 100%, $E$9)</f>
        <v>4.3922999999999996</v>
      </c>
      <c r="E242" s="33">
        <f>5.6146 * CHOOSE(CONTROL!$C$32, $C$9, 100%, $E$9)</f>
        <v>5.6146000000000003</v>
      </c>
      <c r="F242" s="33">
        <f>5.6146 * CHOOSE(CONTROL!$C$32, $C$9, 100%, $E$9)</f>
        <v>5.6146000000000003</v>
      </c>
      <c r="G242" s="33">
        <f>5.6182 * CHOOSE(CONTROL!$C$32, $C$9, 100%, $E$9)</f>
        <v>5.6181999999999999</v>
      </c>
      <c r="H242" s="33">
        <f>9.1187 * CHOOSE(CONTROL!$C$32, $C$9, 100%, $E$9)</f>
        <v>9.1187000000000005</v>
      </c>
      <c r="I242" s="33">
        <f>9.1224 * CHOOSE(CONTROL!$C$32, $C$9, 100%, $E$9)</f>
        <v>9.1224000000000007</v>
      </c>
      <c r="J242" s="33">
        <f>9.1187 * CHOOSE(CONTROL!$C$32, $C$9, 100%, $E$9)</f>
        <v>9.1187000000000005</v>
      </c>
      <c r="K242" s="33">
        <f>9.1224 * CHOOSE(CONTROL!$C$32, $C$9, 100%, $E$9)</f>
        <v>9.1224000000000007</v>
      </c>
      <c r="L242" s="33">
        <f>5.6146 * CHOOSE(CONTROL!$C$32, $C$9, 100%, $E$9)</f>
        <v>5.6146000000000003</v>
      </c>
      <c r="M242" s="33">
        <f>5.6182 * CHOOSE(CONTROL!$C$32, $C$9, 100%, $E$9)</f>
        <v>5.6181999999999999</v>
      </c>
      <c r="N242" s="33">
        <f>5.6146 * CHOOSE(CONTROL!$C$32, $C$9, 100%, $E$9)</f>
        <v>5.6146000000000003</v>
      </c>
      <c r="O242" s="33">
        <f>5.6182 * CHOOSE(CONTROL!$C$32, $C$9, 100%, $E$9)</f>
        <v>5.6181999999999999</v>
      </c>
    </row>
    <row r="243" spans="1:15" ht="15" x14ac:dyDescent="0.2">
      <c r="A243" s="16">
        <v>48245</v>
      </c>
      <c r="B243" s="32">
        <f>4.3882 * CHOOSE(CONTROL!$C$32, $C$9, 100%, $E$9)</f>
        <v>4.3882000000000003</v>
      </c>
      <c r="C243" s="32">
        <f>4.3882 * CHOOSE(CONTROL!$C$32, $C$9, 100%, $E$9)</f>
        <v>4.3882000000000003</v>
      </c>
      <c r="D243" s="32">
        <f>4.3893 * CHOOSE(CONTROL!$C$32, $C$9, 100%, $E$9)</f>
        <v>4.3893000000000004</v>
      </c>
      <c r="E243" s="33">
        <f>5.6126 * CHOOSE(CONTROL!$C$32, $C$9, 100%, $E$9)</f>
        <v>5.6125999999999996</v>
      </c>
      <c r="F243" s="33">
        <f>5.6126 * CHOOSE(CONTROL!$C$32, $C$9, 100%, $E$9)</f>
        <v>5.6125999999999996</v>
      </c>
      <c r="G243" s="33">
        <f>5.6162 * CHOOSE(CONTROL!$C$32, $C$9, 100%, $E$9)</f>
        <v>5.6162000000000001</v>
      </c>
      <c r="H243" s="33">
        <f>9.1377 * CHOOSE(CONTROL!$C$32, $C$9, 100%, $E$9)</f>
        <v>9.1377000000000006</v>
      </c>
      <c r="I243" s="33">
        <f>9.1414 * CHOOSE(CONTROL!$C$32, $C$9, 100%, $E$9)</f>
        <v>9.1414000000000009</v>
      </c>
      <c r="J243" s="33">
        <f>9.1377 * CHOOSE(CONTROL!$C$32, $C$9, 100%, $E$9)</f>
        <v>9.1377000000000006</v>
      </c>
      <c r="K243" s="33">
        <f>9.1414 * CHOOSE(CONTROL!$C$32, $C$9, 100%, $E$9)</f>
        <v>9.1414000000000009</v>
      </c>
      <c r="L243" s="33">
        <f>5.6126 * CHOOSE(CONTROL!$C$32, $C$9, 100%, $E$9)</f>
        <v>5.6125999999999996</v>
      </c>
      <c r="M243" s="33">
        <f>5.6162 * CHOOSE(CONTROL!$C$32, $C$9, 100%, $E$9)</f>
        <v>5.6162000000000001</v>
      </c>
      <c r="N243" s="33">
        <f>5.6126 * CHOOSE(CONTROL!$C$32, $C$9, 100%, $E$9)</f>
        <v>5.6125999999999996</v>
      </c>
      <c r="O243" s="33">
        <f>5.6162 * CHOOSE(CONTROL!$C$32, $C$9, 100%, $E$9)</f>
        <v>5.6162000000000001</v>
      </c>
    </row>
    <row r="244" spans="1:15" ht="15" x14ac:dyDescent="0.2">
      <c r="A244" s="16">
        <v>48274</v>
      </c>
      <c r="B244" s="32">
        <f>4.3852 * CHOOSE(CONTROL!$C$32, $C$9, 100%, $E$9)</f>
        <v>4.3852000000000002</v>
      </c>
      <c r="C244" s="32">
        <f>4.3852 * CHOOSE(CONTROL!$C$32, $C$9, 100%, $E$9)</f>
        <v>4.3852000000000002</v>
      </c>
      <c r="D244" s="32">
        <f>4.3862 * CHOOSE(CONTROL!$C$32, $C$9, 100%, $E$9)</f>
        <v>4.3861999999999997</v>
      </c>
      <c r="E244" s="33">
        <f>5.6106 * CHOOSE(CONTROL!$C$32, $C$9, 100%, $E$9)</f>
        <v>5.6105999999999998</v>
      </c>
      <c r="F244" s="33">
        <f>5.6106 * CHOOSE(CONTROL!$C$32, $C$9, 100%, $E$9)</f>
        <v>5.6105999999999998</v>
      </c>
      <c r="G244" s="33">
        <f>5.6142 * CHOOSE(CONTROL!$C$32, $C$9, 100%, $E$9)</f>
        <v>5.6142000000000003</v>
      </c>
      <c r="H244" s="33">
        <f>9.1568 * CHOOSE(CONTROL!$C$32, $C$9, 100%, $E$9)</f>
        <v>9.1568000000000005</v>
      </c>
      <c r="I244" s="33">
        <f>9.1604 * CHOOSE(CONTROL!$C$32, $C$9, 100%, $E$9)</f>
        <v>9.1603999999999992</v>
      </c>
      <c r="J244" s="33">
        <f>9.1568 * CHOOSE(CONTROL!$C$32, $C$9, 100%, $E$9)</f>
        <v>9.1568000000000005</v>
      </c>
      <c r="K244" s="33">
        <f>9.1604 * CHOOSE(CONTROL!$C$32, $C$9, 100%, $E$9)</f>
        <v>9.1603999999999992</v>
      </c>
      <c r="L244" s="33">
        <f>5.6106 * CHOOSE(CONTROL!$C$32, $C$9, 100%, $E$9)</f>
        <v>5.6105999999999998</v>
      </c>
      <c r="M244" s="33">
        <f>5.6142 * CHOOSE(CONTROL!$C$32, $C$9, 100%, $E$9)</f>
        <v>5.6142000000000003</v>
      </c>
      <c r="N244" s="33">
        <f>5.6106 * CHOOSE(CONTROL!$C$32, $C$9, 100%, $E$9)</f>
        <v>5.6105999999999998</v>
      </c>
      <c r="O244" s="33">
        <f>5.6142 * CHOOSE(CONTROL!$C$32, $C$9, 100%, $E$9)</f>
        <v>5.6142000000000003</v>
      </c>
    </row>
    <row r="245" spans="1:15" ht="15" x14ac:dyDescent="0.2">
      <c r="A245" s="16">
        <v>48305</v>
      </c>
      <c r="B245" s="32">
        <f>4.3832 * CHOOSE(CONTROL!$C$32, $C$9, 100%, $E$9)</f>
        <v>4.3832000000000004</v>
      </c>
      <c r="C245" s="32">
        <f>4.3832 * CHOOSE(CONTROL!$C$32, $C$9, 100%, $E$9)</f>
        <v>4.3832000000000004</v>
      </c>
      <c r="D245" s="32">
        <f>4.3843 * CHOOSE(CONTROL!$C$32, $C$9, 100%, $E$9)</f>
        <v>4.3842999999999996</v>
      </c>
      <c r="E245" s="33">
        <f>5.6087 * CHOOSE(CONTROL!$C$32, $C$9, 100%, $E$9)</f>
        <v>5.6086999999999998</v>
      </c>
      <c r="F245" s="33">
        <f>5.6087 * CHOOSE(CONTROL!$C$32, $C$9, 100%, $E$9)</f>
        <v>5.6086999999999998</v>
      </c>
      <c r="G245" s="33">
        <f>5.6123 * CHOOSE(CONTROL!$C$32, $C$9, 100%, $E$9)</f>
        <v>5.6123000000000003</v>
      </c>
      <c r="H245" s="33">
        <f>9.1759 * CHOOSE(CONTROL!$C$32, $C$9, 100%, $E$9)</f>
        <v>9.1759000000000004</v>
      </c>
      <c r="I245" s="33">
        <f>9.1795 * CHOOSE(CONTROL!$C$32, $C$9, 100%, $E$9)</f>
        <v>9.1795000000000009</v>
      </c>
      <c r="J245" s="33">
        <f>9.1759 * CHOOSE(CONTROL!$C$32, $C$9, 100%, $E$9)</f>
        <v>9.1759000000000004</v>
      </c>
      <c r="K245" s="33">
        <f>9.1795 * CHOOSE(CONTROL!$C$32, $C$9, 100%, $E$9)</f>
        <v>9.1795000000000009</v>
      </c>
      <c r="L245" s="33">
        <f>5.6087 * CHOOSE(CONTROL!$C$32, $C$9, 100%, $E$9)</f>
        <v>5.6086999999999998</v>
      </c>
      <c r="M245" s="33">
        <f>5.6123 * CHOOSE(CONTROL!$C$32, $C$9, 100%, $E$9)</f>
        <v>5.6123000000000003</v>
      </c>
      <c r="N245" s="33">
        <f>5.6087 * CHOOSE(CONTROL!$C$32, $C$9, 100%, $E$9)</f>
        <v>5.6086999999999998</v>
      </c>
      <c r="O245" s="33">
        <f>5.6123 * CHOOSE(CONTROL!$C$32, $C$9, 100%, $E$9)</f>
        <v>5.6123000000000003</v>
      </c>
    </row>
    <row r="246" spans="1:15" ht="15" x14ac:dyDescent="0.2">
      <c r="A246" s="16">
        <v>48335</v>
      </c>
      <c r="B246" s="32">
        <f>4.3832 * CHOOSE(CONTROL!$C$32, $C$9, 100%, $E$9)</f>
        <v>4.3832000000000004</v>
      </c>
      <c r="C246" s="32">
        <f>4.3832 * CHOOSE(CONTROL!$C$32, $C$9, 100%, $E$9)</f>
        <v>4.3832000000000004</v>
      </c>
      <c r="D246" s="32">
        <f>4.3848 * CHOOSE(CONTROL!$C$32, $C$9, 100%, $E$9)</f>
        <v>4.3848000000000003</v>
      </c>
      <c r="E246" s="33">
        <f>5.6087 * CHOOSE(CONTROL!$C$32, $C$9, 100%, $E$9)</f>
        <v>5.6086999999999998</v>
      </c>
      <c r="F246" s="33">
        <f>5.6087 * CHOOSE(CONTROL!$C$32, $C$9, 100%, $E$9)</f>
        <v>5.6086999999999998</v>
      </c>
      <c r="G246" s="33">
        <f>5.614 * CHOOSE(CONTROL!$C$32, $C$9, 100%, $E$9)</f>
        <v>5.6139999999999999</v>
      </c>
      <c r="H246" s="33">
        <f>9.195 * CHOOSE(CONTROL!$C$32, $C$9, 100%, $E$9)</f>
        <v>9.1950000000000003</v>
      </c>
      <c r="I246" s="33">
        <f>9.2003 * CHOOSE(CONTROL!$C$32, $C$9, 100%, $E$9)</f>
        <v>9.2003000000000004</v>
      </c>
      <c r="J246" s="33">
        <f>9.195 * CHOOSE(CONTROL!$C$32, $C$9, 100%, $E$9)</f>
        <v>9.1950000000000003</v>
      </c>
      <c r="K246" s="33">
        <f>9.2003 * CHOOSE(CONTROL!$C$32, $C$9, 100%, $E$9)</f>
        <v>9.2003000000000004</v>
      </c>
      <c r="L246" s="33">
        <f>5.6087 * CHOOSE(CONTROL!$C$32, $C$9, 100%, $E$9)</f>
        <v>5.6086999999999998</v>
      </c>
      <c r="M246" s="33">
        <f>5.614 * CHOOSE(CONTROL!$C$32, $C$9, 100%, $E$9)</f>
        <v>5.6139999999999999</v>
      </c>
      <c r="N246" s="33">
        <f>5.6087 * CHOOSE(CONTROL!$C$32, $C$9, 100%, $E$9)</f>
        <v>5.6086999999999998</v>
      </c>
      <c r="O246" s="33">
        <f>5.614 * CHOOSE(CONTROL!$C$32, $C$9, 100%, $E$9)</f>
        <v>5.6139999999999999</v>
      </c>
    </row>
    <row r="247" spans="1:15" ht="15" x14ac:dyDescent="0.2">
      <c r="A247" s="16">
        <v>48366</v>
      </c>
      <c r="B247" s="32">
        <f>4.3893 * CHOOSE(CONTROL!$C$32, $C$9, 100%, $E$9)</f>
        <v>4.3893000000000004</v>
      </c>
      <c r="C247" s="32">
        <f>4.3893 * CHOOSE(CONTROL!$C$32, $C$9, 100%, $E$9)</f>
        <v>4.3893000000000004</v>
      </c>
      <c r="D247" s="32">
        <f>4.3909 * CHOOSE(CONTROL!$C$32, $C$9, 100%, $E$9)</f>
        <v>4.3909000000000002</v>
      </c>
      <c r="E247" s="33">
        <f>5.6127 * CHOOSE(CONTROL!$C$32, $C$9, 100%, $E$9)</f>
        <v>5.6127000000000002</v>
      </c>
      <c r="F247" s="33">
        <f>5.6127 * CHOOSE(CONTROL!$C$32, $C$9, 100%, $E$9)</f>
        <v>5.6127000000000002</v>
      </c>
      <c r="G247" s="33">
        <f>5.618 * CHOOSE(CONTROL!$C$32, $C$9, 100%, $E$9)</f>
        <v>5.6180000000000003</v>
      </c>
      <c r="H247" s="33">
        <f>9.2141 * CHOOSE(CONTROL!$C$32, $C$9, 100%, $E$9)</f>
        <v>9.2141000000000002</v>
      </c>
      <c r="I247" s="33">
        <f>9.2194 * CHOOSE(CONTROL!$C$32, $C$9, 100%, $E$9)</f>
        <v>9.2194000000000003</v>
      </c>
      <c r="J247" s="33">
        <f>9.2141 * CHOOSE(CONTROL!$C$32, $C$9, 100%, $E$9)</f>
        <v>9.2141000000000002</v>
      </c>
      <c r="K247" s="33">
        <f>9.2194 * CHOOSE(CONTROL!$C$32, $C$9, 100%, $E$9)</f>
        <v>9.2194000000000003</v>
      </c>
      <c r="L247" s="33">
        <f>5.6127 * CHOOSE(CONTROL!$C$32, $C$9, 100%, $E$9)</f>
        <v>5.6127000000000002</v>
      </c>
      <c r="M247" s="33">
        <f>5.618 * CHOOSE(CONTROL!$C$32, $C$9, 100%, $E$9)</f>
        <v>5.6180000000000003</v>
      </c>
      <c r="N247" s="33">
        <f>5.6127 * CHOOSE(CONTROL!$C$32, $C$9, 100%, $E$9)</f>
        <v>5.6127000000000002</v>
      </c>
      <c r="O247" s="33">
        <f>5.618 * CHOOSE(CONTROL!$C$32, $C$9, 100%, $E$9)</f>
        <v>5.6180000000000003</v>
      </c>
    </row>
    <row r="248" spans="1:15" ht="15" x14ac:dyDescent="0.2">
      <c r="A248" s="16">
        <v>48396</v>
      </c>
      <c r="B248" s="32">
        <f>4.4571 * CHOOSE(CONTROL!$C$32, $C$9, 100%, $E$9)</f>
        <v>4.4570999999999996</v>
      </c>
      <c r="C248" s="32">
        <f>4.4571 * CHOOSE(CONTROL!$C$32, $C$9, 100%, $E$9)</f>
        <v>4.4570999999999996</v>
      </c>
      <c r="D248" s="32">
        <f>4.4586 * CHOOSE(CONTROL!$C$32, $C$9, 100%, $E$9)</f>
        <v>4.4585999999999997</v>
      </c>
      <c r="E248" s="33">
        <f>5.7152 * CHOOSE(CONTROL!$C$32, $C$9, 100%, $E$9)</f>
        <v>5.7152000000000003</v>
      </c>
      <c r="F248" s="33">
        <f>5.7152 * CHOOSE(CONTROL!$C$32, $C$9, 100%, $E$9)</f>
        <v>5.7152000000000003</v>
      </c>
      <c r="G248" s="33">
        <f>5.7205 * CHOOSE(CONTROL!$C$32, $C$9, 100%, $E$9)</f>
        <v>5.7205000000000004</v>
      </c>
      <c r="H248" s="33">
        <f>9.2333 * CHOOSE(CONTROL!$C$32, $C$9, 100%, $E$9)</f>
        <v>9.2332999999999998</v>
      </c>
      <c r="I248" s="33">
        <f>9.2386 * CHOOSE(CONTROL!$C$32, $C$9, 100%, $E$9)</f>
        <v>9.2385999999999999</v>
      </c>
      <c r="J248" s="33">
        <f>9.2333 * CHOOSE(CONTROL!$C$32, $C$9, 100%, $E$9)</f>
        <v>9.2332999999999998</v>
      </c>
      <c r="K248" s="33">
        <f>9.2386 * CHOOSE(CONTROL!$C$32, $C$9, 100%, $E$9)</f>
        <v>9.2385999999999999</v>
      </c>
      <c r="L248" s="33">
        <f>5.7152 * CHOOSE(CONTROL!$C$32, $C$9, 100%, $E$9)</f>
        <v>5.7152000000000003</v>
      </c>
      <c r="M248" s="33">
        <f>5.7205 * CHOOSE(CONTROL!$C$32, $C$9, 100%, $E$9)</f>
        <v>5.7205000000000004</v>
      </c>
      <c r="N248" s="33">
        <f>5.7152 * CHOOSE(CONTROL!$C$32, $C$9, 100%, $E$9)</f>
        <v>5.7152000000000003</v>
      </c>
      <c r="O248" s="33">
        <f>5.7205 * CHOOSE(CONTROL!$C$32, $C$9, 100%, $E$9)</f>
        <v>5.7205000000000004</v>
      </c>
    </row>
    <row r="249" spans="1:15" ht="15" x14ac:dyDescent="0.2">
      <c r="A249" s="16">
        <v>48427</v>
      </c>
      <c r="B249" s="32">
        <f>4.4637 * CHOOSE(CONTROL!$C$32, $C$9, 100%, $E$9)</f>
        <v>4.4637000000000002</v>
      </c>
      <c r="C249" s="32">
        <f>4.4637 * CHOOSE(CONTROL!$C$32, $C$9, 100%, $E$9)</f>
        <v>4.4637000000000002</v>
      </c>
      <c r="D249" s="32">
        <f>4.4653 * CHOOSE(CONTROL!$C$32, $C$9, 100%, $E$9)</f>
        <v>4.4653</v>
      </c>
      <c r="E249" s="33">
        <f>5.7196 * CHOOSE(CONTROL!$C$32, $C$9, 100%, $E$9)</f>
        <v>5.7195999999999998</v>
      </c>
      <c r="F249" s="33">
        <f>5.7196 * CHOOSE(CONTROL!$C$32, $C$9, 100%, $E$9)</f>
        <v>5.7195999999999998</v>
      </c>
      <c r="G249" s="33">
        <f>5.7249 * CHOOSE(CONTROL!$C$32, $C$9, 100%, $E$9)</f>
        <v>5.7248999999999999</v>
      </c>
      <c r="H249" s="33">
        <f>9.2526 * CHOOSE(CONTROL!$C$32, $C$9, 100%, $E$9)</f>
        <v>9.2525999999999993</v>
      </c>
      <c r="I249" s="33">
        <f>9.2579 * CHOOSE(CONTROL!$C$32, $C$9, 100%, $E$9)</f>
        <v>9.2578999999999994</v>
      </c>
      <c r="J249" s="33">
        <f>9.2526 * CHOOSE(CONTROL!$C$32, $C$9, 100%, $E$9)</f>
        <v>9.2525999999999993</v>
      </c>
      <c r="K249" s="33">
        <f>9.2579 * CHOOSE(CONTROL!$C$32, $C$9, 100%, $E$9)</f>
        <v>9.2578999999999994</v>
      </c>
      <c r="L249" s="33">
        <f>5.7196 * CHOOSE(CONTROL!$C$32, $C$9, 100%, $E$9)</f>
        <v>5.7195999999999998</v>
      </c>
      <c r="M249" s="33">
        <f>5.7249 * CHOOSE(CONTROL!$C$32, $C$9, 100%, $E$9)</f>
        <v>5.7248999999999999</v>
      </c>
      <c r="N249" s="33">
        <f>5.7196 * CHOOSE(CONTROL!$C$32, $C$9, 100%, $E$9)</f>
        <v>5.7195999999999998</v>
      </c>
      <c r="O249" s="33">
        <f>5.7249 * CHOOSE(CONTROL!$C$32, $C$9, 100%, $E$9)</f>
        <v>5.7248999999999999</v>
      </c>
    </row>
    <row r="250" spans="1:15" ht="15" x14ac:dyDescent="0.2">
      <c r="A250" s="16">
        <v>48458</v>
      </c>
      <c r="B250" s="32">
        <f>4.4607 * CHOOSE(CONTROL!$C$32, $C$9, 100%, $E$9)</f>
        <v>4.4607000000000001</v>
      </c>
      <c r="C250" s="32">
        <f>4.4607 * CHOOSE(CONTROL!$C$32, $C$9, 100%, $E$9)</f>
        <v>4.4607000000000001</v>
      </c>
      <c r="D250" s="32">
        <f>4.4623 * CHOOSE(CONTROL!$C$32, $C$9, 100%, $E$9)</f>
        <v>4.4622999999999999</v>
      </c>
      <c r="E250" s="33">
        <f>5.7176 * CHOOSE(CONTROL!$C$32, $C$9, 100%, $E$9)</f>
        <v>5.7176</v>
      </c>
      <c r="F250" s="33">
        <f>5.7176 * CHOOSE(CONTROL!$C$32, $C$9, 100%, $E$9)</f>
        <v>5.7176</v>
      </c>
      <c r="G250" s="33">
        <f>5.7229 * CHOOSE(CONTROL!$C$32, $C$9, 100%, $E$9)</f>
        <v>5.7229000000000001</v>
      </c>
      <c r="H250" s="33">
        <f>9.2718 * CHOOSE(CONTROL!$C$32, $C$9, 100%, $E$9)</f>
        <v>9.2718000000000007</v>
      </c>
      <c r="I250" s="33">
        <f>9.2771 * CHOOSE(CONTROL!$C$32, $C$9, 100%, $E$9)</f>
        <v>9.2771000000000008</v>
      </c>
      <c r="J250" s="33">
        <f>9.2718 * CHOOSE(CONTROL!$C$32, $C$9, 100%, $E$9)</f>
        <v>9.2718000000000007</v>
      </c>
      <c r="K250" s="33">
        <f>9.2771 * CHOOSE(CONTROL!$C$32, $C$9, 100%, $E$9)</f>
        <v>9.2771000000000008</v>
      </c>
      <c r="L250" s="33">
        <f>5.7176 * CHOOSE(CONTROL!$C$32, $C$9, 100%, $E$9)</f>
        <v>5.7176</v>
      </c>
      <c r="M250" s="33">
        <f>5.7229 * CHOOSE(CONTROL!$C$32, $C$9, 100%, $E$9)</f>
        <v>5.7229000000000001</v>
      </c>
      <c r="N250" s="33">
        <f>5.7176 * CHOOSE(CONTROL!$C$32, $C$9, 100%, $E$9)</f>
        <v>5.7176</v>
      </c>
      <c r="O250" s="33">
        <f>5.7229 * CHOOSE(CONTROL!$C$32, $C$9, 100%, $E$9)</f>
        <v>5.7229000000000001</v>
      </c>
    </row>
    <row r="251" spans="1:15" ht="15" x14ac:dyDescent="0.2">
      <c r="A251" s="16">
        <v>48488</v>
      </c>
      <c r="B251" s="32">
        <f>4.4575 * CHOOSE(CONTROL!$C$32, $C$9, 100%, $E$9)</f>
        <v>4.4574999999999996</v>
      </c>
      <c r="C251" s="32">
        <f>4.4575 * CHOOSE(CONTROL!$C$32, $C$9, 100%, $E$9)</f>
        <v>4.4574999999999996</v>
      </c>
      <c r="D251" s="32">
        <f>4.4586 * CHOOSE(CONTROL!$C$32, $C$9, 100%, $E$9)</f>
        <v>4.4585999999999997</v>
      </c>
      <c r="E251" s="33">
        <f>5.7132 * CHOOSE(CONTROL!$C$32, $C$9, 100%, $E$9)</f>
        <v>5.7131999999999996</v>
      </c>
      <c r="F251" s="33">
        <f>5.7132 * CHOOSE(CONTROL!$C$32, $C$9, 100%, $E$9)</f>
        <v>5.7131999999999996</v>
      </c>
      <c r="G251" s="33">
        <f>5.7168 * CHOOSE(CONTROL!$C$32, $C$9, 100%, $E$9)</f>
        <v>5.7168000000000001</v>
      </c>
      <c r="H251" s="33">
        <f>9.2912 * CHOOSE(CONTROL!$C$32, $C$9, 100%, $E$9)</f>
        <v>9.2911999999999999</v>
      </c>
      <c r="I251" s="33">
        <f>9.2948 * CHOOSE(CONTROL!$C$32, $C$9, 100%, $E$9)</f>
        <v>9.2948000000000004</v>
      </c>
      <c r="J251" s="33">
        <f>9.2912 * CHOOSE(CONTROL!$C$32, $C$9, 100%, $E$9)</f>
        <v>9.2911999999999999</v>
      </c>
      <c r="K251" s="33">
        <f>9.2948 * CHOOSE(CONTROL!$C$32, $C$9, 100%, $E$9)</f>
        <v>9.2948000000000004</v>
      </c>
      <c r="L251" s="33">
        <f>5.7132 * CHOOSE(CONTROL!$C$32, $C$9, 100%, $E$9)</f>
        <v>5.7131999999999996</v>
      </c>
      <c r="M251" s="33">
        <f>5.7168 * CHOOSE(CONTROL!$C$32, $C$9, 100%, $E$9)</f>
        <v>5.7168000000000001</v>
      </c>
      <c r="N251" s="33">
        <f>5.7132 * CHOOSE(CONTROL!$C$32, $C$9, 100%, $E$9)</f>
        <v>5.7131999999999996</v>
      </c>
      <c r="O251" s="33">
        <f>5.7168 * CHOOSE(CONTROL!$C$32, $C$9, 100%, $E$9)</f>
        <v>5.7168000000000001</v>
      </c>
    </row>
    <row r="252" spans="1:15" ht="15" x14ac:dyDescent="0.2">
      <c r="A252" s="16">
        <v>48519</v>
      </c>
      <c r="B252" s="32">
        <f>4.4605 * CHOOSE(CONTROL!$C$32, $C$9, 100%, $E$9)</f>
        <v>4.4604999999999997</v>
      </c>
      <c r="C252" s="32">
        <f>4.4605 * CHOOSE(CONTROL!$C$32, $C$9, 100%, $E$9)</f>
        <v>4.4604999999999997</v>
      </c>
      <c r="D252" s="32">
        <f>4.4616 * CHOOSE(CONTROL!$C$32, $C$9, 100%, $E$9)</f>
        <v>4.4615999999999998</v>
      </c>
      <c r="E252" s="33">
        <f>5.7152 * CHOOSE(CONTROL!$C$32, $C$9, 100%, $E$9)</f>
        <v>5.7152000000000003</v>
      </c>
      <c r="F252" s="33">
        <f>5.7152 * CHOOSE(CONTROL!$C$32, $C$9, 100%, $E$9)</f>
        <v>5.7152000000000003</v>
      </c>
      <c r="G252" s="33">
        <f>5.7188 * CHOOSE(CONTROL!$C$32, $C$9, 100%, $E$9)</f>
        <v>5.7187999999999999</v>
      </c>
      <c r="H252" s="33">
        <f>9.3105 * CHOOSE(CONTROL!$C$32, $C$9, 100%, $E$9)</f>
        <v>9.3104999999999993</v>
      </c>
      <c r="I252" s="33">
        <f>9.3141 * CHOOSE(CONTROL!$C$32, $C$9, 100%, $E$9)</f>
        <v>9.3140999999999998</v>
      </c>
      <c r="J252" s="33">
        <f>9.3105 * CHOOSE(CONTROL!$C$32, $C$9, 100%, $E$9)</f>
        <v>9.3104999999999993</v>
      </c>
      <c r="K252" s="33">
        <f>9.3141 * CHOOSE(CONTROL!$C$32, $C$9, 100%, $E$9)</f>
        <v>9.3140999999999998</v>
      </c>
      <c r="L252" s="33">
        <f>5.7152 * CHOOSE(CONTROL!$C$32, $C$9, 100%, $E$9)</f>
        <v>5.7152000000000003</v>
      </c>
      <c r="M252" s="33">
        <f>5.7188 * CHOOSE(CONTROL!$C$32, $C$9, 100%, $E$9)</f>
        <v>5.7187999999999999</v>
      </c>
      <c r="N252" s="33">
        <f>5.7152 * CHOOSE(CONTROL!$C$32, $C$9, 100%, $E$9)</f>
        <v>5.7152000000000003</v>
      </c>
      <c r="O252" s="33">
        <f>5.7188 * CHOOSE(CONTROL!$C$32, $C$9, 100%, $E$9)</f>
        <v>5.7187999999999999</v>
      </c>
    </row>
    <row r="253" spans="1:15" ht="15" x14ac:dyDescent="0.2">
      <c r="A253" s="16">
        <v>48549</v>
      </c>
      <c r="B253" s="32">
        <f>4.4605 * CHOOSE(CONTROL!$C$32, $C$9, 100%, $E$9)</f>
        <v>4.4604999999999997</v>
      </c>
      <c r="C253" s="32">
        <f>4.4605 * CHOOSE(CONTROL!$C$32, $C$9, 100%, $E$9)</f>
        <v>4.4604999999999997</v>
      </c>
      <c r="D253" s="32">
        <f>4.4616 * CHOOSE(CONTROL!$C$32, $C$9, 100%, $E$9)</f>
        <v>4.4615999999999998</v>
      </c>
      <c r="E253" s="33">
        <f>5.7152 * CHOOSE(CONTROL!$C$32, $C$9, 100%, $E$9)</f>
        <v>5.7152000000000003</v>
      </c>
      <c r="F253" s="33">
        <f>5.7152 * CHOOSE(CONTROL!$C$32, $C$9, 100%, $E$9)</f>
        <v>5.7152000000000003</v>
      </c>
      <c r="G253" s="33">
        <f>5.7188 * CHOOSE(CONTROL!$C$32, $C$9, 100%, $E$9)</f>
        <v>5.7187999999999999</v>
      </c>
      <c r="H253" s="33">
        <f>9.3299 * CHOOSE(CONTROL!$C$32, $C$9, 100%, $E$9)</f>
        <v>9.3299000000000003</v>
      </c>
      <c r="I253" s="33">
        <f>9.3335 * CHOOSE(CONTROL!$C$32, $C$9, 100%, $E$9)</f>
        <v>9.3335000000000008</v>
      </c>
      <c r="J253" s="33">
        <f>9.3299 * CHOOSE(CONTROL!$C$32, $C$9, 100%, $E$9)</f>
        <v>9.3299000000000003</v>
      </c>
      <c r="K253" s="33">
        <f>9.3335 * CHOOSE(CONTROL!$C$32, $C$9, 100%, $E$9)</f>
        <v>9.3335000000000008</v>
      </c>
      <c r="L253" s="33">
        <f>5.7152 * CHOOSE(CONTROL!$C$32, $C$9, 100%, $E$9)</f>
        <v>5.7152000000000003</v>
      </c>
      <c r="M253" s="33">
        <f>5.7188 * CHOOSE(CONTROL!$C$32, $C$9, 100%, $E$9)</f>
        <v>5.7187999999999999</v>
      </c>
      <c r="N253" s="33">
        <f>5.7152 * CHOOSE(CONTROL!$C$32, $C$9, 100%, $E$9)</f>
        <v>5.7152000000000003</v>
      </c>
      <c r="O253" s="33">
        <f>5.7188 * CHOOSE(CONTROL!$C$32, $C$9, 100%, $E$9)</f>
        <v>5.7187999999999999</v>
      </c>
    </row>
    <row r="254" spans="1:15" ht="15" x14ac:dyDescent="0.2">
      <c r="A254" s="16">
        <v>48580</v>
      </c>
      <c r="B254" s="32">
        <f>4.4966 * CHOOSE(CONTROL!$C$32, $C$9, 100%, $E$9)</f>
        <v>4.4965999999999999</v>
      </c>
      <c r="C254" s="32">
        <f>4.4966 * CHOOSE(CONTROL!$C$32, $C$9, 100%, $E$9)</f>
        <v>4.4965999999999999</v>
      </c>
      <c r="D254" s="32">
        <f>4.4977 * CHOOSE(CONTROL!$C$32, $C$9, 100%, $E$9)</f>
        <v>4.4977</v>
      </c>
      <c r="E254" s="33">
        <f>5.7608 * CHOOSE(CONTROL!$C$32, $C$9, 100%, $E$9)</f>
        <v>5.7607999999999997</v>
      </c>
      <c r="F254" s="33">
        <f>5.7608 * CHOOSE(CONTROL!$C$32, $C$9, 100%, $E$9)</f>
        <v>5.7607999999999997</v>
      </c>
      <c r="G254" s="33">
        <f>5.7644 * CHOOSE(CONTROL!$C$32, $C$9, 100%, $E$9)</f>
        <v>5.7644000000000002</v>
      </c>
      <c r="H254" s="33">
        <f>9.3493 * CHOOSE(CONTROL!$C$32, $C$9, 100%, $E$9)</f>
        <v>9.3492999999999995</v>
      </c>
      <c r="I254" s="33">
        <f>9.353 * CHOOSE(CONTROL!$C$32, $C$9, 100%, $E$9)</f>
        <v>9.3529999999999998</v>
      </c>
      <c r="J254" s="33">
        <f>9.3493 * CHOOSE(CONTROL!$C$32, $C$9, 100%, $E$9)</f>
        <v>9.3492999999999995</v>
      </c>
      <c r="K254" s="33">
        <f>9.353 * CHOOSE(CONTROL!$C$32, $C$9, 100%, $E$9)</f>
        <v>9.3529999999999998</v>
      </c>
      <c r="L254" s="33">
        <f>5.7608 * CHOOSE(CONTROL!$C$32, $C$9, 100%, $E$9)</f>
        <v>5.7607999999999997</v>
      </c>
      <c r="M254" s="33">
        <f>5.7644 * CHOOSE(CONTROL!$C$32, $C$9, 100%, $E$9)</f>
        <v>5.7644000000000002</v>
      </c>
      <c r="N254" s="33">
        <f>5.7608 * CHOOSE(CONTROL!$C$32, $C$9, 100%, $E$9)</f>
        <v>5.7607999999999997</v>
      </c>
      <c r="O254" s="33">
        <f>5.7644 * CHOOSE(CONTROL!$C$32, $C$9, 100%, $E$9)</f>
        <v>5.7644000000000002</v>
      </c>
    </row>
    <row r="255" spans="1:15" ht="15" x14ac:dyDescent="0.2">
      <c r="A255" s="16">
        <v>48611</v>
      </c>
      <c r="B255" s="32">
        <f>4.4936 * CHOOSE(CONTROL!$C$32, $C$9, 100%, $E$9)</f>
        <v>4.4935999999999998</v>
      </c>
      <c r="C255" s="32">
        <f>4.4936 * CHOOSE(CONTROL!$C$32, $C$9, 100%, $E$9)</f>
        <v>4.4935999999999998</v>
      </c>
      <c r="D255" s="32">
        <f>4.4946 * CHOOSE(CONTROL!$C$32, $C$9, 100%, $E$9)</f>
        <v>4.4946000000000002</v>
      </c>
      <c r="E255" s="33">
        <f>5.7588 * CHOOSE(CONTROL!$C$32, $C$9, 100%, $E$9)</f>
        <v>5.7587999999999999</v>
      </c>
      <c r="F255" s="33">
        <f>5.7588 * CHOOSE(CONTROL!$C$32, $C$9, 100%, $E$9)</f>
        <v>5.7587999999999999</v>
      </c>
      <c r="G255" s="33">
        <f>5.7624 * CHOOSE(CONTROL!$C$32, $C$9, 100%, $E$9)</f>
        <v>5.7624000000000004</v>
      </c>
      <c r="H255" s="33">
        <f>9.3688 * CHOOSE(CONTROL!$C$32, $C$9, 100%, $E$9)</f>
        <v>9.3688000000000002</v>
      </c>
      <c r="I255" s="33">
        <f>9.3724 * CHOOSE(CONTROL!$C$32, $C$9, 100%, $E$9)</f>
        <v>9.3724000000000007</v>
      </c>
      <c r="J255" s="33">
        <f>9.3688 * CHOOSE(CONTROL!$C$32, $C$9, 100%, $E$9)</f>
        <v>9.3688000000000002</v>
      </c>
      <c r="K255" s="33">
        <f>9.3724 * CHOOSE(CONTROL!$C$32, $C$9, 100%, $E$9)</f>
        <v>9.3724000000000007</v>
      </c>
      <c r="L255" s="33">
        <f>5.7588 * CHOOSE(CONTROL!$C$32, $C$9, 100%, $E$9)</f>
        <v>5.7587999999999999</v>
      </c>
      <c r="M255" s="33">
        <f>5.7624 * CHOOSE(CONTROL!$C$32, $C$9, 100%, $E$9)</f>
        <v>5.7624000000000004</v>
      </c>
      <c r="N255" s="33">
        <f>5.7588 * CHOOSE(CONTROL!$C$32, $C$9, 100%, $E$9)</f>
        <v>5.7587999999999999</v>
      </c>
      <c r="O255" s="33">
        <f>5.7624 * CHOOSE(CONTROL!$C$32, $C$9, 100%, $E$9)</f>
        <v>5.7624000000000004</v>
      </c>
    </row>
    <row r="256" spans="1:15" ht="15" x14ac:dyDescent="0.2">
      <c r="A256" s="16">
        <v>48639</v>
      </c>
      <c r="B256" s="32">
        <f>4.4905 * CHOOSE(CONTROL!$C$32, $C$9, 100%, $E$9)</f>
        <v>4.4904999999999999</v>
      </c>
      <c r="C256" s="32">
        <f>4.4905 * CHOOSE(CONTROL!$C$32, $C$9, 100%, $E$9)</f>
        <v>4.4904999999999999</v>
      </c>
      <c r="D256" s="32">
        <f>4.4916 * CHOOSE(CONTROL!$C$32, $C$9, 100%, $E$9)</f>
        <v>4.4916</v>
      </c>
      <c r="E256" s="33">
        <f>5.7568 * CHOOSE(CONTROL!$C$32, $C$9, 100%, $E$9)</f>
        <v>5.7568000000000001</v>
      </c>
      <c r="F256" s="33">
        <f>5.7568 * CHOOSE(CONTROL!$C$32, $C$9, 100%, $E$9)</f>
        <v>5.7568000000000001</v>
      </c>
      <c r="G256" s="33">
        <f>5.7604 * CHOOSE(CONTROL!$C$32, $C$9, 100%, $E$9)</f>
        <v>5.7603999999999997</v>
      </c>
      <c r="H256" s="33">
        <f>9.3883 * CHOOSE(CONTROL!$C$32, $C$9, 100%, $E$9)</f>
        <v>9.3882999999999992</v>
      </c>
      <c r="I256" s="33">
        <f>9.392 * CHOOSE(CONTROL!$C$32, $C$9, 100%, $E$9)</f>
        <v>9.3919999999999995</v>
      </c>
      <c r="J256" s="33">
        <f>9.3883 * CHOOSE(CONTROL!$C$32, $C$9, 100%, $E$9)</f>
        <v>9.3882999999999992</v>
      </c>
      <c r="K256" s="33">
        <f>9.392 * CHOOSE(CONTROL!$C$32, $C$9, 100%, $E$9)</f>
        <v>9.3919999999999995</v>
      </c>
      <c r="L256" s="33">
        <f>5.7568 * CHOOSE(CONTROL!$C$32, $C$9, 100%, $E$9)</f>
        <v>5.7568000000000001</v>
      </c>
      <c r="M256" s="33">
        <f>5.7604 * CHOOSE(CONTROL!$C$32, $C$9, 100%, $E$9)</f>
        <v>5.7603999999999997</v>
      </c>
      <c r="N256" s="33">
        <f>5.7568 * CHOOSE(CONTROL!$C$32, $C$9, 100%, $E$9)</f>
        <v>5.7568000000000001</v>
      </c>
      <c r="O256" s="33">
        <f>5.7604 * CHOOSE(CONTROL!$C$32, $C$9, 100%, $E$9)</f>
        <v>5.7603999999999997</v>
      </c>
    </row>
    <row r="257" spans="1:15" ht="15" x14ac:dyDescent="0.2">
      <c r="A257" s="16">
        <v>48670</v>
      </c>
      <c r="B257" s="32">
        <f>4.4887 * CHOOSE(CONTROL!$C$32, $C$9, 100%, $E$9)</f>
        <v>4.4886999999999997</v>
      </c>
      <c r="C257" s="32">
        <f>4.4887 * CHOOSE(CONTROL!$C$32, $C$9, 100%, $E$9)</f>
        <v>4.4886999999999997</v>
      </c>
      <c r="D257" s="32">
        <f>4.4897 * CHOOSE(CONTROL!$C$32, $C$9, 100%, $E$9)</f>
        <v>4.4897</v>
      </c>
      <c r="E257" s="33">
        <f>5.755 * CHOOSE(CONTROL!$C$32, $C$9, 100%, $E$9)</f>
        <v>5.7549999999999999</v>
      </c>
      <c r="F257" s="33">
        <f>5.755 * CHOOSE(CONTROL!$C$32, $C$9, 100%, $E$9)</f>
        <v>5.7549999999999999</v>
      </c>
      <c r="G257" s="33">
        <f>5.7586 * CHOOSE(CONTROL!$C$32, $C$9, 100%, $E$9)</f>
        <v>5.7586000000000004</v>
      </c>
      <c r="H257" s="33">
        <f>9.4079 * CHOOSE(CONTROL!$C$32, $C$9, 100%, $E$9)</f>
        <v>9.4078999999999997</v>
      </c>
      <c r="I257" s="33">
        <f>9.4115 * CHOOSE(CONTROL!$C$32, $C$9, 100%, $E$9)</f>
        <v>9.4115000000000002</v>
      </c>
      <c r="J257" s="33">
        <f>9.4079 * CHOOSE(CONTROL!$C$32, $C$9, 100%, $E$9)</f>
        <v>9.4078999999999997</v>
      </c>
      <c r="K257" s="33">
        <f>9.4115 * CHOOSE(CONTROL!$C$32, $C$9, 100%, $E$9)</f>
        <v>9.4115000000000002</v>
      </c>
      <c r="L257" s="33">
        <f>5.755 * CHOOSE(CONTROL!$C$32, $C$9, 100%, $E$9)</f>
        <v>5.7549999999999999</v>
      </c>
      <c r="M257" s="33">
        <f>5.7586 * CHOOSE(CONTROL!$C$32, $C$9, 100%, $E$9)</f>
        <v>5.7586000000000004</v>
      </c>
      <c r="N257" s="33">
        <f>5.755 * CHOOSE(CONTROL!$C$32, $C$9, 100%, $E$9)</f>
        <v>5.7549999999999999</v>
      </c>
      <c r="O257" s="33">
        <f>5.7586 * CHOOSE(CONTROL!$C$32, $C$9, 100%, $E$9)</f>
        <v>5.7586000000000004</v>
      </c>
    </row>
    <row r="258" spans="1:15" ht="15" x14ac:dyDescent="0.2">
      <c r="A258" s="16">
        <v>48700</v>
      </c>
      <c r="B258" s="32">
        <f>4.4887 * CHOOSE(CONTROL!$C$32, $C$9, 100%, $E$9)</f>
        <v>4.4886999999999997</v>
      </c>
      <c r="C258" s="32">
        <f>4.4887 * CHOOSE(CONTROL!$C$32, $C$9, 100%, $E$9)</f>
        <v>4.4886999999999997</v>
      </c>
      <c r="D258" s="32">
        <f>4.4902 * CHOOSE(CONTROL!$C$32, $C$9, 100%, $E$9)</f>
        <v>4.4901999999999997</v>
      </c>
      <c r="E258" s="33">
        <f>5.755 * CHOOSE(CONTROL!$C$32, $C$9, 100%, $E$9)</f>
        <v>5.7549999999999999</v>
      </c>
      <c r="F258" s="33">
        <f>5.755 * CHOOSE(CONTROL!$C$32, $C$9, 100%, $E$9)</f>
        <v>5.7549999999999999</v>
      </c>
      <c r="G258" s="33">
        <f>5.7602 * CHOOSE(CONTROL!$C$32, $C$9, 100%, $E$9)</f>
        <v>5.7602000000000002</v>
      </c>
      <c r="H258" s="33">
        <f>9.4275 * CHOOSE(CONTROL!$C$32, $C$9, 100%, $E$9)</f>
        <v>9.4275000000000002</v>
      </c>
      <c r="I258" s="33">
        <f>9.4328 * CHOOSE(CONTROL!$C$32, $C$9, 100%, $E$9)</f>
        <v>9.4328000000000003</v>
      </c>
      <c r="J258" s="33">
        <f>9.4275 * CHOOSE(CONTROL!$C$32, $C$9, 100%, $E$9)</f>
        <v>9.4275000000000002</v>
      </c>
      <c r="K258" s="33">
        <f>9.4328 * CHOOSE(CONTROL!$C$32, $C$9, 100%, $E$9)</f>
        <v>9.4328000000000003</v>
      </c>
      <c r="L258" s="33">
        <f>5.755 * CHOOSE(CONTROL!$C$32, $C$9, 100%, $E$9)</f>
        <v>5.7549999999999999</v>
      </c>
      <c r="M258" s="33">
        <f>5.7602 * CHOOSE(CONTROL!$C$32, $C$9, 100%, $E$9)</f>
        <v>5.7602000000000002</v>
      </c>
      <c r="N258" s="33">
        <f>5.755 * CHOOSE(CONTROL!$C$32, $C$9, 100%, $E$9)</f>
        <v>5.7549999999999999</v>
      </c>
      <c r="O258" s="33">
        <f>5.7602 * CHOOSE(CONTROL!$C$32, $C$9, 100%, $E$9)</f>
        <v>5.7602000000000002</v>
      </c>
    </row>
    <row r="259" spans="1:15" ht="15" x14ac:dyDescent="0.2">
      <c r="A259" s="16">
        <v>48731</v>
      </c>
      <c r="B259" s="32">
        <f>4.4947 * CHOOSE(CONTROL!$C$32, $C$9, 100%, $E$9)</f>
        <v>4.4946999999999999</v>
      </c>
      <c r="C259" s="32">
        <f>4.4947 * CHOOSE(CONTROL!$C$32, $C$9, 100%, $E$9)</f>
        <v>4.4946999999999999</v>
      </c>
      <c r="D259" s="32">
        <f>4.4963 * CHOOSE(CONTROL!$C$32, $C$9, 100%, $E$9)</f>
        <v>4.4962999999999997</v>
      </c>
      <c r="E259" s="33">
        <f>5.759 * CHOOSE(CONTROL!$C$32, $C$9, 100%, $E$9)</f>
        <v>5.7590000000000003</v>
      </c>
      <c r="F259" s="33">
        <f>5.759 * CHOOSE(CONTROL!$C$32, $C$9, 100%, $E$9)</f>
        <v>5.7590000000000003</v>
      </c>
      <c r="G259" s="33">
        <f>5.7642 * CHOOSE(CONTROL!$C$32, $C$9, 100%, $E$9)</f>
        <v>5.7641999999999998</v>
      </c>
      <c r="H259" s="33">
        <f>9.4471 * CHOOSE(CONTROL!$C$32, $C$9, 100%, $E$9)</f>
        <v>9.4471000000000007</v>
      </c>
      <c r="I259" s="33">
        <f>9.4524 * CHOOSE(CONTROL!$C$32, $C$9, 100%, $E$9)</f>
        <v>9.4524000000000008</v>
      </c>
      <c r="J259" s="33">
        <f>9.4471 * CHOOSE(CONTROL!$C$32, $C$9, 100%, $E$9)</f>
        <v>9.4471000000000007</v>
      </c>
      <c r="K259" s="33">
        <f>9.4524 * CHOOSE(CONTROL!$C$32, $C$9, 100%, $E$9)</f>
        <v>9.4524000000000008</v>
      </c>
      <c r="L259" s="33">
        <f>5.759 * CHOOSE(CONTROL!$C$32, $C$9, 100%, $E$9)</f>
        <v>5.7590000000000003</v>
      </c>
      <c r="M259" s="33">
        <f>5.7642 * CHOOSE(CONTROL!$C$32, $C$9, 100%, $E$9)</f>
        <v>5.7641999999999998</v>
      </c>
      <c r="N259" s="33">
        <f>5.759 * CHOOSE(CONTROL!$C$32, $C$9, 100%, $E$9)</f>
        <v>5.7590000000000003</v>
      </c>
      <c r="O259" s="33">
        <f>5.7642 * CHOOSE(CONTROL!$C$32, $C$9, 100%, $E$9)</f>
        <v>5.7641999999999998</v>
      </c>
    </row>
    <row r="260" spans="1:15" ht="15" x14ac:dyDescent="0.2">
      <c r="A260" s="16">
        <v>48761</v>
      </c>
      <c r="B260" s="32">
        <f>4.5602 * CHOOSE(CONTROL!$C$32, $C$9, 100%, $E$9)</f>
        <v>4.5602</v>
      </c>
      <c r="C260" s="32">
        <f>4.5602 * CHOOSE(CONTROL!$C$32, $C$9, 100%, $E$9)</f>
        <v>4.5602</v>
      </c>
      <c r="D260" s="32">
        <f>4.5618 * CHOOSE(CONTROL!$C$32, $C$9, 100%, $E$9)</f>
        <v>4.5617999999999999</v>
      </c>
      <c r="E260" s="33">
        <f>5.8589 * CHOOSE(CONTROL!$C$32, $C$9, 100%, $E$9)</f>
        <v>5.8589000000000002</v>
      </c>
      <c r="F260" s="33">
        <f>5.8589 * CHOOSE(CONTROL!$C$32, $C$9, 100%, $E$9)</f>
        <v>5.8589000000000002</v>
      </c>
      <c r="G260" s="33">
        <f>5.8642 * CHOOSE(CONTROL!$C$32, $C$9, 100%, $E$9)</f>
        <v>5.8642000000000003</v>
      </c>
      <c r="H260" s="33">
        <f>9.4668 * CHOOSE(CONTROL!$C$32, $C$9, 100%, $E$9)</f>
        <v>9.4667999999999992</v>
      </c>
      <c r="I260" s="33">
        <f>9.4721 * CHOOSE(CONTROL!$C$32, $C$9, 100%, $E$9)</f>
        <v>9.4720999999999993</v>
      </c>
      <c r="J260" s="33">
        <f>9.4668 * CHOOSE(CONTROL!$C$32, $C$9, 100%, $E$9)</f>
        <v>9.4667999999999992</v>
      </c>
      <c r="K260" s="33">
        <f>9.4721 * CHOOSE(CONTROL!$C$32, $C$9, 100%, $E$9)</f>
        <v>9.4720999999999993</v>
      </c>
      <c r="L260" s="33">
        <f>5.8589 * CHOOSE(CONTROL!$C$32, $C$9, 100%, $E$9)</f>
        <v>5.8589000000000002</v>
      </c>
      <c r="M260" s="33">
        <f>5.8642 * CHOOSE(CONTROL!$C$32, $C$9, 100%, $E$9)</f>
        <v>5.8642000000000003</v>
      </c>
      <c r="N260" s="33">
        <f>5.8589 * CHOOSE(CONTROL!$C$32, $C$9, 100%, $E$9)</f>
        <v>5.8589000000000002</v>
      </c>
      <c r="O260" s="33">
        <f>5.8642 * CHOOSE(CONTROL!$C$32, $C$9, 100%, $E$9)</f>
        <v>5.8642000000000003</v>
      </c>
    </row>
    <row r="261" spans="1:15" ht="15" x14ac:dyDescent="0.2">
      <c r="A261" s="16">
        <v>48792</v>
      </c>
      <c r="B261" s="32">
        <f>4.5669 * CHOOSE(CONTROL!$C$32, $C$9, 100%, $E$9)</f>
        <v>4.5669000000000004</v>
      </c>
      <c r="C261" s="32">
        <f>4.5669 * CHOOSE(CONTROL!$C$32, $C$9, 100%, $E$9)</f>
        <v>4.5669000000000004</v>
      </c>
      <c r="D261" s="32">
        <f>4.5685 * CHOOSE(CONTROL!$C$32, $C$9, 100%, $E$9)</f>
        <v>4.5685000000000002</v>
      </c>
      <c r="E261" s="33">
        <f>5.8633 * CHOOSE(CONTROL!$C$32, $C$9, 100%, $E$9)</f>
        <v>5.8632999999999997</v>
      </c>
      <c r="F261" s="33">
        <f>5.8633 * CHOOSE(CONTROL!$C$32, $C$9, 100%, $E$9)</f>
        <v>5.8632999999999997</v>
      </c>
      <c r="G261" s="33">
        <f>5.8686 * CHOOSE(CONTROL!$C$32, $C$9, 100%, $E$9)</f>
        <v>5.8685999999999998</v>
      </c>
      <c r="H261" s="33">
        <f>9.4865 * CHOOSE(CONTROL!$C$32, $C$9, 100%, $E$9)</f>
        <v>9.4864999999999995</v>
      </c>
      <c r="I261" s="33">
        <f>9.4918 * CHOOSE(CONTROL!$C$32, $C$9, 100%, $E$9)</f>
        <v>9.4917999999999996</v>
      </c>
      <c r="J261" s="33">
        <f>9.4865 * CHOOSE(CONTROL!$C$32, $C$9, 100%, $E$9)</f>
        <v>9.4864999999999995</v>
      </c>
      <c r="K261" s="33">
        <f>9.4918 * CHOOSE(CONTROL!$C$32, $C$9, 100%, $E$9)</f>
        <v>9.4917999999999996</v>
      </c>
      <c r="L261" s="33">
        <f>5.8633 * CHOOSE(CONTROL!$C$32, $C$9, 100%, $E$9)</f>
        <v>5.8632999999999997</v>
      </c>
      <c r="M261" s="33">
        <f>5.8686 * CHOOSE(CONTROL!$C$32, $C$9, 100%, $E$9)</f>
        <v>5.8685999999999998</v>
      </c>
      <c r="N261" s="33">
        <f>5.8633 * CHOOSE(CONTROL!$C$32, $C$9, 100%, $E$9)</f>
        <v>5.8632999999999997</v>
      </c>
      <c r="O261" s="33">
        <f>5.8686 * CHOOSE(CONTROL!$C$32, $C$9, 100%, $E$9)</f>
        <v>5.8685999999999998</v>
      </c>
    </row>
    <row r="262" spans="1:15" ht="15" x14ac:dyDescent="0.2">
      <c r="A262" s="16">
        <v>48823</v>
      </c>
      <c r="B262" s="32">
        <f>4.5638 * CHOOSE(CONTROL!$C$32, $C$9, 100%, $E$9)</f>
        <v>4.5637999999999996</v>
      </c>
      <c r="C262" s="32">
        <f>4.5638 * CHOOSE(CONTROL!$C$32, $C$9, 100%, $E$9)</f>
        <v>4.5637999999999996</v>
      </c>
      <c r="D262" s="32">
        <f>4.5654 * CHOOSE(CONTROL!$C$32, $C$9, 100%, $E$9)</f>
        <v>4.5654000000000003</v>
      </c>
      <c r="E262" s="33">
        <f>5.8613 * CHOOSE(CONTROL!$C$32, $C$9, 100%, $E$9)</f>
        <v>5.8613</v>
      </c>
      <c r="F262" s="33">
        <f>5.8613 * CHOOSE(CONTROL!$C$32, $C$9, 100%, $E$9)</f>
        <v>5.8613</v>
      </c>
      <c r="G262" s="33">
        <f>5.8666 * CHOOSE(CONTROL!$C$32, $C$9, 100%, $E$9)</f>
        <v>5.8666</v>
      </c>
      <c r="H262" s="33">
        <f>9.5063 * CHOOSE(CONTROL!$C$32, $C$9, 100%, $E$9)</f>
        <v>9.5062999999999995</v>
      </c>
      <c r="I262" s="33">
        <f>9.5116 * CHOOSE(CONTROL!$C$32, $C$9, 100%, $E$9)</f>
        <v>9.5115999999999996</v>
      </c>
      <c r="J262" s="33">
        <f>9.5063 * CHOOSE(CONTROL!$C$32, $C$9, 100%, $E$9)</f>
        <v>9.5062999999999995</v>
      </c>
      <c r="K262" s="33">
        <f>9.5116 * CHOOSE(CONTROL!$C$32, $C$9, 100%, $E$9)</f>
        <v>9.5115999999999996</v>
      </c>
      <c r="L262" s="33">
        <f>5.8613 * CHOOSE(CONTROL!$C$32, $C$9, 100%, $E$9)</f>
        <v>5.8613</v>
      </c>
      <c r="M262" s="33">
        <f>5.8666 * CHOOSE(CONTROL!$C$32, $C$9, 100%, $E$9)</f>
        <v>5.8666</v>
      </c>
      <c r="N262" s="33">
        <f>5.8613 * CHOOSE(CONTROL!$C$32, $C$9, 100%, $E$9)</f>
        <v>5.8613</v>
      </c>
      <c r="O262" s="33">
        <f>5.8666 * CHOOSE(CONTROL!$C$32, $C$9, 100%, $E$9)</f>
        <v>5.8666</v>
      </c>
    </row>
    <row r="263" spans="1:15" ht="15" x14ac:dyDescent="0.2">
      <c r="A263" s="16">
        <v>48853</v>
      </c>
      <c r="B263" s="32">
        <f>4.561 * CHOOSE(CONTROL!$C$32, $C$9, 100%, $E$9)</f>
        <v>4.5609999999999999</v>
      </c>
      <c r="C263" s="32">
        <f>4.561 * CHOOSE(CONTROL!$C$32, $C$9, 100%, $E$9)</f>
        <v>4.5609999999999999</v>
      </c>
      <c r="D263" s="32">
        <f>4.5621 * CHOOSE(CONTROL!$C$32, $C$9, 100%, $E$9)</f>
        <v>4.5621</v>
      </c>
      <c r="E263" s="33">
        <f>5.8571 * CHOOSE(CONTROL!$C$32, $C$9, 100%, $E$9)</f>
        <v>5.8571</v>
      </c>
      <c r="F263" s="33">
        <f>5.8571 * CHOOSE(CONTROL!$C$32, $C$9, 100%, $E$9)</f>
        <v>5.8571</v>
      </c>
      <c r="G263" s="33">
        <f>5.8607 * CHOOSE(CONTROL!$C$32, $C$9, 100%, $E$9)</f>
        <v>5.8606999999999996</v>
      </c>
      <c r="H263" s="33">
        <f>9.5261 * CHOOSE(CONTROL!$C$32, $C$9, 100%, $E$9)</f>
        <v>9.5260999999999996</v>
      </c>
      <c r="I263" s="33">
        <f>9.5297 * CHOOSE(CONTROL!$C$32, $C$9, 100%, $E$9)</f>
        <v>9.5297000000000001</v>
      </c>
      <c r="J263" s="33">
        <f>9.5261 * CHOOSE(CONTROL!$C$32, $C$9, 100%, $E$9)</f>
        <v>9.5260999999999996</v>
      </c>
      <c r="K263" s="33">
        <f>9.5297 * CHOOSE(CONTROL!$C$32, $C$9, 100%, $E$9)</f>
        <v>9.5297000000000001</v>
      </c>
      <c r="L263" s="33">
        <f>5.8571 * CHOOSE(CONTROL!$C$32, $C$9, 100%, $E$9)</f>
        <v>5.8571</v>
      </c>
      <c r="M263" s="33">
        <f>5.8607 * CHOOSE(CONTROL!$C$32, $C$9, 100%, $E$9)</f>
        <v>5.8606999999999996</v>
      </c>
      <c r="N263" s="33">
        <f>5.8571 * CHOOSE(CONTROL!$C$32, $C$9, 100%, $E$9)</f>
        <v>5.8571</v>
      </c>
      <c r="O263" s="33">
        <f>5.8607 * CHOOSE(CONTROL!$C$32, $C$9, 100%, $E$9)</f>
        <v>5.8606999999999996</v>
      </c>
    </row>
    <row r="264" spans="1:15" ht="15" x14ac:dyDescent="0.2">
      <c r="A264" s="16">
        <v>48884</v>
      </c>
      <c r="B264" s="32">
        <f>4.564 * CHOOSE(CONTROL!$C$32, $C$9, 100%, $E$9)</f>
        <v>4.5640000000000001</v>
      </c>
      <c r="C264" s="32">
        <f>4.564 * CHOOSE(CONTROL!$C$32, $C$9, 100%, $E$9)</f>
        <v>4.5640000000000001</v>
      </c>
      <c r="D264" s="32">
        <f>4.5651 * CHOOSE(CONTROL!$C$32, $C$9, 100%, $E$9)</f>
        <v>4.5651000000000002</v>
      </c>
      <c r="E264" s="33">
        <f>5.8591 * CHOOSE(CONTROL!$C$32, $C$9, 100%, $E$9)</f>
        <v>5.8590999999999998</v>
      </c>
      <c r="F264" s="33">
        <f>5.8591 * CHOOSE(CONTROL!$C$32, $C$9, 100%, $E$9)</f>
        <v>5.8590999999999998</v>
      </c>
      <c r="G264" s="33">
        <f>5.8627 * CHOOSE(CONTROL!$C$32, $C$9, 100%, $E$9)</f>
        <v>5.8627000000000002</v>
      </c>
      <c r="H264" s="33">
        <f>9.546 * CHOOSE(CONTROL!$C$32, $C$9, 100%, $E$9)</f>
        <v>9.5459999999999994</v>
      </c>
      <c r="I264" s="33">
        <f>9.5496 * CHOOSE(CONTROL!$C$32, $C$9, 100%, $E$9)</f>
        <v>9.5495999999999999</v>
      </c>
      <c r="J264" s="33">
        <f>9.546 * CHOOSE(CONTROL!$C$32, $C$9, 100%, $E$9)</f>
        <v>9.5459999999999994</v>
      </c>
      <c r="K264" s="33">
        <f>9.5496 * CHOOSE(CONTROL!$C$32, $C$9, 100%, $E$9)</f>
        <v>9.5495999999999999</v>
      </c>
      <c r="L264" s="33">
        <f>5.8591 * CHOOSE(CONTROL!$C$32, $C$9, 100%, $E$9)</f>
        <v>5.8590999999999998</v>
      </c>
      <c r="M264" s="33">
        <f>5.8627 * CHOOSE(CONTROL!$C$32, $C$9, 100%, $E$9)</f>
        <v>5.8627000000000002</v>
      </c>
      <c r="N264" s="33">
        <f>5.8591 * CHOOSE(CONTROL!$C$32, $C$9, 100%, $E$9)</f>
        <v>5.8590999999999998</v>
      </c>
      <c r="O264" s="33">
        <f>5.8627 * CHOOSE(CONTROL!$C$32, $C$9, 100%, $E$9)</f>
        <v>5.8627000000000002</v>
      </c>
    </row>
    <row r="265" spans="1:15" ht="15" x14ac:dyDescent="0.2">
      <c r="A265" s="16">
        <v>48914</v>
      </c>
      <c r="B265" s="32">
        <f>4.564 * CHOOSE(CONTROL!$C$32, $C$9, 100%, $E$9)</f>
        <v>4.5640000000000001</v>
      </c>
      <c r="C265" s="32">
        <f>4.564 * CHOOSE(CONTROL!$C$32, $C$9, 100%, $E$9)</f>
        <v>4.5640000000000001</v>
      </c>
      <c r="D265" s="32">
        <f>4.5651 * CHOOSE(CONTROL!$C$32, $C$9, 100%, $E$9)</f>
        <v>4.5651000000000002</v>
      </c>
      <c r="E265" s="33">
        <f>5.8591 * CHOOSE(CONTROL!$C$32, $C$9, 100%, $E$9)</f>
        <v>5.8590999999999998</v>
      </c>
      <c r="F265" s="33">
        <f>5.8591 * CHOOSE(CONTROL!$C$32, $C$9, 100%, $E$9)</f>
        <v>5.8590999999999998</v>
      </c>
      <c r="G265" s="33">
        <f>5.8627 * CHOOSE(CONTROL!$C$32, $C$9, 100%, $E$9)</f>
        <v>5.8627000000000002</v>
      </c>
      <c r="H265" s="33">
        <f>9.5659 * CHOOSE(CONTROL!$C$32, $C$9, 100%, $E$9)</f>
        <v>9.5658999999999992</v>
      </c>
      <c r="I265" s="33">
        <f>9.5695 * CHOOSE(CONTROL!$C$32, $C$9, 100%, $E$9)</f>
        <v>9.5694999999999997</v>
      </c>
      <c r="J265" s="33">
        <f>9.5659 * CHOOSE(CONTROL!$C$32, $C$9, 100%, $E$9)</f>
        <v>9.5658999999999992</v>
      </c>
      <c r="K265" s="33">
        <f>9.5695 * CHOOSE(CONTROL!$C$32, $C$9, 100%, $E$9)</f>
        <v>9.5694999999999997</v>
      </c>
      <c r="L265" s="33">
        <f>5.8591 * CHOOSE(CONTROL!$C$32, $C$9, 100%, $E$9)</f>
        <v>5.8590999999999998</v>
      </c>
      <c r="M265" s="33">
        <f>5.8627 * CHOOSE(CONTROL!$C$32, $C$9, 100%, $E$9)</f>
        <v>5.8627000000000002</v>
      </c>
      <c r="N265" s="33">
        <f>5.8591 * CHOOSE(CONTROL!$C$32, $C$9, 100%, $E$9)</f>
        <v>5.8590999999999998</v>
      </c>
      <c r="O265" s="33">
        <f>5.8627 * CHOOSE(CONTROL!$C$32, $C$9, 100%, $E$9)</f>
        <v>5.8627000000000002</v>
      </c>
    </row>
    <row r="266" spans="1:15" ht="15" x14ac:dyDescent="0.2">
      <c r="A266" s="16">
        <v>48945</v>
      </c>
      <c r="B266" s="32">
        <f>4.6027 * CHOOSE(CONTROL!$C$32, $C$9, 100%, $E$9)</f>
        <v>4.6026999999999996</v>
      </c>
      <c r="C266" s="32">
        <f>4.6027 * CHOOSE(CONTROL!$C$32, $C$9, 100%, $E$9)</f>
        <v>4.6026999999999996</v>
      </c>
      <c r="D266" s="32">
        <f>4.6037 * CHOOSE(CONTROL!$C$32, $C$9, 100%, $E$9)</f>
        <v>4.6036999999999999</v>
      </c>
      <c r="E266" s="33">
        <f>5.9092 * CHOOSE(CONTROL!$C$32, $C$9, 100%, $E$9)</f>
        <v>5.9092000000000002</v>
      </c>
      <c r="F266" s="33">
        <f>5.9092 * CHOOSE(CONTROL!$C$32, $C$9, 100%, $E$9)</f>
        <v>5.9092000000000002</v>
      </c>
      <c r="G266" s="33">
        <f>5.9129 * CHOOSE(CONTROL!$C$32, $C$9, 100%, $E$9)</f>
        <v>5.9128999999999996</v>
      </c>
      <c r="H266" s="33">
        <f>9.5858 * CHOOSE(CONTROL!$C$32, $C$9, 100%, $E$9)</f>
        <v>9.5858000000000008</v>
      </c>
      <c r="I266" s="33">
        <f>9.5894 * CHOOSE(CONTROL!$C$32, $C$9, 100%, $E$9)</f>
        <v>9.5893999999999995</v>
      </c>
      <c r="J266" s="33">
        <f>9.5858 * CHOOSE(CONTROL!$C$32, $C$9, 100%, $E$9)</f>
        <v>9.5858000000000008</v>
      </c>
      <c r="K266" s="33">
        <f>9.5894 * CHOOSE(CONTROL!$C$32, $C$9, 100%, $E$9)</f>
        <v>9.5893999999999995</v>
      </c>
      <c r="L266" s="33">
        <f>5.9092 * CHOOSE(CONTROL!$C$32, $C$9, 100%, $E$9)</f>
        <v>5.9092000000000002</v>
      </c>
      <c r="M266" s="33">
        <f>5.9129 * CHOOSE(CONTROL!$C$32, $C$9, 100%, $E$9)</f>
        <v>5.9128999999999996</v>
      </c>
      <c r="N266" s="33">
        <f>5.9092 * CHOOSE(CONTROL!$C$32, $C$9, 100%, $E$9)</f>
        <v>5.9092000000000002</v>
      </c>
      <c r="O266" s="33">
        <f>5.9129 * CHOOSE(CONTROL!$C$32, $C$9, 100%, $E$9)</f>
        <v>5.9128999999999996</v>
      </c>
    </row>
    <row r="267" spans="1:15" ht="15" x14ac:dyDescent="0.2">
      <c r="A267" s="16">
        <v>48976</v>
      </c>
      <c r="B267" s="32">
        <f>4.5996 * CHOOSE(CONTROL!$C$32, $C$9, 100%, $E$9)</f>
        <v>4.5995999999999997</v>
      </c>
      <c r="C267" s="32">
        <f>4.5996 * CHOOSE(CONTROL!$C$32, $C$9, 100%, $E$9)</f>
        <v>4.5995999999999997</v>
      </c>
      <c r="D267" s="32">
        <f>4.6007 * CHOOSE(CONTROL!$C$32, $C$9, 100%, $E$9)</f>
        <v>4.6006999999999998</v>
      </c>
      <c r="E267" s="33">
        <f>5.9072 * CHOOSE(CONTROL!$C$32, $C$9, 100%, $E$9)</f>
        <v>5.9071999999999996</v>
      </c>
      <c r="F267" s="33">
        <f>5.9072 * CHOOSE(CONTROL!$C$32, $C$9, 100%, $E$9)</f>
        <v>5.9071999999999996</v>
      </c>
      <c r="G267" s="33">
        <f>5.9109 * CHOOSE(CONTROL!$C$32, $C$9, 100%, $E$9)</f>
        <v>5.9108999999999998</v>
      </c>
      <c r="H267" s="33">
        <f>9.6057 * CHOOSE(CONTROL!$C$32, $C$9, 100%, $E$9)</f>
        <v>9.6057000000000006</v>
      </c>
      <c r="I267" s="33">
        <f>9.6094 * CHOOSE(CONTROL!$C$32, $C$9, 100%, $E$9)</f>
        <v>9.6094000000000008</v>
      </c>
      <c r="J267" s="33">
        <f>9.6057 * CHOOSE(CONTROL!$C$32, $C$9, 100%, $E$9)</f>
        <v>9.6057000000000006</v>
      </c>
      <c r="K267" s="33">
        <f>9.6094 * CHOOSE(CONTROL!$C$32, $C$9, 100%, $E$9)</f>
        <v>9.6094000000000008</v>
      </c>
      <c r="L267" s="33">
        <f>5.9072 * CHOOSE(CONTROL!$C$32, $C$9, 100%, $E$9)</f>
        <v>5.9071999999999996</v>
      </c>
      <c r="M267" s="33">
        <f>5.9109 * CHOOSE(CONTROL!$C$32, $C$9, 100%, $E$9)</f>
        <v>5.9108999999999998</v>
      </c>
      <c r="N267" s="33">
        <f>5.9072 * CHOOSE(CONTROL!$C$32, $C$9, 100%, $E$9)</f>
        <v>5.9071999999999996</v>
      </c>
      <c r="O267" s="33">
        <f>5.9109 * CHOOSE(CONTROL!$C$32, $C$9, 100%, $E$9)</f>
        <v>5.9108999999999998</v>
      </c>
    </row>
    <row r="268" spans="1:15" ht="15" x14ac:dyDescent="0.2">
      <c r="A268" s="16">
        <v>49004</v>
      </c>
      <c r="B268" s="32">
        <f>4.5966 * CHOOSE(CONTROL!$C$32, $C$9, 100%, $E$9)</f>
        <v>4.5965999999999996</v>
      </c>
      <c r="C268" s="32">
        <f>4.5966 * CHOOSE(CONTROL!$C$32, $C$9, 100%, $E$9)</f>
        <v>4.5965999999999996</v>
      </c>
      <c r="D268" s="32">
        <f>4.5977 * CHOOSE(CONTROL!$C$32, $C$9, 100%, $E$9)</f>
        <v>4.5976999999999997</v>
      </c>
      <c r="E268" s="33">
        <f>5.9052 * CHOOSE(CONTROL!$C$32, $C$9, 100%, $E$9)</f>
        <v>5.9051999999999998</v>
      </c>
      <c r="F268" s="33">
        <f>5.9052 * CHOOSE(CONTROL!$C$32, $C$9, 100%, $E$9)</f>
        <v>5.9051999999999998</v>
      </c>
      <c r="G268" s="33">
        <f>5.9089 * CHOOSE(CONTROL!$C$32, $C$9, 100%, $E$9)</f>
        <v>5.9089</v>
      </c>
      <c r="H268" s="33">
        <f>9.6258 * CHOOSE(CONTROL!$C$32, $C$9, 100%, $E$9)</f>
        <v>9.6257999999999999</v>
      </c>
      <c r="I268" s="33">
        <f>9.6294 * CHOOSE(CONTROL!$C$32, $C$9, 100%, $E$9)</f>
        <v>9.6294000000000004</v>
      </c>
      <c r="J268" s="33">
        <f>9.6258 * CHOOSE(CONTROL!$C$32, $C$9, 100%, $E$9)</f>
        <v>9.6257999999999999</v>
      </c>
      <c r="K268" s="33">
        <f>9.6294 * CHOOSE(CONTROL!$C$32, $C$9, 100%, $E$9)</f>
        <v>9.6294000000000004</v>
      </c>
      <c r="L268" s="33">
        <f>5.9052 * CHOOSE(CONTROL!$C$32, $C$9, 100%, $E$9)</f>
        <v>5.9051999999999998</v>
      </c>
      <c r="M268" s="33">
        <f>5.9089 * CHOOSE(CONTROL!$C$32, $C$9, 100%, $E$9)</f>
        <v>5.9089</v>
      </c>
      <c r="N268" s="33">
        <f>5.9052 * CHOOSE(CONTROL!$C$32, $C$9, 100%, $E$9)</f>
        <v>5.9051999999999998</v>
      </c>
      <c r="O268" s="33">
        <f>5.9089 * CHOOSE(CONTROL!$C$32, $C$9, 100%, $E$9)</f>
        <v>5.9089</v>
      </c>
    </row>
    <row r="269" spans="1:15" ht="15" x14ac:dyDescent="0.2">
      <c r="A269" s="16">
        <v>49035</v>
      </c>
      <c r="B269" s="32">
        <f>4.5948 * CHOOSE(CONTROL!$C$32, $C$9, 100%, $E$9)</f>
        <v>4.5948000000000002</v>
      </c>
      <c r="C269" s="32">
        <f>4.5948 * CHOOSE(CONTROL!$C$32, $C$9, 100%, $E$9)</f>
        <v>4.5948000000000002</v>
      </c>
      <c r="D269" s="32">
        <f>4.5959 * CHOOSE(CONTROL!$C$32, $C$9, 100%, $E$9)</f>
        <v>4.5959000000000003</v>
      </c>
      <c r="E269" s="33">
        <f>5.9035 * CHOOSE(CONTROL!$C$32, $C$9, 100%, $E$9)</f>
        <v>5.9035000000000002</v>
      </c>
      <c r="F269" s="33">
        <f>5.9035 * CHOOSE(CONTROL!$C$32, $C$9, 100%, $E$9)</f>
        <v>5.9035000000000002</v>
      </c>
      <c r="G269" s="33">
        <f>5.9071 * CHOOSE(CONTROL!$C$32, $C$9, 100%, $E$9)</f>
        <v>5.9070999999999998</v>
      </c>
      <c r="H269" s="33">
        <f>9.6458 * CHOOSE(CONTROL!$C$32, $C$9, 100%, $E$9)</f>
        <v>9.6457999999999995</v>
      </c>
      <c r="I269" s="33">
        <f>9.6494 * CHOOSE(CONTROL!$C$32, $C$9, 100%, $E$9)</f>
        <v>9.6494</v>
      </c>
      <c r="J269" s="33">
        <f>9.6458 * CHOOSE(CONTROL!$C$32, $C$9, 100%, $E$9)</f>
        <v>9.6457999999999995</v>
      </c>
      <c r="K269" s="33">
        <f>9.6494 * CHOOSE(CONTROL!$C$32, $C$9, 100%, $E$9)</f>
        <v>9.6494</v>
      </c>
      <c r="L269" s="33">
        <f>5.9035 * CHOOSE(CONTROL!$C$32, $C$9, 100%, $E$9)</f>
        <v>5.9035000000000002</v>
      </c>
      <c r="M269" s="33">
        <f>5.9071 * CHOOSE(CONTROL!$C$32, $C$9, 100%, $E$9)</f>
        <v>5.9070999999999998</v>
      </c>
      <c r="N269" s="33">
        <f>5.9035 * CHOOSE(CONTROL!$C$32, $C$9, 100%, $E$9)</f>
        <v>5.9035000000000002</v>
      </c>
      <c r="O269" s="33">
        <f>5.9071 * CHOOSE(CONTROL!$C$32, $C$9, 100%, $E$9)</f>
        <v>5.9070999999999998</v>
      </c>
    </row>
    <row r="270" spans="1:15" ht="15" x14ac:dyDescent="0.2">
      <c r="A270" s="16">
        <v>49065</v>
      </c>
      <c r="B270" s="32">
        <f>4.5948 * CHOOSE(CONTROL!$C$32, $C$9, 100%, $E$9)</f>
        <v>4.5948000000000002</v>
      </c>
      <c r="C270" s="32">
        <f>4.5948 * CHOOSE(CONTROL!$C$32, $C$9, 100%, $E$9)</f>
        <v>4.5948000000000002</v>
      </c>
      <c r="D270" s="32">
        <f>4.5964 * CHOOSE(CONTROL!$C$32, $C$9, 100%, $E$9)</f>
        <v>4.5964</v>
      </c>
      <c r="E270" s="33">
        <f>5.9035 * CHOOSE(CONTROL!$C$32, $C$9, 100%, $E$9)</f>
        <v>5.9035000000000002</v>
      </c>
      <c r="F270" s="33">
        <f>5.9035 * CHOOSE(CONTROL!$C$32, $C$9, 100%, $E$9)</f>
        <v>5.9035000000000002</v>
      </c>
      <c r="G270" s="33">
        <f>5.9088 * CHOOSE(CONTROL!$C$32, $C$9, 100%, $E$9)</f>
        <v>5.9088000000000003</v>
      </c>
      <c r="H270" s="33">
        <f>9.6659 * CHOOSE(CONTROL!$C$32, $C$9, 100%, $E$9)</f>
        <v>9.6659000000000006</v>
      </c>
      <c r="I270" s="33">
        <f>9.6712 * CHOOSE(CONTROL!$C$32, $C$9, 100%, $E$9)</f>
        <v>9.6712000000000007</v>
      </c>
      <c r="J270" s="33">
        <f>9.6659 * CHOOSE(CONTROL!$C$32, $C$9, 100%, $E$9)</f>
        <v>9.6659000000000006</v>
      </c>
      <c r="K270" s="33">
        <f>9.6712 * CHOOSE(CONTROL!$C$32, $C$9, 100%, $E$9)</f>
        <v>9.6712000000000007</v>
      </c>
      <c r="L270" s="33">
        <f>5.9035 * CHOOSE(CONTROL!$C$32, $C$9, 100%, $E$9)</f>
        <v>5.9035000000000002</v>
      </c>
      <c r="M270" s="33">
        <f>5.9088 * CHOOSE(CONTROL!$C$32, $C$9, 100%, $E$9)</f>
        <v>5.9088000000000003</v>
      </c>
      <c r="N270" s="33">
        <f>5.9035 * CHOOSE(CONTROL!$C$32, $C$9, 100%, $E$9)</f>
        <v>5.9035000000000002</v>
      </c>
      <c r="O270" s="33">
        <f>5.9088 * CHOOSE(CONTROL!$C$32, $C$9, 100%, $E$9)</f>
        <v>5.9088000000000003</v>
      </c>
    </row>
    <row r="271" spans="1:15" ht="15" x14ac:dyDescent="0.2">
      <c r="A271" s="16">
        <v>49096</v>
      </c>
      <c r="B271" s="32">
        <f>4.6009 * CHOOSE(CONTROL!$C$32, $C$9, 100%, $E$9)</f>
        <v>4.6009000000000002</v>
      </c>
      <c r="C271" s="32">
        <f>4.6009 * CHOOSE(CONTROL!$C$32, $C$9, 100%, $E$9)</f>
        <v>4.6009000000000002</v>
      </c>
      <c r="D271" s="32">
        <f>4.6025 * CHOOSE(CONTROL!$C$32, $C$9, 100%, $E$9)</f>
        <v>4.6025</v>
      </c>
      <c r="E271" s="33">
        <f>5.9075 * CHOOSE(CONTROL!$C$32, $C$9, 100%, $E$9)</f>
        <v>5.9074999999999998</v>
      </c>
      <c r="F271" s="33">
        <f>5.9075 * CHOOSE(CONTROL!$C$32, $C$9, 100%, $E$9)</f>
        <v>5.9074999999999998</v>
      </c>
      <c r="G271" s="33">
        <f>5.9128 * CHOOSE(CONTROL!$C$32, $C$9, 100%, $E$9)</f>
        <v>5.9127999999999998</v>
      </c>
      <c r="H271" s="33">
        <f>9.686 * CHOOSE(CONTROL!$C$32, $C$9, 100%, $E$9)</f>
        <v>9.6859999999999999</v>
      </c>
      <c r="I271" s="33">
        <f>9.6913 * CHOOSE(CONTROL!$C$32, $C$9, 100%, $E$9)</f>
        <v>9.6913</v>
      </c>
      <c r="J271" s="33">
        <f>9.686 * CHOOSE(CONTROL!$C$32, $C$9, 100%, $E$9)</f>
        <v>9.6859999999999999</v>
      </c>
      <c r="K271" s="33">
        <f>9.6913 * CHOOSE(CONTROL!$C$32, $C$9, 100%, $E$9)</f>
        <v>9.6913</v>
      </c>
      <c r="L271" s="33">
        <f>5.9075 * CHOOSE(CONTROL!$C$32, $C$9, 100%, $E$9)</f>
        <v>5.9074999999999998</v>
      </c>
      <c r="M271" s="33">
        <f>5.9128 * CHOOSE(CONTROL!$C$32, $C$9, 100%, $E$9)</f>
        <v>5.9127999999999998</v>
      </c>
      <c r="N271" s="33">
        <f>5.9075 * CHOOSE(CONTROL!$C$32, $C$9, 100%, $E$9)</f>
        <v>5.9074999999999998</v>
      </c>
      <c r="O271" s="33">
        <f>5.9128 * CHOOSE(CONTROL!$C$32, $C$9, 100%, $E$9)</f>
        <v>5.9127999999999998</v>
      </c>
    </row>
    <row r="272" spans="1:15" ht="15" x14ac:dyDescent="0.2">
      <c r="A272" s="16">
        <v>49126</v>
      </c>
      <c r="B272" s="32">
        <f>4.6716 * CHOOSE(CONTROL!$C$32, $C$9, 100%, $E$9)</f>
        <v>4.6715999999999998</v>
      </c>
      <c r="C272" s="32">
        <f>4.6716 * CHOOSE(CONTROL!$C$32, $C$9, 100%, $E$9)</f>
        <v>4.6715999999999998</v>
      </c>
      <c r="D272" s="32">
        <f>4.6731 * CHOOSE(CONTROL!$C$32, $C$9, 100%, $E$9)</f>
        <v>4.6730999999999998</v>
      </c>
      <c r="E272" s="33">
        <f>6.0182 * CHOOSE(CONTROL!$C$32, $C$9, 100%, $E$9)</f>
        <v>6.0182000000000002</v>
      </c>
      <c r="F272" s="33">
        <f>6.0182 * CHOOSE(CONTROL!$C$32, $C$9, 100%, $E$9)</f>
        <v>6.0182000000000002</v>
      </c>
      <c r="G272" s="33">
        <f>6.0235 * CHOOSE(CONTROL!$C$32, $C$9, 100%, $E$9)</f>
        <v>6.0235000000000003</v>
      </c>
      <c r="H272" s="33">
        <f>9.7062 * CHOOSE(CONTROL!$C$32, $C$9, 100%, $E$9)</f>
        <v>9.7062000000000008</v>
      </c>
      <c r="I272" s="33">
        <f>9.7115 * CHOOSE(CONTROL!$C$32, $C$9, 100%, $E$9)</f>
        <v>9.7114999999999991</v>
      </c>
      <c r="J272" s="33">
        <f>9.7062 * CHOOSE(CONTROL!$C$32, $C$9, 100%, $E$9)</f>
        <v>9.7062000000000008</v>
      </c>
      <c r="K272" s="33">
        <f>9.7115 * CHOOSE(CONTROL!$C$32, $C$9, 100%, $E$9)</f>
        <v>9.7114999999999991</v>
      </c>
      <c r="L272" s="33">
        <f>6.0182 * CHOOSE(CONTROL!$C$32, $C$9, 100%, $E$9)</f>
        <v>6.0182000000000002</v>
      </c>
      <c r="M272" s="33">
        <f>6.0235 * CHOOSE(CONTROL!$C$32, $C$9, 100%, $E$9)</f>
        <v>6.0235000000000003</v>
      </c>
      <c r="N272" s="33">
        <f>6.0182 * CHOOSE(CONTROL!$C$32, $C$9, 100%, $E$9)</f>
        <v>6.0182000000000002</v>
      </c>
      <c r="O272" s="33">
        <f>6.0235 * CHOOSE(CONTROL!$C$32, $C$9, 100%, $E$9)</f>
        <v>6.0235000000000003</v>
      </c>
    </row>
    <row r="273" spans="1:15" ht="15" x14ac:dyDescent="0.2">
      <c r="A273" s="16">
        <v>49157</v>
      </c>
      <c r="B273" s="32">
        <f>4.6783 * CHOOSE(CONTROL!$C$32, $C$9, 100%, $E$9)</f>
        <v>4.6783000000000001</v>
      </c>
      <c r="C273" s="32">
        <f>4.6783 * CHOOSE(CONTROL!$C$32, $C$9, 100%, $E$9)</f>
        <v>4.6783000000000001</v>
      </c>
      <c r="D273" s="32">
        <f>4.6798 * CHOOSE(CONTROL!$C$32, $C$9, 100%, $E$9)</f>
        <v>4.6798000000000002</v>
      </c>
      <c r="E273" s="33">
        <f>6.0226 * CHOOSE(CONTROL!$C$32, $C$9, 100%, $E$9)</f>
        <v>6.0225999999999997</v>
      </c>
      <c r="F273" s="33">
        <f>6.0226 * CHOOSE(CONTROL!$C$32, $C$9, 100%, $E$9)</f>
        <v>6.0225999999999997</v>
      </c>
      <c r="G273" s="33">
        <f>6.0279 * CHOOSE(CONTROL!$C$32, $C$9, 100%, $E$9)</f>
        <v>6.0278999999999998</v>
      </c>
      <c r="H273" s="33">
        <f>9.7264 * CHOOSE(CONTROL!$C$32, $C$9, 100%, $E$9)</f>
        <v>9.7263999999999999</v>
      </c>
      <c r="I273" s="33">
        <f>9.7317 * CHOOSE(CONTROL!$C$32, $C$9, 100%, $E$9)</f>
        <v>9.7317</v>
      </c>
      <c r="J273" s="33">
        <f>9.7264 * CHOOSE(CONTROL!$C$32, $C$9, 100%, $E$9)</f>
        <v>9.7263999999999999</v>
      </c>
      <c r="K273" s="33">
        <f>9.7317 * CHOOSE(CONTROL!$C$32, $C$9, 100%, $E$9)</f>
        <v>9.7317</v>
      </c>
      <c r="L273" s="33">
        <f>6.0226 * CHOOSE(CONTROL!$C$32, $C$9, 100%, $E$9)</f>
        <v>6.0225999999999997</v>
      </c>
      <c r="M273" s="33">
        <f>6.0279 * CHOOSE(CONTROL!$C$32, $C$9, 100%, $E$9)</f>
        <v>6.0278999999999998</v>
      </c>
      <c r="N273" s="33">
        <f>6.0226 * CHOOSE(CONTROL!$C$32, $C$9, 100%, $E$9)</f>
        <v>6.0225999999999997</v>
      </c>
      <c r="O273" s="33">
        <f>6.0279 * CHOOSE(CONTROL!$C$32, $C$9, 100%, $E$9)</f>
        <v>6.0278999999999998</v>
      </c>
    </row>
    <row r="274" spans="1:15" ht="15" x14ac:dyDescent="0.2">
      <c r="A274" s="16">
        <v>49188</v>
      </c>
      <c r="B274" s="32">
        <f>4.6752 * CHOOSE(CONTROL!$C$32, $C$9, 100%, $E$9)</f>
        <v>4.6752000000000002</v>
      </c>
      <c r="C274" s="32">
        <f>4.6752 * CHOOSE(CONTROL!$C$32, $C$9, 100%, $E$9)</f>
        <v>4.6752000000000002</v>
      </c>
      <c r="D274" s="32">
        <f>4.6768 * CHOOSE(CONTROL!$C$32, $C$9, 100%, $E$9)</f>
        <v>4.6768000000000001</v>
      </c>
      <c r="E274" s="33">
        <f>6.0206 * CHOOSE(CONTROL!$C$32, $C$9, 100%, $E$9)</f>
        <v>6.0206</v>
      </c>
      <c r="F274" s="33">
        <f>6.0206 * CHOOSE(CONTROL!$C$32, $C$9, 100%, $E$9)</f>
        <v>6.0206</v>
      </c>
      <c r="G274" s="33">
        <f>6.0259 * CHOOSE(CONTROL!$C$32, $C$9, 100%, $E$9)</f>
        <v>6.0259</v>
      </c>
      <c r="H274" s="33">
        <f>9.7467 * CHOOSE(CONTROL!$C$32, $C$9, 100%, $E$9)</f>
        <v>9.7467000000000006</v>
      </c>
      <c r="I274" s="33">
        <f>9.752 * CHOOSE(CONTROL!$C$32, $C$9, 100%, $E$9)</f>
        <v>9.7520000000000007</v>
      </c>
      <c r="J274" s="33">
        <f>9.7467 * CHOOSE(CONTROL!$C$32, $C$9, 100%, $E$9)</f>
        <v>9.7467000000000006</v>
      </c>
      <c r="K274" s="33">
        <f>9.752 * CHOOSE(CONTROL!$C$32, $C$9, 100%, $E$9)</f>
        <v>9.7520000000000007</v>
      </c>
      <c r="L274" s="33">
        <f>6.0206 * CHOOSE(CONTROL!$C$32, $C$9, 100%, $E$9)</f>
        <v>6.0206</v>
      </c>
      <c r="M274" s="33">
        <f>6.0259 * CHOOSE(CONTROL!$C$32, $C$9, 100%, $E$9)</f>
        <v>6.0259</v>
      </c>
      <c r="N274" s="33">
        <f>6.0206 * CHOOSE(CONTROL!$C$32, $C$9, 100%, $E$9)</f>
        <v>6.0206</v>
      </c>
      <c r="O274" s="33">
        <f>6.0259 * CHOOSE(CONTROL!$C$32, $C$9, 100%, $E$9)</f>
        <v>6.0259</v>
      </c>
    </row>
    <row r="275" spans="1:15" ht="15" x14ac:dyDescent="0.2">
      <c r="A275" s="16">
        <v>49218</v>
      </c>
      <c r="B275" s="32">
        <f>4.6728 * CHOOSE(CONTROL!$C$32, $C$9, 100%, $E$9)</f>
        <v>4.6727999999999996</v>
      </c>
      <c r="C275" s="32">
        <f>4.6728 * CHOOSE(CONTROL!$C$32, $C$9, 100%, $E$9)</f>
        <v>4.6727999999999996</v>
      </c>
      <c r="D275" s="32">
        <f>4.6739 * CHOOSE(CONTROL!$C$32, $C$9, 100%, $E$9)</f>
        <v>4.6738999999999997</v>
      </c>
      <c r="E275" s="33">
        <f>6.0166 * CHOOSE(CONTROL!$C$32, $C$9, 100%, $E$9)</f>
        <v>6.0166000000000004</v>
      </c>
      <c r="F275" s="33">
        <f>6.0166 * CHOOSE(CONTROL!$C$32, $C$9, 100%, $E$9)</f>
        <v>6.0166000000000004</v>
      </c>
      <c r="G275" s="33">
        <f>6.0202 * CHOOSE(CONTROL!$C$32, $C$9, 100%, $E$9)</f>
        <v>6.0202</v>
      </c>
      <c r="H275" s="33">
        <f>9.767 * CHOOSE(CONTROL!$C$32, $C$9, 100%, $E$9)</f>
        <v>9.7669999999999995</v>
      </c>
      <c r="I275" s="33">
        <f>9.7706 * CHOOSE(CONTROL!$C$32, $C$9, 100%, $E$9)</f>
        <v>9.7706</v>
      </c>
      <c r="J275" s="33">
        <f>9.767 * CHOOSE(CONTROL!$C$32, $C$9, 100%, $E$9)</f>
        <v>9.7669999999999995</v>
      </c>
      <c r="K275" s="33">
        <f>9.7706 * CHOOSE(CONTROL!$C$32, $C$9, 100%, $E$9)</f>
        <v>9.7706</v>
      </c>
      <c r="L275" s="33">
        <f>6.0166 * CHOOSE(CONTROL!$C$32, $C$9, 100%, $E$9)</f>
        <v>6.0166000000000004</v>
      </c>
      <c r="M275" s="33">
        <f>6.0202 * CHOOSE(CONTROL!$C$32, $C$9, 100%, $E$9)</f>
        <v>6.0202</v>
      </c>
      <c r="N275" s="33">
        <f>6.0166 * CHOOSE(CONTROL!$C$32, $C$9, 100%, $E$9)</f>
        <v>6.0166000000000004</v>
      </c>
      <c r="O275" s="33">
        <f>6.0202 * CHOOSE(CONTROL!$C$32, $C$9, 100%, $E$9)</f>
        <v>6.0202</v>
      </c>
    </row>
    <row r="276" spans="1:15" ht="15" x14ac:dyDescent="0.2">
      <c r="A276" s="16">
        <v>49249</v>
      </c>
      <c r="B276" s="32">
        <f>4.6758 * CHOOSE(CONTROL!$C$32, $C$9, 100%, $E$9)</f>
        <v>4.6757999999999997</v>
      </c>
      <c r="C276" s="32">
        <f>4.6758 * CHOOSE(CONTROL!$C$32, $C$9, 100%, $E$9)</f>
        <v>4.6757999999999997</v>
      </c>
      <c r="D276" s="32">
        <f>4.6769 * CHOOSE(CONTROL!$C$32, $C$9, 100%, $E$9)</f>
        <v>4.6768999999999998</v>
      </c>
      <c r="E276" s="33">
        <f>6.0186 * CHOOSE(CONTROL!$C$32, $C$9, 100%, $E$9)</f>
        <v>6.0186000000000002</v>
      </c>
      <c r="F276" s="33">
        <f>6.0186 * CHOOSE(CONTROL!$C$32, $C$9, 100%, $E$9)</f>
        <v>6.0186000000000002</v>
      </c>
      <c r="G276" s="33">
        <f>6.0222 * CHOOSE(CONTROL!$C$32, $C$9, 100%, $E$9)</f>
        <v>6.0221999999999998</v>
      </c>
      <c r="H276" s="33">
        <f>9.7874 * CHOOSE(CONTROL!$C$32, $C$9, 100%, $E$9)</f>
        <v>9.7873999999999999</v>
      </c>
      <c r="I276" s="33">
        <f>9.791 * CHOOSE(CONTROL!$C$32, $C$9, 100%, $E$9)</f>
        <v>9.7910000000000004</v>
      </c>
      <c r="J276" s="33">
        <f>9.7874 * CHOOSE(CONTROL!$C$32, $C$9, 100%, $E$9)</f>
        <v>9.7873999999999999</v>
      </c>
      <c r="K276" s="33">
        <f>9.791 * CHOOSE(CONTROL!$C$32, $C$9, 100%, $E$9)</f>
        <v>9.7910000000000004</v>
      </c>
      <c r="L276" s="33">
        <f>6.0186 * CHOOSE(CONTROL!$C$32, $C$9, 100%, $E$9)</f>
        <v>6.0186000000000002</v>
      </c>
      <c r="M276" s="33">
        <f>6.0222 * CHOOSE(CONTROL!$C$32, $C$9, 100%, $E$9)</f>
        <v>6.0221999999999998</v>
      </c>
      <c r="N276" s="33">
        <f>6.0186 * CHOOSE(CONTROL!$C$32, $C$9, 100%, $E$9)</f>
        <v>6.0186000000000002</v>
      </c>
      <c r="O276" s="33">
        <f>6.0222 * CHOOSE(CONTROL!$C$32, $C$9, 100%, $E$9)</f>
        <v>6.0221999999999998</v>
      </c>
    </row>
    <row r="277" spans="1:15" ht="15" x14ac:dyDescent="0.2">
      <c r="A277" s="16">
        <v>49279</v>
      </c>
      <c r="B277" s="32">
        <f>4.6758 * CHOOSE(CONTROL!$C$32, $C$9, 100%, $E$9)</f>
        <v>4.6757999999999997</v>
      </c>
      <c r="C277" s="32">
        <f>4.6758 * CHOOSE(CONTROL!$C$32, $C$9, 100%, $E$9)</f>
        <v>4.6757999999999997</v>
      </c>
      <c r="D277" s="32">
        <f>4.6769 * CHOOSE(CONTROL!$C$32, $C$9, 100%, $E$9)</f>
        <v>4.6768999999999998</v>
      </c>
      <c r="E277" s="33">
        <f>6.0186 * CHOOSE(CONTROL!$C$32, $C$9, 100%, $E$9)</f>
        <v>6.0186000000000002</v>
      </c>
      <c r="F277" s="33">
        <f>6.0186 * CHOOSE(CONTROL!$C$32, $C$9, 100%, $E$9)</f>
        <v>6.0186000000000002</v>
      </c>
      <c r="G277" s="33">
        <f>6.0222 * CHOOSE(CONTROL!$C$32, $C$9, 100%, $E$9)</f>
        <v>6.0221999999999998</v>
      </c>
      <c r="H277" s="33">
        <f>9.8078 * CHOOSE(CONTROL!$C$32, $C$9, 100%, $E$9)</f>
        <v>9.8078000000000003</v>
      </c>
      <c r="I277" s="33">
        <f>9.8114 * CHOOSE(CONTROL!$C$32, $C$9, 100%, $E$9)</f>
        <v>9.8114000000000008</v>
      </c>
      <c r="J277" s="33">
        <f>9.8078 * CHOOSE(CONTROL!$C$32, $C$9, 100%, $E$9)</f>
        <v>9.8078000000000003</v>
      </c>
      <c r="K277" s="33">
        <f>9.8114 * CHOOSE(CONTROL!$C$32, $C$9, 100%, $E$9)</f>
        <v>9.8114000000000008</v>
      </c>
      <c r="L277" s="33">
        <f>6.0186 * CHOOSE(CONTROL!$C$32, $C$9, 100%, $E$9)</f>
        <v>6.0186000000000002</v>
      </c>
      <c r="M277" s="33">
        <f>6.0222 * CHOOSE(CONTROL!$C$32, $C$9, 100%, $E$9)</f>
        <v>6.0221999999999998</v>
      </c>
      <c r="N277" s="33">
        <f>6.0186 * CHOOSE(CONTROL!$C$32, $C$9, 100%, $E$9)</f>
        <v>6.0186000000000002</v>
      </c>
      <c r="O277" s="33">
        <f>6.0222 * CHOOSE(CONTROL!$C$32, $C$9, 100%, $E$9)</f>
        <v>6.0221999999999998</v>
      </c>
    </row>
    <row r="278" spans="1:15" ht="15" x14ac:dyDescent="0.2">
      <c r="A278" s="16">
        <v>49310</v>
      </c>
      <c r="B278" s="32">
        <f>4.713 * CHOOSE(CONTROL!$C$32, $C$9, 100%, $E$9)</f>
        <v>4.7130000000000001</v>
      </c>
      <c r="C278" s="32">
        <f>4.713 * CHOOSE(CONTROL!$C$32, $C$9, 100%, $E$9)</f>
        <v>4.7130000000000001</v>
      </c>
      <c r="D278" s="32">
        <f>4.7141 * CHOOSE(CONTROL!$C$32, $C$9, 100%, $E$9)</f>
        <v>4.7141000000000002</v>
      </c>
      <c r="E278" s="33">
        <f>6.0663 * CHOOSE(CONTROL!$C$32, $C$9, 100%, $E$9)</f>
        <v>6.0663</v>
      </c>
      <c r="F278" s="33">
        <f>6.0663 * CHOOSE(CONTROL!$C$32, $C$9, 100%, $E$9)</f>
        <v>6.0663</v>
      </c>
      <c r="G278" s="33">
        <f>6.0699 * CHOOSE(CONTROL!$C$32, $C$9, 100%, $E$9)</f>
        <v>6.0698999999999996</v>
      </c>
      <c r="H278" s="33">
        <f>9.8282 * CHOOSE(CONTROL!$C$32, $C$9, 100%, $E$9)</f>
        <v>9.8282000000000007</v>
      </c>
      <c r="I278" s="33">
        <f>9.8318 * CHOOSE(CONTROL!$C$32, $C$9, 100%, $E$9)</f>
        <v>9.8317999999999994</v>
      </c>
      <c r="J278" s="33">
        <f>9.8282 * CHOOSE(CONTROL!$C$32, $C$9, 100%, $E$9)</f>
        <v>9.8282000000000007</v>
      </c>
      <c r="K278" s="33">
        <f>9.8318 * CHOOSE(CONTROL!$C$32, $C$9, 100%, $E$9)</f>
        <v>9.8317999999999994</v>
      </c>
      <c r="L278" s="33">
        <f>6.0663 * CHOOSE(CONTROL!$C$32, $C$9, 100%, $E$9)</f>
        <v>6.0663</v>
      </c>
      <c r="M278" s="33">
        <f>6.0699 * CHOOSE(CONTROL!$C$32, $C$9, 100%, $E$9)</f>
        <v>6.0698999999999996</v>
      </c>
      <c r="N278" s="33">
        <f>6.0663 * CHOOSE(CONTROL!$C$32, $C$9, 100%, $E$9)</f>
        <v>6.0663</v>
      </c>
      <c r="O278" s="33">
        <f>6.0699 * CHOOSE(CONTROL!$C$32, $C$9, 100%, $E$9)</f>
        <v>6.0698999999999996</v>
      </c>
    </row>
    <row r="279" spans="1:15" ht="15" x14ac:dyDescent="0.2">
      <c r="A279" s="16">
        <v>49341</v>
      </c>
      <c r="B279" s="32">
        <f>4.71 * CHOOSE(CONTROL!$C$32, $C$9, 100%, $E$9)</f>
        <v>4.71</v>
      </c>
      <c r="C279" s="32">
        <f>4.71 * CHOOSE(CONTROL!$C$32, $C$9, 100%, $E$9)</f>
        <v>4.71</v>
      </c>
      <c r="D279" s="32">
        <f>4.711 * CHOOSE(CONTROL!$C$32, $C$9, 100%, $E$9)</f>
        <v>4.7110000000000003</v>
      </c>
      <c r="E279" s="33">
        <f>6.3757 * CHOOSE(CONTROL!$C$32, $C$9, 100%, $E$9)</f>
        <v>6.3757000000000001</v>
      </c>
      <c r="F279" s="33">
        <f>6.3757 * CHOOSE(CONTROL!$C$32, $C$9, 100%, $E$9)</f>
        <v>6.3757000000000001</v>
      </c>
      <c r="G279" s="33">
        <f>6.3793 * CHOOSE(CONTROL!$C$32, $C$9, 100%, $E$9)</f>
        <v>6.3792999999999997</v>
      </c>
      <c r="H279" s="33">
        <f>9.8487 * CHOOSE(CONTROL!$C$32, $C$9, 100%, $E$9)</f>
        <v>9.8486999999999991</v>
      </c>
      <c r="I279" s="33">
        <f>9.8523 * CHOOSE(CONTROL!$C$32, $C$9, 100%, $E$9)</f>
        <v>9.8522999999999996</v>
      </c>
      <c r="J279" s="33">
        <f>9.8487 * CHOOSE(CONTROL!$C$32, $C$9, 100%, $E$9)</f>
        <v>9.8486999999999991</v>
      </c>
      <c r="K279" s="33">
        <f>9.8523 * CHOOSE(CONTROL!$C$32, $C$9, 100%, $E$9)</f>
        <v>9.8522999999999996</v>
      </c>
      <c r="L279" s="33">
        <f>6.3757 * CHOOSE(CONTROL!$C$32, $C$9, 100%, $E$9)</f>
        <v>6.3757000000000001</v>
      </c>
      <c r="M279" s="33">
        <f>6.3793 * CHOOSE(CONTROL!$C$32, $C$9, 100%, $E$9)</f>
        <v>6.3792999999999997</v>
      </c>
      <c r="N279" s="33">
        <f>6.3757 * CHOOSE(CONTROL!$C$32, $C$9, 100%, $E$9)</f>
        <v>6.3757000000000001</v>
      </c>
      <c r="O279" s="33">
        <f>6.3793 * CHOOSE(CONTROL!$C$32, $C$9, 100%, $E$9)</f>
        <v>6.3792999999999997</v>
      </c>
    </row>
    <row r="280" spans="1:15" ht="15" x14ac:dyDescent="0.2">
      <c r="A280" s="16">
        <v>49369</v>
      </c>
      <c r="B280" s="32">
        <f>4.7069 * CHOOSE(CONTROL!$C$32, $C$9, 100%, $E$9)</f>
        <v>4.7069000000000001</v>
      </c>
      <c r="C280" s="32">
        <f>4.7069 * CHOOSE(CONTROL!$C$32, $C$9, 100%, $E$9)</f>
        <v>4.7069000000000001</v>
      </c>
      <c r="D280" s="32">
        <f>4.708 * CHOOSE(CONTROL!$C$32, $C$9, 100%, $E$9)</f>
        <v>4.7080000000000002</v>
      </c>
      <c r="E280" s="33">
        <f>6.0623 * CHOOSE(CONTROL!$C$32, $C$9, 100%, $E$9)</f>
        <v>6.0622999999999996</v>
      </c>
      <c r="F280" s="33">
        <f>6.0623 * CHOOSE(CONTROL!$C$32, $C$9, 100%, $E$9)</f>
        <v>6.0622999999999996</v>
      </c>
      <c r="G280" s="33">
        <f>6.0659 * CHOOSE(CONTROL!$C$32, $C$9, 100%, $E$9)</f>
        <v>6.0659000000000001</v>
      </c>
      <c r="H280" s="33">
        <f>9.8692 * CHOOSE(CONTROL!$C$32, $C$9, 100%, $E$9)</f>
        <v>9.8691999999999993</v>
      </c>
      <c r="I280" s="33">
        <f>9.8728 * CHOOSE(CONTROL!$C$32, $C$9, 100%, $E$9)</f>
        <v>9.8727999999999998</v>
      </c>
      <c r="J280" s="33">
        <f>9.8692 * CHOOSE(CONTROL!$C$32, $C$9, 100%, $E$9)</f>
        <v>9.8691999999999993</v>
      </c>
      <c r="K280" s="33">
        <f>9.8728 * CHOOSE(CONTROL!$C$32, $C$9, 100%, $E$9)</f>
        <v>9.8727999999999998</v>
      </c>
      <c r="L280" s="33">
        <f>6.0623 * CHOOSE(CONTROL!$C$32, $C$9, 100%, $E$9)</f>
        <v>6.0622999999999996</v>
      </c>
      <c r="M280" s="33">
        <f>6.0659 * CHOOSE(CONTROL!$C$32, $C$9, 100%, $E$9)</f>
        <v>6.0659000000000001</v>
      </c>
      <c r="N280" s="33">
        <f>6.0623 * CHOOSE(CONTROL!$C$32, $C$9, 100%, $E$9)</f>
        <v>6.0622999999999996</v>
      </c>
      <c r="O280" s="33">
        <f>6.0659 * CHOOSE(CONTROL!$C$32, $C$9, 100%, $E$9)</f>
        <v>6.0659000000000001</v>
      </c>
    </row>
    <row r="281" spans="1:15" ht="15" x14ac:dyDescent="0.2">
      <c r="A281" s="16">
        <v>49400</v>
      </c>
      <c r="B281" s="32">
        <f>4.7052 * CHOOSE(CONTROL!$C$32, $C$9, 100%, $E$9)</f>
        <v>4.7051999999999996</v>
      </c>
      <c r="C281" s="32">
        <f>4.7052 * CHOOSE(CONTROL!$C$32, $C$9, 100%, $E$9)</f>
        <v>4.7051999999999996</v>
      </c>
      <c r="D281" s="32">
        <f>4.7063 * CHOOSE(CONTROL!$C$32, $C$9, 100%, $E$9)</f>
        <v>4.7062999999999997</v>
      </c>
      <c r="E281" s="33">
        <f>6.0605 * CHOOSE(CONTROL!$C$32, $C$9, 100%, $E$9)</f>
        <v>6.0605000000000002</v>
      </c>
      <c r="F281" s="33">
        <f>6.0605 * CHOOSE(CONTROL!$C$32, $C$9, 100%, $E$9)</f>
        <v>6.0605000000000002</v>
      </c>
      <c r="G281" s="33">
        <f>6.0642 * CHOOSE(CONTROL!$C$32, $C$9, 100%, $E$9)</f>
        <v>6.0641999999999996</v>
      </c>
      <c r="H281" s="33">
        <f>9.8897 * CHOOSE(CONTROL!$C$32, $C$9, 100%, $E$9)</f>
        <v>9.8896999999999995</v>
      </c>
      <c r="I281" s="33">
        <f>9.8934 * CHOOSE(CONTROL!$C$32, $C$9, 100%, $E$9)</f>
        <v>9.8933999999999997</v>
      </c>
      <c r="J281" s="33">
        <f>9.8897 * CHOOSE(CONTROL!$C$32, $C$9, 100%, $E$9)</f>
        <v>9.8896999999999995</v>
      </c>
      <c r="K281" s="33">
        <f>9.8934 * CHOOSE(CONTROL!$C$32, $C$9, 100%, $E$9)</f>
        <v>9.8933999999999997</v>
      </c>
      <c r="L281" s="33">
        <f>6.0605 * CHOOSE(CONTROL!$C$32, $C$9, 100%, $E$9)</f>
        <v>6.0605000000000002</v>
      </c>
      <c r="M281" s="33">
        <f>6.0642 * CHOOSE(CONTROL!$C$32, $C$9, 100%, $E$9)</f>
        <v>6.0641999999999996</v>
      </c>
      <c r="N281" s="33">
        <f>6.0605 * CHOOSE(CONTROL!$C$32, $C$9, 100%, $E$9)</f>
        <v>6.0605000000000002</v>
      </c>
      <c r="O281" s="33">
        <f>6.0642 * CHOOSE(CONTROL!$C$32, $C$9, 100%, $E$9)</f>
        <v>6.0641999999999996</v>
      </c>
    </row>
    <row r="282" spans="1:15" ht="15" x14ac:dyDescent="0.2">
      <c r="A282" s="16">
        <v>49430</v>
      </c>
      <c r="B282" s="32">
        <f>4.7052 * CHOOSE(CONTROL!$C$32, $C$9, 100%, $E$9)</f>
        <v>4.7051999999999996</v>
      </c>
      <c r="C282" s="32">
        <f>4.7052 * CHOOSE(CONTROL!$C$32, $C$9, 100%, $E$9)</f>
        <v>4.7051999999999996</v>
      </c>
      <c r="D282" s="32">
        <f>4.7068 * CHOOSE(CONTROL!$C$32, $C$9, 100%, $E$9)</f>
        <v>4.7068000000000003</v>
      </c>
      <c r="E282" s="33">
        <f>6.0605 * CHOOSE(CONTROL!$C$32, $C$9, 100%, $E$9)</f>
        <v>6.0605000000000002</v>
      </c>
      <c r="F282" s="33">
        <f>6.0605 * CHOOSE(CONTROL!$C$32, $C$9, 100%, $E$9)</f>
        <v>6.0605000000000002</v>
      </c>
      <c r="G282" s="33">
        <f>6.0658 * CHOOSE(CONTROL!$C$32, $C$9, 100%, $E$9)</f>
        <v>6.0658000000000003</v>
      </c>
      <c r="H282" s="33">
        <f>9.9103 * CHOOSE(CONTROL!$C$32, $C$9, 100%, $E$9)</f>
        <v>9.9102999999999994</v>
      </c>
      <c r="I282" s="33">
        <f>9.9156 * CHOOSE(CONTROL!$C$32, $C$9, 100%, $E$9)</f>
        <v>9.9155999999999995</v>
      </c>
      <c r="J282" s="33">
        <f>9.9103 * CHOOSE(CONTROL!$C$32, $C$9, 100%, $E$9)</f>
        <v>9.9102999999999994</v>
      </c>
      <c r="K282" s="33">
        <f>9.9156 * CHOOSE(CONTROL!$C$32, $C$9, 100%, $E$9)</f>
        <v>9.9155999999999995</v>
      </c>
      <c r="L282" s="33">
        <f>6.0605 * CHOOSE(CONTROL!$C$32, $C$9, 100%, $E$9)</f>
        <v>6.0605000000000002</v>
      </c>
      <c r="M282" s="33">
        <f>6.0658 * CHOOSE(CONTROL!$C$32, $C$9, 100%, $E$9)</f>
        <v>6.0658000000000003</v>
      </c>
      <c r="N282" s="33">
        <f>6.0605 * CHOOSE(CONTROL!$C$32, $C$9, 100%, $E$9)</f>
        <v>6.0605000000000002</v>
      </c>
      <c r="O282" s="33">
        <f>6.0658 * CHOOSE(CONTROL!$C$32, $C$9, 100%, $E$9)</f>
        <v>6.0658000000000003</v>
      </c>
    </row>
    <row r="283" spans="1:15" ht="15" x14ac:dyDescent="0.2">
      <c r="A283" s="16">
        <v>49461</v>
      </c>
      <c r="B283" s="32">
        <f>4.7113 * CHOOSE(CONTROL!$C$32, $C$9, 100%, $E$9)</f>
        <v>4.7112999999999996</v>
      </c>
      <c r="C283" s="32">
        <f>4.7113 * CHOOSE(CONTROL!$C$32, $C$9, 100%, $E$9)</f>
        <v>4.7112999999999996</v>
      </c>
      <c r="D283" s="32">
        <f>4.7129 * CHOOSE(CONTROL!$C$32, $C$9, 100%, $E$9)</f>
        <v>4.7129000000000003</v>
      </c>
      <c r="E283" s="33">
        <f>6.0645 * CHOOSE(CONTROL!$C$32, $C$9, 100%, $E$9)</f>
        <v>6.0644999999999998</v>
      </c>
      <c r="F283" s="33">
        <f>6.0645 * CHOOSE(CONTROL!$C$32, $C$9, 100%, $E$9)</f>
        <v>6.0644999999999998</v>
      </c>
      <c r="G283" s="33">
        <f>6.0698 * CHOOSE(CONTROL!$C$32, $C$9, 100%, $E$9)</f>
        <v>6.0697999999999999</v>
      </c>
      <c r="H283" s="33">
        <f>9.931 * CHOOSE(CONTROL!$C$32, $C$9, 100%, $E$9)</f>
        <v>9.9309999999999992</v>
      </c>
      <c r="I283" s="33">
        <f>9.9363 * CHOOSE(CONTROL!$C$32, $C$9, 100%, $E$9)</f>
        <v>9.9362999999999992</v>
      </c>
      <c r="J283" s="33">
        <f>9.931 * CHOOSE(CONTROL!$C$32, $C$9, 100%, $E$9)</f>
        <v>9.9309999999999992</v>
      </c>
      <c r="K283" s="33">
        <f>9.9363 * CHOOSE(CONTROL!$C$32, $C$9, 100%, $E$9)</f>
        <v>9.9362999999999992</v>
      </c>
      <c r="L283" s="33">
        <f>6.0645 * CHOOSE(CONTROL!$C$32, $C$9, 100%, $E$9)</f>
        <v>6.0644999999999998</v>
      </c>
      <c r="M283" s="33">
        <f>6.0698 * CHOOSE(CONTROL!$C$32, $C$9, 100%, $E$9)</f>
        <v>6.0697999999999999</v>
      </c>
      <c r="N283" s="33">
        <f>6.0645 * CHOOSE(CONTROL!$C$32, $C$9, 100%, $E$9)</f>
        <v>6.0644999999999998</v>
      </c>
      <c r="O283" s="33">
        <f>6.0698 * CHOOSE(CONTROL!$C$32, $C$9, 100%, $E$9)</f>
        <v>6.0697999999999999</v>
      </c>
    </row>
    <row r="284" spans="1:15" ht="15" x14ac:dyDescent="0.2">
      <c r="A284" s="16">
        <v>49491</v>
      </c>
      <c r="B284" s="32">
        <f>4.7784 * CHOOSE(CONTROL!$C$32, $C$9, 100%, $E$9)</f>
        <v>4.7784000000000004</v>
      </c>
      <c r="C284" s="32">
        <f>4.7784 * CHOOSE(CONTROL!$C$32, $C$9, 100%, $E$9)</f>
        <v>4.7784000000000004</v>
      </c>
      <c r="D284" s="32">
        <f>4.7799 * CHOOSE(CONTROL!$C$32, $C$9, 100%, $E$9)</f>
        <v>4.7798999999999996</v>
      </c>
      <c r="E284" s="33">
        <f>6.1692 * CHOOSE(CONTROL!$C$32, $C$9, 100%, $E$9)</f>
        <v>6.1692</v>
      </c>
      <c r="F284" s="33">
        <f>6.1692 * CHOOSE(CONTROL!$C$32, $C$9, 100%, $E$9)</f>
        <v>6.1692</v>
      </c>
      <c r="G284" s="33">
        <f>6.1745 * CHOOSE(CONTROL!$C$32, $C$9, 100%, $E$9)</f>
        <v>6.1745000000000001</v>
      </c>
      <c r="H284" s="33">
        <f>9.9517 * CHOOSE(CONTROL!$C$32, $C$9, 100%, $E$9)</f>
        <v>9.9517000000000007</v>
      </c>
      <c r="I284" s="33">
        <f>9.957 * CHOOSE(CONTROL!$C$32, $C$9, 100%, $E$9)</f>
        <v>9.9570000000000007</v>
      </c>
      <c r="J284" s="33">
        <f>9.9517 * CHOOSE(CONTROL!$C$32, $C$9, 100%, $E$9)</f>
        <v>9.9517000000000007</v>
      </c>
      <c r="K284" s="33">
        <f>9.957 * CHOOSE(CONTROL!$C$32, $C$9, 100%, $E$9)</f>
        <v>9.9570000000000007</v>
      </c>
      <c r="L284" s="33">
        <f>6.1692 * CHOOSE(CONTROL!$C$32, $C$9, 100%, $E$9)</f>
        <v>6.1692</v>
      </c>
      <c r="M284" s="33">
        <f>6.1745 * CHOOSE(CONTROL!$C$32, $C$9, 100%, $E$9)</f>
        <v>6.1745000000000001</v>
      </c>
      <c r="N284" s="33">
        <f>6.1692 * CHOOSE(CONTROL!$C$32, $C$9, 100%, $E$9)</f>
        <v>6.1692</v>
      </c>
      <c r="O284" s="33">
        <f>6.1745 * CHOOSE(CONTROL!$C$32, $C$9, 100%, $E$9)</f>
        <v>6.1745000000000001</v>
      </c>
    </row>
    <row r="285" spans="1:15" ht="15" x14ac:dyDescent="0.2">
      <c r="A285" s="16">
        <v>49522</v>
      </c>
      <c r="B285" s="32">
        <f>4.785 * CHOOSE(CONTROL!$C$32, $C$9, 100%, $E$9)</f>
        <v>4.7850000000000001</v>
      </c>
      <c r="C285" s="32">
        <f>4.785 * CHOOSE(CONTROL!$C$32, $C$9, 100%, $E$9)</f>
        <v>4.7850000000000001</v>
      </c>
      <c r="D285" s="32">
        <f>4.7866 * CHOOSE(CONTROL!$C$32, $C$9, 100%, $E$9)</f>
        <v>4.7866</v>
      </c>
      <c r="E285" s="33">
        <f>6.523 * CHOOSE(CONTROL!$C$32, $C$9, 100%, $E$9)</f>
        <v>6.5229999999999997</v>
      </c>
      <c r="F285" s="33">
        <f>6.523 * CHOOSE(CONTROL!$C$32, $C$9, 100%, $E$9)</f>
        <v>6.5229999999999997</v>
      </c>
      <c r="G285" s="33">
        <f>6.5283 * CHOOSE(CONTROL!$C$32, $C$9, 100%, $E$9)</f>
        <v>6.5282999999999998</v>
      </c>
      <c r="H285" s="33">
        <f>9.9724 * CHOOSE(CONTROL!$C$32, $C$9, 100%, $E$9)</f>
        <v>9.9724000000000004</v>
      </c>
      <c r="I285" s="33">
        <f>9.9777 * CHOOSE(CONTROL!$C$32, $C$9, 100%, $E$9)</f>
        <v>9.9777000000000005</v>
      </c>
      <c r="J285" s="33">
        <f>9.9724 * CHOOSE(CONTROL!$C$32, $C$9, 100%, $E$9)</f>
        <v>9.9724000000000004</v>
      </c>
      <c r="K285" s="33">
        <f>9.9777 * CHOOSE(CONTROL!$C$32, $C$9, 100%, $E$9)</f>
        <v>9.9777000000000005</v>
      </c>
      <c r="L285" s="33">
        <f>6.523 * CHOOSE(CONTROL!$C$32, $C$9, 100%, $E$9)</f>
        <v>6.5229999999999997</v>
      </c>
      <c r="M285" s="33">
        <f>6.5283 * CHOOSE(CONTROL!$C$32, $C$9, 100%, $E$9)</f>
        <v>6.5282999999999998</v>
      </c>
      <c r="N285" s="33">
        <f>6.523 * CHOOSE(CONTROL!$C$32, $C$9, 100%, $E$9)</f>
        <v>6.5229999999999997</v>
      </c>
      <c r="O285" s="33">
        <f>6.5283 * CHOOSE(CONTROL!$C$32, $C$9, 100%, $E$9)</f>
        <v>6.5282999999999998</v>
      </c>
    </row>
    <row r="286" spans="1:15" ht="15" x14ac:dyDescent="0.2">
      <c r="A286" s="16">
        <v>49553</v>
      </c>
      <c r="B286" s="32">
        <f>4.782 * CHOOSE(CONTROL!$C$32, $C$9, 100%, $E$9)</f>
        <v>4.782</v>
      </c>
      <c r="C286" s="32">
        <f>4.782 * CHOOSE(CONTROL!$C$32, $C$9, 100%, $E$9)</f>
        <v>4.782</v>
      </c>
      <c r="D286" s="32">
        <f>4.7836 * CHOOSE(CONTROL!$C$32, $C$9, 100%, $E$9)</f>
        <v>4.7835999999999999</v>
      </c>
      <c r="E286" s="33">
        <f>6.5105 * CHOOSE(CONTROL!$C$32, $C$9, 100%, $E$9)</f>
        <v>6.5105000000000004</v>
      </c>
      <c r="F286" s="33">
        <f>6.5105 * CHOOSE(CONTROL!$C$32, $C$9, 100%, $E$9)</f>
        <v>6.5105000000000004</v>
      </c>
      <c r="G286" s="33">
        <f>6.5158 * CHOOSE(CONTROL!$C$32, $C$9, 100%, $E$9)</f>
        <v>6.5157999999999996</v>
      </c>
      <c r="H286" s="33">
        <f>9.9932 * CHOOSE(CONTROL!$C$32, $C$9, 100%, $E$9)</f>
        <v>9.9931999999999999</v>
      </c>
      <c r="I286" s="33">
        <f>9.9985 * CHOOSE(CONTROL!$C$32, $C$9, 100%, $E$9)</f>
        <v>9.9984999999999999</v>
      </c>
      <c r="J286" s="33">
        <f>9.9932 * CHOOSE(CONTROL!$C$32, $C$9, 100%, $E$9)</f>
        <v>9.9931999999999999</v>
      </c>
      <c r="K286" s="33">
        <f>9.9985 * CHOOSE(CONTROL!$C$32, $C$9, 100%, $E$9)</f>
        <v>9.9984999999999999</v>
      </c>
      <c r="L286" s="33">
        <f>6.5105 * CHOOSE(CONTROL!$C$32, $C$9, 100%, $E$9)</f>
        <v>6.5105000000000004</v>
      </c>
      <c r="M286" s="33">
        <f>6.5158 * CHOOSE(CONTROL!$C$32, $C$9, 100%, $E$9)</f>
        <v>6.5157999999999996</v>
      </c>
      <c r="N286" s="33">
        <f>6.5105 * CHOOSE(CONTROL!$C$32, $C$9, 100%, $E$9)</f>
        <v>6.5105000000000004</v>
      </c>
      <c r="O286" s="33">
        <f>6.5158 * CHOOSE(CONTROL!$C$32, $C$9, 100%, $E$9)</f>
        <v>6.5157999999999996</v>
      </c>
    </row>
    <row r="287" spans="1:15" ht="15" x14ac:dyDescent="0.2">
      <c r="A287" s="16">
        <v>49583</v>
      </c>
      <c r="B287" s="32">
        <f>4.78 * CHOOSE(CONTROL!$C$32, $C$9, 100%, $E$9)</f>
        <v>4.78</v>
      </c>
      <c r="C287" s="32">
        <f>4.78 * CHOOSE(CONTROL!$C$32, $C$9, 100%, $E$9)</f>
        <v>4.78</v>
      </c>
      <c r="D287" s="32">
        <f>4.781 * CHOOSE(CONTROL!$C$32, $C$9, 100%, $E$9)</f>
        <v>4.7809999999999997</v>
      </c>
      <c r="E287" s="33">
        <f>6.1678 * CHOOSE(CONTROL!$C$32, $C$9, 100%, $E$9)</f>
        <v>6.1677999999999997</v>
      </c>
      <c r="F287" s="33">
        <f>6.1678 * CHOOSE(CONTROL!$C$32, $C$9, 100%, $E$9)</f>
        <v>6.1677999999999997</v>
      </c>
      <c r="G287" s="33">
        <f>6.1714 * CHOOSE(CONTROL!$C$32, $C$9, 100%, $E$9)</f>
        <v>6.1714000000000002</v>
      </c>
      <c r="H287" s="33">
        <f>10.014 * CHOOSE(CONTROL!$C$32, $C$9, 100%, $E$9)</f>
        <v>10.013999999999999</v>
      </c>
      <c r="I287" s="33">
        <f>10.0176 * CHOOSE(CONTROL!$C$32, $C$9, 100%, $E$9)</f>
        <v>10.0176</v>
      </c>
      <c r="J287" s="33">
        <f>10.014 * CHOOSE(CONTROL!$C$32, $C$9, 100%, $E$9)</f>
        <v>10.013999999999999</v>
      </c>
      <c r="K287" s="33">
        <f>10.0176 * CHOOSE(CONTROL!$C$32, $C$9, 100%, $E$9)</f>
        <v>10.0176</v>
      </c>
      <c r="L287" s="33">
        <f>6.1678 * CHOOSE(CONTROL!$C$32, $C$9, 100%, $E$9)</f>
        <v>6.1677999999999997</v>
      </c>
      <c r="M287" s="33">
        <f>6.1714 * CHOOSE(CONTROL!$C$32, $C$9, 100%, $E$9)</f>
        <v>6.1714000000000002</v>
      </c>
      <c r="N287" s="33">
        <f>6.1678 * CHOOSE(CONTROL!$C$32, $C$9, 100%, $E$9)</f>
        <v>6.1677999999999997</v>
      </c>
      <c r="O287" s="33">
        <f>6.1714 * CHOOSE(CONTROL!$C$32, $C$9, 100%, $E$9)</f>
        <v>6.1714000000000002</v>
      </c>
    </row>
    <row r="288" spans="1:15" ht="15" x14ac:dyDescent="0.2">
      <c r="A288" s="16">
        <v>49614</v>
      </c>
      <c r="B288" s="32">
        <f>4.783 * CHOOSE(CONTROL!$C$32, $C$9, 100%, $E$9)</f>
        <v>4.7830000000000004</v>
      </c>
      <c r="C288" s="32">
        <f>4.783 * CHOOSE(CONTROL!$C$32, $C$9, 100%, $E$9)</f>
        <v>4.7830000000000004</v>
      </c>
      <c r="D288" s="32">
        <f>4.7841 * CHOOSE(CONTROL!$C$32, $C$9, 100%, $E$9)</f>
        <v>4.7840999999999996</v>
      </c>
      <c r="E288" s="33">
        <f>6.1698 * CHOOSE(CONTROL!$C$32, $C$9, 100%, $E$9)</f>
        <v>6.1698000000000004</v>
      </c>
      <c r="F288" s="33">
        <f>6.1698 * CHOOSE(CONTROL!$C$32, $C$9, 100%, $E$9)</f>
        <v>6.1698000000000004</v>
      </c>
      <c r="G288" s="33">
        <f>6.1734 * CHOOSE(CONTROL!$C$32, $C$9, 100%, $E$9)</f>
        <v>6.1734</v>
      </c>
      <c r="H288" s="33">
        <f>10.0349 * CHOOSE(CONTROL!$C$32, $C$9, 100%, $E$9)</f>
        <v>10.0349</v>
      </c>
      <c r="I288" s="33">
        <f>10.0385 * CHOOSE(CONTROL!$C$32, $C$9, 100%, $E$9)</f>
        <v>10.038500000000001</v>
      </c>
      <c r="J288" s="33">
        <f>10.0349 * CHOOSE(CONTROL!$C$32, $C$9, 100%, $E$9)</f>
        <v>10.0349</v>
      </c>
      <c r="K288" s="33">
        <f>10.0385 * CHOOSE(CONTROL!$C$32, $C$9, 100%, $E$9)</f>
        <v>10.038500000000001</v>
      </c>
      <c r="L288" s="33">
        <f>6.1698 * CHOOSE(CONTROL!$C$32, $C$9, 100%, $E$9)</f>
        <v>6.1698000000000004</v>
      </c>
      <c r="M288" s="33">
        <f>6.1734 * CHOOSE(CONTROL!$C$32, $C$9, 100%, $E$9)</f>
        <v>6.1734</v>
      </c>
      <c r="N288" s="33">
        <f>6.1698 * CHOOSE(CONTROL!$C$32, $C$9, 100%, $E$9)</f>
        <v>6.1698000000000004</v>
      </c>
      <c r="O288" s="33">
        <f>6.1734 * CHOOSE(CONTROL!$C$32, $C$9, 100%, $E$9)</f>
        <v>6.1734</v>
      </c>
    </row>
    <row r="289" spans="1:15" ht="15" x14ac:dyDescent="0.2">
      <c r="A289" s="16">
        <v>49644</v>
      </c>
      <c r="B289" s="32">
        <f>4.783 * CHOOSE(CONTROL!$C$32, $C$9, 100%, $E$9)</f>
        <v>4.7830000000000004</v>
      </c>
      <c r="C289" s="32">
        <f>4.783 * CHOOSE(CONTROL!$C$32, $C$9, 100%, $E$9)</f>
        <v>4.7830000000000004</v>
      </c>
      <c r="D289" s="32">
        <f>4.7841 * CHOOSE(CONTROL!$C$32, $C$9, 100%, $E$9)</f>
        <v>4.7840999999999996</v>
      </c>
      <c r="E289" s="33">
        <f>6.5096 * CHOOSE(CONTROL!$C$32, $C$9, 100%, $E$9)</f>
        <v>6.5095999999999998</v>
      </c>
      <c r="F289" s="33">
        <f>6.5096 * CHOOSE(CONTROL!$C$32, $C$9, 100%, $E$9)</f>
        <v>6.5095999999999998</v>
      </c>
      <c r="G289" s="33">
        <f>6.5132 * CHOOSE(CONTROL!$C$32, $C$9, 100%, $E$9)</f>
        <v>6.5132000000000003</v>
      </c>
      <c r="H289" s="33">
        <f>10.0558 * CHOOSE(CONTROL!$C$32, $C$9, 100%, $E$9)</f>
        <v>10.0558</v>
      </c>
      <c r="I289" s="33">
        <f>10.0594 * CHOOSE(CONTROL!$C$32, $C$9, 100%, $E$9)</f>
        <v>10.0594</v>
      </c>
      <c r="J289" s="33">
        <f>10.0558 * CHOOSE(CONTROL!$C$32, $C$9, 100%, $E$9)</f>
        <v>10.0558</v>
      </c>
      <c r="K289" s="33">
        <f>10.0594 * CHOOSE(CONTROL!$C$32, $C$9, 100%, $E$9)</f>
        <v>10.0594</v>
      </c>
      <c r="L289" s="33">
        <f>6.5096 * CHOOSE(CONTROL!$C$32, $C$9, 100%, $E$9)</f>
        <v>6.5095999999999998</v>
      </c>
      <c r="M289" s="33">
        <f>6.5132 * CHOOSE(CONTROL!$C$32, $C$9, 100%, $E$9)</f>
        <v>6.5132000000000003</v>
      </c>
      <c r="N289" s="33">
        <f>6.5096 * CHOOSE(CONTROL!$C$32, $C$9, 100%, $E$9)</f>
        <v>6.5095999999999998</v>
      </c>
      <c r="O289" s="33">
        <f>6.5132 * CHOOSE(CONTROL!$C$32, $C$9, 100%, $E$9)</f>
        <v>6.5132000000000003</v>
      </c>
    </row>
    <row r="290" spans="1:15" ht="15" x14ac:dyDescent="0.2">
      <c r="A290" s="16">
        <v>49675</v>
      </c>
      <c r="B290" s="32">
        <f>4.8216 * CHOOSE(CONTROL!$C$32, $C$9, 100%, $E$9)</f>
        <v>4.8216000000000001</v>
      </c>
      <c r="C290" s="32">
        <f>4.8216 * CHOOSE(CONTROL!$C$32, $C$9, 100%, $E$9)</f>
        <v>4.8216000000000001</v>
      </c>
      <c r="D290" s="32">
        <f>4.8227 * CHOOSE(CONTROL!$C$32, $C$9, 100%, $E$9)</f>
        <v>4.8227000000000002</v>
      </c>
      <c r="E290" s="33">
        <f>6.5301 * CHOOSE(CONTROL!$C$32, $C$9, 100%, $E$9)</f>
        <v>6.5301</v>
      </c>
      <c r="F290" s="33">
        <f>6.5301 * CHOOSE(CONTROL!$C$32, $C$9, 100%, $E$9)</f>
        <v>6.5301</v>
      </c>
      <c r="G290" s="33">
        <f>6.5337 * CHOOSE(CONTROL!$C$32, $C$9, 100%, $E$9)</f>
        <v>6.5336999999999996</v>
      </c>
      <c r="H290" s="33">
        <f>10.0767 * CHOOSE(CONTROL!$C$32, $C$9, 100%, $E$9)</f>
        <v>10.076700000000001</v>
      </c>
      <c r="I290" s="33">
        <f>10.0803 * CHOOSE(CONTROL!$C$32, $C$9, 100%, $E$9)</f>
        <v>10.080299999999999</v>
      </c>
      <c r="J290" s="33">
        <f>10.0767 * CHOOSE(CONTROL!$C$32, $C$9, 100%, $E$9)</f>
        <v>10.076700000000001</v>
      </c>
      <c r="K290" s="33">
        <f>10.0803 * CHOOSE(CONTROL!$C$32, $C$9, 100%, $E$9)</f>
        <v>10.080299999999999</v>
      </c>
      <c r="L290" s="33">
        <f>6.5301 * CHOOSE(CONTROL!$C$32, $C$9, 100%, $E$9)</f>
        <v>6.5301</v>
      </c>
      <c r="M290" s="33">
        <f>6.5337 * CHOOSE(CONTROL!$C$32, $C$9, 100%, $E$9)</f>
        <v>6.5336999999999996</v>
      </c>
      <c r="N290" s="33">
        <f>6.5301 * CHOOSE(CONTROL!$C$32, $C$9, 100%, $E$9)</f>
        <v>6.5301</v>
      </c>
      <c r="O290" s="33">
        <f>6.5337 * CHOOSE(CONTROL!$C$32, $C$9, 100%, $E$9)</f>
        <v>6.5336999999999996</v>
      </c>
    </row>
    <row r="291" spans="1:15" ht="15" x14ac:dyDescent="0.2">
      <c r="A291" s="16">
        <v>49706</v>
      </c>
      <c r="B291" s="32">
        <f>4.8186 * CHOOSE(CONTROL!$C$32, $C$9, 100%, $E$9)</f>
        <v>4.8186</v>
      </c>
      <c r="C291" s="32">
        <f>4.8186 * CHOOSE(CONTROL!$C$32, $C$9, 100%, $E$9)</f>
        <v>4.8186</v>
      </c>
      <c r="D291" s="32">
        <f>4.8196 * CHOOSE(CONTROL!$C$32, $C$9, 100%, $E$9)</f>
        <v>4.8196000000000003</v>
      </c>
      <c r="E291" s="33">
        <f>6.4268 * CHOOSE(CONTROL!$C$32, $C$9, 100%, $E$9)</f>
        <v>6.4268000000000001</v>
      </c>
      <c r="F291" s="33">
        <f>6.4268 * CHOOSE(CONTROL!$C$32, $C$9, 100%, $E$9)</f>
        <v>6.4268000000000001</v>
      </c>
      <c r="G291" s="33">
        <f>6.4304 * CHOOSE(CONTROL!$C$32, $C$9, 100%, $E$9)</f>
        <v>6.4303999999999997</v>
      </c>
      <c r="H291" s="33">
        <f>10.0977 * CHOOSE(CONTROL!$C$32, $C$9, 100%, $E$9)</f>
        <v>10.0977</v>
      </c>
      <c r="I291" s="33">
        <f>10.1013 * CHOOSE(CONTROL!$C$32, $C$9, 100%, $E$9)</f>
        <v>10.1013</v>
      </c>
      <c r="J291" s="33">
        <f>10.0977 * CHOOSE(CONTROL!$C$32, $C$9, 100%, $E$9)</f>
        <v>10.0977</v>
      </c>
      <c r="K291" s="33">
        <f>10.1013 * CHOOSE(CONTROL!$C$32, $C$9, 100%, $E$9)</f>
        <v>10.1013</v>
      </c>
      <c r="L291" s="33">
        <f>6.4268 * CHOOSE(CONTROL!$C$32, $C$9, 100%, $E$9)</f>
        <v>6.4268000000000001</v>
      </c>
      <c r="M291" s="33">
        <f>6.4304 * CHOOSE(CONTROL!$C$32, $C$9, 100%, $E$9)</f>
        <v>6.4303999999999997</v>
      </c>
      <c r="N291" s="33">
        <f>6.4268 * CHOOSE(CONTROL!$C$32, $C$9, 100%, $E$9)</f>
        <v>6.4268000000000001</v>
      </c>
      <c r="O291" s="33">
        <f>6.4304 * CHOOSE(CONTROL!$C$32, $C$9, 100%, $E$9)</f>
        <v>6.4303999999999997</v>
      </c>
    </row>
    <row r="292" spans="1:15" ht="15" x14ac:dyDescent="0.2">
      <c r="A292" s="16">
        <v>49735</v>
      </c>
      <c r="B292" s="32">
        <f>4.8155 * CHOOSE(CONTROL!$C$32, $C$9, 100%, $E$9)</f>
        <v>4.8155000000000001</v>
      </c>
      <c r="C292" s="32">
        <f>4.8155 * CHOOSE(CONTROL!$C$32, $C$9, 100%, $E$9)</f>
        <v>4.8155000000000001</v>
      </c>
      <c r="D292" s="32">
        <f>4.8166 * CHOOSE(CONTROL!$C$32, $C$9, 100%, $E$9)</f>
        <v>4.8166000000000002</v>
      </c>
      <c r="E292" s="33">
        <f>6.5044 * CHOOSE(CONTROL!$C$32, $C$9, 100%, $E$9)</f>
        <v>6.5044000000000004</v>
      </c>
      <c r="F292" s="33">
        <f>6.5044 * CHOOSE(CONTROL!$C$32, $C$9, 100%, $E$9)</f>
        <v>6.5044000000000004</v>
      </c>
      <c r="G292" s="33">
        <f>6.508 * CHOOSE(CONTROL!$C$32, $C$9, 100%, $E$9)</f>
        <v>6.508</v>
      </c>
      <c r="H292" s="33">
        <f>10.1188 * CHOOSE(CONTROL!$C$32, $C$9, 100%, $E$9)</f>
        <v>10.1188</v>
      </c>
      <c r="I292" s="33">
        <f>10.1224 * CHOOSE(CONTROL!$C$32, $C$9, 100%, $E$9)</f>
        <v>10.122400000000001</v>
      </c>
      <c r="J292" s="33">
        <f>10.1188 * CHOOSE(CONTROL!$C$32, $C$9, 100%, $E$9)</f>
        <v>10.1188</v>
      </c>
      <c r="K292" s="33">
        <f>10.1224 * CHOOSE(CONTROL!$C$32, $C$9, 100%, $E$9)</f>
        <v>10.122400000000001</v>
      </c>
      <c r="L292" s="33">
        <f>6.5044 * CHOOSE(CONTROL!$C$32, $C$9, 100%, $E$9)</f>
        <v>6.5044000000000004</v>
      </c>
      <c r="M292" s="33">
        <f>6.508 * CHOOSE(CONTROL!$C$32, $C$9, 100%, $E$9)</f>
        <v>6.508</v>
      </c>
      <c r="N292" s="33">
        <f>6.5044 * CHOOSE(CONTROL!$C$32, $C$9, 100%, $E$9)</f>
        <v>6.5044000000000004</v>
      </c>
      <c r="O292" s="33">
        <f>6.508 * CHOOSE(CONTROL!$C$32, $C$9, 100%, $E$9)</f>
        <v>6.508</v>
      </c>
    </row>
    <row r="293" spans="1:15" ht="15" x14ac:dyDescent="0.2">
      <c r="A293" s="16">
        <v>49766</v>
      </c>
      <c r="B293" s="32">
        <f>4.814 * CHOOSE(CONTROL!$C$32, $C$9, 100%, $E$9)</f>
        <v>4.8140000000000001</v>
      </c>
      <c r="C293" s="32">
        <f>4.814 * CHOOSE(CONTROL!$C$32, $C$9, 100%, $E$9)</f>
        <v>4.8140000000000001</v>
      </c>
      <c r="D293" s="32">
        <f>4.815 * CHOOSE(CONTROL!$C$32, $C$9, 100%, $E$9)</f>
        <v>4.8150000000000004</v>
      </c>
      <c r="E293" s="33">
        <f>6.5859 * CHOOSE(CONTROL!$C$32, $C$9, 100%, $E$9)</f>
        <v>6.5858999999999996</v>
      </c>
      <c r="F293" s="33">
        <f>6.5859 * CHOOSE(CONTROL!$C$32, $C$9, 100%, $E$9)</f>
        <v>6.5858999999999996</v>
      </c>
      <c r="G293" s="33">
        <f>6.5895 * CHOOSE(CONTROL!$C$32, $C$9, 100%, $E$9)</f>
        <v>6.5895000000000001</v>
      </c>
      <c r="H293" s="33">
        <f>10.1398 * CHOOSE(CONTROL!$C$32, $C$9, 100%, $E$9)</f>
        <v>10.139799999999999</v>
      </c>
      <c r="I293" s="33">
        <f>10.1435 * CHOOSE(CONTROL!$C$32, $C$9, 100%, $E$9)</f>
        <v>10.1435</v>
      </c>
      <c r="J293" s="33">
        <f>10.1398 * CHOOSE(CONTROL!$C$32, $C$9, 100%, $E$9)</f>
        <v>10.139799999999999</v>
      </c>
      <c r="K293" s="33">
        <f>10.1435 * CHOOSE(CONTROL!$C$32, $C$9, 100%, $E$9)</f>
        <v>10.1435</v>
      </c>
      <c r="L293" s="33">
        <f>6.5859 * CHOOSE(CONTROL!$C$32, $C$9, 100%, $E$9)</f>
        <v>6.5858999999999996</v>
      </c>
      <c r="M293" s="33">
        <f>6.5895 * CHOOSE(CONTROL!$C$32, $C$9, 100%, $E$9)</f>
        <v>6.5895000000000001</v>
      </c>
      <c r="N293" s="33">
        <f>6.5859 * CHOOSE(CONTROL!$C$32, $C$9, 100%, $E$9)</f>
        <v>6.5858999999999996</v>
      </c>
      <c r="O293" s="33">
        <f>6.5895 * CHOOSE(CONTROL!$C$32, $C$9, 100%, $E$9)</f>
        <v>6.5895000000000001</v>
      </c>
    </row>
    <row r="294" spans="1:15" ht="15" x14ac:dyDescent="0.2">
      <c r="A294" s="16">
        <v>49796</v>
      </c>
      <c r="B294" s="32">
        <f>4.814 * CHOOSE(CONTROL!$C$32, $C$9, 100%, $E$9)</f>
        <v>4.8140000000000001</v>
      </c>
      <c r="C294" s="32">
        <f>4.814 * CHOOSE(CONTROL!$C$32, $C$9, 100%, $E$9)</f>
        <v>4.8140000000000001</v>
      </c>
      <c r="D294" s="32">
        <f>4.8155 * CHOOSE(CONTROL!$C$32, $C$9, 100%, $E$9)</f>
        <v>4.8155000000000001</v>
      </c>
      <c r="E294" s="33">
        <f>6.2171 * CHOOSE(CONTROL!$C$32, $C$9, 100%, $E$9)</f>
        <v>6.2171000000000003</v>
      </c>
      <c r="F294" s="33">
        <f>6.2171 * CHOOSE(CONTROL!$C$32, $C$9, 100%, $E$9)</f>
        <v>6.2171000000000003</v>
      </c>
      <c r="G294" s="33">
        <f>6.2224 * CHOOSE(CONTROL!$C$32, $C$9, 100%, $E$9)</f>
        <v>6.2224000000000004</v>
      </c>
      <c r="H294" s="33">
        <f>10.161 * CHOOSE(CONTROL!$C$32, $C$9, 100%, $E$9)</f>
        <v>10.161</v>
      </c>
      <c r="I294" s="33">
        <f>10.1663 * CHOOSE(CONTROL!$C$32, $C$9, 100%, $E$9)</f>
        <v>10.1663</v>
      </c>
      <c r="J294" s="33">
        <f>10.161 * CHOOSE(CONTROL!$C$32, $C$9, 100%, $E$9)</f>
        <v>10.161</v>
      </c>
      <c r="K294" s="33">
        <f>10.1663 * CHOOSE(CONTROL!$C$32, $C$9, 100%, $E$9)</f>
        <v>10.1663</v>
      </c>
      <c r="L294" s="33">
        <f>6.2171 * CHOOSE(CONTROL!$C$32, $C$9, 100%, $E$9)</f>
        <v>6.2171000000000003</v>
      </c>
      <c r="M294" s="33">
        <f>6.2224 * CHOOSE(CONTROL!$C$32, $C$9, 100%, $E$9)</f>
        <v>6.2224000000000004</v>
      </c>
      <c r="N294" s="33">
        <f>6.2171 * CHOOSE(CONTROL!$C$32, $C$9, 100%, $E$9)</f>
        <v>6.2171000000000003</v>
      </c>
      <c r="O294" s="33">
        <f>6.2224 * CHOOSE(CONTROL!$C$32, $C$9, 100%, $E$9)</f>
        <v>6.2224000000000004</v>
      </c>
    </row>
    <row r="295" spans="1:15" ht="15" x14ac:dyDescent="0.2">
      <c r="A295" s="16">
        <v>49827</v>
      </c>
      <c r="B295" s="32">
        <f>4.82 * CHOOSE(CONTROL!$C$32, $C$9, 100%, $E$9)</f>
        <v>4.82</v>
      </c>
      <c r="C295" s="32">
        <f>4.82 * CHOOSE(CONTROL!$C$32, $C$9, 100%, $E$9)</f>
        <v>4.82</v>
      </c>
      <c r="D295" s="32">
        <f>4.8216 * CHOOSE(CONTROL!$C$32, $C$9, 100%, $E$9)</f>
        <v>4.8216000000000001</v>
      </c>
      <c r="E295" s="33">
        <f>6.5901 * CHOOSE(CONTROL!$C$32, $C$9, 100%, $E$9)</f>
        <v>6.5900999999999996</v>
      </c>
      <c r="F295" s="33">
        <f>6.5901 * CHOOSE(CONTROL!$C$32, $C$9, 100%, $E$9)</f>
        <v>6.5900999999999996</v>
      </c>
      <c r="G295" s="33">
        <f>6.5954 * CHOOSE(CONTROL!$C$32, $C$9, 100%, $E$9)</f>
        <v>6.5953999999999997</v>
      </c>
      <c r="H295" s="33">
        <f>10.1821 * CHOOSE(CONTROL!$C$32, $C$9, 100%, $E$9)</f>
        <v>10.1821</v>
      </c>
      <c r="I295" s="33">
        <f>10.1874 * CHOOSE(CONTROL!$C$32, $C$9, 100%, $E$9)</f>
        <v>10.1874</v>
      </c>
      <c r="J295" s="33">
        <f>10.1821 * CHOOSE(CONTROL!$C$32, $C$9, 100%, $E$9)</f>
        <v>10.1821</v>
      </c>
      <c r="K295" s="33">
        <f>10.1874 * CHOOSE(CONTROL!$C$32, $C$9, 100%, $E$9)</f>
        <v>10.1874</v>
      </c>
      <c r="L295" s="33">
        <f>6.5901 * CHOOSE(CONTROL!$C$32, $C$9, 100%, $E$9)</f>
        <v>6.5900999999999996</v>
      </c>
      <c r="M295" s="33">
        <f>6.5954 * CHOOSE(CONTROL!$C$32, $C$9, 100%, $E$9)</f>
        <v>6.5953999999999997</v>
      </c>
      <c r="N295" s="33">
        <f>6.5901 * CHOOSE(CONTROL!$C$32, $C$9, 100%, $E$9)</f>
        <v>6.5900999999999996</v>
      </c>
      <c r="O295" s="33">
        <f>6.5954 * CHOOSE(CONTROL!$C$32, $C$9, 100%, $E$9)</f>
        <v>6.5953999999999997</v>
      </c>
    </row>
    <row r="296" spans="1:15" ht="15" x14ac:dyDescent="0.2">
      <c r="A296" s="16">
        <v>49857</v>
      </c>
      <c r="B296" s="32">
        <f>4.8896 * CHOOSE(CONTROL!$C$32, $C$9, 100%, $E$9)</f>
        <v>4.8895999999999997</v>
      </c>
      <c r="C296" s="32">
        <f>4.8896 * CHOOSE(CONTROL!$C$32, $C$9, 100%, $E$9)</f>
        <v>4.8895999999999997</v>
      </c>
      <c r="D296" s="32">
        <f>4.8911 * CHOOSE(CONTROL!$C$32, $C$9, 100%, $E$9)</f>
        <v>4.8910999999999998</v>
      </c>
      <c r="E296" s="33">
        <f>6.5201 * CHOOSE(CONTROL!$C$32, $C$9, 100%, $E$9)</f>
        <v>6.5201000000000002</v>
      </c>
      <c r="F296" s="33">
        <f>6.5201 * CHOOSE(CONTROL!$C$32, $C$9, 100%, $E$9)</f>
        <v>6.5201000000000002</v>
      </c>
      <c r="G296" s="33">
        <f>6.5254 * CHOOSE(CONTROL!$C$32, $C$9, 100%, $E$9)</f>
        <v>6.5254000000000003</v>
      </c>
      <c r="H296" s="33">
        <f>10.2033 * CHOOSE(CONTROL!$C$32, $C$9, 100%, $E$9)</f>
        <v>10.2033</v>
      </c>
      <c r="I296" s="33">
        <f>10.2086 * CHOOSE(CONTROL!$C$32, $C$9, 100%, $E$9)</f>
        <v>10.208600000000001</v>
      </c>
      <c r="J296" s="33">
        <f>10.2033 * CHOOSE(CONTROL!$C$32, $C$9, 100%, $E$9)</f>
        <v>10.2033</v>
      </c>
      <c r="K296" s="33">
        <f>10.2086 * CHOOSE(CONTROL!$C$32, $C$9, 100%, $E$9)</f>
        <v>10.208600000000001</v>
      </c>
      <c r="L296" s="33">
        <f>6.5201 * CHOOSE(CONTROL!$C$32, $C$9, 100%, $E$9)</f>
        <v>6.5201000000000002</v>
      </c>
      <c r="M296" s="33">
        <f>6.5254 * CHOOSE(CONTROL!$C$32, $C$9, 100%, $E$9)</f>
        <v>6.5254000000000003</v>
      </c>
      <c r="N296" s="33">
        <f>6.5201 * CHOOSE(CONTROL!$C$32, $C$9, 100%, $E$9)</f>
        <v>6.5201000000000002</v>
      </c>
      <c r="O296" s="33">
        <f>6.5254 * CHOOSE(CONTROL!$C$32, $C$9, 100%, $E$9)</f>
        <v>6.5254000000000003</v>
      </c>
    </row>
    <row r="297" spans="1:15" ht="15" x14ac:dyDescent="0.2">
      <c r="A297" s="16">
        <v>49888</v>
      </c>
      <c r="B297" s="32">
        <f>4.8962 * CHOOSE(CONTROL!$C$32, $C$9, 100%, $E$9)</f>
        <v>4.8962000000000003</v>
      </c>
      <c r="C297" s="32">
        <f>4.8962 * CHOOSE(CONTROL!$C$32, $C$9, 100%, $E$9)</f>
        <v>4.8962000000000003</v>
      </c>
      <c r="D297" s="32">
        <f>4.8978 * CHOOSE(CONTROL!$C$32, $C$9, 100%, $E$9)</f>
        <v>4.8978000000000002</v>
      </c>
      <c r="E297" s="33">
        <f>6.4284 * CHOOSE(CONTROL!$C$32, $C$9, 100%, $E$9)</f>
        <v>6.4283999999999999</v>
      </c>
      <c r="F297" s="33">
        <f>6.4284 * CHOOSE(CONTROL!$C$32, $C$9, 100%, $E$9)</f>
        <v>6.4283999999999999</v>
      </c>
      <c r="G297" s="33">
        <f>6.4336 * CHOOSE(CONTROL!$C$32, $C$9, 100%, $E$9)</f>
        <v>6.4336000000000002</v>
      </c>
      <c r="H297" s="33">
        <f>10.2246 * CHOOSE(CONTROL!$C$32, $C$9, 100%, $E$9)</f>
        <v>10.224600000000001</v>
      </c>
      <c r="I297" s="33">
        <f>10.2299 * CHOOSE(CONTROL!$C$32, $C$9, 100%, $E$9)</f>
        <v>10.229900000000001</v>
      </c>
      <c r="J297" s="33">
        <f>10.2246 * CHOOSE(CONTROL!$C$32, $C$9, 100%, $E$9)</f>
        <v>10.224600000000001</v>
      </c>
      <c r="K297" s="33">
        <f>10.2299 * CHOOSE(CONTROL!$C$32, $C$9, 100%, $E$9)</f>
        <v>10.229900000000001</v>
      </c>
      <c r="L297" s="33">
        <f>6.4284 * CHOOSE(CONTROL!$C$32, $C$9, 100%, $E$9)</f>
        <v>6.4283999999999999</v>
      </c>
      <c r="M297" s="33">
        <f>6.4336 * CHOOSE(CONTROL!$C$32, $C$9, 100%, $E$9)</f>
        <v>6.4336000000000002</v>
      </c>
      <c r="N297" s="33">
        <f>6.4284 * CHOOSE(CONTROL!$C$32, $C$9, 100%, $E$9)</f>
        <v>6.4283999999999999</v>
      </c>
      <c r="O297" s="33">
        <f>6.4336 * CHOOSE(CONTROL!$C$32, $C$9, 100%, $E$9)</f>
        <v>6.4336000000000002</v>
      </c>
    </row>
    <row r="298" spans="1:15" ht="15" x14ac:dyDescent="0.2">
      <c r="A298" s="16">
        <v>49919</v>
      </c>
      <c r="B298" s="32">
        <f>4.8932 * CHOOSE(CONTROL!$C$32, $C$9, 100%, $E$9)</f>
        <v>4.8932000000000002</v>
      </c>
      <c r="C298" s="32">
        <f>4.8932 * CHOOSE(CONTROL!$C$32, $C$9, 100%, $E$9)</f>
        <v>4.8932000000000002</v>
      </c>
      <c r="D298" s="32">
        <f>4.8948 * CHOOSE(CONTROL!$C$32, $C$9, 100%, $E$9)</f>
        <v>4.8948</v>
      </c>
      <c r="E298" s="33">
        <f>6.4155 * CHOOSE(CONTROL!$C$32, $C$9, 100%, $E$9)</f>
        <v>6.4154999999999998</v>
      </c>
      <c r="F298" s="33">
        <f>6.4155 * CHOOSE(CONTROL!$C$32, $C$9, 100%, $E$9)</f>
        <v>6.4154999999999998</v>
      </c>
      <c r="G298" s="33">
        <f>6.4208 * CHOOSE(CONTROL!$C$32, $C$9, 100%, $E$9)</f>
        <v>6.4207999999999998</v>
      </c>
      <c r="H298" s="33">
        <f>10.2459 * CHOOSE(CONTROL!$C$32, $C$9, 100%, $E$9)</f>
        <v>10.245900000000001</v>
      </c>
      <c r="I298" s="33">
        <f>10.2512 * CHOOSE(CONTROL!$C$32, $C$9, 100%, $E$9)</f>
        <v>10.251200000000001</v>
      </c>
      <c r="J298" s="33">
        <f>10.2459 * CHOOSE(CONTROL!$C$32, $C$9, 100%, $E$9)</f>
        <v>10.245900000000001</v>
      </c>
      <c r="K298" s="33">
        <f>10.2512 * CHOOSE(CONTROL!$C$32, $C$9, 100%, $E$9)</f>
        <v>10.251200000000001</v>
      </c>
      <c r="L298" s="33">
        <f>6.4155 * CHOOSE(CONTROL!$C$32, $C$9, 100%, $E$9)</f>
        <v>6.4154999999999998</v>
      </c>
      <c r="M298" s="33">
        <f>6.4208 * CHOOSE(CONTROL!$C$32, $C$9, 100%, $E$9)</f>
        <v>6.4207999999999998</v>
      </c>
      <c r="N298" s="33">
        <f>6.4155 * CHOOSE(CONTROL!$C$32, $C$9, 100%, $E$9)</f>
        <v>6.4154999999999998</v>
      </c>
      <c r="O298" s="33">
        <f>6.4208 * CHOOSE(CONTROL!$C$32, $C$9, 100%, $E$9)</f>
        <v>6.4207999999999998</v>
      </c>
    </row>
    <row r="299" spans="1:15" ht="15" x14ac:dyDescent="0.2">
      <c r="A299" s="16">
        <v>49949</v>
      </c>
      <c r="B299" s="32">
        <f>4.8916 * CHOOSE(CONTROL!$C$32, $C$9, 100%, $E$9)</f>
        <v>4.8916000000000004</v>
      </c>
      <c r="C299" s="32">
        <f>4.8916 * CHOOSE(CONTROL!$C$32, $C$9, 100%, $E$9)</f>
        <v>4.8916000000000004</v>
      </c>
      <c r="D299" s="32">
        <f>4.8927 * CHOOSE(CONTROL!$C$32, $C$9, 100%, $E$9)</f>
        <v>4.8926999999999996</v>
      </c>
      <c r="E299" s="33">
        <f>6.4449 * CHOOSE(CONTROL!$C$32, $C$9, 100%, $E$9)</f>
        <v>6.4448999999999996</v>
      </c>
      <c r="F299" s="33">
        <f>6.4449 * CHOOSE(CONTROL!$C$32, $C$9, 100%, $E$9)</f>
        <v>6.4448999999999996</v>
      </c>
      <c r="G299" s="33">
        <f>6.4486 * CHOOSE(CONTROL!$C$32, $C$9, 100%, $E$9)</f>
        <v>6.4485999999999999</v>
      </c>
      <c r="H299" s="33">
        <f>10.2672 * CHOOSE(CONTROL!$C$32, $C$9, 100%, $E$9)</f>
        <v>10.267200000000001</v>
      </c>
      <c r="I299" s="33">
        <f>10.2709 * CHOOSE(CONTROL!$C$32, $C$9, 100%, $E$9)</f>
        <v>10.270899999999999</v>
      </c>
      <c r="J299" s="33">
        <f>10.2672 * CHOOSE(CONTROL!$C$32, $C$9, 100%, $E$9)</f>
        <v>10.267200000000001</v>
      </c>
      <c r="K299" s="33">
        <f>10.2709 * CHOOSE(CONTROL!$C$32, $C$9, 100%, $E$9)</f>
        <v>10.270899999999999</v>
      </c>
      <c r="L299" s="33">
        <f>6.4449 * CHOOSE(CONTROL!$C$32, $C$9, 100%, $E$9)</f>
        <v>6.4448999999999996</v>
      </c>
      <c r="M299" s="33">
        <f>6.4486 * CHOOSE(CONTROL!$C$32, $C$9, 100%, $E$9)</f>
        <v>6.4485999999999999</v>
      </c>
      <c r="N299" s="33">
        <f>6.4449 * CHOOSE(CONTROL!$C$32, $C$9, 100%, $E$9)</f>
        <v>6.4448999999999996</v>
      </c>
      <c r="O299" s="33">
        <f>6.4486 * CHOOSE(CONTROL!$C$32, $C$9, 100%, $E$9)</f>
        <v>6.4485999999999999</v>
      </c>
    </row>
    <row r="300" spans="1:15" ht="15" x14ac:dyDescent="0.2">
      <c r="A300" s="16">
        <v>49980</v>
      </c>
      <c r="B300" s="32">
        <f>4.8946 * CHOOSE(CONTROL!$C$32, $C$9, 100%, $E$9)</f>
        <v>4.8945999999999996</v>
      </c>
      <c r="C300" s="32">
        <f>4.8946 * CHOOSE(CONTROL!$C$32, $C$9, 100%, $E$9)</f>
        <v>4.8945999999999996</v>
      </c>
      <c r="D300" s="32">
        <f>4.8957 * CHOOSE(CONTROL!$C$32, $C$9, 100%, $E$9)</f>
        <v>4.8956999999999997</v>
      </c>
      <c r="E300" s="33">
        <f>6.4685 * CHOOSE(CONTROL!$C$32, $C$9, 100%, $E$9)</f>
        <v>6.4684999999999997</v>
      </c>
      <c r="F300" s="33">
        <f>6.4685 * CHOOSE(CONTROL!$C$32, $C$9, 100%, $E$9)</f>
        <v>6.4684999999999997</v>
      </c>
      <c r="G300" s="33">
        <f>6.4721 * CHOOSE(CONTROL!$C$32, $C$9, 100%, $E$9)</f>
        <v>6.4721000000000002</v>
      </c>
      <c r="H300" s="33">
        <f>10.2886 * CHOOSE(CONTROL!$C$32, $C$9, 100%, $E$9)</f>
        <v>10.288600000000001</v>
      </c>
      <c r="I300" s="33">
        <f>10.2923 * CHOOSE(CONTROL!$C$32, $C$9, 100%, $E$9)</f>
        <v>10.292299999999999</v>
      </c>
      <c r="J300" s="33">
        <f>10.2886 * CHOOSE(CONTROL!$C$32, $C$9, 100%, $E$9)</f>
        <v>10.288600000000001</v>
      </c>
      <c r="K300" s="33">
        <f>10.2923 * CHOOSE(CONTROL!$C$32, $C$9, 100%, $E$9)</f>
        <v>10.292299999999999</v>
      </c>
      <c r="L300" s="33">
        <f>6.4685 * CHOOSE(CONTROL!$C$32, $C$9, 100%, $E$9)</f>
        <v>6.4684999999999997</v>
      </c>
      <c r="M300" s="33">
        <f>6.4721 * CHOOSE(CONTROL!$C$32, $C$9, 100%, $E$9)</f>
        <v>6.4721000000000002</v>
      </c>
      <c r="N300" s="33">
        <f>6.4685 * CHOOSE(CONTROL!$C$32, $C$9, 100%, $E$9)</f>
        <v>6.4684999999999997</v>
      </c>
      <c r="O300" s="33">
        <f>6.4721 * CHOOSE(CONTROL!$C$32, $C$9, 100%, $E$9)</f>
        <v>6.4721000000000002</v>
      </c>
    </row>
    <row r="301" spans="1:15" ht="15" x14ac:dyDescent="0.2">
      <c r="A301" s="16">
        <v>50010</v>
      </c>
      <c r="B301" s="32">
        <f>4.8946 * CHOOSE(CONTROL!$C$32, $C$9, 100%, $E$9)</f>
        <v>4.8945999999999996</v>
      </c>
      <c r="C301" s="32">
        <f>4.8946 * CHOOSE(CONTROL!$C$32, $C$9, 100%, $E$9)</f>
        <v>4.8945999999999996</v>
      </c>
      <c r="D301" s="32">
        <f>4.8957 * CHOOSE(CONTROL!$C$32, $C$9, 100%, $E$9)</f>
        <v>4.8956999999999997</v>
      </c>
      <c r="E301" s="33">
        <f>6.4149 * CHOOSE(CONTROL!$C$32, $C$9, 100%, $E$9)</f>
        <v>6.4149000000000003</v>
      </c>
      <c r="F301" s="33">
        <f>6.4149 * CHOOSE(CONTROL!$C$32, $C$9, 100%, $E$9)</f>
        <v>6.4149000000000003</v>
      </c>
      <c r="G301" s="33">
        <f>6.4185 * CHOOSE(CONTROL!$C$32, $C$9, 100%, $E$9)</f>
        <v>6.4184999999999999</v>
      </c>
      <c r="H301" s="33">
        <f>10.3101 * CHOOSE(CONTROL!$C$32, $C$9, 100%, $E$9)</f>
        <v>10.3101</v>
      </c>
      <c r="I301" s="33">
        <f>10.3137 * CHOOSE(CONTROL!$C$32, $C$9, 100%, $E$9)</f>
        <v>10.313700000000001</v>
      </c>
      <c r="J301" s="33">
        <f>10.3101 * CHOOSE(CONTROL!$C$32, $C$9, 100%, $E$9)</f>
        <v>10.3101</v>
      </c>
      <c r="K301" s="33">
        <f>10.3137 * CHOOSE(CONTROL!$C$32, $C$9, 100%, $E$9)</f>
        <v>10.313700000000001</v>
      </c>
      <c r="L301" s="33">
        <f>6.4149 * CHOOSE(CONTROL!$C$32, $C$9, 100%, $E$9)</f>
        <v>6.4149000000000003</v>
      </c>
      <c r="M301" s="33">
        <f>6.4185 * CHOOSE(CONTROL!$C$32, $C$9, 100%, $E$9)</f>
        <v>6.4184999999999999</v>
      </c>
      <c r="N301" s="33">
        <f>6.4149 * CHOOSE(CONTROL!$C$32, $C$9, 100%, $E$9)</f>
        <v>6.4149000000000003</v>
      </c>
      <c r="O301" s="33">
        <f>6.4185 * CHOOSE(CONTROL!$C$32, $C$9, 100%, $E$9)</f>
        <v>6.4184999999999999</v>
      </c>
    </row>
    <row r="302" spans="1:15" ht="15" x14ac:dyDescent="0.2">
      <c r="A302" s="16">
        <v>50041</v>
      </c>
      <c r="B302" s="32">
        <f>4.9322 * CHOOSE(CONTROL!$C$32, $C$9, 100%, $E$9)</f>
        <v>4.9321999999999999</v>
      </c>
      <c r="C302" s="32">
        <f>4.9322 * CHOOSE(CONTROL!$C$32, $C$9, 100%, $E$9)</f>
        <v>4.9321999999999999</v>
      </c>
      <c r="D302" s="32">
        <f>4.9333 * CHOOSE(CONTROL!$C$32, $C$9, 100%, $E$9)</f>
        <v>4.9333</v>
      </c>
      <c r="E302" s="33">
        <f>6.4909 * CHOOSE(CONTROL!$C$32, $C$9, 100%, $E$9)</f>
        <v>6.4908999999999999</v>
      </c>
      <c r="F302" s="33">
        <f>6.4909 * CHOOSE(CONTROL!$C$32, $C$9, 100%, $E$9)</f>
        <v>6.4908999999999999</v>
      </c>
      <c r="G302" s="33">
        <f>6.4945 * CHOOSE(CONTROL!$C$32, $C$9, 100%, $E$9)</f>
        <v>6.4945000000000004</v>
      </c>
      <c r="H302" s="33">
        <f>10.3316 * CHOOSE(CONTROL!$C$32, $C$9, 100%, $E$9)</f>
        <v>10.3316</v>
      </c>
      <c r="I302" s="33">
        <f>10.3352 * CHOOSE(CONTROL!$C$32, $C$9, 100%, $E$9)</f>
        <v>10.3352</v>
      </c>
      <c r="J302" s="33">
        <f>10.3316 * CHOOSE(CONTROL!$C$32, $C$9, 100%, $E$9)</f>
        <v>10.3316</v>
      </c>
      <c r="K302" s="33">
        <f>10.3352 * CHOOSE(CONTROL!$C$32, $C$9, 100%, $E$9)</f>
        <v>10.3352</v>
      </c>
      <c r="L302" s="33">
        <f>6.4909 * CHOOSE(CONTROL!$C$32, $C$9, 100%, $E$9)</f>
        <v>6.4908999999999999</v>
      </c>
      <c r="M302" s="33">
        <f>6.4945 * CHOOSE(CONTROL!$C$32, $C$9, 100%, $E$9)</f>
        <v>6.4945000000000004</v>
      </c>
      <c r="N302" s="33">
        <f>6.4909 * CHOOSE(CONTROL!$C$32, $C$9, 100%, $E$9)</f>
        <v>6.4908999999999999</v>
      </c>
      <c r="O302" s="33">
        <f>6.4945 * CHOOSE(CONTROL!$C$32, $C$9, 100%, $E$9)</f>
        <v>6.4945000000000004</v>
      </c>
    </row>
    <row r="303" spans="1:15" ht="15" x14ac:dyDescent="0.2">
      <c r="A303" s="16">
        <v>50072</v>
      </c>
      <c r="B303" s="32">
        <f>4.9291 * CHOOSE(CONTROL!$C$32, $C$9, 100%, $E$9)</f>
        <v>4.9291</v>
      </c>
      <c r="C303" s="32">
        <f>4.9291 * CHOOSE(CONTROL!$C$32, $C$9, 100%, $E$9)</f>
        <v>4.9291</v>
      </c>
      <c r="D303" s="32">
        <f>4.9302 * CHOOSE(CONTROL!$C$32, $C$9, 100%, $E$9)</f>
        <v>4.9302000000000001</v>
      </c>
      <c r="E303" s="33">
        <f>6.3843 * CHOOSE(CONTROL!$C$32, $C$9, 100%, $E$9)</f>
        <v>6.3842999999999996</v>
      </c>
      <c r="F303" s="33">
        <f>6.3843 * CHOOSE(CONTROL!$C$32, $C$9, 100%, $E$9)</f>
        <v>6.3842999999999996</v>
      </c>
      <c r="G303" s="33">
        <f>6.3879 * CHOOSE(CONTROL!$C$32, $C$9, 100%, $E$9)</f>
        <v>6.3879000000000001</v>
      </c>
      <c r="H303" s="33">
        <f>10.3531 * CHOOSE(CONTROL!$C$32, $C$9, 100%, $E$9)</f>
        <v>10.3531</v>
      </c>
      <c r="I303" s="33">
        <f>10.3567 * CHOOSE(CONTROL!$C$32, $C$9, 100%, $E$9)</f>
        <v>10.3567</v>
      </c>
      <c r="J303" s="33">
        <f>10.3531 * CHOOSE(CONTROL!$C$32, $C$9, 100%, $E$9)</f>
        <v>10.3531</v>
      </c>
      <c r="K303" s="33">
        <f>10.3567 * CHOOSE(CONTROL!$C$32, $C$9, 100%, $E$9)</f>
        <v>10.3567</v>
      </c>
      <c r="L303" s="33">
        <f>6.3843 * CHOOSE(CONTROL!$C$32, $C$9, 100%, $E$9)</f>
        <v>6.3842999999999996</v>
      </c>
      <c r="M303" s="33">
        <f>6.3879 * CHOOSE(CONTROL!$C$32, $C$9, 100%, $E$9)</f>
        <v>6.3879000000000001</v>
      </c>
      <c r="N303" s="33">
        <f>6.3843 * CHOOSE(CONTROL!$C$32, $C$9, 100%, $E$9)</f>
        <v>6.3842999999999996</v>
      </c>
      <c r="O303" s="33">
        <f>6.3879 * CHOOSE(CONTROL!$C$32, $C$9, 100%, $E$9)</f>
        <v>6.3879000000000001</v>
      </c>
    </row>
    <row r="304" spans="1:15" ht="15" x14ac:dyDescent="0.2">
      <c r="A304" s="16">
        <v>50100</v>
      </c>
      <c r="B304" s="32">
        <f>4.9261 * CHOOSE(CONTROL!$C$32, $C$9, 100%, $E$9)</f>
        <v>4.9260999999999999</v>
      </c>
      <c r="C304" s="32">
        <f>4.9261 * CHOOSE(CONTROL!$C$32, $C$9, 100%, $E$9)</f>
        <v>4.9260999999999999</v>
      </c>
      <c r="D304" s="32">
        <f>4.9272 * CHOOSE(CONTROL!$C$32, $C$9, 100%, $E$9)</f>
        <v>4.9272</v>
      </c>
      <c r="E304" s="33">
        <f>6.4645 * CHOOSE(CONTROL!$C$32, $C$9, 100%, $E$9)</f>
        <v>6.4645000000000001</v>
      </c>
      <c r="F304" s="33">
        <f>6.4645 * CHOOSE(CONTROL!$C$32, $C$9, 100%, $E$9)</f>
        <v>6.4645000000000001</v>
      </c>
      <c r="G304" s="33">
        <f>6.4681 * CHOOSE(CONTROL!$C$32, $C$9, 100%, $E$9)</f>
        <v>6.4680999999999997</v>
      </c>
      <c r="H304" s="33">
        <f>10.3746 * CHOOSE(CONTROL!$C$32, $C$9, 100%, $E$9)</f>
        <v>10.374599999999999</v>
      </c>
      <c r="I304" s="33">
        <f>10.3783 * CHOOSE(CONTROL!$C$32, $C$9, 100%, $E$9)</f>
        <v>10.378299999999999</v>
      </c>
      <c r="J304" s="33">
        <f>10.3746 * CHOOSE(CONTROL!$C$32, $C$9, 100%, $E$9)</f>
        <v>10.374599999999999</v>
      </c>
      <c r="K304" s="33">
        <f>10.3783 * CHOOSE(CONTROL!$C$32, $C$9, 100%, $E$9)</f>
        <v>10.378299999999999</v>
      </c>
      <c r="L304" s="33">
        <f>6.4645 * CHOOSE(CONTROL!$C$32, $C$9, 100%, $E$9)</f>
        <v>6.4645000000000001</v>
      </c>
      <c r="M304" s="33">
        <f>6.4681 * CHOOSE(CONTROL!$C$32, $C$9, 100%, $E$9)</f>
        <v>6.4680999999999997</v>
      </c>
      <c r="N304" s="33">
        <f>6.4645 * CHOOSE(CONTROL!$C$32, $C$9, 100%, $E$9)</f>
        <v>6.4645000000000001</v>
      </c>
      <c r="O304" s="33">
        <f>6.4681 * CHOOSE(CONTROL!$C$32, $C$9, 100%, $E$9)</f>
        <v>6.4680999999999997</v>
      </c>
    </row>
    <row r="305" spans="1:15" ht="15" x14ac:dyDescent="0.2">
      <c r="A305" s="16">
        <v>50131</v>
      </c>
      <c r="B305" s="32">
        <f>4.9246 * CHOOSE(CONTROL!$C$32, $C$9, 100%, $E$9)</f>
        <v>4.9245999999999999</v>
      </c>
      <c r="C305" s="32">
        <f>4.9246 * CHOOSE(CONTROL!$C$32, $C$9, 100%, $E$9)</f>
        <v>4.9245999999999999</v>
      </c>
      <c r="D305" s="32">
        <f>4.9257 * CHOOSE(CONTROL!$C$32, $C$9, 100%, $E$9)</f>
        <v>4.9257</v>
      </c>
      <c r="E305" s="33">
        <f>6.5488 * CHOOSE(CONTROL!$C$32, $C$9, 100%, $E$9)</f>
        <v>6.5488</v>
      </c>
      <c r="F305" s="33">
        <f>6.5488 * CHOOSE(CONTROL!$C$32, $C$9, 100%, $E$9)</f>
        <v>6.5488</v>
      </c>
      <c r="G305" s="33">
        <f>6.5524 * CHOOSE(CONTROL!$C$32, $C$9, 100%, $E$9)</f>
        <v>6.5523999999999996</v>
      </c>
      <c r="H305" s="33">
        <f>10.3963 * CHOOSE(CONTROL!$C$32, $C$9, 100%, $E$9)</f>
        <v>10.3963</v>
      </c>
      <c r="I305" s="33">
        <f>10.3999 * CHOOSE(CONTROL!$C$32, $C$9, 100%, $E$9)</f>
        <v>10.399900000000001</v>
      </c>
      <c r="J305" s="33">
        <f>10.3963 * CHOOSE(CONTROL!$C$32, $C$9, 100%, $E$9)</f>
        <v>10.3963</v>
      </c>
      <c r="K305" s="33">
        <f>10.3999 * CHOOSE(CONTROL!$C$32, $C$9, 100%, $E$9)</f>
        <v>10.399900000000001</v>
      </c>
      <c r="L305" s="33">
        <f>6.5488 * CHOOSE(CONTROL!$C$32, $C$9, 100%, $E$9)</f>
        <v>6.5488</v>
      </c>
      <c r="M305" s="33">
        <f>6.5524 * CHOOSE(CONTROL!$C$32, $C$9, 100%, $E$9)</f>
        <v>6.5523999999999996</v>
      </c>
      <c r="N305" s="33">
        <f>6.5488 * CHOOSE(CONTROL!$C$32, $C$9, 100%, $E$9)</f>
        <v>6.5488</v>
      </c>
      <c r="O305" s="33">
        <f>6.5524 * CHOOSE(CONTROL!$C$32, $C$9, 100%, $E$9)</f>
        <v>6.5523999999999996</v>
      </c>
    </row>
    <row r="306" spans="1:15" ht="15" x14ac:dyDescent="0.2">
      <c r="A306" s="16">
        <v>50161</v>
      </c>
      <c r="B306" s="32">
        <f>4.9246 * CHOOSE(CONTROL!$C$32, $C$9, 100%, $E$9)</f>
        <v>4.9245999999999999</v>
      </c>
      <c r="C306" s="32">
        <f>4.9246 * CHOOSE(CONTROL!$C$32, $C$9, 100%, $E$9)</f>
        <v>4.9245999999999999</v>
      </c>
      <c r="D306" s="32">
        <f>4.9262 * CHOOSE(CONTROL!$C$32, $C$9, 100%, $E$9)</f>
        <v>4.9261999999999997</v>
      </c>
      <c r="E306" s="33">
        <f>6.5819 * CHOOSE(CONTROL!$C$32, $C$9, 100%, $E$9)</f>
        <v>6.5819000000000001</v>
      </c>
      <c r="F306" s="33">
        <f>6.5819 * CHOOSE(CONTROL!$C$32, $C$9, 100%, $E$9)</f>
        <v>6.5819000000000001</v>
      </c>
      <c r="G306" s="33">
        <f>6.5872 * CHOOSE(CONTROL!$C$32, $C$9, 100%, $E$9)</f>
        <v>6.5872000000000002</v>
      </c>
      <c r="H306" s="33">
        <f>10.4179 * CHOOSE(CONTROL!$C$32, $C$9, 100%, $E$9)</f>
        <v>10.417899999999999</v>
      </c>
      <c r="I306" s="33">
        <f>10.4232 * CHOOSE(CONTROL!$C$32, $C$9, 100%, $E$9)</f>
        <v>10.4232</v>
      </c>
      <c r="J306" s="33">
        <f>10.4179 * CHOOSE(CONTROL!$C$32, $C$9, 100%, $E$9)</f>
        <v>10.417899999999999</v>
      </c>
      <c r="K306" s="33">
        <f>10.4232 * CHOOSE(CONTROL!$C$32, $C$9, 100%, $E$9)</f>
        <v>10.4232</v>
      </c>
      <c r="L306" s="33">
        <f>6.5819 * CHOOSE(CONTROL!$C$32, $C$9, 100%, $E$9)</f>
        <v>6.5819000000000001</v>
      </c>
      <c r="M306" s="33">
        <f>6.5872 * CHOOSE(CONTROL!$C$32, $C$9, 100%, $E$9)</f>
        <v>6.5872000000000002</v>
      </c>
      <c r="N306" s="33">
        <f>6.5819 * CHOOSE(CONTROL!$C$32, $C$9, 100%, $E$9)</f>
        <v>6.5819000000000001</v>
      </c>
      <c r="O306" s="33">
        <f>6.5872 * CHOOSE(CONTROL!$C$32, $C$9, 100%, $E$9)</f>
        <v>6.5872000000000002</v>
      </c>
    </row>
    <row r="307" spans="1:15" ht="15" x14ac:dyDescent="0.2">
      <c r="A307" s="16">
        <v>50192</v>
      </c>
      <c r="B307" s="32">
        <f>4.9307 * CHOOSE(CONTROL!$C$32, $C$9, 100%, $E$9)</f>
        <v>4.9306999999999999</v>
      </c>
      <c r="C307" s="32">
        <f>4.9307 * CHOOSE(CONTROL!$C$32, $C$9, 100%, $E$9)</f>
        <v>4.9306999999999999</v>
      </c>
      <c r="D307" s="32">
        <f>4.9323 * CHOOSE(CONTROL!$C$32, $C$9, 100%, $E$9)</f>
        <v>4.9322999999999997</v>
      </c>
      <c r="E307" s="33">
        <f>6.553 * CHOOSE(CONTROL!$C$32, $C$9, 100%, $E$9)</f>
        <v>6.5529999999999999</v>
      </c>
      <c r="F307" s="33">
        <f>6.553 * CHOOSE(CONTROL!$C$32, $C$9, 100%, $E$9)</f>
        <v>6.5529999999999999</v>
      </c>
      <c r="G307" s="33">
        <f>6.5583 * CHOOSE(CONTROL!$C$32, $C$9, 100%, $E$9)</f>
        <v>6.5583</v>
      </c>
      <c r="H307" s="33">
        <f>10.4396 * CHOOSE(CONTROL!$C$32, $C$9, 100%, $E$9)</f>
        <v>10.4396</v>
      </c>
      <c r="I307" s="33">
        <f>10.4449 * CHOOSE(CONTROL!$C$32, $C$9, 100%, $E$9)</f>
        <v>10.444900000000001</v>
      </c>
      <c r="J307" s="33">
        <f>10.4396 * CHOOSE(CONTROL!$C$32, $C$9, 100%, $E$9)</f>
        <v>10.4396</v>
      </c>
      <c r="K307" s="33">
        <f>10.4449 * CHOOSE(CONTROL!$C$32, $C$9, 100%, $E$9)</f>
        <v>10.444900000000001</v>
      </c>
      <c r="L307" s="33">
        <f>6.553 * CHOOSE(CONTROL!$C$32, $C$9, 100%, $E$9)</f>
        <v>6.5529999999999999</v>
      </c>
      <c r="M307" s="33">
        <f>6.5583 * CHOOSE(CONTROL!$C$32, $C$9, 100%, $E$9)</f>
        <v>6.5583</v>
      </c>
      <c r="N307" s="33">
        <f>6.553 * CHOOSE(CONTROL!$C$32, $C$9, 100%, $E$9)</f>
        <v>6.5529999999999999</v>
      </c>
      <c r="O307" s="33">
        <f>6.5583 * CHOOSE(CONTROL!$C$32, $C$9, 100%, $E$9)</f>
        <v>6.5583</v>
      </c>
    </row>
    <row r="308" spans="1:15" ht="15" x14ac:dyDescent="0.2">
      <c r="A308" s="16">
        <v>50222</v>
      </c>
      <c r="B308" s="32">
        <f>4.9977 * CHOOSE(CONTROL!$C$32, $C$9, 100%, $E$9)</f>
        <v>4.9977</v>
      </c>
      <c r="C308" s="32">
        <f>4.9977 * CHOOSE(CONTROL!$C$32, $C$9, 100%, $E$9)</f>
        <v>4.9977</v>
      </c>
      <c r="D308" s="32">
        <f>4.9993 * CHOOSE(CONTROL!$C$32, $C$9, 100%, $E$9)</f>
        <v>4.9992999999999999</v>
      </c>
      <c r="E308" s="33">
        <f>6.6146 * CHOOSE(CONTROL!$C$32, $C$9, 100%, $E$9)</f>
        <v>6.6146000000000003</v>
      </c>
      <c r="F308" s="33">
        <f>6.6146 * CHOOSE(CONTROL!$C$32, $C$9, 100%, $E$9)</f>
        <v>6.6146000000000003</v>
      </c>
      <c r="G308" s="33">
        <f>6.6199 * CHOOSE(CONTROL!$C$32, $C$9, 100%, $E$9)</f>
        <v>6.6199000000000003</v>
      </c>
      <c r="H308" s="33">
        <f>10.4614 * CHOOSE(CONTROL!$C$32, $C$9, 100%, $E$9)</f>
        <v>10.461399999999999</v>
      </c>
      <c r="I308" s="33">
        <f>10.4667 * CHOOSE(CONTROL!$C$32, $C$9, 100%, $E$9)</f>
        <v>10.466699999999999</v>
      </c>
      <c r="J308" s="33">
        <f>10.4614 * CHOOSE(CONTROL!$C$32, $C$9, 100%, $E$9)</f>
        <v>10.461399999999999</v>
      </c>
      <c r="K308" s="33">
        <f>10.4667 * CHOOSE(CONTROL!$C$32, $C$9, 100%, $E$9)</f>
        <v>10.466699999999999</v>
      </c>
      <c r="L308" s="33">
        <f>6.6146 * CHOOSE(CONTROL!$C$32, $C$9, 100%, $E$9)</f>
        <v>6.6146000000000003</v>
      </c>
      <c r="M308" s="33">
        <f>6.6199 * CHOOSE(CONTROL!$C$32, $C$9, 100%, $E$9)</f>
        <v>6.6199000000000003</v>
      </c>
      <c r="N308" s="33">
        <f>6.6146 * CHOOSE(CONTROL!$C$32, $C$9, 100%, $E$9)</f>
        <v>6.6146000000000003</v>
      </c>
      <c r="O308" s="33">
        <f>6.6199 * CHOOSE(CONTROL!$C$32, $C$9, 100%, $E$9)</f>
        <v>6.6199000000000003</v>
      </c>
    </row>
    <row r="309" spans="1:15" ht="15" x14ac:dyDescent="0.2">
      <c r="A309" s="16">
        <v>50253</v>
      </c>
      <c r="B309" s="32">
        <f>5.0044 * CHOOSE(CONTROL!$C$32, $C$9, 100%, $E$9)</f>
        <v>5.0044000000000004</v>
      </c>
      <c r="C309" s="32">
        <f>5.0044 * CHOOSE(CONTROL!$C$32, $C$9, 100%, $E$9)</f>
        <v>5.0044000000000004</v>
      </c>
      <c r="D309" s="32">
        <f>5.006 * CHOOSE(CONTROL!$C$32, $C$9, 100%, $E$9)</f>
        <v>5.0060000000000002</v>
      </c>
      <c r="E309" s="33">
        <f>6.5198 * CHOOSE(CONTROL!$C$32, $C$9, 100%, $E$9)</f>
        <v>6.5198</v>
      </c>
      <c r="F309" s="33">
        <f>6.5198 * CHOOSE(CONTROL!$C$32, $C$9, 100%, $E$9)</f>
        <v>6.5198</v>
      </c>
      <c r="G309" s="33">
        <f>6.525 * CHOOSE(CONTROL!$C$32, $C$9, 100%, $E$9)</f>
        <v>6.5250000000000004</v>
      </c>
      <c r="H309" s="33">
        <f>10.4832 * CHOOSE(CONTROL!$C$32, $C$9, 100%, $E$9)</f>
        <v>10.4832</v>
      </c>
      <c r="I309" s="33">
        <f>10.4885 * CHOOSE(CONTROL!$C$32, $C$9, 100%, $E$9)</f>
        <v>10.4885</v>
      </c>
      <c r="J309" s="33">
        <f>10.4832 * CHOOSE(CONTROL!$C$32, $C$9, 100%, $E$9)</f>
        <v>10.4832</v>
      </c>
      <c r="K309" s="33">
        <f>10.4885 * CHOOSE(CONTROL!$C$32, $C$9, 100%, $E$9)</f>
        <v>10.4885</v>
      </c>
      <c r="L309" s="33">
        <f>6.5198 * CHOOSE(CONTROL!$C$32, $C$9, 100%, $E$9)</f>
        <v>6.5198</v>
      </c>
      <c r="M309" s="33">
        <f>6.525 * CHOOSE(CONTROL!$C$32, $C$9, 100%, $E$9)</f>
        <v>6.5250000000000004</v>
      </c>
      <c r="N309" s="33">
        <f>6.5198 * CHOOSE(CONTROL!$C$32, $C$9, 100%, $E$9)</f>
        <v>6.5198</v>
      </c>
      <c r="O309" s="33">
        <f>6.525 * CHOOSE(CONTROL!$C$32, $C$9, 100%, $E$9)</f>
        <v>6.5250000000000004</v>
      </c>
    </row>
    <row r="310" spans="1:15" ht="15" x14ac:dyDescent="0.2">
      <c r="A310" s="16">
        <v>50284</v>
      </c>
      <c r="B310" s="32">
        <f>5.0014 * CHOOSE(CONTROL!$C$32, $C$9, 100%, $E$9)</f>
        <v>5.0014000000000003</v>
      </c>
      <c r="C310" s="32">
        <f>5.0014 * CHOOSE(CONTROL!$C$32, $C$9, 100%, $E$9)</f>
        <v>5.0014000000000003</v>
      </c>
      <c r="D310" s="32">
        <f>5.003 * CHOOSE(CONTROL!$C$32, $C$9, 100%, $E$9)</f>
        <v>5.0030000000000001</v>
      </c>
      <c r="E310" s="33">
        <f>6.5066 * CHOOSE(CONTROL!$C$32, $C$9, 100%, $E$9)</f>
        <v>6.5065999999999997</v>
      </c>
      <c r="F310" s="33">
        <f>6.5066 * CHOOSE(CONTROL!$C$32, $C$9, 100%, $E$9)</f>
        <v>6.5065999999999997</v>
      </c>
      <c r="G310" s="33">
        <f>6.5119 * CHOOSE(CONTROL!$C$32, $C$9, 100%, $E$9)</f>
        <v>6.5118999999999998</v>
      </c>
      <c r="H310" s="33">
        <f>10.505 * CHOOSE(CONTROL!$C$32, $C$9, 100%, $E$9)</f>
        <v>10.505000000000001</v>
      </c>
      <c r="I310" s="33">
        <f>10.5103 * CHOOSE(CONTROL!$C$32, $C$9, 100%, $E$9)</f>
        <v>10.510300000000001</v>
      </c>
      <c r="J310" s="33">
        <f>10.505 * CHOOSE(CONTROL!$C$32, $C$9, 100%, $E$9)</f>
        <v>10.505000000000001</v>
      </c>
      <c r="K310" s="33">
        <f>10.5103 * CHOOSE(CONTROL!$C$32, $C$9, 100%, $E$9)</f>
        <v>10.510300000000001</v>
      </c>
      <c r="L310" s="33">
        <f>6.5066 * CHOOSE(CONTROL!$C$32, $C$9, 100%, $E$9)</f>
        <v>6.5065999999999997</v>
      </c>
      <c r="M310" s="33">
        <f>6.5119 * CHOOSE(CONTROL!$C$32, $C$9, 100%, $E$9)</f>
        <v>6.5118999999999998</v>
      </c>
      <c r="N310" s="33">
        <f>6.5066 * CHOOSE(CONTROL!$C$32, $C$9, 100%, $E$9)</f>
        <v>6.5065999999999997</v>
      </c>
      <c r="O310" s="33">
        <f>6.5119 * CHOOSE(CONTROL!$C$32, $C$9, 100%, $E$9)</f>
        <v>6.5118999999999998</v>
      </c>
    </row>
    <row r="311" spans="1:15" ht="15" x14ac:dyDescent="0.2">
      <c r="A311" s="16">
        <v>50314</v>
      </c>
      <c r="B311" s="32">
        <f>5.0002 * CHOOSE(CONTROL!$C$32, $C$9, 100%, $E$9)</f>
        <v>5.0002000000000004</v>
      </c>
      <c r="C311" s="32">
        <f>5.0002 * CHOOSE(CONTROL!$C$32, $C$9, 100%, $E$9)</f>
        <v>5.0002000000000004</v>
      </c>
      <c r="D311" s="32">
        <f>5.0012 * CHOOSE(CONTROL!$C$32, $C$9, 100%, $E$9)</f>
        <v>5.0011999999999999</v>
      </c>
      <c r="E311" s="33">
        <f>6.5374 * CHOOSE(CONTROL!$C$32, $C$9, 100%, $E$9)</f>
        <v>6.5373999999999999</v>
      </c>
      <c r="F311" s="33">
        <f>6.5374 * CHOOSE(CONTROL!$C$32, $C$9, 100%, $E$9)</f>
        <v>6.5373999999999999</v>
      </c>
      <c r="G311" s="33">
        <f>6.541 * CHOOSE(CONTROL!$C$32, $C$9, 100%, $E$9)</f>
        <v>6.5410000000000004</v>
      </c>
      <c r="H311" s="33">
        <f>10.5269 * CHOOSE(CONTROL!$C$32, $C$9, 100%, $E$9)</f>
        <v>10.526899999999999</v>
      </c>
      <c r="I311" s="33">
        <f>10.5305 * CHOOSE(CONTROL!$C$32, $C$9, 100%, $E$9)</f>
        <v>10.5305</v>
      </c>
      <c r="J311" s="33">
        <f>10.5269 * CHOOSE(CONTROL!$C$32, $C$9, 100%, $E$9)</f>
        <v>10.526899999999999</v>
      </c>
      <c r="K311" s="33">
        <f>10.5305 * CHOOSE(CONTROL!$C$32, $C$9, 100%, $E$9)</f>
        <v>10.5305</v>
      </c>
      <c r="L311" s="33">
        <f>6.5374 * CHOOSE(CONTROL!$C$32, $C$9, 100%, $E$9)</f>
        <v>6.5373999999999999</v>
      </c>
      <c r="M311" s="33">
        <f>6.541 * CHOOSE(CONTROL!$C$32, $C$9, 100%, $E$9)</f>
        <v>6.5410000000000004</v>
      </c>
      <c r="N311" s="33">
        <f>6.5374 * CHOOSE(CONTROL!$C$32, $C$9, 100%, $E$9)</f>
        <v>6.5373999999999999</v>
      </c>
      <c r="O311" s="33">
        <f>6.541 * CHOOSE(CONTROL!$C$32, $C$9, 100%, $E$9)</f>
        <v>6.5410000000000004</v>
      </c>
    </row>
    <row r="312" spans="1:15" ht="15" x14ac:dyDescent="0.2">
      <c r="A312" s="16">
        <v>50345</v>
      </c>
      <c r="B312" s="32">
        <f>5.0032 * CHOOSE(CONTROL!$C$32, $C$9, 100%, $E$9)</f>
        <v>5.0031999999999996</v>
      </c>
      <c r="C312" s="32">
        <f>5.0032 * CHOOSE(CONTROL!$C$32, $C$9, 100%, $E$9)</f>
        <v>5.0031999999999996</v>
      </c>
      <c r="D312" s="32">
        <f>5.0043 * CHOOSE(CONTROL!$C$32, $C$9, 100%, $E$9)</f>
        <v>5.0042999999999997</v>
      </c>
      <c r="E312" s="33">
        <f>6.5616 * CHOOSE(CONTROL!$C$32, $C$9, 100%, $E$9)</f>
        <v>6.5616000000000003</v>
      </c>
      <c r="F312" s="33">
        <f>6.5616 * CHOOSE(CONTROL!$C$32, $C$9, 100%, $E$9)</f>
        <v>6.5616000000000003</v>
      </c>
      <c r="G312" s="33">
        <f>6.5652 * CHOOSE(CONTROL!$C$32, $C$9, 100%, $E$9)</f>
        <v>6.5651999999999999</v>
      </c>
      <c r="H312" s="33">
        <f>10.5488 * CHOOSE(CONTROL!$C$32, $C$9, 100%, $E$9)</f>
        <v>10.5488</v>
      </c>
      <c r="I312" s="33">
        <f>10.5524 * CHOOSE(CONTROL!$C$32, $C$9, 100%, $E$9)</f>
        <v>10.5524</v>
      </c>
      <c r="J312" s="33">
        <f>10.5488 * CHOOSE(CONTROL!$C$32, $C$9, 100%, $E$9)</f>
        <v>10.5488</v>
      </c>
      <c r="K312" s="33">
        <f>10.5524 * CHOOSE(CONTROL!$C$32, $C$9, 100%, $E$9)</f>
        <v>10.5524</v>
      </c>
      <c r="L312" s="33">
        <f>6.5616 * CHOOSE(CONTROL!$C$32, $C$9, 100%, $E$9)</f>
        <v>6.5616000000000003</v>
      </c>
      <c r="M312" s="33">
        <f>6.5652 * CHOOSE(CONTROL!$C$32, $C$9, 100%, $E$9)</f>
        <v>6.5651999999999999</v>
      </c>
      <c r="N312" s="33">
        <f>6.5616 * CHOOSE(CONTROL!$C$32, $C$9, 100%, $E$9)</f>
        <v>6.5616000000000003</v>
      </c>
      <c r="O312" s="33">
        <f>6.5652 * CHOOSE(CONTROL!$C$32, $C$9, 100%, $E$9)</f>
        <v>6.5651999999999999</v>
      </c>
    </row>
    <row r="313" spans="1:15" ht="15" x14ac:dyDescent="0.2">
      <c r="A313" s="16">
        <v>50375</v>
      </c>
      <c r="B313" s="32">
        <f>5.0032 * CHOOSE(CONTROL!$C$32, $C$9, 100%, $E$9)</f>
        <v>5.0031999999999996</v>
      </c>
      <c r="C313" s="32">
        <f>5.0032 * CHOOSE(CONTROL!$C$32, $C$9, 100%, $E$9)</f>
        <v>5.0031999999999996</v>
      </c>
      <c r="D313" s="32">
        <f>5.0043 * CHOOSE(CONTROL!$C$32, $C$9, 100%, $E$9)</f>
        <v>5.0042999999999997</v>
      </c>
      <c r="E313" s="33">
        <f>6.5063 * CHOOSE(CONTROL!$C$32, $C$9, 100%, $E$9)</f>
        <v>6.5063000000000004</v>
      </c>
      <c r="F313" s="33">
        <f>6.5063 * CHOOSE(CONTROL!$C$32, $C$9, 100%, $E$9)</f>
        <v>6.5063000000000004</v>
      </c>
      <c r="G313" s="33">
        <f>6.51 * CHOOSE(CONTROL!$C$32, $C$9, 100%, $E$9)</f>
        <v>6.51</v>
      </c>
      <c r="H313" s="33">
        <f>10.5708 * CHOOSE(CONTROL!$C$32, $C$9, 100%, $E$9)</f>
        <v>10.5708</v>
      </c>
      <c r="I313" s="33">
        <f>10.5744 * CHOOSE(CONTROL!$C$32, $C$9, 100%, $E$9)</f>
        <v>10.574400000000001</v>
      </c>
      <c r="J313" s="33">
        <f>10.5708 * CHOOSE(CONTROL!$C$32, $C$9, 100%, $E$9)</f>
        <v>10.5708</v>
      </c>
      <c r="K313" s="33">
        <f>10.5744 * CHOOSE(CONTROL!$C$32, $C$9, 100%, $E$9)</f>
        <v>10.574400000000001</v>
      </c>
      <c r="L313" s="33">
        <f>6.5063 * CHOOSE(CONTROL!$C$32, $C$9, 100%, $E$9)</f>
        <v>6.5063000000000004</v>
      </c>
      <c r="M313" s="33">
        <f>6.51 * CHOOSE(CONTROL!$C$32, $C$9, 100%, $E$9)</f>
        <v>6.51</v>
      </c>
      <c r="N313" s="33">
        <f>6.5063 * CHOOSE(CONTROL!$C$32, $C$9, 100%, $E$9)</f>
        <v>6.5063000000000004</v>
      </c>
      <c r="O313" s="33">
        <f>6.51 * CHOOSE(CONTROL!$C$32, $C$9, 100%, $E$9)</f>
        <v>6.51</v>
      </c>
    </row>
    <row r="314" spans="1:15" ht="15" x14ac:dyDescent="0.2">
      <c r="A314" s="16">
        <v>50406</v>
      </c>
      <c r="B314" s="32">
        <f>5.043 * CHOOSE(CONTROL!$C$32, $C$9, 100%, $E$9)</f>
        <v>5.0430000000000001</v>
      </c>
      <c r="C314" s="32">
        <f>5.043 * CHOOSE(CONTROL!$C$32, $C$9, 100%, $E$9)</f>
        <v>5.0430000000000001</v>
      </c>
      <c r="D314" s="32">
        <f>5.044 * CHOOSE(CONTROL!$C$32, $C$9, 100%, $E$9)</f>
        <v>5.0439999999999996</v>
      </c>
      <c r="E314" s="33">
        <f>6.5545 * CHOOSE(CONTROL!$C$32, $C$9, 100%, $E$9)</f>
        <v>6.5545</v>
      </c>
      <c r="F314" s="33">
        <f>6.5545 * CHOOSE(CONTROL!$C$32, $C$9, 100%, $E$9)</f>
        <v>6.5545</v>
      </c>
      <c r="G314" s="33">
        <f>6.5582 * CHOOSE(CONTROL!$C$32, $C$9, 100%, $E$9)</f>
        <v>6.5582000000000003</v>
      </c>
      <c r="H314" s="33">
        <f>10.5928 * CHOOSE(CONTROL!$C$32, $C$9, 100%, $E$9)</f>
        <v>10.5928</v>
      </c>
      <c r="I314" s="33">
        <f>10.5964 * CHOOSE(CONTROL!$C$32, $C$9, 100%, $E$9)</f>
        <v>10.596399999999999</v>
      </c>
      <c r="J314" s="33">
        <f>10.5928 * CHOOSE(CONTROL!$C$32, $C$9, 100%, $E$9)</f>
        <v>10.5928</v>
      </c>
      <c r="K314" s="33">
        <f>10.5964 * CHOOSE(CONTROL!$C$32, $C$9, 100%, $E$9)</f>
        <v>10.596399999999999</v>
      </c>
      <c r="L314" s="33">
        <f>6.5545 * CHOOSE(CONTROL!$C$32, $C$9, 100%, $E$9)</f>
        <v>6.5545</v>
      </c>
      <c r="M314" s="33">
        <f>6.5582 * CHOOSE(CONTROL!$C$32, $C$9, 100%, $E$9)</f>
        <v>6.5582000000000003</v>
      </c>
      <c r="N314" s="33">
        <f>6.5545 * CHOOSE(CONTROL!$C$32, $C$9, 100%, $E$9)</f>
        <v>6.5545</v>
      </c>
      <c r="O314" s="33">
        <f>6.5582 * CHOOSE(CONTROL!$C$32, $C$9, 100%, $E$9)</f>
        <v>6.5582000000000003</v>
      </c>
    </row>
    <row r="315" spans="1:15" ht="15" x14ac:dyDescent="0.2">
      <c r="A315" s="16">
        <v>50437</v>
      </c>
      <c r="B315" s="32">
        <f>5.0399 * CHOOSE(CONTROL!$C$32, $C$9, 100%, $E$9)</f>
        <v>5.0399000000000003</v>
      </c>
      <c r="C315" s="32">
        <f>5.0399 * CHOOSE(CONTROL!$C$32, $C$9, 100%, $E$9)</f>
        <v>5.0399000000000003</v>
      </c>
      <c r="D315" s="32">
        <f>5.041 * CHOOSE(CONTROL!$C$32, $C$9, 100%, $E$9)</f>
        <v>5.0410000000000004</v>
      </c>
      <c r="E315" s="33">
        <f>6.4445 * CHOOSE(CONTROL!$C$32, $C$9, 100%, $E$9)</f>
        <v>6.4444999999999997</v>
      </c>
      <c r="F315" s="33">
        <f>6.4445 * CHOOSE(CONTROL!$C$32, $C$9, 100%, $E$9)</f>
        <v>6.4444999999999997</v>
      </c>
      <c r="G315" s="33">
        <f>6.4481 * CHOOSE(CONTROL!$C$32, $C$9, 100%, $E$9)</f>
        <v>6.4481000000000002</v>
      </c>
      <c r="H315" s="33">
        <f>10.6149 * CHOOSE(CONTROL!$C$32, $C$9, 100%, $E$9)</f>
        <v>10.6149</v>
      </c>
      <c r="I315" s="33">
        <f>10.6185 * CHOOSE(CONTROL!$C$32, $C$9, 100%, $E$9)</f>
        <v>10.618499999999999</v>
      </c>
      <c r="J315" s="33">
        <f>10.6149 * CHOOSE(CONTROL!$C$32, $C$9, 100%, $E$9)</f>
        <v>10.6149</v>
      </c>
      <c r="K315" s="33">
        <f>10.6185 * CHOOSE(CONTROL!$C$32, $C$9, 100%, $E$9)</f>
        <v>10.618499999999999</v>
      </c>
      <c r="L315" s="33">
        <f>6.4445 * CHOOSE(CONTROL!$C$32, $C$9, 100%, $E$9)</f>
        <v>6.4444999999999997</v>
      </c>
      <c r="M315" s="33">
        <f>6.4481 * CHOOSE(CONTROL!$C$32, $C$9, 100%, $E$9)</f>
        <v>6.4481000000000002</v>
      </c>
      <c r="N315" s="33">
        <f>6.4445 * CHOOSE(CONTROL!$C$32, $C$9, 100%, $E$9)</f>
        <v>6.4444999999999997</v>
      </c>
      <c r="O315" s="33">
        <f>6.4481 * CHOOSE(CONTROL!$C$32, $C$9, 100%, $E$9)</f>
        <v>6.4481000000000002</v>
      </c>
    </row>
    <row r="316" spans="1:15" ht="15" x14ac:dyDescent="0.2">
      <c r="A316" s="16">
        <v>50465</v>
      </c>
      <c r="B316" s="32">
        <f>5.0369 * CHOOSE(CONTROL!$C$32, $C$9, 100%, $E$9)</f>
        <v>5.0369000000000002</v>
      </c>
      <c r="C316" s="32">
        <f>5.0369 * CHOOSE(CONTROL!$C$32, $C$9, 100%, $E$9)</f>
        <v>5.0369000000000002</v>
      </c>
      <c r="D316" s="32">
        <f>5.038 * CHOOSE(CONTROL!$C$32, $C$9, 100%, $E$9)</f>
        <v>5.0380000000000003</v>
      </c>
      <c r="E316" s="33">
        <f>6.5275 * CHOOSE(CONTROL!$C$32, $C$9, 100%, $E$9)</f>
        <v>6.5274999999999999</v>
      </c>
      <c r="F316" s="33">
        <f>6.5275 * CHOOSE(CONTROL!$C$32, $C$9, 100%, $E$9)</f>
        <v>6.5274999999999999</v>
      </c>
      <c r="G316" s="33">
        <f>6.5311 * CHOOSE(CONTROL!$C$32, $C$9, 100%, $E$9)</f>
        <v>6.5311000000000003</v>
      </c>
      <c r="H316" s="33">
        <f>10.637 * CHOOSE(CONTROL!$C$32, $C$9, 100%, $E$9)</f>
        <v>10.637</v>
      </c>
      <c r="I316" s="33">
        <f>10.6406 * CHOOSE(CONTROL!$C$32, $C$9, 100%, $E$9)</f>
        <v>10.640599999999999</v>
      </c>
      <c r="J316" s="33">
        <f>10.637 * CHOOSE(CONTROL!$C$32, $C$9, 100%, $E$9)</f>
        <v>10.637</v>
      </c>
      <c r="K316" s="33">
        <f>10.6406 * CHOOSE(CONTROL!$C$32, $C$9, 100%, $E$9)</f>
        <v>10.640599999999999</v>
      </c>
      <c r="L316" s="33">
        <f>6.5275 * CHOOSE(CONTROL!$C$32, $C$9, 100%, $E$9)</f>
        <v>6.5274999999999999</v>
      </c>
      <c r="M316" s="33">
        <f>6.5311 * CHOOSE(CONTROL!$C$32, $C$9, 100%, $E$9)</f>
        <v>6.5311000000000003</v>
      </c>
      <c r="N316" s="33">
        <f>6.5275 * CHOOSE(CONTROL!$C$32, $C$9, 100%, $E$9)</f>
        <v>6.5274999999999999</v>
      </c>
      <c r="O316" s="33">
        <f>6.5311 * CHOOSE(CONTROL!$C$32, $C$9, 100%, $E$9)</f>
        <v>6.5311000000000003</v>
      </c>
    </row>
    <row r="317" spans="1:15" ht="15" x14ac:dyDescent="0.2">
      <c r="A317" s="16">
        <v>50496</v>
      </c>
      <c r="B317" s="32">
        <f>5.0356 * CHOOSE(CONTROL!$C$32, $C$9, 100%, $E$9)</f>
        <v>5.0355999999999996</v>
      </c>
      <c r="C317" s="32">
        <f>5.0356 * CHOOSE(CONTROL!$C$32, $C$9, 100%, $E$9)</f>
        <v>5.0355999999999996</v>
      </c>
      <c r="D317" s="32">
        <f>5.0366 * CHOOSE(CONTROL!$C$32, $C$9, 100%, $E$9)</f>
        <v>5.0366</v>
      </c>
      <c r="E317" s="33">
        <f>6.6146 * CHOOSE(CONTROL!$C$32, $C$9, 100%, $E$9)</f>
        <v>6.6146000000000003</v>
      </c>
      <c r="F317" s="33">
        <f>6.6146 * CHOOSE(CONTROL!$C$32, $C$9, 100%, $E$9)</f>
        <v>6.6146000000000003</v>
      </c>
      <c r="G317" s="33">
        <f>6.6182 * CHOOSE(CONTROL!$C$32, $C$9, 100%, $E$9)</f>
        <v>6.6181999999999999</v>
      </c>
      <c r="H317" s="33">
        <f>10.6592 * CHOOSE(CONTROL!$C$32, $C$9, 100%, $E$9)</f>
        <v>10.6592</v>
      </c>
      <c r="I317" s="33">
        <f>10.6628 * CHOOSE(CONTROL!$C$32, $C$9, 100%, $E$9)</f>
        <v>10.662800000000001</v>
      </c>
      <c r="J317" s="33">
        <f>10.6592 * CHOOSE(CONTROL!$C$32, $C$9, 100%, $E$9)</f>
        <v>10.6592</v>
      </c>
      <c r="K317" s="33">
        <f>10.6628 * CHOOSE(CONTROL!$C$32, $C$9, 100%, $E$9)</f>
        <v>10.662800000000001</v>
      </c>
      <c r="L317" s="33">
        <f>6.6146 * CHOOSE(CONTROL!$C$32, $C$9, 100%, $E$9)</f>
        <v>6.6146000000000003</v>
      </c>
      <c r="M317" s="33">
        <f>6.6182 * CHOOSE(CONTROL!$C$32, $C$9, 100%, $E$9)</f>
        <v>6.6181999999999999</v>
      </c>
      <c r="N317" s="33">
        <f>6.6146 * CHOOSE(CONTROL!$C$32, $C$9, 100%, $E$9)</f>
        <v>6.6146000000000003</v>
      </c>
      <c r="O317" s="33">
        <f>6.6182 * CHOOSE(CONTROL!$C$32, $C$9, 100%, $E$9)</f>
        <v>6.6181999999999999</v>
      </c>
    </row>
    <row r="318" spans="1:15" ht="15" x14ac:dyDescent="0.2">
      <c r="A318" s="16">
        <v>50526</v>
      </c>
      <c r="B318" s="32">
        <f>5.0356 * CHOOSE(CONTROL!$C$32, $C$9, 100%, $E$9)</f>
        <v>5.0355999999999996</v>
      </c>
      <c r="C318" s="32">
        <f>5.0356 * CHOOSE(CONTROL!$C$32, $C$9, 100%, $E$9)</f>
        <v>5.0355999999999996</v>
      </c>
      <c r="D318" s="32">
        <f>5.0371 * CHOOSE(CONTROL!$C$32, $C$9, 100%, $E$9)</f>
        <v>5.0370999999999997</v>
      </c>
      <c r="E318" s="33">
        <f>6.6488 * CHOOSE(CONTROL!$C$32, $C$9, 100%, $E$9)</f>
        <v>6.6487999999999996</v>
      </c>
      <c r="F318" s="33">
        <f>6.6488 * CHOOSE(CONTROL!$C$32, $C$9, 100%, $E$9)</f>
        <v>6.6487999999999996</v>
      </c>
      <c r="G318" s="33">
        <f>6.6541 * CHOOSE(CONTROL!$C$32, $C$9, 100%, $E$9)</f>
        <v>6.6540999999999997</v>
      </c>
      <c r="H318" s="33">
        <f>10.6814 * CHOOSE(CONTROL!$C$32, $C$9, 100%, $E$9)</f>
        <v>10.6814</v>
      </c>
      <c r="I318" s="33">
        <f>10.6867 * CHOOSE(CONTROL!$C$32, $C$9, 100%, $E$9)</f>
        <v>10.6867</v>
      </c>
      <c r="J318" s="33">
        <f>10.6814 * CHOOSE(CONTROL!$C$32, $C$9, 100%, $E$9)</f>
        <v>10.6814</v>
      </c>
      <c r="K318" s="33">
        <f>10.6867 * CHOOSE(CONTROL!$C$32, $C$9, 100%, $E$9)</f>
        <v>10.6867</v>
      </c>
      <c r="L318" s="33">
        <f>6.6488 * CHOOSE(CONTROL!$C$32, $C$9, 100%, $E$9)</f>
        <v>6.6487999999999996</v>
      </c>
      <c r="M318" s="33">
        <f>6.6541 * CHOOSE(CONTROL!$C$32, $C$9, 100%, $E$9)</f>
        <v>6.6540999999999997</v>
      </c>
      <c r="N318" s="33">
        <f>6.6488 * CHOOSE(CONTROL!$C$32, $C$9, 100%, $E$9)</f>
        <v>6.6487999999999996</v>
      </c>
      <c r="O318" s="33">
        <f>6.6541 * CHOOSE(CONTROL!$C$32, $C$9, 100%, $E$9)</f>
        <v>6.6540999999999997</v>
      </c>
    </row>
    <row r="319" spans="1:15" ht="15" x14ac:dyDescent="0.2">
      <c r="A319" s="16">
        <v>50557</v>
      </c>
      <c r="B319" s="32">
        <f>5.0416 * CHOOSE(CONTROL!$C$32, $C$9, 100%, $E$9)</f>
        <v>5.0415999999999999</v>
      </c>
      <c r="C319" s="32">
        <f>5.0416 * CHOOSE(CONTROL!$C$32, $C$9, 100%, $E$9)</f>
        <v>5.0415999999999999</v>
      </c>
      <c r="D319" s="32">
        <f>5.0432 * CHOOSE(CONTROL!$C$32, $C$9, 100%, $E$9)</f>
        <v>5.0431999999999997</v>
      </c>
      <c r="E319" s="33">
        <f>6.6188 * CHOOSE(CONTROL!$C$32, $C$9, 100%, $E$9)</f>
        <v>6.6188000000000002</v>
      </c>
      <c r="F319" s="33">
        <f>6.6188 * CHOOSE(CONTROL!$C$32, $C$9, 100%, $E$9)</f>
        <v>6.6188000000000002</v>
      </c>
      <c r="G319" s="33">
        <f>6.6241 * CHOOSE(CONTROL!$C$32, $C$9, 100%, $E$9)</f>
        <v>6.6241000000000003</v>
      </c>
      <c r="H319" s="33">
        <f>10.7036 * CHOOSE(CONTROL!$C$32, $C$9, 100%, $E$9)</f>
        <v>10.7036</v>
      </c>
      <c r="I319" s="33">
        <f>10.7089 * CHOOSE(CONTROL!$C$32, $C$9, 100%, $E$9)</f>
        <v>10.7089</v>
      </c>
      <c r="J319" s="33">
        <f>10.7036 * CHOOSE(CONTROL!$C$32, $C$9, 100%, $E$9)</f>
        <v>10.7036</v>
      </c>
      <c r="K319" s="33">
        <f>10.7089 * CHOOSE(CONTROL!$C$32, $C$9, 100%, $E$9)</f>
        <v>10.7089</v>
      </c>
      <c r="L319" s="33">
        <f>6.6188 * CHOOSE(CONTROL!$C$32, $C$9, 100%, $E$9)</f>
        <v>6.6188000000000002</v>
      </c>
      <c r="M319" s="33">
        <f>6.6241 * CHOOSE(CONTROL!$C$32, $C$9, 100%, $E$9)</f>
        <v>6.6241000000000003</v>
      </c>
      <c r="N319" s="33">
        <f>6.6188 * CHOOSE(CONTROL!$C$32, $C$9, 100%, $E$9)</f>
        <v>6.6188000000000002</v>
      </c>
      <c r="O319" s="33">
        <f>6.6241 * CHOOSE(CONTROL!$C$32, $C$9, 100%, $E$9)</f>
        <v>6.6241000000000003</v>
      </c>
    </row>
    <row r="320" spans="1:15" ht="15" x14ac:dyDescent="0.2">
      <c r="A320" s="16">
        <v>50587</v>
      </c>
      <c r="B320" s="32">
        <f>5.1131 * CHOOSE(CONTROL!$C$32, $C$9, 100%, $E$9)</f>
        <v>5.1131000000000002</v>
      </c>
      <c r="C320" s="32">
        <f>5.1131 * CHOOSE(CONTROL!$C$32, $C$9, 100%, $E$9)</f>
        <v>5.1131000000000002</v>
      </c>
      <c r="D320" s="32">
        <f>5.1147 * CHOOSE(CONTROL!$C$32, $C$9, 100%, $E$9)</f>
        <v>5.1147</v>
      </c>
      <c r="E320" s="33">
        <f>6.6086 * CHOOSE(CONTROL!$C$32, $C$9, 100%, $E$9)</f>
        <v>6.6086</v>
      </c>
      <c r="F320" s="33">
        <f>6.6086 * CHOOSE(CONTROL!$C$32, $C$9, 100%, $E$9)</f>
        <v>6.6086</v>
      </c>
      <c r="G320" s="33">
        <f>6.6139 * CHOOSE(CONTROL!$C$32, $C$9, 100%, $E$9)</f>
        <v>6.6139000000000001</v>
      </c>
      <c r="H320" s="33">
        <f>10.7259 * CHOOSE(CONTROL!$C$32, $C$9, 100%, $E$9)</f>
        <v>10.725899999999999</v>
      </c>
      <c r="I320" s="33">
        <f>10.7312 * CHOOSE(CONTROL!$C$32, $C$9, 100%, $E$9)</f>
        <v>10.731199999999999</v>
      </c>
      <c r="J320" s="33">
        <f>10.7259 * CHOOSE(CONTROL!$C$32, $C$9, 100%, $E$9)</f>
        <v>10.725899999999999</v>
      </c>
      <c r="K320" s="33">
        <f>10.7312 * CHOOSE(CONTROL!$C$32, $C$9, 100%, $E$9)</f>
        <v>10.731199999999999</v>
      </c>
      <c r="L320" s="33">
        <f>6.6086 * CHOOSE(CONTROL!$C$32, $C$9, 100%, $E$9)</f>
        <v>6.6086</v>
      </c>
      <c r="M320" s="33">
        <f>6.6139 * CHOOSE(CONTROL!$C$32, $C$9, 100%, $E$9)</f>
        <v>6.6139000000000001</v>
      </c>
      <c r="N320" s="33">
        <f>6.6086 * CHOOSE(CONTROL!$C$32, $C$9, 100%, $E$9)</f>
        <v>6.6086</v>
      </c>
      <c r="O320" s="33">
        <f>6.6139 * CHOOSE(CONTROL!$C$32, $C$9, 100%, $E$9)</f>
        <v>6.6139000000000001</v>
      </c>
    </row>
    <row r="321" spans="1:15" ht="15" x14ac:dyDescent="0.2">
      <c r="A321" s="16">
        <v>50618</v>
      </c>
      <c r="B321" s="32">
        <f>5.1198 * CHOOSE(CONTROL!$C$32, $C$9, 100%, $E$9)</f>
        <v>5.1197999999999997</v>
      </c>
      <c r="C321" s="32">
        <f>5.1198 * CHOOSE(CONTROL!$C$32, $C$9, 100%, $E$9)</f>
        <v>5.1197999999999997</v>
      </c>
      <c r="D321" s="32">
        <f>5.1214 * CHOOSE(CONTROL!$C$32, $C$9, 100%, $E$9)</f>
        <v>5.1214000000000004</v>
      </c>
      <c r="E321" s="33">
        <f>6.5105 * CHOOSE(CONTROL!$C$32, $C$9, 100%, $E$9)</f>
        <v>6.5105000000000004</v>
      </c>
      <c r="F321" s="33">
        <f>6.5105 * CHOOSE(CONTROL!$C$32, $C$9, 100%, $E$9)</f>
        <v>6.5105000000000004</v>
      </c>
      <c r="G321" s="33">
        <f>6.5158 * CHOOSE(CONTROL!$C$32, $C$9, 100%, $E$9)</f>
        <v>6.5157999999999996</v>
      </c>
      <c r="H321" s="33">
        <f>10.7483 * CHOOSE(CONTROL!$C$32, $C$9, 100%, $E$9)</f>
        <v>10.7483</v>
      </c>
      <c r="I321" s="33">
        <f>10.7536 * CHOOSE(CONTROL!$C$32, $C$9, 100%, $E$9)</f>
        <v>10.7536</v>
      </c>
      <c r="J321" s="33">
        <f>10.7483 * CHOOSE(CONTROL!$C$32, $C$9, 100%, $E$9)</f>
        <v>10.7483</v>
      </c>
      <c r="K321" s="33">
        <f>10.7536 * CHOOSE(CONTROL!$C$32, $C$9, 100%, $E$9)</f>
        <v>10.7536</v>
      </c>
      <c r="L321" s="33">
        <f>6.5105 * CHOOSE(CONTROL!$C$32, $C$9, 100%, $E$9)</f>
        <v>6.5105000000000004</v>
      </c>
      <c r="M321" s="33">
        <f>6.5158 * CHOOSE(CONTROL!$C$32, $C$9, 100%, $E$9)</f>
        <v>6.5157999999999996</v>
      </c>
      <c r="N321" s="33">
        <f>6.5105 * CHOOSE(CONTROL!$C$32, $C$9, 100%, $E$9)</f>
        <v>6.5105000000000004</v>
      </c>
      <c r="O321" s="33">
        <f>6.5158 * CHOOSE(CONTROL!$C$32, $C$9, 100%, $E$9)</f>
        <v>6.5157999999999996</v>
      </c>
    </row>
    <row r="322" spans="1:15" ht="15" x14ac:dyDescent="0.2">
      <c r="A322" s="16">
        <v>50649</v>
      </c>
      <c r="B322" s="32">
        <f>5.1167 * CHOOSE(CONTROL!$C$32, $C$9, 100%, $E$9)</f>
        <v>5.1166999999999998</v>
      </c>
      <c r="C322" s="32">
        <f>5.1167 * CHOOSE(CONTROL!$C$32, $C$9, 100%, $E$9)</f>
        <v>5.1166999999999998</v>
      </c>
      <c r="D322" s="32">
        <f>5.1183 * CHOOSE(CONTROL!$C$32, $C$9, 100%, $E$9)</f>
        <v>5.1182999999999996</v>
      </c>
      <c r="E322" s="33">
        <f>6.4969 * CHOOSE(CONTROL!$C$32, $C$9, 100%, $E$9)</f>
        <v>6.4969000000000001</v>
      </c>
      <c r="F322" s="33">
        <f>6.4969 * CHOOSE(CONTROL!$C$32, $C$9, 100%, $E$9)</f>
        <v>6.4969000000000001</v>
      </c>
      <c r="G322" s="33">
        <f>6.5022 * CHOOSE(CONTROL!$C$32, $C$9, 100%, $E$9)</f>
        <v>6.5022000000000002</v>
      </c>
      <c r="H322" s="33">
        <f>10.7707 * CHOOSE(CONTROL!$C$32, $C$9, 100%, $E$9)</f>
        <v>10.7707</v>
      </c>
      <c r="I322" s="33">
        <f>10.776 * CHOOSE(CONTROL!$C$32, $C$9, 100%, $E$9)</f>
        <v>10.776</v>
      </c>
      <c r="J322" s="33">
        <f>10.7707 * CHOOSE(CONTROL!$C$32, $C$9, 100%, $E$9)</f>
        <v>10.7707</v>
      </c>
      <c r="K322" s="33">
        <f>10.776 * CHOOSE(CONTROL!$C$32, $C$9, 100%, $E$9)</f>
        <v>10.776</v>
      </c>
      <c r="L322" s="33">
        <f>6.4969 * CHOOSE(CONTROL!$C$32, $C$9, 100%, $E$9)</f>
        <v>6.4969000000000001</v>
      </c>
      <c r="M322" s="33">
        <f>6.5022 * CHOOSE(CONTROL!$C$32, $C$9, 100%, $E$9)</f>
        <v>6.5022000000000002</v>
      </c>
      <c r="N322" s="33">
        <f>6.4969 * CHOOSE(CONTROL!$C$32, $C$9, 100%, $E$9)</f>
        <v>6.4969000000000001</v>
      </c>
      <c r="O322" s="33">
        <f>6.5022 * CHOOSE(CONTROL!$C$32, $C$9, 100%, $E$9)</f>
        <v>6.5022000000000002</v>
      </c>
    </row>
    <row r="323" spans="1:15" ht="15" x14ac:dyDescent="0.2">
      <c r="A323" s="16">
        <v>50679</v>
      </c>
      <c r="B323" s="32">
        <f>5.1159 * CHOOSE(CONTROL!$C$32, $C$9, 100%, $E$9)</f>
        <v>5.1158999999999999</v>
      </c>
      <c r="C323" s="32">
        <f>5.1159 * CHOOSE(CONTROL!$C$32, $C$9, 100%, $E$9)</f>
        <v>5.1158999999999999</v>
      </c>
      <c r="D323" s="32">
        <f>5.117 * CHOOSE(CONTROL!$C$32, $C$9, 100%, $E$9)</f>
        <v>5.117</v>
      </c>
      <c r="E323" s="33">
        <f>6.5292 * CHOOSE(CONTROL!$C$32, $C$9, 100%, $E$9)</f>
        <v>6.5292000000000003</v>
      </c>
      <c r="F323" s="33">
        <f>6.5292 * CHOOSE(CONTROL!$C$32, $C$9, 100%, $E$9)</f>
        <v>6.5292000000000003</v>
      </c>
      <c r="G323" s="33">
        <f>6.5328 * CHOOSE(CONTROL!$C$32, $C$9, 100%, $E$9)</f>
        <v>6.5327999999999999</v>
      </c>
      <c r="H323" s="33">
        <f>10.7931 * CHOOSE(CONTROL!$C$32, $C$9, 100%, $E$9)</f>
        <v>10.793100000000001</v>
      </c>
      <c r="I323" s="33">
        <f>10.7967 * CHOOSE(CONTROL!$C$32, $C$9, 100%, $E$9)</f>
        <v>10.7967</v>
      </c>
      <c r="J323" s="33">
        <f>10.7931 * CHOOSE(CONTROL!$C$32, $C$9, 100%, $E$9)</f>
        <v>10.793100000000001</v>
      </c>
      <c r="K323" s="33">
        <f>10.7967 * CHOOSE(CONTROL!$C$32, $C$9, 100%, $E$9)</f>
        <v>10.7967</v>
      </c>
      <c r="L323" s="33">
        <f>6.5292 * CHOOSE(CONTROL!$C$32, $C$9, 100%, $E$9)</f>
        <v>6.5292000000000003</v>
      </c>
      <c r="M323" s="33">
        <f>6.5328 * CHOOSE(CONTROL!$C$32, $C$9, 100%, $E$9)</f>
        <v>6.5327999999999999</v>
      </c>
      <c r="N323" s="33">
        <f>6.5292 * CHOOSE(CONTROL!$C$32, $C$9, 100%, $E$9)</f>
        <v>6.5292000000000003</v>
      </c>
      <c r="O323" s="33">
        <f>6.5328 * CHOOSE(CONTROL!$C$32, $C$9, 100%, $E$9)</f>
        <v>6.5327999999999999</v>
      </c>
    </row>
    <row r="324" spans="1:15" ht="15" x14ac:dyDescent="0.2">
      <c r="A324" s="16">
        <v>50710</v>
      </c>
      <c r="B324" s="32">
        <f>5.119 * CHOOSE(CONTROL!$C$32, $C$9, 100%, $E$9)</f>
        <v>5.1189999999999998</v>
      </c>
      <c r="C324" s="32">
        <f>5.119 * CHOOSE(CONTROL!$C$32, $C$9, 100%, $E$9)</f>
        <v>5.1189999999999998</v>
      </c>
      <c r="D324" s="32">
        <f>5.1201 * CHOOSE(CONTROL!$C$32, $C$9, 100%, $E$9)</f>
        <v>5.1200999999999999</v>
      </c>
      <c r="E324" s="33">
        <f>6.5541 * CHOOSE(CONTROL!$C$32, $C$9, 100%, $E$9)</f>
        <v>6.5541</v>
      </c>
      <c r="F324" s="33">
        <f>6.5541 * CHOOSE(CONTROL!$C$32, $C$9, 100%, $E$9)</f>
        <v>6.5541</v>
      </c>
      <c r="G324" s="33">
        <f>6.5578 * CHOOSE(CONTROL!$C$32, $C$9, 100%, $E$9)</f>
        <v>6.5578000000000003</v>
      </c>
      <c r="H324" s="33">
        <f>10.8156 * CHOOSE(CONTROL!$C$32, $C$9, 100%, $E$9)</f>
        <v>10.8156</v>
      </c>
      <c r="I324" s="33">
        <f>10.8192 * CHOOSE(CONTROL!$C$32, $C$9, 100%, $E$9)</f>
        <v>10.8192</v>
      </c>
      <c r="J324" s="33">
        <f>10.8156 * CHOOSE(CONTROL!$C$32, $C$9, 100%, $E$9)</f>
        <v>10.8156</v>
      </c>
      <c r="K324" s="33">
        <f>10.8192 * CHOOSE(CONTROL!$C$32, $C$9, 100%, $E$9)</f>
        <v>10.8192</v>
      </c>
      <c r="L324" s="33">
        <f>6.5541 * CHOOSE(CONTROL!$C$32, $C$9, 100%, $E$9)</f>
        <v>6.5541</v>
      </c>
      <c r="M324" s="33">
        <f>6.5578 * CHOOSE(CONTROL!$C$32, $C$9, 100%, $E$9)</f>
        <v>6.5578000000000003</v>
      </c>
      <c r="N324" s="33">
        <f>6.5541 * CHOOSE(CONTROL!$C$32, $C$9, 100%, $E$9)</f>
        <v>6.5541</v>
      </c>
      <c r="O324" s="33">
        <f>6.5578 * CHOOSE(CONTROL!$C$32, $C$9, 100%, $E$9)</f>
        <v>6.5578000000000003</v>
      </c>
    </row>
    <row r="325" spans="1:15" ht="15" x14ac:dyDescent="0.2">
      <c r="A325" s="16">
        <v>50740</v>
      </c>
      <c r="B325" s="32">
        <f>5.119 * CHOOSE(CONTROL!$C$32, $C$9, 100%, $E$9)</f>
        <v>5.1189999999999998</v>
      </c>
      <c r="C325" s="32">
        <f>5.119 * CHOOSE(CONTROL!$C$32, $C$9, 100%, $E$9)</f>
        <v>5.1189999999999998</v>
      </c>
      <c r="D325" s="32">
        <f>5.1201 * CHOOSE(CONTROL!$C$32, $C$9, 100%, $E$9)</f>
        <v>5.1200999999999999</v>
      </c>
      <c r="E325" s="33">
        <f>6.533 * CHOOSE(CONTROL!$C$32, $C$9, 100%, $E$9)</f>
        <v>6.5330000000000004</v>
      </c>
      <c r="F325" s="33">
        <f>6.533 * CHOOSE(CONTROL!$C$32, $C$9, 100%, $E$9)</f>
        <v>6.5330000000000004</v>
      </c>
      <c r="G325" s="33">
        <f>6.5367 * CHOOSE(CONTROL!$C$32, $C$9, 100%, $E$9)</f>
        <v>6.5366999999999997</v>
      </c>
      <c r="H325" s="33">
        <f>10.8381 * CHOOSE(CONTROL!$C$32, $C$9, 100%, $E$9)</f>
        <v>10.838100000000001</v>
      </c>
      <c r="I325" s="33">
        <f>10.8417 * CHOOSE(CONTROL!$C$32, $C$9, 100%, $E$9)</f>
        <v>10.841699999999999</v>
      </c>
      <c r="J325" s="33">
        <f>10.8381 * CHOOSE(CONTROL!$C$32, $C$9, 100%, $E$9)</f>
        <v>10.838100000000001</v>
      </c>
      <c r="K325" s="33">
        <f>10.8417 * CHOOSE(CONTROL!$C$32, $C$9, 100%, $E$9)</f>
        <v>10.841699999999999</v>
      </c>
      <c r="L325" s="33">
        <f>6.533 * CHOOSE(CONTROL!$C$32, $C$9, 100%, $E$9)</f>
        <v>6.5330000000000004</v>
      </c>
      <c r="M325" s="33">
        <f>6.5367 * CHOOSE(CONTROL!$C$32, $C$9, 100%, $E$9)</f>
        <v>6.5366999999999997</v>
      </c>
      <c r="N325" s="33">
        <f>6.533 * CHOOSE(CONTROL!$C$32, $C$9, 100%, $E$9)</f>
        <v>6.5330000000000004</v>
      </c>
      <c r="O325" s="33">
        <f>6.5367 * CHOOSE(CONTROL!$C$32, $C$9, 100%, $E$9)</f>
        <v>6.5366999999999997</v>
      </c>
    </row>
    <row r="326" spans="1:15" ht="15" x14ac:dyDescent="0.2">
      <c r="A326" s="16">
        <v>50771</v>
      </c>
      <c r="B326" s="32">
        <f>5.1575 * CHOOSE(CONTROL!$C$32, $C$9, 100%, $E$9)</f>
        <v>5.1574999999999998</v>
      </c>
      <c r="C326" s="32">
        <f>5.1575 * CHOOSE(CONTROL!$C$32, $C$9, 100%, $E$9)</f>
        <v>5.1574999999999998</v>
      </c>
      <c r="D326" s="32">
        <f>5.1586 * CHOOSE(CONTROL!$C$32, $C$9, 100%, $E$9)</f>
        <v>5.1585999999999999</v>
      </c>
      <c r="E326" s="33">
        <f>6.5634 * CHOOSE(CONTROL!$C$32, $C$9, 100%, $E$9)</f>
        <v>6.5633999999999997</v>
      </c>
      <c r="F326" s="33">
        <f>6.5634 * CHOOSE(CONTROL!$C$32, $C$9, 100%, $E$9)</f>
        <v>6.5633999999999997</v>
      </c>
      <c r="G326" s="33">
        <f>6.567 * CHOOSE(CONTROL!$C$32, $C$9, 100%, $E$9)</f>
        <v>6.5670000000000002</v>
      </c>
      <c r="H326" s="33">
        <f>10.8607 * CHOOSE(CONTROL!$C$32, $C$9, 100%, $E$9)</f>
        <v>10.8607</v>
      </c>
      <c r="I326" s="33">
        <f>10.8643 * CHOOSE(CONTROL!$C$32, $C$9, 100%, $E$9)</f>
        <v>10.8643</v>
      </c>
      <c r="J326" s="33">
        <f>10.8607 * CHOOSE(CONTROL!$C$32, $C$9, 100%, $E$9)</f>
        <v>10.8607</v>
      </c>
      <c r="K326" s="33">
        <f>10.8643 * CHOOSE(CONTROL!$C$32, $C$9, 100%, $E$9)</f>
        <v>10.8643</v>
      </c>
      <c r="L326" s="33">
        <f>6.5634 * CHOOSE(CONTROL!$C$32, $C$9, 100%, $E$9)</f>
        <v>6.5633999999999997</v>
      </c>
      <c r="M326" s="33">
        <f>6.567 * CHOOSE(CONTROL!$C$32, $C$9, 100%, $E$9)</f>
        <v>6.5670000000000002</v>
      </c>
      <c r="N326" s="33">
        <f>6.5634 * CHOOSE(CONTROL!$C$32, $C$9, 100%, $E$9)</f>
        <v>6.5633999999999997</v>
      </c>
      <c r="O326" s="33">
        <f>6.567 * CHOOSE(CONTROL!$C$32, $C$9, 100%, $E$9)</f>
        <v>6.5670000000000002</v>
      </c>
    </row>
    <row r="327" spans="1:15" ht="15" x14ac:dyDescent="0.2">
      <c r="A327" s="16">
        <v>50802</v>
      </c>
      <c r="B327" s="32">
        <f>5.1544 * CHOOSE(CONTROL!$C$32, $C$9, 100%, $E$9)</f>
        <v>5.1543999999999999</v>
      </c>
      <c r="C327" s="32">
        <f>5.1544 * CHOOSE(CONTROL!$C$32, $C$9, 100%, $E$9)</f>
        <v>5.1543999999999999</v>
      </c>
      <c r="D327" s="32">
        <f>5.1555 * CHOOSE(CONTROL!$C$32, $C$9, 100%, $E$9)</f>
        <v>5.1555</v>
      </c>
      <c r="E327" s="33">
        <f>6.4498 * CHOOSE(CONTROL!$C$32, $C$9, 100%, $E$9)</f>
        <v>6.4497999999999998</v>
      </c>
      <c r="F327" s="33">
        <f>6.4498 * CHOOSE(CONTROL!$C$32, $C$9, 100%, $E$9)</f>
        <v>6.4497999999999998</v>
      </c>
      <c r="G327" s="33">
        <f>6.4535 * CHOOSE(CONTROL!$C$32, $C$9, 100%, $E$9)</f>
        <v>6.4535</v>
      </c>
      <c r="H327" s="33">
        <f>10.8833 * CHOOSE(CONTROL!$C$32, $C$9, 100%, $E$9)</f>
        <v>10.8833</v>
      </c>
      <c r="I327" s="33">
        <f>10.8869 * CHOOSE(CONTROL!$C$32, $C$9, 100%, $E$9)</f>
        <v>10.886900000000001</v>
      </c>
      <c r="J327" s="33">
        <f>10.8833 * CHOOSE(CONTROL!$C$32, $C$9, 100%, $E$9)</f>
        <v>10.8833</v>
      </c>
      <c r="K327" s="33">
        <f>10.8869 * CHOOSE(CONTROL!$C$32, $C$9, 100%, $E$9)</f>
        <v>10.886900000000001</v>
      </c>
      <c r="L327" s="33">
        <f>6.4498 * CHOOSE(CONTROL!$C$32, $C$9, 100%, $E$9)</f>
        <v>6.4497999999999998</v>
      </c>
      <c r="M327" s="33">
        <f>6.4535 * CHOOSE(CONTROL!$C$32, $C$9, 100%, $E$9)</f>
        <v>6.4535</v>
      </c>
      <c r="N327" s="33">
        <f>6.4498 * CHOOSE(CONTROL!$C$32, $C$9, 100%, $E$9)</f>
        <v>6.4497999999999998</v>
      </c>
      <c r="O327" s="33">
        <f>6.4535 * CHOOSE(CONTROL!$C$32, $C$9, 100%, $E$9)</f>
        <v>6.4535</v>
      </c>
    </row>
    <row r="328" spans="1:15" ht="15" x14ac:dyDescent="0.2">
      <c r="A328" s="16">
        <v>50830</v>
      </c>
      <c r="B328" s="32">
        <f>5.1514 * CHOOSE(CONTROL!$C$32, $C$9, 100%, $E$9)</f>
        <v>5.1513999999999998</v>
      </c>
      <c r="C328" s="32">
        <f>5.1514 * CHOOSE(CONTROL!$C$32, $C$9, 100%, $E$9)</f>
        <v>5.1513999999999998</v>
      </c>
      <c r="D328" s="32">
        <f>5.1525 * CHOOSE(CONTROL!$C$32, $C$9, 100%, $E$9)</f>
        <v>5.1524999999999999</v>
      </c>
      <c r="E328" s="33">
        <f>6.5356 * CHOOSE(CONTROL!$C$32, $C$9, 100%, $E$9)</f>
        <v>6.5355999999999996</v>
      </c>
      <c r="F328" s="33">
        <f>6.5356 * CHOOSE(CONTROL!$C$32, $C$9, 100%, $E$9)</f>
        <v>6.5355999999999996</v>
      </c>
      <c r="G328" s="33">
        <f>6.5392 * CHOOSE(CONTROL!$C$32, $C$9, 100%, $E$9)</f>
        <v>6.5392000000000001</v>
      </c>
      <c r="H328" s="33">
        <f>10.906 * CHOOSE(CONTROL!$C$32, $C$9, 100%, $E$9)</f>
        <v>10.906000000000001</v>
      </c>
      <c r="I328" s="33">
        <f>10.9096 * CHOOSE(CONTROL!$C$32, $C$9, 100%, $E$9)</f>
        <v>10.909599999999999</v>
      </c>
      <c r="J328" s="33">
        <f>10.906 * CHOOSE(CONTROL!$C$32, $C$9, 100%, $E$9)</f>
        <v>10.906000000000001</v>
      </c>
      <c r="K328" s="33">
        <f>10.9096 * CHOOSE(CONTROL!$C$32, $C$9, 100%, $E$9)</f>
        <v>10.909599999999999</v>
      </c>
      <c r="L328" s="33">
        <f>6.5356 * CHOOSE(CONTROL!$C$32, $C$9, 100%, $E$9)</f>
        <v>6.5355999999999996</v>
      </c>
      <c r="M328" s="33">
        <f>6.5392 * CHOOSE(CONTROL!$C$32, $C$9, 100%, $E$9)</f>
        <v>6.5392000000000001</v>
      </c>
      <c r="N328" s="33">
        <f>6.5356 * CHOOSE(CONTROL!$C$32, $C$9, 100%, $E$9)</f>
        <v>6.5355999999999996</v>
      </c>
      <c r="O328" s="33">
        <f>6.5392 * CHOOSE(CONTROL!$C$32, $C$9, 100%, $E$9)</f>
        <v>6.5392000000000001</v>
      </c>
    </row>
    <row r="329" spans="1:15" ht="15" x14ac:dyDescent="0.2">
      <c r="A329" s="16">
        <v>50861</v>
      </c>
      <c r="B329" s="32">
        <f>5.1502 * CHOOSE(CONTROL!$C$32, $C$9, 100%, $E$9)</f>
        <v>5.1501999999999999</v>
      </c>
      <c r="C329" s="32">
        <f>5.1502 * CHOOSE(CONTROL!$C$32, $C$9, 100%, $E$9)</f>
        <v>5.1501999999999999</v>
      </c>
      <c r="D329" s="32">
        <f>5.1512 * CHOOSE(CONTROL!$C$32, $C$9, 100%, $E$9)</f>
        <v>5.1512000000000002</v>
      </c>
      <c r="E329" s="33">
        <f>6.6256 * CHOOSE(CONTROL!$C$32, $C$9, 100%, $E$9)</f>
        <v>6.6256000000000004</v>
      </c>
      <c r="F329" s="33">
        <f>6.6256 * CHOOSE(CONTROL!$C$32, $C$9, 100%, $E$9)</f>
        <v>6.6256000000000004</v>
      </c>
      <c r="G329" s="33">
        <f>6.6292 * CHOOSE(CONTROL!$C$32, $C$9, 100%, $E$9)</f>
        <v>6.6292</v>
      </c>
      <c r="H329" s="33">
        <f>10.9287 * CHOOSE(CONTROL!$C$32, $C$9, 100%, $E$9)</f>
        <v>10.928699999999999</v>
      </c>
      <c r="I329" s="33">
        <f>10.9323 * CHOOSE(CONTROL!$C$32, $C$9, 100%, $E$9)</f>
        <v>10.9323</v>
      </c>
      <c r="J329" s="33">
        <f>10.9287 * CHOOSE(CONTROL!$C$32, $C$9, 100%, $E$9)</f>
        <v>10.928699999999999</v>
      </c>
      <c r="K329" s="33">
        <f>10.9323 * CHOOSE(CONTROL!$C$32, $C$9, 100%, $E$9)</f>
        <v>10.9323</v>
      </c>
      <c r="L329" s="33">
        <f>6.6256 * CHOOSE(CONTROL!$C$32, $C$9, 100%, $E$9)</f>
        <v>6.6256000000000004</v>
      </c>
      <c r="M329" s="33">
        <f>6.6292 * CHOOSE(CONTROL!$C$32, $C$9, 100%, $E$9)</f>
        <v>6.6292</v>
      </c>
      <c r="N329" s="33">
        <f>6.6256 * CHOOSE(CONTROL!$C$32, $C$9, 100%, $E$9)</f>
        <v>6.6256000000000004</v>
      </c>
      <c r="O329" s="33">
        <f>6.6292 * CHOOSE(CONTROL!$C$32, $C$9, 100%, $E$9)</f>
        <v>6.6292</v>
      </c>
    </row>
    <row r="330" spans="1:15" ht="15" x14ac:dyDescent="0.2">
      <c r="A330" s="16">
        <v>50891</v>
      </c>
      <c r="B330" s="32">
        <f>5.1502 * CHOOSE(CONTROL!$C$32, $C$9, 100%, $E$9)</f>
        <v>5.1501999999999999</v>
      </c>
      <c r="C330" s="32">
        <f>5.1502 * CHOOSE(CONTROL!$C$32, $C$9, 100%, $E$9)</f>
        <v>5.1501999999999999</v>
      </c>
      <c r="D330" s="32">
        <f>5.1517 * CHOOSE(CONTROL!$C$32, $C$9, 100%, $E$9)</f>
        <v>5.1516999999999999</v>
      </c>
      <c r="E330" s="33">
        <f>6.661 * CHOOSE(CONTROL!$C$32, $C$9, 100%, $E$9)</f>
        <v>6.6609999999999996</v>
      </c>
      <c r="F330" s="33">
        <f>6.661 * CHOOSE(CONTROL!$C$32, $C$9, 100%, $E$9)</f>
        <v>6.6609999999999996</v>
      </c>
      <c r="G330" s="33">
        <f>6.6663 * CHOOSE(CONTROL!$C$32, $C$9, 100%, $E$9)</f>
        <v>6.6662999999999997</v>
      </c>
      <c r="H330" s="33">
        <f>10.9515 * CHOOSE(CONTROL!$C$32, $C$9, 100%, $E$9)</f>
        <v>10.951499999999999</v>
      </c>
      <c r="I330" s="33">
        <f>10.9568 * CHOOSE(CONTROL!$C$32, $C$9, 100%, $E$9)</f>
        <v>10.956799999999999</v>
      </c>
      <c r="J330" s="33">
        <f>10.9515 * CHOOSE(CONTROL!$C$32, $C$9, 100%, $E$9)</f>
        <v>10.951499999999999</v>
      </c>
      <c r="K330" s="33">
        <f>10.9568 * CHOOSE(CONTROL!$C$32, $C$9, 100%, $E$9)</f>
        <v>10.956799999999999</v>
      </c>
      <c r="L330" s="33">
        <f>6.661 * CHOOSE(CONTROL!$C$32, $C$9, 100%, $E$9)</f>
        <v>6.6609999999999996</v>
      </c>
      <c r="M330" s="33">
        <f>6.6663 * CHOOSE(CONTROL!$C$32, $C$9, 100%, $E$9)</f>
        <v>6.6662999999999997</v>
      </c>
      <c r="N330" s="33">
        <f>6.661 * CHOOSE(CONTROL!$C$32, $C$9, 100%, $E$9)</f>
        <v>6.6609999999999996</v>
      </c>
      <c r="O330" s="33">
        <f>6.6663 * CHOOSE(CONTROL!$C$32, $C$9, 100%, $E$9)</f>
        <v>6.6662999999999997</v>
      </c>
    </row>
    <row r="331" spans="1:15" ht="15" x14ac:dyDescent="0.2">
      <c r="A331" s="16">
        <v>50922</v>
      </c>
      <c r="B331" s="32">
        <f>5.1562 * CHOOSE(CONTROL!$C$32, $C$9, 100%, $E$9)</f>
        <v>5.1562000000000001</v>
      </c>
      <c r="C331" s="32">
        <f>5.1562 * CHOOSE(CONTROL!$C$32, $C$9, 100%, $E$9)</f>
        <v>5.1562000000000001</v>
      </c>
      <c r="D331" s="32">
        <f>5.1578 * CHOOSE(CONTROL!$C$32, $C$9, 100%, $E$9)</f>
        <v>5.1577999999999999</v>
      </c>
      <c r="E331" s="33">
        <f>6.6299 * CHOOSE(CONTROL!$C$32, $C$9, 100%, $E$9)</f>
        <v>6.6299000000000001</v>
      </c>
      <c r="F331" s="33">
        <f>6.6299 * CHOOSE(CONTROL!$C$32, $C$9, 100%, $E$9)</f>
        <v>6.6299000000000001</v>
      </c>
      <c r="G331" s="33">
        <f>6.6352 * CHOOSE(CONTROL!$C$32, $C$9, 100%, $E$9)</f>
        <v>6.6352000000000002</v>
      </c>
      <c r="H331" s="33">
        <f>10.9743 * CHOOSE(CONTROL!$C$32, $C$9, 100%, $E$9)</f>
        <v>10.974299999999999</v>
      </c>
      <c r="I331" s="33">
        <f>10.9796 * CHOOSE(CONTROL!$C$32, $C$9, 100%, $E$9)</f>
        <v>10.9796</v>
      </c>
      <c r="J331" s="33">
        <f>10.9743 * CHOOSE(CONTROL!$C$32, $C$9, 100%, $E$9)</f>
        <v>10.974299999999999</v>
      </c>
      <c r="K331" s="33">
        <f>10.9796 * CHOOSE(CONTROL!$C$32, $C$9, 100%, $E$9)</f>
        <v>10.9796</v>
      </c>
      <c r="L331" s="33">
        <f>6.6299 * CHOOSE(CONTROL!$C$32, $C$9, 100%, $E$9)</f>
        <v>6.6299000000000001</v>
      </c>
      <c r="M331" s="33">
        <f>6.6352 * CHOOSE(CONTROL!$C$32, $C$9, 100%, $E$9)</f>
        <v>6.6352000000000002</v>
      </c>
      <c r="N331" s="33">
        <f>6.6299 * CHOOSE(CONTROL!$C$32, $C$9, 100%, $E$9)</f>
        <v>6.6299000000000001</v>
      </c>
      <c r="O331" s="33">
        <f>6.6352 * CHOOSE(CONTROL!$C$32, $C$9, 100%, $E$9)</f>
        <v>6.6352000000000002</v>
      </c>
    </row>
    <row r="332" spans="1:15" ht="15" x14ac:dyDescent="0.2">
      <c r="A332" s="16">
        <v>50952</v>
      </c>
      <c r="B332" s="32">
        <f>5.2245 * CHOOSE(CONTROL!$C$32, $C$9, 100%, $E$9)</f>
        <v>5.2244999999999999</v>
      </c>
      <c r="C332" s="32">
        <f>5.2245 * CHOOSE(CONTROL!$C$32, $C$9, 100%, $E$9)</f>
        <v>5.2244999999999999</v>
      </c>
      <c r="D332" s="32">
        <f>5.226 * CHOOSE(CONTROL!$C$32, $C$9, 100%, $E$9)</f>
        <v>5.226</v>
      </c>
      <c r="E332" s="33">
        <f>6.6597 * CHOOSE(CONTROL!$C$32, $C$9, 100%, $E$9)</f>
        <v>6.6597</v>
      </c>
      <c r="F332" s="33">
        <f>6.6597 * CHOOSE(CONTROL!$C$32, $C$9, 100%, $E$9)</f>
        <v>6.6597</v>
      </c>
      <c r="G332" s="33">
        <f>6.665 * CHOOSE(CONTROL!$C$32, $C$9, 100%, $E$9)</f>
        <v>6.665</v>
      </c>
      <c r="H332" s="33">
        <f>10.9972 * CHOOSE(CONTROL!$C$32, $C$9, 100%, $E$9)</f>
        <v>10.997199999999999</v>
      </c>
      <c r="I332" s="33">
        <f>11.0025 * CHOOSE(CONTROL!$C$32, $C$9, 100%, $E$9)</f>
        <v>11.0025</v>
      </c>
      <c r="J332" s="33">
        <f>10.9972 * CHOOSE(CONTROL!$C$32, $C$9, 100%, $E$9)</f>
        <v>10.997199999999999</v>
      </c>
      <c r="K332" s="33">
        <f>11.0025 * CHOOSE(CONTROL!$C$32, $C$9, 100%, $E$9)</f>
        <v>11.0025</v>
      </c>
      <c r="L332" s="33">
        <f>6.6597 * CHOOSE(CONTROL!$C$32, $C$9, 100%, $E$9)</f>
        <v>6.6597</v>
      </c>
      <c r="M332" s="33">
        <f>6.665 * CHOOSE(CONTROL!$C$32, $C$9, 100%, $E$9)</f>
        <v>6.665</v>
      </c>
      <c r="N332" s="33">
        <f>6.6597 * CHOOSE(CONTROL!$C$32, $C$9, 100%, $E$9)</f>
        <v>6.6597</v>
      </c>
      <c r="O332" s="33">
        <f>6.665 * CHOOSE(CONTROL!$C$32, $C$9, 100%, $E$9)</f>
        <v>6.665</v>
      </c>
    </row>
    <row r="333" spans="1:15" ht="15" x14ac:dyDescent="0.2">
      <c r="A333" s="16">
        <v>50983</v>
      </c>
      <c r="B333" s="32">
        <f>5.2312 * CHOOSE(CONTROL!$C$32, $C$9, 100%, $E$9)</f>
        <v>5.2312000000000003</v>
      </c>
      <c r="C333" s="32">
        <f>5.2312 * CHOOSE(CONTROL!$C$32, $C$9, 100%, $E$9)</f>
        <v>5.2312000000000003</v>
      </c>
      <c r="D333" s="32">
        <f>5.2327 * CHOOSE(CONTROL!$C$32, $C$9, 100%, $E$9)</f>
        <v>5.2327000000000004</v>
      </c>
      <c r="E333" s="33">
        <f>6.5583 * CHOOSE(CONTROL!$C$32, $C$9, 100%, $E$9)</f>
        <v>6.5583</v>
      </c>
      <c r="F333" s="33">
        <f>6.5583 * CHOOSE(CONTROL!$C$32, $C$9, 100%, $E$9)</f>
        <v>6.5583</v>
      </c>
      <c r="G333" s="33">
        <f>6.5635 * CHOOSE(CONTROL!$C$32, $C$9, 100%, $E$9)</f>
        <v>6.5635000000000003</v>
      </c>
      <c r="H333" s="33">
        <f>11.0201 * CHOOSE(CONTROL!$C$32, $C$9, 100%, $E$9)</f>
        <v>11.020099999999999</v>
      </c>
      <c r="I333" s="33">
        <f>11.0254 * CHOOSE(CONTROL!$C$32, $C$9, 100%, $E$9)</f>
        <v>11.025399999999999</v>
      </c>
      <c r="J333" s="33">
        <f>11.0201 * CHOOSE(CONTROL!$C$32, $C$9, 100%, $E$9)</f>
        <v>11.020099999999999</v>
      </c>
      <c r="K333" s="33">
        <f>11.0254 * CHOOSE(CONTROL!$C$32, $C$9, 100%, $E$9)</f>
        <v>11.025399999999999</v>
      </c>
      <c r="L333" s="33">
        <f>6.5583 * CHOOSE(CONTROL!$C$32, $C$9, 100%, $E$9)</f>
        <v>6.5583</v>
      </c>
      <c r="M333" s="33">
        <f>6.5635 * CHOOSE(CONTROL!$C$32, $C$9, 100%, $E$9)</f>
        <v>6.5635000000000003</v>
      </c>
      <c r="N333" s="33">
        <f>6.5583 * CHOOSE(CONTROL!$C$32, $C$9, 100%, $E$9)</f>
        <v>6.5583</v>
      </c>
      <c r="O333" s="33">
        <f>6.5635 * CHOOSE(CONTROL!$C$32, $C$9, 100%, $E$9)</f>
        <v>6.5635000000000003</v>
      </c>
    </row>
    <row r="334" spans="1:15" ht="15" x14ac:dyDescent="0.2">
      <c r="A334" s="16">
        <v>51014</v>
      </c>
      <c r="B334" s="32">
        <f>5.2281 * CHOOSE(CONTROL!$C$32, $C$9, 100%, $E$9)</f>
        <v>5.2281000000000004</v>
      </c>
      <c r="C334" s="32">
        <f>5.2281 * CHOOSE(CONTROL!$C$32, $C$9, 100%, $E$9)</f>
        <v>5.2281000000000004</v>
      </c>
      <c r="D334" s="32">
        <f>5.2297 * CHOOSE(CONTROL!$C$32, $C$9, 100%, $E$9)</f>
        <v>5.2297000000000002</v>
      </c>
      <c r="E334" s="33">
        <f>6.5443 * CHOOSE(CONTROL!$C$32, $C$9, 100%, $E$9)</f>
        <v>6.5442999999999998</v>
      </c>
      <c r="F334" s="33">
        <f>6.5443 * CHOOSE(CONTROL!$C$32, $C$9, 100%, $E$9)</f>
        <v>6.5442999999999998</v>
      </c>
      <c r="G334" s="33">
        <f>6.5496 * CHOOSE(CONTROL!$C$32, $C$9, 100%, $E$9)</f>
        <v>6.5495999999999999</v>
      </c>
      <c r="H334" s="33">
        <f>11.043 * CHOOSE(CONTROL!$C$32, $C$9, 100%, $E$9)</f>
        <v>11.042999999999999</v>
      </c>
      <c r="I334" s="33">
        <f>11.0483 * CHOOSE(CONTROL!$C$32, $C$9, 100%, $E$9)</f>
        <v>11.048299999999999</v>
      </c>
      <c r="J334" s="33">
        <f>11.043 * CHOOSE(CONTROL!$C$32, $C$9, 100%, $E$9)</f>
        <v>11.042999999999999</v>
      </c>
      <c r="K334" s="33">
        <f>11.0483 * CHOOSE(CONTROL!$C$32, $C$9, 100%, $E$9)</f>
        <v>11.048299999999999</v>
      </c>
      <c r="L334" s="33">
        <f>6.5443 * CHOOSE(CONTROL!$C$32, $C$9, 100%, $E$9)</f>
        <v>6.5442999999999998</v>
      </c>
      <c r="M334" s="33">
        <f>6.5496 * CHOOSE(CONTROL!$C$32, $C$9, 100%, $E$9)</f>
        <v>6.5495999999999999</v>
      </c>
      <c r="N334" s="33">
        <f>6.5443 * CHOOSE(CONTROL!$C$32, $C$9, 100%, $E$9)</f>
        <v>6.5442999999999998</v>
      </c>
      <c r="O334" s="33">
        <f>6.5496 * CHOOSE(CONTROL!$C$32, $C$9, 100%, $E$9)</f>
        <v>6.5495999999999999</v>
      </c>
    </row>
    <row r="335" spans="1:15" ht="15" x14ac:dyDescent="0.2">
      <c r="A335" s="16">
        <v>51044</v>
      </c>
      <c r="B335" s="32">
        <f>5.2277 * CHOOSE(CONTROL!$C$32, $C$9, 100%, $E$9)</f>
        <v>5.2276999999999996</v>
      </c>
      <c r="C335" s="32">
        <f>5.2277 * CHOOSE(CONTROL!$C$32, $C$9, 100%, $E$9)</f>
        <v>5.2276999999999996</v>
      </c>
      <c r="D335" s="32">
        <f>5.2288 * CHOOSE(CONTROL!$C$32, $C$9, 100%, $E$9)</f>
        <v>5.2287999999999997</v>
      </c>
      <c r="E335" s="33">
        <f>6.5781 * CHOOSE(CONTROL!$C$32, $C$9, 100%, $E$9)</f>
        <v>6.5781000000000001</v>
      </c>
      <c r="F335" s="33">
        <f>6.5781 * CHOOSE(CONTROL!$C$32, $C$9, 100%, $E$9)</f>
        <v>6.5781000000000001</v>
      </c>
      <c r="G335" s="33">
        <f>6.5817 * CHOOSE(CONTROL!$C$32, $C$9, 100%, $E$9)</f>
        <v>6.5816999999999997</v>
      </c>
      <c r="H335" s="33">
        <f>11.066 * CHOOSE(CONTROL!$C$32, $C$9, 100%, $E$9)</f>
        <v>11.066000000000001</v>
      </c>
      <c r="I335" s="33">
        <f>11.0697 * CHOOSE(CONTROL!$C$32, $C$9, 100%, $E$9)</f>
        <v>11.069699999999999</v>
      </c>
      <c r="J335" s="33">
        <f>11.066 * CHOOSE(CONTROL!$C$32, $C$9, 100%, $E$9)</f>
        <v>11.066000000000001</v>
      </c>
      <c r="K335" s="33">
        <f>11.0697 * CHOOSE(CONTROL!$C$32, $C$9, 100%, $E$9)</f>
        <v>11.069699999999999</v>
      </c>
      <c r="L335" s="33">
        <f>6.5781 * CHOOSE(CONTROL!$C$32, $C$9, 100%, $E$9)</f>
        <v>6.5781000000000001</v>
      </c>
      <c r="M335" s="33">
        <f>6.5817 * CHOOSE(CONTROL!$C$32, $C$9, 100%, $E$9)</f>
        <v>6.5816999999999997</v>
      </c>
      <c r="N335" s="33">
        <f>6.5781 * CHOOSE(CONTROL!$C$32, $C$9, 100%, $E$9)</f>
        <v>6.5781000000000001</v>
      </c>
      <c r="O335" s="33">
        <f>6.5817 * CHOOSE(CONTROL!$C$32, $C$9, 100%, $E$9)</f>
        <v>6.5816999999999997</v>
      </c>
    </row>
    <row r="336" spans="1:15" ht="15" x14ac:dyDescent="0.2">
      <c r="A336" s="16">
        <v>51075</v>
      </c>
      <c r="B336" s="32">
        <f>5.2308 * CHOOSE(CONTROL!$C$32, $C$9, 100%, $E$9)</f>
        <v>5.2308000000000003</v>
      </c>
      <c r="C336" s="32">
        <f>5.2308 * CHOOSE(CONTROL!$C$32, $C$9, 100%, $E$9)</f>
        <v>5.2308000000000003</v>
      </c>
      <c r="D336" s="32">
        <f>5.2319 * CHOOSE(CONTROL!$C$32, $C$9, 100%, $E$9)</f>
        <v>5.2319000000000004</v>
      </c>
      <c r="E336" s="33">
        <f>6.6038 * CHOOSE(CONTROL!$C$32, $C$9, 100%, $E$9)</f>
        <v>6.6037999999999997</v>
      </c>
      <c r="F336" s="33">
        <f>6.6038 * CHOOSE(CONTROL!$C$32, $C$9, 100%, $E$9)</f>
        <v>6.6037999999999997</v>
      </c>
      <c r="G336" s="33">
        <f>6.6074 * CHOOSE(CONTROL!$C$32, $C$9, 100%, $E$9)</f>
        <v>6.6074000000000002</v>
      </c>
      <c r="H336" s="33">
        <f>11.0891 * CHOOSE(CONTROL!$C$32, $C$9, 100%, $E$9)</f>
        <v>11.0891</v>
      </c>
      <c r="I336" s="33">
        <f>11.0927 * CHOOSE(CONTROL!$C$32, $C$9, 100%, $E$9)</f>
        <v>11.092700000000001</v>
      </c>
      <c r="J336" s="33">
        <f>11.0891 * CHOOSE(CONTROL!$C$32, $C$9, 100%, $E$9)</f>
        <v>11.0891</v>
      </c>
      <c r="K336" s="33">
        <f>11.0927 * CHOOSE(CONTROL!$C$32, $C$9, 100%, $E$9)</f>
        <v>11.092700000000001</v>
      </c>
      <c r="L336" s="33">
        <f>6.6038 * CHOOSE(CONTROL!$C$32, $C$9, 100%, $E$9)</f>
        <v>6.6037999999999997</v>
      </c>
      <c r="M336" s="33">
        <f>6.6074 * CHOOSE(CONTROL!$C$32, $C$9, 100%, $E$9)</f>
        <v>6.6074000000000002</v>
      </c>
      <c r="N336" s="33">
        <f>6.6038 * CHOOSE(CONTROL!$C$32, $C$9, 100%, $E$9)</f>
        <v>6.6037999999999997</v>
      </c>
      <c r="O336" s="33">
        <f>6.6074 * CHOOSE(CONTROL!$C$32, $C$9, 100%, $E$9)</f>
        <v>6.6074000000000002</v>
      </c>
    </row>
    <row r="337" spans="1:15" ht="15" x14ac:dyDescent="0.2">
      <c r="A337" s="16">
        <v>51105</v>
      </c>
      <c r="B337" s="32">
        <f>5.2308 * CHOOSE(CONTROL!$C$32, $C$9, 100%, $E$9)</f>
        <v>5.2308000000000003</v>
      </c>
      <c r="C337" s="32">
        <f>5.2308 * CHOOSE(CONTROL!$C$32, $C$9, 100%, $E$9)</f>
        <v>5.2308000000000003</v>
      </c>
      <c r="D337" s="32">
        <f>5.2319 * CHOOSE(CONTROL!$C$32, $C$9, 100%, $E$9)</f>
        <v>5.2319000000000004</v>
      </c>
      <c r="E337" s="33">
        <f>6.5448 * CHOOSE(CONTROL!$C$32, $C$9, 100%, $E$9)</f>
        <v>6.5448000000000004</v>
      </c>
      <c r="F337" s="33">
        <f>6.5448 * CHOOSE(CONTROL!$C$32, $C$9, 100%, $E$9)</f>
        <v>6.5448000000000004</v>
      </c>
      <c r="G337" s="33">
        <f>6.5485 * CHOOSE(CONTROL!$C$32, $C$9, 100%, $E$9)</f>
        <v>6.5484999999999998</v>
      </c>
      <c r="H337" s="33">
        <f>11.1122 * CHOOSE(CONTROL!$C$32, $C$9, 100%, $E$9)</f>
        <v>11.1122</v>
      </c>
      <c r="I337" s="33">
        <f>11.1158 * CHOOSE(CONTROL!$C$32, $C$9, 100%, $E$9)</f>
        <v>11.1158</v>
      </c>
      <c r="J337" s="33">
        <f>11.1122 * CHOOSE(CONTROL!$C$32, $C$9, 100%, $E$9)</f>
        <v>11.1122</v>
      </c>
      <c r="K337" s="33">
        <f>11.1158 * CHOOSE(CONTROL!$C$32, $C$9, 100%, $E$9)</f>
        <v>11.1158</v>
      </c>
      <c r="L337" s="33">
        <f>6.5448 * CHOOSE(CONTROL!$C$32, $C$9, 100%, $E$9)</f>
        <v>6.5448000000000004</v>
      </c>
      <c r="M337" s="33">
        <f>6.5485 * CHOOSE(CONTROL!$C$32, $C$9, 100%, $E$9)</f>
        <v>6.5484999999999998</v>
      </c>
      <c r="N337" s="33">
        <f>6.5448 * CHOOSE(CONTROL!$C$32, $C$9, 100%, $E$9)</f>
        <v>6.5448000000000004</v>
      </c>
      <c r="O337" s="33">
        <f>6.5485 * CHOOSE(CONTROL!$C$32, $C$9, 100%, $E$9)</f>
        <v>6.5484999999999998</v>
      </c>
    </row>
    <row r="338" spans="1:15" ht="15" x14ac:dyDescent="0.2">
      <c r="A338" s="16">
        <v>51136</v>
      </c>
      <c r="B338" s="32">
        <f>5.2721 * CHOOSE(CONTROL!$C$32, $C$9, 100%, $E$9)</f>
        <v>5.2721</v>
      </c>
      <c r="C338" s="32">
        <f>5.2721 * CHOOSE(CONTROL!$C$32, $C$9, 100%, $E$9)</f>
        <v>5.2721</v>
      </c>
      <c r="D338" s="32">
        <f>5.2732 * CHOOSE(CONTROL!$C$32, $C$9, 100%, $E$9)</f>
        <v>5.2732000000000001</v>
      </c>
      <c r="E338" s="33">
        <f>6.6042 * CHOOSE(CONTROL!$C$32, $C$9, 100%, $E$9)</f>
        <v>6.6041999999999996</v>
      </c>
      <c r="F338" s="33">
        <f>6.6042 * CHOOSE(CONTROL!$C$32, $C$9, 100%, $E$9)</f>
        <v>6.6041999999999996</v>
      </c>
      <c r="G338" s="33">
        <f>6.6078 * CHOOSE(CONTROL!$C$32, $C$9, 100%, $E$9)</f>
        <v>6.6078000000000001</v>
      </c>
      <c r="H338" s="33">
        <f>11.1353 * CHOOSE(CONTROL!$C$32, $C$9, 100%, $E$9)</f>
        <v>11.135300000000001</v>
      </c>
      <c r="I338" s="33">
        <f>11.139 * CHOOSE(CONTROL!$C$32, $C$9, 100%, $E$9)</f>
        <v>11.138999999999999</v>
      </c>
      <c r="J338" s="33">
        <f>11.1353 * CHOOSE(CONTROL!$C$32, $C$9, 100%, $E$9)</f>
        <v>11.135300000000001</v>
      </c>
      <c r="K338" s="33">
        <f>11.139 * CHOOSE(CONTROL!$C$32, $C$9, 100%, $E$9)</f>
        <v>11.138999999999999</v>
      </c>
      <c r="L338" s="33">
        <f>6.6042 * CHOOSE(CONTROL!$C$32, $C$9, 100%, $E$9)</f>
        <v>6.6041999999999996</v>
      </c>
      <c r="M338" s="33">
        <f>6.6078 * CHOOSE(CONTROL!$C$32, $C$9, 100%, $E$9)</f>
        <v>6.6078000000000001</v>
      </c>
      <c r="N338" s="33">
        <f>6.6042 * CHOOSE(CONTROL!$C$32, $C$9, 100%, $E$9)</f>
        <v>6.6041999999999996</v>
      </c>
      <c r="O338" s="33">
        <f>6.6078 * CHOOSE(CONTROL!$C$32, $C$9, 100%, $E$9)</f>
        <v>6.6078000000000001</v>
      </c>
    </row>
    <row r="339" spans="1:15" ht="15" x14ac:dyDescent="0.2">
      <c r="A339" s="16">
        <v>51167</v>
      </c>
      <c r="B339" s="32">
        <f>5.2691 * CHOOSE(CONTROL!$C$32, $C$9, 100%, $E$9)</f>
        <v>5.2690999999999999</v>
      </c>
      <c r="C339" s="32">
        <f>5.2691 * CHOOSE(CONTROL!$C$32, $C$9, 100%, $E$9)</f>
        <v>5.2690999999999999</v>
      </c>
      <c r="D339" s="32">
        <f>5.2702 * CHOOSE(CONTROL!$C$32, $C$9, 100%, $E$9)</f>
        <v>5.2702</v>
      </c>
      <c r="E339" s="33">
        <f>6.487 * CHOOSE(CONTROL!$C$32, $C$9, 100%, $E$9)</f>
        <v>6.4870000000000001</v>
      </c>
      <c r="F339" s="33">
        <f>6.487 * CHOOSE(CONTROL!$C$32, $C$9, 100%, $E$9)</f>
        <v>6.4870000000000001</v>
      </c>
      <c r="G339" s="33">
        <f>6.4906 * CHOOSE(CONTROL!$C$32, $C$9, 100%, $E$9)</f>
        <v>6.4905999999999997</v>
      </c>
      <c r="H339" s="33">
        <f>11.1585 * CHOOSE(CONTROL!$C$32, $C$9, 100%, $E$9)</f>
        <v>11.1585</v>
      </c>
      <c r="I339" s="33">
        <f>11.1622 * CHOOSE(CONTROL!$C$32, $C$9, 100%, $E$9)</f>
        <v>11.1622</v>
      </c>
      <c r="J339" s="33">
        <f>11.1585 * CHOOSE(CONTROL!$C$32, $C$9, 100%, $E$9)</f>
        <v>11.1585</v>
      </c>
      <c r="K339" s="33">
        <f>11.1622 * CHOOSE(CONTROL!$C$32, $C$9, 100%, $E$9)</f>
        <v>11.1622</v>
      </c>
      <c r="L339" s="33">
        <f>6.487 * CHOOSE(CONTROL!$C$32, $C$9, 100%, $E$9)</f>
        <v>6.4870000000000001</v>
      </c>
      <c r="M339" s="33">
        <f>6.4906 * CHOOSE(CONTROL!$C$32, $C$9, 100%, $E$9)</f>
        <v>6.4905999999999997</v>
      </c>
      <c r="N339" s="33">
        <f>6.487 * CHOOSE(CONTROL!$C$32, $C$9, 100%, $E$9)</f>
        <v>6.4870000000000001</v>
      </c>
      <c r="O339" s="33">
        <f>6.4906 * CHOOSE(CONTROL!$C$32, $C$9, 100%, $E$9)</f>
        <v>6.4905999999999997</v>
      </c>
    </row>
    <row r="340" spans="1:15" ht="15" x14ac:dyDescent="0.2">
      <c r="A340" s="16">
        <v>51196</v>
      </c>
      <c r="B340" s="32">
        <f>5.266 * CHOOSE(CONTROL!$C$32, $C$9, 100%, $E$9)</f>
        <v>5.266</v>
      </c>
      <c r="C340" s="32">
        <f>5.266 * CHOOSE(CONTROL!$C$32, $C$9, 100%, $E$9)</f>
        <v>5.266</v>
      </c>
      <c r="D340" s="32">
        <f>5.2671 * CHOOSE(CONTROL!$C$32, $C$9, 100%, $E$9)</f>
        <v>5.2671000000000001</v>
      </c>
      <c r="E340" s="33">
        <f>6.5756 * CHOOSE(CONTROL!$C$32, $C$9, 100%, $E$9)</f>
        <v>6.5755999999999997</v>
      </c>
      <c r="F340" s="33">
        <f>6.5756 * CHOOSE(CONTROL!$C$32, $C$9, 100%, $E$9)</f>
        <v>6.5755999999999997</v>
      </c>
      <c r="G340" s="33">
        <f>6.5792 * CHOOSE(CONTROL!$C$32, $C$9, 100%, $E$9)</f>
        <v>6.5792000000000002</v>
      </c>
      <c r="H340" s="33">
        <f>11.1818 * CHOOSE(CONTROL!$C$32, $C$9, 100%, $E$9)</f>
        <v>11.181800000000001</v>
      </c>
      <c r="I340" s="33">
        <f>11.1854 * CHOOSE(CONTROL!$C$32, $C$9, 100%, $E$9)</f>
        <v>11.1854</v>
      </c>
      <c r="J340" s="33">
        <f>11.1818 * CHOOSE(CONTROL!$C$32, $C$9, 100%, $E$9)</f>
        <v>11.181800000000001</v>
      </c>
      <c r="K340" s="33">
        <f>11.1854 * CHOOSE(CONTROL!$C$32, $C$9, 100%, $E$9)</f>
        <v>11.1854</v>
      </c>
      <c r="L340" s="33">
        <f>6.5756 * CHOOSE(CONTROL!$C$32, $C$9, 100%, $E$9)</f>
        <v>6.5755999999999997</v>
      </c>
      <c r="M340" s="33">
        <f>6.5792 * CHOOSE(CONTROL!$C$32, $C$9, 100%, $E$9)</f>
        <v>6.5792000000000002</v>
      </c>
      <c r="N340" s="33">
        <f>6.5756 * CHOOSE(CONTROL!$C$32, $C$9, 100%, $E$9)</f>
        <v>6.5755999999999997</v>
      </c>
      <c r="O340" s="33">
        <f>6.5792 * CHOOSE(CONTROL!$C$32, $C$9, 100%, $E$9)</f>
        <v>6.5792000000000002</v>
      </c>
    </row>
    <row r="341" spans="1:15" ht="15" x14ac:dyDescent="0.2">
      <c r="A341" s="16">
        <v>51227</v>
      </c>
      <c r="B341" s="32">
        <f>5.2649 * CHOOSE(CONTROL!$C$32, $C$9, 100%, $E$9)</f>
        <v>5.2648999999999999</v>
      </c>
      <c r="C341" s="32">
        <f>5.2649 * CHOOSE(CONTROL!$C$32, $C$9, 100%, $E$9)</f>
        <v>5.2648999999999999</v>
      </c>
      <c r="D341" s="32">
        <f>5.266 * CHOOSE(CONTROL!$C$32, $C$9, 100%, $E$9)</f>
        <v>5.266</v>
      </c>
      <c r="E341" s="33">
        <f>6.6687 * CHOOSE(CONTROL!$C$32, $C$9, 100%, $E$9)</f>
        <v>6.6687000000000003</v>
      </c>
      <c r="F341" s="33">
        <f>6.6687 * CHOOSE(CONTROL!$C$32, $C$9, 100%, $E$9)</f>
        <v>6.6687000000000003</v>
      </c>
      <c r="G341" s="33">
        <f>6.6723 * CHOOSE(CONTROL!$C$32, $C$9, 100%, $E$9)</f>
        <v>6.6722999999999999</v>
      </c>
      <c r="H341" s="33">
        <f>11.2051 * CHOOSE(CONTROL!$C$32, $C$9, 100%, $E$9)</f>
        <v>11.2051</v>
      </c>
      <c r="I341" s="33">
        <f>11.2087 * CHOOSE(CONTROL!$C$32, $C$9, 100%, $E$9)</f>
        <v>11.2087</v>
      </c>
      <c r="J341" s="33">
        <f>11.2051 * CHOOSE(CONTROL!$C$32, $C$9, 100%, $E$9)</f>
        <v>11.2051</v>
      </c>
      <c r="K341" s="33">
        <f>11.2087 * CHOOSE(CONTROL!$C$32, $C$9, 100%, $E$9)</f>
        <v>11.2087</v>
      </c>
      <c r="L341" s="33">
        <f>6.6687 * CHOOSE(CONTROL!$C$32, $C$9, 100%, $E$9)</f>
        <v>6.6687000000000003</v>
      </c>
      <c r="M341" s="33">
        <f>6.6723 * CHOOSE(CONTROL!$C$32, $C$9, 100%, $E$9)</f>
        <v>6.6722999999999999</v>
      </c>
      <c r="N341" s="33">
        <f>6.6687 * CHOOSE(CONTROL!$C$32, $C$9, 100%, $E$9)</f>
        <v>6.6687000000000003</v>
      </c>
      <c r="O341" s="33">
        <f>6.6723 * CHOOSE(CONTROL!$C$32, $C$9, 100%, $E$9)</f>
        <v>6.6722999999999999</v>
      </c>
    </row>
    <row r="342" spans="1:15" ht="15" x14ac:dyDescent="0.2">
      <c r="A342" s="16">
        <v>51257</v>
      </c>
      <c r="B342" s="32">
        <f>5.2649 * CHOOSE(CONTROL!$C$32, $C$9, 100%, $E$9)</f>
        <v>5.2648999999999999</v>
      </c>
      <c r="C342" s="32">
        <f>5.2649 * CHOOSE(CONTROL!$C$32, $C$9, 100%, $E$9)</f>
        <v>5.2648999999999999</v>
      </c>
      <c r="D342" s="32">
        <f>5.2665 * CHOOSE(CONTROL!$C$32, $C$9, 100%, $E$9)</f>
        <v>5.2664999999999997</v>
      </c>
      <c r="E342" s="33">
        <f>6.7052 * CHOOSE(CONTROL!$C$32, $C$9, 100%, $E$9)</f>
        <v>6.7051999999999996</v>
      </c>
      <c r="F342" s="33">
        <f>6.7052 * CHOOSE(CONTROL!$C$32, $C$9, 100%, $E$9)</f>
        <v>6.7051999999999996</v>
      </c>
      <c r="G342" s="33">
        <f>6.7105 * CHOOSE(CONTROL!$C$32, $C$9, 100%, $E$9)</f>
        <v>6.7104999999999997</v>
      </c>
      <c r="H342" s="33">
        <f>11.2284 * CHOOSE(CONTROL!$C$32, $C$9, 100%, $E$9)</f>
        <v>11.228400000000001</v>
      </c>
      <c r="I342" s="33">
        <f>11.2337 * CHOOSE(CONTROL!$C$32, $C$9, 100%, $E$9)</f>
        <v>11.233700000000001</v>
      </c>
      <c r="J342" s="33">
        <f>11.2284 * CHOOSE(CONTROL!$C$32, $C$9, 100%, $E$9)</f>
        <v>11.228400000000001</v>
      </c>
      <c r="K342" s="33">
        <f>11.2337 * CHOOSE(CONTROL!$C$32, $C$9, 100%, $E$9)</f>
        <v>11.233700000000001</v>
      </c>
      <c r="L342" s="33">
        <f>6.7052 * CHOOSE(CONTROL!$C$32, $C$9, 100%, $E$9)</f>
        <v>6.7051999999999996</v>
      </c>
      <c r="M342" s="33">
        <f>6.7105 * CHOOSE(CONTROL!$C$32, $C$9, 100%, $E$9)</f>
        <v>6.7104999999999997</v>
      </c>
      <c r="N342" s="33">
        <f>6.7052 * CHOOSE(CONTROL!$C$32, $C$9, 100%, $E$9)</f>
        <v>6.7051999999999996</v>
      </c>
      <c r="O342" s="33">
        <f>6.7105 * CHOOSE(CONTROL!$C$32, $C$9, 100%, $E$9)</f>
        <v>6.7104999999999997</v>
      </c>
    </row>
    <row r="343" spans="1:15" ht="15" x14ac:dyDescent="0.2">
      <c r="A343" s="16">
        <v>51288</v>
      </c>
      <c r="B343" s="32">
        <f>5.271 * CHOOSE(CONTROL!$C$32, $C$9, 100%, $E$9)</f>
        <v>5.2709999999999999</v>
      </c>
      <c r="C343" s="32">
        <f>5.271 * CHOOSE(CONTROL!$C$32, $C$9, 100%, $E$9)</f>
        <v>5.2709999999999999</v>
      </c>
      <c r="D343" s="32">
        <f>5.2726 * CHOOSE(CONTROL!$C$32, $C$9, 100%, $E$9)</f>
        <v>5.2725999999999997</v>
      </c>
      <c r="E343" s="33">
        <f>6.673 * CHOOSE(CONTROL!$C$32, $C$9, 100%, $E$9)</f>
        <v>6.673</v>
      </c>
      <c r="F343" s="33">
        <f>6.673 * CHOOSE(CONTROL!$C$32, $C$9, 100%, $E$9)</f>
        <v>6.673</v>
      </c>
      <c r="G343" s="33">
        <f>6.6782 * CHOOSE(CONTROL!$C$32, $C$9, 100%, $E$9)</f>
        <v>6.6782000000000004</v>
      </c>
      <c r="H343" s="33">
        <f>11.2518 * CHOOSE(CONTROL!$C$32, $C$9, 100%, $E$9)</f>
        <v>11.251799999999999</v>
      </c>
      <c r="I343" s="33">
        <f>11.2571 * CHOOSE(CONTROL!$C$32, $C$9, 100%, $E$9)</f>
        <v>11.257099999999999</v>
      </c>
      <c r="J343" s="33">
        <f>11.2518 * CHOOSE(CONTROL!$C$32, $C$9, 100%, $E$9)</f>
        <v>11.251799999999999</v>
      </c>
      <c r="K343" s="33">
        <f>11.2571 * CHOOSE(CONTROL!$C$32, $C$9, 100%, $E$9)</f>
        <v>11.257099999999999</v>
      </c>
      <c r="L343" s="33">
        <f>6.673 * CHOOSE(CONTROL!$C$32, $C$9, 100%, $E$9)</f>
        <v>6.673</v>
      </c>
      <c r="M343" s="33">
        <f>6.6782 * CHOOSE(CONTROL!$C$32, $C$9, 100%, $E$9)</f>
        <v>6.6782000000000004</v>
      </c>
      <c r="N343" s="33">
        <f>6.673 * CHOOSE(CONTROL!$C$32, $C$9, 100%, $E$9)</f>
        <v>6.673</v>
      </c>
      <c r="O343" s="33">
        <f>6.6782 * CHOOSE(CONTROL!$C$32, $C$9, 100%, $E$9)</f>
        <v>6.6782000000000004</v>
      </c>
    </row>
    <row r="344" spans="1:15" ht="15" x14ac:dyDescent="0.2">
      <c r="A344" s="16">
        <v>51318</v>
      </c>
      <c r="B344" s="32">
        <f>5.345 * CHOOSE(CONTROL!$C$32, $C$9, 100%, $E$9)</f>
        <v>5.3449999999999998</v>
      </c>
      <c r="C344" s="32">
        <f>5.345 * CHOOSE(CONTROL!$C$32, $C$9, 100%, $E$9)</f>
        <v>5.3449999999999998</v>
      </c>
      <c r="D344" s="32">
        <f>5.3466 * CHOOSE(CONTROL!$C$32, $C$9, 100%, $E$9)</f>
        <v>5.3465999999999996</v>
      </c>
      <c r="E344" s="33">
        <f>6.6813 * CHOOSE(CONTROL!$C$32, $C$9, 100%, $E$9)</f>
        <v>6.6813000000000002</v>
      </c>
      <c r="F344" s="33">
        <f>6.6813 * CHOOSE(CONTROL!$C$32, $C$9, 100%, $E$9)</f>
        <v>6.6813000000000002</v>
      </c>
      <c r="G344" s="33">
        <f>6.6866 * CHOOSE(CONTROL!$C$32, $C$9, 100%, $E$9)</f>
        <v>6.6866000000000003</v>
      </c>
      <c r="H344" s="33">
        <f>11.2753 * CHOOSE(CONTROL!$C$32, $C$9, 100%, $E$9)</f>
        <v>11.2753</v>
      </c>
      <c r="I344" s="33">
        <f>11.2806 * CHOOSE(CONTROL!$C$32, $C$9, 100%, $E$9)</f>
        <v>11.2806</v>
      </c>
      <c r="J344" s="33">
        <f>11.2753 * CHOOSE(CONTROL!$C$32, $C$9, 100%, $E$9)</f>
        <v>11.2753</v>
      </c>
      <c r="K344" s="33">
        <f>11.2806 * CHOOSE(CONTROL!$C$32, $C$9, 100%, $E$9)</f>
        <v>11.2806</v>
      </c>
      <c r="L344" s="33">
        <f>6.6813 * CHOOSE(CONTROL!$C$32, $C$9, 100%, $E$9)</f>
        <v>6.6813000000000002</v>
      </c>
      <c r="M344" s="33">
        <f>6.6866 * CHOOSE(CONTROL!$C$32, $C$9, 100%, $E$9)</f>
        <v>6.6866000000000003</v>
      </c>
      <c r="N344" s="33">
        <f>6.6813 * CHOOSE(CONTROL!$C$32, $C$9, 100%, $E$9)</f>
        <v>6.6813000000000002</v>
      </c>
      <c r="O344" s="33">
        <f>6.6866 * CHOOSE(CONTROL!$C$32, $C$9, 100%, $E$9)</f>
        <v>6.6866000000000003</v>
      </c>
    </row>
    <row r="345" spans="1:15" ht="15" x14ac:dyDescent="0.2">
      <c r="A345" s="16">
        <v>51349</v>
      </c>
      <c r="B345" s="32">
        <f>5.3517 * CHOOSE(CONTROL!$C$32, $C$9, 100%, $E$9)</f>
        <v>5.3517000000000001</v>
      </c>
      <c r="C345" s="32">
        <f>5.3517 * CHOOSE(CONTROL!$C$32, $C$9, 100%, $E$9)</f>
        <v>5.3517000000000001</v>
      </c>
      <c r="D345" s="32">
        <f>5.3533 * CHOOSE(CONTROL!$C$32, $C$9, 100%, $E$9)</f>
        <v>5.3532999999999999</v>
      </c>
      <c r="E345" s="33">
        <f>6.5764 * CHOOSE(CONTROL!$C$32, $C$9, 100%, $E$9)</f>
        <v>6.5763999999999996</v>
      </c>
      <c r="F345" s="33">
        <f>6.5764 * CHOOSE(CONTROL!$C$32, $C$9, 100%, $E$9)</f>
        <v>6.5763999999999996</v>
      </c>
      <c r="G345" s="33">
        <f>6.5817 * CHOOSE(CONTROL!$C$32, $C$9, 100%, $E$9)</f>
        <v>6.5816999999999997</v>
      </c>
      <c r="H345" s="33">
        <f>11.2988 * CHOOSE(CONTROL!$C$32, $C$9, 100%, $E$9)</f>
        <v>11.2988</v>
      </c>
      <c r="I345" s="33">
        <f>11.3041 * CHOOSE(CONTROL!$C$32, $C$9, 100%, $E$9)</f>
        <v>11.3041</v>
      </c>
      <c r="J345" s="33">
        <f>11.2988 * CHOOSE(CONTROL!$C$32, $C$9, 100%, $E$9)</f>
        <v>11.2988</v>
      </c>
      <c r="K345" s="33">
        <f>11.3041 * CHOOSE(CONTROL!$C$32, $C$9, 100%, $E$9)</f>
        <v>11.3041</v>
      </c>
      <c r="L345" s="33">
        <f>6.5764 * CHOOSE(CONTROL!$C$32, $C$9, 100%, $E$9)</f>
        <v>6.5763999999999996</v>
      </c>
      <c r="M345" s="33">
        <f>6.5817 * CHOOSE(CONTROL!$C$32, $C$9, 100%, $E$9)</f>
        <v>6.5816999999999997</v>
      </c>
      <c r="N345" s="33">
        <f>6.5764 * CHOOSE(CONTROL!$C$32, $C$9, 100%, $E$9)</f>
        <v>6.5763999999999996</v>
      </c>
      <c r="O345" s="33">
        <f>6.5817 * CHOOSE(CONTROL!$C$32, $C$9, 100%, $E$9)</f>
        <v>6.5816999999999997</v>
      </c>
    </row>
    <row r="346" spans="1:15" ht="15" x14ac:dyDescent="0.2">
      <c r="A346" s="16">
        <v>51380</v>
      </c>
      <c r="B346" s="32">
        <f>5.3487 * CHOOSE(CONTROL!$C$32, $C$9, 100%, $E$9)</f>
        <v>5.3487</v>
      </c>
      <c r="C346" s="32">
        <f>5.3487 * CHOOSE(CONTROL!$C$32, $C$9, 100%, $E$9)</f>
        <v>5.3487</v>
      </c>
      <c r="D346" s="32">
        <f>5.3502 * CHOOSE(CONTROL!$C$32, $C$9, 100%, $E$9)</f>
        <v>5.3502000000000001</v>
      </c>
      <c r="E346" s="33">
        <f>6.5621 * CHOOSE(CONTROL!$C$32, $C$9, 100%, $E$9)</f>
        <v>6.5621</v>
      </c>
      <c r="F346" s="33">
        <f>6.5621 * CHOOSE(CONTROL!$C$32, $C$9, 100%, $E$9)</f>
        <v>6.5621</v>
      </c>
      <c r="G346" s="33">
        <f>6.5674 * CHOOSE(CONTROL!$C$32, $C$9, 100%, $E$9)</f>
        <v>6.5674000000000001</v>
      </c>
      <c r="H346" s="33">
        <f>11.3223 * CHOOSE(CONTROL!$C$32, $C$9, 100%, $E$9)</f>
        <v>11.3223</v>
      </c>
      <c r="I346" s="33">
        <f>11.3276 * CHOOSE(CONTROL!$C$32, $C$9, 100%, $E$9)</f>
        <v>11.3276</v>
      </c>
      <c r="J346" s="33">
        <f>11.3223 * CHOOSE(CONTROL!$C$32, $C$9, 100%, $E$9)</f>
        <v>11.3223</v>
      </c>
      <c r="K346" s="33">
        <f>11.3276 * CHOOSE(CONTROL!$C$32, $C$9, 100%, $E$9)</f>
        <v>11.3276</v>
      </c>
      <c r="L346" s="33">
        <f>6.5621 * CHOOSE(CONTROL!$C$32, $C$9, 100%, $E$9)</f>
        <v>6.5621</v>
      </c>
      <c r="M346" s="33">
        <f>6.5674 * CHOOSE(CONTROL!$C$32, $C$9, 100%, $E$9)</f>
        <v>6.5674000000000001</v>
      </c>
      <c r="N346" s="33">
        <f>6.5621 * CHOOSE(CONTROL!$C$32, $C$9, 100%, $E$9)</f>
        <v>6.5621</v>
      </c>
      <c r="O346" s="33">
        <f>6.5674 * CHOOSE(CONTROL!$C$32, $C$9, 100%, $E$9)</f>
        <v>6.5674000000000001</v>
      </c>
    </row>
    <row r="347" spans="1:15" ht="15" x14ac:dyDescent="0.2">
      <c r="A347" s="16">
        <v>51410</v>
      </c>
      <c r="B347" s="32">
        <f>5.3487 * CHOOSE(CONTROL!$C$32, $C$9, 100%, $E$9)</f>
        <v>5.3487</v>
      </c>
      <c r="C347" s="32">
        <f>5.3487 * CHOOSE(CONTROL!$C$32, $C$9, 100%, $E$9)</f>
        <v>5.3487</v>
      </c>
      <c r="D347" s="32">
        <f>5.3498 * CHOOSE(CONTROL!$C$32, $C$9, 100%, $E$9)</f>
        <v>5.3498000000000001</v>
      </c>
      <c r="E347" s="33">
        <f>6.5974 * CHOOSE(CONTROL!$C$32, $C$9, 100%, $E$9)</f>
        <v>6.5974000000000004</v>
      </c>
      <c r="F347" s="33">
        <f>6.5974 * CHOOSE(CONTROL!$C$32, $C$9, 100%, $E$9)</f>
        <v>6.5974000000000004</v>
      </c>
      <c r="G347" s="33">
        <f>6.601 * CHOOSE(CONTROL!$C$32, $C$9, 100%, $E$9)</f>
        <v>6.601</v>
      </c>
      <c r="H347" s="33">
        <f>11.3459 * CHOOSE(CONTROL!$C$32, $C$9, 100%, $E$9)</f>
        <v>11.3459</v>
      </c>
      <c r="I347" s="33">
        <f>11.3495 * CHOOSE(CONTROL!$C$32, $C$9, 100%, $E$9)</f>
        <v>11.349500000000001</v>
      </c>
      <c r="J347" s="33">
        <f>11.3459 * CHOOSE(CONTROL!$C$32, $C$9, 100%, $E$9)</f>
        <v>11.3459</v>
      </c>
      <c r="K347" s="33">
        <f>11.3495 * CHOOSE(CONTROL!$C$32, $C$9, 100%, $E$9)</f>
        <v>11.349500000000001</v>
      </c>
      <c r="L347" s="33">
        <f>6.5974 * CHOOSE(CONTROL!$C$32, $C$9, 100%, $E$9)</f>
        <v>6.5974000000000004</v>
      </c>
      <c r="M347" s="33">
        <f>6.601 * CHOOSE(CONTROL!$C$32, $C$9, 100%, $E$9)</f>
        <v>6.601</v>
      </c>
      <c r="N347" s="33">
        <f>6.5974 * CHOOSE(CONTROL!$C$32, $C$9, 100%, $E$9)</f>
        <v>6.5974000000000004</v>
      </c>
      <c r="O347" s="33">
        <f>6.601 * CHOOSE(CONTROL!$C$32, $C$9, 100%, $E$9)</f>
        <v>6.601</v>
      </c>
    </row>
    <row r="348" spans="1:15" ht="15" x14ac:dyDescent="0.2">
      <c r="A348" s="16">
        <v>51441</v>
      </c>
      <c r="B348" s="32">
        <f>5.3518 * CHOOSE(CONTROL!$C$32, $C$9, 100%, $E$9)</f>
        <v>5.3517999999999999</v>
      </c>
      <c r="C348" s="32">
        <f>5.3518 * CHOOSE(CONTROL!$C$32, $C$9, 100%, $E$9)</f>
        <v>5.3517999999999999</v>
      </c>
      <c r="D348" s="32">
        <f>5.3528 * CHOOSE(CONTROL!$C$32, $C$9, 100%, $E$9)</f>
        <v>5.3528000000000002</v>
      </c>
      <c r="E348" s="33">
        <f>6.6239 * CHOOSE(CONTROL!$C$32, $C$9, 100%, $E$9)</f>
        <v>6.6238999999999999</v>
      </c>
      <c r="F348" s="33">
        <f>6.6239 * CHOOSE(CONTROL!$C$32, $C$9, 100%, $E$9)</f>
        <v>6.6238999999999999</v>
      </c>
      <c r="G348" s="33">
        <f>6.6275 * CHOOSE(CONTROL!$C$32, $C$9, 100%, $E$9)</f>
        <v>6.6275000000000004</v>
      </c>
      <c r="H348" s="33">
        <f>11.3695 * CHOOSE(CONTROL!$C$32, $C$9, 100%, $E$9)</f>
        <v>11.3695</v>
      </c>
      <c r="I348" s="33">
        <f>11.3731 * CHOOSE(CONTROL!$C$32, $C$9, 100%, $E$9)</f>
        <v>11.373100000000001</v>
      </c>
      <c r="J348" s="33">
        <f>11.3695 * CHOOSE(CONTROL!$C$32, $C$9, 100%, $E$9)</f>
        <v>11.3695</v>
      </c>
      <c r="K348" s="33">
        <f>11.3731 * CHOOSE(CONTROL!$C$32, $C$9, 100%, $E$9)</f>
        <v>11.373100000000001</v>
      </c>
      <c r="L348" s="33">
        <f>6.6239 * CHOOSE(CONTROL!$C$32, $C$9, 100%, $E$9)</f>
        <v>6.6238999999999999</v>
      </c>
      <c r="M348" s="33">
        <f>6.6275 * CHOOSE(CONTROL!$C$32, $C$9, 100%, $E$9)</f>
        <v>6.6275000000000004</v>
      </c>
      <c r="N348" s="33">
        <f>6.6239 * CHOOSE(CONTROL!$C$32, $C$9, 100%, $E$9)</f>
        <v>6.6238999999999999</v>
      </c>
      <c r="O348" s="33">
        <f>6.6275 * CHOOSE(CONTROL!$C$32, $C$9, 100%, $E$9)</f>
        <v>6.6275000000000004</v>
      </c>
    </row>
    <row r="349" spans="1:15" ht="15" x14ac:dyDescent="0.2">
      <c r="A349" s="16">
        <v>51471</v>
      </c>
      <c r="B349" s="32">
        <f>5.3518 * CHOOSE(CONTROL!$C$32, $C$9, 100%, $E$9)</f>
        <v>5.3517999999999999</v>
      </c>
      <c r="C349" s="32">
        <f>5.3518 * CHOOSE(CONTROL!$C$32, $C$9, 100%, $E$9)</f>
        <v>5.3517999999999999</v>
      </c>
      <c r="D349" s="32">
        <f>5.3528 * CHOOSE(CONTROL!$C$32, $C$9, 100%, $E$9)</f>
        <v>5.3528000000000002</v>
      </c>
      <c r="E349" s="33">
        <f>6.563 * CHOOSE(CONTROL!$C$32, $C$9, 100%, $E$9)</f>
        <v>6.5629999999999997</v>
      </c>
      <c r="F349" s="33">
        <f>6.563 * CHOOSE(CONTROL!$C$32, $C$9, 100%, $E$9)</f>
        <v>6.5629999999999997</v>
      </c>
      <c r="G349" s="33">
        <f>6.5666 * CHOOSE(CONTROL!$C$32, $C$9, 100%, $E$9)</f>
        <v>6.5666000000000002</v>
      </c>
      <c r="H349" s="33">
        <f>11.3932 * CHOOSE(CONTROL!$C$32, $C$9, 100%, $E$9)</f>
        <v>11.3932</v>
      </c>
      <c r="I349" s="33">
        <f>11.3968 * CHOOSE(CONTROL!$C$32, $C$9, 100%, $E$9)</f>
        <v>11.396800000000001</v>
      </c>
      <c r="J349" s="33">
        <f>11.3932 * CHOOSE(CONTROL!$C$32, $C$9, 100%, $E$9)</f>
        <v>11.3932</v>
      </c>
      <c r="K349" s="33">
        <f>11.3968 * CHOOSE(CONTROL!$C$32, $C$9, 100%, $E$9)</f>
        <v>11.396800000000001</v>
      </c>
      <c r="L349" s="33">
        <f>6.563 * CHOOSE(CONTROL!$C$32, $C$9, 100%, $E$9)</f>
        <v>6.5629999999999997</v>
      </c>
      <c r="M349" s="33">
        <f>6.5666 * CHOOSE(CONTROL!$C$32, $C$9, 100%, $E$9)</f>
        <v>6.5666000000000002</v>
      </c>
      <c r="N349" s="33">
        <f>6.563 * CHOOSE(CONTROL!$C$32, $C$9, 100%, $E$9)</f>
        <v>6.5629999999999997</v>
      </c>
      <c r="O349" s="33">
        <f>6.5666 * CHOOSE(CONTROL!$C$32, $C$9, 100%, $E$9)</f>
        <v>6.5666000000000002</v>
      </c>
    </row>
    <row r="350" spans="1:15" ht="15" x14ac:dyDescent="0.2">
      <c r="A350" s="16">
        <v>51502</v>
      </c>
      <c r="B350" s="32">
        <f>5.3929 * CHOOSE(CONTROL!$C$32, $C$9, 100%, $E$9)</f>
        <v>5.3929</v>
      </c>
      <c r="C350" s="32">
        <f>5.3929 * CHOOSE(CONTROL!$C$32, $C$9, 100%, $E$9)</f>
        <v>5.3929</v>
      </c>
      <c r="D350" s="32">
        <f>5.3939 * CHOOSE(CONTROL!$C$32, $C$9, 100%, $E$9)</f>
        <v>5.3939000000000004</v>
      </c>
      <c r="E350" s="33">
        <f>6.6304 * CHOOSE(CONTROL!$C$32, $C$9, 100%, $E$9)</f>
        <v>6.6303999999999998</v>
      </c>
      <c r="F350" s="33">
        <f>6.6304 * CHOOSE(CONTROL!$C$32, $C$9, 100%, $E$9)</f>
        <v>6.6303999999999998</v>
      </c>
      <c r="G350" s="33">
        <f>6.6341 * CHOOSE(CONTROL!$C$32, $C$9, 100%, $E$9)</f>
        <v>6.6341000000000001</v>
      </c>
      <c r="H350" s="33">
        <f>11.4169 * CHOOSE(CONTROL!$C$32, $C$9, 100%, $E$9)</f>
        <v>11.4169</v>
      </c>
      <c r="I350" s="33">
        <f>11.4206 * CHOOSE(CONTROL!$C$32, $C$9, 100%, $E$9)</f>
        <v>11.4206</v>
      </c>
      <c r="J350" s="33">
        <f>11.4169 * CHOOSE(CONTROL!$C$32, $C$9, 100%, $E$9)</f>
        <v>11.4169</v>
      </c>
      <c r="K350" s="33">
        <f>11.4206 * CHOOSE(CONTROL!$C$32, $C$9, 100%, $E$9)</f>
        <v>11.4206</v>
      </c>
      <c r="L350" s="33">
        <f>6.6304 * CHOOSE(CONTROL!$C$32, $C$9, 100%, $E$9)</f>
        <v>6.6303999999999998</v>
      </c>
      <c r="M350" s="33">
        <f>6.6341 * CHOOSE(CONTROL!$C$32, $C$9, 100%, $E$9)</f>
        <v>6.6341000000000001</v>
      </c>
      <c r="N350" s="33">
        <f>6.6304 * CHOOSE(CONTROL!$C$32, $C$9, 100%, $E$9)</f>
        <v>6.6303999999999998</v>
      </c>
      <c r="O350" s="33">
        <f>6.6341 * CHOOSE(CONTROL!$C$32, $C$9, 100%, $E$9)</f>
        <v>6.6341000000000001</v>
      </c>
    </row>
    <row r="351" spans="1:15" ht="15" x14ac:dyDescent="0.2">
      <c r="A351" s="16">
        <v>51533</v>
      </c>
      <c r="B351" s="32">
        <f>5.3898 * CHOOSE(CONTROL!$C$32, $C$9, 100%, $E$9)</f>
        <v>5.3898000000000001</v>
      </c>
      <c r="C351" s="32">
        <f>5.3898 * CHOOSE(CONTROL!$C$32, $C$9, 100%, $E$9)</f>
        <v>5.3898000000000001</v>
      </c>
      <c r="D351" s="32">
        <f>5.3909 * CHOOSE(CONTROL!$C$32, $C$9, 100%, $E$9)</f>
        <v>5.3909000000000002</v>
      </c>
      <c r="E351" s="33">
        <f>6.5096 * CHOOSE(CONTROL!$C$32, $C$9, 100%, $E$9)</f>
        <v>6.5095999999999998</v>
      </c>
      <c r="F351" s="33">
        <f>6.5096 * CHOOSE(CONTROL!$C$32, $C$9, 100%, $E$9)</f>
        <v>6.5095999999999998</v>
      </c>
      <c r="G351" s="33">
        <f>6.5132 * CHOOSE(CONTROL!$C$32, $C$9, 100%, $E$9)</f>
        <v>6.5132000000000003</v>
      </c>
      <c r="H351" s="33">
        <f>11.4407 * CHOOSE(CONTROL!$C$32, $C$9, 100%, $E$9)</f>
        <v>11.4407</v>
      </c>
      <c r="I351" s="33">
        <f>11.4443 * CHOOSE(CONTROL!$C$32, $C$9, 100%, $E$9)</f>
        <v>11.4443</v>
      </c>
      <c r="J351" s="33">
        <f>11.4407 * CHOOSE(CONTROL!$C$32, $C$9, 100%, $E$9)</f>
        <v>11.4407</v>
      </c>
      <c r="K351" s="33">
        <f>11.4443 * CHOOSE(CONTROL!$C$32, $C$9, 100%, $E$9)</f>
        <v>11.4443</v>
      </c>
      <c r="L351" s="33">
        <f>6.5096 * CHOOSE(CONTROL!$C$32, $C$9, 100%, $E$9)</f>
        <v>6.5095999999999998</v>
      </c>
      <c r="M351" s="33">
        <f>6.5132 * CHOOSE(CONTROL!$C$32, $C$9, 100%, $E$9)</f>
        <v>6.5132000000000003</v>
      </c>
      <c r="N351" s="33">
        <f>6.5096 * CHOOSE(CONTROL!$C$32, $C$9, 100%, $E$9)</f>
        <v>6.5095999999999998</v>
      </c>
      <c r="O351" s="33">
        <f>6.5132 * CHOOSE(CONTROL!$C$32, $C$9, 100%, $E$9)</f>
        <v>6.5132000000000003</v>
      </c>
    </row>
    <row r="352" spans="1:15" ht="15" x14ac:dyDescent="0.2">
      <c r="A352" s="16">
        <v>51561</v>
      </c>
      <c r="B352" s="32">
        <f>5.3868 * CHOOSE(CONTROL!$C$32, $C$9, 100%, $E$9)</f>
        <v>5.3868</v>
      </c>
      <c r="C352" s="32">
        <f>5.3868 * CHOOSE(CONTROL!$C$32, $C$9, 100%, $E$9)</f>
        <v>5.3868</v>
      </c>
      <c r="D352" s="32">
        <f>5.3878 * CHOOSE(CONTROL!$C$32, $C$9, 100%, $E$9)</f>
        <v>5.3878000000000004</v>
      </c>
      <c r="E352" s="33">
        <f>6.6011 * CHOOSE(CONTROL!$C$32, $C$9, 100%, $E$9)</f>
        <v>6.6010999999999997</v>
      </c>
      <c r="F352" s="33">
        <f>6.6011 * CHOOSE(CONTROL!$C$32, $C$9, 100%, $E$9)</f>
        <v>6.6010999999999997</v>
      </c>
      <c r="G352" s="33">
        <f>6.6047 * CHOOSE(CONTROL!$C$32, $C$9, 100%, $E$9)</f>
        <v>6.6047000000000002</v>
      </c>
      <c r="H352" s="33">
        <f>11.4646 * CHOOSE(CONTROL!$C$32, $C$9, 100%, $E$9)</f>
        <v>11.464600000000001</v>
      </c>
      <c r="I352" s="33">
        <f>11.4682 * CHOOSE(CONTROL!$C$32, $C$9, 100%, $E$9)</f>
        <v>11.4682</v>
      </c>
      <c r="J352" s="33">
        <f>11.4646 * CHOOSE(CONTROL!$C$32, $C$9, 100%, $E$9)</f>
        <v>11.464600000000001</v>
      </c>
      <c r="K352" s="33">
        <f>11.4682 * CHOOSE(CONTROL!$C$32, $C$9, 100%, $E$9)</f>
        <v>11.4682</v>
      </c>
      <c r="L352" s="33">
        <f>6.6011 * CHOOSE(CONTROL!$C$32, $C$9, 100%, $E$9)</f>
        <v>6.6010999999999997</v>
      </c>
      <c r="M352" s="33">
        <f>6.6047 * CHOOSE(CONTROL!$C$32, $C$9, 100%, $E$9)</f>
        <v>6.6047000000000002</v>
      </c>
      <c r="N352" s="33">
        <f>6.6011 * CHOOSE(CONTROL!$C$32, $C$9, 100%, $E$9)</f>
        <v>6.6010999999999997</v>
      </c>
      <c r="O352" s="33">
        <f>6.6047 * CHOOSE(CONTROL!$C$32, $C$9, 100%, $E$9)</f>
        <v>6.6047000000000002</v>
      </c>
    </row>
    <row r="353" spans="1:15" ht="15" x14ac:dyDescent="0.2">
      <c r="A353" s="16">
        <v>51592</v>
      </c>
      <c r="B353" s="32">
        <f>5.3858 * CHOOSE(CONTROL!$C$32, $C$9, 100%, $E$9)</f>
        <v>5.3857999999999997</v>
      </c>
      <c r="C353" s="32">
        <f>5.3858 * CHOOSE(CONTROL!$C$32, $C$9, 100%, $E$9)</f>
        <v>5.3857999999999997</v>
      </c>
      <c r="D353" s="32">
        <f>5.3868 * CHOOSE(CONTROL!$C$32, $C$9, 100%, $E$9)</f>
        <v>5.3868</v>
      </c>
      <c r="E353" s="33">
        <f>6.6974 * CHOOSE(CONTROL!$C$32, $C$9, 100%, $E$9)</f>
        <v>6.6974</v>
      </c>
      <c r="F353" s="33">
        <f>6.6974 * CHOOSE(CONTROL!$C$32, $C$9, 100%, $E$9)</f>
        <v>6.6974</v>
      </c>
      <c r="G353" s="33">
        <f>6.701 * CHOOSE(CONTROL!$C$32, $C$9, 100%, $E$9)</f>
        <v>6.7009999999999996</v>
      </c>
      <c r="H353" s="33">
        <f>11.4884 * CHOOSE(CONTROL!$C$32, $C$9, 100%, $E$9)</f>
        <v>11.4884</v>
      </c>
      <c r="I353" s="33">
        <f>11.4921 * CHOOSE(CONTROL!$C$32, $C$9, 100%, $E$9)</f>
        <v>11.492100000000001</v>
      </c>
      <c r="J353" s="33">
        <f>11.4884 * CHOOSE(CONTROL!$C$32, $C$9, 100%, $E$9)</f>
        <v>11.4884</v>
      </c>
      <c r="K353" s="33">
        <f>11.4921 * CHOOSE(CONTROL!$C$32, $C$9, 100%, $E$9)</f>
        <v>11.492100000000001</v>
      </c>
      <c r="L353" s="33">
        <f>6.6974 * CHOOSE(CONTROL!$C$32, $C$9, 100%, $E$9)</f>
        <v>6.6974</v>
      </c>
      <c r="M353" s="33">
        <f>6.701 * CHOOSE(CONTROL!$C$32, $C$9, 100%, $E$9)</f>
        <v>6.7009999999999996</v>
      </c>
      <c r="N353" s="33">
        <f>6.6974 * CHOOSE(CONTROL!$C$32, $C$9, 100%, $E$9)</f>
        <v>6.6974</v>
      </c>
      <c r="O353" s="33">
        <f>6.701 * CHOOSE(CONTROL!$C$32, $C$9, 100%, $E$9)</f>
        <v>6.7009999999999996</v>
      </c>
    </row>
    <row r="354" spans="1:15" ht="15" x14ac:dyDescent="0.2">
      <c r="A354" s="16">
        <v>51622</v>
      </c>
      <c r="B354" s="32">
        <f>5.3858 * CHOOSE(CONTROL!$C$32, $C$9, 100%, $E$9)</f>
        <v>5.3857999999999997</v>
      </c>
      <c r="C354" s="32">
        <f>5.3858 * CHOOSE(CONTROL!$C$32, $C$9, 100%, $E$9)</f>
        <v>5.3857999999999997</v>
      </c>
      <c r="D354" s="32">
        <f>5.3873 * CHOOSE(CONTROL!$C$32, $C$9, 100%, $E$9)</f>
        <v>5.3872999999999998</v>
      </c>
      <c r="E354" s="33">
        <f>6.7351 * CHOOSE(CONTROL!$C$32, $C$9, 100%, $E$9)</f>
        <v>6.7351000000000001</v>
      </c>
      <c r="F354" s="33">
        <f>6.7351 * CHOOSE(CONTROL!$C$32, $C$9, 100%, $E$9)</f>
        <v>6.7351000000000001</v>
      </c>
      <c r="G354" s="33">
        <f>6.7404 * CHOOSE(CONTROL!$C$32, $C$9, 100%, $E$9)</f>
        <v>6.7404000000000002</v>
      </c>
      <c r="H354" s="33">
        <f>11.5124 * CHOOSE(CONTROL!$C$32, $C$9, 100%, $E$9)</f>
        <v>11.5124</v>
      </c>
      <c r="I354" s="33">
        <f>11.5177 * CHOOSE(CONTROL!$C$32, $C$9, 100%, $E$9)</f>
        <v>11.5177</v>
      </c>
      <c r="J354" s="33">
        <f>11.5124 * CHOOSE(CONTROL!$C$32, $C$9, 100%, $E$9)</f>
        <v>11.5124</v>
      </c>
      <c r="K354" s="33">
        <f>11.5177 * CHOOSE(CONTROL!$C$32, $C$9, 100%, $E$9)</f>
        <v>11.5177</v>
      </c>
      <c r="L354" s="33">
        <f>6.7351 * CHOOSE(CONTROL!$C$32, $C$9, 100%, $E$9)</f>
        <v>6.7351000000000001</v>
      </c>
      <c r="M354" s="33">
        <f>6.7404 * CHOOSE(CONTROL!$C$32, $C$9, 100%, $E$9)</f>
        <v>6.7404000000000002</v>
      </c>
      <c r="N354" s="33">
        <f>6.7351 * CHOOSE(CONTROL!$C$32, $C$9, 100%, $E$9)</f>
        <v>6.7351000000000001</v>
      </c>
      <c r="O354" s="33">
        <f>6.7404 * CHOOSE(CONTROL!$C$32, $C$9, 100%, $E$9)</f>
        <v>6.7404000000000002</v>
      </c>
    </row>
    <row r="355" spans="1:15" ht="15" x14ac:dyDescent="0.2">
      <c r="A355" s="16">
        <v>51653</v>
      </c>
      <c r="B355" s="32">
        <f>5.3918 * CHOOSE(CONTROL!$C$32, $C$9, 100%, $E$9)</f>
        <v>5.3917999999999999</v>
      </c>
      <c r="C355" s="32">
        <f>5.3918 * CHOOSE(CONTROL!$C$32, $C$9, 100%, $E$9)</f>
        <v>5.3917999999999999</v>
      </c>
      <c r="D355" s="32">
        <f>5.3934 * CHOOSE(CONTROL!$C$32, $C$9, 100%, $E$9)</f>
        <v>5.3933999999999997</v>
      </c>
      <c r="E355" s="33">
        <f>6.7016 * CHOOSE(CONTROL!$C$32, $C$9, 100%, $E$9)</f>
        <v>6.7016</v>
      </c>
      <c r="F355" s="33">
        <f>6.7016 * CHOOSE(CONTROL!$C$32, $C$9, 100%, $E$9)</f>
        <v>6.7016</v>
      </c>
      <c r="G355" s="33">
        <f>6.7069 * CHOOSE(CONTROL!$C$32, $C$9, 100%, $E$9)</f>
        <v>6.7069000000000001</v>
      </c>
      <c r="H355" s="33">
        <f>11.5364 * CHOOSE(CONTROL!$C$32, $C$9, 100%, $E$9)</f>
        <v>11.5364</v>
      </c>
      <c r="I355" s="33">
        <f>11.5417 * CHOOSE(CONTROL!$C$32, $C$9, 100%, $E$9)</f>
        <v>11.541700000000001</v>
      </c>
      <c r="J355" s="33">
        <f>11.5364 * CHOOSE(CONTROL!$C$32, $C$9, 100%, $E$9)</f>
        <v>11.5364</v>
      </c>
      <c r="K355" s="33">
        <f>11.5417 * CHOOSE(CONTROL!$C$32, $C$9, 100%, $E$9)</f>
        <v>11.541700000000001</v>
      </c>
      <c r="L355" s="33">
        <f>6.7016 * CHOOSE(CONTROL!$C$32, $C$9, 100%, $E$9)</f>
        <v>6.7016</v>
      </c>
      <c r="M355" s="33">
        <f>6.7069 * CHOOSE(CONTROL!$C$32, $C$9, 100%, $E$9)</f>
        <v>6.7069000000000001</v>
      </c>
      <c r="N355" s="33">
        <f>6.7016 * CHOOSE(CONTROL!$C$32, $C$9, 100%, $E$9)</f>
        <v>6.7016</v>
      </c>
      <c r="O355" s="33">
        <f>6.7069 * CHOOSE(CONTROL!$C$32, $C$9, 100%, $E$9)</f>
        <v>6.7069000000000001</v>
      </c>
    </row>
    <row r="356" spans="1:15" ht="15" x14ac:dyDescent="0.2">
      <c r="A356" s="16">
        <v>51683</v>
      </c>
      <c r="B356" s="32">
        <f>5.4648 * CHOOSE(CONTROL!$C$32, $C$9, 100%, $E$9)</f>
        <v>5.4648000000000003</v>
      </c>
      <c r="C356" s="32">
        <f>5.4648 * CHOOSE(CONTROL!$C$32, $C$9, 100%, $E$9)</f>
        <v>5.4648000000000003</v>
      </c>
      <c r="D356" s="32">
        <f>5.4664 * CHOOSE(CONTROL!$C$32, $C$9, 100%, $E$9)</f>
        <v>5.4664000000000001</v>
      </c>
      <c r="E356" s="33">
        <f>6.7253 * CHOOSE(CONTROL!$C$32, $C$9, 100%, $E$9)</f>
        <v>6.7252999999999998</v>
      </c>
      <c r="F356" s="33">
        <f>6.7253 * CHOOSE(CONTROL!$C$32, $C$9, 100%, $E$9)</f>
        <v>6.7252999999999998</v>
      </c>
      <c r="G356" s="33">
        <f>6.7306 * CHOOSE(CONTROL!$C$32, $C$9, 100%, $E$9)</f>
        <v>6.7305999999999999</v>
      </c>
      <c r="H356" s="33">
        <f>11.5604 * CHOOSE(CONTROL!$C$32, $C$9, 100%, $E$9)</f>
        <v>11.5604</v>
      </c>
      <c r="I356" s="33">
        <f>11.5657 * CHOOSE(CONTROL!$C$32, $C$9, 100%, $E$9)</f>
        <v>11.5657</v>
      </c>
      <c r="J356" s="33">
        <f>11.5604 * CHOOSE(CONTROL!$C$32, $C$9, 100%, $E$9)</f>
        <v>11.5604</v>
      </c>
      <c r="K356" s="33">
        <f>11.5657 * CHOOSE(CONTROL!$C$32, $C$9, 100%, $E$9)</f>
        <v>11.5657</v>
      </c>
      <c r="L356" s="33">
        <f>6.7253 * CHOOSE(CONTROL!$C$32, $C$9, 100%, $E$9)</f>
        <v>6.7252999999999998</v>
      </c>
      <c r="M356" s="33">
        <f>6.7306 * CHOOSE(CONTROL!$C$32, $C$9, 100%, $E$9)</f>
        <v>6.7305999999999999</v>
      </c>
      <c r="N356" s="33">
        <f>6.7253 * CHOOSE(CONTROL!$C$32, $C$9, 100%, $E$9)</f>
        <v>6.7252999999999998</v>
      </c>
      <c r="O356" s="33">
        <f>6.7306 * CHOOSE(CONTROL!$C$32, $C$9, 100%, $E$9)</f>
        <v>6.7305999999999999</v>
      </c>
    </row>
    <row r="357" spans="1:15" ht="15" x14ac:dyDescent="0.2">
      <c r="A357" s="16">
        <v>51714</v>
      </c>
      <c r="B357" s="32">
        <f>5.4715 * CHOOSE(CONTROL!$C$32, $C$9, 100%, $E$9)</f>
        <v>5.4714999999999998</v>
      </c>
      <c r="C357" s="32">
        <f>5.4715 * CHOOSE(CONTROL!$C$32, $C$9, 100%, $E$9)</f>
        <v>5.4714999999999998</v>
      </c>
      <c r="D357" s="32">
        <f>5.4731 * CHOOSE(CONTROL!$C$32, $C$9, 100%, $E$9)</f>
        <v>5.4730999999999996</v>
      </c>
      <c r="E357" s="33">
        <f>6.6169 * CHOOSE(CONTROL!$C$32, $C$9, 100%, $E$9)</f>
        <v>6.6169000000000002</v>
      </c>
      <c r="F357" s="33">
        <f>6.6169 * CHOOSE(CONTROL!$C$32, $C$9, 100%, $E$9)</f>
        <v>6.6169000000000002</v>
      </c>
      <c r="G357" s="33">
        <f>6.6222 * CHOOSE(CONTROL!$C$32, $C$9, 100%, $E$9)</f>
        <v>6.6222000000000003</v>
      </c>
      <c r="H357" s="33">
        <f>11.5845 * CHOOSE(CONTROL!$C$32, $C$9, 100%, $E$9)</f>
        <v>11.5845</v>
      </c>
      <c r="I357" s="33">
        <f>11.5898 * CHOOSE(CONTROL!$C$32, $C$9, 100%, $E$9)</f>
        <v>11.5898</v>
      </c>
      <c r="J357" s="33">
        <f>11.5845 * CHOOSE(CONTROL!$C$32, $C$9, 100%, $E$9)</f>
        <v>11.5845</v>
      </c>
      <c r="K357" s="33">
        <f>11.5898 * CHOOSE(CONTROL!$C$32, $C$9, 100%, $E$9)</f>
        <v>11.5898</v>
      </c>
      <c r="L357" s="33">
        <f>6.6169 * CHOOSE(CONTROL!$C$32, $C$9, 100%, $E$9)</f>
        <v>6.6169000000000002</v>
      </c>
      <c r="M357" s="33">
        <f>6.6222 * CHOOSE(CONTROL!$C$32, $C$9, 100%, $E$9)</f>
        <v>6.6222000000000003</v>
      </c>
      <c r="N357" s="33">
        <f>6.6169 * CHOOSE(CONTROL!$C$32, $C$9, 100%, $E$9)</f>
        <v>6.6169000000000002</v>
      </c>
      <c r="O357" s="33">
        <f>6.6222 * CHOOSE(CONTROL!$C$32, $C$9, 100%, $E$9)</f>
        <v>6.6222000000000003</v>
      </c>
    </row>
    <row r="358" spans="1:15" ht="15" x14ac:dyDescent="0.2">
      <c r="A358" s="16">
        <v>51745</v>
      </c>
      <c r="B358" s="32">
        <f>5.4685 * CHOOSE(CONTROL!$C$32, $C$9, 100%, $E$9)</f>
        <v>5.4684999999999997</v>
      </c>
      <c r="C358" s="32">
        <f>5.4685 * CHOOSE(CONTROL!$C$32, $C$9, 100%, $E$9)</f>
        <v>5.4684999999999997</v>
      </c>
      <c r="D358" s="32">
        <f>5.47 * CHOOSE(CONTROL!$C$32, $C$9, 100%, $E$9)</f>
        <v>5.47</v>
      </c>
      <c r="E358" s="33">
        <f>6.6022 * CHOOSE(CONTROL!$C$32, $C$9, 100%, $E$9)</f>
        <v>6.6021999999999998</v>
      </c>
      <c r="F358" s="33">
        <f>6.6022 * CHOOSE(CONTROL!$C$32, $C$9, 100%, $E$9)</f>
        <v>6.6021999999999998</v>
      </c>
      <c r="G358" s="33">
        <f>6.6075 * CHOOSE(CONTROL!$C$32, $C$9, 100%, $E$9)</f>
        <v>6.6074999999999999</v>
      </c>
      <c r="H358" s="33">
        <f>11.6086 * CHOOSE(CONTROL!$C$32, $C$9, 100%, $E$9)</f>
        <v>11.608599999999999</v>
      </c>
      <c r="I358" s="33">
        <f>11.6139 * CHOOSE(CONTROL!$C$32, $C$9, 100%, $E$9)</f>
        <v>11.613899999999999</v>
      </c>
      <c r="J358" s="33">
        <f>11.6086 * CHOOSE(CONTROL!$C$32, $C$9, 100%, $E$9)</f>
        <v>11.608599999999999</v>
      </c>
      <c r="K358" s="33">
        <f>11.6139 * CHOOSE(CONTROL!$C$32, $C$9, 100%, $E$9)</f>
        <v>11.613899999999999</v>
      </c>
      <c r="L358" s="33">
        <f>6.6022 * CHOOSE(CONTROL!$C$32, $C$9, 100%, $E$9)</f>
        <v>6.6021999999999998</v>
      </c>
      <c r="M358" s="33">
        <f>6.6075 * CHOOSE(CONTROL!$C$32, $C$9, 100%, $E$9)</f>
        <v>6.6074999999999999</v>
      </c>
      <c r="N358" s="33">
        <f>6.6022 * CHOOSE(CONTROL!$C$32, $C$9, 100%, $E$9)</f>
        <v>6.6021999999999998</v>
      </c>
      <c r="O358" s="33">
        <f>6.6075 * CHOOSE(CONTROL!$C$32, $C$9, 100%, $E$9)</f>
        <v>6.6074999999999999</v>
      </c>
    </row>
    <row r="359" spans="1:15" ht="15" x14ac:dyDescent="0.2">
      <c r="A359" s="16">
        <v>51775</v>
      </c>
      <c r="B359" s="32">
        <f>5.469 * CHOOSE(CONTROL!$C$32, $C$9, 100%, $E$9)</f>
        <v>5.4690000000000003</v>
      </c>
      <c r="C359" s="32">
        <f>5.469 * CHOOSE(CONTROL!$C$32, $C$9, 100%, $E$9)</f>
        <v>5.4690000000000003</v>
      </c>
      <c r="D359" s="32">
        <f>5.47 * CHOOSE(CONTROL!$C$32, $C$9, 100%, $E$9)</f>
        <v>5.47</v>
      </c>
      <c r="E359" s="33">
        <f>6.639 * CHOOSE(CONTROL!$C$32, $C$9, 100%, $E$9)</f>
        <v>6.6390000000000002</v>
      </c>
      <c r="F359" s="33">
        <f>6.639 * CHOOSE(CONTROL!$C$32, $C$9, 100%, $E$9)</f>
        <v>6.6390000000000002</v>
      </c>
      <c r="G359" s="33">
        <f>6.6427 * CHOOSE(CONTROL!$C$32, $C$9, 100%, $E$9)</f>
        <v>6.6426999999999996</v>
      </c>
      <c r="H359" s="33">
        <f>11.6328 * CHOOSE(CONTROL!$C$32, $C$9, 100%, $E$9)</f>
        <v>11.6328</v>
      </c>
      <c r="I359" s="33">
        <f>11.6364 * CHOOSE(CONTROL!$C$32, $C$9, 100%, $E$9)</f>
        <v>11.6364</v>
      </c>
      <c r="J359" s="33">
        <f>11.6328 * CHOOSE(CONTROL!$C$32, $C$9, 100%, $E$9)</f>
        <v>11.6328</v>
      </c>
      <c r="K359" s="33">
        <f>11.6364 * CHOOSE(CONTROL!$C$32, $C$9, 100%, $E$9)</f>
        <v>11.6364</v>
      </c>
      <c r="L359" s="33">
        <f>6.639 * CHOOSE(CONTROL!$C$32, $C$9, 100%, $E$9)</f>
        <v>6.6390000000000002</v>
      </c>
      <c r="M359" s="33">
        <f>6.6427 * CHOOSE(CONTROL!$C$32, $C$9, 100%, $E$9)</f>
        <v>6.6426999999999996</v>
      </c>
      <c r="N359" s="33">
        <f>6.639 * CHOOSE(CONTROL!$C$32, $C$9, 100%, $E$9)</f>
        <v>6.6390000000000002</v>
      </c>
      <c r="O359" s="33">
        <f>6.6427 * CHOOSE(CONTROL!$C$32, $C$9, 100%, $E$9)</f>
        <v>6.6426999999999996</v>
      </c>
    </row>
    <row r="360" spans="1:15" ht="15" x14ac:dyDescent="0.2">
      <c r="A360" s="16">
        <v>51806</v>
      </c>
      <c r="B360" s="32">
        <f>5.472 * CHOOSE(CONTROL!$C$32, $C$9, 100%, $E$9)</f>
        <v>5.4720000000000004</v>
      </c>
      <c r="C360" s="32">
        <f>5.472 * CHOOSE(CONTROL!$C$32, $C$9, 100%, $E$9)</f>
        <v>5.4720000000000004</v>
      </c>
      <c r="D360" s="32">
        <f>5.4731 * CHOOSE(CONTROL!$C$32, $C$9, 100%, $E$9)</f>
        <v>5.4730999999999996</v>
      </c>
      <c r="E360" s="33">
        <f>6.6663 * CHOOSE(CONTROL!$C$32, $C$9, 100%, $E$9)</f>
        <v>6.6662999999999997</v>
      </c>
      <c r="F360" s="33">
        <f>6.6663 * CHOOSE(CONTROL!$C$32, $C$9, 100%, $E$9)</f>
        <v>6.6662999999999997</v>
      </c>
      <c r="G360" s="33">
        <f>6.6699 * CHOOSE(CONTROL!$C$32, $C$9, 100%, $E$9)</f>
        <v>6.6699000000000002</v>
      </c>
      <c r="H360" s="33">
        <f>11.657 * CHOOSE(CONTROL!$C$32, $C$9, 100%, $E$9)</f>
        <v>11.657</v>
      </c>
      <c r="I360" s="33">
        <f>11.6607 * CHOOSE(CONTROL!$C$32, $C$9, 100%, $E$9)</f>
        <v>11.6607</v>
      </c>
      <c r="J360" s="33">
        <f>11.657 * CHOOSE(CONTROL!$C$32, $C$9, 100%, $E$9)</f>
        <v>11.657</v>
      </c>
      <c r="K360" s="33">
        <f>11.6607 * CHOOSE(CONTROL!$C$32, $C$9, 100%, $E$9)</f>
        <v>11.6607</v>
      </c>
      <c r="L360" s="33">
        <f>6.6663 * CHOOSE(CONTROL!$C$32, $C$9, 100%, $E$9)</f>
        <v>6.6662999999999997</v>
      </c>
      <c r="M360" s="33">
        <f>6.6699 * CHOOSE(CONTROL!$C$32, $C$9, 100%, $E$9)</f>
        <v>6.6699000000000002</v>
      </c>
      <c r="N360" s="33">
        <f>6.6663 * CHOOSE(CONTROL!$C$32, $C$9, 100%, $E$9)</f>
        <v>6.6662999999999997</v>
      </c>
      <c r="O360" s="33">
        <f>6.6699 * CHOOSE(CONTROL!$C$32, $C$9, 100%, $E$9)</f>
        <v>6.6699000000000002</v>
      </c>
    </row>
    <row r="361" spans="1:15" ht="15" x14ac:dyDescent="0.2">
      <c r="A361" s="16">
        <v>51836</v>
      </c>
      <c r="B361" s="32">
        <f>5.472 * CHOOSE(CONTROL!$C$32, $C$9, 100%, $E$9)</f>
        <v>5.4720000000000004</v>
      </c>
      <c r="C361" s="32">
        <f>5.472 * CHOOSE(CONTROL!$C$32, $C$9, 100%, $E$9)</f>
        <v>5.4720000000000004</v>
      </c>
      <c r="D361" s="32">
        <f>5.4731 * CHOOSE(CONTROL!$C$32, $C$9, 100%, $E$9)</f>
        <v>5.4730999999999996</v>
      </c>
      <c r="E361" s="33">
        <f>6.6035 * CHOOSE(CONTROL!$C$32, $C$9, 100%, $E$9)</f>
        <v>6.6035000000000004</v>
      </c>
      <c r="F361" s="33">
        <f>6.6035 * CHOOSE(CONTROL!$C$32, $C$9, 100%, $E$9)</f>
        <v>6.6035000000000004</v>
      </c>
      <c r="G361" s="33">
        <f>6.6071 * CHOOSE(CONTROL!$C$32, $C$9, 100%, $E$9)</f>
        <v>6.6071</v>
      </c>
      <c r="H361" s="33">
        <f>11.6813 * CHOOSE(CONTROL!$C$32, $C$9, 100%, $E$9)</f>
        <v>11.6813</v>
      </c>
      <c r="I361" s="33">
        <f>11.6849 * CHOOSE(CONTROL!$C$32, $C$9, 100%, $E$9)</f>
        <v>11.684900000000001</v>
      </c>
      <c r="J361" s="33">
        <f>11.6813 * CHOOSE(CONTROL!$C$32, $C$9, 100%, $E$9)</f>
        <v>11.6813</v>
      </c>
      <c r="K361" s="33">
        <f>11.6849 * CHOOSE(CONTROL!$C$32, $C$9, 100%, $E$9)</f>
        <v>11.684900000000001</v>
      </c>
      <c r="L361" s="33">
        <f>6.6035 * CHOOSE(CONTROL!$C$32, $C$9, 100%, $E$9)</f>
        <v>6.6035000000000004</v>
      </c>
      <c r="M361" s="33">
        <f>6.6071 * CHOOSE(CONTROL!$C$32, $C$9, 100%, $E$9)</f>
        <v>6.6071</v>
      </c>
      <c r="N361" s="33">
        <f>6.6035 * CHOOSE(CONTROL!$C$32, $C$9, 100%, $E$9)</f>
        <v>6.6035000000000004</v>
      </c>
      <c r="O361" s="33">
        <f>6.6071 * CHOOSE(CONTROL!$C$32, $C$9, 100%, $E$9)</f>
        <v>6.6071</v>
      </c>
    </row>
    <row r="362" spans="1:15" ht="15" x14ac:dyDescent="0.2">
      <c r="A362" s="16">
        <v>51867</v>
      </c>
      <c r="B362" s="32">
        <f>5.5145 * CHOOSE(CONTROL!$C$32, $C$9, 100%, $E$9)</f>
        <v>5.5145</v>
      </c>
      <c r="C362" s="32">
        <f>5.5145 * CHOOSE(CONTROL!$C$32, $C$9, 100%, $E$9)</f>
        <v>5.5145</v>
      </c>
      <c r="D362" s="32">
        <f>5.5156 * CHOOSE(CONTROL!$C$32, $C$9, 100%, $E$9)</f>
        <v>5.5156000000000001</v>
      </c>
      <c r="E362" s="33">
        <f>6.6708 * CHOOSE(CONTROL!$C$32, $C$9, 100%, $E$9)</f>
        <v>6.6707999999999998</v>
      </c>
      <c r="F362" s="33">
        <f>6.6708 * CHOOSE(CONTROL!$C$32, $C$9, 100%, $E$9)</f>
        <v>6.6707999999999998</v>
      </c>
      <c r="G362" s="33">
        <f>6.6744 * CHOOSE(CONTROL!$C$32, $C$9, 100%, $E$9)</f>
        <v>6.6744000000000003</v>
      </c>
      <c r="H362" s="33">
        <f>11.7057 * CHOOSE(CONTROL!$C$32, $C$9, 100%, $E$9)</f>
        <v>11.7057</v>
      </c>
      <c r="I362" s="33">
        <f>11.7093 * CHOOSE(CONTROL!$C$32, $C$9, 100%, $E$9)</f>
        <v>11.709300000000001</v>
      </c>
      <c r="J362" s="33">
        <f>11.7057 * CHOOSE(CONTROL!$C$32, $C$9, 100%, $E$9)</f>
        <v>11.7057</v>
      </c>
      <c r="K362" s="33">
        <f>11.7093 * CHOOSE(CONTROL!$C$32, $C$9, 100%, $E$9)</f>
        <v>11.709300000000001</v>
      </c>
      <c r="L362" s="33">
        <f>6.6708 * CHOOSE(CONTROL!$C$32, $C$9, 100%, $E$9)</f>
        <v>6.6707999999999998</v>
      </c>
      <c r="M362" s="33">
        <f>6.6744 * CHOOSE(CONTROL!$C$32, $C$9, 100%, $E$9)</f>
        <v>6.6744000000000003</v>
      </c>
      <c r="N362" s="33">
        <f>6.6708 * CHOOSE(CONTROL!$C$32, $C$9, 100%, $E$9)</f>
        <v>6.6707999999999998</v>
      </c>
      <c r="O362" s="33">
        <f>6.6744 * CHOOSE(CONTROL!$C$32, $C$9, 100%, $E$9)</f>
        <v>6.6744000000000003</v>
      </c>
    </row>
    <row r="363" spans="1:15" ht="15" x14ac:dyDescent="0.2">
      <c r="A363" s="16">
        <v>51898</v>
      </c>
      <c r="B363" s="32">
        <f>5.5115 * CHOOSE(CONTROL!$C$32, $C$9, 100%, $E$9)</f>
        <v>5.5114999999999998</v>
      </c>
      <c r="C363" s="32">
        <f>5.5115 * CHOOSE(CONTROL!$C$32, $C$9, 100%, $E$9)</f>
        <v>5.5114999999999998</v>
      </c>
      <c r="D363" s="32">
        <f>5.5125 * CHOOSE(CONTROL!$C$32, $C$9, 100%, $E$9)</f>
        <v>5.5125000000000002</v>
      </c>
      <c r="E363" s="33">
        <f>6.5461 * CHOOSE(CONTROL!$C$32, $C$9, 100%, $E$9)</f>
        <v>6.5461</v>
      </c>
      <c r="F363" s="33">
        <f>6.5461 * CHOOSE(CONTROL!$C$32, $C$9, 100%, $E$9)</f>
        <v>6.5461</v>
      </c>
      <c r="G363" s="33">
        <f>6.5497 * CHOOSE(CONTROL!$C$32, $C$9, 100%, $E$9)</f>
        <v>6.5496999999999996</v>
      </c>
      <c r="H363" s="33">
        <f>11.73 * CHOOSE(CONTROL!$C$32, $C$9, 100%, $E$9)</f>
        <v>11.73</v>
      </c>
      <c r="I363" s="33">
        <f>11.7337 * CHOOSE(CONTROL!$C$32, $C$9, 100%, $E$9)</f>
        <v>11.733700000000001</v>
      </c>
      <c r="J363" s="33">
        <f>11.73 * CHOOSE(CONTROL!$C$32, $C$9, 100%, $E$9)</f>
        <v>11.73</v>
      </c>
      <c r="K363" s="33">
        <f>11.7337 * CHOOSE(CONTROL!$C$32, $C$9, 100%, $E$9)</f>
        <v>11.733700000000001</v>
      </c>
      <c r="L363" s="33">
        <f>6.5461 * CHOOSE(CONTROL!$C$32, $C$9, 100%, $E$9)</f>
        <v>6.5461</v>
      </c>
      <c r="M363" s="33">
        <f>6.5497 * CHOOSE(CONTROL!$C$32, $C$9, 100%, $E$9)</f>
        <v>6.5496999999999996</v>
      </c>
      <c r="N363" s="33">
        <f>6.5461 * CHOOSE(CONTROL!$C$32, $C$9, 100%, $E$9)</f>
        <v>6.5461</v>
      </c>
      <c r="O363" s="33">
        <f>6.5497 * CHOOSE(CONTROL!$C$32, $C$9, 100%, $E$9)</f>
        <v>6.5496999999999996</v>
      </c>
    </row>
    <row r="364" spans="1:15" ht="15" x14ac:dyDescent="0.2">
      <c r="A364" s="16">
        <v>51926</v>
      </c>
      <c r="B364" s="32">
        <f>5.5084 * CHOOSE(CONTROL!$C$32, $C$9, 100%, $E$9)</f>
        <v>5.5084</v>
      </c>
      <c r="C364" s="32">
        <f>5.5084 * CHOOSE(CONTROL!$C$32, $C$9, 100%, $E$9)</f>
        <v>5.5084</v>
      </c>
      <c r="D364" s="32">
        <f>5.5095 * CHOOSE(CONTROL!$C$32, $C$9, 100%, $E$9)</f>
        <v>5.5095000000000001</v>
      </c>
      <c r="E364" s="33">
        <f>6.6406 * CHOOSE(CONTROL!$C$32, $C$9, 100%, $E$9)</f>
        <v>6.6406000000000001</v>
      </c>
      <c r="F364" s="33">
        <f>6.6406 * CHOOSE(CONTROL!$C$32, $C$9, 100%, $E$9)</f>
        <v>6.6406000000000001</v>
      </c>
      <c r="G364" s="33">
        <f>6.6442 * CHOOSE(CONTROL!$C$32, $C$9, 100%, $E$9)</f>
        <v>6.6441999999999997</v>
      </c>
      <c r="H364" s="33">
        <f>11.7545 * CHOOSE(CONTROL!$C$32, $C$9, 100%, $E$9)</f>
        <v>11.7545</v>
      </c>
      <c r="I364" s="33">
        <f>11.7581 * CHOOSE(CONTROL!$C$32, $C$9, 100%, $E$9)</f>
        <v>11.758100000000001</v>
      </c>
      <c r="J364" s="33">
        <f>11.7545 * CHOOSE(CONTROL!$C$32, $C$9, 100%, $E$9)</f>
        <v>11.7545</v>
      </c>
      <c r="K364" s="33">
        <f>11.7581 * CHOOSE(CONTROL!$C$32, $C$9, 100%, $E$9)</f>
        <v>11.758100000000001</v>
      </c>
      <c r="L364" s="33">
        <f>6.6406 * CHOOSE(CONTROL!$C$32, $C$9, 100%, $E$9)</f>
        <v>6.6406000000000001</v>
      </c>
      <c r="M364" s="33">
        <f>6.6442 * CHOOSE(CONTROL!$C$32, $C$9, 100%, $E$9)</f>
        <v>6.6441999999999997</v>
      </c>
      <c r="N364" s="33">
        <f>6.6406 * CHOOSE(CONTROL!$C$32, $C$9, 100%, $E$9)</f>
        <v>6.6406000000000001</v>
      </c>
      <c r="O364" s="33">
        <f>6.6442 * CHOOSE(CONTROL!$C$32, $C$9, 100%, $E$9)</f>
        <v>6.6441999999999997</v>
      </c>
    </row>
    <row r="365" spans="1:15" ht="15" x14ac:dyDescent="0.2">
      <c r="A365" s="16">
        <v>51957</v>
      </c>
      <c r="B365" s="32">
        <f>5.5075 * CHOOSE(CONTROL!$C$32, $C$9, 100%, $E$9)</f>
        <v>5.5075000000000003</v>
      </c>
      <c r="C365" s="32">
        <f>5.5075 * CHOOSE(CONTROL!$C$32, $C$9, 100%, $E$9)</f>
        <v>5.5075000000000003</v>
      </c>
      <c r="D365" s="32">
        <f>5.5086 * CHOOSE(CONTROL!$C$32, $C$9, 100%, $E$9)</f>
        <v>5.5086000000000004</v>
      </c>
      <c r="E365" s="33">
        <f>6.7402 * CHOOSE(CONTROL!$C$32, $C$9, 100%, $E$9)</f>
        <v>6.7401999999999997</v>
      </c>
      <c r="F365" s="33">
        <f>6.7402 * CHOOSE(CONTROL!$C$32, $C$9, 100%, $E$9)</f>
        <v>6.7401999999999997</v>
      </c>
      <c r="G365" s="33">
        <f>6.7438 * CHOOSE(CONTROL!$C$32, $C$9, 100%, $E$9)</f>
        <v>6.7438000000000002</v>
      </c>
      <c r="H365" s="33">
        <f>11.779 * CHOOSE(CONTROL!$C$32, $C$9, 100%, $E$9)</f>
        <v>11.779</v>
      </c>
      <c r="I365" s="33">
        <f>11.7826 * CHOOSE(CONTROL!$C$32, $C$9, 100%, $E$9)</f>
        <v>11.7826</v>
      </c>
      <c r="J365" s="33">
        <f>11.779 * CHOOSE(CONTROL!$C$32, $C$9, 100%, $E$9)</f>
        <v>11.779</v>
      </c>
      <c r="K365" s="33">
        <f>11.7826 * CHOOSE(CONTROL!$C$32, $C$9, 100%, $E$9)</f>
        <v>11.7826</v>
      </c>
      <c r="L365" s="33">
        <f>6.7402 * CHOOSE(CONTROL!$C$32, $C$9, 100%, $E$9)</f>
        <v>6.7401999999999997</v>
      </c>
      <c r="M365" s="33">
        <f>6.7438 * CHOOSE(CONTROL!$C$32, $C$9, 100%, $E$9)</f>
        <v>6.7438000000000002</v>
      </c>
      <c r="N365" s="33">
        <f>6.7402 * CHOOSE(CONTROL!$C$32, $C$9, 100%, $E$9)</f>
        <v>6.7401999999999997</v>
      </c>
      <c r="O365" s="33">
        <f>6.7438 * CHOOSE(CONTROL!$C$32, $C$9, 100%, $E$9)</f>
        <v>6.7438000000000002</v>
      </c>
    </row>
    <row r="366" spans="1:15" ht="15" x14ac:dyDescent="0.2">
      <c r="A366" s="16">
        <v>51987</v>
      </c>
      <c r="B366" s="32">
        <f>5.5075 * CHOOSE(CONTROL!$C$32, $C$9, 100%, $E$9)</f>
        <v>5.5075000000000003</v>
      </c>
      <c r="C366" s="32">
        <f>5.5075 * CHOOSE(CONTROL!$C$32, $C$9, 100%, $E$9)</f>
        <v>5.5075000000000003</v>
      </c>
      <c r="D366" s="32">
        <f>5.5091 * CHOOSE(CONTROL!$C$32, $C$9, 100%, $E$9)</f>
        <v>5.5091000000000001</v>
      </c>
      <c r="E366" s="33">
        <f>6.7791 * CHOOSE(CONTROL!$C$32, $C$9, 100%, $E$9)</f>
        <v>6.7790999999999997</v>
      </c>
      <c r="F366" s="33">
        <f>6.7791 * CHOOSE(CONTROL!$C$32, $C$9, 100%, $E$9)</f>
        <v>6.7790999999999997</v>
      </c>
      <c r="G366" s="33">
        <f>6.7844 * CHOOSE(CONTROL!$C$32, $C$9, 100%, $E$9)</f>
        <v>6.7843999999999998</v>
      </c>
      <c r="H366" s="33">
        <f>11.8035 * CHOOSE(CONTROL!$C$32, $C$9, 100%, $E$9)</f>
        <v>11.8035</v>
      </c>
      <c r="I366" s="33">
        <f>11.8088 * CHOOSE(CONTROL!$C$32, $C$9, 100%, $E$9)</f>
        <v>11.8088</v>
      </c>
      <c r="J366" s="33">
        <f>11.8035 * CHOOSE(CONTROL!$C$32, $C$9, 100%, $E$9)</f>
        <v>11.8035</v>
      </c>
      <c r="K366" s="33">
        <f>11.8088 * CHOOSE(CONTROL!$C$32, $C$9, 100%, $E$9)</f>
        <v>11.8088</v>
      </c>
      <c r="L366" s="33">
        <f>6.7791 * CHOOSE(CONTROL!$C$32, $C$9, 100%, $E$9)</f>
        <v>6.7790999999999997</v>
      </c>
      <c r="M366" s="33">
        <f>6.7844 * CHOOSE(CONTROL!$C$32, $C$9, 100%, $E$9)</f>
        <v>6.7843999999999998</v>
      </c>
      <c r="N366" s="33">
        <f>6.7791 * CHOOSE(CONTROL!$C$32, $C$9, 100%, $E$9)</f>
        <v>6.7790999999999997</v>
      </c>
      <c r="O366" s="33">
        <f>6.7844 * CHOOSE(CONTROL!$C$32, $C$9, 100%, $E$9)</f>
        <v>6.7843999999999998</v>
      </c>
    </row>
    <row r="367" spans="1:15" ht="15" x14ac:dyDescent="0.2">
      <c r="A367" s="16">
        <v>52018</v>
      </c>
      <c r="B367" s="32">
        <f>5.5136 * CHOOSE(CONTROL!$C$32, $C$9, 100%, $E$9)</f>
        <v>5.5136000000000003</v>
      </c>
      <c r="C367" s="32">
        <f>5.5136 * CHOOSE(CONTROL!$C$32, $C$9, 100%, $E$9)</f>
        <v>5.5136000000000003</v>
      </c>
      <c r="D367" s="32">
        <f>5.5152 * CHOOSE(CONTROL!$C$32, $C$9, 100%, $E$9)</f>
        <v>5.5152000000000001</v>
      </c>
      <c r="E367" s="33">
        <f>6.7444 * CHOOSE(CONTROL!$C$32, $C$9, 100%, $E$9)</f>
        <v>6.7443999999999997</v>
      </c>
      <c r="F367" s="33">
        <f>6.7444 * CHOOSE(CONTROL!$C$32, $C$9, 100%, $E$9)</f>
        <v>6.7443999999999997</v>
      </c>
      <c r="G367" s="33">
        <f>6.7497 * CHOOSE(CONTROL!$C$32, $C$9, 100%, $E$9)</f>
        <v>6.7496999999999998</v>
      </c>
      <c r="H367" s="33">
        <f>11.8281 * CHOOSE(CONTROL!$C$32, $C$9, 100%, $E$9)</f>
        <v>11.828099999999999</v>
      </c>
      <c r="I367" s="33">
        <f>11.8334 * CHOOSE(CONTROL!$C$32, $C$9, 100%, $E$9)</f>
        <v>11.833399999999999</v>
      </c>
      <c r="J367" s="33">
        <f>11.8281 * CHOOSE(CONTROL!$C$32, $C$9, 100%, $E$9)</f>
        <v>11.828099999999999</v>
      </c>
      <c r="K367" s="33">
        <f>11.8334 * CHOOSE(CONTROL!$C$32, $C$9, 100%, $E$9)</f>
        <v>11.833399999999999</v>
      </c>
      <c r="L367" s="33">
        <f>6.7444 * CHOOSE(CONTROL!$C$32, $C$9, 100%, $E$9)</f>
        <v>6.7443999999999997</v>
      </c>
      <c r="M367" s="33">
        <f>6.7497 * CHOOSE(CONTROL!$C$32, $C$9, 100%, $E$9)</f>
        <v>6.7496999999999998</v>
      </c>
      <c r="N367" s="33">
        <f>6.7444 * CHOOSE(CONTROL!$C$32, $C$9, 100%, $E$9)</f>
        <v>6.7443999999999997</v>
      </c>
      <c r="O367" s="33">
        <f>6.7497 * CHOOSE(CONTROL!$C$32, $C$9, 100%, $E$9)</f>
        <v>6.7496999999999998</v>
      </c>
    </row>
    <row r="368" spans="1:15" ht="15" x14ac:dyDescent="0.2">
      <c r="A368" s="16">
        <v>52048</v>
      </c>
      <c r="B368" s="32">
        <f>5.5892 * CHOOSE(CONTROL!$C$32, $C$9, 100%, $E$9)</f>
        <v>5.5891999999999999</v>
      </c>
      <c r="C368" s="32">
        <f>5.5892 * CHOOSE(CONTROL!$C$32, $C$9, 100%, $E$9)</f>
        <v>5.5891999999999999</v>
      </c>
      <c r="D368" s="32">
        <f>5.5907 * CHOOSE(CONTROL!$C$32, $C$9, 100%, $E$9)</f>
        <v>5.5907</v>
      </c>
      <c r="E368" s="33">
        <f>6.7633 * CHOOSE(CONTROL!$C$32, $C$9, 100%, $E$9)</f>
        <v>6.7633000000000001</v>
      </c>
      <c r="F368" s="33">
        <f>6.7633 * CHOOSE(CONTROL!$C$32, $C$9, 100%, $E$9)</f>
        <v>6.7633000000000001</v>
      </c>
      <c r="G368" s="33">
        <f>6.7686 * CHOOSE(CONTROL!$C$32, $C$9, 100%, $E$9)</f>
        <v>6.7686000000000002</v>
      </c>
      <c r="H368" s="33">
        <f>11.8527 * CHOOSE(CONTROL!$C$32, $C$9, 100%, $E$9)</f>
        <v>11.8527</v>
      </c>
      <c r="I368" s="33">
        <f>11.858 * CHOOSE(CONTROL!$C$32, $C$9, 100%, $E$9)</f>
        <v>11.858000000000001</v>
      </c>
      <c r="J368" s="33">
        <f>11.8527 * CHOOSE(CONTROL!$C$32, $C$9, 100%, $E$9)</f>
        <v>11.8527</v>
      </c>
      <c r="K368" s="33">
        <f>11.858 * CHOOSE(CONTROL!$C$32, $C$9, 100%, $E$9)</f>
        <v>11.858000000000001</v>
      </c>
      <c r="L368" s="33">
        <f>6.7633 * CHOOSE(CONTROL!$C$32, $C$9, 100%, $E$9)</f>
        <v>6.7633000000000001</v>
      </c>
      <c r="M368" s="33">
        <f>6.7686 * CHOOSE(CONTROL!$C$32, $C$9, 100%, $E$9)</f>
        <v>6.7686000000000002</v>
      </c>
      <c r="N368" s="33">
        <f>6.7633 * CHOOSE(CONTROL!$C$32, $C$9, 100%, $E$9)</f>
        <v>6.7633000000000001</v>
      </c>
      <c r="O368" s="33">
        <f>6.7686 * CHOOSE(CONTROL!$C$32, $C$9, 100%, $E$9)</f>
        <v>6.7686000000000002</v>
      </c>
    </row>
    <row r="369" spans="1:15" ht="15" x14ac:dyDescent="0.2">
      <c r="A369" s="16">
        <v>52079</v>
      </c>
      <c r="B369" s="32">
        <f>5.5958 * CHOOSE(CONTROL!$C$32, $C$9, 100%, $E$9)</f>
        <v>5.5957999999999997</v>
      </c>
      <c r="C369" s="32">
        <f>5.5958 * CHOOSE(CONTROL!$C$32, $C$9, 100%, $E$9)</f>
        <v>5.5957999999999997</v>
      </c>
      <c r="D369" s="32">
        <f>5.5974 * CHOOSE(CONTROL!$C$32, $C$9, 100%, $E$9)</f>
        <v>5.5974000000000004</v>
      </c>
      <c r="E369" s="33">
        <f>6.6512 * CHOOSE(CONTROL!$C$32, $C$9, 100%, $E$9)</f>
        <v>6.6512000000000002</v>
      </c>
      <c r="F369" s="33">
        <f>6.6512 * CHOOSE(CONTROL!$C$32, $C$9, 100%, $E$9)</f>
        <v>6.6512000000000002</v>
      </c>
      <c r="G369" s="33">
        <f>6.6565 * CHOOSE(CONTROL!$C$32, $C$9, 100%, $E$9)</f>
        <v>6.6565000000000003</v>
      </c>
      <c r="H369" s="33">
        <f>11.8774 * CHOOSE(CONTROL!$C$32, $C$9, 100%, $E$9)</f>
        <v>11.8774</v>
      </c>
      <c r="I369" s="33">
        <f>11.8827 * CHOOSE(CONTROL!$C$32, $C$9, 100%, $E$9)</f>
        <v>11.8827</v>
      </c>
      <c r="J369" s="33">
        <f>11.8774 * CHOOSE(CONTROL!$C$32, $C$9, 100%, $E$9)</f>
        <v>11.8774</v>
      </c>
      <c r="K369" s="33">
        <f>11.8827 * CHOOSE(CONTROL!$C$32, $C$9, 100%, $E$9)</f>
        <v>11.8827</v>
      </c>
      <c r="L369" s="33">
        <f>6.6512 * CHOOSE(CONTROL!$C$32, $C$9, 100%, $E$9)</f>
        <v>6.6512000000000002</v>
      </c>
      <c r="M369" s="33">
        <f>6.6565 * CHOOSE(CONTROL!$C$32, $C$9, 100%, $E$9)</f>
        <v>6.6565000000000003</v>
      </c>
      <c r="N369" s="33">
        <f>6.6512 * CHOOSE(CONTROL!$C$32, $C$9, 100%, $E$9)</f>
        <v>6.6512000000000002</v>
      </c>
      <c r="O369" s="33">
        <f>6.6565 * CHOOSE(CONTROL!$C$32, $C$9, 100%, $E$9)</f>
        <v>6.6565000000000003</v>
      </c>
    </row>
    <row r="370" spans="1:15" ht="15" x14ac:dyDescent="0.2">
      <c r="A370" s="16">
        <v>52110</v>
      </c>
      <c r="B370" s="32">
        <f>5.5928 * CHOOSE(CONTROL!$C$32, $C$9, 100%, $E$9)</f>
        <v>5.5928000000000004</v>
      </c>
      <c r="C370" s="32">
        <f>5.5928 * CHOOSE(CONTROL!$C$32, $C$9, 100%, $E$9)</f>
        <v>5.5928000000000004</v>
      </c>
      <c r="D370" s="32">
        <f>5.5944 * CHOOSE(CONTROL!$C$32, $C$9, 100%, $E$9)</f>
        <v>5.5944000000000003</v>
      </c>
      <c r="E370" s="33">
        <f>6.6361 * CHOOSE(CONTROL!$C$32, $C$9, 100%, $E$9)</f>
        <v>6.6360999999999999</v>
      </c>
      <c r="F370" s="33">
        <f>6.6361 * CHOOSE(CONTROL!$C$32, $C$9, 100%, $E$9)</f>
        <v>6.6360999999999999</v>
      </c>
      <c r="G370" s="33">
        <f>6.6414 * CHOOSE(CONTROL!$C$32, $C$9, 100%, $E$9)</f>
        <v>6.6414</v>
      </c>
      <c r="H370" s="33">
        <f>11.9022 * CHOOSE(CONTROL!$C$32, $C$9, 100%, $E$9)</f>
        <v>11.902200000000001</v>
      </c>
      <c r="I370" s="33">
        <f>11.9075 * CHOOSE(CONTROL!$C$32, $C$9, 100%, $E$9)</f>
        <v>11.907500000000001</v>
      </c>
      <c r="J370" s="33">
        <f>11.9022 * CHOOSE(CONTROL!$C$32, $C$9, 100%, $E$9)</f>
        <v>11.902200000000001</v>
      </c>
      <c r="K370" s="33">
        <f>11.9075 * CHOOSE(CONTROL!$C$32, $C$9, 100%, $E$9)</f>
        <v>11.907500000000001</v>
      </c>
      <c r="L370" s="33">
        <f>6.6361 * CHOOSE(CONTROL!$C$32, $C$9, 100%, $E$9)</f>
        <v>6.6360999999999999</v>
      </c>
      <c r="M370" s="33">
        <f>6.6414 * CHOOSE(CONTROL!$C$32, $C$9, 100%, $E$9)</f>
        <v>6.6414</v>
      </c>
      <c r="N370" s="33">
        <f>6.6361 * CHOOSE(CONTROL!$C$32, $C$9, 100%, $E$9)</f>
        <v>6.6360999999999999</v>
      </c>
      <c r="O370" s="33">
        <f>6.6414 * CHOOSE(CONTROL!$C$32, $C$9, 100%, $E$9)</f>
        <v>6.6414</v>
      </c>
    </row>
    <row r="371" spans="1:15" ht="15" x14ac:dyDescent="0.2">
      <c r="A371" s="16">
        <v>52140</v>
      </c>
      <c r="B371" s="32">
        <f>5.5938 * CHOOSE(CONTROL!$C$32, $C$9, 100%, $E$9)</f>
        <v>5.5937999999999999</v>
      </c>
      <c r="C371" s="32">
        <f>5.5938 * CHOOSE(CONTROL!$C$32, $C$9, 100%, $E$9)</f>
        <v>5.5937999999999999</v>
      </c>
      <c r="D371" s="32">
        <f>5.5949 * CHOOSE(CONTROL!$C$32, $C$9, 100%, $E$9)</f>
        <v>5.5949</v>
      </c>
      <c r="E371" s="33">
        <f>6.6746 * CHOOSE(CONTROL!$C$32, $C$9, 100%, $E$9)</f>
        <v>6.6745999999999999</v>
      </c>
      <c r="F371" s="33">
        <f>6.6746 * CHOOSE(CONTROL!$C$32, $C$9, 100%, $E$9)</f>
        <v>6.6745999999999999</v>
      </c>
      <c r="G371" s="33">
        <f>6.6782 * CHOOSE(CONTROL!$C$32, $C$9, 100%, $E$9)</f>
        <v>6.6782000000000004</v>
      </c>
      <c r="H371" s="33">
        <f>11.927 * CHOOSE(CONTROL!$C$32, $C$9, 100%, $E$9)</f>
        <v>11.927</v>
      </c>
      <c r="I371" s="33">
        <f>11.9306 * CHOOSE(CONTROL!$C$32, $C$9, 100%, $E$9)</f>
        <v>11.9306</v>
      </c>
      <c r="J371" s="33">
        <f>11.927 * CHOOSE(CONTROL!$C$32, $C$9, 100%, $E$9)</f>
        <v>11.927</v>
      </c>
      <c r="K371" s="33">
        <f>11.9306 * CHOOSE(CONTROL!$C$32, $C$9, 100%, $E$9)</f>
        <v>11.9306</v>
      </c>
      <c r="L371" s="33">
        <f>6.6746 * CHOOSE(CONTROL!$C$32, $C$9, 100%, $E$9)</f>
        <v>6.6745999999999999</v>
      </c>
      <c r="M371" s="33">
        <f>6.6782 * CHOOSE(CONTROL!$C$32, $C$9, 100%, $E$9)</f>
        <v>6.6782000000000004</v>
      </c>
      <c r="N371" s="33">
        <f>6.6746 * CHOOSE(CONTROL!$C$32, $C$9, 100%, $E$9)</f>
        <v>6.6745999999999999</v>
      </c>
      <c r="O371" s="33">
        <f>6.6782 * CHOOSE(CONTROL!$C$32, $C$9, 100%, $E$9)</f>
        <v>6.6782000000000004</v>
      </c>
    </row>
    <row r="372" spans="1:15" ht="15" x14ac:dyDescent="0.2">
      <c r="A372" s="16">
        <v>52171</v>
      </c>
      <c r="B372" s="32">
        <f>5.5968 * CHOOSE(CONTROL!$C$32, $C$9, 100%, $E$9)</f>
        <v>5.5968</v>
      </c>
      <c r="C372" s="32">
        <f>5.5968 * CHOOSE(CONTROL!$C$32, $C$9, 100%, $E$9)</f>
        <v>5.5968</v>
      </c>
      <c r="D372" s="32">
        <f>5.5979 * CHOOSE(CONTROL!$C$32, $C$9, 100%, $E$9)</f>
        <v>5.5979000000000001</v>
      </c>
      <c r="E372" s="33">
        <f>6.7026 * CHOOSE(CONTROL!$C$32, $C$9, 100%, $E$9)</f>
        <v>6.7026000000000003</v>
      </c>
      <c r="F372" s="33">
        <f>6.7026 * CHOOSE(CONTROL!$C$32, $C$9, 100%, $E$9)</f>
        <v>6.7026000000000003</v>
      </c>
      <c r="G372" s="33">
        <f>6.7063 * CHOOSE(CONTROL!$C$32, $C$9, 100%, $E$9)</f>
        <v>6.7062999999999997</v>
      </c>
      <c r="H372" s="33">
        <f>11.9518 * CHOOSE(CONTROL!$C$32, $C$9, 100%, $E$9)</f>
        <v>11.9518</v>
      </c>
      <c r="I372" s="33">
        <f>11.9554 * CHOOSE(CONTROL!$C$32, $C$9, 100%, $E$9)</f>
        <v>11.955399999999999</v>
      </c>
      <c r="J372" s="33">
        <f>11.9518 * CHOOSE(CONTROL!$C$32, $C$9, 100%, $E$9)</f>
        <v>11.9518</v>
      </c>
      <c r="K372" s="33">
        <f>11.9554 * CHOOSE(CONTROL!$C$32, $C$9, 100%, $E$9)</f>
        <v>11.955399999999999</v>
      </c>
      <c r="L372" s="33">
        <f>6.7026 * CHOOSE(CONTROL!$C$32, $C$9, 100%, $E$9)</f>
        <v>6.7026000000000003</v>
      </c>
      <c r="M372" s="33">
        <f>6.7063 * CHOOSE(CONTROL!$C$32, $C$9, 100%, $E$9)</f>
        <v>6.7062999999999997</v>
      </c>
      <c r="N372" s="33">
        <f>6.7026 * CHOOSE(CONTROL!$C$32, $C$9, 100%, $E$9)</f>
        <v>6.7026000000000003</v>
      </c>
      <c r="O372" s="33">
        <f>6.7063 * CHOOSE(CONTROL!$C$32, $C$9, 100%, $E$9)</f>
        <v>6.7062999999999997</v>
      </c>
    </row>
    <row r="373" spans="1:15" ht="15" x14ac:dyDescent="0.2">
      <c r="A373" s="16">
        <v>52201</v>
      </c>
      <c r="B373" s="32">
        <f>5.5968 * CHOOSE(CONTROL!$C$32, $C$9, 100%, $E$9)</f>
        <v>5.5968</v>
      </c>
      <c r="C373" s="32">
        <f>5.5968 * CHOOSE(CONTROL!$C$32, $C$9, 100%, $E$9)</f>
        <v>5.5968</v>
      </c>
      <c r="D373" s="32">
        <f>5.5979 * CHOOSE(CONTROL!$C$32, $C$9, 100%, $E$9)</f>
        <v>5.5979000000000001</v>
      </c>
      <c r="E373" s="33">
        <f>6.6378 * CHOOSE(CONTROL!$C$32, $C$9, 100%, $E$9)</f>
        <v>6.6378000000000004</v>
      </c>
      <c r="F373" s="33">
        <f>6.6378 * CHOOSE(CONTROL!$C$32, $C$9, 100%, $E$9)</f>
        <v>6.6378000000000004</v>
      </c>
      <c r="G373" s="33">
        <f>6.6414 * CHOOSE(CONTROL!$C$32, $C$9, 100%, $E$9)</f>
        <v>6.6414</v>
      </c>
      <c r="H373" s="33">
        <f>11.9767 * CHOOSE(CONTROL!$C$32, $C$9, 100%, $E$9)</f>
        <v>11.976699999999999</v>
      </c>
      <c r="I373" s="33">
        <f>11.9803 * CHOOSE(CONTROL!$C$32, $C$9, 100%, $E$9)</f>
        <v>11.9803</v>
      </c>
      <c r="J373" s="33">
        <f>11.9767 * CHOOSE(CONTROL!$C$32, $C$9, 100%, $E$9)</f>
        <v>11.976699999999999</v>
      </c>
      <c r="K373" s="33">
        <f>11.9803 * CHOOSE(CONTROL!$C$32, $C$9, 100%, $E$9)</f>
        <v>11.9803</v>
      </c>
      <c r="L373" s="33">
        <f>6.6378 * CHOOSE(CONTROL!$C$32, $C$9, 100%, $E$9)</f>
        <v>6.6378000000000004</v>
      </c>
      <c r="M373" s="33">
        <f>6.6414 * CHOOSE(CONTROL!$C$32, $C$9, 100%, $E$9)</f>
        <v>6.6414</v>
      </c>
      <c r="N373" s="33">
        <f>6.6378 * CHOOSE(CONTROL!$C$32, $C$9, 100%, $E$9)</f>
        <v>6.6378000000000004</v>
      </c>
      <c r="O373" s="33">
        <f>6.6414 * CHOOSE(CONTROL!$C$32, $C$9, 100%, $E$9)</f>
        <v>6.6414</v>
      </c>
    </row>
    <row r="374" spans="1:15" ht="15" x14ac:dyDescent="0.2">
      <c r="A374" s="16">
        <v>52232</v>
      </c>
      <c r="B374" s="32">
        <f>5.6399 * CHOOSE(CONTROL!$C$32, $C$9, 100%, $E$9)</f>
        <v>5.6398999999999999</v>
      </c>
      <c r="C374" s="32">
        <f>5.6399 * CHOOSE(CONTROL!$C$32, $C$9, 100%, $E$9)</f>
        <v>5.6398999999999999</v>
      </c>
      <c r="D374" s="32">
        <f>5.6409 * CHOOSE(CONTROL!$C$32, $C$9, 100%, $E$9)</f>
        <v>5.6409000000000002</v>
      </c>
      <c r="E374" s="33">
        <f>6.7096 * CHOOSE(CONTROL!$C$32, $C$9, 100%, $E$9)</f>
        <v>6.7096</v>
      </c>
      <c r="F374" s="33">
        <f>6.7096 * CHOOSE(CONTROL!$C$32, $C$9, 100%, $E$9)</f>
        <v>6.7096</v>
      </c>
      <c r="G374" s="33">
        <f>6.7132 * CHOOSE(CONTROL!$C$32, $C$9, 100%, $E$9)</f>
        <v>6.7131999999999996</v>
      </c>
      <c r="H374" s="33">
        <f>12.0017 * CHOOSE(CONTROL!$C$32, $C$9, 100%, $E$9)</f>
        <v>12.0017</v>
      </c>
      <c r="I374" s="33">
        <f>12.0053 * CHOOSE(CONTROL!$C$32, $C$9, 100%, $E$9)</f>
        <v>12.0053</v>
      </c>
      <c r="J374" s="33">
        <f>12.0017 * CHOOSE(CONTROL!$C$32, $C$9, 100%, $E$9)</f>
        <v>12.0017</v>
      </c>
      <c r="K374" s="33">
        <f>12.0053 * CHOOSE(CONTROL!$C$32, $C$9, 100%, $E$9)</f>
        <v>12.0053</v>
      </c>
      <c r="L374" s="33">
        <f>6.7096 * CHOOSE(CONTROL!$C$32, $C$9, 100%, $E$9)</f>
        <v>6.7096</v>
      </c>
      <c r="M374" s="33">
        <f>6.7132 * CHOOSE(CONTROL!$C$32, $C$9, 100%, $E$9)</f>
        <v>6.7131999999999996</v>
      </c>
      <c r="N374" s="33">
        <f>6.7096 * CHOOSE(CONTROL!$C$32, $C$9, 100%, $E$9)</f>
        <v>6.7096</v>
      </c>
      <c r="O374" s="33">
        <f>6.7132 * CHOOSE(CONTROL!$C$32, $C$9, 100%, $E$9)</f>
        <v>6.7131999999999996</v>
      </c>
    </row>
    <row r="375" spans="1:15" ht="15" x14ac:dyDescent="0.2">
      <c r="A375" s="16">
        <v>52263</v>
      </c>
      <c r="B375" s="32">
        <f>5.6368 * CHOOSE(CONTROL!$C$32, $C$9, 100%, $E$9)</f>
        <v>5.6368</v>
      </c>
      <c r="C375" s="32">
        <f>5.6368 * CHOOSE(CONTROL!$C$32, $C$9, 100%, $E$9)</f>
        <v>5.6368</v>
      </c>
      <c r="D375" s="32">
        <f>5.6379 * CHOOSE(CONTROL!$C$32, $C$9, 100%, $E$9)</f>
        <v>5.6379000000000001</v>
      </c>
      <c r="E375" s="33">
        <f>6.5809 * CHOOSE(CONTROL!$C$32, $C$9, 100%, $E$9)</f>
        <v>6.5808999999999997</v>
      </c>
      <c r="F375" s="33">
        <f>6.5809 * CHOOSE(CONTROL!$C$32, $C$9, 100%, $E$9)</f>
        <v>6.5808999999999997</v>
      </c>
      <c r="G375" s="33">
        <f>6.5845 * CHOOSE(CONTROL!$C$32, $C$9, 100%, $E$9)</f>
        <v>6.5845000000000002</v>
      </c>
      <c r="H375" s="33">
        <f>12.0267 * CHOOSE(CONTROL!$C$32, $C$9, 100%, $E$9)</f>
        <v>12.0267</v>
      </c>
      <c r="I375" s="33">
        <f>12.0303 * CHOOSE(CONTROL!$C$32, $C$9, 100%, $E$9)</f>
        <v>12.0303</v>
      </c>
      <c r="J375" s="33">
        <f>12.0267 * CHOOSE(CONTROL!$C$32, $C$9, 100%, $E$9)</f>
        <v>12.0267</v>
      </c>
      <c r="K375" s="33">
        <f>12.0303 * CHOOSE(CONTROL!$C$32, $C$9, 100%, $E$9)</f>
        <v>12.0303</v>
      </c>
      <c r="L375" s="33">
        <f>6.5809 * CHOOSE(CONTROL!$C$32, $C$9, 100%, $E$9)</f>
        <v>6.5808999999999997</v>
      </c>
      <c r="M375" s="33">
        <f>6.5845 * CHOOSE(CONTROL!$C$32, $C$9, 100%, $E$9)</f>
        <v>6.5845000000000002</v>
      </c>
      <c r="N375" s="33">
        <f>6.5809 * CHOOSE(CONTROL!$C$32, $C$9, 100%, $E$9)</f>
        <v>6.5808999999999997</v>
      </c>
      <c r="O375" s="33">
        <f>6.5845 * CHOOSE(CONTROL!$C$32, $C$9, 100%, $E$9)</f>
        <v>6.5845000000000002</v>
      </c>
    </row>
    <row r="376" spans="1:15" ht="15" x14ac:dyDescent="0.2">
      <c r="A376" s="16">
        <v>52291</v>
      </c>
      <c r="B376" s="32">
        <f>5.6338 * CHOOSE(CONTROL!$C$32, $C$9, 100%, $E$9)</f>
        <v>5.6337999999999999</v>
      </c>
      <c r="C376" s="32">
        <f>5.6338 * CHOOSE(CONTROL!$C$32, $C$9, 100%, $E$9)</f>
        <v>5.6337999999999999</v>
      </c>
      <c r="D376" s="32">
        <f>5.6349 * CHOOSE(CONTROL!$C$32, $C$9, 100%, $E$9)</f>
        <v>5.6349</v>
      </c>
      <c r="E376" s="33">
        <f>6.6786 * CHOOSE(CONTROL!$C$32, $C$9, 100%, $E$9)</f>
        <v>6.6786000000000003</v>
      </c>
      <c r="F376" s="33">
        <f>6.6786 * CHOOSE(CONTROL!$C$32, $C$9, 100%, $E$9)</f>
        <v>6.6786000000000003</v>
      </c>
      <c r="G376" s="33">
        <f>6.6822 * CHOOSE(CONTROL!$C$32, $C$9, 100%, $E$9)</f>
        <v>6.6821999999999999</v>
      </c>
      <c r="H376" s="33">
        <f>12.0517 * CHOOSE(CONTROL!$C$32, $C$9, 100%, $E$9)</f>
        <v>12.0517</v>
      </c>
      <c r="I376" s="33">
        <f>12.0554 * CHOOSE(CONTROL!$C$32, $C$9, 100%, $E$9)</f>
        <v>12.055400000000001</v>
      </c>
      <c r="J376" s="33">
        <f>12.0517 * CHOOSE(CONTROL!$C$32, $C$9, 100%, $E$9)</f>
        <v>12.0517</v>
      </c>
      <c r="K376" s="33">
        <f>12.0554 * CHOOSE(CONTROL!$C$32, $C$9, 100%, $E$9)</f>
        <v>12.055400000000001</v>
      </c>
      <c r="L376" s="33">
        <f>6.6786 * CHOOSE(CONTROL!$C$32, $C$9, 100%, $E$9)</f>
        <v>6.6786000000000003</v>
      </c>
      <c r="M376" s="33">
        <f>6.6822 * CHOOSE(CONTROL!$C$32, $C$9, 100%, $E$9)</f>
        <v>6.6821999999999999</v>
      </c>
      <c r="N376" s="33">
        <f>6.6786 * CHOOSE(CONTROL!$C$32, $C$9, 100%, $E$9)</f>
        <v>6.6786000000000003</v>
      </c>
      <c r="O376" s="33">
        <f>6.6822 * CHOOSE(CONTROL!$C$32, $C$9, 100%, $E$9)</f>
        <v>6.6821999999999999</v>
      </c>
    </row>
    <row r="377" spans="1:15" ht="15" x14ac:dyDescent="0.2">
      <c r="A377" s="16">
        <v>52322</v>
      </c>
      <c r="B377" s="32">
        <f>5.633 * CHOOSE(CONTROL!$C$32, $C$9, 100%, $E$9)</f>
        <v>5.633</v>
      </c>
      <c r="C377" s="32">
        <f>5.633 * CHOOSE(CONTROL!$C$32, $C$9, 100%, $E$9)</f>
        <v>5.633</v>
      </c>
      <c r="D377" s="32">
        <f>5.6341 * CHOOSE(CONTROL!$C$32, $C$9, 100%, $E$9)</f>
        <v>5.6341000000000001</v>
      </c>
      <c r="E377" s="33">
        <f>6.7815 * CHOOSE(CONTROL!$C$32, $C$9, 100%, $E$9)</f>
        <v>6.7815000000000003</v>
      </c>
      <c r="F377" s="33">
        <f>6.7815 * CHOOSE(CONTROL!$C$32, $C$9, 100%, $E$9)</f>
        <v>6.7815000000000003</v>
      </c>
      <c r="G377" s="33">
        <f>6.7852 * CHOOSE(CONTROL!$C$32, $C$9, 100%, $E$9)</f>
        <v>6.7851999999999997</v>
      </c>
      <c r="H377" s="33">
        <f>12.0768 * CHOOSE(CONTROL!$C$32, $C$9, 100%, $E$9)</f>
        <v>12.0768</v>
      </c>
      <c r="I377" s="33">
        <f>12.0805 * CHOOSE(CONTROL!$C$32, $C$9, 100%, $E$9)</f>
        <v>12.080500000000001</v>
      </c>
      <c r="J377" s="33">
        <f>12.0768 * CHOOSE(CONTROL!$C$32, $C$9, 100%, $E$9)</f>
        <v>12.0768</v>
      </c>
      <c r="K377" s="33">
        <f>12.0805 * CHOOSE(CONTROL!$C$32, $C$9, 100%, $E$9)</f>
        <v>12.080500000000001</v>
      </c>
      <c r="L377" s="33">
        <f>6.7815 * CHOOSE(CONTROL!$C$32, $C$9, 100%, $E$9)</f>
        <v>6.7815000000000003</v>
      </c>
      <c r="M377" s="33">
        <f>6.7852 * CHOOSE(CONTROL!$C$32, $C$9, 100%, $E$9)</f>
        <v>6.7851999999999997</v>
      </c>
      <c r="N377" s="33">
        <f>6.7815 * CHOOSE(CONTROL!$C$32, $C$9, 100%, $E$9)</f>
        <v>6.7815000000000003</v>
      </c>
      <c r="O377" s="33">
        <f>6.7852 * CHOOSE(CONTROL!$C$32, $C$9, 100%, $E$9)</f>
        <v>6.7851999999999997</v>
      </c>
    </row>
    <row r="378" spans="1:15" ht="15" x14ac:dyDescent="0.2">
      <c r="A378" s="16">
        <v>52352</v>
      </c>
      <c r="B378" s="32">
        <f>5.633 * CHOOSE(CONTROL!$C$32, $C$9, 100%, $E$9)</f>
        <v>5.633</v>
      </c>
      <c r="C378" s="32">
        <f>5.633 * CHOOSE(CONTROL!$C$32, $C$9, 100%, $E$9)</f>
        <v>5.633</v>
      </c>
      <c r="D378" s="32">
        <f>5.6346 * CHOOSE(CONTROL!$C$32, $C$9, 100%, $E$9)</f>
        <v>5.6345999999999998</v>
      </c>
      <c r="E378" s="33">
        <f>6.8217 * CHOOSE(CONTROL!$C$32, $C$9, 100%, $E$9)</f>
        <v>6.8216999999999999</v>
      </c>
      <c r="F378" s="33">
        <f>6.8217 * CHOOSE(CONTROL!$C$32, $C$9, 100%, $E$9)</f>
        <v>6.8216999999999999</v>
      </c>
      <c r="G378" s="33">
        <f>6.827 * CHOOSE(CONTROL!$C$32, $C$9, 100%, $E$9)</f>
        <v>6.827</v>
      </c>
      <c r="H378" s="33">
        <f>12.102 * CHOOSE(CONTROL!$C$32, $C$9, 100%, $E$9)</f>
        <v>12.102</v>
      </c>
      <c r="I378" s="33">
        <f>12.1073 * CHOOSE(CONTROL!$C$32, $C$9, 100%, $E$9)</f>
        <v>12.1073</v>
      </c>
      <c r="J378" s="33">
        <f>12.102 * CHOOSE(CONTROL!$C$32, $C$9, 100%, $E$9)</f>
        <v>12.102</v>
      </c>
      <c r="K378" s="33">
        <f>12.1073 * CHOOSE(CONTROL!$C$32, $C$9, 100%, $E$9)</f>
        <v>12.1073</v>
      </c>
      <c r="L378" s="33">
        <f>6.8217 * CHOOSE(CONTROL!$C$32, $C$9, 100%, $E$9)</f>
        <v>6.8216999999999999</v>
      </c>
      <c r="M378" s="33">
        <f>6.827 * CHOOSE(CONTROL!$C$32, $C$9, 100%, $E$9)</f>
        <v>6.827</v>
      </c>
      <c r="N378" s="33">
        <f>6.8217 * CHOOSE(CONTROL!$C$32, $C$9, 100%, $E$9)</f>
        <v>6.8216999999999999</v>
      </c>
      <c r="O378" s="33">
        <f>6.827 * CHOOSE(CONTROL!$C$32, $C$9, 100%, $E$9)</f>
        <v>6.827</v>
      </c>
    </row>
    <row r="379" spans="1:15" ht="15" x14ac:dyDescent="0.2">
      <c r="A379" s="16">
        <v>52383</v>
      </c>
      <c r="B379" s="32">
        <f>5.6391 * CHOOSE(CONTROL!$C$32, $C$9, 100%, $E$9)</f>
        <v>5.6391</v>
      </c>
      <c r="C379" s="32">
        <f>5.6391 * CHOOSE(CONTROL!$C$32, $C$9, 100%, $E$9)</f>
        <v>5.6391</v>
      </c>
      <c r="D379" s="32">
        <f>5.6407 * CHOOSE(CONTROL!$C$32, $C$9, 100%, $E$9)</f>
        <v>5.6406999999999998</v>
      </c>
      <c r="E379" s="33">
        <f>6.7858 * CHOOSE(CONTROL!$C$32, $C$9, 100%, $E$9)</f>
        <v>6.7858000000000001</v>
      </c>
      <c r="F379" s="33">
        <f>6.7858 * CHOOSE(CONTROL!$C$32, $C$9, 100%, $E$9)</f>
        <v>6.7858000000000001</v>
      </c>
      <c r="G379" s="33">
        <f>6.7911 * CHOOSE(CONTROL!$C$32, $C$9, 100%, $E$9)</f>
        <v>6.7911000000000001</v>
      </c>
      <c r="H379" s="33">
        <f>12.1272 * CHOOSE(CONTROL!$C$32, $C$9, 100%, $E$9)</f>
        <v>12.1272</v>
      </c>
      <c r="I379" s="33">
        <f>12.1325 * CHOOSE(CONTROL!$C$32, $C$9, 100%, $E$9)</f>
        <v>12.1325</v>
      </c>
      <c r="J379" s="33">
        <f>12.1272 * CHOOSE(CONTROL!$C$32, $C$9, 100%, $E$9)</f>
        <v>12.1272</v>
      </c>
      <c r="K379" s="33">
        <f>12.1325 * CHOOSE(CONTROL!$C$32, $C$9, 100%, $E$9)</f>
        <v>12.1325</v>
      </c>
      <c r="L379" s="33">
        <f>6.7858 * CHOOSE(CONTROL!$C$32, $C$9, 100%, $E$9)</f>
        <v>6.7858000000000001</v>
      </c>
      <c r="M379" s="33">
        <f>6.7911 * CHOOSE(CONTROL!$C$32, $C$9, 100%, $E$9)</f>
        <v>6.7911000000000001</v>
      </c>
      <c r="N379" s="33">
        <f>6.7858 * CHOOSE(CONTROL!$C$32, $C$9, 100%, $E$9)</f>
        <v>6.7858000000000001</v>
      </c>
      <c r="O379" s="33">
        <f>6.7911 * CHOOSE(CONTROL!$C$32, $C$9, 100%, $E$9)</f>
        <v>6.7911000000000001</v>
      </c>
    </row>
    <row r="380" spans="1:15" ht="15" x14ac:dyDescent="0.2">
      <c r="A380" s="16">
        <v>52413</v>
      </c>
      <c r="B380" s="32">
        <f>5.7154 * CHOOSE(CONTROL!$C$32, $C$9, 100%, $E$9)</f>
        <v>5.7153999999999998</v>
      </c>
      <c r="C380" s="32">
        <f>5.7154 * CHOOSE(CONTROL!$C$32, $C$9, 100%, $E$9)</f>
        <v>5.7153999999999998</v>
      </c>
      <c r="D380" s="32">
        <f>5.7169 * CHOOSE(CONTROL!$C$32, $C$9, 100%, $E$9)</f>
        <v>5.7168999999999999</v>
      </c>
      <c r="E380" s="33">
        <f>6.8109 * CHOOSE(CONTROL!$C$32, $C$9, 100%, $E$9)</f>
        <v>6.8109000000000002</v>
      </c>
      <c r="F380" s="33">
        <f>6.8109 * CHOOSE(CONTROL!$C$32, $C$9, 100%, $E$9)</f>
        <v>6.8109000000000002</v>
      </c>
      <c r="G380" s="33">
        <f>6.8162 * CHOOSE(CONTROL!$C$32, $C$9, 100%, $E$9)</f>
        <v>6.8162000000000003</v>
      </c>
      <c r="H380" s="33">
        <f>12.1525 * CHOOSE(CONTROL!$C$32, $C$9, 100%, $E$9)</f>
        <v>12.1525</v>
      </c>
      <c r="I380" s="33">
        <f>12.1578 * CHOOSE(CONTROL!$C$32, $C$9, 100%, $E$9)</f>
        <v>12.1578</v>
      </c>
      <c r="J380" s="33">
        <f>12.1525 * CHOOSE(CONTROL!$C$32, $C$9, 100%, $E$9)</f>
        <v>12.1525</v>
      </c>
      <c r="K380" s="33">
        <f>12.1578 * CHOOSE(CONTROL!$C$32, $C$9, 100%, $E$9)</f>
        <v>12.1578</v>
      </c>
      <c r="L380" s="33">
        <f>6.8109 * CHOOSE(CONTROL!$C$32, $C$9, 100%, $E$9)</f>
        <v>6.8109000000000002</v>
      </c>
      <c r="M380" s="33">
        <f>6.8162 * CHOOSE(CONTROL!$C$32, $C$9, 100%, $E$9)</f>
        <v>6.8162000000000003</v>
      </c>
      <c r="N380" s="33">
        <f>6.8109 * CHOOSE(CONTROL!$C$32, $C$9, 100%, $E$9)</f>
        <v>6.8109000000000002</v>
      </c>
      <c r="O380" s="33">
        <f>6.8162 * CHOOSE(CONTROL!$C$32, $C$9, 100%, $E$9)</f>
        <v>6.8162000000000003</v>
      </c>
    </row>
    <row r="381" spans="1:15" ht="15" x14ac:dyDescent="0.2">
      <c r="A381" s="16">
        <v>52444</v>
      </c>
      <c r="B381" s="32">
        <f>5.7221 * CHOOSE(CONTROL!$C$32, $C$9, 100%, $E$9)</f>
        <v>5.7221000000000002</v>
      </c>
      <c r="C381" s="32">
        <f>5.7221 * CHOOSE(CONTROL!$C$32, $C$9, 100%, $E$9)</f>
        <v>5.7221000000000002</v>
      </c>
      <c r="D381" s="32">
        <f>5.7236 * CHOOSE(CONTROL!$C$32, $C$9, 100%, $E$9)</f>
        <v>5.7236000000000002</v>
      </c>
      <c r="E381" s="33">
        <f>6.695 * CHOOSE(CONTROL!$C$32, $C$9, 100%, $E$9)</f>
        <v>6.6950000000000003</v>
      </c>
      <c r="F381" s="33">
        <f>6.695 * CHOOSE(CONTROL!$C$32, $C$9, 100%, $E$9)</f>
        <v>6.6950000000000003</v>
      </c>
      <c r="G381" s="33">
        <f>6.7003 * CHOOSE(CONTROL!$C$32, $C$9, 100%, $E$9)</f>
        <v>6.7003000000000004</v>
      </c>
      <c r="H381" s="33">
        <f>12.1778 * CHOOSE(CONTROL!$C$32, $C$9, 100%, $E$9)</f>
        <v>12.1778</v>
      </c>
      <c r="I381" s="33">
        <f>12.1831 * CHOOSE(CONTROL!$C$32, $C$9, 100%, $E$9)</f>
        <v>12.1831</v>
      </c>
      <c r="J381" s="33">
        <f>12.1778 * CHOOSE(CONTROL!$C$32, $C$9, 100%, $E$9)</f>
        <v>12.1778</v>
      </c>
      <c r="K381" s="33">
        <f>12.1831 * CHOOSE(CONTROL!$C$32, $C$9, 100%, $E$9)</f>
        <v>12.1831</v>
      </c>
      <c r="L381" s="33">
        <f>6.695 * CHOOSE(CONTROL!$C$32, $C$9, 100%, $E$9)</f>
        <v>6.6950000000000003</v>
      </c>
      <c r="M381" s="33">
        <f>6.7003 * CHOOSE(CONTROL!$C$32, $C$9, 100%, $E$9)</f>
        <v>6.7003000000000004</v>
      </c>
      <c r="N381" s="33">
        <f>6.695 * CHOOSE(CONTROL!$C$32, $C$9, 100%, $E$9)</f>
        <v>6.6950000000000003</v>
      </c>
      <c r="O381" s="33">
        <f>6.7003 * CHOOSE(CONTROL!$C$32, $C$9, 100%, $E$9)</f>
        <v>6.7003000000000004</v>
      </c>
    </row>
    <row r="382" spans="1:15" ht="15" x14ac:dyDescent="0.2">
      <c r="A382" s="16">
        <v>52475</v>
      </c>
      <c r="B382" s="32">
        <f>5.719 * CHOOSE(CONTROL!$C$32, $C$9, 100%, $E$9)</f>
        <v>5.7190000000000003</v>
      </c>
      <c r="C382" s="32">
        <f>5.719 * CHOOSE(CONTROL!$C$32, $C$9, 100%, $E$9)</f>
        <v>5.7190000000000003</v>
      </c>
      <c r="D382" s="32">
        <f>5.7206 * CHOOSE(CONTROL!$C$32, $C$9, 100%, $E$9)</f>
        <v>5.7206000000000001</v>
      </c>
      <c r="E382" s="33">
        <f>6.6795 * CHOOSE(CONTROL!$C$32, $C$9, 100%, $E$9)</f>
        <v>6.6795</v>
      </c>
      <c r="F382" s="33">
        <f>6.6795 * CHOOSE(CONTROL!$C$32, $C$9, 100%, $E$9)</f>
        <v>6.6795</v>
      </c>
      <c r="G382" s="33">
        <f>6.6848 * CHOOSE(CONTROL!$C$32, $C$9, 100%, $E$9)</f>
        <v>6.6848000000000001</v>
      </c>
      <c r="H382" s="33">
        <f>12.2032 * CHOOSE(CONTROL!$C$32, $C$9, 100%, $E$9)</f>
        <v>12.203200000000001</v>
      </c>
      <c r="I382" s="33">
        <f>12.2085 * CHOOSE(CONTROL!$C$32, $C$9, 100%, $E$9)</f>
        <v>12.208500000000001</v>
      </c>
      <c r="J382" s="33">
        <f>12.2032 * CHOOSE(CONTROL!$C$32, $C$9, 100%, $E$9)</f>
        <v>12.203200000000001</v>
      </c>
      <c r="K382" s="33">
        <f>12.2085 * CHOOSE(CONTROL!$C$32, $C$9, 100%, $E$9)</f>
        <v>12.208500000000001</v>
      </c>
      <c r="L382" s="33">
        <f>6.6795 * CHOOSE(CONTROL!$C$32, $C$9, 100%, $E$9)</f>
        <v>6.6795</v>
      </c>
      <c r="M382" s="33">
        <f>6.6848 * CHOOSE(CONTROL!$C$32, $C$9, 100%, $E$9)</f>
        <v>6.6848000000000001</v>
      </c>
      <c r="N382" s="33">
        <f>6.6795 * CHOOSE(CONTROL!$C$32, $C$9, 100%, $E$9)</f>
        <v>6.6795</v>
      </c>
      <c r="O382" s="33">
        <f>6.6848 * CHOOSE(CONTROL!$C$32, $C$9, 100%, $E$9)</f>
        <v>6.6848000000000001</v>
      </c>
    </row>
    <row r="383" spans="1:15" ht="15" x14ac:dyDescent="0.2">
      <c r="A383" s="16">
        <v>52505</v>
      </c>
      <c r="B383" s="32">
        <f>5.7205 * CHOOSE(CONTROL!$C$32, $C$9, 100%, $E$9)</f>
        <v>5.7205000000000004</v>
      </c>
      <c r="C383" s="32">
        <f>5.7205 * CHOOSE(CONTROL!$C$32, $C$9, 100%, $E$9)</f>
        <v>5.7205000000000004</v>
      </c>
      <c r="D383" s="32">
        <f>5.7215 * CHOOSE(CONTROL!$C$32, $C$9, 100%, $E$9)</f>
        <v>5.7214999999999998</v>
      </c>
      <c r="E383" s="33">
        <f>6.7197 * CHOOSE(CONTROL!$C$32, $C$9, 100%, $E$9)</f>
        <v>6.7196999999999996</v>
      </c>
      <c r="F383" s="33">
        <f>6.7197 * CHOOSE(CONTROL!$C$32, $C$9, 100%, $E$9)</f>
        <v>6.7196999999999996</v>
      </c>
      <c r="G383" s="33">
        <f>6.7233 * CHOOSE(CONTROL!$C$32, $C$9, 100%, $E$9)</f>
        <v>6.7233000000000001</v>
      </c>
      <c r="H383" s="33">
        <f>12.2286 * CHOOSE(CONTROL!$C$32, $C$9, 100%, $E$9)</f>
        <v>12.2286</v>
      </c>
      <c r="I383" s="33">
        <f>12.2322 * CHOOSE(CONTROL!$C$32, $C$9, 100%, $E$9)</f>
        <v>12.232200000000001</v>
      </c>
      <c r="J383" s="33">
        <f>12.2286 * CHOOSE(CONTROL!$C$32, $C$9, 100%, $E$9)</f>
        <v>12.2286</v>
      </c>
      <c r="K383" s="33">
        <f>12.2322 * CHOOSE(CONTROL!$C$32, $C$9, 100%, $E$9)</f>
        <v>12.232200000000001</v>
      </c>
      <c r="L383" s="33">
        <f>6.7197 * CHOOSE(CONTROL!$C$32, $C$9, 100%, $E$9)</f>
        <v>6.7196999999999996</v>
      </c>
      <c r="M383" s="33">
        <f>6.7233 * CHOOSE(CONTROL!$C$32, $C$9, 100%, $E$9)</f>
        <v>6.7233000000000001</v>
      </c>
      <c r="N383" s="33">
        <f>6.7197 * CHOOSE(CONTROL!$C$32, $C$9, 100%, $E$9)</f>
        <v>6.7196999999999996</v>
      </c>
      <c r="O383" s="33">
        <f>6.7233 * CHOOSE(CONTROL!$C$32, $C$9, 100%, $E$9)</f>
        <v>6.7233000000000001</v>
      </c>
    </row>
    <row r="384" spans="1:15" ht="15" x14ac:dyDescent="0.2">
      <c r="A384" s="16">
        <v>52536</v>
      </c>
      <c r="B384" s="32">
        <f>5.7235 * CHOOSE(CONTROL!$C$32, $C$9, 100%, $E$9)</f>
        <v>5.7234999999999996</v>
      </c>
      <c r="C384" s="32">
        <f>5.7235 * CHOOSE(CONTROL!$C$32, $C$9, 100%, $E$9)</f>
        <v>5.7234999999999996</v>
      </c>
      <c r="D384" s="32">
        <f>5.7246 * CHOOSE(CONTROL!$C$32, $C$9, 100%, $E$9)</f>
        <v>5.7245999999999997</v>
      </c>
      <c r="E384" s="33">
        <f>6.7486 * CHOOSE(CONTROL!$C$32, $C$9, 100%, $E$9)</f>
        <v>6.7485999999999997</v>
      </c>
      <c r="F384" s="33">
        <f>6.7486 * CHOOSE(CONTROL!$C$32, $C$9, 100%, $E$9)</f>
        <v>6.7485999999999997</v>
      </c>
      <c r="G384" s="33">
        <f>6.7522 * CHOOSE(CONTROL!$C$32, $C$9, 100%, $E$9)</f>
        <v>6.7522000000000002</v>
      </c>
      <c r="H384" s="33">
        <f>12.2541 * CHOOSE(CONTROL!$C$32, $C$9, 100%, $E$9)</f>
        <v>12.254099999999999</v>
      </c>
      <c r="I384" s="33">
        <f>12.2577 * CHOOSE(CONTROL!$C$32, $C$9, 100%, $E$9)</f>
        <v>12.2577</v>
      </c>
      <c r="J384" s="33">
        <f>12.2541 * CHOOSE(CONTROL!$C$32, $C$9, 100%, $E$9)</f>
        <v>12.254099999999999</v>
      </c>
      <c r="K384" s="33">
        <f>12.2577 * CHOOSE(CONTROL!$C$32, $C$9, 100%, $E$9)</f>
        <v>12.2577</v>
      </c>
      <c r="L384" s="33">
        <f>6.7486 * CHOOSE(CONTROL!$C$32, $C$9, 100%, $E$9)</f>
        <v>6.7485999999999997</v>
      </c>
      <c r="M384" s="33">
        <f>6.7522 * CHOOSE(CONTROL!$C$32, $C$9, 100%, $E$9)</f>
        <v>6.7522000000000002</v>
      </c>
      <c r="N384" s="33">
        <f>6.7486 * CHOOSE(CONTROL!$C$32, $C$9, 100%, $E$9)</f>
        <v>6.7485999999999997</v>
      </c>
      <c r="O384" s="33">
        <f>6.7522 * CHOOSE(CONTROL!$C$32, $C$9, 100%, $E$9)</f>
        <v>6.7522000000000002</v>
      </c>
    </row>
    <row r="385" spans="1:15" ht="15" x14ac:dyDescent="0.2">
      <c r="A385" s="16">
        <v>52566</v>
      </c>
      <c r="B385" s="32">
        <f>5.7235 * CHOOSE(CONTROL!$C$32, $C$9, 100%, $E$9)</f>
        <v>5.7234999999999996</v>
      </c>
      <c r="C385" s="32">
        <f>5.7235 * CHOOSE(CONTROL!$C$32, $C$9, 100%, $E$9)</f>
        <v>5.7234999999999996</v>
      </c>
      <c r="D385" s="32">
        <f>5.7246 * CHOOSE(CONTROL!$C$32, $C$9, 100%, $E$9)</f>
        <v>5.7245999999999997</v>
      </c>
      <c r="E385" s="33">
        <f>6.6816 * CHOOSE(CONTROL!$C$32, $C$9, 100%, $E$9)</f>
        <v>6.6816000000000004</v>
      </c>
      <c r="F385" s="33">
        <f>6.6816 * CHOOSE(CONTROL!$C$32, $C$9, 100%, $E$9)</f>
        <v>6.6816000000000004</v>
      </c>
      <c r="G385" s="33">
        <f>6.6852 * CHOOSE(CONTROL!$C$32, $C$9, 100%, $E$9)</f>
        <v>6.6852</v>
      </c>
      <c r="H385" s="33">
        <f>12.2796 * CHOOSE(CONTROL!$C$32, $C$9, 100%, $E$9)</f>
        <v>12.2796</v>
      </c>
      <c r="I385" s="33">
        <f>12.2832 * CHOOSE(CONTROL!$C$32, $C$9, 100%, $E$9)</f>
        <v>12.283200000000001</v>
      </c>
      <c r="J385" s="33">
        <f>12.2796 * CHOOSE(CONTROL!$C$32, $C$9, 100%, $E$9)</f>
        <v>12.2796</v>
      </c>
      <c r="K385" s="33">
        <f>12.2832 * CHOOSE(CONTROL!$C$32, $C$9, 100%, $E$9)</f>
        <v>12.283200000000001</v>
      </c>
      <c r="L385" s="33">
        <f>6.6816 * CHOOSE(CONTROL!$C$32, $C$9, 100%, $E$9)</f>
        <v>6.6816000000000004</v>
      </c>
      <c r="M385" s="33">
        <f>6.6852 * CHOOSE(CONTROL!$C$32, $C$9, 100%, $E$9)</f>
        <v>6.6852</v>
      </c>
      <c r="N385" s="33">
        <f>6.6816 * CHOOSE(CONTROL!$C$32, $C$9, 100%, $E$9)</f>
        <v>6.6816000000000004</v>
      </c>
      <c r="O385" s="33">
        <f>6.6852 * CHOOSE(CONTROL!$C$32, $C$9, 100%, $E$9)</f>
        <v>6.6852</v>
      </c>
    </row>
    <row r="386" spans="1:15" ht="15" x14ac:dyDescent="0.2">
      <c r="A386" s="16">
        <v>52597</v>
      </c>
      <c r="B386" s="32">
        <f>5.7676 * CHOOSE(CONTROL!$C$32, $C$9, 100%, $E$9)</f>
        <v>5.7675999999999998</v>
      </c>
      <c r="C386" s="32">
        <f>5.7676 * CHOOSE(CONTROL!$C$32, $C$9, 100%, $E$9)</f>
        <v>5.7675999999999998</v>
      </c>
      <c r="D386" s="32">
        <f>5.7686 * CHOOSE(CONTROL!$C$32, $C$9, 100%, $E$9)</f>
        <v>5.7686000000000002</v>
      </c>
      <c r="E386" s="33">
        <f>6.7573 * CHOOSE(CONTROL!$C$32, $C$9, 100%, $E$9)</f>
        <v>6.7572999999999999</v>
      </c>
      <c r="F386" s="33">
        <f>6.7573 * CHOOSE(CONTROL!$C$32, $C$9, 100%, $E$9)</f>
        <v>6.7572999999999999</v>
      </c>
      <c r="G386" s="33">
        <f>6.7609 * CHOOSE(CONTROL!$C$32, $C$9, 100%, $E$9)</f>
        <v>6.7609000000000004</v>
      </c>
      <c r="H386" s="33">
        <f>12.3052 * CHOOSE(CONTROL!$C$32, $C$9, 100%, $E$9)</f>
        <v>12.305199999999999</v>
      </c>
      <c r="I386" s="33">
        <f>12.3088 * CHOOSE(CONTROL!$C$32, $C$9, 100%, $E$9)</f>
        <v>12.3088</v>
      </c>
      <c r="J386" s="33">
        <f>12.3052 * CHOOSE(CONTROL!$C$32, $C$9, 100%, $E$9)</f>
        <v>12.305199999999999</v>
      </c>
      <c r="K386" s="33">
        <f>12.3088 * CHOOSE(CONTROL!$C$32, $C$9, 100%, $E$9)</f>
        <v>12.3088</v>
      </c>
      <c r="L386" s="33">
        <f>6.7573 * CHOOSE(CONTROL!$C$32, $C$9, 100%, $E$9)</f>
        <v>6.7572999999999999</v>
      </c>
      <c r="M386" s="33">
        <f>6.7609 * CHOOSE(CONTROL!$C$32, $C$9, 100%, $E$9)</f>
        <v>6.7609000000000004</v>
      </c>
      <c r="N386" s="33">
        <f>6.7573 * CHOOSE(CONTROL!$C$32, $C$9, 100%, $E$9)</f>
        <v>6.7572999999999999</v>
      </c>
      <c r="O386" s="33">
        <f>6.7609 * CHOOSE(CONTROL!$C$32, $C$9, 100%, $E$9)</f>
        <v>6.7609000000000004</v>
      </c>
    </row>
    <row r="387" spans="1:15" ht="15" x14ac:dyDescent="0.2">
      <c r="A387" s="16">
        <v>52628</v>
      </c>
      <c r="B387" s="32">
        <f>5.7645 * CHOOSE(CONTROL!$C$32, $C$9, 100%, $E$9)</f>
        <v>5.7645</v>
      </c>
      <c r="C387" s="32">
        <f>5.7645 * CHOOSE(CONTROL!$C$32, $C$9, 100%, $E$9)</f>
        <v>5.7645</v>
      </c>
      <c r="D387" s="32">
        <f>5.7656 * CHOOSE(CONTROL!$C$32, $C$9, 100%, $E$9)</f>
        <v>5.7656000000000001</v>
      </c>
      <c r="E387" s="33">
        <f>6.6244 * CHOOSE(CONTROL!$C$32, $C$9, 100%, $E$9)</f>
        <v>6.6243999999999996</v>
      </c>
      <c r="F387" s="33">
        <f>6.6244 * CHOOSE(CONTROL!$C$32, $C$9, 100%, $E$9)</f>
        <v>6.6243999999999996</v>
      </c>
      <c r="G387" s="33">
        <f>6.628 * CHOOSE(CONTROL!$C$32, $C$9, 100%, $E$9)</f>
        <v>6.6280000000000001</v>
      </c>
      <c r="H387" s="33">
        <f>12.3308 * CHOOSE(CONTROL!$C$32, $C$9, 100%, $E$9)</f>
        <v>12.3308</v>
      </c>
      <c r="I387" s="33">
        <f>12.3344 * CHOOSE(CONTROL!$C$32, $C$9, 100%, $E$9)</f>
        <v>12.3344</v>
      </c>
      <c r="J387" s="33">
        <f>12.3308 * CHOOSE(CONTROL!$C$32, $C$9, 100%, $E$9)</f>
        <v>12.3308</v>
      </c>
      <c r="K387" s="33">
        <f>12.3344 * CHOOSE(CONTROL!$C$32, $C$9, 100%, $E$9)</f>
        <v>12.3344</v>
      </c>
      <c r="L387" s="33">
        <f>6.6244 * CHOOSE(CONTROL!$C$32, $C$9, 100%, $E$9)</f>
        <v>6.6243999999999996</v>
      </c>
      <c r="M387" s="33">
        <f>6.628 * CHOOSE(CONTROL!$C$32, $C$9, 100%, $E$9)</f>
        <v>6.6280000000000001</v>
      </c>
      <c r="N387" s="33">
        <f>6.6244 * CHOOSE(CONTROL!$C$32, $C$9, 100%, $E$9)</f>
        <v>6.6243999999999996</v>
      </c>
      <c r="O387" s="33">
        <f>6.628 * CHOOSE(CONTROL!$C$32, $C$9, 100%, $E$9)</f>
        <v>6.6280000000000001</v>
      </c>
    </row>
    <row r="388" spans="1:15" ht="15" x14ac:dyDescent="0.2">
      <c r="A388" s="16">
        <v>52657</v>
      </c>
      <c r="B388" s="32">
        <f>5.7615 * CHOOSE(CONTROL!$C$32, $C$9, 100%, $E$9)</f>
        <v>5.7614999999999998</v>
      </c>
      <c r="C388" s="32">
        <f>5.7615 * CHOOSE(CONTROL!$C$32, $C$9, 100%, $E$9)</f>
        <v>5.7614999999999998</v>
      </c>
      <c r="D388" s="32">
        <f>5.7626 * CHOOSE(CONTROL!$C$32, $C$9, 100%, $E$9)</f>
        <v>5.7625999999999999</v>
      </c>
      <c r="E388" s="33">
        <f>6.7254 * CHOOSE(CONTROL!$C$32, $C$9, 100%, $E$9)</f>
        <v>6.7253999999999996</v>
      </c>
      <c r="F388" s="33">
        <f>6.7254 * CHOOSE(CONTROL!$C$32, $C$9, 100%, $E$9)</f>
        <v>6.7253999999999996</v>
      </c>
      <c r="G388" s="33">
        <f>6.729 * CHOOSE(CONTROL!$C$32, $C$9, 100%, $E$9)</f>
        <v>6.7290000000000001</v>
      </c>
      <c r="H388" s="33">
        <f>12.3565 * CHOOSE(CONTROL!$C$32, $C$9, 100%, $E$9)</f>
        <v>12.3565</v>
      </c>
      <c r="I388" s="33">
        <f>12.3601 * CHOOSE(CONTROL!$C$32, $C$9, 100%, $E$9)</f>
        <v>12.360099999999999</v>
      </c>
      <c r="J388" s="33">
        <f>12.3565 * CHOOSE(CONTROL!$C$32, $C$9, 100%, $E$9)</f>
        <v>12.3565</v>
      </c>
      <c r="K388" s="33">
        <f>12.3601 * CHOOSE(CONTROL!$C$32, $C$9, 100%, $E$9)</f>
        <v>12.360099999999999</v>
      </c>
      <c r="L388" s="33">
        <f>6.7254 * CHOOSE(CONTROL!$C$32, $C$9, 100%, $E$9)</f>
        <v>6.7253999999999996</v>
      </c>
      <c r="M388" s="33">
        <f>6.729 * CHOOSE(CONTROL!$C$32, $C$9, 100%, $E$9)</f>
        <v>6.7290000000000001</v>
      </c>
      <c r="N388" s="33">
        <f>6.7254 * CHOOSE(CONTROL!$C$32, $C$9, 100%, $E$9)</f>
        <v>6.7253999999999996</v>
      </c>
      <c r="O388" s="33">
        <f>6.729 * CHOOSE(CONTROL!$C$32, $C$9, 100%, $E$9)</f>
        <v>6.7290000000000001</v>
      </c>
    </row>
    <row r="389" spans="1:15" ht="15" x14ac:dyDescent="0.2">
      <c r="A389" s="16">
        <v>52688</v>
      </c>
      <c r="B389" s="32">
        <f>5.7608 * CHOOSE(CONTROL!$C$32, $C$9, 100%, $E$9)</f>
        <v>5.7607999999999997</v>
      </c>
      <c r="C389" s="32">
        <f>5.7608 * CHOOSE(CONTROL!$C$32, $C$9, 100%, $E$9)</f>
        <v>5.7607999999999997</v>
      </c>
      <c r="D389" s="32">
        <f>5.7619 * CHOOSE(CONTROL!$C$32, $C$9, 100%, $E$9)</f>
        <v>5.7618999999999998</v>
      </c>
      <c r="E389" s="33">
        <f>6.8318 * CHOOSE(CONTROL!$C$32, $C$9, 100%, $E$9)</f>
        <v>6.8318000000000003</v>
      </c>
      <c r="F389" s="33">
        <f>6.8318 * CHOOSE(CONTROL!$C$32, $C$9, 100%, $E$9)</f>
        <v>6.8318000000000003</v>
      </c>
      <c r="G389" s="33">
        <f>6.8354 * CHOOSE(CONTROL!$C$32, $C$9, 100%, $E$9)</f>
        <v>6.8353999999999999</v>
      </c>
      <c r="H389" s="33">
        <f>12.3823 * CHOOSE(CONTROL!$C$32, $C$9, 100%, $E$9)</f>
        <v>12.382300000000001</v>
      </c>
      <c r="I389" s="33">
        <f>12.3859 * CHOOSE(CONTROL!$C$32, $C$9, 100%, $E$9)</f>
        <v>12.385899999999999</v>
      </c>
      <c r="J389" s="33">
        <f>12.3823 * CHOOSE(CONTROL!$C$32, $C$9, 100%, $E$9)</f>
        <v>12.382300000000001</v>
      </c>
      <c r="K389" s="33">
        <f>12.3859 * CHOOSE(CONTROL!$C$32, $C$9, 100%, $E$9)</f>
        <v>12.385899999999999</v>
      </c>
      <c r="L389" s="33">
        <f>6.8318 * CHOOSE(CONTROL!$C$32, $C$9, 100%, $E$9)</f>
        <v>6.8318000000000003</v>
      </c>
      <c r="M389" s="33">
        <f>6.8354 * CHOOSE(CONTROL!$C$32, $C$9, 100%, $E$9)</f>
        <v>6.8353999999999999</v>
      </c>
      <c r="N389" s="33">
        <f>6.8318 * CHOOSE(CONTROL!$C$32, $C$9, 100%, $E$9)</f>
        <v>6.8318000000000003</v>
      </c>
      <c r="O389" s="33">
        <f>6.8354 * CHOOSE(CONTROL!$C$32, $C$9, 100%, $E$9)</f>
        <v>6.8353999999999999</v>
      </c>
    </row>
    <row r="390" spans="1:15" ht="15" x14ac:dyDescent="0.2">
      <c r="A390" s="16">
        <v>52718</v>
      </c>
      <c r="B390" s="32">
        <f>5.7608 * CHOOSE(CONTROL!$C$32, $C$9, 100%, $E$9)</f>
        <v>5.7607999999999997</v>
      </c>
      <c r="C390" s="32">
        <f>5.7608 * CHOOSE(CONTROL!$C$32, $C$9, 100%, $E$9)</f>
        <v>5.7607999999999997</v>
      </c>
      <c r="D390" s="32">
        <f>5.7624 * CHOOSE(CONTROL!$C$32, $C$9, 100%, $E$9)</f>
        <v>5.7624000000000004</v>
      </c>
      <c r="E390" s="33">
        <f>6.8733 * CHOOSE(CONTROL!$C$32, $C$9, 100%, $E$9)</f>
        <v>6.8733000000000004</v>
      </c>
      <c r="F390" s="33">
        <f>6.8733 * CHOOSE(CONTROL!$C$32, $C$9, 100%, $E$9)</f>
        <v>6.8733000000000004</v>
      </c>
      <c r="G390" s="33">
        <f>6.8786 * CHOOSE(CONTROL!$C$32, $C$9, 100%, $E$9)</f>
        <v>6.8785999999999996</v>
      </c>
      <c r="H390" s="33">
        <f>12.408 * CHOOSE(CONTROL!$C$32, $C$9, 100%, $E$9)</f>
        <v>12.407999999999999</v>
      </c>
      <c r="I390" s="33">
        <f>12.4133 * CHOOSE(CONTROL!$C$32, $C$9, 100%, $E$9)</f>
        <v>12.4133</v>
      </c>
      <c r="J390" s="33">
        <f>12.408 * CHOOSE(CONTROL!$C$32, $C$9, 100%, $E$9)</f>
        <v>12.407999999999999</v>
      </c>
      <c r="K390" s="33">
        <f>12.4133 * CHOOSE(CONTROL!$C$32, $C$9, 100%, $E$9)</f>
        <v>12.4133</v>
      </c>
      <c r="L390" s="33">
        <f>6.8733 * CHOOSE(CONTROL!$C$32, $C$9, 100%, $E$9)</f>
        <v>6.8733000000000004</v>
      </c>
      <c r="M390" s="33">
        <f>6.8786 * CHOOSE(CONTROL!$C$32, $C$9, 100%, $E$9)</f>
        <v>6.8785999999999996</v>
      </c>
      <c r="N390" s="33">
        <f>6.8733 * CHOOSE(CONTROL!$C$32, $C$9, 100%, $E$9)</f>
        <v>6.8733000000000004</v>
      </c>
      <c r="O390" s="33">
        <f>6.8786 * CHOOSE(CONTROL!$C$32, $C$9, 100%, $E$9)</f>
        <v>6.8785999999999996</v>
      </c>
    </row>
    <row r="391" spans="1:15" ht="15" x14ac:dyDescent="0.2">
      <c r="A391" s="16">
        <v>52749</v>
      </c>
      <c r="B391" s="32">
        <f>5.7669 * CHOOSE(CONTROL!$C$32, $C$9, 100%, $E$9)</f>
        <v>5.7668999999999997</v>
      </c>
      <c r="C391" s="32">
        <f>5.7669 * CHOOSE(CONTROL!$C$32, $C$9, 100%, $E$9)</f>
        <v>5.7668999999999997</v>
      </c>
      <c r="D391" s="32">
        <f>5.7685 * CHOOSE(CONTROL!$C$32, $C$9, 100%, $E$9)</f>
        <v>5.7685000000000004</v>
      </c>
      <c r="E391" s="33">
        <f>6.836 * CHOOSE(CONTROL!$C$32, $C$9, 100%, $E$9)</f>
        <v>6.8360000000000003</v>
      </c>
      <c r="F391" s="33">
        <f>6.836 * CHOOSE(CONTROL!$C$32, $C$9, 100%, $E$9)</f>
        <v>6.8360000000000003</v>
      </c>
      <c r="G391" s="33">
        <f>6.8413 * CHOOSE(CONTROL!$C$32, $C$9, 100%, $E$9)</f>
        <v>6.8413000000000004</v>
      </c>
      <c r="H391" s="33">
        <f>12.4339 * CHOOSE(CONTROL!$C$32, $C$9, 100%, $E$9)</f>
        <v>12.4339</v>
      </c>
      <c r="I391" s="33">
        <f>12.4392 * CHOOSE(CONTROL!$C$32, $C$9, 100%, $E$9)</f>
        <v>12.4392</v>
      </c>
      <c r="J391" s="33">
        <f>12.4339 * CHOOSE(CONTROL!$C$32, $C$9, 100%, $E$9)</f>
        <v>12.4339</v>
      </c>
      <c r="K391" s="33">
        <f>12.4392 * CHOOSE(CONTROL!$C$32, $C$9, 100%, $E$9)</f>
        <v>12.4392</v>
      </c>
      <c r="L391" s="33">
        <f>6.836 * CHOOSE(CONTROL!$C$32, $C$9, 100%, $E$9)</f>
        <v>6.8360000000000003</v>
      </c>
      <c r="M391" s="33">
        <f>6.8413 * CHOOSE(CONTROL!$C$32, $C$9, 100%, $E$9)</f>
        <v>6.8413000000000004</v>
      </c>
      <c r="N391" s="33">
        <f>6.836 * CHOOSE(CONTROL!$C$32, $C$9, 100%, $E$9)</f>
        <v>6.8360000000000003</v>
      </c>
      <c r="O391" s="33">
        <f>6.8413 * CHOOSE(CONTROL!$C$32, $C$9, 100%, $E$9)</f>
        <v>6.8413000000000004</v>
      </c>
    </row>
    <row r="392" spans="1:15" ht="15" x14ac:dyDescent="0.2">
      <c r="A392" s="16">
        <v>52779</v>
      </c>
      <c r="B392" s="32">
        <f>5.845 * CHOOSE(CONTROL!$C$32, $C$9, 100%, $E$9)</f>
        <v>5.8449999999999998</v>
      </c>
      <c r="C392" s="32">
        <f>5.845 * CHOOSE(CONTROL!$C$32, $C$9, 100%, $E$9)</f>
        <v>5.8449999999999998</v>
      </c>
      <c r="D392" s="32">
        <f>5.8465 * CHOOSE(CONTROL!$C$32, $C$9, 100%, $E$9)</f>
        <v>5.8464999999999998</v>
      </c>
      <c r="E392" s="33">
        <f>6.8655 * CHOOSE(CONTROL!$C$32, $C$9, 100%, $E$9)</f>
        <v>6.8654999999999999</v>
      </c>
      <c r="F392" s="33">
        <f>6.8655 * CHOOSE(CONTROL!$C$32, $C$9, 100%, $E$9)</f>
        <v>6.8654999999999999</v>
      </c>
      <c r="G392" s="33">
        <f>6.8708 * CHOOSE(CONTROL!$C$32, $C$9, 100%, $E$9)</f>
        <v>6.8708</v>
      </c>
      <c r="H392" s="33">
        <f>12.4598 * CHOOSE(CONTROL!$C$32, $C$9, 100%, $E$9)</f>
        <v>12.4598</v>
      </c>
      <c r="I392" s="33">
        <f>12.4651 * CHOOSE(CONTROL!$C$32, $C$9, 100%, $E$9)</f>
        <v>12.4651</v>
      </c>
      <c r="J392" s="33">
        <f>12.4598 * CHOOSE(CONTROL!$C$32, $C$9, 100%, $E$9)</f>
        <v>12.4598</v>
      </c>
      <c r="K392" s="33">
        <f>12.4651 * CHOOSE(CONTROL!$C$32, $C$9, 100%, $E$9)</f>
        <v>12.4651</v>
      </c>
      <c r="L392" s="33">
        <f>6.8655 * CHOOSE(CONTROL!$C$32, $C$9, 100%, $E$9)</f>
        <v>6.8654999999999999</v>
      </c>
      <c r="M392" s="33">
        <f>6.8708 * CHOOSE(CONTROL!$C$32, $C$9, 100%, $E$9)</f>
        <v>6.8708</v>
      </c>
      <c r="N392" s="33">
        <f>6.8655 * CHOOSE(CONTROL!$C$32, $C$9, 100%, $E$9)</f>
        <v>6.8654999999999999</v>
      </c>
      <c r="O392" s="33">
        <f>6.8708 * CHOOSE(CONTROL!$C$32, $C$9, 100%, $E$9)</f>
        <v>6.8708</v>
      </c>
    </row>
    <row r="393" spans="1:15" ht="15" x14ac:dyDescent="0.2">
      <c r="A393" s="16">
        <v>52810</v>
      </c>
      <c r="B393" s="32">
        <f>5.8516 * CHOOSE(CONTROL!$C$32, $C$9, 100%, $E$9)</f>
        <v>5.8516000000000004</v>
      </c>
      <c r="C393" s="32">
        <f>5.8516 * CHOOSE(CONTROL!$C$32, $C$9, 100%, $E$9)</f>
        <v>5.8516000000000004</v>
      </c>
      <c r="D393" s="32">
        <f>5.8532 * CHOOSE(CONTROL!$C$32, $C$9, 100%, $E$9)</f>
        <v>5.8532000000000002</v>
      </c>
      <c r="E393" s="33">
        <f>6.7456 * CHOOSE(CONTROL!$C$32, $C$9, 100%, $E$9)</f>
        <v>6.7455999999999996</v>
      </c>
      <c r="F393" s="33">
        <f>6.7456 * CHOOSE(CONTROL!$C$32, $C$9, 100%, $E$9)</f>
        <v>6.7455999999999996</v>
      </c>
      <c r="G393" s="33">
        <f>6.7509 * CHOOSE(CONTROL!$C$32, $C$9, 100%, $E$9)</f>
        <v>6.7508999999999997</v>
      </c>
      <c r="H393" s="33">
        <f>12.4858 * CHOOSE(CONTROL!$C$32, $C$9, 100%, $E$9)</f>
        <v>12.485799999999999</v>
      </c>
      <c r="I393" s="33">
        <f>12.4911 * CHOOSE(CONTROL!$C$32, $C$9, 100%, $E$9)</f>
        <v>12.491099999999999</v>
      </c>
      <c r="J393" s="33">
        <f>12.4858 * CHOOSE(CONTROL!$C$32, $C$9, 100%, $E$9)</f>
        <v>12.485799999999999</v>
      </c>
      <c r="K393" s="33">
        <f>12.4911 * CHOOSE(CONTROL!$C$32, $C$9, 100%, $E$9)</f>
        <v>12.491099999999999</v>
      </c>
      <c r="L393" s="33">
        <f>6.7456 * CHOOSE(CONTROL!$C$32, $C$9, 100%, $E$9)</f>
        <v>6.7455999999999996</v>
      </c>
      <c r="M393" s="33">
        <f>6.7509 * CHOOSE(CONTROL!$C$32, $C$9, 100%, $E$9)</f>
        <v>6.7508999999999997</v>
      </c>
      <c r="N393" s="33">
        <f>6.7456 * CHOOSE(CONTROL!$C$32, $C$9, 100%, $E$9)</f>
        <v>6.7455999999999996</v>
      </c>
      <c r="O393" s="33">
        <f>6.7509 * CHOOSE(CONTROL!$C$32, $C$9, 100%, $E$9)</f>
        <v>6.7508999999999997</v>
      </c>
    </row>
    <row r="394" spans="1:15" ht="15" x14ac:dyDescent="0.2">
      <c r="A394" s="16">
        <v>52841</v>
      </c>
      <c r="B394" s="32">
        <f>5.8486 * CHOOSE(CONTROL!$C$32, $C$9, 100%, $E$9)</f>
        <v>5.8486000000000002</v>
      </c>
      <c r="C394" s="32">
        <f>5.8486 * CHOOSE(CONTROL!$C$32, $C$9, 100%, $E$9)</f>
        <v>5.8486000000000002</v>
      </c>
      <c r="D394" s="32">
        <f>5.8502 * CHOOSE(CONTROL!$C$32, $C$9, 100%, $E$9)</f>
        <v>5.8502000000000001</v>
      </c>
      <c r="E394" s="33">
        <f>6.7297 * CHOOSE(CONTROL!$C$32, $C$9, 100%, $E$9)</f>
        <v>6.7297000000000002</v>
      </c>
      <c r="F394" s="33">
        <f>6.7297 * CHOOSE(CONTROL!$C$32, $C$9, 100%, $E$9)</f>
        <v>6.7297000000000002</v>
      </c>
      <c r="G394" s="33">
        <f>6.735 * CHOOSE(CONTROL!$C$32, $C$9, 100%, $E$9)</f>
        <v>6.7350000000000003</v>
      </c>
      <c r="H394" s="33">
        <f>12.5118 * CHOOSE(CONTROL!$C$32, $C$9, 100%, $E$9)</f>
        <v>12.511799999999999</v>
      </c>
      <c r="I394" s="33">
        <f>12.5171 * CHOOSE(CONTROL!$C$32, $C$9, 100%, $E$9)</f>
        <v>12.517099999999999</v>
      </c>
      <c r="J394" s="33">
        <f>12.5118 * CHOOSE(CONTROL!$C$32, $C$9, 100%, $E$9)</f>
        <v>12.511799999999999</v>
      </c>
      <c r="K394" s="33">
        <f>12.5171 * CHOOSE(CONTROL!$C$32, $C$9, 100%, $E$9)</f>
        <v>12.517099999999999</v>
      </c>
      <c r="L394" s="33">
        <f>6.7297 * CHOOSE(CONTROL!$C$32, $C$9, 100%, $E$9)</f>
        <v>6.7297000000000002</v>
      </c>
      <c r="M394" s="33">
        <f>6.735 * CHOOSE(CONTROL!$C$32, $C$9, 100%, $E$9)</f>
        <v>6.7350000000000003</v>
      </c>
      <c r="N394" s="33">
        <f>6.7297 * CHOOSE(CONTROL!$C$32, $C$9, 100%, $E$9)</f>
        <v>6.7297000000000002</v>
      </c>
      <c r="O394" s="33">
        <f>6.735 * CHOOSE(CONTROL!$C$32, $C$9, 100%, $E$9)</f>
        <v>6.7350000000000003</v>
      </c>
    </row>
    <row r="395" spans="1:15" ht="15" x14ac:dyDescent="0.2">
      <c r="A395" s="16">
        <v>52871</v>
      </c>
      <c r="B395" s="32">
        <f>5.8505 * CHOOSE(CONTROL!$C$32, $C$9, 100%, $E$9)</f>
        <v>5.8505000000000003</v>
      </c>
      <c r="C395" s="32">
        <f>5.8505 * CHOOSE(CONTROL!$C$32, $C$9, 100%, $E$9)</f>
        <v>5.8505000000000003</v>
      </c>
      <c r="D395" s="32">
        <f>5.8516 * CHOOSE(CONTROL!$C$32, $C$9, 100%, $E$9)</f>
        <v>5.8516000000000004</v>
      </c>
      <c r="E395" s="33">
        <f>6.7716 * CHOOSE(CONTROL!$C$32, $C$9, 100%, $E$9)</f>
        <v>6.7716000000000003</v>
      </c>
      <c r="F395" s="33">
        <f>6.7716 * CHOOSE(CONTROL!$C$32, $C$9, 100%, $E$9)</f>
        <v>6.7716000000000003</v>
      </c>
      <c r="G395" s="33">
        <f>6.7752 * CHOOSE(CONTROL!$C$32, $C$9, 100%, $E$9)</f>
        <v>6.7751999999999999</v>
      </c>
      <c r="H395" s="33">
        <f>12.5378 * CHOOSE(CONTROL!$C$32, $C$9, 100%, $E$9)</f>
        <v>12.537800000000001</v>
      </c>
      <c r="I395" s="33">
        <f>12.5415 * CHOOSE(CONTROL!$C$32, $C$9, 100%, $E$9)</f>
        <v>12.541499999999999</v>
      </c>
      <c r="J395" s="33">
        <f>12.5378 * CHOOSE(CONTROL!$C$32, $C$9, 100%, $E$9)</f>
        <v>12.537800000000001</v>
      </c>
      <c r="K395" s="33">
        <f>12.5415 * CHOOSE(CONTROL!$C$32, $C$9, 100%, $E$9)</f>
        <v>12.541499999999999</v>
      </c>
      <c r="L395" s="33">
        <f>6.7716 * CHOOSE(CONTROL!$C$32, $C$9, 100%, $E$9)</f>
        <v>6.7716000000000003</v>
      </c>
      <c r="M395" s="33">
        <f>6.7752 * CHOOSE(CONTROL!$C$32, $C$9, 100%, $E$9)</f>
        <v>6.7751999999999999</v>
      </c>
      <c r="N395" s="33">
        <f>6.7716 * CHOOSE(CONTROL!$C$32, $C$9, 100%, $E$9)</f>
        <v>6.7716000000000003</v>
      </c>
      <c r="O395" s="33">
        <f>6.7752 * CHOOSE(CONTROL!$C$32, $C$9, 100%, $E$9)</f>
        <v>6.7751999999999999</v>
      </c>
    </row>
    <row r="396" spans="1:15" ht="15" x14ac:dyDescent="0.2">
      <c r="A396" s="16">
        <v>52902</v>
      </c>
      <c r="B396" s="32">
        <f>5.8536 * CHOOSE(CONTROL!$C$32, $C$9, 100%, $E$9)</f>
        <v>5.8536000000000001</v>
      </c>
      <c r="C396" s="32">
        <f>5.8536 * CHOOSE(CONTROL!$C$32, $C$9, 100%, $E$9)</f>
        <v>5.8536000000000001</v>
      </c>
      <c r="D396" s="32">
        <f>5.8546 * CHOOSE(CONTROL!$C$32, $C$9, 100%, $E$9)</f>
        <v>5.8545999999999996</v>
      </c>
      <c r="E396" s="33">
        <f>6.8014 * CHOOSE(CONTROL!$C$32, $C$9, 100%, $E$9)</f>
        <v>6.8014000000000001</v>
      </c>
      <c r="F396" s="33">
        <f>6.8014 * CHOOSE(CONTROL!$C$32, $C$9, 100%, $E$9)</f>
        <v>6.8014000000000001</v>
      </c>
      <c r="G396" s="33">
        <f>6.805 * CHOOSE(CONTROL!$C$32, $C$9, 100%, $E$9)</f>
        <v>6.8049999999999997</v>
      </c>
      <c r="H396" s="33">
        <f>12.564 * CHOOSE(CONTROL!$C$32, $C$9, 100%, $E$9)</f>
        <v>12.564</v>
      </c>
      <c r="I396" s="33">
        <f>12.5676 * CHOOSE(CONTROL!$C$32, $C$9, 100%, $E$9)</f>
        <v>12.567600000000001</v>
      </c>
      <c r="J396" s="33">
        <f>12.564 * CHOOSE(CONTROL!$C$32, $C$9, 100%, $E$9)</f>
        <v>12.564</v>
      </c>
      <c r="K396" s="33">
        <f>12.5676 * CHOOSE(CONTROL!$C$32, $C$9, 100%, $E$9)</f>
        <v>12.567600000000001</v>
      </c>
      <c r="L396" s="33">
        <f>6.8014 * CHOOSE(CONTROL!$C$32, $C$9, 100%, $E$9)</f>
        <v>6.8014000000000001</v>
      </c>
      <c r="M396" s="33">
        <f>6.805 * CHOOSE(CONTROL!$C$32, $C$9, 100%, $E$9)</f>
        <v>6.8049999999999997</v>
      </c>
      <c r="N396" s="33">
        <f>6.8014 * CHOOSE(CONTROL!$C$32, $C$9, 100%, $E$9)</f>
        <v>6.8014000000000001</v>
      </c>
      <c r="O396" s="33">
        <f>6.805 * CHOOSE(CONTROL!$C$32, $C$9, 100%, $E$9)</f>
        <v>6.8049999999999997</v>
      </c>
    </row>
    <row r="397" spans="1:15" ht="15" x14ac:dyDescent="0.2">
      <c r="A397" s="16">
        <v>52932</v>
      </c>
      <c r="B397" s="32">
        <f>5.8536 * CHOOSE(CONTROL!$C$32, $C$9, 100%, $E$9)</f>
        <v>5.8536000000000001</v>
      </c>
      <c r="C397" s="32">
        <f>5.8536 * CHOOSE(CONTROL!$C$32, $C$9, 100%, $E$9)</f>
        <v>5.8536000000000001</v>
      </c>
      <c r="D397" s="32">
        <f>5.8546 * CHOOSE(CONTROL!$C$32, $C$9, 100%, $E$9)</f>
        <v>5.8545999999999996</v>
      </c>
      <c r="E397" s="33">
        <f>6.7322 * CHOOSE(CONTROL!$C$32, $C$9, 100%, $E$9)</f>
        <v>6.7321999999999997</v>
      </c>
      <c r="F397" s="33">
        <f>6.7322 * CHOOSE(CONTROL!$C$32, $C$9, 100%, $E$9)</f>
        <v>6.7321999999999997</v>
      </c>
      <c r="G397" s="33">
        <f>6.7358 * CHOOSE(CONTROL!$C$32, $C$9, 100%, $E$9)</f>
        <v>6.7358000000000002</v>
      </c>
      <c r="H397" s="33">
        <f>12.5901 * CHOOSE(CONTROL!$C$32, $C$9, 100%, $E$9)</f>
        <v>12.5901</v>
      </c>
      <c r="I397" s="33">
        <f>12.5938 * CHOOSE(CONTROL!$C$32, $C$9, 100%, $E$9)</f>
        <v>12.5938</v>
      </c>
      <c r="J397" s="33">
        <f>12.5901 * CHOOSE(CONTROL!$C$32, $C$9, 100%, $E$9)</f>
        <v>12.5901</v>
      </c>
      <c r="K397" s="33">
        <f>12.5938 * CHOOSE(CONTROL!$C$32, $C$9, 100%, $E$9)</f>
        <v>12.5938</v>
      </c>
      <c r="L397" s="33">
        <f>6.7322 * CHOOSE(CONTROL!$C$32, $C$9, 100%, $E$9)</f>
        <v>6.7321999999999997</v>
      </c>
      <c r="M397" s="33">
        <f>6.7358 * CHOOSE(CONTROL!$C$32, $C$9, 100%, $E$9)</f>
        <v>6.7358000000000002</v>
      </c>
      <c r="N397" s="33">
        <f>6.7322 * CHOOSE(CONTROL!$C$32, $C$9, 100%, $E$9)</f>
        <v>6.7321999999999997</v>
      </c>
      <c r="O397" s="33">
        <f>6.7358 * CHOOSE(CONTROL!$C$32, $C$9, 100%, $E$9)</f>
        <v>6.7358000000000002</v>
      </c>
    </row>
    <row r="398" spans="1:15" ht="15" x14ac:dyDescent="0.2">
      <c r="A398" s="16">
        <v>52963</v>
      </c>
      <c r="B398" s="32">
        <f>5.8984 * CHOOSE(CONTROL!$C$32, $C$9, 100%, $E$9)</f>
        <v>5.8983999999999996</v>
      </c>
      <c r="C398" s="32">
        <f>5.8984 * CHOOSE(CONTROL!$C$32, $C$9, 100%, $E$9)</f>
        <v>5.8983999999999996</v>
      </c>
      <c r="D398" s="32">
        <f>5.8995 * CHOOSE(CONTROL!$C$32, $C$9, 100%, $E$9)</f>
        <v>5.8994999999999997</v>
      </c>
      <c r="E398" s="33">
        <f>6.8151 * CHOOSE(CONTROL!$C$32, $C$9, 100%, $E$9)</f>
        <v>6.8151000000000002</v>
      </c>
      <c r="F398" s="33">
        <f>6.8151 * CHOOSE(CONTROL!$C$32, $C$9, 100%, $E$9)</f>
        <v>6.8151000000000002</v>
      </c>
      <c r="G398" s="33">
        <f>6.8187 * CHOOSE(CONTROL!$C$32, $C$9, 100%, $E$9)</f>
        <v>6.8186999999999998</v>
      </c>
      <c r="H398" s="33">
        <f>12.6164 * CHOOSE(CONTROL!$C$32, $C$9, 100%, $E$9)</f>
        <v>12.616400000000001</v>
      </c>
      <c r="I398" s="33">
        <f>12.62 * CHOOSE(CONTROL!$C$32, $C$9, 100%, $E$9)</f>
        <v>12.62</v>
      </c>
      <c r="J398" s="33">
        <f>12.6164 * CHOOSE(CONTROL!$C$32, $C$9, 100%, $E$9)</f>
        <v>12.616400000000001</v>
      </c>
      <c r="K398" s="33">
        <f>12.62 * CHOOSE(CONTROL!$C$32, $C$9, 100%, $E$9)</f>
        <v>12.62</v>
      </c>
      <c r="L398" s="33">
        <f>6.8151 * CHOOSE(CONTROL!$C$32, $C$9, 100%, $E$9)</f>
        <v>6.8151000000000002</v>
      </c>
      <c r="M398" s="33">
        <f>6.8187 * CHOOSE(CONTROL!$C$32, $C$9, 100%, $E$9)</f>
        <v>6.8186999999999998</v>
      </c>
      <c r="N398" s="33">
        <f>6.8151 * CHOOSE(CONTROL!$C$32, $C$9, 100%, $E$9)</f>
        <v>6.8151000000000002</v>
      </c>
      <c r="O398" s="33">
        <f>6.8187 * CHOOSE(CONTROL!$C$32, $C$9, 100%, $E$9)</f>
        <v>6.8186999999999998</v>
      </c>
    </row>
    <row r="399" spans="1:15" ht="15" x14ac:dyDescent="0.2">
      <c r="A399" s="16">
        <v>52994</v>
      </c>
      <c r="B399" s="32">
        <f>5.8954 * CHOOSE(CONTROL!$C$32, $C$9, 100%, $E$9)</f>
        <v>5.8954000000000004</v>
      </c>
      <c r="C399" s="32">
        <f>5.8954 * CHOOSE(CONTROL!$C$32, $C$9, 100%, $E$9)</f>
        <v>5.8954000000000004</v>
      </c>
      <c r="D399" s="32">
        <f>5.8965 * CHOOSE(CONTROL!$C$32, $C$9, 100%, $E$9)</f>
        <v>5.8964999999999996</v>
      </c>
      <c r="E399" s="33">
        <f>6.678 * CHOOSE(CONTROL!$C$32, $C$9, 100%, $E$9)</f>
        <v>6.6779999999999999</v>
      </c>
      <c r="F399" s="33">
        <f>6.678 * CHOOSE(CONTROL!$C$32, $C$9, 100%, $E$9)</f>
        <v>6.6779999999999999</v>
      </c>
      <c r="G399" s="33">
        <f>6.6816 * CHOOSE(CONTROL!$C$32, $C$9, 100%, $E$9)</f>
        <v>6.6816000000000004</v>
      </c>
      <c r="H399" s="33">
        <f>12.6426 * CHOOSE(CONTROL!$C$32, $C$9, 100%, $E$9)</f>
        <v>12.6426</v>
      </c>
      <c r="I399" s="33">
        <f>12.6463 * CHOOSE(CONTROL!$C$32, $C$9, 100%, $E$9)</f>
        <v>12.6463</v>
      </c>
      <c r="J399" s="33">
        <f>12.6426 * CHOOSE(CONTROL!$C$32, $C$9, 100%, $E$9)</f>
        <v>12.6426</v>
      </c>
      <c r="K399" s="33">
        <f>12.6463 * CHOOSE(CONTROL!$C$32, $C$9, 100%, $E$9)</f>
        <v>12.6463</v>
      </c>
      <c r="L399" s="33">
        <f>6.678 * CHOOSE(CONTROL!$C$32, $C$9, 100%, $E$9)</f>
        <v>6.6779999999999999</v>
      </c>
      <c r="M399" s="33">
        <f>6.6816 * CHOOSE(CONTROL!$C$32, $C$9, 100%, $E$9)</f>
        <v>6.6816000000000004</v>
      </c>
      <c r="N399" s="33">
        <f>6.678 * CHOOSE(CONTROL!$C$32, $C$9, 100%, $E$9)</f>
        <v>6.6779999999999999</v>
      </c>
      <c r="O399" s="33">
        <f>6.6816 * CHOOSE(CONTROL!$C$32, $C$9, 100%, $E$9)</f>
        <v>6.6816000000000004</v>
      </c>
    </row>
    <row r="400" spans="1:15" ht="15" x14ac:dyDescent="0.2">
      <c r="A400" s="16">
        <v>53022</v>
      </c>
      <c r="B400" s="32">
        <f>5.8924 * CHOOSE(CONTROL!$C$32, $C$9, 100%, $E$9)</f>
        <v>5.8924000000000003</v>
      </c>
      <c r="C400" s="32">
        <f>5.8924 * CHOOSE(CONTROL!$C$32, $C$9, 100%, $E$9)</f>
        <v>5.8924000000000003</v>
      </c>
      <c r="D400" s="32">
        <f>5.8934 * CHOOSE(CONTROL!$C$32, $C$9, 100%, $E$9)</f>
        <v>5.8933999999999997</v>
      </c>
      <c r="E400" s="33">
        <f>6.7823 * CHOOSE(CONTROL!$C$32, $C$9, 100%, $E$9)</f>
        <v>6.7823000000000002</v>
      </c>
      <c r="F400" s="33">
        <f>6.7823 * CHOOSE(CONTROL!$C$32, $C$9, 100%, $E$9)</f>
        <v>6.7823000000000002</v>
      </c>
      <c r="G400" s="33">
        <f>6.7859 * CHOOSE(CONTROL!$C$32, $C$9, 100%, $E$9)</f>
        <v>6.7858999999999998</v>
      </c>
      <c r="H400" s="33">
        <f>12.669 * CHOOSE(CONTROL!$C$32, $C$9, 100%, $E$9)</f>
        <v>12.669</v>
      </c>
      <c r="I400" s="33">
        <f>12.6726 * CHOOSE(CONTROL!$C$32, $C$9, 100%, $E$9)</f>
        <v>12.672599999999999</v>
      </c>
      <c r="J400" s="33">
        <f>12.669 * CHOOSE(CONTROL!$C$32, $C$9, 100%, $E$9)</f>
        <v>12.669</v>
      </c>
      <c r="K400" s="33">
        <f>12.6726 * CHOOSE(CONTROL!$C$32, $C$9, 100%, $E$9)</f>
        <v>12.672599999999999</v>
      </c>
      <c r="L400" s="33">
        <f>6.7823 * CHOOSE(CONTROL!$C$32, $C$9, 100%, $E$9)</f>
        <v>6.7823000000000002</v>
      </c>
      <c r="M400" s="33">
        <f>6.7859 * CHOOSE(CONTROL!$C$32, $C$9, 100%, $E$9)</f>
        <v>6.7858999999999998</v>
      </c>
      <c r="N400" s="33">
        <f>6.7823 * CHOOSE(CONTROL!$C$32, $C$9, 100%, $E$9)</f>
        <v>6.7823000000000002</v>
      </c>
      <c r="O400" s="33">
        <f>6.7859 * CHOOSE(CONTROL!$C$32, $C$9, 100%, $E$9)</f>
        <v>6.7858999999999998</v>
      </c>
    </row>
    <row r="401" spans="1:15" ht="15" x14ac:dyDescent="0.2">
      <c r="A401" s="16">
        <v>53053</v>
      </c>
      <c r="B401" s="32">
        <f>5.8918 * CHOOSE(CONTROL!$C$32, $C$9, 100%, $E$9)</f>
        <v>5.8917999999999999</v>
      </c>
      <c r="C401" s="32">
        <f>5.8918 * CHOOSE(CONTROL!$C$32, $C$9, 100%, $E$9)</f>
        <v>5.8917999999999999</v>
      </c>
      <c r="D401" s="32">
        <f>5.8929 * CHOOSE(CONTROL!$C$32, $C$9, 100%, $E$9)</f>
        <v>5.8929</v>
      </c>
      <c r="E401" s="33">
        <f>6.8923 * CHOOSE(CONTROL!$C$32, $C$9, 100%, $E$9)</f>
        <v>6.8922999999999996</v>
      </c>
      <c r="F401" s="33">
        <f>6.8923 * CHOOSE(CONTROL!$C$32, $C$9, 100%, $E$9)</f>
        <v>6.8922999999999996</v>
      </c>
      <c r="G401" s="33">
        <f>6.896 * CHOOSE(CONTROL!$C$32, $C$9, 100%, $E$9)</f>
        <v>6.8959999999999999</v>
      </c>
      <c r="H401" s="33">
        <f>12.6954 * CHOOSE(CONTROL!$C$32, $C$9, 100%, $E$9)</f>
        <v>12.695399999999999</v>
      </c>
      <c r="I401" s="33">
        <f>12.699 * CHOOSE(CONTROL!$C$32, $C$9, 100%, $E$9)</f>
        <v>12.699</v>
      </c>
      <c r="J401" s="33">
        <f>12.6954 * CHOOSE(CONTROL!$C$32, $C$9, 100%, $E$9)</f>
        <v>12.695399999999999</v>
      </c>
      <c r="K401" s="33">
        <f>12.699 * CHOOSE(CONTROL!$C$32, $C$9, 100%, $E$9)</f>
        <v>12.699</v>
      </c>
      <c r="L401" s="33">
        <f>6.8923 * CHOOSE(CONTROL!$C$32, $C$9, 100%, $E$9)</f>
        <v>6.8922999999999996</v>
      </c>
      <c r="M401" s="33">
        <f>6.896 * CHOOSE(CONTROL!$C$32, $C$9, 100%, $E$9)</f>
        <v>6.8959999999999999</v>
      </c>
      <c r="N401" s="33">
        <f>6.8923 * CHOOSE(CONTROL!$C$32, $C$9, 100%, $E$9)</f>
        <v>6.8922999999999996</v>
      </c>
      <c r="O401" s="33">
        <f>6.896 * CHOOSE(CONTROL!$C$32, $C$9, 100%, $E$9)</f>
        <v>6.8959999999999999</v>
      </c>
    </row>
    <row r="402" spans="1:15" ht="15" x14ac:dyDescent="0.2">
      <c r="A402" s="16">
        <v>53083</v>
      </c>
      <c r="B402" s="32">
        <f>5.8918 * CHOOSE(CONTROL!$C$32, $C$9, 100%, $E$9)</f>
        <v>5.8917999999999999</v>
      </c>
      <c r="C402" s="32">
        <f>5.8918 * CHOOSE(CONTROL!$C$32, $C$9, 100%, $E$9)</f>
        <v>5.8917999999999999</v>
      </c>
      <c r="D402" s="32">
        <f>5.8934 * CHOOSE(CONTROL!$C$32, $C$9, 100%, $E$9)</f>
        <v>5.8933999999999997</v>
      </c>
      <c r="E402" s="33">
        <f>6.9352 * CHOOSE(CONTROL!$C$32, $C$9, 100%, $E$9)</f>
        <v>6.9352</v>
      </c>
      <c r="F402" s="33">
        <f>6.9352 * CHOOSE(CONTROL!$C$32, $C$9, 100%, $E$9)</f>
        <v>6.9352</v>
      </c>
      <c r="G402" s="33">
        <f>6.9405 * CHOOSE(CONTROL!$C$32, $C$9, 100%, $E$9)</f>
        <v>6.9405000000000001</v>
      </c>
      <c r="H402" s="33">
        <f>12.7218 * CHOOSE(CONTROL!$C$32, $C$9, 100%, $E$9)</f>
        <v>12.7218</v>
      </c>
      <c r="I402" s="33">
        <f>12.7271 * CHOOSE(CONTROL!$C$32, $C$9, 100%, $E$9)</f>
        <v>12.7271</v>
      </c>
      <c r="J402" s="33">
        <f>12.7218 * CHOOSE(CONTROL!$C$32, $C$9, 100%, $E$9)</f>
        <v>12.7218</v>
      </c>
      <c r="K402" s="33">
        <f>12.7271 * CHOOSE(CONTROL!$C$32, $C$9, 100%, $E$9)</f>
        <v>12.7271</v>
      </c>
      <c r="L402" s="33">
        <f>6.9352 * CHOOSE(CONTROL!$C$32, $C$9, 100%, $E$9)</f>
        <v>6.9352</v>
      </c>
      <c r="M402" s="33">
        <f>6.9405 * CHOOSE(CONTROL!$C$32, $C$9, 100%, $E$9)</f>
        <v>6.9405000000000001</v>
      </c>
      <c r="N402" s="33">
        <f>6.9352 * CHOOSE(CONTROL!$C$32, $C$9, 100%, $E$9)</f>
        <v>6.9352</v>
      </c>
      <c r="O402" s="33">
        <f>6.9405 * CHOOSE(CONTROL!$C$32, $C$9, 100%, $E$9)</f>
        <v>6.9405000000000001</v>
      </c>
    </row>
    <row r="403" spans="1:15" ht="15" x14ac:dyDescent="0.2">
      <c r="A403" s="16">
        <v>53114</v>
      </c>
      <c r="B403" s="32">
        <f>5.8979 * CHOOSE(CONTROL!$C$32, $C$9, 100%, $E$9)</f>
        <v>5.8978999999999999</v>
      </c>
      <c r="C403" s="32">
        <f>5.8979 * CHOOSE(CONTROL!$C$32, $C$9, 100%, $E$9)</f>
        <v>5.8978999999999999</v>
      </c>
      <c r="D403" s="32">
        <f>5.8995 * CHOOSE(CONTROL!$C$32, $C$9, 100%, $E$9)</f>
        <v>5.8994999999999997</v>
      </c>
      <c r="E403" s="33">
        <f>6.8966 * CHOOSE(CONTROL!$C$32, $C$9, 100%, $E$9)</f>
        <v>6.8966000000000003</v>
      </c>
      <c r="F403" s="33">
        <f>6.8966 * CHOOSE(CONTROL!$C$32, $C$9, 100%, $E$9)</f>
        <v>6.8966000000000003</v>
      </c>
      <c r="G403" s="33">
        <f>6.9019 * CHOOSE(CONTROL!$C$32, $C$9, 100%, $E$9)</f>
        <v>6.9019000000000004</v>
      </c>
      <c r="H403" s="33">
        <f>12.7483 * CHOOSE(CONTROL!$C$32, $C$9, 100%, $E$9)</f>
        <v>12.7483</v>
      </c>
      <c r="I403" s="33">
        <f>12.7536 * CHOOSE(CONTROL!$C$32, $C$9, 100%, $E$9)</f>
        <v>12.7536</v>
      </c>
      <c r="J403" s="33">
        <f>12.7483 * CHOOSE(CONTROL!$C$32, $C$9, 100%, $E$9)</f>
        <v>12.7483</v>
      </c>
      <c r="K403" s="33">
        <f>12.7536 * CHOOSE(CONTROL!$C$32, $C$9, 100%, $E$9)</f>
        <v>12.7536</v>
      </c>
      <c r="L403" s="33">
        <f>6.8966 * CHOOSE(CONTROL!$C$32, $C$9, 100%, $E$9)</f>
        <v>6.8966000000000003</v>
      </c>
      <c r="M403" s="33">
        <f>6.9019 * CHOOSE(CONTROL!$C$32, $C$9, 100%, $E$9)</f>
        <v>6.9019000000000004</v>
      </c>
      <c r="N403" s="33">
        <f>6.8966 * CHOOSE(CONTROL!$C$32, $C$9, 100%, $E$9)</f>
        <v>6.8966000000000003</v>
      </c>
      <c r="O403" s="33">
        <f>6.9019 * CHOOSE(CONTROL!$C$32, $C$9, 100%, $E$9)</f>
        <v>6.9019000000000004</v>
      </c>
    </row>
    <row r="404" spans="1:15" ht="15" x14ac:dyDescent="0.2">
      <c r="A404" s="16">
        <v>53144</v>
      </c>
      <c r="B404" s="32">
        <f>5.9772 * CHOOSE(CONTROL!$C$32, $C$9, 100%, $E$9)</f>
        <v>5.9771999999999998</v>
      </c>
      <c r="C404" s="32">
        <f>5.9772 * CHOOSE(CONTROL!$C$32, $C$9, 100%, $E$9)</f>
        <v>5.9771999999999998</v>
      </c>
      <c r="D404" s="32">
        <f>5.9788 * CHOOSE(CONTROL!$C$32, $C$9, 100%, $E$9)</f>
        <v>5.9787999999999997</v>
      </c>
      <c r="E404" s="33">
        <f>6.9386 * CHOOSE(CONTROL!$C$32, $C$9, 100%, $E$9)</f>
        <v>6.9386000000000001</v>
      </c>
      <c r="F404" s="33">
        <f>6.9386 * CHOOSE(CONTROL!$C$32, $C$9, 100%, $E$9)</f>
        <v>6.9386000000000001</v>
      </c>
      <c r="G404" s="33">
        <f>6.9439 * CHOOSE(CONTROL!$C$32, $C$9, 100%, $E$9)</f>
        <v>6.9439000000000002</v>
      </c>
      <c r="H404" s="33">
        <f>12.7749 * CHOOSE(CONTROL!$C$32, $C$9, 100%, $E$9)</f>
        <v>12.774900000000001</v>
      </c>
      <c r="I404" s="33">
        <f>12.7802 * CHOOSE(CONTROL!$C$32, $C$9, 100%, $E$9)</f>
        <v>12.780200000000001</v>
      </c>
      <c r="J404" s="33">
        <f>12.7749 * CHOOSE(CONTROL!$C$32, $C$9, 100%, $E$9)</f>
        <v>12.774900000000001</v>
      </c>
      <c r="K404" s="33">
        <f>12.7802 * CHOOSE(CONTROL!$C$32, $C$9, 100%, $E$9)</f>
        <v>12.780200000000001</v>
      </c>
      <c r="L404" s="33">
        <f>6.9386 * CHOOSE(CONTROL!$C$32, $C$9, 100%, $E$9)</f>
        <v>6.9386000000000001</v>
      </c>
      <c r="M404" s="33">
        <f>6.9439 * CHOOSE(CONTROL!$C$32, $C$9, 100%, $E$9)</f>
        <v>6.9439000000000002</v>
      </c>
      <c r="N404" s="33">
        <f>6.9386 * CHOOSE(CONTROL!$C$32, $C$9, 100%, $E$9)</f>
        <v>6.9386000000000001</v>
      </c>
      <c r="O404" s="33">
        <f>6.9439 * CHOOSE(CONTROL!$C$32, $C$9, 100%, $E$9)</f>
        <v>6.9439000000000002</v>
      </c>
    </row>
    <row r="405" spans="1:15" ht="15" x14ac:dyDescent="0.2">
      <c r="A405" s="16">
        <v>53175</v>
      </c>
      <c r="B405" s="32">
        <f>5.9839 * CHOOSE(CONTROL!$C$32, $C$9, 100%, $E$9)</f>
        <v>5.9839000000000002</v>
      </c>
      <c r="C405" s="32">
        <f>5.9839 * CHOOSE(CONTROL!$C$32, $C$9, 100%, $E$9)</f>
        <v>5.9839000000000002</v>
      </c>
      <c r="D405" s="32">
        <f>5.9855 * CHOOSE(CONTROL!$C$32, $C$9, 100%, $E$9)</f>
        <v>5.9855</v>
      </c>
      <c r="E405" s="33">
        <f>6.8147 * CHOOSE(CONTROL!$C$32, $C$9, 100%, $E$9)</f>
        <v>6.8147000000000002</v>
      </c>
      <c r="F405" s="33">
        <f>6.8147 * CHOOSE(CONTROL!$C$32, $C$9, 100%, $E$9)</f>
        <v>6.8147000000000002</v>
      </c>
      <c r="G405" s="33">
        <f>6.82 * CHOOSE(CONTROL!$C$32, $C$9, 100%, $E$9)</f>
        <v>6.82</v>
      </c>
      <c r="H405" s="33">
        <f>12.8015 * CHOOSE(CONTROL!$C$32, $C$9, 100%, $E$9)</f>
        <v>12.801500000000001</v>
      </c>
      <c r="I405" s="33">
        <f>12.8068 * CHOOSE(CONTROL!$C$32, $C$9, 100%, $E$9)</f>
        <v>12.806800000000001</v>
      </c>
      <c r="J405" s="33">
        <f>12.8015 * CHOOSE(CONTROL!$C$32, $C$9, 100%, $E$9)</f>
        <v>12.801500000000001</v>
      </c>
      <c r="K405" s="33">
        <f>12.8068 * CHOOSE(CONTROL!$C$32, $C$9, 100%, $E$9)</f>
        <v>12.806800000000001</v>
      </c>
      <c r="L405" s="33">
        <f>6.8147 * CHOOSE(CONTROL!$C$32, $C$9, 100%, $E$9)</f>
        <v>6.8147000000000002</v>
      </c>
      <c r="M405" s="33">
        <f>6.82 * CHOOSE(CONTROL!$C$32, $C$9, 100%, $E$9)</f>
        <v>6.82</v>
      </c>
      <c r="N405" s="33">
        <f>6.8147 * CHOOSE(CONTROL!$C$32, $C$9, 100%, $E$9)</f>
        <v>6.8147000000000002</v>
      </c>
      <c r="O405" s="33">
        <f>6.82 * CHOOSE(CONTROL!$C$32, $C$9, 100%, $E$9)</f>
        <v>6.82</v>
      </c>
    </row>
    <row r="406" spans="1:15" ht="15" x14ac:dyDescent="0.2">
      <c r="A406" s="16">
        <v>53206</v>
      </c>
      <c r="B406" s="32">
        <f>5.9809 * CHOOSE(CONTROL!$C$32, $C$9, 100%, $E$9)</f>
        <v>5.9809000000000001</v>
      </c>
      <c r="C406" s="32">
        <f>5.9809 * CHOOSE(CONTROL!$C$32, $C$9, 100%, $E$9)</f>
        <v>5.9809000000000001</v>
      </c>
      <c r="D406" s="32">
        <f>5.9824 * CHOOSE(CONTROL!$C$32, $C$9, 100%, $E$9)</f>
        <v>5.9824000000000002</v>
      </c>
      <c r="E406" s="33">
        <f>6.7983 * CHOOSE(CONTROL!$C$32, $C$9, 100%, $E$9)</f>
        <v>6.7983000000000002</v>
      </c>
      <c r="F406" s="33">
        <f>6.7983 * CHOOSE(CONTROL!$C$32, $C$9, 100%, $E$9)</f>
        <v>6.7983000000000002</v>
      </c>
      <c r="G406" s="33">
        <f>6.8036 * CHOOSE(CONTROL!$C$32, $C$9, 100%, $E$9)</f>
        <v>6.8036000000000003</v>
      </c>
      <c r="H406" s="33">
        <f>12.8282 * CHOOSE(CONTROL!$C$32, $C$9, 100%, $E$9)</f>
        <v>12.828200000000001</v>
      </c>
      <c r="I406" s="33">
        <f>12.8335 * CHOOSE(CONTROL!$C$32, $C$9, 100%, $E$9)</f>
        <v>12.833500000000001</v>
      </c>
      <c r="J406" s="33">
        <f>12.8282 * CHOOSE(CONTROL!$C$32, $C$9, 100%, $E$9)</f>
        <v>12.828200000000001</v>
      </c>
      <c r="K406" s="33">
        <f>12.8335 * CHOOSE(CONTROL!$C$32, $C$9, 100%, $E$9)</f>
        <v>12.833500000000001</v>
      </c>
      <c r="L406" s="33">
        <f>6.7983 * CHOOSE(CONTROL!$C$32, $C$9, 100%, $E$9)</f>
        <v>6.7983000000000002</v>
      </c>
      <c r="M406" s="33">
        <f>6.8036 * CHOOSE(CONTROL!$C$32, $C$9, 100%, $E$9)</f>
        <v>6.8036000000000003</v>
      </c>
      <c r="N406" s="33">
        <f>6.7983 * CHOOSE(CONTROL!$C$32, $C$9, 100%, $E$9)</f>
        <v>6.7983000000000002</v>
      </c>
      <c r="O406" s="33">
        <f>6.8036 * CHOOSE(CONTROL!$C$32, $C$9, 100%, $E$9)</f>
        <v>6.8036000000000003</v>
      </c>
    </row>
    <row r="407" spans="1:15" ht="15" x14ac:dyDescent="0.2">
      <c r="A407" s="16">
        <v>53236</v>
      </c>
      <c r="B407" s="32">
        <f>5.9833 * CHOOSE(CONTROL!$C$32, $C$9, 100%, $E$9)</f>
        <v>5.9832999999999998</v>
      </c>
      <c r="C407" s="32">
        <f>5.9833 * CHOOSE(CONTROL!$C$32, $C$9, 100%, $E$9)</f>
        <v>5.9832999999999998</v>
      </c>
      <c r="D407" s="32">
        <f>5.9844 * CHOOSE(CONTROL!$C$32, $C$9, 100%, $E$9)</f>
        <v>5.9843999999999999</v>
      </c>
      <c r="E407" s="33">
        <f>6.842 * CHOOSE(CONTROL!$C$32, $C$9, 100%, $E$9)</f>
        <v>6.8419999999999996</v>
      </c>
      <c r="F407" s="33">
        <f>6.842 * CHOOSE(CONTROL!$C$32, $C$9, 100%, $E$9)</f>
        <v>6.8419999999999996</v>
      </c>
      <c r="G407" s="33">
        <f>6.8456 * CHOOSE(CONTROL!$C$32, $C$9, 100%, $E$9)</f>
        <v>6.8456000000000001</v>
      </c>
      <c r="H407" s="33">
        <f>12.8549 * CHOOSE(CONTROL!$C$32, $C$9, 100%, $E$9)</f>
        <v>12.854900000000001</v>
      </c>
      <c r="I407" s="33">
        <f>12.8585 * CHOOSE(CONTROL!$C$32, $C$9, 100%, $E$9)</f>
        <v>12.858499999999999</v>
      </c>
      <c r="J407" s="33">
        <f>12.8549 * CHOOSE(CONTROL!$C$32, $C$9, 100%, $E$9)</f>
        <v>12.854900000000001</v>
      </c>
      <c r="K407" s="33">
        <f>12.8585 * CHOOSE(CONTROL!$C$32, $C$9, 100%, $E$9)</f>
        <v>12.858499999999999</v>
      </c>
      <c r="L407" s="33">
        <f>6.842 * CHOOSE(CONTROL!$C$32, $C$9, 100%, $E$9)</f>
        <v>6.8419999999999996</v>
      </c>
      <c r="M407" s="33">
        <f>6.8456 * CHOOSE(CONTROL!$C$32, $C$9, 100%, $E$9)</f>
        <v>6.8456000000000001</v>
      </c>
      <c r="N407" s="33">
        <f>6.842 * CHOOSE(CONTROL!$C$32, $C$9, 100%, $E$9)</f>
        <v>6.8419999999999996</v>
      </c>
      <c r="O407" s="33">
        <f>6.8456 * CHOOSE(CONTROL!$C$32, $C$9, 100%, $E$9)</f>
        <v>6.8456000000000001</v>
      </c>
    </row>
    <row r="408" spans="1:15" ht="15" x14ac:dyDescent="0.2">
      <c r="A408" s="16">
        <v>53267</v>
      </c>
      <c r="B408" s="32">
        <f>5.9863 * CHOOSE(CONTROL!$C$32, $C$9, 100%, $E$9)</f>
        <v>5.9863</v>
      </c>
      <c r="C408" s="32">
        <f>5.9863 * CHOOSE(CONTROL!$C$32, $C$9, 100%, $E$9)</f>
        <v>5.9863</v>
      </c>
      <c r="D408" s="32">
        <f>5.9874 * CHOOSE(CONTROL!$C$32, $C$9, 100%, $E$9)</f>
        <v>5.9874000000000001</v>
      </c>
      <c r="E408" s="33">
        <f>6.8727 * CHOOSE(CONTROL!$C$32, $C$9, 100%, $E$9)</f>
        <v>6.8727</v>
      </c>
      <c r="F408" s="33">
        <f>6.8727 * CHOOSE(CONTROL!$C$32, $C$9, 100%, $E$9)</f>
        <v>6.8727</v>
      </c>
      <c r="G408" s="33">
        <f>6.8763 * CHOOSE(CONTROL!$C$32, $C$9, 100%, $E$9)</f>
        <v>6.8762999999999996</v>
      </c>
      <c r="H408" s="33">
        <f>12.8817 * CHOOSE(CONTROL!$C$32, $C$9, 100%, $E$9)</f>
        <v>12.8817</v>
      </c>
      <c r="I408" s="33">
        <f>12.8853 * CHOOSE(CONTROL!$C$32, $C$9, 100%, $E$9)</f>
        <v>12.885300000000001</v>
      </c>
      <c r="J408" s="33">
        <f>12.8817 * CHOOSE(CONTROL!$C$32, $C$9, 100%, $E$9)</f>
        <v>12.8817</v>
      </c>
      <c r="K408" s="33">
        <f>12.8853 * CHOOSE(CONTROL!$C$32, $C$9, 100%, $E$9)</f>
        <v>12.885300000000001</v>
      </c>
      <c r="L408" s="33">
        <f>6.8727 * CHOOSE(CONTROL!$C$32, $C$9, 100%, $E$9)</f>
        <v>6.8727</v>
      </c>
      <c r="M408" s="33">
        <f>6.8763 * CHOOSE(CONTROL!$C$32, $C$9, 100%, $E$9)</f>
        <v>6.8762999999999996</v>
      </c>
      <c r="N408" s="33">
        <f>6.8727 * CHOOSE(CONTROL!$C$32, $C$9, 100%, $E$9)</f>
        <v>6.8727</v>
      </c>
      <c r="O408" s="33">
        <f>6.8763 * CHOOSE(CONTROL!$C$32, $C$9, 100%, $E$9)</f>
        <v>6.8762999999999996</v>
      </c>
    </row>
    <row r="409" spans="1:15" ht="15" x14ac:dyDescent="0.2">
      <c r="A409" s="16">
        <v>53297</v>
      </c>
      <c r="B409" s="32">
        <f>5.9863 * CHOOSE(CONTROL!$C$32, $C$9, 100%, $E$9)</f>
        <v>5.9863</v>
      </c>
      <c r="C409" s="32">
        <f>5.9863 * CHOOSE(CONTROL!$C$32, $C$9, 100%, $E$9)</f>
        <v>5.9863</v>
      </c>
      <c r="D409" s="32">
        <f>5.9874 * CHOOSE(CONTROL!$C$32, $C$9, 100%, $E$9)</f>
        <v>5.9874000000000001</v>
      </c>
      <c r="E409" s="33">
        <f>6.8013 * CHOOSE(CONTROL!$C$32, $C$9, 100%, $E$9)</f>
        <v>6.8013000000000003</v>
      </c>
      <c r="F409" s="33">
        <f>6.8013 * CHOOSE(CONTROL!$C$32, $C$9, 100%, $E$9)</f>
        <v>6.8013000000000003</v>
      </c>
      <c r="G409" s="33">
        <f>6.8049 * CHOOSE(CONTROL!$C$32, $C$9, 100%, $E$9)</f>
        <v>6.8048999999999999</v>
      </c>
      <c r="H409" s="33">
        <f>12.9085 * CHOOSE(CONTROL!$C$32, $C$9, 100%, $E$9)</f>
        <v>12.9085</v>
      </c>
      <c r="I409" s="33">
        <f>12.9121 * CHOOSE(CONTROL!$C$32, $C$9, 100%, $E$9)</f>
        <v>12.912100000000001</v>
      </c>
      <c r="J409" s="33">
        <f>12.9085 * CHOOSE(CONTROL!$C$32, $C$9, 100%, $E$9)</f>
        <v>12.9085</v>
      </c>
      <c r="K409" s="33">
        <f>12.9121 * CHOOSE(CONTROL!$C$32, $C$9, 100%, $E$9)</f>
        <v>12.912100000000001</v>
      </c>
      <c r="L409" s="33">
        <f>6.8013 * CHOOSE(CONTROL!$C$32, $C$9, 100%, $E$9)</f>
        <v>6.8013000000000003</v>
      </c>
      <c r="M409" s="33">
        <f>6.8049 * CHOOSE(CONTROL!$C$32, $C$9, 100%, $E$9)</f>
        <v>6.8048999999999999</v>
      </c>
      <c r="N409" s="33">
        <f>6.8013 * CHOOSE(CONTROL!$C$32, $C$9, 100%, $E$9)</f>
        <v>6.8013000000000003</v>
      </c>
      <c r="O409" s="33">
        <f>6.8049 * CHOOSE(CONTROL!$C$32, $C$9, 100%, $E$9)</f>
        <v>6.8048999999999999</v>
      </c>
    </row>
    <row r="410" spans="1:15" ht="15" x14ac:dyDescent="0.2">
      <c r="A410" s="16">
        <v>53328</v>
      </c>
      <c r="B410" s="32">
        <f>6.0321 * CHOOSE(CONTROL!$C$32, $C$9, 100%, $E$9)</f>
        <v>6.0320999999999998</v>
      </c>
      <c r="C410" s="32">
        <f>6.0321 * CHOOSE(CONTROL!$C$32, $C$9, 100%, $E$9)</f>
        <v>6.0320999999999998</v>
      </c>
      <c r="D410" s="32">
        <f>6.0332 * CHOOSE(CONTROL!$C$32, $C$9, 100%, $E$9)</f>
        <v>6.0331999999999999</v>
      </c>
      <c r="E410" s="33">
        <f>6.8926 * CHOOSE(CONTROL!$C$32, $C$9, 100%, $E$9)</f>
        <v>6.8925999999999998</v>
      </c>
      <c r="F410" s="33">
        <f>6.8926 * CHOOSE(CONTROL!$C$32, $C$9, 100%, $E$9)</f>
        <v>6.8925999999999998</v>
      </c>
      <c r="G410" s="33">
        <f>6.8962 * CHOOSE(CONTROL!$C$32, $C$9, 100%, $E$9)</f>
        <v>6.8962000000000003</v>
      </c>
      <c r="H410" s="33">
        <f>12.9354 * CHOOSE(CONTROL!$C$32, $C$9, 100%, $E$9)</f>
        <v>12.9354</v>
      </c>
      <c r="I410" s="33">
        <f>12.939 * CHOOSE(CONTROL!$C$32, $C$9, 100%, $E$9)</f>
        <v>12.939</v>
      </c>
      <c r="J410" s="33">
        <f>12.9354 * CHOOSE(CONTROL!$C$32, $C$9, 100%, $E$9)</f>
        <v>12.9354</v>
      </c>
      <c r="K410" s="33">
        <f>12.939 * CHOOSE(CONTROL!$C$32, $C$9, 100%, $E$9)</f>
        <v>12.939</v>
      </c>
      <c r="L410" s="33">
        <f>6.8926 * CHOOSE(CONTROL!$C$32, $C$9, 100%, $E$9)</f>
        <v>6.8925999999999998</v>
      </c>
      <c r="M410" s="33">
        <f>6.8962 * CHOOSE(CONTROL!$C$32, $C$9, 100%, $E$9)</f>
        <v>6.8962000000000003</v>
      </c>
      <c r="N410" s="33">
        <f>6.8926 * CHOOSE(CONTROL!$C$32, $C$9, 100%, $E$9)</f>
        <v>6.8925999999999998</v>
      </c>
      <c r="O410" s="33">
        <f>6.8962 * CHOOSE(CONTROL!$C$32, $C$9, 100%, $E$9)</f>
        <v>6.8962000000000003</v>
      </c>
    </row>
    <row r="411" spans="1:15" ht="15" x14ac:dyDescent="0.2">
      <c r="A411" s="16">
        <v>53359</v>
      </c>
      <c r="B411" s="32">
        <f>6.0291 * CHOOSE(CONTROL!$C$32, $C$9, 100%, $E$9)</f>
        <v>6.0290999999999997</v>
      </c>
      <c r="C411" s="32">
        <f>6.0291 * CHOOSE(CONTROL!$C$32, $C$9, 100%, $E$9)</f>
        <v>6.0290999999999997</v>
      </c>
      <c r="D411" s="32">
        <f>6.0302 * CHOOSE(CONTROL!$C$32, $C$9, 100%, $E$9)</f>
        <v>6.0301999999999998</v>
      </c>
      <c r="E411" s="33">
        <f>6.7511 * CHOOSE(CONTROL!$C$32, $C$9, 100%, $E$9)</f>
        <v>6.7511000000000001</v>
      </c>
      <c r="F411" s="33">
        <f>6.7511 * CHOOSE(CONTROL!$C$32, $C$9, 100%, $E$9)</f>
        <v>6.7511000000000001</v>
      </c>
      <c r="G411" s="33">
        <f>6.7547 * CHOOSE(CONTROL!$C$32, $C$9, 100%, $E$9)</f>
        <v>6.7546999999999997</v>
      </c>
      <c r="H411" s="33">
        <f>12.9624 * CHOOSE(CONTROL!$C$32, $C$9, 100%, $E$9)</f>
        <v>12.962400000000001</v>
      </c>
      <c r="I411" s="33">
        <f>12.966 * CHOOSE(CONTROL!$C$32, $C$9, 100%, $E$9)</f>
        <v>12.965999999999999</v>
      </c>
      <c r="J411" s="33">
        <f>12.9624 * CHOOSE(CONTROL!$C$32, $C$9, 100%, $E$9)</f>
        <v>12.962400000000001</v>
      </c>
      <c r="K411" s="33">
        <f>12.966 * CHOOSE(CONTROL!$C$32, $C$9, 100%, $E$9)</f>
        <v>12.965999999999999</v>
      </c>
      <c r="L411" s="33">
        <f>6.7511 * CHOOSE(CONTROL!$C$32, $C$9, 100%, $E$9)</f>
        <v>6.7511000000000001</v>
      </c>
      <c r="M411" s="33">
        <f>6.7547 * CHOOSE(CONTROL!$C$32, $C$9, 100%, $E$9)</f>
        <v>6.7546999999999997</v>
      </c>
      <c r="N411" s="33">
        <f>6.7511 * CHOOSE(CONTROL!$C$32, $C$9, 100%, $E$9)</f>
        <v>6.7511000000000001</v>
      </c>
      <c r="O411" s="33">
        <f>6.7547 * CHOOSE(CONTROL!$C$32, $C$9, 100%, $E$9)</f>
        <v>6.7546999999999997</v>
      </c>
    </row>
    <row r="412" spans="1:15" ht="15" x14ac:dyDescent="0.2">
      <c r="A412" s="16">
        <v>53387</v>
      </c>
      <c r="B412" s="32">
        <f>6.0261 * CHOOSE(CONTROL!$C$32, $C$9, 100%, $E$9)</f>
        <v>6.0260999999999996</v>
      </c>
      <c r="C412" s="32">
        <f>6.0261 * CHOOSE(CONTROL!$C$32, $C$9, 100%, $E$9)</f>
        <v>6.0260999999999996</v>
      </c>
      <c r="D412" s="32">
        <f>6.0271 * CHOOSE(CONTROL!$C$32, $C$9, 100%, $E$9)</f>
        <v>6.0270999999999999</v>
      </c>
      <c r="E412" s="33">
        <f>6.8589 * CHOOSE(CONTROL!$C$32, $C$9, 100%, $E$9)</f>
        <v>6.8589000000000002</v>
      </c>
      <c r="F412" s="33">
        <f>6.8589 * CHOOSE(CONTROL!$C$32, $C$9, 100%, $E$9)</f>
        <v>6.8589000000000002</v>
      </c>
      <c r="G412" s="33">
        <f>6.8625 * CHOOSE(CONTROL!$C$32, $C$9, 100%, $E$9)</f>
        <v>6.8624999999999998</v>
      </c>
      <c r="H412" s="33">
        <f>12.9894 * CHOOSE(CONTROL!$C$32, $C$9, 100%, $E$9)</f>
        <v>12.9894</v>
      </c>
      <c r="I412" s="33">
        <f>12.993 * CHOOSE(CONTROL!$C$32, $C$9, 100%, $E$9)</f>
        <v>12.993</v>
      </c>
      <c r="J412" s="33">
        <f>12.9894 * CHOOSE(CONTROL!$C$32, $C$9, 100%, $E$9)</f>
        <v>12.9894</v>
      </c>
      <c r="K412" s="33">
        <f>12.993 * CHOOSE(CONTROL!$C$32, $C$9, 100%, $E$9)</f>
        <v>12.993</v>
      </c>
      <c r="L412" s="33">
        <f>6.8589 * CHOOSE(CONTROL!$C$32, $C$9, 100%, $E$9)</f>
        <v>6.8589000000000002</v>
      </c>
      <c r="M412" s="33">
        <f>6.8625 * CHOOSE(CONTROL!$C$32, $C$9, 100%, $E$9)</f>
        <v>6.8624999999999998</v>
      </c>
      <c r="N412" s="33">
        <f>6.8589 * CHOOSE(CONTROL!$C$32, $C$9, 100%, $E$9)</f>
        <v>6.8589000000000002</v>
      </c>
      <c r="O412" s="33">
        <f>6.8625 * CHOOSE(CONTROL!$C$32, $C$9, 100%, $E$9)</f>
        <v>6.8624999999999998</v>
      </c>
    </row>
    <row r="413" spans="1:15" ht="15" x14ac:dyDescent="0.2">
      <c r="A413" s="16">
        <v>53418</v>
      </c>
      <c r="B413" s="32">
        <f>6.0257 * CHOOSE(CONTROL!$C$32, $C$9, 100%, $E$9)</f>
        <v>6.0256999999999996</v>
      </c>
      <c r="C413" s="32">
        <f>6.0257 * CHOOSE(CONTROL!$C$32, $C$9, 100%, $E$9)</f>
        <v>6.0256999999999996</v>
      </c>
      <c r="D413" s="32">
        <f>6.0268 * CHOOSE(CONTROL!$C$32, $C$9, 100%, $E$9)</f>
        <v>6.0267999999999997</v>
      </c>
      <c r="E413" s="33">
        <f>6.9726 * CHOOSE(CONTROL!$C$32, $C$9, 100%, $E$9)</f>
        <v>6.9725999999999999</v>
      </c>
      <c r="F413" s="33">
        <f>6.9726 * CHOOSE(CONTROL!$C$32, $C$9, 100%, $E$9)</f>
        <v>6.9725999999999999</v>
      </c>
      <c r="G413" s="33">
        <f>6.9762 * CHOOSE(CONTROL!$C$32, $C$9, 100%, $E$9)</f>
        <v>6.9762000000000004</v>
      </c>
      <c r="H413" s="33">
        <f>13.0164 * CHOOSE(CONTROL!$C$32, $C$9, 100%, $E$9)</f>
        <v>13.016400000000001</v>
      </c>
      <c r="I413" s="33">
        <f>13.02 * CHOOSE(CONTROL!$C$32, $C$9, 100%, $E$9)</f>
        <v>13.02</v>
      </c>
      <c r="J413" s="33">
        <f>13.0164 * CHOOSE(CONTROL!$C$32, $C$9, 100%, $E$9)</f>
        <v>13.016400000000001</v>
      </c>
      <c r="K413" s="33">
        <f>13.02 * CHOOSE(CONTROL!$C$32, $C$9, 100%, $E$9)</f>
        <v>13.02</v>
      </c>
      <c r="L413" s="33">
        <f>6.9726 * CHOOSE(CONTROL!$C$32, $C$9, 100%, $E$9)</f>
        <v>6.9725999999999999</v>
      </c>
      <c r="M413" s="33">
        <f>6.9762 * CHOOSE(CONTROL!$C$32, $C$9, 100%, $E$9)</f>
        <v>6.9762000000000004</v>
      </c>
      <c r="N413" s="33">
        <f>6.9726 * CHOOSE(CONTROL!$C$32, $C$9, 100%, $E$9)</f>
        <v>6.9725999999999999</v>
      </c>
      <c r="O413" s="33">
        <f>6.9762 * CHOOSE(CONTROL!$C$32, $C$9, 100%, $E$9)</f>
        <v>6.9762000000000004</v>
      </c>
    </row>
    <row r="414" spans="1:15" ht="15" x14ac:dyDescent="0.2">
      <c r="A414" s="16">
        <v>53448</v>
      </c>
      <c r="B414" s="32">
        <f>6.0257 * CHOOSE(CONTROL!$C$32, $C$9, 100%, $E$9)</f>
        <v>6.0256999999999996</v>
      </c>
      <c r="C414" s="32">
        <f>6.0257 * CHOOSE(CONTROL!$C$32, $C$9, 100%, $E$9)</f>
        <v>6.0256999999999996</v>
      </c>
      <c r="D414" s="32">
        <f>6.0273 * CHOOSE(CONTROL!$C$32, $C$9, 100%, $E$9)</f>
        <v>6.0273000000000003</v>
      </c>
      <c r="E414" s="33">
        <f>7.0168 * CHOOSE(CONTROL!$C$32, $C$9, 100%, $E$9)</f>
        <v>7.0167999999999999</v>
      </c>
      <c r="F414" s="33">
        <f>7.0168 * CHOOSE(CONTROL!$C$32, $C$9, 100%, $E$9)</f>
        <v>7.0167999999999999</v>
      </c>
      <c r="G414" s="33">
        <f>7.0221 * CHOOSE(CONTROL!$C$32, $C$9, 100%, $E$9)</f>
        <v>7.0221</v>
      </c>
      <c r="H414" s="33">
        <f>13.0435 * CHOOSE(CONTROL!$C$32, $C$9, 100%, $E$9)</f>
        <v>13.0435</v>
      </c>
      <c r="I414" s="33">
        <f>13.0488 * CHOOSE(CONTROL!$C$32, $C$9, 100%, $E$9)</f>
        <v>13.0488</v>
      </c>
      <c r="J414" s="33">
        <f>13.0435 * CHOOSE(CONTROL!$C$32, $C$9, 100%, $E$9)</f>
        <v>13.0435</v>
      </c>
      <c r="K414" s="33">
        <f>13.0488 * CHOOSE(CONTROL!$C$32, $C$9, 100%, $E$9)</f>
        <v>13.0488</v>
      </c>
      <c r="L414" s="33">
        <f>7.0168 * CHOOSE(CONTROL!$C$32, $C$9, 100%, $E$9)</f>
        <v>7.0167999999999999</v>
      </c>
      <c r="M414" s="33">
        <f>7.0221 * CHOOSE(CONTROL!$C$32, $C$9, 100%, $E$9)</f>
        <v>7.0221</v>
      </c>
      <c r="N414" s="33">
        <f>7.0168 * CHOOSE(CONTROL!$C$32, $C$9, 100%, $E$9)</f>
        <v>7.0167999999999999</v>
      </c>
      <c r="O414" s="33">
        <f>7.0221 * CHOOSE(CONTROL!$C$32, $C$9, 100%, $E$9)</f>
        <v>7.0221</v>
      </c>
    </row>
    <row r="415" spans="1:15" ht="15" x14ac:dyDescent="0.2">
      <c r="A415" s="16">
        <v>53479</v>
      </c>
      <c r="B415" s="32">
        <f>6.0318 * CHOOSE(CONTROL!$C$32, $C$9, 100%, $E$9)</f>
        <v>6.0317999999999996</v>
      </c>
      <c r="C415" s="32">
        <f>6.0318 * CHOOSE(CONTROL!$C$32, $C$9, 100%, $E$9)</f>
        <v>6.0317999999999996</v>
      </c>
      <c r="D415" s="32">
        <f>6.0333 * CHOOSE(CONTROL!$C$32, $C$9, 100%, $E$9)</f>
        <v>6.0332999999999997</v>
      </c>
      <c r="E415" s="33">
        <f>6.9768 * CHOOSE(CONTROL!$C$32, $C$9, 100%, $E$9)</f>
        <v>6.9767999999999999</v>
      </c>
      <c r="F415" s="33">
        <f>6.9768 * CHOOSE(CONTROL!$C$32, $C$9, 100%, $E$9)</f>
        <v>6.9767999999999999</v>
      </c>
      <c r="G415" s="33">
        <f>6.9821 * CHOOSE(CONTROL!$C$32, $C$9, 100%, $E$9)</f>
        <v>6.9821</v>
      </c>
      <c r="H415" s="33">
        <f>13.0707 * CHOOSE(CONTROL!$C$32, $C$9, 100%, $E$9)</f>
        <v>13.0707</v>
      </c>
      <c r="I415" s="33">
        <f>13.076 * CHOOSE(CONTROL!$C$32, $C$9, 100%, $E$9)</f>
        <v>13.076000000000001</v>
      </c>
      <c r="J415" s="33">
        <f>13.0707 * CHOOSE(CONTROL!$C$32, $C$9, 100%, $E$9)</f>
        <v>13.0707</v>
      </c>
      <c r="K415" s="33">
        <f>13.076 * CHOOSE(CONTROL!$C$32, $C$9, 100%, $E$9)</f>
        <v>13.076000000000001</v>
      </c>
      <c r="L415" s="33">
        <f>6.9768 * CHOOSE(CONTROL!$C$32, $C$9, 100%, $E$9)</f>
        <v>6.9767999999999999</v>
      </c>
      <c r="M415" s="33">
        <f>6.9821 * CHOOSE(CONTROL!$C$32, $C$9, 100%, $E$9)</f>
        <v>6.9821</v>
      </c>
      <c r="N415" s="33">
        <f>6.9768 * CHOOSE(CONTROL!$C$32, $C$9, 100%, $E$9)</f>
        <v>6.9767999999999999</v>
      </c>
      <c r="O415" s="33">
        <f>6.9821 * CHOOSE(CONTROL!$C$32, $C$9, 100%, $E$9)</f>
        <v>6.9821</v>
      </c>
    </row>
    <row r="416" spans="1:15" ht="15" x14ac:dyDescent="0.2">
      <c r="A416" s="16">
        <v>53509</v>
      </c>
      <c r="B416" s="32">
        <f>6.1126 * CHOOSE(CONTROL!$C$32, $C$9, 100%, $E$9)</f>
        <v>6.1125999999999996</v>
      </c>
      <c r="C416" s="32">
        <f>6.1126 * CHOOSE(CONTROL!$C$32, $C$9, 100%, $E$9)</f>
        <v>6.1125999999999996</v>
      </c>
      <c r="D416" s="32">
        <f>6.1142 * CHOOSE(CONTROL!$C$32, $C$9, 100%, $E$9)</f>
        <v>6.1142000000000003</v>
      </c>
      <c r="E416" s="33">
        <f>7.0342 * CHOOSE(CONTROL!$C$32, $C$9, 100%, $E$9)</f>
        <v>7.0342000000000002</v>
      </c>
      <c r="F416" s="33">
        <f>7.0342 * CHOOSE(CONTROL!$C$32, $C$9, 100%, $E$9)</f>
        <v>7.0342000000000002</v>
      </c>
      <c r="G416" s="33">
        <f>7.0395 * CHOOSE(CONTROL!$C$32, $C$9, 100%, $E$9)</f>
        <v>7.0395000000000003</v>
      </c>
      <c r="H416" s="33">
        <f>13.0979 * CHOOSE(CONTROL!$C$32, $C$9, 100%, $E$9)</f>
        <v>13.097899999999999</v>
      </c>
      <c r="I416" s="33">
        <f>13.1032 * CHOOSE(CONTROL!$C$32, $C$9, 100%, $E$9)</f>
        <v>13.103199999999999</v>
      </c>
      <c r="J416" s="33">
        <f>13.0979 * CHOOSE(CONTROL!$C$32, $C$9, 100%, $E$9)</f>
        <v>13.097899999999999</v>
      </c>
      <c r="K416" s="33">
        <f>13.1032 * CHOOSE(CONTROL!$C$32, $C$9, 100%, $E$9)</f>
        <v>13.103199999999999</v>
      </c>
      <c r="L416" s="33">
        <f>7.0342 * CHOOSE(CONTROL!$C$32, $C$9, 100%, $E$9)</f>
        <v>7.0342000000000002</v>
      </c>
      <c r="M416" s="33">
        <f>7.0395 * CHOOSE(CONTROL!$C$32, $C$9, 100%, $E$9)</f>
        <v>7.0395000000000003</v>
      </c>
      <c r="N416" s="33">
        <f>7.0342 * CHOOSE(CONTROL!$C$32, $C$9, 100%, $E$9)</f>
        <v>7.0342000000000002</v>
      </c>
      <c r="O416" s="33">
        <f>7.0395 * CHOOSE(CONTROL!$C$32, $C$9, 100%, $E$9)</f>
        <v>7.0395000000000003</v>
      </c>
    </row>
    <row r="417" spans="1:15" ht="15" x14ac:dyDescent="0.2">
      <c r="A417" s="16">
        <v>53540</v>
      </c>
      <c r="B417" s="32">
        <f>6.1193 * CHOOSE(CONTROL!$C$32, $C$9, 100%, $E$9)</f>
        <v>6.1193</v>
      </c>
      <c r="C417" s="32">
        <f>6.1193 * CHOOSE(CONTROL!$C$32, $C$9, 100%, $E$9)</f>
        <v>6.1193</v>
      </c>
      <c r="D417" s="32">
        <f>6.1209 * CHOOSE(CONTROL!$C$32, $C$9, 100%, $E$9)</f>
        <v>6.1208999999999998</v>
      </c>
      <c r="E417" s="33">
        <f>6.9061 * CHOOSE(CONTROL!$C$32, $C$9, 100%, $E$9)</f>
        <v>6.9061000000000003</v>
      </c>
      <c r="F417" s="33">
        <f>6.9061 * CHOOSE(CONTROL!$C$32, $C$9, 100%, $E$9)</f>
        <v>6.9061000000000003</v>
      </c>
      <c r="G417" s="33">
        <f>6.9114 * CHOOSE(CONTROL!$C$32, $C$9, 100%, $E$9)</f>
        <v>6.9114000000000004</v>
      </c>
      <c r="H417" s="33">
        <f>13.1252 * CHOOSE(CONTROL!$C$32, $C$9, 100%, $E$9)</f>
        <v>13.1252</v>
      </c>
      <c r="I417" s="33">
        <f>13.1305 * CHOOSE(CONTROL!$C$32, $C$9, 100%, $E$9)</f>
        <v>13.1305</v>
      </c>
      <c r="J417" s="33">
        <f>13.1252 * CHOOSE(CONTROL!$C$32, $C$9, 100%, $E$9)</f>
        <v>13.1252</v>
      </c>
      <c r="K417" s="33">
        <f>13.1305 * CHOOSE(CONTROL!$C$32, $C$9, 100%, $E$9)</f>
        <v>13.1305</v>
      </c>
      <c r="L417" s="33">
        <f>6.9061 * CHOOSE(CONTROL!$C$32, $C$9, 100%, $E$9)</f>
        <v>6.9061000000000003</v>
      </c>
      <c r="M417" s="33">
        <f>6.9114 * CHOOSE(CONTROL!$C$32, $C$9, 100%, $E$9)</f>
        <v>6.9114000000000004</v>
      </c>
      <c r="N417" s="33">
        <f>6.9061 * CHOOSE(CONTROL!$C$32, $C$9, 100%, $E$9)</f>
        <v>6.9061000000000003</v>
      </c>
      <c r="O417" s="33">
        <f>6.9114 * CHOOSE(CONTROL!$C$32, $C$9, 100%, $E$9)</f>
        <v>6.9114000000000004</v>
      </c>
    </row>
    <row r="418" spans="1:15" ht="15" x14ac:dyDescent="0.2">
      <c r="A418" s="16">
        <v>53571</v>
      </c>
      <c r="B418" s="32">
        <f>6.1163 * CHOOSE(CONTROL!$C$32, $C$9, 100%, $E$9)</f>
        <v>6.1162999999999998</v>
      </c>
      <c r="C418" s="32">
        <f>6.1163 * CHOOSE(CONTROL!$C$32, $C$9, 100%, $E$9)</f>
        <v>6.1162999999999998</v>
      </c>
      <c r="D418" s="32">
        <f>6.1178 * CHOOSE(CONTROL!$C$32, $C$9, 100%, $E$9)</f>
        <v>6.1177999999999999</v>
      </c>
      <c r="E418" s="33">
        <f>6.8892 * CHOOSE(CONTROL!$C$32, $C$9, 100%, $E$9)</f>
        <v>6.8891999999999998</v>
      </c>
      <c r="F418" s="33">
        <f>6.8892 * CHOOSE(CONTROL!$C$32, $C$9, 100%, $E$9)</f>
        <v>6.8891999999999998</v>
      </c>
      <c r="G418" s="33">
        <f>6.8945 * CHOOSE(CONTROL!$C$32, $C$9, 100%, $E$9)</f>
        <v>6.8944999999999999</v>
      </c>
      <c r="H418" s="33">
        <f>13.1526 * CHOOSE(CONTROL!$C$32, $C$9, 100%, $E$9)</f>
        <v>13.1526</v>
      </c>
      <c r="I418" s="33">
        <f>13.1579 * CHOOSE(CONTROL!$C$32, $C$9, 100%, $E$9)</f>
        <v>13.1579</v>
      </c>
      <c r="J418" s="33">
        <f>13.1526 * CHOOSE(CONTROL!$C$32, $C$9, 100%, $E$9)</f>
        <v>13.1526</v>
      </c>
      <c r="K418" s="33">
        <f>13.1579 * CHOOSE(CONTROL!$C$32, $C$9, 100%, $E$9)</f>
        <v>13.1579</v>
      </c>
      <c r="L418" s="33">
        <f>6.8892 * CHOOSE(CONTROL!$C$32, $C$9, 100%, $E$9)</f>
        <v>6.8891999999999998</v>
      </c>
      <c r="M418" s="33">
        <f>6.8945 * CHOOSE(CONTROL!$C$32, $C$9, 100%, $E$9)</f>
        <v>6.8944999999999999</v>
      </c>
      <c r="N418" s="33">
        <f>6.8892 * CHOOSE(CONTROL!$C$32, $C$9, 100%, $E$9)</f>
        <v>6.8891999999999998</v>
      </c>
      <c r="O418" s="33">
        <f>6.8945 * CHOOSE(CONTROL!$C$32, $C$9, 100%, $E$9)</f>
        <v>6.8944999999999999</v>
      </c>
    </row>
    <row r="419" spans="1:15" ht="15" x14ac:dyDescent="0.2">
      <c r="A419" s="16">
        <v>53601</v>
      </c>
      <c r="B419" s="32">
        <f>6.1192 * CHOOSE(CONTROL!$C$32, $C$9, 100%, $E$9)</f>
        <v>6.1192000000000002</v>
      </c>
      <c r="C419" s="32">
        <f>6.1192 * CHOOSE(CONTROL!$C$32, $C$9, 100%, $E$9)</f>
        <v>6.1192000000000002</v>
      </c>
      <c r="D419" s="32">
        <f>6.1203 * CHOOSE(CONTROL!$C$32, $C$9, 100%, $E$9)</f>
        <v>6.1203000000000003</v>
      </c>
      <c r="E419" s="33">
        <f>6.9348 * CHOOSE(CONTROL!$C$32, $C$9, 100%, $E$9)</f>
        <v>6.9348000000000001</v>
      </c>
      <c r="F419" s="33">
        <f>6.9348 * CHOOSE(CONTROL!$C$32, $C$9, 100%, $E$9)</f>
        <v>6.9348000000000001</v>
      </c>
      <c r="G419" s="33">
        <f>6.9384 * CHOOSE(CONTROL!$C$32, $C$9, 100%, $E$9)</f>
        <v>6.9383999999999997</v>
      </c>
      <c r="H419" s="33">
        <f>13.18 * CHOOSE(CONTROL!$C$32, $C$9, 100%, $E$9)</f>
        <v>13.18</v>
      </c>
      <c r="I419" s="33">
        <f>13.1836 * CHOOSE(CONTROL!$C$32, $C$9, 100%, $E$9)</f>
        <v>13.1836</v>
      </c>
      <c r="J419" s="33">
        <f>13.18 * CHOOSE(CONTROL!$C$32, $C$9, 100%, $E$9)</f>
        <v>13.18</v>
      </c>
      <c r="K419" s="33">
        <f>13.1836 * CHOOSE(CONTROL!$C$32, $C$9, 100%, $E$9)</f>
        <v>13.1836</v>
      </c>
      <c r="L419" s="33">
        <f>6.9348 * CHOOSE(CONTROL!$C$32, $C$9, 100%, $E$9)</f>
        <v>6.9348000000000001</v>
      </c>
      <c r="M419" s="33">
        <f>6.9384 * CHOOSE(CONTROL!$C$32, $C$9, 100%, $E$9)</f>
        <v>6.9383999999999997</v>
      </c>
      <c r="N419" s="33">
        <f>6.9348 * CHOOSE(CONTROL!$C$32, $C$9, 100%, $E$9)</f>
        <v>6.9348000000000001</v>
      </c>
      <c r="O419" s="33">
        <f>6.9384 * CHOOSE(CONTROL!$C$32, $C$9, 100%, $E$9)</f>
        <v>6.9383999999999997</v>
      </c>
    </row>
    <row r="420" spans="1:15" ht="15" x14ac:dyDescent="0.2">
      <c r="A420" s="16">
        <v>53632</v>
      </c>
      <c r="B420" s="32">
        <f>6.1222 * CHOOSE(CONTROL!$C$32, $C$9, 100%, $E$9)</f>
        <v>6.1222000000000003</v>
      </c>
      <c r="C420" s="32">
        <f>6.1222 * CHOOSE(CONTROL!$C$32, $C$9, 100%, $E$9)</f>
        <v>6.1222000000000003</v>
      </c>
      <c r="D420" s="32">
        <f>6.1233 * CHOOSE(CONTROL!$C$32, $C$9, 100%, $E$9)</f>
        <v>6.1233000000000004</v>
      </c>
      <c r="E420" s="33">
        <f>6.9664 * CHOOSE(CONTROL!$C$32, $C$9, 100%, $E$9)</f>
        <v>6.9664000000000001</v>
      </c>
      <c r="F420" s="33">
        <f>6.9664 * CHOOSE(CONTROL!$C$32, $C$9, 100%, $E$9)</f>
        <v>6.9664000000000001</v>
      </c>
      <c r="G420" s="33">
        <f>6.97 * CHOOSE(CONTROL!$C$32, $C$9, 100%, $E$9)</f>
        <v>6.97</v>
      </c>
      <c r="H420" s="33">
        <f>13.2074 * CHOOSE(CONTROL!$C$32, $C$9, 100%, $E$9)</f>
        <v>13.2074</v>
      </c>
      <c r="I420" s="33">
        <f>13.2111 * CHOOSE(CONTROL!$C$32, $C$9, 100%, $E$9)</f>
        <v>13.2111</v>
      </c>
      <c r="J420" s="33">
        <f>13.2074 * CHOOSE(CONTROL!$C$32, $C$9, 100%, $E$9)</f>
        <v>13.2074</v>
      </c>
      <c r="K420" s="33">
        <f>13.2111 * CHOOSE(CONTROL!$C$32, $C$9, 100%, $E$9)</f>
        <v>13.2111</v>
      </c>
      <c r="L420" s="33">
        <f>6.9664 * CHOOSE(CONTROL!$C$32, $C$9, 100%, $E$9)</f>
        <v>6.9664000000000001</v>
      </c>
      <c r="M420" s="33">
        <f>6.97 * CHOOSE(CONTROL!$C$32, $C$9, 100%, $E$9)</f>
        <v>6.97</v>
      </c>
      <c r="N420" s="33">
        <f>6.9664 * CHOOSE(CONTROL!$C$32, $C$9, 100%, $E$9)</f>
        <v>6.9664000000000001</v>
      </c>
      <c r="O420" s="33">
        <f>6.97 * CHOOSE(CONTROL!$C$32, $C$9, 100%, $E$9)</f>
        <v>6.97</v>
      </c>
    </row>
    <row r="421" spans="1:15" ht="15" x14ac:dyDescent="0.2">
      <c r="A421" s="16">
        <v>53662</v>
      </c>
      <c r="B421" s="32">
        <f>6.1222 * CHOOSE(CONTROL!$C$32, $C$9, 100%, $E$9)</f>
        <v>6.1222000000000003</v>
      </c>
      <c r="C421" s="32">
        <f>6.1222 * CHOOSE(CONTROL!$C$32, $C$9, 100%, $E$9)</f>
        <v>6.1222000000000003</v>
      </c>
      <c r="D421" s="32">
        <f>6.1233 * CHOOSE(CONTROL!$C$32, $C$9, 100%, $E$9)</f>
        <v>6.1233000000000004</v>
      </c>
      <c r="E421" s="33">
        <f>6.8927 * CHOOSE(CONTROL!$C$32, $C$9, 100%, $E$9)</f>
        <v>6.8926999999999996</v>
      </c>
      <c r="F421" s="33">
        <f>6.8927 * CHOOSE(CONTROL!$C$32, $C$9, 100%, $E$9)</f>
        <v>6.8926999999999996</v>
      </c>
      <c r="G421" s="33">
        <f>6.8963 * CHOOSE(CONTROL!$C$32, $C$9, 100%, $E$9)</f>
        <v>6.8963000000000001</v>
      </c>
      <c r="H421" s="33">
        <f>13.235 * CHOOSE(CONTROL!$C$32, $C$9, 100%, $E$9)</f>
        <v>13.234999999999999</v>
      </c>
      <c r="I421" s="33">
        <f>13.2386 * CHOOSE(CONTROL!$C$32, $C$9, 100%, $E$9)</f>
        <v>13.2386</v>
      </c>
      <c r="J421" s="33">
        <f>13.235 * CHOOSE(CONTROL!$C$32, $C$9, 100%, $E$9)</f>
        <v>13.234999999999999</v>
      </c>
      <c r="K421" s="33">
        <f>13.2386 * CHOOSE(CONTROL!$C$32, $C$9, 100%, $E$9)</f>
        <v>13.2386</v>
      </c>
      <c r="L421" s="33">
        <f>6.8927 * CHOOSE(CONTROL!$C$32, $C$9, 100%, $E$9)</f>
        <v>6.8926999999999996</v>
      </c>
      <c r="M421" s="33">
        <f>6.8963 * CHOOSE(CONTROL!$C$32, $C$9, 100%, $E$9)</f>
        <v>6.8963000000000001</v>
      </c>
      <c r="N421" s="33">
        <f>6.8927 * CHOOSE(CONTROL!$C$32, $C$9, 100%, $E$9)</f>
        <v>6.8926999999999996</v>
      </c>
      <c r="O421" s="33">
        <f>6.8963 * CHOOSE(CONTROL!$C$32, $C$9, 100%, $E$9)</f>
        <v>6.8963000000000001</v>
      </c>
    </row>
    <row r="422" spans="1:15" ht="15" x14ac:dyDescent="0.2">
      <c r="A422" s="16">
        <v>53693</v>
      </c>
      <c r="B422" s="32">
        <f>6.169 * CHOOSE(CONTROL!$C$32, $C$9, 100%, $E$9)</f>
        <v>6.1689999999999996</v>
      </c>
      <c r="C422" s="32">
        <f>6.169 * CHOOSE(CONTROL!$C$32, $C$9, 100%, $E$9)</f>
        <v>6.1689999999999996</v>
      </c>
      <c r="D422" s="32">
        <f>6.17 * CHOOSE(CONTROL!$C$32, $C$9, 100%, $E$9)</f>
        <v>6.17</v>
      </c>
      <c r="E422" s="33">
        <f>6.9915 * CHOOSE(CONTROL!$C$32, $C$9, 100%, $E$9)</f>
        <v>6.9915000000000003</v>
      </c>
      <c r="F422" s="33">
        <f>6.9915 * CHOOSE(CONTROL!$C$32, $C$9, 100%, $E$9)</f>
        <v>6.9915000000000003</v>
      </c>
      <c r="G422" s="33">
        <f>6.9951 * CHOOSE(CONTROL!$C$32, $C$9, 100%, $E$9)</f>
        <v>6.9950999999999999</v>
      </c>
      <c r="H422" s="33">
        <f>13.2625 * CHOOSE(CONTROL!$C$32, $C$9, 100%, $E$9)</f>
        <v>13.262499999999999</v>
      </c>
      <c r="I422" s="33">
        <f>13.2661 * CHOOSE(CONTROL!$C$32, $C$9, 100%, $E$9)</f>
        <v>13.2661</v>
      </c>
      <c r="J422" s="33">
        <f>13.2625 * CHOOSE(CONTROL!$C$32, $C$9, 100%, $E$9)</f>
        <v>13.262499999999999</v>
      </c>
      <c r="K422" s="33">
        <f>13.2661 * CHOOSE(CONTROL!$C$32, $C$9, 100%, $E$9)</f>
        <v>13.2661</v>
      </c>
      <c r="L422" s="33">
        <f>6.9915 * CHOOSE(CONTROL!$C$32, $C$9, 100%, $E$9)</f>
        <v>6.9915000000000003</v>
      </c>
      <c r="M422" s="33">
        <f>6.9951 * CHOOSE(CONTROL!$C$32, $C$9, 100%, $E$9)</f>
        <v>6.9950999999999999</v>
      </c>
      <c r="N422" s="33">
        <f>6.9915 * CHOOSE(CONTROL!$C$32, $C$9, 100%, $E$9)</f>
        <v>6.9915000000000003</v>
      </c>
      <c r="O422" s="33">
        <f>6.9951 * CHOOSE(CONTROL!$C$32, $C$9, 100%, $E$9)</f>
        <v>6.9950999999999999</v>
      </c>
    </row>
    <row r="423" spans="1:15" ht="15" x14ac:dyDescent="0.2">
      <c r="A423" s="16">
        <v>53724</v>
      </c>
      <c r="B423" s="32">
        <f>6.1659 * CHOOSE(CONTROL!$C$32, $C$9, 100%, $E$9)</f>
        <v>6.1658999999999997</v>
      </c>
      <c r="C423" s="32">
        <f>6.1659 * CHOOSE(CONTROL!$C$32, $C$9, 100%, $E$9)</f>
        <v>6.1658999999999997</v>
      </c>
      <c r="D423" s="32">
        <f>6.167 * CHOOSE(CONTROL!$C$32, $C$9, 100%, $E$9)</f>
        <v>6.1669999999999998</v>
      </c>
      <c r="E423" s="33">
        <f>6.8455 * CHOOSE(CONTROL!$C$32, $C$9, 100%, $E$9)</f>
        <v>6.8455000000000004</v>
      </c>
      <c r="F423" s="33">
        <f>6.8455 * CHOOSE(CONTROL!$C$32, $C$9, 100%, $E$9)</f>
        <v>6.8455000000000004</v>
      </c>
      <c r="G423" s="33">
        <f>6.8491 * CHOOSE(CONTROL!$C$32, $C$9, 100%, $E$9)</f>
        <v>6.8491</v>
      </c>
      <c r="H423" s="33">
        <f>13.2902 * CHOOSE(CONTROL!$C$32, $C$9, 100%, $E$9)</f>
        <v>13.2902</v>
      </c>
      <c r="I423" s="33">
        <f>13.2938 * CHOOSE(CONTROL!$C$32, $C$9, 100%, $E$9)</f>
        <v>13.293799999999999</v>
      </c>
      <c r="J423" s="33">
        <f>13.2902 * CHOOSE(CONTROL!$C$32, $C$9, 100%, $E$9)</f>
        <v>13.2902</v>
      </c>
      <c r="K423" s="33">
        <f>13.2938 * CHOOSE(CONTROL!$C$32, $C$9, 100%, $E$9)</f>
        <v>13.293799999999999</v>
      </c>
      <c r="L423" s="33">
        <f>6.8455 * CHOOSE(CONTROL!$C$32, $C$9, 100%, $E$9)</f>
        <v>6.8455000000000004</v>
      </c>
      <c r="M423" s="33">
        <f>6.8491 * CHOOSE(CONTROL!$C$32, $C$9, 100%, $E$9)</f>
        <v>6.8491</v>
      </c>
      <c r="N423" s="33">
        <f>6.8455 * CHOOSE(CONTROL!$C$32, $C$9, 100%, $E$9)</f>
        <v>6.8455000000000004</v>
      </c>
      <c r="O423" s="33">
        <f>6.8491 * CHOOSE(CONTROL!$C$32, $C$9, 100%, $E$9)</f>
        <v>6.8491</v>
      </c>
    </row>
    <row r="424" spans="1:15" ht="15" x14ac:dyDescent="0.2">
      <c r="A424" s="16">
        <v>53752</v>
      </c>
      <c r="B424" s="32">
        <f>6.1629 * CHOOSE(CONTROL!$C$32, $C$9, 100%, $E$9)</f>
        <v>6.1628999999999996</v>
      </c>
      <c r="C424" s="32">
        <f>6.1629 * CHOOSE(CONTROL!$C$32, $C$9, 100%, $E$9)</f>
        <v>6.1628999999999996</v>
      </c>
      <c r="D424" s="32">
        <f>6.164 * CHOOSE(CONTROL!$C$32, $C$9, 100%, $E$9)</f>
        <v>6.1639999999999997</v>
      </c>
      <c r="E424" s="33">
        <f>6.9568 * CHOOSE(CONTROL!$C$32, $C$9, 100%, $E$9)</f>
        <v>6.9568000000000003</v>
      </c>
      <c r="F424" s="33">
        <f>6.9568 * CHOOSE(CONTROL!$C$32, $C$9, 100%, $E$9)</f>
        <v>6.9568000000000003</v>
      </c>
      <c r="G424" s="33">
        <f>6.9605 * CHOOSE(CONTROL!$C$32, $C$9, 100%, $E$9)</f>
        <v>6.9604999999999997</v>
      </c>
      <c r="H424" s="33">
        <f>13.3178 * CHOOSE(CONTROL!$C$32, $C$9, 100%, $E$9)</f>
        <v>13.3178</v>
      </c>
      <c r="I424" s="33">
        <f>13.3215 * CHOOSE(CONTROL!$C$32, $C$9, 100%, $E$9)</f>
        <v>13.3215</v>
      </c>
      <c r="J424" s="33">
        <f>13.3178 * CHOOSE(CONTROL!$C$32, $C$9, 100%, $E$9)</f>
        <v>13.3178</v>
      </c>
      <c r="K424" s="33">
        <f>13.3215 * CHOOSE(CONTROL!$C$32, $C$9, 100%, $E$9)</f>
        <v>13.3215</v>
      </c>
      <c r="L424" s="33">
        <f>6.9568 * CHOOSE(CONTROL!$C$32, $C$9, 100%, $E$9)</f>
        <v>6.9568000000000003</v>
      </c>
      <c r="M424" s="33">
        <f>6.9605 * CHOOSE(CONTROL!$C$32, $C$9, 100%, $E$9)</f>
        <v>6.9604999999999997</v>
      </c>
      <c r="N424" s="33">
        <f>6.9568 * CHOOSE(CONTROL!$C$32, $C$9, 100%, $E$9)</f>
        <v>6.9568000000000003</v>
      </c>
      <c r="O424" s="33">
        <f>6.9605 * CHOOSE(CONTROL!$C$32, $C$9, 100%, $E$9)</f>
        <v>6.9604999999999997</v>
      </c>
    </row>
    <row r="425" spans="1:15" ht="15" x14ac:dyDescent="0.2">
      <c r="A425" s="16">
        <v>53783</v>
      </c>
      <c r="B425" s="32">
        <f>6.1626 * CHOOSE(CONTROL!$C$32, $C$9, 100%, $E$9)</f>
        <v>6.1626000000000003</v>
      </c>
      <c r="C425" s="32">
        <f>6.1626 * CHOOSE(CONTROL!$C$32, $C$9, 100%, $E$9)</f>
        <v>6.1626000000000003</v>
      </c>
      <c r="D425" s="32">
        <f>6.1637 * CHOOSE(CONTROL!$C$32, $C$9, 100%, $E$9)</f>
        <v>6.1637000000000004</v>
      </c>
      <c r="E425" s="33">
        <f>7.0744 * CHOOSE(CONTROL!$C$32, $C$9, 100%, $E$9)</f>
        <v>7.0743999999999998</v>
      </c>
      <c r="F425" s="33">
        <f>7.0744 * CHOOSE(CONTROL!$C$32, $C$9, 100%, $E$9)</f>
        <v>7.0743999999999998</v>
      </c>
      <c r="G425" s="33">
        <f>7.078 * CHOOSE(CONTROL!$C$32, $C$9, 100%, $E$9)</f>
        <v>7.0780000000000003</v>
      </c>
      <c r="H425" s="33">
        <f>13.3456 * CHOOSE(CONTROL!$C$32, $C$9, 100%, $E$9)</f>
        <v>13.345599999999999</v>
      </c>
      <c r="I425" s="33">
        <f>13.3492 * CHOOSE(CONTROL!$C$32, $C$9, 100%, $E$9)</f>
        <v>13.3492</v>
      </c>
      <c r="J425" s="33">
        <f>13.3456 * CHOOSE(CONTROL!$C$32, $C$9, 100%, $E$9)</f>
        <v>13.345599999999999</v>
      </c>
      <c r="K425" s="33">
        <f>13.3492 * CHOOSE(CONTROL!$C$32, $C$9, 100%, $E$9)</f>
        <v>13.3492</v>
      </c>
      <c r="L425" s="33">
        <f>7.0744 * CHOOSE(CONTROL!$C$32, $C$9, 100%, $E$9)</f>
        <v>7.0743999999999998</v>
      </c>
      <c r="M425" s="33">
        <f>7.078 * CHOOSE(CONTROL!$C$32, $C$9, 100%, $E$9)</f>
        <v>7.0780000000000003</v>
      </c>
      <c r="N425" s="33">
        <f>7.0744 * CHOOSE(CONTROL!$C$32, $C$9, 100%, $E$9)</f>
        <v>7.0743999999999998</v>
      </c>
      <c r="O425" s="33">
        <f>7.078 * CHOOSE(CONTROL!$C$32, $C$9, 100%, $E$9)</f>
        <v>7.0780000000000003</v>
      </c>
    </row>
    <row r="426" spans="1:15" ht="15" x14ac:dyDescent="0.2">
      <c r="A426" s="16">
        <v>53813</v>
      </c>
      <c r="B426" s="32">
        <f>6.1626 * CHOOSE(CONTROL!$C$32, $C$9, 100%, $E$9)</f>
        <v>6.1626000000000003</v>
      </c>
      <c r="C426" s="32">
        <f>6.1626 * CHOOSE(CONTROL!$C$32, $C$9, 100%, $E$9)</f>
        <v>6.1626000000000003</v>
      </c>
      <c r="D426" s="32">
        <f>6.1642 * CHOOSE(CONTROL!$C$32, $C$9, 100%, $E$9)</f>
        <v>6.1642000000000001</v>
      </c>
      <c r="E426" s="33">
        <f>7.1201 * CHOOSE(CONTROL!$C$32, $C$9, 100%, $E$9)</f>
        <v>7.1200999999999999</v>
      </c>
      <c r="F426" s="33">
        <f>7.1201 * CHOOSE(CONTROL!$C$32, $C$9, 100%, $E$9)</f>
        <v>7.1200999999999999</v>
      </c>
      <c r="G426" s="33">
        <f>7.1254 * CHOOSE(CONTROL!$C$32, $C$9, 100%, $E$9)</f>
        <v>7.1254</v>
      </c>
      <c r="H426" s="33">
        <f>13.3734 * CHOOSE(CONTROL!$C$32, $C$9, 100%, $E$9)</f>
        <v>13.3734</v>
      </c>
      <c r="I426" s="33">
        <f>13.3787 * CHOOSE(CONTROL!$C$32, $C$9, 100%, $E$9)</f>
        <v>13.3787</v>
      </c>
      <c r="J426" s="33">
        <f>13.3734 * CHOOSE(CONTROL!$C$32, $C$9, 100%, $E$9)</f>
        <v>13.3734</v>
      </c>
      <c r="K426" s="33">
        <f>13.3787 * CHOOSE(CONTROL!$C$32, $C$9, 100%, $E$9)</f>
        <v>13.3787</v>
      </c>
      <c r="L426" s="33">
        <f>7.1201 * CHOOSE(CONTROL!$C$32, $C$9, 100%, $E$9)</f>
        <v>7.1200999999999999</v>
      </c>
      <c r="M426" s="33">
        <f>7.1254 * CHOOSE(CONTROL!$C$32, $C$9, 100%, $E$9)</f>
        <v>7.1254</v>
      </c>
      <c r="N426" s="33">
        <f>7.1201 * CHOOSE(CONTROL!$C$32, $C$9, 100%, $E$9)</f>
        <v>7.1200999999999999</v>
      </c>
      <c r="O426" s="33">
        <f>7.1254 * CHOOSE(CONTROL!$C$32, $C$9, 100%, $E$9)</f>
        <v>7.1254</v>
      </c>
    </row>
    <row r="427" spans="1:15" ht="15" x14ac:dyDescent="0.2">
      <c r="A427" s="16">
        <v>53844</v>
      </c>
      <c r="B427" s="32">
        <f>6.1687 * CHOOSE(CONTROL!$C$32, $C$9, 100%, $E$9)</f>
        <v>6.1687000000000003</v>
      </c>
      <c r="C427" s="32">
        <f>6.1687 * CHOOSE(CONTROL!$C$32, $C$9, 100%, $E$9)</f>
        <v>6.1687000000000003</v>
      </c>
      <c r="D427" s="32">
        <f>6.1703 * CHOOSE(CONTROL!$C$32, $C$9, 100%, $E$9)</f>
        <v>6.1703000000000001</v>
      </c>
      <c r="E427" s="33">
        <f>7.0787 * CHOOSE(CONTROL!$C$32, $C$9, 100%, $E$9)</f>
        <v>7.0787000000000004</v>
      </c>
      <c r="F427" s="33">
        <f>7.0787 * CHOOSE(CONTROL!$C$32, $C$9, 100%, $E$9)</f>
        <v>7.0787000000000004</v>
      </c>
      <c r="G427" s="33">
        <f>7.0839 * CHOOSE(CONTROL!$C$32, $C$9, 100%, $E$9)</f>
        <v>7.0838999999999999</v>
      </c>
      <c r="H427" s="33">
        <f>13.4013 * CHOOSE(CONTROL!$C$32, $C$9, 100%, $E$9)</f>
        <v>13.401300000000001</v>
      </c>
      <c r="I427" s="33">
        <f>13.4065 * CHOOSE(CONTROL!$C$32, $C$9, 100%, $E$9)</f>
        <v>13.406499999999999</v>
      </c>
      <c r="J427" s="33">
        <f>13.4013 * CHOOSE(CONTROL!$C$32, $C$9, 100%, $E$9)</f>
        <v>13.401300000000001</v>
      </c>
      <c r="K427" s="33">
        <f>13.4065 * CHOOSE(CONTROL!$C$32, $C$9, 100%, $E$9)</f>
        <v>13.406499999999999</v>
      </c>
      <c r="L427" s="33">
        <f>7.0787 * CHOOSE(CONTROL!$C$32, $C$9, 100%, $E$9)</f>
        <v>7.0787000000000004</v>
      </c>
      <c r="M427" s="33">
        <f>7.0839 * CHOOSE(CONTROL!$C$32, $C$9, 100%, $E$9)</f>
        <v>7.0838999999999999</v>
      </c>
      <c r="N427" s="33">
        <f>7.0787 * CHOOSE(CONTROL!$C$32, $C$9, 100%, $E$9)</f>
        <v>7.0787000000000004</v>
      </c>
      <c r="O427" s="33">
        <f>7.0839 * CHOOSE(CONTROL!$C$32, $C$9, 100%, $E$9)</f>
        <v>7.0838999999999999</v>
      </c>
    </row>
    <row r="428" spans="1:15" ht="15" x14ac:dyDescent="0.2">
      <c r="A428" s="16">
        <v>53874</v>
      </c>
      <c r="B428" s="32">
        <f>6.251 * CHOOSE(CONTROL!$C$32, $C$9, 100%, $E$9)</f>
        <v>6.2510000000000003</v>
      </c>
      <c r="C428" s="32">
        <f>6.251 * CHOOSE(CONTROL!$C$32, $C$9, 100%, $E$9)</f>
        <v>6.2510000000000003</v>
      </c>
      <c r="D428" s="32">
        <f>6.2526 * CHOOSE(CONTROL!$C$32, $C$9, 100%, $E$9)</f>
        <v>6.2526000000000002</v>
      </c>
      <c r="E428" s="33">
        <f>7.149 * CHOOSE(CONTROL!$C$32, $C$9, 100%, $E$9)</f>
        <v>7.149</v>
      </c>
      <c r="F428" s="33">
        <f>7.149 * CHOOSE(CONTROL!$C$32, $C$9, 100%, $E$9)</f>
        <v>7.149</v>
      </c>
      <c r="G428" s="33">
        <f>7.1543 * CHOOSE(CONTROL!$C$32, $C$9, 100%, $E$9)</f>
        <v>7.1543000000000001</v>
      </c>
      <c r="H428" s="33">
        <f>13.4292 * CHOOSE(CONTROL!$C$32, $C$9, 100%, $E$9)</f>
        <v>13.4292</v>
      </c>
      <c r="I428" s="33">
        <f>13.4345 * CHOOSE(CONTROL!$C$32, $C$9, 100%, $E$9)</f>
        <v>13.4345</v>
      </c>
      <c r="J428" s="33">
        <f>13.4292 * CHOOSE(CONTROL!$C$32, $C$9, 100%, $E$9)</f>
        <v>13.4292</v>
      </c>
      <c r="K428" s="33">
        <f>13.4345 * CHOOSE(CONTROL!$C$32, $C$9, 100%, $E$9)</f>
        <v>13.4345</v>
      </c>
      <c r="L428" s="33">
        <f>7.149 * CHOOSE(CONTROL!$C$32, $C$9, 100%, $E$9)</f>
        <v>7.149</v>
      </c>
      <c r="M428" s="33">
        <f>7.1543 * CHOOSE(CONTROL!$C$32, $C$9, 100%, $E$9)</f>
        <v>7.1543000000000001</v>
      </c>
      <c r="N428" s="33">
        <f>7.149 * CHOOSE(CONTROL!$C$32, $C$9, 100%, $E$9)</f>
        <v>7.149</v>
      </c>
      <c r="O428" s="33">
        <f>7.1543 * CHOOSE(CONTROL!$C$32, $C$9, 100%, $E$9)</f>
        <v>7.1543000000000001</v>
      </c>
    </row>
    <row r="429" spans="1:15" ht="15" x14ac:dyDescent="0.2">
      <c r="A429" s="16">
        <v>53905</v>
      </c>
      <c r="B429" s="32">
        <f>6.2577 * CHOOSE(CONTROL!$C$32, $C$9, 100%, $E$9)</f>
        <v>6.2576999999999998</v>
      </c>
      <c r="C429" s="32">
        <f>6.2577 * CHOOSE(CONTROL!$C$32, $C$9, 100%, $E$9)</f>
        <v>6.2576999999999998</v>
      </c>
      <c r="D429" s="32">
        <f>6.2593 * CHOOSE(CONTROL!$C$32, $C$9, 100%, $E$9)</f>
        <v>6.2592999999999996</v>
      </c>
      <c r="E429" s="33">
        <f>7.0166 * CHOOSE(CONTROL!$C$32, $C$9, 100%, $E$9)</f>
        <v>7.0166000000000004</v>
      </c>
      <c r="F429" s="33">
        <f>7.0166 * CHOOSE(CONTROL!$C$32, $C$9, 100%, $E$9)</f>
        <v>7.0166000000000004</v>
      </c>
      <c r="G429" s="33">
        <f>7.0219 * CHOOSE(CONTROL!$C$32, $C$9, 100%, $E$9)</f>
        <v>7.0218999999999996</v>
      </c>
      <c r="H429" s="33">
        <f>13.4572 * CHOOSE(CONTROL!$C$32, $C$9, 100%, $E$9)</f>
        <v>13.4572</v>
      </c>
      <c r="I429" s="33">
        <f>13.4624 * CHOOSE(CONTROL!$C$32, $C$9, 100%, $E$9)</f>
        <v>13.462400000000001</v>
      </c>
      <c r="J429" s="33">
        <f>13.4572 * CHOOSE(CONTROL!$C$32, $C$9, 100%, $E$9)</f>
        <v>13.4572</v>
      </c>
      <c r="K429" s="33">
        <f>13.4624 * CHOOSE(CONTROL!$C$32, $C$9, 100%, $E$9)</f>
        <v>13.462400000000001</v>
      </c>
      <c r="L429" s="33">
        <f>7.0166 * CHOOSE(CONTROL!$C$32, $C$9, 100%, $E$9)</f>
        <v>7.0166000000000004</v>
      </c>
      <c r="M429" s="33">
        <f>7.0219 * CHOOSE(CONTROL!$C$32, $C$9, 100%, $E$9)</f>
        <v>7.0218999999999996</v>
      </c>
      <c r="N429" s="33">
        <f>7.0166 * CHOOSE(CONTROL!$C$32, $C$9, 100%, $E$9)</f>
        <v>7.0166000000000004</v>
      </c>
      <c r="O429" s="33">
        <f>7.0219 * CHOOSE(CONTROL!$C$32, $C$9, 100%, $E$9)</f>
        <v>7.0218999999999996</v>
      </c>
    </row>
    <row r="430" spans="1:15" ht="15" x14ac:dyDescent="0.2">
      <c r="A430" s="16">
        <v>53936</v>
      </c>
      <c r="B430" s="32">
        <f>6.2547 * CHOOSE(CONTROL!$C$32, $C$9, 100%, $E$9)</f>
        <v>6.2546999999999997</v>
      </c>
      <c r="C430" s="32">
        <f>6.2547 * CHOOSE(CONTROL!$C$32, $C$9, 100%, $E$9)</f>
        <v>6.2546999999999997</v>
      </c>
      <c r="D430" s="32">
        <f>6.2562 * CHOOSE(CONTROL!$C$32, $C$9, 100%, $E$9)</f>
        <v>6.2561999999999998</v>
      </c>
      <c r="E430" s="33">
        <f>6.9993 * CHOOSE(CONTROL!$C$32, $C$9, 100%, $E$9)</f>
        <v>6.9992999999999999</v>
      </c>
      <c r="F430" s="33">
        <f>6.9993 * CHOOSE(CONTROL!$C$32, $C$9, 100%, $E$9)</f>
        <v>6.9992999999999999</v>
      </c>
      <c r="G430" s="33">
        <f>7.0045 * CHOOSE(CONTROL!$C$32, $C$9, 100%, $E$9)</f>
        <v>7.0045000000000002</v>
      </c>
      <c r="H430" s="33">
        <f>13.4852 * CHOOSE(CONTROL!$C$32, $C$9, 100%, $E$9)</f>
        <v>13.485200000000001</v>
      </c>
      <c r="I430" s="33">
        <f>13.4905 * CHOOSE(CONTROL!$C$32, $C$9, 100%, $E$9)</f>
        <v>13.490500000000001</v>
      </c>
      <c r="J430" s="33">
        <f>13.4852 * CHOOSE(CONTROL!$C$32, $C$9, 100%, $E$9)</f>
        <v>13.485200000000001</v>
      </c>
      <c r="K430" s="33">
        <f>13.4905 * CHOOSE(CONTROL!$C$32, $C$9, 100%, $E$9)</f>
        <v>13.490500000000001</v>
      </c>
      <c r="L430" s="33">
        <f>6.9993 * CHOOSE(CONTROL!$C$32, $C$9, 100%, $E$9)</f>
        <v>6.9992999999999999</v>
      </c>
      <c r="M430" s="33">
        <f>7.0045 * CHOOSE(CONTROL!$C$32, $C$9, 100%, $E$9)</f>
        <v>7.0045000000000002</v>
      </c>
      <c r="N430" s="33">
        <f>6.9993 * CHOOSE(CONTROL!$C$32, $C$9, 100%, $E$9)</f>
        <v>6.9992999999999999</v>
      </c>
      <c r="O430" s="33">
        <f>7.0045 * CHOOSE(CONTROL!$C$32, $C$9, 100%, $E$9)</f>
        <v>7.0045000000000002</v>
      </c>
    </row>
    <row r="431" spans="1:15" ht="15" x14ac:dyDescent="0.2">
      <c r="A431" s="16">
        <v>53966</v>
      </c>
      <c r="B431" s="32">
        <f>6.2581 * CHOOSE(CONTROL!$C$32, $C$9, 100%, $E$9)</f>
        <v>6.2580999999999998</v>
      </c>
      <c r="C431" s="32">
        <f>6.2581 * CHOOSE(CONTROL!$C$32, $C$9, 100%, $E$9)</f>
        <v>6.2580999999999998</v>
      </c>
      <c r="D431" s="32">
        <f>6.2592 * CHOOSE(CONTROL!$C$32, $C$9, 100%, $E$9)</f>
        <v>6.2591999999999999</v>
      </c>
      <c r="E431" s="33">
        <f>7.0467 * CHOOSE(CONTROL!$C$32, $C$9, 100%, $E$9)</f>
        <v>7.0467000000000004</v>
      </c>
      <c r="F431" s="33">
        <f>7.0467 * CHOOSE(CONTROL!$C$32, $C$9, 100%, $E$9)</f>
        <v>7.0467000000000004</v>
      </c>
      <c r="G431" s="33">
        <f>7.0504 * CHOOSE(CONTROL!$C$32, $C$9, 100%, $E$9)</f>
        <v>7.0503999999999998</v>
      </c>
      <c r="H431" s="33">
        <f>13.5133 * CHOOSE(CONTROL!$C$32, $C$9, 100%, $E$9)</f>
        <v>13.513299999999999</v>
      </c>
      <c r="I431" s="33">
        <f>13.5169 * CHOOSE(CONTROL!$C$32, $C$9, 100%, $E$9)</f>
        <v>13.5169</v>
      </c>
      <c r="J431" s="33">
        <f>13.5133 * CHOOSE(CONTROL!$C$32, $C$9, 100%, $E$9)</f>
        <v>13.513299999999999</v>
      </c>
      <c r="K431" s="33">
        <f>13.5169 * CHOOSE(CONTROL!$C$32, $C$9, 100%, $E$9)</f>
        <v>13.5169</v>
      </c>
      <c r="L431" s="33">
        <f>7.0467 * CHOOSE(CONTROL!$C$32, $C$9, 100%, $E$9)</f>
        <v>7.0467000000000004</v>
      </c>
      <c r="M431" s="33">
        <f>7.0504 * CHOOSE(CONTROL!$C$32, $C$9, 100%, $E$9)</f>
        <v>7.0503999999999998</v>
      </c>
      <c r="N431" s="33">
        <f>7.0467 * CHOOSE(CONTROL!$C$32, $C$9, 100%, $E$9)</f>
        <v>7.0467000000000004</v>
      </c>
      <c r="O431" s="33">
        <f>7.0504 * CHOOSE(CONTROL!$C$32, $C$9, 100%, $E$9)</f>
        <v>7.0503999999999998</v>
      </c>
    </row>
    <row r="432" spans="1:15" ht="15" x14ac:dyDescent="0.2">
      <c r="A432" s="16">
        <v>53997</v>
      </c>
      <c r="B432" s="32">
        <f>6.2611 * CHOOSE(CONTROL!$C$32, $C$9, 100%, $E$9)</f>
        <v>6.2610999999999999</v>
      </c>
      <c r="C432" s="32">
        <f>6.2611 * CHOOSE(CONTROL!$C$32, $C$9, 100%, $E$9)</f>
        <v>6.2610999999999999</v>
      </c>
      <c r="D432" s="32">
        <f>6.2622 * CHOOSE(CONTROL!$C$32, $C$9, 100%, $E$9)</f>
        <v>6.2622</v>
      </c>
      <c r="E432" s="33">
        <f>7.0793 * CHOOSE(CONTROL!$C$32, $C$9, 100%, $E$9)</f>
        <v>7.0792999999999999</v>
      </c>
      <c r="F432" s="33">
        <f>7.0793 * CHOOSE(CONTROL!$C$32, $C$9, 100%, $E$9)</f>
        <v>7.0792999999999999</v>
      </c>
      <c r="G432" s="33">
        <f>7.0829 * CHOOSE(CONTROL!$C$32, $C$9, 100%, $E$9)</f>
        <v>7.0829000000000004</v>
      </c>
      <c r="H432" s="33">
        <f>13.5414 * CHOOSE(CONTROL!$C$32, $C$9, 100%, $E$9)</f>
        <v>13.541399999999999</v>
      </c>
      <c r="I432" s="33">
        <f>13.5451 * CHOOSE(CONTROL!$C$32, $C$9, 100%, $E$9)</f>
        <v>13.5451</v>
      </c>
      <c r="J432" s="33">
        <f>13.5414 * CHOOSE(CONTROL!$C$32, $C$9, 100%, $E$9)</f>
        <v>13.541399999999999</v>
      </c>
      <c r="K432" s="33">
        <f>13.5451 * CHOOSE(CONTROL!$C$32, $C$9, 100%, $E$9)</f>
        <v>13.5451</v>
      </c>
      <c r="L432" s="33">
        <f>7.0793 * CHOOSE(CONTROL!$C$32, $C$9, 100%, $E$9)</f>
        <v>7.0792999999999999</v>
      </c>
      <c r="M432" s="33">
        <f>7.0829 * CHOOSE(CONTROL!$C$32, $C$9, 100%, $E$9)</f>
        <v>7.0829000000000004</v>
      </c>
      <c r="N432" s="33">
        <f>7.0793 * CHOOSE(CONTROL!$C$32, $C$9, 100%, $E$9)</f>
        <v>7.0792999999999999</v>
      </c>
      <c r="O432" s="33">
        <f>7.0829 * CHOOSE(CONTROL!$C$32, $C$9, 100%, $E$9)</f>
        <v>7.0829000000000004</v>
      </c>
    </row>
    <row r="433" spans="1:15" ht="15" x14ac:dyDescent="0.2">
      <c r="A433" s="16">
        <v>54027</v>
      </c>
      <c r="B433" s="32">
        <f>6.2611 * CHOOSE(CONTROL!$C$32, $C$9, 100%, $E$9)</f>
        <v>6.2610999999999999</v>
      </c>
      <c r="C433" s="32">
        <f>6.2611 * CHOOSE(CONTROL!$C$32, $C$9, 100%, $E$9)</f>
        <v>6.2610999999999999</v>
      </c>
      <c r="D433" s="32">
        <f>6.2622 * CHOOSE(CONTROL!$C$32, $C$9, 100%, $E$9)</f>
        <v>6.2622</v>
      </c>
      <c r="E433" s="33">
        <f>7.0032 * CHOOSE(CONTROL!$C$32, $C$9, 100%, $E$9)</f>
        <v>7.0031999999999996</v>
      </c>
      <c r="F433" s="33">
        <f>7.0032 * CHOOSE(CONTROL!$C$32, $C$9, 100%, $E$9)</f>
        <v>7.0031999999999996</v>
      </c>
      <c r="G433" s="33">
        <f>7.0068 * CHOOSE(CONTROL!$C$32, $C$9, 100%, $E$9)</f>
        <v>7.0068000000000001</v>
      </c>
      <c r="H433" s="33">
        <f>13.5696 * CHOOSE(CONTROL!$C$32, $C$9, 100%, $E$9)</f>
        <v>13.569599999999999</v>
      </c>
      <c r="I433" s="33">
        <f>13.5733 * CHOOSE(CONTROL!$C$32, $C$9, 100%, $E$9)</f>
        <v>13.5733</v>
      </c>
      <c r="J433" s="33">
        <f>13.5696 * CHOOSE(CONTROL!$C$32, $C$9, 100%, $E$9)</f>
        <v>13.569599999999999</v>
      </c>
      <c r="K433" s="33">
        <f>13.5733 * CHOOSE(CONTROL!$C$32, $C$9, 100%, $E$9)</f>
        <v>13.5733</v>
      </c>
      <c r="L433" s="33">
        <f>7.0032 * CHOOSE(CONTROL!$C$32, $C$9, 100%, $E$9)</f>
        <v>7.0031999999999996</v>
      </c>
      <c r="M433" s="33">
        <f>7.0068 * CHOOSE(CONTROL!$C$32, $C$9, 100%, $E$9)</f>
        <v>7.0068000000000001</v>
      </c>
      <c r="N433" s="33">
        <f>7.0032 * CHOOSE(CONTROL!$C$32, $C$9, 100%, $E$9)</f>
        <v>7.0031999999999996</v>
      </c>
      <c r="O433" s="33">
        <f>7.0068 * CHOOSE(CONTROL!$C$32, $C$9, 100%, $E$9)</f>
        <v>7.0068000000000001</v>
      </c>
    </row>
    <row r="434" spans="1:15" ht="15" x14ac:dyDescent="0.2">
      <c r="A434" s="16">
        <v>54058</v>
      </c>
      <c r="B434" s="32">
        <f>6.3089 * CHOOSE(CONTROL!$C$32, $C$9, 100%, $E$9)</f>
        <v>6.3089000000000004</v>
      </c>
      <c r="C434" s="32">
        <f>6.3089 * CHOOSE(CONTROL!$C$32, $C$9, 100%, $E$9)</f>
        <v>6.3089000000000004</v>
      </c>
      <c r="D434" s="32">
        <f>6.3099 * CHOOSE(CONTROL!$C$32, $C$9, 100%, $E$9)</f>
        <v>6.3098999999999998</v>
      </c>
      <c r="E434" s="33">
        <f>7.1107 * CHOOSE(CONTROL!$C$32, $C$9, 100%, $E$9)</f>
        <v>7.1106999999999996</v>
      </c>
      <c r="F434" s="33">
        <f>7.1107 * CHOOSE(CONTROL!$C$32, $C$9, 100%, $E$9)</f>
        <v>7.1106999999999996</v>
      </c>
      <c r="G434" s="33">
        <f>7.1143 * CHOOSE(CONTROL!$C$32, $C$9, 100%, $E$9)</f>
        <v>7.1143000000000001</v>
      </c>
      <c r="H434" s="33">
        <f>13.5979 * CHOOSE(CONTROL!$C$32, $C$9, 100%, $E$9)</f>
        <v>13.597899999999999</v>
      </c>
      <c r="I434" s="33">
        <f>13.6015 * CHOOSE(CONTROL!$C$32, $C$9, 100%, $E$9)</f>
        <v>13.6015</v>
      </c>
      <c r="J434" s="33">
        <f>13.5979 * CHOOSE(CONTROL!$C$32, $C$9, 100%, $E$9)</f>
        <v>13.597899999999999</v>
      </c>
      <c r="K434" s="33">
        <f>13.6015 * CHOOSE(CONTROL!$C$32, $C$9, 100%, $E$9)</f>
        <v>13.6015</v>
      </c>
      <c r="L434" s="33">
        <f>7.1107 * CHOOSE(CONTROL!$C$32, $C$9, 100%, $E$9)</f>
        <v>7.1106999999999996</v>
      </c>
      <c r="M434" s="33">
        <f>7.1143 * CHOOSE(CONTROL!$C$32, $C$9, 100%, $E$9)</f>
        <v>7.1143000000000001</v>
      </c>
      <c r="N434" s="33">
        <f>7.1107 * CHOOSE(CONTROL!$C$32, $C$9, 100%, $E$9)</f>
        <v>7.1106999999999996</v>
      </c>
      <c r="O434" s="33">
        <f>7.1143 * CHOOSE(CONTROL!$C$32, $C$9, 100%, $E$9)</f>
        <v>7.1143000000000001</v>
      </c>
    </row>
    <row r="435" spans="1:15" ht="15" x14ac:dyDescent="0.2">
      <c r="A435" s="16">
        <v>54089</v>
      </c>
      <c r="B435" s="32">
        <f>6.3058 * CHOOSE(CONTROL!$C$32, $C$9, 100%, $E$9)</f>
        <v>6.3057999999999996</v>
      </c>
      <c r="C435" s="32">
        <f>6.3058 * CHOOSE(CONTROL!$C$32, $C$9, 100%, $E$9)</f>
        <v>6.3057999999999996</v>
      </c>
      <c r="D435" s="32">
        <f>6.3069 * CHOOSE(CONTROL!$C$32, $C$9, 100%, $E$9)</f>
        <v>6.3068999999999997</v>
      </c>
      <c r="E435" s="33">
        <f>6.96 * CHOOSE(CONTROL!$C$32, $C$9, 100%, $E$9)</f>
        <v>6.96</v>
      </c>
      <c r="F435" s="33">
        <f>6.96 * CHOOSE(CONTROL!$C$32, $C$9, 100%, $E$9)</f>
        <v>6.96</v>
      </c>
      <c r="G435" s="33">
        <f>6.9636 * CHOOSE(CONTROL!$C$32, $C$9, 100%, $E$9)</f>
        <v>6.9635999999999996</v>
      </c>
      <c r="H435" s="33">
        <f>13.6262 * CHOOSE(CONTROL!$C$32, $C$9, 100%, $E$9)</f>
        <v>13.626200000000001</v>
      </c>
      <c r="I435" s="33">
        <f>13.6299 * CHOOSE(CONTROL!$C$32, $C$9, 100%, $E$9)</f>
        <v>13.629899999999999</v>
      </c>
      <c r="J435" s="33">
        <f>13.6262 * CHOOSE(CONTROL!$C$32, $C$9, 100%, $E$9)</f>
        <v>13.626200000000001</v>
      </c>
      <c r="K435" s="33">
        <f>13.6299 * CHOOSE(CONTROL!$C$32, $C$9, 100%, $E$9)</f>
        <v>13.629899999999999</v>
      </c>
      <c r="L435" s="33">
        <f>6.96 * CHOOSE(CONTROL!$C$32, $C$9, 100%, $E$9)</f>
        <v>6.96</v>
      </c>
      <c r="M435" s="33">
        <f>6.9636 * CHOOSE(CONTROL!$C$32, $C$9, 100%, $E$9)</f>
        <v>6.9635999999999996</v>
      </c>
      <c r="N435" s="33">
        <f>6.96 * CHOOSE(CONTROL!$C$32, $C$9, 100%, $E$9)</f>
        <v>6.96</v>
      </c>
      <c r="O435" s="33">
        <f>6.9636 * CHOOSE(CONTROL!$C$32, $C$9, 100%, $E$9)</f>
        <v>6.9635999999999996</v>
      </c>
    </row>
    <row r="436" spans="1:15" ht="15" x14ac:dyDescent="0.2">
      <c r="A436" s="16">
        <v>54118</v>
      </c>
      <c r="B436" s="32">
        <f>6.3028 * CHOOSE(CONTROL!$C$32, $C$9, 100%, $E$9)</f>
        <v>6.3028000000000004</v>
      </c>
      <c r="C436" s="32">
        <f>6.3028 * CHOOSE(CONTROL!$C$32, $C$9, 100%, $E$9)</f>
        <v>6.3028000000000004</v>
      </c>
      <c r="D436" s="32">
        <f>6.3038 * CHOOSE(CONTROL!$C$32, $C$9, 100%, $E$9)</f>
        <v>6.3037999999999998</v>
      </c>
      <c r="E436" s="33">
        <f>7.075 * CHOOSE(CONTROL!$C$32, $C$9, 100%, $E$9)</f>
        <v>7.0750000000000002</v>
      </c>
      <c r="F436" s="33">
        <f>7.075 * CHOOSE(CONTROL!$C$32, $C$9, 100%, $E$9)</f>
        <v>7.0750000000000002</v>
      </c>
      <c r="G436" s="33">
        <f>7.0786 * CHOOSE(CONTROL!$C$32, $C$9, 100%, $E$9)</f>
        <v>7.0785999999999998</v>
      </c>
      <c r="H436" s="33">
        <f>13.6546 * CHOOSE(CONTROL!$C$32, $C$9, 100%, $E$9)</f>
        <v>13.6546</v>
      </c>
      <c r="I436" s="33">
        <f>13.6583 * CHOOSE(CONTROL!$C$32, $C$9, 100%, $E$9)</f>
        <v>13.658300000000001</v>
      </c>
      <c r="J436" s="33">
        <f>13.6546 * CHOOSE(CONTROL!$C$32, $C$9, 100%, $E$9)</f>
        <v>13.6546</v>
      </c>
      <c r="K436" s="33">
        <f>13.6583 * CHOOSE(CONTROL!$C$32, $C$9, 100%, $E$9)</f>
        <v>13.658300000000001</v>
      </c>
      <c r="L436" s="33">
        <f>7.075 * CHOOSE(CONTROL!$C$32, $C$9, 100%, $E$9)</f>
        <v>7.0750000000000002</v>
      </c>
      <c r="M436" s="33">
        <f>7.0786 * CHOOSE(CONTROL!$C$32, $C$9, 100%, $E$9)</f>
        <v>7.0785999999999998</v>
      </c>
      <c r="N436" s="33">
        <f>7.075 * CHOOSE(CONTROL!$C$32, $C$9, 100%, $E$9)</f>
        <v>7.0750000000000002</v>
      </c>
      <c r="O436" s="33">
        <f>7.0786 * CHOOSE(CONTROL!$C$32, $C$9, 100%, $E$9)</f>
        <v>7.0785999999999998</v>
      </c>
    </row>
    <row r="437" spans="1:15" ht="15" x14ac:dyDescent="0.2">
      <c r="A437" s="16">
        <v>54149</v>
      </c>
      <c r="B437" s="32">
        <f>6.3027 * CHOOSE(CONTROL!$C$32, $C$9, 100%, $E$9)</f>
        <v>6.3026999999999997</v>
      </c>
      <c r="C437" s="32">
        <f>6.3027 * CHOOSE(CONTROL!$C$32, $C$9, 100%, $E$9)</f>
        <v>6.3026999999999997</v>
      </c>
      <c r="D437" s="32">
        <f>6.3037 * CHOOSE(CONTROL!$C$32, $C$9, 100%, $E$9)</f>
        <v>6.3037000000000001</v>
      </c>
      <c r="E437" s="33">
        <f>7.1965 * CHOOSE(CONTROL!$C$32, $C$9, 100%, $E$9)</f>
        <v>7.1965000000000003</v>
      </c>
      <c r="F437" s="33">
        <f>7.1965 * CHOOSE(CONTROL!$C$32, $C$9, 100%, $E$9)</f>
        <v>7.1965000000000003</v>
      </c>
      <c r="G437" s="33">
        <f>7.2001 * CHOOSE(CONTROL!$C$32, $C$9, 100%, $E$9)</f>
        <v>7.2000999999999999</v>
      </c>
      <c r="H437" s="33">
        <f>13.6831 * CHOOSE(CONTROL!$C$32, $C$9, 100%, $E$9)</f>
        <v>13.6831</v>
      </c>
      <c r="I437" s="33">
        <f>13.6867 * CHOOSE(CONTROL!$C$32, $C$9, 100%, $E$9)</f>
        <v>13.6867</v>
      </c>
      <c r="J437" s="33">
        <f>13.6831 * CHOOSE(CONTROL!$C$32, $C$9, 100%, $E$9)</f>
        <v>13.6831</v>
      </c>
      <c r="K437" s="33">
        <f>13.6867 * CHOOSE(CONTROL!$C$32, $C$9, 100%, $E$9)</f>
        <v>13.6867</v>
      </c>
      <c r="L437" s="33">
        <f>7.1965 * CHOOSE(CONTROL!$C$32, $C$9, 100%, $E$9)</f>
        <v>7.1965000000000003</v>
      </c>
      <c r="M437" s="33">
        <f>7.2001 * CHOOSE(CONTROL!$C$32, $C$9, 100%, $E$9)</f>
        <v>7.2000999999999999</v>
      </c>
      <c r="N437" s="33">
        <f>7.1965 * CHOOSE(CONTROL!$C$32, $C$9, 100%, $E$9)</f>
        <v>7.1965000000000003</v>
      </c>
      <c r="O437" s="33">
        <f>7.2001 * CHOOSE(CONTROL!$C$32, $C$9, 100%, $E$9)</f>
        <v>7.2000999999999999</v>
      </c>
    </row>
    <row r="438" spans="1:15" ht="15" x14ac:dyDescent="0.2">
      <c r="A438" s="16">
        <v>54179</v>
      </c>
      <c r="B438" s="32">
        <f>6.3027 * CHOOSE(CONTROL!$C$32, $C$9, 100%, $E$9)</f>
        <v>6.3026999999999997</v>
      </c>
      <c r="C438" s="32">
        <f>6.3027 * CHOOSE(CONTROL!$C$32, $C$9, 100%, $E$9)</f>
        <v>6.3026999999999997</v>
      </c>
      <c r="D438" s="32">
        <f>6.3042 * CHOOSE(CONTROL!$C$32, $C$9, 100%, $E$9)</f>
        <v>6.3041999999999998</v>
      </c>
      <c r="E438" s="33">
        <f>7.2437 * CHOOSE(CONTROL!$C$32, $C$9, 100%, $E$9)</f>
        <v>7.2436999999999996</v>
      </c>
      <c r="F438" s="33">
        <f>7.2437 * CHOOSE(CONTROL!$C$32, $C$9, 100%, $E$9)</f>
        <v>7.2436999999999996</v>
      </c>
      <c r="G438" s="33">
        <f>7.249 * CHOOSE(CONTROL!$C$32, $C$9, 100%, $E$9)</f>
        <v>7.2489999999999997</v>
      </c>
      <c r="H438" s="33">
        <f>13.7116 * CHOOSE(CONTROL!$C$32, $C$9, 100%, $E$9)</f>
        <v>13.711600000000001</v>
      </c>
      <c r="I438" s="33">
        <f>13.7169 * CHOOSE(CONTROL!$C$32, $C$9, 100%, $E$9)</f>
        <v>13.716900000000001</v>
      </c>
      <c r="J438" s="33">
        <f>13.7116 * CHOOSE(CONTROL!$C$32, $C$9, 100%, $E$9)</f>
        <v>13.711600000000001</v>
      </c>
      <c r="K438" s="33">
        <f>13.7169 * CHOOSE(CONTROL!$C$32, $C$9, 100%, $E$9)</f>
        <v>13.716900000000001</v>
      </c>
      <c r="L438" s="33">
        <f>7.2437 * CHOOSE(CONTROL!$C$32, $C$9, 100%, $E$9)</f>
        <v>7.2436999999999996</v>
      </c>
      <c r="M438" s="33">
        <f>7.249 * CHOOSE(CONTROL!$C$32, $C$9, 100%, $E$9)</f>
        <v>7.2489999999999997</v>
      </c>
      <c r="N438" s="33">
        <f>7.2437 * CHOOSE(CONTROL!$C$32, $C$9, 100%, $E$9)</f>
        <v>7.2436999999999996</v>
      </c>
      <c r="O438" s="33">
        <f>7.249 * CHOOSE(CONTROL!$C$32, $C$9, 100%, $E$9)</f>
        <v>7.2489999999999997</v>
      </c>
    </row>
    <row r="439" spans="1:15" ht="15" x14ac:dyDescent="0.2">
      <c r="A439" s="16">
        <v>54210</v>
      </c>
      <c r="B439" s="32">
        <f>6.3087 * CHOOSE(CONTROL!$C$32, $C$9, 100%, $E$9)</f>
        <v>6.3087</v>
      </c>
      <c r="C439" s="32">
        <f>6.3087 * CHOOSE(CONTROL!$C$32, $C$9, 100%, $E$9)</f>
        <v>6.3087</v>
      </c>
      <c r="D439" s="32">
        <f>6.3103 * CHOOSE(CONTROL!$C$32, $C$9, 100%, $E$9)</f>
        <v>6.3102999999999998</v>
      </c>
      <c r="E439" s="33">
        <f>7.2008 * CHOOSE(CONTROL!$C$32, $C$9, 100%, $E$9)</f>
        <v>7.2008000000000001</v>
      </c>
      <c r="F439" s="33">
        <f>7.2008 * CHOOSE(CONTROL!$C$32, $C$9, 100%, $E$9)</f>
        <v>7.2008000000000001</v>
      </c>
      <c r="G439" s="33">
        <f>7.206 * CHOOSE(CONTROL!$C$32, $C$9, 100%, $E$9)</f>
        <v>7.2060000000000004</v>
      </c>
      <c r="H439" s="33">
        <f>13.7402 * CHOOSE(CONTROL!$C$32, $C$9, 100%, $E$9)</f>
        <v>13.7402</v>
      </c>
      <c r="I439" s="33">
        <f>13.7454 * CHOOSE(CONTROL!$C$32, $C$9, 100%, $E$9)</f>
        <v>13.7454</v>
      </c>
      <c r="J439" s="33">
        <f>13.7402 * CHOOSE(CONTROL!$C$32, $C$9, 100%, $E$9)</f>
        <v>13.7402</v>
      </c>
      <c r="K439" s="33">
        <f>13.7454 * CHOOSE(CONTROL!$C$32, $C$9, 100%, $E$9)</f>
        <v>13.7454</v>
      </c>
      <c r="L439" s="33">
        <f>7.2008 * CHOOSE(CONTROL!$C$32, $C$9, 100%, $E$9)</f>
        <v>7.2008000000000001</v>
      </c>
      <c r="M439" s="33">
        <f>7.206 * CHOOSE(CONTROL!$C$32, $C$9, 100%, $E$9)</f>
        <v>7.2060000000000004</v>
      </c>
      <c r="N439" s="33">
        <f>7.2008 * CHOOSE(CONTROL!$C$32, $C$9, 100%, $E$9)</f>
        <v>7.2008000000000001</v>
      </c>
      <c r="O439" s="33">
        <f>7.206 * CHOOSE(CONTROL!$C$32, $C$9, 100%, $E$9)</f>
        <v>7.2060000000000004</v>
      </c>
    </row>
    <row r="440" spans="1:15" ht="15" x14ac:dyDescent="0.2">
      <c r="A440" s="16">
        <v>54240</v>
      </c>
      <c r="B440" s="32">
        <f>6.3926 * CHOOSE(CONTROL!$C$32, $C$9, 100%, $E$9)</f>
        <v>6.3925999999999998</v>
      </c>
      <c r="C440" s="32">
        <f>6.3926 * CHOOSE(CONTROL!$C$32, $C$9, 100%, $E$9)</f>
        <v>6.3925999999999998</v>
      </c>
      <c r="D440" s="32">
        <f>6.3942 * CHOOSE(CONTROL!$C$32, $C$9, 100%, $E$9)</f>
        <v>6.3941999999999997</v>
      </c>
      <c r="E440" s="33">
        <f>7.2866 * CHOOSE(CONTROL!$C$32, $C$9, 100%, $E$9)</f>
        <v>7.2866</v>
      </c>
      <c r="F440" s="33">
        <f>7.2866 * CHOOSE(CONTROL!$C$32, $C$9, 100%, $E$9)</f>
        <v>7.2866</v>
      </c>
      <c r="G440" s="33">
        <f>7.2919 * CHOOSE(CONTROL!$C$32, $C$9, 100%, $E$9)</f>
        <v>7.2919</v>
      </c>
      <c r="H440" s="33">
        <f>13.7688 * CHOOSE(CONTROL!$C$32, $C$9, 100%, $E$9)</f>
        <v>13.768800000000001</v>
      </c>
      <c r="I440" s="33">
        <f>13.7741 * CHOOSE(CONTROL!$C$32, $C$9, 100%, $E$9)</f>
        <v>13.774100000000001</v>
      </c>
      <c r="J440" s="33">
        <f>13.7688 * CHOOSE(CONTROL!$C$32, $C$9, 100%, $E$9)</f>
        <v>13.768800000000001</v>
      </c>
      <c r="K440" s="33">
        <f>13.7741 * CHOOSE(CONTROL!$C$32, $C$9, 100%, $E$9)</f>
        <v>13.774100000000001</v>
      </c>
      <c r="L440" s="33">
        <f>7.2866 * CHOOSE(CONTROL!$C$32, $C$9, 100%, $E$9)</f>
        <v>7.2866</v>
      </c>
      <c r="M440" s="33">
        <f>7.2919 * CHOOSE(CONTROL!$C$32, $C$9, 100%, $E$9)</f>
        <v>7.2919</v>
      </c>
      <c r="N440" s="33">
        <f>7.2866 * CHOOSE(CONTROL!$C$32, $C$9, 100%, $E$9)</f>
        <v>7.2866</v>
      </c>
      <c r="O440" s="33">
        <f>7.2919 * CHOOSE(CONTROL!$C$32, $C$9, 100%, $E$9)</f>
        <v>7.2919</v>
      </c>
    </row>
    <row r="441" spans="1:15" ht="15" x14ac:dyDescent="0.2">
      <c r="A441" s="16">
        <v>54271</v>
      </c>
      <c r="B441" s="32">
        <f>6.3993 * CHOOSE(CONTROL!$C$32, $C$9, 100%, $E$9)</f>
        <v>6.3993000000000002</v>
      </c>
      <c r="C441" s="32">
        <f>6.3993 * CHOOSE(CONTROL!$C$32, $C$9, 100%, $E$9)</f>
        <v>6.3993000000000002</v>
      </c>
      <c r="D441" s="32">
        <f>6.4009 * CHOOSE(CONTROL!$C$32, $C$9, 100%, $E$9)</f>
        <v>6.4009</v>
      </c>
      <c r="E441" s="33">
        <f>7.1497 * CHOOSE(CONTROL!$C$32, $C$9, 100%, $E$9)</f>
        <v>7.1497000000000002</v>
      </c>
      <c r="F441" s="33">
        <f>7.1497 * CHOOSE(CONTROL!$C$32, $C$9, 100%, $E$9)</f>
        <v>7.1497000000000002</v>
      </c>
      <c r="G441" s="33">
        <f>7.155 * CHOOSE(CONTROL!$C$32, $C$9, 100%, $E$9)</f>
        <v>7.1550000000000002</v>
      </c>
      <c r="H441" s="33">
        <f>13.7975 * CHOOSE(CONTROL!$C$32, $C$9, 100%, $E$9)</f>
        <v>13.797499999999999</v>
      </c>
      <c r="I441" s="33">
        <f>13.8028 * CHOOSE(CONTROL!$C$32, $C$9, 100%, $E$9)</f>
        <v>13.8028</v>
      </c>
      <c r="J441" s="33">
        <f>13.7975 * CHOOSE(CONTROL!$C$32, $C$9, 100%, $E$9)</f>
        <v>13.797499999999999</v>
      </c>
      <c r="K441" s="33">
        <f>13.8028 * CHOOSE(CONTROL!$C$32, $C$9, 100%, $E$9)</f>
        <v>13.8028</v>
      </c>
      <c r="L441" s="33">
        <f>7.1497 * CHOOSE(CONTROL!$C$32, $C$9, 100%, $E$9)</f>
        <v>7.1497000000000002</v>
      </c>
      <c r="M441" s="33">
        <f>7.155 * CHOOSE(CONTROL!$C$32, $C$9, 100%, $E$9)</f>
        <v>7.1550000000000002</v>
      </c>
      <c r="N441" s="33">
        <f>7.1497 * CHOOSE(CONTROL!$C$32, $C$9, 100%, $E$9)</f>
        <v>7.1497000000000002</v>
      </c>
      <c r="O441" s="33">
        <f>7.155 * CHOOSE(CONTROL!$C$32, $C$9, 100%, $E$9)</f>
        <v>7.1550000000000002</v>
      </c>
    </row>
    <row r="442" spans="1:15" ht="15" x14ac:dyDescent="0.2">
      <c r="A442" s="16">
        <v>54302</v>
      </c>
      <c r="B442" s="32">
        <f>6.3963 * CHOOSE(CONTROL!$C$32, $C$9, 100%, $E$9)</f>
        <v>6.3963000000000001</v>
      </c>
      <c r="C442" s="32">
        <f>6.3963 * CHOOSE(CONTROL!$C$32, $C$9, 100%, $E$9)</f>
        <v>6.3963000000000001</v>
      </c>
      <c r="D442" s="32">
        <f>6.3978 * CHOOSE(CONTROL!$C$32, $C$9, 100%, $E$9)</f>
        <v>6.3978000000000002</v>
      </c>
      <c r="E442" s="33">
        <f>7.1319 * CHOOSE(CONTROL!$C$32, $C$9, 100%, $E$9)</f>
        <v>7.1318999999999999</v>
      </c>
      <c r="F442" s="33">
        <f>7.1319 * CHOOSE(CONTROL!$C$32, $C$9, 100%, $E$9)</f>
        <v>7.1318999999999999</v>
      </c>
      <c r="G442" s="33">
        <f>7.1372 * CHOOSE(CONTROL!$C$32, $C$9, 100%, $E$9)</f>
        <v>7.1372</v>
      </c>
      <c r="H442" s="33">
        <f>13.8262 * CHOOSE(CONTROL!$C$32, $C$9, 100%, $E$9)</f>
        <v>13.8262</v>
      </c>
      <c r="I442" s="33">
        <f>13.8315 * CHOOSE(CONTROL!$C$32, $C$9, 100%, $E$9)</f>
        <v>13.8315</v>
      </c>
      <c r="J442" s="33">
        <f>13.8262 * CHOOSE(CONTROL!$C$32, $C$9, 100%, $E$9)</f>
        <v>13.8262</v>
      </c>
      <c r="K442" s="33">
        <f>13.8315 * CHOOSE(CONTROL!$C$32, $C$9, 100%, $E$9)</f>
        <v>13.8315</v>
      </c>
      <c r="L442" s="33">
        <f>7.1319 * CHOOSE(CONTROL!$C$32, $C$9, 100%, $E$9)</f>
        <v>7.1318999999999999</v>
      </c>
      <c r="M442" s="33">
        <f>7.1372 * CHOOSE(CONTROL!$C$32, $C$9, 100%, $E$9)</f>
        <v>7.1372</v>
      </c>
      <c r="N442" s="33">
        <f>7.1319 * CHOOSE(CONTROL!$C$32, $C$9, 100%, $E$9)</f>
        <v>7.1318999999999999</v>
      </c>
      <c r="O442" s="33">
        <f>7.1372 * CHOOSE(CONTROL!$C$32, $C$9, 100%, $E$9)</f>
        <v>7.1372</v>
      </c>
    </row>
    <row r="443" spans="1:15" ht="15" x14ac:dyDescent="0.2">
      <c r="A443" s="16">
        <v>54332</v>
      </c>
      <c r="B443" s="32">
        <f>6.4002 * CHOOSE(CONTROL!$C$32, $C$9, 100%, $E$9)</f>
        <v>6.4001999999999999</v>
      </c>
      <c r="C443" s="32">
        <f>6.4002 * CHOOSE(CONTROL!$C$32, $C$9, 100%, $E$9)</f>
        <v>6.4001999999999999</v>
      </c>
      <c r="D443" s="32">
        <f>6.4013 * CHOOSE(CONTROL!$C$32, $C$9, 100%, $E$9)</f>
        <v>6.4013</v>
      </c>
      <c r="E443" s="33">
        <f>7.1814 * CHOOSE(CONTROL!$C$32, $C$9, 100%, $E$9)</f>
        <v>7.1814</v>
      </c>
      <c r="F443" s="33">
        <f>7.1814 * CHOOSE(CONTROL!$C$32, $C$9, 100%, $E$9)</f>
        <v>7.1814</v>
      </c>
      <c r="G443" s="33">
        <f>7.185 * CHOOSE(CONTROL!$C$32, $C$9, 100%, $E$9)</f>
        <v>7.1849999999999996</v>
      </c>
      <c r="H443" s="33">
        <f>13.855 * CHOOSE(CONTROL!$C$32, $C$9, 100%, $E$9)</f>
        <v>13.855</v>
      </c>
      <c r="I443" s="33">
        <f>13.8586 * CHOOSE(CONTROL!$C$32, $C$9, 100%, $E$9)</f>
        <v>13.858599999999999</v>
      </c>
      <c r="J443" s="33">
        <f>13.855 * CHOOSE(CONTROL!$C$32, $C$9, 100%, $E$9)</f>
        <v>13.855</v>
      </c>
      <c r="K443" s="33">
        <f>13.8586 * CHOOSE(CONTROL!$C$32, $C$9, 100%, $E$9)</f>
        <v>13.858599999999999</v>
      </c>
      <c r="L443" s="33">
        <f>7.1814 * CHOOSE(CONTROL!$C$32, $C$9, 100%, $E$9)</f>
        <v>7.1814</v>
      </c>
      <c r="M443" s="33">
        <f>7.185 * CHOOSE(CONTROL!$C$32, $C$9, 100%, $E$9)</f>
        <v>7.1849999999999996</v>
      </c>
      <c r="N443" s="33">
        <f>7.1814 * CHOOSE(CONTROL!$C$32, $C$9, 100%, $E$9)</f>
        <v>7.1814</v>
      </c>
      <c r="O443" s="33">
        <f>7.185 * CHOOSE(CONTROL!$C$32, $C$9, 100%, $E$9)</f>
        <v>7.1849999999999996</v>
      </c>
    </row>
    <row r="444" spans="1:15" ht="15" x14ac:dyDescent="0.2">
      <c r="A444" s="16">
        <v>54363</v>
      </c>
      <c r="B444" s="32">
        <f>6.4033 * CHOOSE(CONTROL!$C$32, $C$9, 100%, $E$9)</f>
        <v>6.4032999999999998</v>
      </c>
      <c r="C444" s="32">
        <f>6.4033 * CHOOSE(CONTROL!$C$32, $C$9, 100%, $E$9)</f>
        <v>6.4032999999999998</v>
      </c>
      <c r="D444" s="32">
        <f>6.4043 * CHOOSE(CONTROL!$C$32, $C$9, 100%, $E$9)</f>
        <v>6.4043000000000001</v>
      </c>
      <c r="E444" s="33">
        <f>7.2149 * CHOOSE(CONTROL!$C$32, $C$9, 100%, $E$9)</f>
        <v>7.2149000000000001</v>
      </c>
      <c r="F444" s="33">
        <f>7.2149 * CHOOSE(CONTROL!$C$32, $C$9, 100%, $E$9)</f>
        <v>7.2149000000000001</v>
      </c>
      <c r="G444" s="33">
        <f>7.2185 * CHOOSE(CONTROL!$C$32, $C$9, 100%, $E$9)</f>
        <v>7.2184999999999997</v>
      </c>
      <c r="H444" s="33">
        <f>13.8839 * CHOOSE(CONTROL!$C$32, $C$9, 100%, $E$9)</f>
        <v>13.883900000000001</v>
      </c>
      <c r="I444" s="33">
        <f>13.8875 * CHOOSE(CONTROL!$C$32, $C$9, 100%, $E$9)</f>
        <v>13.887499999999999</v>
      </c>
      <c r="J444" s="33">
        <f>13.8839 * CHOOSE(CONTROL!$C$32, $C$9, 100%, $E$9)</f>
        <v>13.883900000000001</v>
      </c>
      <c r="K444" s="33">
        <f>13.8875 * CHOOSE(CONTROL!$C$32, $C$9, 100%, $E$9)</f>
        <v>13.887499999999999</v>
      </c>
      <c r="L444" s="33">
        <f>7.2149 * CHOOSE(CONTROL!$C$32, $C$9, 100%, $E$9)</f>
        <v>7.2149000000000001</v>
      </c>
      <c r="M444" s="33">
        <f>7.2185 * CHOOSE(CONTROL!$C$32, $C$9, 100%, $E$9)</f>
        <v>7.2184999999999997</v>
      </c>
      <c r="N444" s="33">
        <f>7.2149 * CHOOSE(CONTROL!$C$32, $C$9, 100%, $E$9)</f>
        <v>7.2149000000000001</v>
      </c>
      <c r="O444" s="33">
        <f>7.2185 * CHOOSE(CONTROL!$C$32, $C$9, 100%, $E$9)</f>
        <v>7.2184999999999997</v>
      </c>
    </row>
    <row r="445" spans="1:15" ht="15" x14ac:dyDescent="0.2">
      <c r="A445" s="16">
        <v>54393</v>
      </c>
      <c r="B445" s="32">
        <f>6.4033 * CHOOSE(CONTROL!$C$32, $C$9, 100%, $E$9)</f>
        <v>6.4032999999999998</v>
      </c>
      <c r="C445" s="32">
        <f>6.4033 * CHOOSE(CONTROL!$C$32, $C$9, 100%, $E$9)</f>
        <v>6.4032999999999998</v>
      </c>
      <c r="D445" s="32">
        <f>6.4043 * CHOOSE(CONTROL!$C$32, $C$9, 100%, $E$9)</f>
        <v>6.4043000000000001</v>
      </c>
      <c r="E445" s="33">
        <f>7.1363 * CHOOSE(CONTROL!$C$32, $C$9, 100%, $E$9)</f>
        <v>7.1363000000000003</v>
      </c>
      <c r="F445" s="33">
        <f>7.1363 * CHOOSE(CONTROL!$C$32, $C$9, 100%, $E$9)</f>
        <v>7.1363000000000003</v>
      </c>
      <c r="G445" s="33">
        <f>7.1399 * CHOOSE(CONTROL!$C$32, $C$9, 100%, $E$9)</f>
        <v>7.1398999999999999</v>
      </c>
      <c r="H445" s="33">
        <f>13.9128 * CHOOSE(CONTROL!$C$32, $C$9, 100%, $E$9)</f>
        <v>13.912800000000001</v>
      </c>
      <c r="I445" s="33">
        <f>13.9164 * CHOOSE(CONTROL!$C$32, $C$9, 100%, $E$9)</f>
        <v>13.916399999999999</v>
      </c>
      <c r="J445" s="33">
        <f>13.9128 * CHOOSE(CONTROL!$C$32, $C$9, 100%, $E$9)</f>
        <v>13.912800000000001</v>
      </c>
      <c r="K445" s="33">
        <f>13.9164 * CHOOSE(CONTROL!$C$32, $C$9, 100%, $E$9)</f>
        <v>13.916399999999999</v>
      </c>
      <c r="L445" s="33">
        <f>7.1363 * CHOOSE(CONTROL!$C$32, $C$9, 100%, $E$9)</f>
        <v>7.1363000000000003</v>
      </c>
      <c r="M445" s="33">
        <f>7.1399 * CHOOSE(CONTROL!$C$32, $C$9, 100%, $E$9)</f>
        <v>7.1398999999999999</v>
      </c>
      <c r="N445" s="33">
        <f>7.1363 * CHOOSE(CONTROL!$C$32, $C$9, 100%, $E$9)</f>
        <v>7.1363000000000003</v>
      </c>
      <c r="O445" s="33">
        <f>7.1399 * CHOOSE(CONTROL!$C$32, $C$9, 100%, $E$9)</f>
        <v>7.1398999999999999</v>
      </c>
    </row>
    <row r="446" spans="1:15" ht="15" x14ac:dyDescent="0.2">
      <c r="A446" s="16">
        <v>54424</v>
      </c>
      <c r="B446" s="32">
        <f>6.4519 * CHOOSE(CONTROL!$C$32, $C$9, 100%, $E$9)</f>
        <v>6.4519000000000002</v>
      </c>
      <c r="C446" s="32">
        <f>6.4519 * CHOOSE(CONTROL!$C$32, $C$9, 100%, $E$9)</f>
        <v>6.4519000000000002</v>
      </c>
      <c r="D446" s="32">
        <f>6.453 * CHOOSE(CONTROL!$C$32, $C$9, 100%, $E$9)</f>
        <v>6.4530000000000003</v>
      </c>
      <c r="E446" s="33">
        <f>7.2513 * CHOOSE(CONTROL!$C$32, $C$9, 100%, $E$9)</f>
        <v>7.2512999999999996</v>
      </c>
      <c r="F446" s="33">
        <f>7.2513 * CHOOSE(CONTROL!$C$32, $C$9, 100%, $E$9)</f>
        <v>7.2512999999999996</v>
      </c>
      <c r="G446" s="33">
        <f>7.2549 * CHOOSE(CONTROL!$C$32, $C$9, 100%, $E$9)</f>
        <v>7.2549000000000001</v>
      </c>
      <c r="H446" s="33">
        <f>13.9418 * CHOOSE(CONTROL!$C$32, $C$9, 100%, $E$9)</f>
        <v>13.941800000000001</v>
      </c>
      <c r="I446" s="33">
        <f>13.9454 * CHOOSE(CONTROL!$C$32, $C$9, 100%, $E$9)</f>
        <v>13.945399999999999</v>
      </c>
      <c r="J446" s="33">
        <f>13.9418 * CHOOSE(CONTROL!$C$32, $C$9, 100%, $E$9)</f>
        <v>13.941800000000001</v>
      </c>
      <c r="K446" s="33">
        <f>13.9454 * CHOOSE(CONTROL!$C$32, $C$9, 100%, $E$9)</f>
        <v>13.945399999999999</v>
      </c>
      <c r="L446" s="33">
        <f>7.2513 * CHOOSE(CONTROL!$C$32, $C$9, 100%, $E$9)</f>
        <v>7.2512999999999996</v>
      </c>
      <c r="M446" s="33">
        <f>7.2549 * CHOOSE(CONTROL!$C$32, $C$9, 100%, $E$9)</f>
        <v>7.2549000000000001</v>
      </c>
      <c r="N446" s="33">
        <f>7.2513 * CHOOSE(CONTROL!$C$32, $C$9, 100%, $E$9)</f>
        <v>7.2512999999999996</v>
      </c>
      <c r="O446" s="33">
        <f>7.2549 * CHOOSE(CONTROL!$C$32, $C$9, 100%, $E$9)</f>
        <v>7.2549000000000001</v>
      </c>
    </row>
    <row r="447" spans="1:15" ht="15" x14ac:dyDescent="0.2">
      <c r="A447" s="16">
        <v>54455</v>
      </c>
      <c r="B447" s="32">
        <f>6.4489 * CHOOSE(CONTROL!$C$32, $C$9, 100%, $E$9)</f>
        <v>6.4489000000000001</v>
      </c>
      <c r="C447" s="32">
        <f>6.4489 * CHOOSE(CONTROL!$C$32, $C$9, 100%, $E$9)</f>
        <v>6.4489000000000001</v>
      </c>
      <c r="D447" s="32">
        <f>6.45 * CHOOSE(CONTROL!$C$32, $C$9, 100%, $E$9)</f>
        <v>6.45</v>
      </c>
      <c r="E447" s="33">
        <f>7.0958 * CHOOSE(CONTROL!$C$32, $C$9, 100%, $E$9)</f>
        <v>7.0957999999999997</v>
      </c>
      <c r="F447" s="33">
        <f>7.0958 * CHOOSE(CONTROL!$C$32, $C$9, 100%, $E$9)</f>
        <v>7.0957999999999997</v>
      </c>
      <c r="G447" s="33">
        <f>7.0994 * CHOOSE(CONTROL!$C$32, $C$9, 100%, $E$9)</f>
        <v>7.0994000000000002</v>
      </c>
      <c r="H447" s="33">
        <f>13.9708 * CHOOSE(CONTROL!$C$32, $C$9, 100%, $E$9)</f>
        <v>13.970800000000001</v>
      </c>
      <c r="I447" s="33">
        <f>13.9744 * CHOOSE(CONTROL!$C$32, $C$9, 100%, $E$9)</f>
        <v>13.974399999999999</v>
      </c>
      <c r="J447" s="33">
        <f>13.9708 * CHOOSE(CONTROL!$C$32, $C$9, 100%, $E$9)</f>
        <v>13.970800000000001</v>
      </c>
      <c r="K447" s="33">
        <f>13.9744 * CHOOSE(CONTROL!$C$32, $C$9, 100%, $E$9)</f>
        <v>13.974399999999999</v>
      </c>
      <c r="L447" s="33">
        <f>7.0958 * CHOOSE(CONTROL!$C$32, $C$9, 100%, $E$9)</f>
        <v>7.0957999999999997</v>
      </c>
      <c r="M447" s="33">
        <f>7.0994 * CHOOSE(CONTROL!$C$32, $C$9, 100%, $E$9)</f>
        <v>7.0994000000000002</v>
      </c>
      <c r="N447" s="33">
        <f>7.0958 * CHOOSE(CONTROL!$C$32, $C$9, 100%, $E$9)</f>
        <v>7.0957999999999997</v>
      </c>
      <c r="O447" s="33">
        <f>7.0994 * CHOOSE(CONTROL!$C$32, $C$9, 100%, $E$9)</f>
        <v>7.0994000000000002</v>
      </c>
    </row>
    <row r="448" spans="1:15" ht="15" x14ac:dyDescent="0.2">
      <c r="A448" s="16">
        <v>54483</v>
      </c>
      <c r="B448" s="32">
        <f>6.4459 * CHOOSE(CONTROL!$C$32, $C$9, 100%, $E$9)</f>
        <v>6.4459</v>
      </c>
      <c r="C448" s="32">
        <f>6.4459 * CHOOSE(CONTROL!$C$32, $C$9, 100%, $E$9)</f>
        <v>6.4459</v>
      </c>
      <c r="D448" s="32">
        <f>6.4469 * CHOOSE(CONTROL!$C$32, $C$9, 100%, $E$9)</f>
        <v>6.4469000000000003</v>
      </c>
      <c r="E448" s="33">
        <f>7.2146 * CHOOSE(CONTROL!$C$32, $C$9, 100%, $E$9)</f>
        <v>7.2145999999999999</v>
      </c>
      <c r="F448" s="33">
        <f>7.2146 * CHOOSE(CONTROL!$C$32, $C$9, 100%, $E$9)</f>
        <v>7.2145999999999999</v>
      </c>
      <c r="G448" s="33">
        <f>7.2182 * CHOOSE(CONTROL!$C$32, $C$9, 100%, $E$9)</f>
        <v>7.2182000000000004</v>
      </c>
      <c r="H448" s="33">
        <f>13.9999 * CHOOSE(CONTROL!$C$32, $C$9, 100%, $E$9)</f>
        <v>13.9999</v>
      </c>
      <c r="I448" s="33">
        <f>14.0036 * CHOOSE(CONTROL!$C$32, $C$9, 100%, $E$9)</f>
        <v>14.0036</v>
      </c>
      <c r="J448" s="33">
        <f>13.9999 * CHOOSE(CONTROL!$C$32, $C$9, 100%, $E$9)</f>
        <v>13.9999</v>
      </c>
      <c r="K448" s="33">
        <f>14.0036 * CHOOSE(CONTROL!$C$32, $C$9, 100%, $E$9)</f>
        <v>14.0036</v>
      </c>
      <c r="L448" s="33">
        <f>7.2146 * CHOOSE(CONTROL!$C$32, $C$9, 100%, $E$9)</f>
        <v>7.2145999999999999</v>
      </c>
      <c r="M448" s="33">
        <f>7.2182 * CHOOSE(CONTROL!$C$32, $C$9, 100%, $E$9)</f>
        <v>7.2182000000000004</v>
      </c>
      <c r="N448" s="33">
        <f>7.2146 * CHOOSE(CONTROL!$C$32, $C$9, 100%, $E$9)</f>
        <v>7.2145999999999999</v>
      </c>
      <c r="O448" s="33">
        <f>7.2182 * CHOOSE(CONTROL!$C$32, $C$9, 100%, $E$9)</f>
        <v>7.2182000000000004</v>
      </c>
    </row>
    <row r="449" spans="1:15" ht="15" x14ac:dyDescent="0.2">
      <c r="A449" s="16">
        <v>54514</v>
      </c>
      <c r="B449" s="32">
        <f>6.4459 * CHOOSE(CONTROL!$C$32, $C$9, 100%, $E$9)</f>
        <v>6.4459</v>
      </c>
      <c r="C449" s="32">
        <f>6.4459 * CHOOSE(CONTROL!$C$32, $C$9, 100%, $E$9)</f>
        <v>6.4459</v>
      </c>
      <c r="D449" s="32">
        <f>6.447 * CHOOSE(CONTROL!$C$32, $C$9, 100%, $E$9)</f>
        <v>6.4470000000000001</v>
      </c>
      <c r="E449" s="33">
        <f>7.3402 * CHOOSE(CONTROL!$C$32, $C$9, 100%, $E$9)</f>
        <v>7.3402000000000003</v>
      </c>
      <c r="F449" s="33">
        <f>7.3402 * CHOOSE(CONTROL!$C$32, $C$9, 100%, $E$9)</f>
        <v>7.3402000000000003</v>
      </c>
      <c r="G449" s="33">
        <f>7.3438 * CHOOSE(CONTROL!$C$32, $C$9, 100%, $E$9)</f>
        <v>7.3437999999999999</v>
      </c>
      <c r="H449" s="33">
        <f>14.0291 * CHOOSE(CONTROL!$C$32, $C$9, 100%, $E$9)</f>
        <v>14.0291</v>
      </c>
      <c r="I449" s="33">
        <f>14.0327 * CHOOSE(CONTROL!$C$32, $C$9, 100%, $E$9)</f>
        <v>14.0327</v>
      </c>
      <c r="J449" s="33">
        <f>14.0291 * CHOOSE(CONTROL!$C$32, $C$9, 100%, $E$9)</f>
        <v>14.0291</v>
      </c>
      <c r="K449" s="33">
        <f>14.0327 * CHOOSE(CONTROL!$C$32, $C$9, 100%, $E$9)</f>
        <v>14.0327</v>
      </c>
      <c r="L449" s="33">
        <f>7.3402 * CHOOSE(CONTROL!$C$32, $C$9, 100%, $E$9)</f>
        <v>7.3402000000000003</v>
      </c>
      <c r="M449" s="33">
        <f>7.3438 * CHOOSE(CONTROL!$C$32, $C$9, 100%, $E$9)</f>
        <v>7.3437999999999999</v>
      </c>
      <c r="N449" s="33">
        <f>7.3402 * CHOOSE(CONTROL!$C$32, $C$9, 100%, $E$9)</f>
        <v>7.3402000000000003</v>
      </c>
      <c r="O449" s="33">
        <f>7.3438 * CHOOSE(CONTROL!$C$32, $C$9, 100%, $E$9)</f>
        <v>7.3437999999999999</v>
      </c>
    </row>
    <row r="450" spans="1:15" ht="15" x14ac:dyDescent="0.2">
      <c r="A450" s="16">
        <v>54544</v>
      </c>
      <c r="B450" s="32">
        <f>6.4459 * CHOOSE(CONTROL!$C$32, $C$9, 100%, $E$9)</f>
        <v>6.4459</v>
      </c>
      <c r="C450" s="32">
        <f>6.4459 * CHOOSE(CONTROL!$C$32, $C$9, 100%, $E$9)</f>
        <v>6.4459</v>
      </c>
      <c r="D450" s="32">
        <f>6.4475 * CHOOSE(CONTROL!$C$32, $C$9, 100%, $E$9)</f>
        <v>6.4474999999999998</v>
      </c>
      <c r="E450" s="33">
        <f>7.3889 * CHOOSE(CONTROL!$C$32, $C$9, 100%, $E$9)</f>
        <v>7.3888999999999996</v>
      </c>
      <c r="F450" s="33">
        <f>7.3889 * CHOOSE(CONTROL!$C$32, $C$9, 100%, $E$9)</f>
        <v>7.3888999999999996</v>
      </c>
      <c r="G450" s="33">
        <f>7.3942 * CHOOSE(CONTROL!$C$32, $C$9, 100%, $E$9)</f>
        <v>7.3941999999999997</v>
      </c>
      <c r="H450" s="33">
        <f>14.0583 * CHOOSE(CONTROL!$C$32, $C$9, 100%, $E$9)</f>
        <v>14.058299999999999</v>
      </c>
      <c r="I450" s="33">
        <f>14.0636 * CHOOSE(CONTROL!$C$32, $C$9, 100%, $E$9)</f>
        <v>14.063599999999999</v>
      </c>
      <c r="J450" s="33">
        <f>14.0583 * CHOOSE(CONTROL!$C$32, $C$9, 100%, $E$9)</f>
        <v>14.058299999999999</v>
      </c>
      <c r="K450" s="33">
        <f>14.0636 * CHOOSE(CONTROL!$C$32, $C$9, 100%, $E$9)</f>
        <v>14.063599999999999</v>
      </c>
      <c r="L450" s="33">
        <f>7.3889 * CHOOSE(CONTROL!$C$32, $C$9, 100%, $E$9)</f>
        <v>7.3888999999999996</v>
      </c>
      <c r="M450" s="33">
        <f>7.3942 * CHOOSE(CONTROL!$C$32, $C$9, 100%, $E$9)</f>
        <v>7.3941999999999997</v>
      </c>
      <c r="N450" s="33">
        <f>7.3889 * CHOOSE(CONTROL!$C$32, $C$9, 100%, $E$9)</f>
        <v>7.3888999999999996</v>
      </c>
      <c r="O450" s="33">
        <f>7.3942 * CHOOSE(CONTROL!$C$32, $C$9, 100%, $E$9)</f>
        <v>7.3941999999999997</v>
      </c>
    </row>
    <row r="451" spans="1:15" ht="15" x14ac:dyDescent="0.2">
      <c r="A451" s="16">
        <v>54575</v>
      </c>
      <c r="B451" s="32">
        <f>6.452 * CHOOSE(CONTROL!$C$32, $C$9, 100%, $E$9)</f>
        <v>6.452</v>
      </c>
      <c r="C451" s="32">
        <f>6.452 * CHOOSE(CONTROL!$C$32, $C$9, 100%, $E$9)</f>
        <v>6.452</v>
      </c>
      <c r="D451" s="32">
        <f>6.4535 * CHOOSE(CONTROL!$C$32, $C$9, 100%, $E$9)</f>
        <v>6.4535</v>
      </c>
      <c r="E451" s="33">
        <f>7.3444 * CHOOSE(CONTROL!$C$32, $C$9, 100%, $E$9)</f>
        <v>7.3444000000000003</v>
      </c>
      <c r="F451" s="33">
        <f>7.3444 * CHOOSE(CONTROL!$C$32, $C$9, 100%, $E$9)</f>
        <v>7.3444000000000003</v>
      </c>
      <c r="G451" s="33">
        <f>7.3497 * CHOOSE(CONTROL!$C$32, $C$9, 100%, $E$9)</f>
        <v>7.3497000000000003</v>
      </c>
      <c r="H451" s="33">
        <f>14.0876 * CHOOSE(CONTROL!$C$32, $C$9, 100%, $E$9)</f>
        <v>14.0876</v>
      </c>
      <c r="I451" s="33">
        <f>14.0929 * CHOOSE(CONTROL!$C$32, $C$9, 100%, $E$9)</f>
        <v>14.0929</v>
      </c>
      <c r="J451" s="33">
        <f>14.0876 * CHOOSE(CONTROL!$C$32, $C$9, 100%, $E$9)</f>
        <v>14.0876</v>
      </c>
      <c r="K451" s="33">
        <f>14.0929 * CHOOSE(CONTROL!$C$32, $C$9, 100%, $E$9)</f>
        <v>14.0929</v>
      </c>
      <c r="L451" s="33">
        <f>7.3444 * CHOOSE(CONTROL!$C$32, $C$9, 100%, $E$9)</f>
        <v>7.3444000000000003</v>
      </c>
      <c r="M451" s="33">
        <f>7.3497 * CHOOSE(CONTROL!$C$32, $C$9, 100%, $E$9)</f>
        <v>7.3497000000000003</v>
      </c>
      <c r="N451" s="33">
        <f>7.3444 * CHOOSE(CONTROL!$C$32, $C$9, 100%, $E$9)</f>
        <v>7.3444000000000003</v>
      </c>
      <c r="O451" s="33">
        <f>7.3497 * CHOOSE(CONTROL!$C$32, $C$9, 100%, $E$9)</f>
        <v>7.3497000000000003</v>
      </c>
    </row>
    <row r="452" spans="1:15" ht="15" x14ac:dyDescent="0.2">
      <c r="A452" s="16">
        <v>54605</v>
      </c>
      <c r="B452" s="32">
        <f>6.5374 * CHOOSE(CONTROL!$C$32, $C$9, 100%, $E$9)</f>
        <v>6.5373999999999999</v>
      </c>
      <c r="C452" s="32">
        <f>6.5374 * CHOOSE(CONTROL!$C$32, $C$9, 100%, $E$9)</f>
        <v>6.5373999999999999</v>
      </c>
      <c r="D452" s="32">
        <f>6.539 * CHOOSE(CONTROL!$C$32, $C$9, 100%, $E$9)</f>
        <v>6.5389999999999997</v>
      </c>
      <c r="E452" s="33">
        <f>7.4428 * CHOOSE(CONTROL!$C$32, $C$9, 100%, $E$9)</f>
        <v>7.4428000000000001</v>
      </c>
      <c r="F452" s="33">
        <f>7.4428 * CHOOSE(CONTROL!$C$32, $C$9, 100%, $E$9)</f>
        <v>7.4428000000000001</v>
      </c>
      <c r="G452" s="33">
        <f>7.448 * CHOOSE(CONTROL!$C$32, $C$9, 100%, $E$9)</f>
        <v>7.4480000000000004</v>
      </c>
      <c r="H452" s="33">
        <f>14.117 * CHOOSE(CONTROL!$C$32, $C$9, 100%, $E$9)</f>
        <v>14.117000000000001</v>
      </c>
      <c r="I452" s="33">
        <f>14.1223 * CHOOSE(CONTROL!$C$32, $C$9, 100%, $E$9)</f>
        <v>14.122299999999999</v>
      </c>
      <c r="J452" s="33">
        <f>14.117 * CHOOSE(CONTROL!$C$32, $C$9, 100%, $E$9)</f>
        <v>14.117000000000001</v>
      </c>
      <c r="K452" s="33">
        <f>14.1223 * CHOOSE(CONTROL!$C$32, $C$9, 100%, $E$9)</f>
        <v>14.122299999999999</v>
      </c>
      <c r="L452" s="33">
        <f>7.4428 * CHOOSE(CONTROL!$C$32, $C$9, 100%, $E$9)</f>
        <v>7.4428000000000001</v>
      </c>
      <c r="M452" s="33">
        <f>7.448 * CHOOSE(CONTROL!$C$32, $C$9, 100%, $E$9)</f>
        <v>7.4480000000000004</v>
      </c>
      <c r="N452" s="33">
        <f>7.4428 * CHOOSE(CONTROL!$C$32, $C$9, 100%, $E$9)</f>
        <v>7.4428000000000001</v>
      </c>
      <c r="O452" s="33">
        <f>7.448 * CHOOSE(CONTROL!$C$32, $C$9, 100%, $E$9)</f>
        <v>7.4480000000000004</v>
      </c>
    </row>
    <row r="453" spans="1:15" ht="15" x14ac:dyDescent="0.2">
      <c r="A453" s="16">
        <v>54636</v>
      </c>
      <c r="B453" s="32">
        <f>6.5441 * CHOOSE(CONTROL!$C$32, $C$9, 100%, $E$9)</f>
        <v>6.5441000000000003</v>
      </c>
      <c r="C453" s="32">
        <f>6.5441 * CHOOSE(CONTROL!$C$32, $C$9, 100%, $E$9)</f>
        <v>6.5441000000000003</v>
      </c>
      <c r="D453" s="32">
        <f>6.5457 * CHOOSE(CONTROL!$C$32, $C$9, 100%, $E$9)</f>
        <v>6.5457000000000001</v>
      </c>
      <c r="E453" s="33">
        <f>7.3013 * CHOOSE(CONTROL!$C$32, $C$9, 100%, $E$9)</f>
        <v>7.3013000000000003</v>
      </c>
      <c r="F453" s="33">
        <f>7.3013 * CHOOSE(CONTROL!$C$32, $C$9, 100%, $E$9)</f>
        <v>7.3013000000000003</v>
      </c>
      <c r="G453" s="33">
        <f>7.3066 * CHOOSE(CONTROL!$C$32, $C$9, 100%, $E$9)</f>
        <v>7.3066000000000004</v>
      </c>
      <c r="H453" s="33">
        <f>14.1464 * CHOOSE(CONTROL!$C$32, $C$9, 100%, $E$9)</f>
        <v>14.1464</v>
      </c>
      <c r="I453" s="33">
        <f>14.1517 * CHOOSE(CONTROL!$C$32, $C$9, 100%, $E$9)</f>
        <v>14.1517</v>
      </c>
      <c r="J453" s="33">
        <f>14.1464 * CHOOSE(CONTROL!$C$32, $C$9, 100%, $E$9)</f>
        <v>14.1464</v>
      </c>
      <c r="K453" s="33">
        <f>14.1517 * CHOOSE(CONTROL!$C$32, $C$9, 100%, $E$9)</f>
        <v>14.1517</v>
      </c>
      <c r="L453" s="33">
        <f>7.3013 * CHOOSE(CONTROL!$C$32, $C$9, 100%, $E$9)</f>
        <v>7.3013000000000003</v>
      </c>
      <c r="M453" s="33">
        <f>7.3066 * CHOOSE(CONTROL!$C$32, $C$9, 100%, $E$9)</f>
        <v>7.3066000000000004</v>
      </c>
      <c r="N453" s="33">
        <f>7.3013 * CHOOSE(CONTROL!$C$32, $C$9, 100%, $E$9)</f>
        <v>7.3013000000000003</v>
      </c>
      <c r="O453" s="33">
        <f>7.3066 * CHOOSE(CONTROL!$C$32, $C$9, 100%, $E$9)</f>
        <v>7.3066000000000004</v>
      </c>
    </row>
    <row r="454" spans="1:15" ht="15" x14ac:dyDescent="0.2">
      <c r="A454" s="16">
        <v>54667</v>
      </c>
      <c r="B454" s="32">
        <f>6.541 * CHOOSE(CONTROL!$C$32, $C$9, 100%, $E$9)</f>
        <v>6.5410000000000004</v>
      </c>
      <c r="C454" s="32">
        <f>6.541 * CHOOSE(CONTROL!$C$32, $C$9, 100%, $E$9)</f>
        <v>6.5410000000000004</v>
      </c>
      <c r="D454" s="32">
        <f>6.5426 * CHOOSE(CONTROL!$C$32, $C$9, 100%, $E$9)</f>
        <v>6.5426000000000002</v>
      </c>
      <c r="E454" s="33">
        <f>7.283 * CHOOSE(CONTROL!$C$32, $C$9, 100%, $E$9)</f>
        <v>7.2830000000000004</v>
      </c>
      <c r="F454" s="33">
        <f>7.283 * CHOOSE(CONTROL!$C$32, $C$9, 100%, $E$9)</f>
        <v>7.2830000000000004</v>
      </c>
      <c r="G454" s="33">
        <f>7.2883 * CHOOSE(CONTROL!$C$32, $C$9, 100%, $E$9)</f>
        <v>7.2882999999999996</v>
      </c>
      <c r="H454" s="33">
        <f>14.1759 * CHOOSE(CONTROL!$C$32, $C$9, 100%, $E$9)</f>
        <v>14.1759</v>
      </c>
      <c r="I454" s="33">
        <f>14.1811 * CHOOSE(CONTROL!$C$32, $C$9, 100%, $E$9)</f>
        <v>14.181100000000001</v>
      </c>
      <c r="J454" s="33">
        <f>14.1759 * CHOOSE(CONTROL!$C$32, $C$9, 100%, $E$9)</f>
        <v>14.1759</v>
      </c>
      <c r="K454" s="33">
        <f>14.1811 * CHOOSE(CONTROL!$C$32, $C$9, 100%, $E$9)</f>
        <v>14.181100000000001</v>
      </c>
      <c r="L454" s="33">
        <f>7.283 * CHOOSE(CONTROL!$C$32, $C$9, 100%, $E$9)</f>
        <v>7.2830000000000004</v>
      </c>
      <c r="M454" s="33">
        <f>7.2883 * CHOOSE(CONTROL!$C$32, $C$9, 100%, $E$9)</f>
        <v>7.2882999999999996</v>
      </c>
      <c r="N454" s="33">
        <f>7.283 * CHOOSE(CONTROL!$C$32, $C$9, 100%, $E$9)</f>
        <v>7.2830000000000004</v>
      </c>
      <c r="O454" s="33">
        <f>7.2883 * CHOOSE(CONTROL!$C$32, $C$9, 100%, $E$9)</f>
        <v>7.2882999999999996</v>
      </c>
    </row>
    <row r="455" spans="1:15" ht="15" x14ac:dyDescent="0.2">
      <c r="A455" s="16">
        <v>54697</v>
      </c>
      <c r="B455" s="32">
        <f>6.5456 * CHOOSE(CONTROL!$C$32, $C$9, 100%, $E$9)</f>
        <v>6.5456000000000003</v>
      </c>
      <c r="C455" s="32">
        <f>6.5456 * CHOOSE(CONTROL!$C$32, $C$9, 100%, $E$9)</f>
        <v>6.5456000000000003</v>
      </c>
      <c r="D455" s="32">
        <f>6.5466 * CHOOSE(CONTROL!$C$32, $C$9, 100%, $E$9)</f>
        <v>6.5465999999999998</v>
      </c>
      <c r="E455" s="33">
        <f>7.3345 * CHOOSE(CONTROL!$C$32, $C$9, 100%, $E$9)</f>
        <v>7.3345000000000002</v>
      </c>
      <c r="F455" s="33">
        <f>7.3345 * CHOOSE(CONTROL!$C$32, $C$9, 100%, $E$9)</f>
        <v>7.3345000000000002</v>
      </c>
      <c r="G455" s="33">
        <f>7.3381 * CHOOSE(CONTROL!$C$32, $C$9, 100%, $E$9)</f>
        <v>7.3380999999999998</v>
      </c>
      <c r="H455" s="33">
        <f>14.2054 * CHOOSE(CONTROL!$C$32, $C$9, 100%, $E$9)</f>
        <v>14.205399999999999</v>
      </c>
      <c r="I455" s="33">
        <f>14.209 * CHOOSE(CONTROL!$C$32, $C$9, 100%, $E$9)</f>
        <v>14.209</v>
      </c>
      <c r="J455" s="33">
        <f>14.2054 * CHOOSE(CONTROL!$C$32, $C$9, 100%, $E$9)</f>
        <v>14.205399999999999</v>
      </c>
      <c r="K455" s="33">
        <f>14.209 * CHOOSE(CONTROL!$C$32, $C$9, 100%, $E$9)</f>
        <v>14.209</v>
      </c>
      <c r="L455" s="33">
        <f>7.3345 * CHOOSE(CONTROL!$C$32, $C$9, 100%, $E$9)</f>
        <v>7.3345000000000002</v>
      </c>
      <c r="M455" s="33">
        <f>7.3381 * CHOOSE(CONTROL!$C$32, $C$9, 100%, $E$9)</f>
        <v>7.3380999999999998</v>
      </c>
      <c r="N455" s="33">
        <f>7.3345 * CHOOSE(CONTROL!$C$32, $C$9, 100%, $E$9)</f>
        <v>7.3345000000000002</v>
      </c>
      <c r="O455" s="33">
        <f>7.3381 * CHOOSE(CONTROL!$C$32, $C$9, 100%, $E$9)</f>
        <v>7.3380999999999998</v>
      </c>
    </row>
    <row r="456" spans="1:15" ht="15" x14ac:dyDescent="0.2">
      <c r="A456" s="16">
        <v>54728</v>
      </c>
      <c r="B456" s="32">
        <f>6.5486 * CHOOSE(CONTROL!$C$32, $C$9, 100%, $E$9)</f>
        <v>6.5486000000000004</v>
      </c>
      <c r="C456" s="32">
        <f>6.5486 * CHOOSE(CONTROL!$C$32, $C$9, 100%, $E$9)</f>
        <v>6.5486000000000004</v>
      </c>
      <c r="D456" s="32">
        <f>6.5497 * CHOOSE(CONTROL!$C$32, $C$9, 100%, $E$9)</f>
        <v>6.5496999999999996</v>
      </c>
      <c r="E456" s="33">
        <f>7.3691 * CHOOSE(CONTROL!$C$32, $C$9, 100%, $E$9)</f>
        <v>7.3691000000000004</v>
      </c>
      <c r="F456" s="33">
        <f>7.3691 * CHOOSE(CONTROL!$C$32, $C$9, 100%, $E$9)</f>
        <v>7.3691000000000004</v>
      </c>
      <c r="G456" s="33">
        <f>7.3727 * CHOOSE(CONTROL!$C$32, $C$9, 100%, $E$9)</f>
        <v>7.3727</v>
      </c>
      <c r="H456" s="33">
        <f>14.235 * CHOOSE(CONTROL!$C$32, $C$9, 100%, $E$9)</f>
        <v>14.234999999999999</v>
      </c>
      <c r="I456" s="33">
        <f>14.2386 * CHOOSE(CONTROL!$C$32, $C$9, 100%, $E$9)</f>
        <v>14.2386</v>
      </c>
      <c r="J456" s="33">
        <f>14.235 * CHOOSE(CONTROL!$C$32, $C$9, 100%, $E$9)</f>
        <v>14.234999999999999</v>
      </c>
      <c r="K456" s="33">
        <f>14.2386 * CHOOSE(CONTROL!$C$32, $C$9, 100%, $E$9)</f>
        <v>14.2386</v>
      </c>
      <c r="L456" s="33">
        <f>7.3691 * CHOOSE(CONTROL!$C$32, $C$9, 100%, $E$9)</f>
        <v>7.3691000000000004</v>
      </c>
      <c r="M456" s="33">
        <f>7.3727 * CHOOSE(CONTROL!$C$32, $C$9, 100%, $E$9)</f>
        <v>7.3727</v>
      </c>
      <c r="N456" s="33">
        <f>7.3691 * CHOOSE(CONTROL!$C$32, $C$9, 100%, $E$9)</f>
        <v>7.3691000000000004</v>
      </c>
      <c r="O456" s="33">
        <f>7.3727 * CHOOSE(CONTROL!$C$32, $C$9, 100%, $E$9)</f>
        <v>7.3727</v>
      </c>
    </row>
    <row r="457" spans="1:15" ht="15" x14ac:dyDescent="0.2">
      <c r="A457" s="16">
        <v>54758</v>
      </c>
      <c r="B457" s="32">
        <f>6.5486 * CHOOSE(CONTROL!$C$32, $C$9, 100%, $E$9)</f>
        <v>6.5486000000000004</v>
      </c>
      <c r="C457" s="32">
        <f>6.5486 * CHOOSE(CONTROL!$C$32, $C$9, 100%, $E$9)</f>
        <v>6.5486000000000004</v>
      </c>
      <c r="D457" s="32">
        <f>6.5497 * CHOOSE(CONTROL!$C$32, $C$9, 100%, $E$9)</f>
        <v>6.5496999999999996</v>
      </c>
      <c r="E457" s="33">
        <f>7.2879 * CHOOSE(CONTROL!$C$32, $C$9, 100%, $E$9)</f>
        <v>7.2878999999999996</v>
      </c>
      <c r="F457" s="33">
        <f>7.2879 * CHOOSE(CONTROL!$C$32, $C$9, 100%, $E$9)</f>
        <v>7.2878999999999996</v>
      </c>
      <c r="G457" s="33">
        <f>7.2915 * CHOOSE(CONTROL!$C$32, $C$9, 100%, $E$9)</f>
        <v>7.2915000000000001</v>
      </c>
      <c r="H457" s="33">
        <f>14.2646 * CHOOSE(CONTROL!$C$32, $C$9, 100%, $E$9)</f>
        <v>14.2646</v>
      </c>
      <c r="I457" s="33">
        <f>14.2683 * CHOOSE(CONTROL!$C$32, $C$9, 100%, $E$9)</f>
        <v>14.2683</v>
      </c>
      <c r="J457" s="33">
        <f>14.2646 * CHOOSE(CONTROL!$C$32, $C$9, 100%, $E$9)</f>
        <v>14.2646</v>
      </c>
      <c r="K457" s="33">
        <f>14.2683 * CHOOSE(CONTROL!$C$32, $C$9, 100%, $E$9)</f>
        <v>14.2683</v>
      </c>
      <c r="L457" s="33">
        <f>7.2879 * CHOOSE(CONTROL!$C$32, $C$9, 100%, $E$9)</f>
        <v>7.2878999999999996</v>
      </c>
      <c r="M457" s="33">
        <f>7.2915 * CHOOSE(CONTROL!$C$32, $C$9, 100%, $E$9)</f>
        <v>7.2915000000000001</v>
      </c>
      <c r="N457" s="33">
        <f>7.2879 * CHOOSE(CONTROL!$C$32, $C$9, 100%, $E$9)</f>
        <v>7.2878999999999996</v>
      </c>
      <c r="O457" s="33">
        <f>7.2915 * CHOOSE(CONTROL!$C$32, $C$9, 100%, $E$9)</f>
        <v>7.2915000000000001</v>
      </c>
    </row>
    <row r="458" spans="1:15" ht="15" x14ac:dyDescent="0.2">
      <c r="A458" s="16">
        <v>54789</v>
      </c>
      <c r="B458" s="32">
        <f>6.5983 * CHOOSE(CONTROL!$C$32, $C$9, 100%, $E$9)</f>
        <v>6.5983000000000001</v>
      </c>
      <c r="C458" s="32">
        <f>6.5983 * CHOOSE(CONTROL!$C$32, $C$9, 100%, $E$9)</f>
        <v>6.5983000000000001</v>
      </c>
      <c r="D458" s="32">
        <f>6.5993 * CHOOSE(CONTROL!$C$32, $C$9, 100%, $E$9)</f>
        <v>6.5993000000000004</v>
      </c>
      <c r="E458" s="33">
        <f>7.4077 * CHOOSE(CONTROL!$C$32, $C$9, 100%, $E$9)</f>
        <v>7.4077000000000002</v>
      </c>
      <c r="F458" s="33">
        <f>7.4077 * CHOOSE(CONTROL!$C$32, $C$9, 100%, $E$9)</f>
        <v>7.4077000000000002</v>
      </c>
      <c r="G458" s="33">
        <f>7.4113 * CHOOSE(CONTROL!$C$32, $C$9, 100%, $E$9)</f>
        <v>7.4112999999999998</v>
      </c>
      <c r="H458" s="33">
        <f>14.2944 * CHOOSE(CONTROL!$C$32, $C$9, 100%, $E$9)</f>
        <v>14.2944</v>
      </c>
      <c r="I458" s="33">
        <f>14.298 * CHOOSE(CONTROL!$C$32, $C$9, 100%, $E$9)</f>
        <v>14.298</v>
      </c>
      <c r="J458" s="33">
        <f>14.2944 * CHOOSE(CONTROL!$C$32, $C$9, 100%, $E$9)</f>
        <v>14.2944</v>
      </c>
      <c r="K458" s="33">
        <f>14.298 * CHOOSE(CONTROL!$C$32, $C$9, 100%, $E$9)</f>
        <v>14.298</v>
      </c>
      <c r="L458" s="33">
        <f>7.4077 * CHOOSE(CONTROL!$C$32, $C$9, 100%, $E$9)</f>
        <v>7.4077000000000002</v>
      </c>
      <c r="M458" s="33">
        <f>7.4113 * CHOOSE(CONTROL!$C$32, $C$9, 100%, $E$9)</f>
        <v>7.4112999999999998</v>
      </c>
      <c r="N458" s="33">
        <f>7.4077 * CHOOSE(CONTROL!$C$32, $C$9, 100%, $E$9)</f>
        <v>7.4077000000000002</v>
      </c>
      <c r="O458" s="33">
        <f>7.4113 * CHOOSE(CONTROL!$C$32, $C$9, 100%, $E$9)</f>
        <v>7.4112999999999998</v>
      </c>
    </row>
    <row r="459" spans="1:15" ht="15" x14ac:dyDescent="0.2">
      <c r="A459" s="16">
        <v>54820</v>
      </c>
      <c r="B459" s="32">
        <f>6.5952 * CHOOSE(CONTROL!$C$32, $C$9, 100%, $E$9)</f>
        <v>6.5952000000000002</v>
      </c>
      <c r="C459" s="32">
        <f>6.5952 * CHOOSE(CONTROL!$C$32, $C$9, 100%, $E$9)</f>
        <v>6.5952000000000002</v>
      </c>
      <c r="D459" s="32">
        <f>6.5963 * CHOOSE(CONTROL!$C$32, $C$9, 100%, $E$9)</f>
        <v>6.5963000000000003</v>
      </c>
      <c r="E459" s="33">
        <f>7.2472 * CHOOSE(CONTROL!$C$32, $C$9, 100%, $E$9)</f>
        <v>7.2472000000000003</v>
      </c>
      <c r="F459" s="33">
        <f>7.2472 * CHOOSE(CONTROL!$C$32, $C$9, 100%, $E$9)</f>
        <v>7.2472000000000003</v>
      </c>
      <c r="G459" s="33">
        <f>7.2508 * CHOOSE(CONTROL!$C$32, $C$9, 100%, $E$9)</f>
        <v>7.2507999999999999</v>
      </c>
      <c r="H459" s="33">
        <f>14.3241 * CHOOSE(CONTROL!$C$32, $C$9, 100%, $E$9)</f>
        <v>14.3241</v>
      </c>
      <c r="I459" s="33">
        <f>14.3278 * CHOOSE(CONTROL!$C$32, $C$9, 100%, $E$9)</f>
        <v>14.3278</v>
      </c>
      <c r="J459" s="33">
        <f>14.3241 * CHOOSE(CONTROL!$C$32, $C$9, 100%, $E$9)</f>
        <v>14.3241</v>
      </c>
      <c r="K459" s="33">
        <f>14.3278 * CHOOSE(CONTROL!$C$32, $C$9, 100%, $E$9)</f>
        <v>14.3278</v>
      </c>
      <c r="L459" s="33">
        <f>7.2472 * CHOOSE(CONTROL!$C$32, $C$9, 100%, $E$9)</f>
        <v>7.2472000000000003</v>
      </c>
      <c r="M459" s="33">
        <f>7.2508 * CHOOSE(CONTROL!$C$32, $C$9, 100%, $E$9)</f>
        <v>7.2507999999999999</v>
      </c>
      <c r="N459" s="33">
        <f>7.2472 * CHOOSE(CONTROL!$C$32, $C$9, 100%, $E$9)</f>
        <v>7.2472000000000003</v>
      </c>
      <c r="O459" s="33">
        <f>7.2508 * CHOOSE(CONTROL!$C$32, $C$9, 100%, $E$9)</f>
        <v>7.2507999999999999</v>
      </c>
    </row>
    <row r="460" spans="1:15" ht="15" x14ac:dyDescent="0.2">
      <c r="A460" s="16">
        <v>54848</v>
      </c>
      <c r="B460" s="32">
        <f>6.5922 * CHOOSE(CONTROL!$C$32, $C$9, 100%, $E$9)</f>
        <v>6.5922000000000001</v>
      </c>
      <c r="C460" s="32">
        <f>6.5922 * CHOOSE(CONTROL!$C$32, $C$9, 100%, $E$9)</f>
        <v>6.5922000000000001</v>
      </c>
      <c r="D460" s="32">
        <f>6.5933 * CHOOSE(CONTROL!$C$32, $C$9, 100%, $E$9)</f>
        <v>6.5933000000000002</v>
      </c>
      <c r="E460" s="33">
        <f>7.3699 * CHOOSE(CONTROL!$C$32, $C$9, 100%, $E$9)</f>
        <v>7.3699000000000003</v>
      </c>
      <c r="F460" s="33">
        <f>7.3699 * CHOOSE(CONTROL!$C$32, $C$9, 100%, $E$9)</f>
        <v>7.3699000000000003</v>
      </c>
      <c r="G460" s="33">
        <f>7.3735 * CHOOSE(CONTROL!$C$32, $C$9, 100%, $E$9)</f>
        <v>7.3734999999999999</v>
      </c>
      <c r="H460" s="33">
        <f>14.354 * CHOOSE(CONTROL!$C$32, $C$9, 100%, $E$9)</f>
        <v>14.353999999999999</v>
      </c>
      <c r="I460" s="33">
        <f>14.3576 * CHOOSE(CONTROL!$C$32, $C$9, 100%, $E$9)</f>
        <v>14.3576</v>
      </c>
      <c r="J460" s="33">
        <f>14.354 * CHOOSE(CONTROL!$C$32, $C$9, 100%, $E$9)</f>
        <v>14.353999999999999</v>
      </c>
      <c r="K460" s="33">
        <f>14.3576 * CHOOSE(CONTROL!$C$32, $C$9, 100%, $E$9)</f>
        <v>14.3576</v>
      </c>
      <c r="L460" s="33">
        <f>7.3699 * CHOOSE(CONTROL!$C$32, $C$9, 100%, $E$9)</f>
        <v>7.3699000000000003</v>
      </c>
      <c r="M460" s="33">
        <f>7.3735 * CHOOSE(CONTROL!$C$32, $C$9, 100%, $E$9)</f>
        <v>7.3734999999999999</v>
      </c>
      <c r="N460" s="33">
        <f>7.3699 * CHOOSE(CONTROL!$C$32, $C$9, 100%, $E$9)</f>
        <v>7.3699000000000003</v>
      </c>
      <c r="O460" s="33">
        <f>7.3735 * CHOOSE(CONTROL!$C$32, $C$9, 100%, $E$9)</f>
        <v>7.3734999999999999</v>
      </c>
    </row>
    <row r="461" spans="1:15" ht="15" x14ac:dyDescent="0.2">
      <c r="A461" s="16">
        <v>54879</v>
      </c>
      <c r="B461" s="32">
        <f>6.5923 * CHOOSE(CONTROL!$C$32, $C$9, 100%, $E$9)</f>
        <v>6.5922999999999998</v>
      </c>
      <c r="C461" s="32">
        <f>6.5923 * CHOOSE(CONTROL!$C$32, $C$9, 100%, $E$9)</f>
        <v>6.5922999999999998</v>
      </c>
      <c r="D461" s="32">
        <f>6.5934 * CHOOSE(CONTROL!$C$32, $C$9, 100%, $E$9)</f>
        <v>6.5933999999999999</v>
      </c>
      <c r="E461" s="33">
        <f>7.4998 * CHOOSE(CONTROL!$C$32, $C$9, 100%, $E$9)</f>
        <v>7.4997999999999996</v>
      </c>
      <c r="F461" s="33">
        <f>7.4998 * CHOOSE(CONTROL!$C$32, $C$9, 100%, $E$9)</f>
        <v>7.4997999999999996</v>
      </c>
      <c r="G461" s="33">
        <f>7.5034 * CHOOSE(CONTROL!$C$32, $C$9, 100%, $E$9)</f>
        <v>7.5034000000000001</v>
      </c>
      <c r="H461" s="33">
        <f>14.3839 * CHOOSE(CONTROL!$C$32, $C$9, 100%, $E$9)</f>
        <v>14.383900000000001</v>
      </c>
      <c r="I461" s="33">
        <f>14.3875 * CHOOSE(CONTROL!$C$32, $C$9, 100%, $E$9)</f>
        <v>14.387499999999999</v>
      </c>
      <c r="J461" s="33">
        <f>14.3839 * CHOOSE(CONTROL!$C$32, $C$9, 100%, $E$9)</f>
        <v>14.383900000000001</v>
      </c>
      <c r="K461" s="33">
        <f>14.3875 * CHOOSE(CONTROL!$C$32, $C$9, 100%, $E$9)</f>
        <v>14.387499999999999</v>
      </c>
      <c r="L461" s="33">
        <f>7.4998 * CHOOSE(CONTROL!$C$32, $C$9, 100%, $E$9)</f>
        <v>7.4997999999999996</v>
      </c>
      <c r="M461" s="33">
        <f>7.5034 * CHOOSE(CONTROL!$C$32, $C$9, 100%, $E$9)</f>
        <v>7.5034000000000001</v>
      </c>
      <c r="N461" s="33">
        <f>7.4998 * CHOOSE(CONTROL!$C$32, $C$9, 100%, $E$9)</f>
        <v>7.4997999999999996</v>
      </c>
      <c r="O461" s="33">
        <f>7.5034 * CHOOSE(CONTROL!$C$32, $C$9, 100%, $E$9)</f>
        <v>7.5034000000000001</v>
      </c>
    </row>
    <row r="462" spans="1:15" ht="15" x14ac:dyDescent="0.2">
      <c r="A462" s="16">
        <v>54909</v>
      </c>
      <c r="B462" s="32">
        <f>6.5923 * CHOOSE(CONTROL!$C$32, $C$9, 100%, $E$9)</f>
        <v>6.5922999999999998</v>
      </c>
      <c r="C462" s="32">
        <f>6.5923 * CHOOSE(CONTROL!$C$32, $C$9, 100%, $E$9)</f>
        <v>6.5922999999999998</v>
      </c>
      <c r="D462" s="32">
        <f>6.5939 * CHOOSE(CONTROL!$C$32, $C$9, 100%, $E$9)</f>
        <v>6.5938999999999997</v>
      </c>
      <c r="E462" s="33">
        <f>7.55 * CHOOSE(CONTROL!$C$32, $C$9, 100%, $E$9)</f>
        <v>7.55</v>
      </c>
      <c r="F462" s="33">
        <f>7.55 * CHOOSE(CONTROL!$C$32, $C$9, 100%, $E$9)</f>
        <v>7.55</v>
      </c>
      <c r="G462" s="33">
        <f>7.5553 * CHOOSE(CONTROL!$C$32, $C$9, 100%, $E$9)</f>
        <v>7.5552999999999999</v>
      </c>
      <c r="H462" s="33">
        <f>14.4138 * CHOOSE(CONTROL!$C$32, $C$9, 100%, $E$9)</f>
        <v>14.4138</v>
      </c>
      <c r="I462" s="33">
        <f>14.4191 * CHOOSE(CONTROL!$C$32, $C$9, 100%, $E$9)</f>
        <v>14.4191</v>
      </c>
      <c r="J462" s="33">
        <f>14.4138 * CHOOSE(CONTROL!$C$32, $C$9, 100%, $E$9)</f>
        <v>14.4138</v>
      </c>
      <c r="K462" s="33">
        <f>14.4191 * CHOOSE(CONTROL!$C$32, $C$9, 100%, $E$9)</f>
        <v>14.4191</v>
      </c>
      <c r="L462" s="33">
        <f>7.55 * CHOOSE(CONTROL!$C$32, $C$9, 100%, $E$9)</f>
        <v>7.55</v>
      </c>
      <c r="M462" s="33">
        <f>7.5553 * CHOOSE(CONTROL!$C$32, $C$9, 100%, $E$9)</f>
        <v>7.5552999999999999</v>
      </c>
      <c r="N462" s="33">
        <f>7.55 * CHOOSE(CONTROL!$C$32, $C$9, 100%, $E$9)</f>
        <v>7.55</v>
      </c>
      <c r="O462" s="33">
        <f>7.5553 * CHOOSE(CONTROL!$C$32, $C$9, 100%, $E$9)</f>
        <v>7.5552999999999999</v>
      </c>
    </row>
    <row r="463" spans="1:15" ht="15" x14ac:dyDescent="0.2">
      <c r="A463" s="16">
        <v>54940</v>
      </c>
      <c r="B463" s="32">
        <f>6.5984 * CHOOSE(CONTROL!$C$32, $C$9, 100%, $E$9)</f>
        <v>6.5983999999999998</v>
      </c>
      <c r="C463" s="32">
        <f>6.5984 * CHOOSE(CONTROL!$C$32, $C$9, 100%, $E$9)</f>
        <v>6.5983999999999998</v>
      </c>
      <c r="D463" s="32">
        <f>6.6 * CHOOSE(CONTROL!$C$32, $C$9, 100%, $E$9)</f>
        <v>6.6</v>
      </c>
      <c r="E463" s="33">
        <f>7.504 * CHOOSE(CONTROL!$C$32, $C$9, 100%, $E$9)</f>
        <v>7.5039999999999996</v>
      </c>
      <c r="F463" s="33">
        <f>7.504 * CHOOSE(CONTROL!$C$32, $C$9, 100%, $E$9)</f>
        <v>7.5039999999999996</v>
      </c>
      <c r="G463" s="33">
        <f>7.5093 * CHOOSE(CONTROL!$C$32, $C$9, 100%, $E$9)</f>
        <v>7.5092999999999996</v>
      </c>
      <c r="H463" s="33">
        <f>14.4439 * CHOOSE(CONTROL!$C$32, $C$9, 100%, $E$9)</f>
        <v>14.443899999999999</v>
      </c>
      <c r="I463" s="33">
        <f>14.4492 * CHOOSE(CONTROL!$C$32, $C$9, 100%, $E$9)</f>
        <v>14.449199999999999</v>
      </c>
      <c r="J463" s="33">
        <f>14.4439 * CHOOSE(CONTROL!$C$32, $C$9, 100%, $E$9)</f>
        <v>14.443899999999999</v>
      </c>
      <c r="K463" s="33">
        <f>14.4492 * CHOOSE(CONTROL!$C$32, $C$9, 100%, $E$9)</f>
        <v>14.449199999999999</v>
      </c>
      <c r="L463" s="33">
        <f>7.504 * CHOOSE(CONTROL!$C$32, $C$9, 100%, $E$9)</f>
        <v>7.5039999999999996</v>
      </c>
      <c r="M463" s="33">
        <f>7.5093 * CHOOSE(CONTROL!$C$32, $C$9, 100%, $E$9)</f>
        <v>7.5092999999999996</v>
      </c>
      <c r="N463" s="33">
        <f>7.504 * CHOOSE(CONTROL!$C$32, $C$9, 100%, $E$9)</f>
        <v>7.5039999999999996</v>
      </c>
      <c r="O463" s="33">
        <f>7.5093 * CHOOSE(CONTROL!$C$32, $C$9, 100%, $E$9)</f>
        <v>7.5092999999999996</v>
      </c>
    </row>
    <row r="464" spans="1:15" ht="15" x14ac:dyDescent="0.2">
      <c r="A464" s="16">
        <v>54970</v>
      </c>
      <c r="B464" s="32">
        <f>6.6855 * CHOOSE(CONTROL!$C$32, $C$9, 100%, $E$9)</f>
        <v>6.6855000000000002</v>
      </c>
      <c r="C464" s="32">
        <f>6.6855 * CHOOSE(CONTROL!$C$32, $C$9, 100%, $E$9)</f>
        <v>6.6855000000000002</v>
      </c>
      <c r="D464" s="32">
        <f>6.6871 * CHOOSE(CONTROL!$C$32, $C$9, 100%, $E$9)</f>
        <v>6.6871</v>
      </c>
      <c r="E464" s="33">
        <f>7.6081 * CHOOSE(CONTROL!$C$32, $C$9, 100%, $E$9)</f>
        <v>7.6081000000000003</v>
      </c>
      <c r="F464" s="33">
        <f>7.6081 * CHOOSE(CONTROL!$C$32, $C$9, 100%, $E$9)</f>
        <v>7.6081000000000003</v>
      </c>
      <c r="G464" s="33">
        <f>7.6134 * CHOOSE(CONTROL!$C$32, $C$9, 100%, $E$9)</f>
        <v>7.6134000000000004</v>
      </c>
      <c r="H464" s="33">
        <f>14.474 * CHOOSE(CONTROL!$C$32, $C$9, 100%, $E$9)</f>
        <v>14.474</v>
      </c>
      <c r="I464" s="33">
        <f>14.4793 * CHOOSE(CONTROL!$C$32, $C$9, 100%, $E$9)</f>
        <v>14.4793</v>
      </c>
      <c r="J464" s="33">
        <f>14.474 * CHOOSE(CONTROL!$C$32, $C$9, 100%, $E$9)</f>
        <v>14.474</v>
      </c>
      <c r="K464" s="33">
        <f>14.4793 * CHOOSE(CONTROL!$C$32, $C$9, 100%, $E$9)</f>
        <v>14.4793</v>
      </c>
      <c r="L464" s="33">
        <f>7.6081 * CHOOSE(CONTROL!$C$32, $C$9, 100%, $E$9)</f>
        <v>7.6081000000000003</v>
      </c>
      <c r="M464" s="33">
        <f>7.6134 * CHOOSE(CONTROL!$C$32, $C$9, 100%, $E$9)</f>
        <v>7.6134000000000004</v>
      </c>
      <c r="N464" s="33">
        <f>7.6081 * CHOOSE(CONTROL!$C$32, $C$9, 100%, $E$9)</f>
        <v>7.6081000000000003</v>
      </c>
      <c r="O464" s="33">
        <f>7.6134 * CHOOSE(CONTROL!$C$32, $C$9, 100%, $E$9)</f>
        <v>7.6134000000000004</v>
      </c>
    </row>
    <row r="465" spans="1:15" ht="15" x14ac:dyDescent="0.2">
      <c r="A465" s="16">
        <v>55001</v>
      </c>
      <c r="B465" s="32">
        <f>6.6922 * CHOOSE(CONTROL!$C$32, $C$9, 100%, $E$9)</f>
        <v>6.6921999999999997</v>
      </c>
      <c r="C465" s="32">
        <f>6.6922 * CHOOSE(CONTROL!$C$32, $C$9, 100%, $E$9)</f>
        <v>6.6921999999999997</v>
      </c>
      <c r="D465" s="32">
        <f>6.6937 * CHOOSE(CONTROL!$C$32, $C$9, 100%, $E$9)</f>
        <v>6.6936999999999998</v>
      </c>
      <c r="E465" s="33">
        <f>7.4619 * CHOOSE(CONTROL!$C$32, $C$9, 100%, $E$9)</f>
        <v>7.4619</v>
      </c>
      <c r="F465" s="33">
        <f>7.4619 * CHOOSE(CONTROL!$C$32, $C$9, 100%, $E$9)</f>
        <v>7.4619</v>
      </c>
      <c r="G465" s="33">
        <f>7.4672 * CHOOSE(CONTROL!$C$32, $C$9, 100%, $E$9)</f>
        <v>7.4672000000000001</v>
      </c>
      <c r="H465" s="33">
        <f>14.5041 * CHOOSE(CONTROL!$C$32, $C$9, 100%, $E$9)</f>
        <v>14.504099999999999</v>
      </c>
      <c r="I465" s="33">
        <f>14.5094 * CHOOSE(CONTROL!$C$32, $C$9, 100%, $E$9)</f>
        <v>14.509399999999999</v>
      </c>
      <c r="J465" s="33">
        <f>14.5041 * CHOOSE(CONTROL!$C$32, $C$9, 100%, $E$9)</f>
        <v>14.504099999999999</v>
      </c>
      <c r="K465" s="33">
        <f>14.5094 * CHOOSE(CONTROL!$C$32, $C$9, 100%, $E$9)</f>
        <v>14.509399999999999</v>
      </c>
      <c r="L465" s="33">
        <f>7.4619 * CHOOSE(CONTROL!$C$32, $C$9, 100%, $E$9)</f>
        <v>7.4619</v>
      </c>
      <c r="M465" s="33">
        <f>7.4672 * CHOOSE(CONTROL!$C$32, $C$9, 100%, $E$9)</f>
        <v>7.4672000000000001</v>
      </c>
      <c r="N465" s="33">
        <f>7.4619 * CHOOSE(CONTROL!$C$32, $C$9, 100%, $E$9)</f>
        <v>7.4619</v>
      </c>
      <c r="O465" s="33">
        <f>7.4672 * CHOOSE(CONTROL!$C$32, $C$9, 100%, $E$9)</f>
        <v>7.4672000000000001</v>
      </c>
    </row>
    <row r="466" spans="1:15" ht="15" x14ac:dyDescent="0.2">
      <c r="A466" s="16">
        <v>55032</v>
      </c>
      <c r="B466" s="32">
        <f>6.6891 * CHOOSE(CONTROL!$C$32, $C$9, 100%, $E$9)</f>
        <v>6.6890999999999998</v>
      </c>
      <c r="C466" s="32">
        <f>6.6891 * CHOOSE(CONTROL!$C$32, $C$9, 100%, $E$9)</f>
        <v>6.6890999999999998</v>
      </c>
      <c r="D466" s="32">
        <f>6.6907 * CHOOSE(CONTROL!$C$32, $C$9, 100%, $E$9)</f>
        <v>6.6906999999999996</v>
      </c>
      <c r="E466" s="33">
        <f>7.443 * CHOOSE(CONTROL!$C$32, $C$9, 100%, $E$9)</f>
        <v>7.4429999999999996</v>
      </c>
      <c r="F466" s="33">
        <f>7.443 * CHOOSE(CONTROL!$C$32, $C$9, 100%, $E$9)</f>
        <v>7.4429999999999996</v>
      </c>
      <c r="G466" s="33">
        <f>7.4483 * CHOOSE(CONTROL!$C$32, $C$9, 100%, $E$9)</f>
        <v>7.4482999999999997</v>
      </c>
      <c r="H466" s="33">
        <f>14.5343 * CHOOSE(CONTROL!$C$32, $C$9, 100%, $E$9)</f>
        <v>14.5343</v>
      </c>
      <c r="I466" s="33">
        <f>14.5396 * CHOOSE(CONTROL!$C$32, $C$9, 100%, $E$9)</f>
        <v>14.5396</v>
      </c>
      <c r="J466" s="33">
        <f>14.5343 * CHOOSE(CONTROL!$C$32, $C$9, 100%, $E$9)</f>
        <v>14.5343</v>
      </c>
      <c r="K466" s="33">
        <f>14.5396 * CHOOSE(CONTROL!$C$32, $C$9, 100%, $E$9)</f>
        <v>14.5396</v>
      </c>
      <c r="L466" s="33">
        <f>7.443 * CHOOSE(CONTROL!$C$32, $C$9, 100%, $E$9)</f>
        <v>7.4429999999999996</v>
      </c>
      <c r="M466" s="33">
        <f>7.4483 * CHOOSE(CONTROL!$C$32, $C$9, 100%, $E$9)</f>
        <v>7.4482999999999997</v>
      </c>
      <c r="N466" s="33">
        <f>7.443 * CHOOSE(CONTROL!$C$32, $C$9, 100%, $E$9)</f>
        <v>7.4429999999999996</v>
      </c>
      <c r="O466" s="33">
        <f>7.4483 * CHOOSE(CONTROL!$C$32, $C$9, 100%, $E$9)</f>
        <v>7.4482999999999997</v>
      </c>
    </row>
    <row r="467" spans="1:15" ht="15" x14ac:dyDescent="0.2">
      <c r="A467" s="16">
        <v>55062</v>
      </c>
      <c r="B467" s="32">
        <f>6.6942 * CHOOSE(CONTROL!$C$32, $C$9, 100%, $E$9)</f>
        <v>6.6942000000000004</v>
      </c>
      <c r="C467" s="32">
        <f>6.6942 * CHOOSE(CONTROL!$C$32, $C$9, 100%, $E$9)</f>
        <v>6.6942000000000004</v>
      </c>
      <c r="D467" s="32">
        <f>6.6953 * CHOOSE(CONTROL!$C$32, $C$9, 100%, $E$9)</f>
        <v>6.6952999999999996</v>
      </c>
      <c r="E467" s="33">
        <f>7.4966 * CHOOSE(CONTROL!$C$32, $C$9, 100%, $E$9)</f>
        <v>7.4965999999999999</v>
      </c>
      <c r="F467" s="33">
        <f>7.4966 * CHOOSE(CONTROL!$C$32, $C$9, 100%, $E$9)</f>
        <v>7.4965999999999999</v>
      </c>
      <c r="G467" s="33">
        <f>7.5002 * CHOOSE(CONTROL!$C$32, $C$9, 100%, $E$9)</f>
        <v>7.5002000000000004</v>
      </c>
      <c r="H467" s="33">
        <f>14.5646 * CHOOSE(CONTROL!$C$32, $C$9, 100%, $E$9)</f>
        <v>14.5646</v>
      </c>
      <c r="I467" s="33">
        <f>14.5682 * CHOOSE(CONTROL!$C$32, $C$9, 100%, $E$9)</f>
        <v>14.568199999999999</v>
      </c>
      <c r="J467" s="33">
        <f>14.5646 * CHOOSE(CONTROL!$C$32, $C$9, 100%, $E$9)</f>
        <v>14.5646</v>
      </c>
      <c r="K467" s="33">
        <f>14.5682 * CHOOSE(CONTROL!$C$32, $C$9, 100%, $E$9)</f>
        <v>14.568199999999999</v>
      </c>
      <c r="L467" s="33">
        <f>7.4966 * CHOOSE(CONTROL!$C$32, $C$9, 100%, $E$9)</f>
        <v>7.4965999999999999</v>
      </c>
      <c r="M467" s="33">
        <f>7.5002 * CHOOSE(CONTROL!$C$32, $C$9, 100%, $E$9)</f>
        <v>7.5002000000000004</v>
      </c>
      <c r="N467" s="33">
        <f>7.4966 * CHOOSE(CONTROL!$C$32, $C$9, 100%, $E$9)</f>
        <v>7.4965999999999999</v>
      </c>
      <c r="O467" s="33">
        <f>7.5002 * CHOOSE(CONTROL!$C$32, $C$9, 100%, $E$9)</f>
        <v>7.5002000000000004</v>
      </c>
    </row>
    <row r="468" spans="1:15" ht="15" x14ac:dyDescent="0.2">
      <c r="A468" s="16">
        <v>55093</v>
      </c>
      <c r="B468" s="32">
        <f>6.6972 * CHOOSE(CONTROL!$C$32, $C$9, 100%, $E$9)</f>
        <v>6.6971999999999996</v>
      </c>
      <c r="C468" s="32">
        <f>6.6972 * CHOOSE(CONTROL!$C$32, $C$9, 100%, $E$9)</f>
        <v>6.6971999999999996</v>
      </c>
      <c r="D468" s="32">
        <f>6.6983 * CHOOSE(CONTROL!$C$32, $C$9, 100%, $E$9)</f>
        <v>6.6982999999999997</v>
      </c>
      <c r="E468" s="33">
        <f>7.5323 * CHOOSE(CONTROL!$C$32, $C$9, 100%, $E$9)</f>
        <v>7.5323000000000002</v>
      </c>
      <c r="F468" s="33">
        <f>7.5323 * CHOOSE(CONTROL!$C$32, $C$9, 100%, $E$9)</f>
        <v>7.5323000000000002</v>
      </c>
      <c r="G468" s="33">
        <f>7.5359 * CHOOSE(CONTROL!$C$32, $C$9, 100%, $E$9)</f>
        <v>7.5358999999999998</v>
      </c>
      <c r="H468" s="33">
        <f>14.595 * CHOOSE(CONTROL!$C$32, $C$9, 100%, $E$9)</f>
        <v>14.595000000000001</v>
      </c>
      <c r="I468" s="33">
        <f>14.5986 * CHOOSE(CONTROL!$C$32, $C$9, 100%, $E$9)</f>
        <v>14.598599999999999</v>
      </c>
      <c r="J468" s="33">
        <f>14.595 * CHOOSE(CONTROL!$C$32, $C$9, 100%, $E$9)</f>
        <v>14.595000000000001</v>
      </c>
      <c r="K468" s="33">
        <f>14.5986 * CHOOSE(CONTROL!$C$32, $C$9, 100%, $E$9)</f>
        <v>14.598599999999999</v>
      </c>
      <c r="L468" s="33">
        <f>7.5323 * CHOOSE(CONTROL!$C$32, $C$9, 100%, $E$9)</f>
        <v>7.5323000000000002</v>
      </c>
      <c r="M468" s="33">
        <f>7.5359 * CHOOSE(CONTROL!$C$32, $C$9, 100%, $E$9)</f>
        <v>7.5358999999999998</v>
      </c>
      <c r="N468" s="33">
        <f>7.5323 * CHOOSE(CONTROL!$C$32, $C$9, 100%, $E$9)</f>
        <v>7.5323000000000002</v>
      </c>
      <c r="O468" s="33">
        <f>7.5359 * CHOOSE(CONTROL!$C$32, $C$9, 100%, $E$9)</f>
        <v>7.5358999999999998</v>
      </c>
    </row>
    <row r="469" spans="1:15" ht="15" x14ac:dyDescent="0.2">
      <c r="A469" s="16">
        <v>55123</v>
      </c>
      <c r="B469" s="32">
        <f>6.6972 * CHOOSE(CONTROL!$C$32, $C$9, 100%, $E$9)</f>
        <v>6.6971999999999996</v>
      </c>
      <c r="C469" s="32">
        <f>6.6972 * CHOOSE(CONTROL!$C$32, $C$9, 100%, $E$9)</f>
        <v>6.6971999999999996</v>
      </c>
      <c r="D469" s="32">
        <f>6.6983 * CHOOSE(CONTROL!$C$32, $C$9, 100%, $E$9)</f>
        <v>6.6982999999999997</v>
      </c>
      <c r="E469" s="33">
        <f>7.4485 * CHOOSE(CONTROL!$C$32, $C$9, 100%, $E$9)</f>
        <v>7.4485000000000001</v>
      </c>
      <c r="F469" s="33">
        <f>7.4485 * CHOOSE(CONTROL!$C$32, $C$9, 100%, $E$9)</f>
        <v>7.4485000000000001</v>
      </c>
      <c r="G469" s="33">
        <f>7.4521 * CHOOSE(CONTROL!$C$32, $C$9, 100%, $E$9)</f>
        <v>7.4520999999999997</v>
      </c>
      <c r="H469" s="33">
        <f>14.6254 * CHOOSE(CONTROL!$C$32, $C$9, 100%, $E$9)</f>
        <v>14.625400000000001</v>
      </c>
      <c r="I469" s="33">
        <f>14.629 * CHOOSE(CONTROL!$C$32, $C$9, 100%, $E$9)</f>
        <v>14.629</v>
      </c>
      <c r="J469" s="33">
        <f>14.6254 * CHOOSE(CONTROL!$C$32, $C$9, 100%, $E$9)</f>
        <v>14.625400000000001</v>
      </c>
      <c r="K469" s="33">
        <f>14.629 * CHOOSE(CONTROL!$C$32, $C$9, 100%, $E$9)</f>
        <v>14.629</v>
      </c>
      <c r="L469" s="33">
        <f>7.4485 * CHOOSE(CONTROL!$C$32, $C$9, 100%, $E$9)</f>
        <v>7.4485000000000001</v>
      </c>
      <c r="M469" s="33">
        <f>7.4521 * CHOOSE(CONTROL!$C$32, $C$9, 100%, $E$9)</f>
        <v>7.4520999999999997</v>
      </c>
      <c r="N469" s="33">
        <f>7.4485 * CHOOSE(CONTROL!$C$32, $C$9, 100%, $E$9)</f>
        <v>7.4485000000000001</v>
      </c>
      <c r="O469" s="33">
        <f>7.4521 * CHOOSE(CONTROL!$C$32, $C$9, 100%, $E$9)</f>
        <v>7.4520999999999997</v>
      </c>
    </row>
    <row r="470" spans="1:15" ht="15" x14ac:dyDescent="0.2">
      <c r="A470" s="16">
        <v>55154</v>
      </c>
      <c r="B470" s="32">
        <f>6.7479 * CHOOSE(CONTROL!$C$32, $C$9, 100%, $E$9)</f>
        <v>6.7478999999999996</v>
      </c>
      <c r="C470" s="32">
        <f>6.7479 * CHOOSE(CONTROL!$C$32, $C$9, 100%, $E$9)</f>
        <v>6.7478999999999996</v>
      </c>
      <c r="D470" s="32">
        <f>6.749 * CHOOSE(CONTROL!$C$32, $C$9, 100%, $E$9)</f>
        <v>6.7489999999999997</v>
      </c>
      <c r="E470" s="33">
        <f>7.571 * CHOOSE(CONTROL!$C$32, $C$9, 100%, $E$9)</f>
        <v>7.5709999999999997</v>
      </c>
      <c r="F470" s="33">
        <f>7.571 * CHOOSE(CONTROL!$C$32, $C$9, 100%, $E$9)</f>
        <v>7.5709999999999997</v>
      </c>
      <c r="G470" s="33">
        <f>7.5746 * CHOOSE(CONTROL!$C$32, $C$9, 100%, $E$9)</f>
        <v>7.5746000000000002</v>
      </c>
      <c r="H470" s="33">
        <f>14.6558 * CHOOSE(CONTROL!$C$32, $C$9, 100%, $E$9)</f>
        <v>14.655799999999999</v>
      </c>
      <c r="I470" s="33">
        <f>14.6595 * CHOOSE(CONTROL!$C$32, $C$9, 100%, $E$9)</f>
        <v>14.6595</v>
      </c>
      <c r="J470" s="33">
        <f>14.6558 * CHOOSE(CONTROL!$C$32, $C$9, 100%, $E$9)</f>
        <v>14.655799999999999</v>
      </c>
      <c r="K470" s="33">
        <f>14.6595 * CHOOSE(CONTROL!$C$32, $C$9, 100%, $E$9)</f>
        <v>14.6595</v>
      </c>
      <c r="L470" s="33">
        <f>7.571 * CHOOSE(CONTROL!$C$32, $C$9, 100%, $E$9)</f>
        <v>7.5709999999999997</v>
      </c>
      <c r="M470" s="33">
        <f>7.5746 * CHOOSE(CONTROL!$C$32, $C$9, 100%, $E$9)</f>
        <v>7.5746000000000002</v>
      </c>
      <c r="N470" s="33">
        <f>7.571 * CHOOSE(CONTROL!$C$32, $C$9, 100%, $E$9)</f>
        <v>7.5709999999999997</v>
      </c>
      <c r="O470" s="33">
        <f>7.5746 * CHOOSE(CONTROL!$C$32, $C$9, 100%, $E$9)</f>
        <v>7.5746000000000002</v>
      </c>
    </row>
    <row r="471" spans="1:15" ht="15" x14ac:dyDescent="0.2">
      <c r="A471" s="16">
        <v>55185</v>
      </c>
      <c r="B471" s="32">
        <f>6.7449 * CHOOSE(CONTROL!$C$32, $C$9, 100%, $E$9)</f>
        <v>6.7449000000000003</v>
      </c>
      <c r="C471" s="32">
        <f>6.7449 * CHOOSE(CONTROL!$C$32, $C$9, 100%, $E$9)</f>
        <v>6.7449000000000003</v>
      </c>
      <c r="D471" s="32">
        <f>6.746 * CHOOSE(CONTROL!$C$32, $C$9, 100%, $E$9)</f>
        <v>6.7460000000000004</v>
      </c>
      <c r="E471" s="33">
        <f>7.4053 * CHOOSE(CONTROL!$C$32, $C$9, 100%, $E$9)</f>
        <v>7.4053000000000004</v>
      </c>
      <c r="F471" s="33">
        <f>7.4053 * CHOOSE(CONTROL!$C$32, $C$9, 100%, $E$9)</f>
        <v>7.4053000000000004</v>
      </c>
      <c r="G471" s="33">
        <f>7.409 * CHOOSE(CONTROL!$C$32, $C$9, 100%, $E$9)</f>
        <v>7.4089999999999998</v>
      </c>
      <c r="H471" s="33">
        <f>14.6864 * CHOOSE(CONTROL!$C$32, $C$9, 100%, $E$9)</f>
        <v>14.686400000000001</v>
      </c>
      <c r="I471" s="33">
        <f>14.69 * CHOOSE(CONTROL!$C$32, $C$9, 100%, $E$9)</f>
        <v>14.69</v>
      </c>
      <c r="J471" s="33">
        <f>14.6864 * CHOOSE(CONTROL!$C$32, $C$9, 100%, $E$9)</f>
        <v>14.686400000000001</v>
      </c>
      <c r="K471" s="33">
        <f>14.69 * CHOOSE(CONTROL!$C$32, $C$9, 100%, $E$9)</f>
        <v>14.69</v>
      </c>
      <c r="L471" s="33">
        <f>7.4053 * CHOOSE(CONTROL!$C$32, $C$9, 100%, $E$9)</f>
        <v>7.4053000000000004</v>
      </c>
      <c r="M471" s="33">
        <f>7.409 * CHOOSE(CONTROL!$C$32, $C$9, 100%, $E$9)</f>
        <v>7.4089999999999998</v>
      </c>
      <c r="N471" s="33">
        <f>7.4053 * CHOOSE(CONTROL!$C$32, $C$9, 100%, $E$9)</f>
        <v>7.4053000000000004</v>
      </c>
      <c r="O471" s="33">
        <f>7.409 * CHOOSE(CONTROL!$C$32, $C$9, 100%, $E$9)</f>
        <v>7.4089999999999998</v>
      </c>
    </row>
    <row r="472" spans="1:15" ht="15" x14ac:dyDescent="0.2">
      <c r="A472" s="16">
        <v>55213</v>
      </c>
      <c r="B472" s="32">
        <f>6.7418 * CHOOSE(CONTROL!$C$32, $C$9, 100%, $E$9)</f>
        <v>6.7417999999999996</v>
      </c>
      <c r="C472" s="32">
        <f>6.7418 * CHOOSE(CONTROL!$C$32, $C$9, 100%, $E$9)</f>
        <v>6.7417999999999996</v>
      </c>
      <c r="D472" s="32">
        <f>6.7429 * CHOOSE(CONTROL!$C$32, $C$9, 100%, $E$9)</f>
        <v>6.7428999999999997</v>
      </c>
      <c r="E472" s="33">
        <f>7.5321 * CHOOSE(CONTROL!$C$32, $C$9, 100%, $E$9)</f>
        <v>7.5320999999999998</v>
      </c>
      <c r="F472" s="33">
        <f>7.5321 * CHOOSE(CONTROL!$C$32, $C$9, 100%, $E$9)</f>
        <v>7.5320999999999998</v>
      </c>
      <c r="G472" s="33">
        <f>7.5357 * CHOOSE(CONTROL!$C$32, $C$9, 100%, $E$9)</f>
        <v>7.5357000000000003</v>
      </c>
      <c r="H472" s="33">
        <f>14.717 * CHOOSE(CONTROL!$C$32, $C$9, 100%, $E$9)</f>
        <v>14.717000000000001</v>
      </c>
      <c r="I472" s="33">
        <f>14.7206 * CHOOSE(CONTROL!$C$32, $C$9, 100%, $E$9)</f>
        <v>14.720599999999999</v>
      </c>
      <c r="J472" s="33">
        <f>14.717 * CHOOSE(CONTROL!$C$32, $C$9, 100%, $E$9)</f>
        <v>14.717000000000001</v>
      </c>
      <c r="K472" s="33">
        <f>14.7206 * CHOOSE(CONTROL!$C$32, $C$9, 100%, $E$9)</f>
        <v>14.720599999999999</v>
      </c>
      <c r="L472" s="33">
        <f>7.5321 * CHOOSE(CONTROL!$C$32, $C$9, 100%, $E$9)</f>
        <v>7.5320999999999998</v>
      </c>
      <c r="M472" s="33">
        <f>7.5357 * CHOOSE(CONTROL!$C$32, $C$9, 100%, $E$9)</f>
        <v>7.5357000000000003</v>
      </c>
      <c r="N472" s="33">
        <f>7.5321 * CHOOSE(CONTROL!$C$32, $C$9, 100%, $E$9)</f>
        <v>7.5320999999999998</v>
      </c>
      <c r="O472" s="33">
        <f>7.5357 * CHOOSE(CONTROL!$C$32, $C$9, 100%, $E$9)</f>
        <v>7.5357000000000003</v>
      </c>
    </row>
    <row r="473" spans="1:15" ht="15" x14ac:dyDescent="0.2">
      <c r="A473" s="16">
        <v>55244</v>
      </c>
      <c r="B473" s="32">
        <f>6.7421 * CHOOSE(CONTROL!$C$32, $C$9, 100%, $E$9)</f>
        <v>6.7420999999999998</v>
      </c>
      <c r="C473" s="32">
        <f>6.7421 * CHOOSE(CONTROL!$C$32, $C$9, 100%, $E$9)</f>
        <v>6.7420999999999998</v>
      </c>
      <c r="D473" s="32">
        <f>6.7432 * CHOOSE(CONTROL!$C$32, $C$9, 100%, $E$9)</f>
        <v>6.7431999999999999</v>
      </c>
      <c r="E473" s="33">
        <f>7.6663 * CHOOSE(CONTROL!$C$32, $C$9, 100%, $E$9)</f>
        <v>7.6662999999999997</v>
      </c>
      <c r="F473" s="33">
        <f>7.6663 * CHOOSE(CONTROL!$C$32, $C$9, 100%, $E$9)</f>
        <v>7.6662999999999997</v>
      </c>
      <c r="G473" s="33">
        <f>7.6699 * CHOOSE(CONTROL!$C$32, $C$9, 100%, $E$9)</f>
        <v>7.6699000000000002</v>
      </c>
      <c r="H473" s="33">
        <f>14.7476 * CHOOSE(CONTROL!$C$32, $C$9, 100%, $E$9)</f>
        <v>14.7476</v>
      </c>
      <c r="I473" s="33">
        <f>14.7512 * CHOOSE(CONTROL!$C$32, $C$9, 100%, $E$9)</f>
        <v>14.751200000000001</v>
      </c>
      <c r="J473" s="33">
        <f>14.7476 * CHOOSE(CONTROL!$C$32, $C$9, 100%, $E$9)</f>
        <v>14.7476</v>
      </c>
      <c r="K473" s="33">
        <f>14.7512 * CHOOSE(CONTROL!$C$32, $C$9, 100%, $E$9)</f>
        <v>14.751200000000001</v>
      </c>
      <c r="L473" s="33">
        <f>7.6663 * CHOOSE(CONTROL!$C$32, $C$9, 100%, $E$9)</f>
        <v>7.6662999999999997</v>
      </c>
      <c r="M473" s="33">
        <f>7.6699 * CHOOSE(CONTROL!$C$32, $C$9, 100%, $E$9)</f>
        <v>7.6699000000000002</v>
      </c>
      <c r="N473" s="33">
        <f>7.6663 * CHOOSE(CONTROL!$C$32, $C$9, 100%, $E$9)</f>
        <v>7.6662999999999997</v>
      </c>
      <c r="O473" s="33">
        <f>7.6699 * CHOOSE(CONTROL!$C$32, $C$9, 100%, $E$9)</f>
        <v>7.6699000000000002</v>
      </c>
    </row>
    <row r="474" spans="1:15" ht="15" x14ac:dyDescent="0.2">
      <c r="A474" s="16">
        <v>55274</v>
      </c>
      <c r="B474" s="32">
        <f>6.7421 * CHOOSE(CONTROL!$C$32, $C$9, 100%, $E$9)</f>
        <v>6.7420999999999998</v>
      </c>
      <c r="C474" s="32">
        <f>6.7421 * CHOOSE(CONTROL!$C$32, $C$9, 100%, $E$9)</f>
        <v>6.7420999999999998</v>
      </c>
      <c r="D474" s="32">
        <f>6.7437 * CHOOSE(CONTROL!$C$32, $C$9, 100%, $E$9)</f>
        <v>6.7436999999999996</v>
      </c>
      <c r="E474" s="33">
        <f>7.7182 * CHOOSE(CONTROL!$C$32, $C$9, 100%, $E$9)</f>
        <v>7.7182000000000004</v>
      </c>
      <c r="F474" s="33">
        <f>7.7182 * CHOOSE(CONTROL!$C$32, $C$9, 100%, $E$9)</f>
        <v>7.7182000000000004</v>
      </c>
      <c r="G474" s="33">
        <f>7.7235 * CHOOSE(CONTROL!$C$32, $C$9, 100%, $E$9)</f>
        <v>7.7234999999999996</v>
      </c>
      <c r="H474" s="33">
        <f>14.7783 * CHOOSE(CONTROL!$C$32, $C$9, 100%, $E$9)</f>
        <v>14.7783</v>
      </c>
      <c r="I474" s="33">
        <f>14.7836 * CHOOSE(CONTROL!$C$32, $C$9, 100%, $E$9)</f>
        <v>14.7836</v>
      </c>
      <c r="J474" s="33">
        <f>14.7783 * CHOOSE(CONTROL!$C$32, $C$9, 100%, $E$9)</f>
        <v>14.7783</v>
      </c>
      <c r="K474" s="33">
        <f>14.7836 * CHOOSE(CONTROL!$C$32, $C$9, 100%, $E$9)</f>
        <v>14.7836</v>
      </c>
      <c r="L474" s="33">
        <f>7.7182 * CHOOSE(CONTROL!$C$32, $C$9, 100%, $E$9)</f>
        <v>7.7182000000000004</v>
      </c>
      <c r="M474" s="33">
        <f>7.7235 * CHOOSE(CONTROL!$C$32, $C$9, 100%, $E$9)</f>
        <v>7.7234999999999996</v>
      </c>
      <c r="N474" s="33">
        <f>7.7182 * CHOOSE(CONTROL!$C$32, $C$9, 100%, $E$9)</f>
        <v>7.7182000000000004</v>
      </c>
      <c r="O474" s="33">
        <f>7.7235 * CHOOSE(CONTROL!$C$32, $C$9, 100%, $E$9)</f>
        <v>7.7234999999999996</v>
      </c>
    </row>
    <row r="475" spans="1:15" ht="15" x14ac:dyDescent="0.2">
      <c r="A475" s="16">
        <v>55305</v>
      </c>
      <c r="B475" s="32">
        <f>6.7482 * CHOOSE(CONTROL!$C$32, $C$9, 100%, $E$9)</f>
        <v>6.7481999999999998</v>
      </c>
      <c r="C475" s="32">
        <f>6.7482 * CHOOSE(CONTROL!$C$32, $C$9, 100%, $E$9)</f>
        <v>6.7481999999999998</v>
      </c>
      <c r="D475" s="32">
        <f>6.7498 * CHOOSE(CONTROL!$C$32, $C$9, 100%, $E$9)</f>
        <v>6.7497999999999996</v>
      </c>
      <c r="E475" s="33">
        <f>7.6706 * CHOOSE(CONTROL!$C$32, $C$9, 100%, $E$9)</f>
        <v>7.6706000000000003</v>
      </c>
      <c r="F475" s="33">
        <f>7.6706 * CHOOSE(CONTROL!$C$32, $C$9, 100%, $E$9)</f>
        <v>7.6706000000000003</v>
      </c>
      <c r="G475" s="33">
        <f>7.6759 * CHOOSE(CONTROL!$C$32, $C$9, 100%, $E$9)</f>
        <v>7.6759000000000004</v>
      </c>
      <c r="H475" s="33">
        <f>14.8091 * CHOOSE(CONTROL!$C$32, $C$9, 100%, $E$9)</f>
        <v>14.809100000000001</v>
      </c>
      <c r="I475" s="33">
        <f>14.8144 * CHOOSE(CONTROL!$C$32, $C$9, 100%, $E$9)</f>
        <v>14.814399999999999</v>
      </c>
      <c r="J475" s="33">
        <f>14.8091 * CHOOSE(CONTROL!$C$32, $C$9, 100%, $E$9)</f>
        <v>14.809100000000001</v>
      </c>
      <c r="K475" s="33">
        <f>14.8144 * CHOOSE(CONTROL!$C$32, $C$9, 100%, $E$9)</f>
        <v>14.814399999999999</v>
      </c>
      <c r="L475" s="33">
        <f>7.6706 * CHOOSE(CONTROL!$C$32, $C$9, 100%, $E$9)</f>
        <v>7.6706000000000003</v>
      </c>
      <c r="M475" s="33">
        <f>7.6759 * CHOOSE(CONTROL!$C$32, $C$9, 100%, $E$9)</f>
        <v>7.6759000000000004</v>
      </c>
      <c r="N475" s="33">
        <f>7.6706 * CHOOSE(CONTROL!$C$32, $C$9, 100%, $E$9)</f>
        <v>7.6706000000000003</v>
      </c>
      <c r="O475" s="33">
        <f>7.6759 * CHOOSE(CONTROL!$C$32, $C$9, 100%, $E$9)</f>
        <v>7.6759000000000004</v>
      </c>
    </row>
    <row r="476" spans="1:15" ht="15" x14ac:dyDescent="0.2">
      <c r="A476" s="16">
        <v>55335</v>
      </c>
      <c r="B476" s="32">
        <f>6.8369 * CHOOSE(CONTROL!$C$32, $C$9, 100%, $E$9)</f>
        <v>6.8369</v>
      </c>
      <c r="C476" s="32">
        <f>6.8369 * CHOOSE(CONTROL!$C$32, $C$9, 100%, $E$9)</f>
        <v>6.8369</v>
      </c>
      <c r="D476" s="32">
        <f>6.8385 * CHOOSE(CONTROL!$C$32, $C$9, 100%, $E$9)</f>
        <v>6.8384999999999998</v>
      </c>
      <c r="E476" s="33">
        <f>7.7751 * CHOOSE(CONTROL!$C$32, $C$9, 100%, $E$9)</f>
        <v>7.7751000000000001</v>
      </c>
      <c r="F476" s="33">
        <f>7.7751 * CHOOSE(CONTROL!$C$32, $C$9, 100%, $E$9)</f>
        <v>7.7751000000000001</v>
      </c>
      <c r="G476" s="33">
        <f>7.7804 * CHOOSE(CONTROL!$C$32, $C$9, 100%, $E$9)</f>
        <v>7.7804000000000002</v>
      </c>
      <c r="H476" s="33">
        <f>14.84 * CHOOSE(CONTROL!$C$32, $C$9, 100%, $E$9)</f>
        <v>14.84</v>
      </c>
      <c r="I476" s="33">
        <f>14.8453 * CHOOSE(CONTROL!$C$32, $C$9, 100%, $E$9)</f>
        <v>14.8453</v>
      </c>
      <c r="J476" s="33">
        <f>14.84 * CHOOSE(CONTROL!$C$32, $C$9, 100%, $E$9)</f>
        <v>14.84</v>
      </c>
      <c r="K476" s="33">
        <f>14.8453 * CHOOSE(CONTROL!$C$32, $C$9, 100%, $E$9)</f>
        <v>14.8453</v>
      </c>
      <c r="L476" s="33">
        <f>7.7751 * CHOOSE(CONTROL!$C$32, $C$9, 100%, $E$9)</f>
        <v>7.7751000000000001</v>
      </c>
      <c r="M476" s="33">
        <f>7.7804 * CHOOSE(CONTROL!$C$32, $C$9, 100%, $E$9)</f>
        <v>7.7804000000000002</v>
      </c>
      <c r="N476" s="33">
        <f>7.7751 * CHOOSE(CONTROL!$C$32, $C$9, 100%, $E$9)</f>
        <v>7.7751000000000001</v>
      </c>
      <c r="O476" s="33">
        <f>7.7804 * CHOOSE(CONTROL!$C$32, $C$9, 100%, $E$9)</f>
        <v>7.7804000000000002</v>
      </c>
    </row>
    <row r="477" spans="1:15" ht="15" x14ac:dyDescent="0.2">
      <c r="A477" s="16">
        <v>55366</v>
      </c>
      <c r="B477" s="32">
        <f>6.8436 * CHOOSE(CONTROL!$C$32, $C$9, 100%, $E$9)</f>
        <v>6.8436000000000003</v>
      </c>
      <c r="C477" s="32">
        <f>6.8436 * CHOOSE(CONTROL!$C$32, $C$9, 100%, $E$9)</f>
        <v>6.8436000000000003</v>
      </c>
      <c r="D477" s="32">
        <f>6.8452 * CHOOSE(CONTROL!$C$32, $C$9, 100%, $E$9)</f>
        <v>6.8452000000000002</v>
      </c>
      <c r="E477" s="33">
        <f>7.6241 * CHOOSE(CONTROL!$C$32, $C$9, 100%, $E$9)</f>
        <v>7.6241000000000003</v>
      </c>
      <c r="F477" s="33">
        <f>7.6241 * CHOOSE(CONTROL!$C$32, $C$9, 100%, $E$9)</f>
        <v>7.6241000000000003</v>
      </c>
      <c r="G477" s="33">
        <f>7.6294 * CHOOSE(CONTROL!$C$32, $C$9, 100%, $E$9)</f>
        <v>7.6294000000000004</v>
      </c>
      <c r="H477" s="33">
        <f>14.8709 * CHOOSE(CONTROL!$C$32, $C$9, 100%, $E$9)</f>
        <v>14.870900000000001</v>
      </c>
      <c r="I477" s="33">
        <f>14.8762 * CHOOSE(CONTROL!$C$32, $C$9, 100%, $E$9)</f>
        <v>14.876200000000001</v>
      </c>
      <c r="J477" s="33">
        <f>14.8709 * CHOOSE(CONTROL!$C$32, $C$9, 100%, $E$9)</f>
        <v>14.870900000000001</v>
      </c>
      <c r="K477" s="33">
        <f>14.8762 * CHOOSE(CONTROL!$C$32, $C$9, 100%, $E$9)</f>
        <v>14.876200000000001</v>
      </c>
      <c r="L477" s="33">
        <f>7.6241 * CHOOSE(CONTROL!$C$32, $C$9, 100%, $E$9)</f>
        <v>7.6241000000000003</v>
      </c>
      <c r="M477" s="33">
        <f>7.6294 * CHOOSE(CONTROL!$C$32, $C$9, 100%, $E$9)</f>
        <v>7.6294000000000004</v>
      </c>
      <c r="N477" s="33">
        <f>7.6241 * CHOOSE(CONTROL!$C$32, $C$9, 100%, $E$9)</f>
        <v>7.6241000000000003</v>
      </c>
      <c r="O477" s="33">
        <f>7.6294 * CHOOSE(CONTROL!$C$32, $C$9, 100%, $E$9)</f>
        <v>7.6294000000000004</v>
      </c>
    </row>
    <row r="478" spans="1:15" ht="15" x14ac:dyDescent="0.2">
      <c r="A478" s="16">
        <v>55397</v>
      </c>
      <c r="B478" s="32">
        <f>6.8406 * CHOOSE(CONTROL!$C$32, $C$9, 100%, $E$9)</f>
        <v>6.8406000000000002</v>
      </c>
      <c r="C478" s="32">
        <f>6.8406 * CHOOSE(CONTROL!$C$32, $C$9, 100%, $E$9)</f>
        <v>6.8406000000000002</v>
      </c>
      <c r="D478" s="32">
        <f>6.8422 * CHOOSE(CONTROL!$C$32, $C$9, 100%, $E$9)</f>
        <v>6.8422000000000001</v>
      </c>
      <c r="E478" s="33">
        <f>7.6046 * CHOOSE(CONTROL!$C$32, $C$9, 100%, $E$9)</f>
        <v>7.6045999999999996</v>
      </c>
      <c r="F478" s="33">
        <f>7.6046 * CHOOSE(CONTROL!$C$32, $C$9, 100%, $E$9)</f>
        <v>7.6045999999999996</v>
      </c>
      <c r="G478" s="33">
        <f>7.6099 * CHOOSE(CONTROL!$C$32, $C$9, 100%, $E$9)</f>
        <v>7.6098999999999997</v>
      </c>
      <c r="H478" s="33">
        <f>14.9019 * CHOOSE(CONTROL!$C$32, $C$9, 100%, $E$9)</f>
        <v>14.901899999999999</v>
      </c>
      <c r="I478" s="33">
        <f>14.9072 * CHOOSE(CONTROL!$C$32, $C$9, 100%, $E$9)</f>
        <v>14.9072</v>
      </c>
      <c r="J478" s="33">
        <f>14.9019 * CHOOSE(CONTROL!$C$32, $C$9, 100%, $E$9)</f>
        <v>14.901899999999999</v>
      </c>
      <c r="K478" s="33">
        <f>14.9072 * CHOOSE(CONTROL!$C$32, $C$9, 100%, $E$9)</f>
        <v>14.9072</v>
      </c>
      <c r="L478" s="33">
        <f>7.6046 * CHOOSE(CONTROL!$C$32, $C$9, 100%, $E$9)</f>
        <v>7.6045999999999996</v>
      </c>
      <c r="M478" s="33">
        <f>7.6099 * CHOOSE(CONTROL!$C$32, $C$9, 100%, $E$9)</f>
        <v>7.6098999999999997</v>
      </c>
      <c r="N478" s="33">
        <f>7.6046 * CHOOSE(CONTROL!$C$32, $C$9, 100%, $E$9)</f>
        <v>7.6045999999999996</v>
      </c>
      <c r="O478" s="33">
        <f>7.6099 * CHOOSE(CONTROL!$C$32, $C$9, 100%, $E$9)</f>
        <v>7.6098999999999997</v>
      </c>
    </row>
    <row r="479" spans="1:15" ht="15" x14ac:dyDescent="0.2">
      <c r="A479" s="16">
        <v>55427</v>
      </c>
      <c r="B479" s="32">
        <f>6.8462 * CHOOSE(CONTROL!$C$32, $C$9, 100%, $E$9)</f>
        <v>6.8461999999999996</v>
      </c>
      <c r="C479" s="32">
        <f>6.8462 * CHOOSE(CONTROL!$C$32, $C$9, 100%, $E$9)</f>
        <v>6.8461999999999996</v>
      </c>
      <c r="D479" s="32">
        <f>6.8473 * CHOOSE(CONTROL!$C$32, $C$9, 100%, $E$9)</f>
        <v>6.8472999999999997</v>
      </c>
      <c r="E479" s="33">
        <f>7.6604 * CHOOSE(CONTROL!$C$32, $C$9, 100%, $E$9)</f>
        <v>7.6604000000000001</v>
      </c>
      <c r="F479" s="33">
        <f>7.6604 * CHOOSE(CONTROL!$C$32, $C$9, 100%, $E$9)</f>
        <v>7.6604000000000001</v>
      </c>
      <c r="G479" s="33">
        <f>7.6641 * CHOOSE(CONTROL!$C$32, $C$9, 100%, $E$9)</f>
        <v>7.6641000000000004</v>
      </c>
      <c r="H479" s="33">
        <f>14.9329 * CHOOSE(CONTROL!$C$32, $C$9, 100%, $E$9)</f>
        <v>14.9329</v>
      </c>
      <c r="I479" s="33">
        <f>14.9366 * CHOOSE(CONTROL!$C$32, $C$9, 100%, $E$9)</f>
        <v>14.9366</v>
      </c>
      <c r="J479" s="33">
        <f>14.9329 * CHOOSE(CONTROL!$C$32, $C$9, 100%, $E$9)</f>
        <v>14.9329</v>
      </c>
      <c r="K479" s="33">
        <f>14.9366 * CHOOSE(CONTROL!$C$32, $C$9, 100%, $E$9)</f>
        <v>14.9366</v>
      </c>
      <c r="L479" s="33">
        <f>7.6604 * CHOOSE(CONTROL!$C$32, $C$9, 100%, $E$9)</f>
        <v>7.6604000000000001</v>
      </c>
      <c r="M479" s="33">
        <f>7.6641 * CHOOSE(CONTROL!$C$32, $C$9, 100%, $E$9)</f>
        <v>7.6641000000000004</v>
      </c>
      <c r="N479" s="33">
        <f>7.6604 * CHOOSE(CONTROL!$C$32, $C$9, 100%, $E$9)</f>
        <v>7.6604000000000001</v>
      </c>
      <c r="O479" s="33">
        <f>7.6641 * CHOOSE(CONTROL!$C$32, $C$9, 100%, $E$9)</f>
        <v>7.6641000000000004</v>
      </c>
    </row>
    <row r="480" spans="1:15" ht="15" x14ac:dyDescent="0.2">
      <c r="A480" s="16">
        <v>55458</v>
      </c>
      <c r="B480" s="32">
        <f>6.8492 * CHOOSE(CONTROL!$C$32, $C$9, 100%, $E$9)</f>
        <v>6.8491999999999997</v>
      </c>
      <c r="C480" s="32">
        <f>6.8492 * CHOOSE(CONTROL!$C$32, $C$9, 100%, $E$9)</f>
        <v>6.8491999999999997</v>
      </c>
      <c r="D480" s="32">
        <f>6.8503 * CHOOSE(CONTROL!$C$32, $C$9, 100%, $E$9)</f>
        <v>6.8502999999999998</v>
      </c>
      <c r="E480" s="33">
        <f>7.6972 * CHOOSE(CONTROL!$C$32, $C$9, 100%, $E$9)</f>
        <v>7.6971999999999996</v>
      </c>
      <c r="F480" s="33">
        <f>7.6972 * CHOOSE(CONTROL!$C$32, $C$9, 100%, $E$9)</f>
        <v>7.6971999999999996</v>
      </c>
      <c r="G480" s="33">
        <f>7.7008 * CHOOSE(CONTROL!$C$32, $C$9, 100%, $E$9)</f>
        <v>7.7008000000000001</v>
      </c>
      <c r="H480" s="33">
        <f>14.964 * CHOOSE(CONTROL!$C$32, $C$9, 100%, $E$9)</f>
        <v>14.964</v>
      </c>
      <c r="I480" s="33">
        <f>14.9677 * CHOOSE(CONTROL!$C$32, $C$9, 100%, $E$9)</f>
        <v>14.967700000000001</v>
      </c>
      <c r="J480" s="33">
        <f>14.964 * CHOOSE(CONTROL!$C$32, $C$9, 100%, $E$9)</f>
        <v>14.964</v>
      </c>
      <c r="K480" s="33">
        <f>14.9677 * CHOOSE(CONTROL!$C$32, $C$9, 100%, $E$9)</f>
        <v>14.967700000000001</v>
      </c>
      <c r="L480" s="33">
        <f>7.6972 * CHOOSE(CONTROL!$C$32, $C$9, 100%, $E$9)</f>
        <v>7.6971999999999996</v>
      </c>
      <c r="M480" s="33">
        <f>7.7008 * CHOOSE(CONTROL!$C$32, $C$9, 100%, $E$9)</f>
        <v>7.7008000000000001</v>
      </c>
      <c r="N480" s="33">
        <f>7.6972 * CHOOSE(CONTROL!$C$32, $C$9, 100%, $E$9)</f>
        <v>7.6971999999999996</v>
      </c>
      <c r="O480" s="33">
        <f>7.7008 * CHOOSE(CONTROL!$C$32, $C$9, 100%, $E$9)</f>
        <v>7.7008000000000001</v>
      </c>
    </row>
    <row r="481" spans="1:15" ht="15" x14ac:dyDescent="0.2">
      <c r="A481" s="16">
        <v>55488</v>
      </c>
      <c r="B481" s="32">
        <f>6.8492 * CHOOSE(CONTROL!$C$32, $C$9, 100%, $E$9)</f>
        <v>6.8491999999999997</v>
      </c>
      <c r="C481" s="32">
        <f>6.8492 * CHOOSE(CONTROL!$C$32, $C$9, 100%, $E$9)</f>
        <v>6.8491999999999997</v>
      </c>
      <c r="D481" s="32">
        <f>6.8503 * CHOOSE(CONTROL!$C$32, $C$9, 100%, $E$9)</f>
        <v>6.8502999999999998</v>
      </c>
      <c r="E481" s="33">
        <f>7.6106 * CHOOSE(CONTROL!$C$32, $C$9, 100%, $E$9)</f>
        <v>7.6105999999999998</v>
      </c>
      <c r="F481" s="33">
        <f>7.6106 * CHOOSE(CONTROL!$C$32, $C$9, 100%, $E$9)</f>
        <v>7.6105999999999998</v>
      </c>
      <c r="G481" s="33">
        <f>7.6143 * CHOOSE(CONTROL!$C$32, $C$9, 100%, $E$9)</f>
        <v>7.6143000000000001</v>
      </c>
      <c r="H481" s="33">
        <f>14.9952 * CHOOSE(CONTROL!$C$32, $C$9, 100%, $E$9)</f>
        <v>14.995200000000001</v>
      </c>
      <c r="I481" s="33">
        <f>14.9988 * CHOOSE(CONTROL!$C$32, $C$9, 100%, $E$9)</f>
        <v>14.998799999999999</v>
      </c>
      <c r="J481" s="33">
        <f>14.9952 * CHOOSE(CONTROL!$C$32, $C$9, 100%, $E$9)</f>
        <v>14.995200000000001</v>
      </c>
      <c r="K481" s="33">
        <f>14.9988 * CHOOSE(CONTROL!$C$32, $C$9, 100%, $E$9)</f>
        <v>14.998799999999999</v>
      </c>
      <c r="L481" s="33">
        <f>7.6106 * CHOOSE(CONTROL!$C$32, $C$9, 100%, $E$9)</f>
        <v>7.6105999999999998</v>
      </c>
      <c r="M481" s="33">
        <f>7.6143 * CHOOSE(CONTROL!$C$32, $C$9, 100%, $E$9)</f>
        <v>7.6143000000000001</v>
      </c>
      <c r="N481" s="33">
        <f>7.6106 * CHOOSE(CONTROL!$C$32, $C$9, 100%, $E$9)</f>
        <v>7.6105999999999998</v>
      </c>
      <c r="O481" s="33">
        <f>7.6143 * CHOOSE(CONTROL!$C$32, $C$9, 100%, $E$9)</f>
        <v>7.6143000000000001</v>
      </c>
    </row>
    <row r="482" spans="1:15" ht="15" x14ac:dyDescent="0.2">
      <c r="A482" s="16">
        <v>55519</v>
      </c>
      <c r="B482" s="32">
        <f>6.901 * CHOOSE(CONTROL!$C$32, $C$9, 100%, $E$9)</f>
        <v>6.9009999999999998</v>
      </c>
      <c r="C482" s="32">
        <f>6.901 * CHOOSE(CONTROL!$C$32, $C$9, 100%, $E$9)</f>
        <v>6.9009999999999998</v>
      </c>
      <c r="D482" s="32">
        <f>6.9021 * CHOOSE(CONTROL!$C$32, $C$9, 100%, $E$9)</f>
        <v>6.9020999999999999</v>
      </c>
      <c r="E482" s="33">
        <f>7.7372 * CHOOSE(CONTROL!$C$32, $C$9, 100%, $E$9)</f>
        <v>7.7371999999999996</v>
      </c>
      <c r="F482" s="33">
        <f>7.7372 * CHOOSE(CONTROL!$C$32, $C$9, 100%, $E$9)</f>
        <v>7.7371999999999996</v>
      </c>
      <c r="G482" s="33">
        <f>7.7408 * CHOOSE(CONTROL!$C$32, $C$9, 100%, $E$9)</f>
        <v>7.7408000000000001</v>
      </c>
      <c r="H482" s="33">
        <f>15.0265 * CHOOSE(CONTROL!$C$32, $C$9, 100%, $E$9)</f>
        <v>15.0265</v>
      </c>
      <c r="I482" s="33">
        <f>15.0301 * CHOOSE(CONTROL!$C$32, $C$9, 100%, $E$9)</f>
        <v>15.030099999999999</v>
      </c>
      <c r="J482" s="33">
        <f>15.0265 * CHOOSE(CONTROL!$C$32, $C$9, 100%, $E$9)</f>
        <v>15.0265</v>
      </c>
      <c r="K482" s="33">
        <f>15.0301 * CHOOSE(CONTROL!$C$32, $C$9, 100%, $E$9)</f>
        <v>15.030099999999999</v>
      </c>
      <c r="L482" s="33">
        <f>7.7372 * CHOOSE(CONTROL!$C$32, $C$9, 100%, $E$9)</f>
        <v>7.7371999999999996</v>
      </c>
      <c r="M482" s="33">
        <f>7.7408 * CHOOSE(CONTROL!$C$32, $C$9, 100%, $E$9)</f>
        <v>7.7408000000000001</v>
      </c>
      <c r="N482" s="33">
        <f>7.7372 * CHOOSE(CONTROL!$C$32, $C$9, 100%, $E$9)</f>
        <v>7.7371999999999996</v>
      </c>
      <c r="O482" s="33">
        <f>7.7408 * CHOOSE(CONTROL!$C$32, $C$9, 100%, $E$9)</f>
        <v>7.7408000000000001</v>
      </c>
    </row>
    <row r="483" spans="1:15" ht="15" x14ac:dyDescent="0.2">
      <c r="A483" s="16">
        <v>55550</v>
      </c>
      <c r="B483" s="32">
        <f>6.8979 * CHOOSE(CONTROL!$C$32, $C$9, 100%, $E$9)</f>
        <v>6.8978999999999999</v>
      </c>
      <c r="C483" s="32">
        <f>6.8979 * CHOOSE(CONTROL!$C$32, $C$9, 100%, $E$9)</f>
        <v>6.8978999999999999</v>
      </c>
      <c r="D483" s="32">
        <f>6.899 * CHOOSE(CONTROL!$C$32, $C$9, 100%, $E$9)</f>
        <v>6.899</v>
      </c>
      <c r="E483" s="33">
        <f>7.5663 * CHOOSE(CONTROL!$C$32, $C$9, 100%, $E$9)</f>
        <v>7.5663</v>
      </c>
      <c r="F483" s="33">
        <f>7.5663 * CHOOSE(CONTROL!$C$32, $C$9, 100%, $E$9)</f>
        <v>7.5663</v>
      </c>
      <c r="G483" s="33">
        <f>7.5699 * CHOOSE(CONTROL!$C$32, $C$9, 100%, $E$9)</f>
        <v>7.5698999999999996</v>
      </c>
      <c r="H483" s="33">
        <f>15.0578 * CHOOSE(CONTROL!$C$32, $C$9, 100%, $E$9)</f>
        <v>15.0578</v>
      </c>
      <c r="I483" s="33">
        <f>15.0614 * CHOOSE(CONTROL!$C$32, $C$9, 100%, $E$9)</f>
        <v>15.061400000000001</v>
      </c>
      <c r="J483" s="33">
        <f>15.0578 * CHOOSE(CONTROL!$C$32, $C$9, 100%, $E$9)</f>
        <v>15.0578</v>
      </c>
      <c r="K483" s="33">
        <f>15.0614 * CHOOSE(CONTROL!$C$32, $C$9, 100%, $E$9)</f>
        <v>15.061400000000001</v>
      </c>
      <c r="L483" s="33">
        <f>7.5663 * CHOOSE(CONTROL!$C$32, $C$9, 100%, $E$9)</f>
        <v>7.5663</v>
      </c>
      <c r="M483" s="33">
        <f>7.5699 * CHOOSE(CONTROL!$C$32, $C$9, 100%, $E$9)</f>
        <v>7.5698999999999996</v>
      </c>
      <c r="N483" s="33">
        <f>7.5663 * CHOOSE(CONTROL!$C$32, $C$9, 100%, $E$9)</f>
        <v>7.5663</v>
      </c>
      <c r="O483" s="33">
        <f>7.5699 * CHOOSE(CONTROL!$C$32, $C$9, 100%, $E$9)</f>
        <v>7.5698999999999996</v>
      </c>
    </row>
    <row r="484" spans="1:15" ht="15" x14ac:dyDescent="0.2">
      <c r="A484" s="16">
        <v>55579</v>
      </c>
      <c r="B484" s="32">
        <f>6.8949 * CHOOSE(CONTROL!$C$32, $C$9, 100%, $E$9)</f>
        <v>6.8948999999999998</v>
      </c>
      <c r="C484" s="32">
        <f>6.8949 * CHOOSE(CONTROL!$C$32, $C$9, 100%, $E$9)</f>
        <v>6.8948999999999998</v>
      </c>
      <c r="D484" s="32">
        <f>6.896 * CHOOSE(CONTROL!$C$32, $C$9, 100%, $E$9)</f>
        <v>6.8959999999999999</v>
      </c>
      <c r="E484" s="33">
        <f>7.6972 * CHOOSE(CONTROL!$C$32, $C$9, 100%, $E$9)</f>
        <v>7.6971999999999996</v>
      </c>
      <c r="F484" s="33">
        <f>7.6972 * CHOOSE(CONTROL!$C$32, $C$9, 100%, $E$9)</f>
        <v>7.6971999999999996</v>
      </c>
      <c r="G484" s="33">
        <f>7.7008 * CHOOSE(CONTROL!$C$32, $C$9, 100%, $E$9)</f>
        <v>7.7008000000000001</v>
      </c>
      <c r="H484" s="33">
        <f>15.0891 * CHOOSE(CONTROL!$C$32, $C$9, 100%, $E$9)</f>
        <v>15.0891</v>
      </c>
      <c r="I484" s="33">
        <f>15.0928 * CHOOSE(CONTROL!$C$32, $C$9, 100%, $E$9)</f>
        <v>15.0928</v>
      </c>
      <c r="J484" s="33">
        <f>15.0891 * CHOOSE(CONTROL!$C$32, $C$9, 100%, $E$9)</f>
        <v>15.0891</v>
      </c>
      <c r="K484" s="33">
        <f>15.0928 * CHOOSE(CONTROL!$C$32, $C$9, 100%, $E$9)</f>
        <v>15.0928</v>
      </c>
      <c r="L484" s="33">
        <f>7.6972 * CHOOSE(CONTROL!$C$32, $C$9, 100%, $E$9)</f>
        <v>7.6971999999999996</v>
      </c>
      <c r="M484" s="33">
        <f>7.7008 * CHOOSE(CONTROL!$C$32, $C$9, 100%, $E$9)</f>
        <v>7.7008000000000001</v>
      </c>
      <c r="N484" s="33">
        <f>7.6972 * CHOOSE(CONTROL!$C$32, $C$9, 100%, $E$9)</f>
        <v>7.6971999999999996</v>
      </c>
      <c r="O484" s="33">
        <f>7.7008 * CHOOSE(CONTROL!$C$32, $C$9, 100%, $E$9)</f>
        <v>7.7008000000000001</v>
      </c>
    </row>
    <row r="485" spans="1:15" ht="15" x14ac:dyDescent="0.2">
      <c r="A485" s="16">
        <v>55610</v>
      </c>
      <c r="B485" s="32">
        <f>6.8953 * CHOOSE(CONTROL!$C$32, $C$9, 100%, $E$9)</f>
        <v>6.8952999999999998</v>
      </c>
      <c r="C485" s="32">
        <f>6.8953 * CHOOSE(CONTROL!$C$32, $C$9, 100%, $E$9)</f>
        <v>6.8952999999999998</v>
      </c>
      <c r="D485" s="32">
        <f>6.8964 * CHOOSE(CONTROL!$C$32, $C$9, 100%, $E$9)</f>
        <v>6.8963999999999999</v>
      </c>
      <c r="E485" s="33">
        <f>7.8359 * CHOOSE(CONTROL!$C$32, $C$9, 100%, $E$9)</f>
        <v>7.8358999999999996</v>
      </c>
      <c r="F485" s="33">
        <f>7.8359 * CHOOSE(CONTROL!$C$32, $C$9, 100%, $E$9)</f>
        <v>7.8358999999999996</v>
      </c>
      <c r="G485" s="33">
        <f>7.8395 * CHOOSE(CONTROL!$C$32, $C$9, 100%, $E$9)</f>
        <v>7.8395000000000001</v>
      </c>
      <c r="H485" s="33">
        <f>15.1206 * CHOOSE(CONTROL!$C$32, $C$9, 100%, $E$9)</f>
        <v>15.1206</v>
      </c>
      <c r="I485" s="33">
        <f>15.1242 * CHOOSE(CONTROL!$C$32, $C$9, 100%, $E$9)</f>
        <v>15.1242</v>
      </c>
      <c r="J485" s="33">
        <f>15.1206 * CHOOSE(CONTROL!$C$32, $C$9, 100%, $E$9)</f>
        <v>15.1206</v>
      </c>
      <c r="K485" s="33">
        <f>15.1242 * CHOOSE(CONTROL!$C$32, $C$9, 100%, $E$9)</f>
        <v>15.1242</v>
      </c>
      <c r="L485" s="33">
        <f>7.8359 * CHOOSE(CONTROL!$C$32, $C$9, 100%, $E$9)</f>
        <v>7.8358999999999996</v>
      </c>
      <c r="M485" s="33">
        <f>7.8395 * CHOOSE(CONTROL!$C$32, $C$9, 100%, $E$9)</f>
        <v>7.8395000000000001</v>
      </c>
      <c r="N485" s="33">
        <f>7.8359 * CHOOSE(CONTROL!$C$32, $C$9, 100%, $E$9)</f>
        <v>7.8358999999999996</v>
      </c>
      <c r="O485" s="33">
        <f>7.8395 * CHOOSE(CONTROL!$C$32, $C$9, 100%, $E$9)</f>
        <v>7.8395000000000001</v>
      </c>
    </row>
    <row r="486" spans="1:15" ht="15" x14ac:dyDescent="0.2">
      <c r="A486" s="16">
        <v>55640</v>
      </c>
      <c r="B486" s="32">
        <f>6.8953 * CHOOSE(CONTROL!$C$32, $C$9, 100%, $E$9)</f>
        <v>6.8952999999999998</v>
      </c>
      <c r="C486" s="32">
        <f>6.8953 * CHOOSE(CONTROL!$C$32, $C$9, 100%, $E$9)</f>
        <v>6.8952999999999998</v>
      </c>
      <c r="D486" s="32">
        <f>6.8969 * CHOOSE(CONTROL!$C$32, $C$9, 100%, $E$9)</f>
        <v>6.8968999999999996</v>
      </c>
      <c r="E486" s="33">
        <f>7.8895 * CHOOSE(CONTROL!$C$32, $C$9, 100%, $E$9)</f>
        <v>7.8895</v>
      </c>
      <c r="F486" s="33">
        <f>7.8895 * CHOOSE(CONTROL!$C$32, $C$9, 100%, $E$9)</f>
        <v>7.8895</v>
      </c>
      <c r="G486" s="33">
        <f>7.8948 * CHOOSE(CONTROL!$C$32, $C$9, 100%, $E$9)</f>
        <v>7.8948</v>
      </c>
      <c r="H486" s="33">
        <f>15.1521 * CHOOSE(CONTROL!$C$32, $C$9, 100%, $E$9)</f>
        <v>15.152100000000001</v>
      </c>
      <c r="I486" s="33">
        <f>15.1574 * CHOOSE(CONTROL!$C$32, $C$9, 100%, $E$9)</f>
        <v>15.157400000000001</v>
      </c>
      <c r="J486" s="33">
        <f>15.1521 * CHOOSE(CONTROL!$C$32, $C$9, 100%, $E$9)</f>
        <v>15.152100000000001</v>
      </c>
      <c r="K486" s="33">
        <f>15.1574 * CHOOSE(CONTROL!$C$32, $C$9, 100%, $E$9)</f>
        <v>15.157400000000001</v>
      </c>
      <c r="L486" s="33">
        <f>7.8895 * CHOOSE(CONTROL!$C$32, $C$9, 100%, $E$9)</f>
        <v>7.8895</v>
      </c>
      <c r="M486" s="33">
        <f>7.8948 * CHOOSE(CONTROL!$C$32, $C$9, 100%, $E$9)</f>
        <v>7.8948</v>
      </c>
      <c r="N486" s="33">
        <f>7.8895 * CHOOSE(CONTROL!$C$32, $C$9, 100%, $E$9)</f>
        <v>7.8895</v>
      </c>
      <c r="O486" s="33">
        <f>7.8948 * CHOOSE(CONTROL!$C$32, $C$9, 100%, $E$9)</f>
        <v>7.8948</v>
      </c>
    </row>
    <row r="487" spans="1:15" ht="15" x14ac:dyDescent="0.2">
      <c r="A487" s="16">
        <v>55671</v>
      </c>
      <c r="B487" s="32">
        <f>6.9014 * CHOOSE(CONTROL!$C$32, $C$9, 100%, $E$9)</f>
        <v>6.9013999999999998</v>
      </c>
      <c r="C487" s="32">
        <f>6.9014 * CHOOSE(CONTROL!$C$32, $C$9, 100%, $E$9)</f>
        <v>6.9013999999999998</v>
      </c>
      <c r="D487" s="32">
        <f>6.903 * CHOOSE(CONTROL!$C$32, $C$9, 100%, $E$9)</f>
        <v>6.9029999999999996</v>
      </c>
      <c r="E487" s="33">
        <f>7.8402 * CHOOSE(CONTROL!$C$32, $C$9, 100%, $E$9)</f>
        <v>7.8402000000000003</v>
      </c>
      <c r="F487" s="33">
        <f>7.8402 * CHOOSE(CONTROL!$C$32, $C$9, 100%, $E$9)</f>
        <v>7.8402000000000003</v>
      </c>
      <c r="G487" s="33">
        <f>7.8455 * CHOOSE(CONTROL!$C$32, $C$9, 100%, $E$9)</f>
        <v>7.8455000000000004</v>
      </c>
      <c r="H487" s="33">
        <f>15.1836 * CHOOSE(CONTROL!$C$32, $C$9, 100%, $E$9)</f>
        <v>15.1836</v>
      </c>
      <c r="I487" s="33">
        <f>15.1889 * CHOOSE(CONTROL!$C$32, $C$9, 100%, $E$9)</f>
        <v>15.1889</v>
      </c>
      <c r="J487" s="33">
        <f>15.1836 * CHOOSE(CONTROL!$C$32, $C$9, 100%, $E$9)</f>
        <v>15.1836</v>
      </c>
      <c r="K487" s="33">
        <f>15.1889 * CHOOSE(CONTROL!$C$32, $C$9, 100%, $E$9)</f>
        <v>15.1889</v>
      </c>
      <c r="L487" s="33">
        <f>7.8402 * CHOOSE(CONTROL!$C$32, $C$9, 100%, $E$9)</f>
        <v>7.8402000000000003</v>
      </c>
      <c r="M487" s="33">
        <f>7.8455 * CHOOSE(CONTROL!$C$32, $C$9, 100%, $E$9)</f>
        <v>7.8455000000000004</v>
      </c>
      <c r="N487" s="33">
        <f>7.8402 * CHOOSE(CONTROL!$C$32, $C$9, 100%, $E$9)</f>
        <v>7.8402000000000003</v>
      </c>
      <c r="O487" s="33">
        <f>7.8455 * CHOOSE(CONTROL!$C$32, $C$9, 100%, $E$9)</f>
        <v>7.8455000000000004</v>
      </c>
    </row>
    <row r="488" spans="1:15" ht="15" x14ac:dyDescent="0.2">
      <c r="A488" s="16">
        <v>55701</v>
      </c>
      <c r="B488" s="32">
        <f>6.9918 * CHOOSE(CONTROL!$C$32, $C$9, 100%, $E$9)</f>
        <v>6.9917999999999996</v>
      </c>
      <c r="C488" s="32">
        <f>6.9918 * CHOOSE(CONTROL!$C$32, $C$9, 100%, $E$9)</f>
        <v>6.9917999999999996</v>
      </c>
      <c r="D488" s="32">
        <f>6.9934 * CHOOSE(CONTROL!$C$32, $C$9, 100%, $E$9)</f>
        <v>6.9934000000000003</v>
      </c>
      <c r="E488" s="33">
        <f>7.9482 * CHOOSE(CONTROL!$C$32, $C$9, 100%, $E$9)</f>
        <v>7.9481999999999999</v>
      </c>
      <c r="F488" s="33">
        <f>7.9482 * CHOOSE(CONTROL!$C$32, $C$9, 100%, $E$9)</f>
        <v>7.9481999999999999</v>
      </c>
      <c r="G488" s="33">
        <f>7.9535 * CHOOSE(CONTROL!$C$32, $C$9, 100%, $E$9)</f>
        <v>7.9535</v>
      </c>
      <c r="H488" s="33">
        <f>15.2153 * CHOOSE(CONTROL!$C$32, $C$9, 100%, $E$9)</f>
        <v>15.215299999999999</v>
      </c>
      <c r="I488" s="33">
        <f>15.2206 * CHOOSE(CONTROL!$C$32, $C$9, 100%, $E$9)</f>
        <v>15.220599999999999</v>
      </c>
      <c r="J488" s="33">
        <f>15.2153 * CHOOSE(CONTROL!$C$32, $C$9, 100%, $E$9)</f>
        <v>15.215299999999999</v>
      </c>
      <c r="K488" s="33">
        <f>15.2206 * CHOOSE(CONTROL!$C$32, $C$9, 100%, $E$9)</f>
        <v>15.220599999999999</v>
      </c>
      <c r="L488" s="33">
        <f>7.9482 * CHOOSE(CONTROL!$C$32, $C$9, 100%, $E$9)</f>
        <v>7.9481999999999999</v>
      </c>
      <c r="M488" s="33">
        <f>7.9535 * CHOOSE(CONTROL!$C$32, $C$9, 100%, $E$9)</f>
        <v>7.9535</v>
      </c>
      <c r="N488" s="33">
        <f>7.9482 * CHOOSE(CONTROL!$C$32, $C$9, 100%, $E$9)</f>
        <v>7.9481999999999999</v>
      </c>
      <c r="O488" s="33">
        <f>7.9535 * CHOOSE(CONTROL!$C$32, $C$9, 100%, $E$9)</f>
        <v>7.9535</v>
      </c>
    </row>
    <row r="489" spans="1:15" ht="15" x14ac:dyDescent="0.2">
      <c r="A489" s="16">
        <v>55732</v>
      </c>
      <c r="B489" s="32">
        <f>6.9985 * CHOOSE(CONTROL!$C$32, $C$9, 100%, $E$9)</f>
        <v>6.9984999999999999</v>
      </c>
      <c r="C489" s="32">
        <f>6.9985 * CHOOSE(CONTROL!$C$32, $C$9, 100%, $E$9)</f>
        <v>6.9984999999999999</v>
      </c>
      <c r="D489" s="32">
        <f>7.0001 * CHOOSE(CONTROL!$C$32, $C$9, 100%, $E$9)</f>
        <v>7.0000999999999998</v>
      </c>
      <c r="E489" s="33">
        <f>7.7921 * CHOOSE(CONTROL!$C$32, $C$9, 100%, $E$9)</f>
        <v>7.7920999999999996</v>
      </c>
      <c r="F489" s="33">
        <f>7.7921 * CHOOSE(CONTROL!$C$32, $C$9, 100%, $E$9)</f>
        <v>7.7920999999999996</v>
      </c>
      <c r="G489" s="33">
        <f>7.7974 * CHOOSE(CONTROL!$C$32, $C$9, 100%, $E$9)</f>
        <v>7.7973999999999997</v>
      </c>
      <c r="H489" s="33">
        <f>15.247 * CHOOSE(CONTROL!$C$32, $C$9, 100%, $E$9)</f>
        <v>15.247</v>
      </c>
      <c r="I489" s="33">
        <f>15.2523 * CHOOSE(CONTROL!$C$32, $C$9, 100%, $E$9)</f>
        <v>15.2523</v>
      </c>
      <c r="J489" s="33">
        <f>15.247 * CHOOSE(CONTROL!$C$32, $C$9, 100%, $E$9)</f>
        <v>15.247</v>
      </c>
      <c r="K489" s="33">
        <f>15.2523 * CHOOSE(CONTROL!$C$32, $C$9, 100%, $E$9)</f>
        <v>15.2523</v>
      </c>
      <c r="L489" s="33">
        <f>7.7921 * CHOOSE(CONTROL!$C$32, $C$9, 100%, $E$9)</f>
        <v>7.7920999999999996</v>
      </c>
      <c r="M489" s="33">
        <f>7.7974 * CHOOSE(CONTROL!$C$32, $C$9, 100%, $E$9)</f>
        <v>7.7973999999999997</v>
      </c>
      <c r="N489" s="33">
        <f>7.7921 * CHOOSE(CONTROL!$C$32, $C$9, 100%, $E$9)</f>
        <v>7.7920999999999996</v>
      </c>
      <c r="O489" s="33">
        <f>7.7974 * CHOOSE(CONTROL!$C$32, $C$9, 100%, $E$9)</f>
        <v>7.7973999999999997</v>
      </c>
    </row>
    <row r="490" spans="1:15" ht="15" x14ac:dyDescent="0.2">
      <c r="A490" s="16">
        <v>55763</v>
      </c>
      <c r="B490" s="32">
        <f>6.9955 * CHOOSE(CONTROL!$C$32, $C$9, 100%, $E$9)</f>
        <v>6.9954999999999998</v>
      </c>
      <c r="C490" s="32">
        <f>6.9955 * CHOOSE(CONTROL!$C$32, $C$9, 100%, $E$9)</f>
        <v>6.9954999999999998</v>
      </c>
      <c r="D490" s="32">
        <f>6.997 * CHOOSE(CONTROL!$C$32, $C$9, 100%, $E$9)</f>
        <v>6.9969999999999999</v>
      </c>
      <c r="E490" s="33">
        <f>7.7721 * CHOOSE(CONTROL!$C$32, $C$9, 100%, $E$9)</f>
        <v>7.7721</v>
      </c>
      <c r="F490" s="33">
        <f>7.7721 * CHOOSE(CONTROL!$C$32, $C$9, 100%, $E$9)</f>
        <v>7.7721</v>
      </c>
      <c r="G490" s="33">
        <f>7.7774 * CHOOSE(CONTROL!$C$32, $C$9, 100%, $E$9)</f>
        <v>7.7774000000000001</v>
      </c>
      <c r="H490" s="33">
        <f>15.2787 * CHOOSE(CONTROL!$C$32, $C$9, 100%, $E$9)</f>
        <v>15.278700000000001</v>
      </c>
      <c r="I490" s="33">
        <f>15.284 * CHOOSE(CONTROL!$C$32, $C$9, 100%, $E$9)</f>
        <v>15.284000000000001</v>
      </c>
      <c r="J490" s="33">
        <f>15.2787 * CHOOSE(CONTROL!$C$32, $C$9, 100%, $E$9)</f>
        <v>15.278700000000001</v>
      </c>
      <c r="K490" s="33">
        <f>15.284 * CHOOSE(CONTROL!$C$32, $C$9, 100%, $E$9)</f>
        <v>15.284000000000001</v>
      </c>
      <c r="L490" s="33">
        <f>7.7721 * CHOOSE(CONTROL!$C$32, $C$9, 100%, $E$9)</f>
        <v>7.7721</v>
      </c>
      <c r="M490" s="33">
        <f>7.7774 * CHOOSE(CONTROL!$C$32, $C$9, 100%, $E$9)</f>
        <v>7.7774000000000001</v>
      </c>
      <c r="N490" s="33">
        <f>7.7721 * CHOOSE(CONTROL!$C$32, $C$9, 100%, $E$9)</f>
        <v>7.7721</v>
      </c>
      <c r="O490" s="33">
        <f>7.7774 * CHOOSE(CONTROL!$C$32, $C$9, 100%, $E$9)</f>
        <v>7.7774000000000001</v>
      </c>
    </row>
    <row r="491" spans="1:15" ht="15" x14ac:dyDescent="0.2">
      <c r="A491" s="16">
        <v>55793</v>
      </c>
      <c r="B491" s="32">
        <f>7.0017 * CHOOSE(CONTROL!$C$32, $C$9, 100%, $E$9)</f>
        <v>7.0016999999999996</v>
      </c>
      <c r="C491" s="32">
        <f>7.0017 * CHOOSE(CONTROL!$C$32, $C$9, 100%, $E$9)</f>
        <v>7.0016999999999996</v>
      </c>
      <c r="D491" s="32">
        <f>7.0027 * CHOOSE(CONTROL!$C$32, $C$9, 100%, $E$9)</f>
        <v>7.0026999999999999</v>
      </c>
      <c r="E491" s="33">
        <f>7.8302 * CHOOSE(CONTROL!$C$32, $C$9, 100%, $E$9)</f>
        <v>7.8301999999999996</v>
      </c>
      <c r="F491" s="33">
        <f>7.8302 * CHOOSE(CONTROL!$C$32, $C$9, 100%, $E$9)</f>
        <v>7.8301999999999996</v>
      </c>
      <c r="G491" s="33">
        <f>7.8338 * CHOOSE(CONTROL!$C$32, $C$9, 100%, $E$9)</f>
        <v>7.8338000000000001</v>
      </c>
      <c r="H491" s="33">
        <f>15.3106 * CHOOSE(CONTROL!$C$32, $C$9, 100%, $E$9)</f>
        <v>15.310600000000001</v>
      </c>
      <c r="I491" s="33">
        <f>15.3142 * CHOOSE(CONTROL!$C$32, $C$9, 100%, $E$9)</f>
        <v>15.3142</v>
      </c>
      <c r="J491" s="33">
        <f>15.3106 * CHOOSE(CONTROL!$C$32, $C$9, 100%, $E$9)</f>
        <v>15.310600000000001</v>
      </c>
      <c r="K491" s="33">
        <f>15.3142 * CHOOSE(CONTROL!$C$32, $C$9, 100%, $E$9)</f>
        <v>15.3142</v>
      </c>
      <c r="L491" s="33">
        <f>7.8302 * CHOOSE(CONTROL!$C$32, $C$9, 100%, $E$9)</f>
        <v>7.8301999999999996</v>
      </c>
      <c r="M491" s="33">
        <f>7.8338 * CHOOSE(CONTROL!$C$32, $C$9, 100%, $E$9)</f>
        <v>7.8338000000000001</v>
      </c>
      <c r="N491" s="33">
        <f>7.8302 * CHOOSE(CONTROL!$C$32, $C$9, 100%, $E$9)</f>
        <v>7.8301999999999996</v>
      </c>
      <c r="O491" s="33">
        <f>7.8338 * CHOOSE(CONTROL!$C$32, $C$9, 100%, $E$9)</f>
        <v>7.8338000000000001</v>
      </c>
    </row>
    <row r="492" spans="1:15" ht="15" x14ac:dyDescent="0.2">
      <c r="A492" s="16">
        <v>55824</v>
      </c>
      <c r="B492" s="32">
        <f>7.0047 * CHOOSE(CONTROL!$C$32, $C$9, 100%, $E$9)</f>
        <v>7.0046999999999997</v>
      </c>
      <c r="C492" s="32">
        <f>7.0047 * CHOOSE(CONTROL!$C$32, $C$9, 100%, $E$9)</f>
        <v>7.0046999999999997</v>
      </c>
      <c r="D492" s="32">
        <f>7.0058 * CHOOSE(CONTROL!$C$32, $C$9, 100%, $E$9)</f>
        <v>7.0057999999999998</v>
      </c>
      <c r="E492" s="33">
        <f>7.868 * CHOOSE(CONTROL!$C$32, $C$9, 100%, $E$9)</f>
        <v>7.8680000000000003</v>
      </c>
      <c r="F492" s="33">
        <f>7.868 * CHOOSE(CONTROL!$C$32, $C$9, 100%, $E$9)</f>
        <v>7.8680000000000003</v>
      </c>
      <c r="G492" s="33">
        <f>7.8716 * CHOOSE(CONTROL!$C$32, $C$9, 100%, $E$9)</f>
        <v>7.8715999999999999</v>
      </c>
      <c r="H492" s="33">
        <f>15.3425 * CHOOSE(CONTROL!$C$32, $C$9, 100%, $E$9)</f>
        <v>15.342499999999999</v>
      </c>
      <c r="I492" s="33">
        <f>15.3461 * CHOOSE(CONTROL!$C$32, $C$9, 100%, $E$9)</f>
        <v>15.3461</v>
      </c>
      <c r="J492" s="33">
        <f>15.3425 * CHOOSE(CONTROL!$C$32, $C$9, 100%, $E$9)</f>
        <v>15.342499999999999</v>
      </c>
      <c r="K492" s="33">
        <f>15.3461 * CHOOSE(CONTROL!$C$32, $C$9, 100%, $E$9)</f>
        <v>15.3461</v>
      </c>
      <c r="L492" s="33">
        <f>7.868 * CHOOSE(CONTROL!$C$32, $C$9, 100%, $E$9)</f>
        <v>7.8680000000000003</v>
      </c>
      <c r="M492" s="33">
        <f>7.8716 * CHOOSE(CONTROL!$C$32, $C$9, 100%, $E$9)</f>
        <v>7.8715999999999999</v>
      </c>
      <c r="N492" s="33">
        <f>7.868 * CHOOSE(CONTROL!$C$32, $C$9, 100%, $E$9)</f>
        <v>7.8680000000000003</v>
      </c>
      <c r="O492" s="33">
        <f>7.8716 * CHOOSE(CONTROL!$C$32, $C$9, 100%, $E$9)</f>
        <v>7.8715999999999999</v>
      </c>
    </row>
    <row r="493" spans="1:15" ht="15" x14ac:dyDescent="0.2">
      <c r="A493" s="16">
        <v>55854</v>
      </c>
      <c r="B493" s="32">
        <f>7.0047 * CHOOSE(CONTROL!$C$32, $C$9, 100%, $E$9)</f>
        <v>7.0046999999999997</v>
      </c>
      <c r="C493" s="32">
        <f>7.0047 * CHOOSE(CONTROL!$C$32, $C$9, 100%, $E$9)</f>
        <v>7.0046999999999997</v>
      </c>
      <c r="D493" s="32">
        <f>7.0058 * CHOOSE(CONTROL!$C$32, $C$9, 100%, $E$9)</f>
        <v>7.0057999999999998</v>
      </c>
      <c r="E493" s="33">
        <f>7.7787 * CHOOSE(CONTROL!$C$32, $C$9, 100%, $E$9)</f>
        <v>7.7786999999999997</v>
      </c>
      <c r="F493" s="33">
        <f>7.7787 * CHOOSE(CONTROL!$C$32, $C$9, 100%, $E$9)</f>
        <v>7.7786999999999997</v>
      </c>
      <c r="G493" s="33">
        <f>7.7823 * CHOOSE(CONTROL!$C$32, $C$9, 100%, $E$9)</f>
        <v>7.7823000000000002</v>
      </c>
      <c r="H493" s="33">
        <f>15.3744 * CHOOSE(CONTROL!$C$32, $C$9, 100%, $E$9)</f>
        <v>15.3744</v>
      </c>
      <c r="I493" s="33">
        <f>15.378 * CHOOSE(CONTROL!$C$32, $C$9, 100%, $E$9)</f>
        <v>15.378</v>
      </c>
      <c r="J493" s="33">
        <f>15.3744 * CHOOSE(CONTROL!$C$32, $C$9, 100%, $E$9)</f>
        <v>15.3744</v>
      </c>
      <c r="K493" s="33">
        <f>15.378 * CHOOSE(CONTROL!$C$32, $C$9, 100%, $E$9)</f>
        <v>15.378</v>
      </c>
      <c r="L493" s="33">
        <f>7.7787 * CHOOSE(CONTROL!$C$32, $C$9, 100%, $E$9)</f>
        <v>7.7786999999999997</v>
      </c>
      <c r="M493" s="33">
        <f>7.7823 * CHOOSE(CONTROL!$C$32, $C$9, 100%, $E$9)</f>
        <v>7.7823000000000002</v>
      </c>
      <c r="N493" s="33">
        <f>7.7787 * CHOOSE(CONTROL!$C$32, $C$9, 100%, $E$9)</f>
        <v>7.7786999999999997</v>
      </c>
      <c r="O493" s="33">
        <f>7.7823 * CHOOSE(CONTROL!$C$32, $C$9, 100%, $E$9)</f>
        <v>7.7823000000000002</v>
      </c>
    </row>
    <row r="494" spans="1:15" ht="15" x14ac:dyDescent="0.2">
      <c r="A494" s="16">
        <v>55885</v>
      </c>
      <c r="B494" s="32">
        <f>7.0575 * CHOOSE(CONTROL!$C$32, $C$9, 100%, $E$9)</f>
        <v>7.0575000000000001</v>
      </c>
      <c r="C494" s="32">
        <f>7.0575 * CHOOSE(CONTROL!$C$32, $C$9, 100%, $E$9)</f>
        <v>7.0575000000000001</v>
      </c>
      <c r="D494" s="32">
        <f>7.0586 * CHOOSE(CONTROL!$C$32, $C$9, 100%, $E$9)</f>
        <v>7.0586000000000002</v>
      </c>
      <c r="E494" s="33">
        <f>7.9087 * CHOOSE(CONTROL!$C$32, $C$9, 100%, $E$9)</f>
        <v>7.9086999999999996</v>
      </c>
      <c r="F494" s="33">
        <f>7.9087 * CHOOSE(CONTROL!$C$32, $C$9, 100%, $E$9)</f>
        <v>7.9086999999999996</v>
      </c>
      <c r="G494" s="33">
        <f>7.9124 * CHOOSE(CONTROL!$C$32, $C$9, 100%, $E$9)</f>
        <v>7.9123999999999999</v>
      </c>
      <c r="H494" s="33">
        <f>15.4065 * CHOOSE(CONTROL!$C$32, $C$9, 100%, $E$9)</f>
        <v>15.406499999999999</v>
      </c>
      <c r="I494" s="33">
        <f>15.4101 * CHOOSE(CONTROL!$C$32, $C$9, 100%, $E$9)</f>
        <v>15.4101</v>
      </c>
      <c r="J494" s="33">
        <f>15.4065 * CHOOSE(CONTROL!$C$32, $C$9, 100%, $E$9)</f>
        <v>15.406499999999999</v>
      </c>
      <c r="K494" s="33">
        <f>15.4101 * CHOOSE(CONTROL!$C$32, $C$9, 100%, $E$9)</f>
        <v>15.4101</v>
      </c>
      <c r="L494" s="33">
        <f>7.9087 * CHOOSE(CONTROL!$C$32, $C$9, 100%, $E$9)</f>
        <v>7.9086999999999996</v>
      </c>
      <c r="M494" s="33">
        <f>7.9124 * CHOOSE(CONTROL!$C$32, $C$9, 100%, $E$9)</f>
        <v>7.9123999999999999</v>
      </c>
      <c r="N494" s="33">
        <f>7.9087 * CHOOSE(CONTROL!$C$32, $C$9, 100%, $E$9)</f>
        <v>7.9086999999999996</v>
      </c>
      <c r="O494" s="33">
        <f>7.9124 * CHOOSE(CONTROL!$C$32, $C$9, 100%, $E$9)</f>
        <v>7.9123999999999999</v>
      </c>
    </row>
    <row r="495" spans="1:15" ht="15" x14ac:dyDescent="0.2">
      <c r="A495" s="16">
        <v>55916</v>
      </c>
      <c r="B495" s="32">
        <f>7.0545 * CHOOSE(CONTROL!$C$32, $C$9, 100%, $E$9)</f>
        <v>7.0545</v>
      </c>
      <c r="C495" s="32">
        <f>7.0545 * CHOOSE(CONTROL!$C$32, $C$9, 100%, $E$9)</f>
        <v>7.0545</v>
      </c>
      <c r="D495" s="32">
        <f>7.0555 * CHOOSE(CONTROL!$C$32, $C$9, 100%, $E$9)</f>
        <v>7.0555000000000003</v>
      </c>
      <c r="E495" s="33">
        <f>7.7323 * CHOOSE(CONTROL!$C$32, $C$9, 100%, $E$9)</f>
        <v>7.7323000000000004</v>
      </c>
      <c r="F495" s="33">
        <f>7.7323 * CHOOSE(CONTROL!$C$32, $C$9, 100%, $E$9)</f>
        <v>7.7323000000000004</v>
      </c>
      <c r="G495" s="33">
        <f>7.7359 * CHOOSE(CONTROL!$C$32, $C$9, 100%, $E$9)</f>
        <v>7.7359</v>
      </c>
      <c r="H495" s="33">
        <f>15.4386 * CHOOSE(CONTROL!$C$32, $C$9, 100%, $E$9)</f>
        <v>15.438599999999999</v>
      </c>
      <c r="I495" s="33">
        <f>15.4422 * CHOOSE(CONTROL!$C$32, $C$9, 100%, $E$9)</f>
        <v>15.4422</v>
      </c>
      <c r="J495" s="33">
        <f>15.4386 * CHOOSE(CONTROL!$C$32, $C$9, 100%, $E$9)</f>
        <v>15.438599999999999</v>
      </c>
      <c r="K495" s="33">
        <f>15.4422 * CHOOSE(CONTROL!$C$32, $C$9, 100%, $E$9)</f>
        <v>15.4422</v>
      </c>
      <c r="L495" s="33">
        <f>7.7323 * CHOOSE(CONTROL!$C$32, $C$9, 100%, $E$9)</f>
        <v>7.7323000000000004</v>
      </c>
      <c r="M495" s="33">
        <f>7.7359 * CHOOSE(CONTROL!$C$32, $C$9, 100%, $E$9)</f>
        <v>7.7359</v>
      </c>
      <c r="N495" s="33">
        <f>7.7323 * CHOOSE(CONTROL!$C$32, $C$9, 100%, $E$9)</f>
        <v>7.7323000000000004</v>
      </c>
      <c r="O495" s="33">
        <f>7.7359 * CHOOSE(CONTROL!$C$32, $C$9, 100%, $E$9)</f>
        <v>7.7359</v>
      </c>
    </row>
    <row r="496" spans="1:15" ht="15" x14ac:dyDescent="0.2">
      <c r="A496" s="16">
        <v>55944</v>
      </c>
      <c r="B496" s="32">
        <f>7.0514 * CHOOSE(CONTROL!$C$32, $C$9, 100%, $E$9)</f>
        <v>7.0514000000000001</v>
      </c>
      <c r="C496" s="32">
        <f>7.0514 * CHOOSE(CONTROL!$C$32, $C$9, 100%, $E$9)</f>
        <v>7.0514000000000001</v>
      </c>
      <c r="D496" s="32">
        <f>7.0525 * CHOOSE(CONTROL!$C$32, $C$9, 100%, $E$9)</f>
        <v>7.0525000000000002</v>
      </c>
      <c r="E496" s="33">
        <f>7.8676 * CHOOSE(CONTROL!$C$32, $C$9, 100%, $E$9)</f>
        <v>7.8676000000000004</v>
      </c>
      <c r="F496" s="33">
        <f>7.8676 * CHOOSE(CONTROL!$C$32, $C$9, 100%, $E$9)</f>
        <v>7.8676000000000004</v>
      </c>
      <c r="G496" s="33">
        <f>7.8712 * CHOOSE(CONTROL!$C$32, $C$9, 100%, $E$9)</f>
        <v>7.8712</v>
      </c>
      <c r="H496" s="33">
        <f>15.4707 * CHOOSE(CONTROL!$C$32, $C$9, 100%, $E$9)</f>
        <v>15.470700000000001</v>
      </c>
      <c r="I496" s="33">
        <f>15.4743 * CHOOSE(CONTROL!$C$32, $C$9, 100%, $E$9)</f>
        <v>15.474299999999999</v>
      </c>
      <c r="J496" s="33">
        <f>15.4707 * CHOOSE(CONTROL!$C$32, $C$9, 100%, $E$9)</f>
        <v>15.470700000000001</v>
      </c>
      <c r="K496" s="33">
        <f>15.4743 * CHOOSE(CONTROL!$C$32, $C$9, 100%, $E$9)</f>
        <v>15.474299999999999</v>
      </c>
      <c r="L496" s="33">
        <f>7.8676 * CHOOSE(CONTROL!$C$32, $C$9, 100%, $E$9)</f>
        <v>7.8676000000000004</v>
      </c>
      <c r="M496" s="33">
        <f>7.8712 * CHOOSE(CONTROL!$C$32, $C$9, 100%, $E$9)</f>
        <v>7.8712</v>
      </c>
      <c r="N496" s="33">
        <f>7.8676 * CHOOSE(CONTROL!$C$32, $C$9, 100%, $E$9)</f>
        <v>7.8676000000000004</v>
      </c>
      <c r="O496" s="33">
        <f>7.8712 * CHOOSE(CONTROL!$C$32, $C$9, 100%, $E$9)</f>
        <v>7.8712</v>
      </c>
    </row>
    <row r="497" spans="1:15" ht="15" x14ac:dyDescent="0.2">
      <c r="A497" s="16">
        <v>55975</v>
      </c>
      <c r="B497" s="32">
        <f>7.052 * CHOOSE(CONTROL!$C$32, $C$9, 100%, $E$9)</f>
        <v>7.0519999999999996</v>
      </c>
      <c r="C497" s="32">
        <f>7.052 * CHOOSE(CONTROL!$C$32, $C$9, 100%, $E$9)</f>
        <v>7.0519999999999996</v>
      </c>
      <c r="D497" s="32">
        <f>7.0531 * CHOOSE(CONTROL!$C$32, $C$9, 100%, $E$9)</f>
        <v>7.0530999999999997</v>
      </c>
      <c r="E497" s="33">
        <f>8.011 * CHOOSE(CONTROL!$C$32, $C$9, 100%, $E$9)</f>
        <v>8.0109999999999992</v>
      </c>
      <c r="F497" s="33">
        <f>8.011 * CHOOSE(CONTROL!$C$32, $C$9, 100%, $E$9)</f>
        <v>8.0109999999999992</v>
      </c>
      <c r="G497" s="33">
        <f>8.0146 * CHOOSE(CONTROL!$C$32, $C$9, 100%, $E$9)</f>
        <v>8.0145999999999997</v>
      </c>
      <c r="H497" s="33">
        <f>15.5029 * CHOOSE(CONTROL!$C$32, $C$9, 100%, $E$9)</f>
        <v>15.5029</v>
      </c>
      <c r="I497" s="33">
        <f>15.5066 * CHOOSE(CONTROL!$C$32, $C$9, 100%, $E$9)</f>
        <v>15.506600000000001</v>
      </c>
      <c r="J497" s="33">
        <f>15.5029 * CHOOSE(CONTROL!$C$32, $C$9, 100%, $E$9)</f>
        <v>15.5029</v>
      </c>
      <c r="K497" s="33">
        <f>15.5066 * CHOOSE(CONTROL!$C$32, $C$9, 100%, $E$9)</f>
        <v>15.506600000000001</v>
      </c>
      <c r="L497" s="33">
        <f>8.011 * CHOOSE(CONTROL!$C$32, $C$9, 100%, $E$9)</f>
        <v>8.0109999999999992</v>
      </c>
      <c r="M497" s="33">
        <f>8.0146 * CHOOSE(CONTROL!$C$32, $C$9, 100%, $E$9)</f>
        <v>8.0145999999999997</v>
      </c>
      <c r="N497" s="33">
        <f>8.011 * CHOOSE(CONTROL!$C$32, $C$9, 100%, $E$9)</f>
        <v>8.0109999999999992</v>
      </c>
      <c r="O497" s="33">
        <f>8.0146 * CHOOSE(CONTROL!$C$32, $C$9, 100%, $E$9)</f>
        <v>8.0145999999999997</v>
      </c>
    </row>
    <row r="498" spans="1:15" ht="15" x14ac:dyDescent="0.2">
      <c r="A498" s="16">
        <v>56005</v>
      </c>
      <c r="B498" s="32">
        <f>7.052 * CHOOSE(CONTROL!$C$32, $C$9, 100%, $E$9)</f>
        <v>7.0519999999999996</v>
      </c>
      <c r="C498" s="32">
        <f>7.052 * CHOOSE(CONTROL!$C$32, $C$9, 100%, $E$9)</f>
        <v>7.0519999999999996</v>
      </c>
      <c r="D498" s="32">
        <f>7.0536 * CHOOSE(CONTROL!$C$32, $C$9, 100%, $E$9)</f>
        <v>7.0536000000000003</v>
      </c>
      <c r="E498" s="33">
        <f>8.0663 * CHOOSE(CONTROL!$C$32, $C$9, 100%, $E$9)</f>
        <v>8.0663</v>
      </c>
      <c r="F498" s="33">
        <f>8.0663 * CHOOSE(CONTROL!$C$32, $C$9, 100%, $E$9)</f>
        <v>8.0663</v>
      </c>
      <c r="G498" s="33">
        <f>8.0716 * CHOOSE(CONTROL!$C$32, $C$9, 100%, $E$9)</f>
        <v>8.0716000000000001</v>
      </c>
      <c r="H498" s="33">
        <f>15.5352 * CHOOSE(CONTROL!$C$32, $C$9, 100%, $E$9)</f>
        <v>15.5352</v>
      </c>
      <c r="I498" s="33">
        <f>15.5405 * CHOOSE(CONTROL!$C$32, $C$9, 100%, $E$9)</f>
        <v>15.5405</v>
      </c>
      <c r="J498" s="33">
        <f>15.5352 * CHOOSE(CONTROL!$C$32, $C$9, 100%, $E$9)</f>
        <v>15.5352</v>
      </c>
      <c r="K498" s="33">
        <f>15.5405 * CHOOSE(CONTROL!$C$32, $C$9, 100%, $E$9)</f>
        <v>15.5405</v>
      </c>
      <c r="L498" s="33">
        <f>8.0663 * CHOOSE(CONTROL!$C$32, $C$9, 100%, $E$9)</f>
        <v>8.0663</v>
      </c>
      <c r="M498" s="33">
        <f>8.0716 * CHOOSE(CONTROL!$C$32, $C$9, 100%, $E$9)</f>
        <v>8.0716000000000001</v>
      </c>
      <c r="N498" s="33">
        <f>8.0663 * CHOOSE(CONTROL!$C$32, $C$9, 100%, $E$9)</f>
        <v>8.0663</v>
      </c>
      <c r="O498" s="33">
        <f>8.0716 * CHOOSE(CONTROL!$C$32, $C$9, 100%, $E$9)</f>
        <v>8.0716000000000001</v>
      </c>
    </row>
    <row r="499" spans="1:15" ht="15" x14ac:dyDescent="0.2">
      <c r="A499" s="16">
        <v>56036</v>
      </c>
      <c r="B499" s="32">
        <f>7.0581 * CHOOSE(CONTROL!$C$32, $C$9, 100%, $E$9)</f>
        <v>7.0580999999999996</v>
      </c>
      <c r="C499" s="32">
        <f>7.0581 * CHOOSE(CONTROL!$C$32, $C$9, 100%, $E$9)</f>
        <v>7.0580999999999996</v>
      </c>
      <c r="D499" s="32">
        <f>7.0597 * CHOOSE(CONTROL!$C$32, $C$9, 100%, $E$9)</f>
        <v>7.0597000000000003</v>
      </c>
      <c r="E499" s="33">
        <f>8.0152 * CHOOSE(CONTROL!$C$32, $C$9, 100%, $E$9)</f>
        <v>8.0152000000000001</v>
      </c>
      <c r="F499" s="33">
        <f>8.0152 * CHOOSE(CONTROL!$C$32, $C$9, 100%, $E$9)</f>
        <v>8.0152000000000001</v>
      </c>
      <c r="G499" s="33">
        <f>8.0205 * CHOOSE(CONTROL!$C$32, $C$9, 100%, $E$9)</f>
        <v>8.0205000000000002</v>
      </c>
      <c r="H499" s="33">
        <f>15.5676 * CHOOSE(CONTROL!$C$32, $C$9, 100%, $E$9)</f>
        <v>15.567600000000001</v>
      </c>
      <c r="I499" s="33">
        <f>15.5729 * CHOOSE(CONTROL!$C$32, $C$9, 100%, $E$9)</f>
        <v>15.572900000000001</v>
      </c>
      <c r="J499" s="33">
        <f>15.5676 * CHOOSE(CONTROL!$C$32, $C$9, 100%, $E$9)</f>
        <v>15.567600000000001</v>
      </c>
      <c r="K499" s="33">
        <f>15.5729 * CHOOSE(CONTROL!$C$32, $C$9, 100%, $E$9)</f>
        <v>15.572900000000001</v>
      </c>
      <c r="L499" s="33">
        <f>8.0152 * CHOOSE(CONTROL!$C$32, $C$9, 100%, $E$9)</f>
        <v>8.0152000000000001</v>
      </c>
      <c r="M499" s="33">
        <f>8.0205 * CHOOSE(CONTROL!$C$32, $C$9, 100%, $E$9)</f>
        <v>8.0205000000000002</v>
      </c>
      <c r="N499" s="33">
        <f>8.0152 * CHOOSE(CONTROL!$C$32, $C$9, 100%, $E$9)</f>
        <v>8.0152000000000001</v>
      </c>
      <c r="O499" s="33">
        <f>8.0205 * CHOOSE(CONTROL!$C$32, $C$9, 100%, $E$9)</f>
        <v>8.0205000000000002</v>
      </c>
    </row>
    <row r="500" spans="1:15" ht="15" x14ac:dyDescent="0.2">
      <c r="A500" s="16">
        <v>56066</v>
      </c>
      <c r="B500" s="32">
        <f>7.1502 * CHOOSE(CONTROL!$C$32, $C$9, 100%, $E$9)</f>
        <v>7.1501999999999999</v>
      </c>
      <c r="C500" s="32">
        <f>7.1502 * CHOOSE(CONTROL!$C$32, $C$9, 100%, $E$9)</f>
        <v>7.1501999999999999</v>
      </c>
      <c r="D500" s="32">
        <f>7.1518 * CHOOSE(CONTROL!$C$32, $C$9, 100%, $E$9)</f>
        <v>7.1517999999999997</v>
      </c>
      <c r="E500" s="33">
        <f>8.1252 * CHOOSE(CONTROL!$C$32, $C$9, 100%, $E$9)</f>
        <v>8.1251999999999995</v>
      </c>
      <c r="F500" s="33">
        <f>8.1252 * CHOOSE(CONTROL!$C$32, $C$9, 100%, $E$9)</f>
        <v>8.1251999999999995</v>
      </c>
      <c r="G500" s="33">
        <f>8.1305 * CHOOSE(CONTROL!$C$32, $C$9, 100%, $E$9)</f>
        <v>8.1304999999999996</v>
      </c>
      <c r="H500" s="33">
        <f>15.6 * CHOOSE(CONTROL!$C$32, $C$9, 100%, $E$9)</f>
        <v>15.6</v>
      </c>
      <c r="I500" s="33">
        <f>15.6053 * CHOOSE(CONTROL!$C$32, $C$9, 100%, $E$9)</f>
        <v>15.6053</v>
      </c>
      <c r="J500" s="33">
        <f>15.6 * CHOOSE(CONTROL!$C$32, $C$9, 100%, $E$9)</f>
        <v>15.6</v>
      </c>
      <c r="K500" s="33">
        <f>15.6053 * CHOOSE(CONTROL!$C$32, $C$9, 100%, $E$9)</f>
        <v>15.6053</v>
      </c>
      <c r="L500" s="33">
        <f>8.1252 * CHOOSE(CONTROL!$C$32, $C$9, 100%, $E$9)</f>
        <v>8.1251999999999995</v>
      </c>
      <c r="M500" s="33">
        <f>8.1305 * CHOOSE(CONTROL!$C$32, $C$9, 100%, $E$9)</f>
        <v>8.1304999999999996</v>
      </c>
      <c r="N500" s="33">
        <f>8.1252 * CHOOSE(CONTROL!$C$32, $C$9, 100%, $E$9)</f>
        <v>8.1251999999999995</v>
      </c>
      <c r="O500" s="33">
        <f>8.1305 * CHOOSE(CONTROL!$C$32, $C$9, 100%, $E$9)</f>
        <v>8.1304999999999996</v>
      </c>
    </row>
    <row r="501" spans="1:15" ht="15" x14ac:dyDescent="0.2">
      <c r="A501" s="16">
        <v>56097</v>
      </c>
      <c r="B501" s="32">
        <f>7.1569 * CHOOSE(CONTROL!$C$32, $C$9, 100%, $E$9)</f>
        <v>7.1569000000000003</v>
      </c>
      <c r="C501" s="32">
        <f>7.1569 * CHOOSE(CONTROL!$C$32, $C$9, 100%, $E$9)</f>
        <v>7.1569000000000003</v>
      </c>
      <c r="D501" s="32">
        <f>7.1585 * CHOOSE(CONTROL!$C$32, $C$9, 100%, $E$9)</f>
        <v>7.1585000000000001</v>
      </c>
      <c r="E501" s="33">
        <f>7.9639 * CHOOSE(CONTROL!$C$32, $C$9, 100%, $E$9)</f>
        <v>7.9638999999999998</v>
      </c>
      <c r="F501" s="33">
        <f>7.9639 * CHOOSE(CONTROL!$C$32, $C$9, 100%, $E$9)</f>
        <v>7.9638999999999998</v>
      </c>
      <c r="G501" s="33">
        <f>7.9692 * CHOOSE(CONTROL!$C$32, $C$9, 100%, $E$9)</f>
        <v>7.9691999999999998</v>
      </c>
      <c r="H501" s="33">
        <f>15.6325 * CHOOSE(CONTROL!$C$32, $C$9, 100%, $E$9)</f>
        <v>15.6325</v>
      </c>
      <c r="I501" s="33">
        <f>15.6378 * CHOOSE(CONTROL!$C$32, $C$9, 100%, $E$9)</f>
        <v>15.6378</v>
      </c>
      <c r="J501" s="33">
        <f>15.6325 * CHOOSE(CONTROL!$C$32, $C$9, 100%, $E$9)</f>
        <v>15.6325</v>
      </c>
      <c r="K501" s="33">
        <f>15.6378 * CHOOSE(CONTROL!$C$32, $C$9, 100%, $E$9)</f>
        <v>15.6378</v>
      </c>
      <c r="L501" s="33">
        <f>7.9639 * CHOOSE(CONTROL!$C$32, $C$9, 100%, $E$9)</f>
        <v>7.9638999999999998</v>
      </c>
      <c r="M501" s="33">
        <f>7.9692 * CHOOSE(CONTROL!$C$32, $C$9, 100%, $E$9)</f>
        <v>7.9691999999999998</v>
      </c>
      <c r="N501" s="33">
        <f>7.9639 * CHOOSE(CONTROL!$C$32, $C$9, 100%, $E$9)</f>
        <v>7.9638999999999998</v>
      </c>
      <c r="O501" s="33">
        <f>7.9692 * CHOOSE(CONTROL!$C$32, $C$9, 100%, $E$9)</f>
        <v>7.9691999999999998</v>
      </c>
    </row>
    <row r="502" spans="1:15" ht="15" x14ac:dyDescent="0.2">
      <c r="A502" s="16">
        <v>56128</v>
      </c>
      <c r="B502" s="32">
        <f>7.1539 * CHOOSE(CONTROL!$C$32, $C$9, 100%, $E$9)</f>
        <v>7.1539000000000001</v>
      </c>
      <c r="C502" s="32">
        <f>7.1539 * CHOOSE(CONTROL!$C$32, $C$9, 100%, $E$9)</f>
        <v>7.1539000000000001</v>
      </c>
      <c r="D502" s="32">
        <f>7.1554 * CHOOSE(CONTROL!$C$32, $C$9, 100%, $E$9)</f>
        <v>7.1554000000000002</v>
      </c>
      <c r="E502" s="33">
        <f>7.9433 * CHOOSE(CONTROL!$C$32, $C$9, 100%, $E$9)</f>
        <v>7.9432999999999998</v>
      </c>
      <c r="F502" s="33">
        <f>7.9433 * CHOOSE(CONTROL!$C$32, $C$9, 100%, $E$9)</f>
        <v>7.9432999999999998</v>
      </c>
      <c r="G502" s="33">
        <f>7.9486 * CHOOSE(CONTROL!$C$32, $C$9, 100%, $E$9)</f>
        <v>7.9485999999999999</v>
      </c>
      <c r="H502" s="33">
        <f>15.6651 * CHOOSE(CONTROL!$C$32, $C$9, 100%, $E$9)</f>
        <v>15.665100000000001</v>
      </c>
      <c r="I502" s="33">
        <f>15.6704 * CHOOSE(CONTROL!$C$32, $C$9, 100%, $E$9)</f>
        <v>15.670400000000001</v>
      </c>
      <c r="J502" s="33">
        <f>15.6651 * CHOOSE(CONTROL!$C$32, $C$9, 100%, $E$9)</f>
        <v>15.665100000000001</v>
      </c>
      <c r="K502" s="33">
        <f>15.6704 * CHOOSE(CONTROL!$C$32, $C$9, 100%, $E$9)</f>
        <v>15.670400000000001</v>
      </c>
      <c r="L502" s="33">
        <f>7.9433 * CHOOSE(CONTROL!$C$32, $C$9, 100%, $E$9)</f>
        <v>7.9432999999999998</v>
      </c>
      <c r="M502" s="33">
        <f>7.9486 * CHOOSE(CONTROL!$C$32, $C$9, 100%, $E$9)</f>
        <v>7.9485999999999999</v>
      </c>
      <c r="N502" s="33">
        <f>7.9433 * CHOOSE(CONTROL!$C$32, $C$9, 100%, $E$9)</f>
        <v>7.9432999999999998</v>
      </c>
      <c r="O502" s="33">
        <f>7.9486 * CHOOSE(CONTROL!$C$32, $C$9, 100%, $E$9)</f>
        <v>7.9485999999999999</v>
      </c>
    </row>
    <row r="503" spans="1:15" ht="15" x14ac:dyDescent="0.2">
      <c r="A503" s="16">
        <v>56158</v>
      </c>
      <c r="B503" s="32">
        <f>7.1607 * CHOOSE(CONTROL!$C$32, $C$9, 100%, $E$9)</f>
        <v>7.1607000000000003</v>
      </c>
      <c r="C503" s="32">
        <f>7.1607 * CHOOSE(CONTROL!$C$32, $C$9, 100%, $E$9)</f>
        <v>7.1607000000000003</v>
      </c>
      <c r="D503" s="32">
        <f>7.1617 * CHOOSE(CONTROL!$C$32, $C$9, 100%, $E$9)</f>
        <v>7.1616999999999997</v>
      </c>
      <c r="E503" s="33">
        <f>8.0037 * CHOOSE(CONTROL!$C$32, $C$9, 100%, $E$9)</f>
        <v>8.0037000000000003</v>
      </c>
      <c r="F503" s="33">
        <f>8.0037 * CHOOSE(CONTROL!$C$32, $C$9, 100%, $E$9)</f>
        <v>8.0037000000000003</v>
      </c>
      <c r="G503" s="33">
        <f>8.0073 * CHOOSE(CONTROL!$C$32, $C$9, 100%, $E$9)</f>
        <v>8.0073000000000008</v>
      </c>
      <c r="H503" s="33">
        <f>15.6977 * CHOOSE(CONTROL!$C$32, $C$9, 100%, $E$9)</f>
        <v>15.697699999999999</v>
      </c>
      <c r="I503" s="33">
        <f>15.7014 * CHOOSE(CONTROL!$C$32, $C$9, 100%, $E$9)</f>
        <v>15.7014</v>
      </c>
      <c r="J503" s="33">
        <f>15.6977 * CHOOSE(CONTROL!$C$32, $C$9, 100%, $E$9)</f>
        <v>15.697699999999999</v>
      </c>
      <c r="K503" s="33">
        <f>15.7014 * CHOOSE(CONTROL!$C$32, $C$9, 100%, $E$9)</f>
        <v>15.7014</v>
      </c>
      <c r="L503" s="33">
        <f>8.0037 * CHOOSE(CONTROL!$C$32, $C$9, 100%, $E$9)</f>
        <v>8.0037000000000003</v>
      </c>
      <c r="M503" s="33">
        <f>8.0073 * CHOOSE(CONTROL!$C$32, $C$9, 100%, $E$9)</f>
        <v>8.0073000000000008</v>
      </c>
      <c r="N503" s="33">
        <f>8.0037 * CHOOSE(CONTROL!$C$32, $C$9, 100%, $E$9)</f>
        <v>8.0037000000000003</v>
      </c>
      <c r="O503" s="33">
        <f>8.0073 * CHOOSE(CONTROL!$C$32, $C$9, 100%, $E$9)</f>
        <v>8.0073000000000008</v>
      </c>
    </row>
    <row r="504" spans="1:15" ht="15" x14ac:dyDescent="0.2">
      <c r="A504" s="16">
        <v>56189</v>
      </c>
      <c r="B504" s="32">
        <f>7.1637 * CHOOSE(CONTROL!$C$32, $C$9, 100%, $E$9)</f>
        <v>7.1637000000000004</v>
      </c>
      <c r="C504" s="32">
        <f>7.1637 * CHOOSE(CONTROL!$C$32, $C$9, 100%, $E$9)</f>
        <v>7.1637000000000004</v>
      </c>
      <c r="D504" s="32">
        <f>7.1648 * CHOOSE(CONTROL!$C$32, $C$9, 100%, $E$9)</f>
        <v>7.1647999999999996</v>
      </c>
      <c r="E504" s="33">
        <f>8.0427 * CHOOSE(CONTROL!$C$32, $C$9, 100%, $E$9)</f>
        <v>8.0427</v>
      </c>
      <c r="F504" s="33">
        <f>8.0427 * CHOOSE(CONTROL!$C$32, $C$9, 100%, $E$9)</f>
        <v>8.0427</v>
      </c>
      <c r="G504" s="33">
        <f>8.0463 * CHOOSE(CONTROL!$C$32, $C$9, 100%, $E$9)</f>
        <v>8.0463000000000005</v>
      </c>
      <c r="H504" s="33">
        <f>15.7304 * CHOOSE(CONTROL!$C$32, $C$9, 100%, $E$9)</f>
        <v>15.730399999999999</v>
      </c>
      <c r="I504" s="33">
        <f>15.7341 * CHOOSE(CONTROL!$C$32, $C$9, 100%, $E$9)</f>
        <v>15.7341</v>
      </c>
      <c r="J504" s="33">
        <f>15.7304 * CHOOSE(CONTROL!$C$32, $C$9, 100%, $E$9)</f>
        <v>15.730399999999999</v>
      </c>
      <c r="K504" s="33">
        <f>15.7341 * CHOOSE(CONTROL!$C$32, $C$9, 100%, $E$9)</f>
        <v>15.7341</v>
      </c>
      <c r="L504" s="33">
        <f>8.0427 * CHOOSE(CONTROL!$C$32, $C$9, 100%, $E$9)</f>
        <v>8.0427</v>
      </c>
      <c r="M504" s="33">
        <f>8.0463 * CHOOSE(CONTROL!$C$32, $C$9, 100%, $E$9)</f>
        <v>8.0463000000000005</v>
      </c>
      <c r="N504" s="33">
        <f>8.0427 * CHOOSE(CONTROL!$C$32, $C$9, 100%, $E$9)</f>
        <v>8.0427</v>
      </c>
      <c r="O504" s="33">
        <f>8.0463 * CHOOSE(CONTROL!$C$32, $C$9, 100%, $E$9)</f>
        <v>8.0463000000000005</v>
      </c>
    </row>
    <row r="505" spans="1:15" ht="15" x14ac:dyDescent="0.2">
      <c r="A505" s="16">
        <v>56219</v>
      </c>
      <c r="B505" s="32">
        <f>7.1637 * CHOOSE(CONTROL!$C$32, $C$9, 100%, $E$9)</f>
        <v>7.1637000000000004</v>
      </c>
      <c r="C505" s="32">
        <f>7.1637 * CHOOSE(CONTROL!$C$32, $C$9, 100%, $E$9)</f>
        <v>7.1637000000000004</v>
      </c>
      <c r="D505" s="32">
        <f>7.1648 * CHOOSE(CONTROL!$C$32, $C$9, 100%, $E$9)</f>
        <v>7.1647999999999996</v>
      </c>
      <c r="E505" s="33">
        <f>7.9504 * CHOOSE(CONTROL!$C$32, $C$9, 100%, $E$9)</f>
        <v>7.9504000000000001</v>
      </c>
      <c r="F505" s="33">
        <f>7.9504 * CHOOSE(CONTROL!$C$32, $C$9, 100%, $E$9)</f>
        <v>7.9504000000000001</v>
      </c>
      <c r="G505" s="33">
        <f>7.9541 * CHOOSE(CONTROL!$C$32, $C$9, 100%, $E$9)</f>
        <v>7.9541000000000004</v>
      </c>
      <c r="H505" s="33">
        <f>15.7632 * CHOOSE(CONTROL!$C$32, $C$9, 100%, $E$9)</f>
        <v>15.763199999999999</v>
      </c>
      <c r="I505" s="33">
        <f>15.7668 * CHOOSE(CONTROL!$C$32, $C$9, 100%, $E$9)</f>
        <v>15.7668</v>
      </c>
      <c r="J505" s="33">
        <f>15.7632 * CHOOSE(CONTROL!$C$32, $C$9, 100%, $E$9)</f>
        <v>15.763199999999999</v>
      </c>
      <c r="K505" s="33">
        <f>15.7668 * CHOOSE(CONTROL!$C$32, $C$9, 100%, $E$9)</f>
        <v>15.7668</v>
      </c>
      <c r="L505" s="33">
        <f>7.9504 * CHOOSE(CONTROL!$C$32, $C$9, 100%, $E$9)</f>
        <v>7.9504000000000001</v>
      </c>
      <c r="M505" s="33">
        <f>7.9541 * CHOOSE(CONTROL!$C$32, $C$9, 100%, $E$9)</f>
        <v>7.9541000000000004</v>
      </c>
      <c r="N505" s="33">
        <f>7.9504 * CHOOSE(CONTROL!$C$32, $C$9, 100%, $E$9)</f>
        <v>7.9504000000000001</v>
      </c>
      <c r="O505" s="33">
        <f>7.9541 * CHOOSE(CONTROL!$C$32, $C$9, 100%, $E$9)</f>
        <v>7.9541000000000004</v>
      </c>
    </row>
    <row r="506" spans="1:15" ht="15" x14ac:dyDescent="0.2">
      <c r="A506" s="16">
        <v>56250</v>
      </c>
      <c r="B506" s="32">
        <f>7.2176 * CHOOSE(CONTROL!$C$32, $C$9, 100%, $E$9)</f>
        <v>7.2176</v>
      </c>
      <c r="C506" s="32">
        <f>7.2176 * CHOOSE(CONTROL!$C$32, $C$9, 100%, $E$9)</f>
        <v>7.2176</v>
      </c>
      <c r="D506" s="32">
        <f>7.2187 * CHOOSE(CONTROL!$C$32, $C$9, 100%, $E$9)</f>
        <v>7.2187000000000001</v>
      </c>
      <c r="E506" s="33">
        <f>8.0845 * CHOOSE(CONTROL!$C$32, $C$9, 100%, $E$9)</f>
        <v>8.0845000000000002</v>
      </c>
      <c r="F506" s="33">
        <f>8.0845 * CHOOSE(CONTROL!$C$32, $C$9, 100%, $E$9)</f>
        <v>8.0845000000000002</v>
      </c>
      <c r="G506" s="33">
        <f>8.0881 * CHOOSE(CONTROL!$C$32, $C$9, 100%, $E$9)</f>
        <v>8.0881000000000007</v>
      </c>
      <c r="H506" s="33">
        <f>15.7961 * CHOOSE(CONTROL!$C$32, $C$9, 100%, $E$9)</f>
        <v>15.796099999999999</v>
      </c>
      <c r="I506" s="33">
        <f>15.7997 * CHOOSE(CONTROL!$C$32, $C$9, 100%, $E$9)</f>
        <v>15.7997</v>
      </c>
      <c r="J506" s="33">
        <f>15.7961 * CHOOSE(CONTROL!$C$32, $C$9, 100%, $E$9)</f>
        <v>15.796099999999999</v>
      </c>
      <c r="K506" s="33">
        <f>15.7997 * CHOOSE(CONTROL!$C$32, $C$9, 100%, $E$9)</f>
        <v>15.7997</v>
      </c>
      <c r="L506" s="33">
        <f>8.0845 * CHOOSE(CONTROL!$C$32, $C$9, 100%, $E$9)</f>
        <v>8.0845000000000002</v>
      </c>
      <c r="M506" s="33">
        <f>8.0881 * CHOOSE(CONTROL!$C$32, $C$9, 100%, $E$9)</f>
        <v>8.0881000000000007</v>
      </c>
      <c r="N506" s="33">
        <f>8.0845 * CHOOSE(CONTROL!$C$32, $C$9, 100%, $E$9)</f>
        <v>8.0845000000000002</v>
      </c>
      <c r="O506" s="33">
        <f>8.0881 * CHOOSE(CONTROL!$C$32, $C$9, 100%, $E$9)</f>
        <v>8.0881000000000007</v>
      </c>
    </row>
    <row r="507" spans="1:15" ht="15" x14ac:dyDescent="0.2">
      <c r="A507" s="16">
        <v>56281</v>
      </c>
      <c r="B507" s="32">
        <f>7.2146 * CHOOSE(CONTROL!$C$32, $C$9, 100%, $E$9)</f>
        <v>7.2145999999999999</v>
      </c>
      <c r="C507" s="32">
        <f>7.2146 * CHOOSE(CONTROL!$C$32, $C$9, 100%, $E$9)</f>
        <v>7.2145999999999999</v>
      </c>
      <c r="D507" s="32">
        <f>7.2156 * CHOOSE(CONTROL!$C$32, $C$9, 100%, $E$9)</f>
        <v>7.2156000000000002</v>
      </c>
      <c r="E507" s="33">
        <f>7.9024 * CHOOSE(CONTROL!$C$32, $C$9, 100%, $E$9)</f>
        <v>7.9024000000000001</v>
      </c>
      <c r="F507" s="33">
        <f>7.9024 * CHOOSE(CONTROL!$C$32, $C$9, 100%, $E$9)</f>
        <v>7.9024000000000001</v>
      </c>
      <c r="G507" s="33">
        <f>7.906 * CHOOSE(CONTROL!$C$32, $C$9, 100%, $E$9)</f>
        <v>7.9059999999999997</v>
      </c>
      <c r="H507" s="33">
        <f>15.829 * CHOOSE(CONTROL!$C$32, $C$9, 100%, $E$9)</f>
        <v>15.829000000000001</v>
      </c>
      <c r="I507" s="33">
        <f>15.8326 * CHOOSE(CONTROL!$C$32, $C$9, 100%, $E$9)</f>
        <v>15.832599999999999</v>
      </c>
      <c r="J507" s="33">
        <f>15.829 * CHOOSE(CONTROL!$C$32, $C$9, 100%, $E$9)</f>
        <v>15.829000000000001</v>
      </c>
      <c r="K507" s="33">
        <f>15.8326 * CHOOSE(CONTROL!$C$32, $C$9, 100%, $E$9)</f>
        <v>15.832599999999999</v>
      </c>
      <c r="L507" s="33">
        <f>7.9024 * CHOOSE(CONTROL!$C$32, $C$9, 100%, $E$9)</f>
        <v>7.9024000000000001</v>
      </c>
      <c r="M507" s="33">
        <f>7.906 * CHOOSE(CONTROL!$C$32, $C$9, 100%, $E$9)</f>
        <v>7.9059999999999997</v>
      </c>
      <c r="N507" s="33">
        <f>7.9024 * CHOOSE(CONTROL!$C$32, $C$9, 100%, $E$9)</f>
        <v>7.9024000000000001</v>
      </c>
      <c r="O507" s="33">
        <f>7.906 * CHOOSE(CONTROL!$C$32, $C$9, 100%, $E$9)</f>
        <v>7.9059999999999997</v>
      </c>
    </row>
    <row r="508" spans="1:15" ht="15" x14ac:dyDescent="0.2">
      <c r="A508" s="16">
        <v>56309</v>
      </c>
      <c r="B508" s="32">
        <f>7.2115 * CHOOSE(CONTROL!$C$32, $C$9, 100%, $E$9)</f>
        <v>7.2115</v>
      </c>
      <c r="C508" s="32">
        <f>7.2115 * CHOOSE(CONTROL!$C$32, $C$9, 100%, $E$9)</f>
        <v>7.2115</v>
      </c>
      <c r="D508" s="32">
        <f>7.2126 * CHOOSE(CONTROL!$C$32, $C$9, 100%, $E$9)</f>
        <v>7.2126000000000001</v>
      </c>
      <c r="E508" s="33">
        <f>8.0422 * CHOOSE(CONTROL!$C$32, $C$9, 100%, $E$9)</f>
        <v>8.0421999999999993</v>
      </c>
      <c r="F508" s="33">
        <f>8.0422 * CHOOSE(CONTROL!$C$32, $C$9, 100%, $E$9)</f>
        <v>8.0421999999999993</v>
      </c>
      <c r="G508" s="33">
        <f>8.0458 * CHOOSE(CONTROL!$C$32, $C$9, 100%, $E$9)</f>
        <v>8.0457999999999998</v>
      </c>
      <c r="H508" s="33">
        <f>15.8619 * CHOOSE(CONTROL!$C$32, $C$9, 100%, $E$9)</f>
        <v>15.8619</v>
      </c>
      <c r="I508" s="33">
        <f>15.8656 * CHOOSE(CONTROL!$C$32, $C$9, 100%, $E$9)</f>
        <v>15.865600000000001</v>
      </c>
      <c r="J508" s="33">
        <f>15.8619 * CHOOSE(CONTROL!$C$32, $C$9, 100%, $E$9)</f>
        <v>15.8619</v>
      </c>
      <c r="K508" s="33">
        <f>15.8656 * CHOOSE(CONTROL!$C$32, $C$9, 100%, $E$9)</f>
        <v>15.865600000000001</v>
      </c>
      <c r="L508" s="33">
        <f>8.0422 * CHOOSE(CONTROL!$C$32, $C$9, 100%, $E$9)</f>
        <v>8.0421999999999993</v>
      </c>
      <c r="M508" s="33">
        <f>8.0458 * CHOOSE(CONTROL!$C$32, $C$9, 100%, $E$9)</f>
        <v>8.0457999999999998</v>
      </c>
      <c r="N508" s="33">
        <f>8.0422 * CHOOSE(CONTROL!$C$32, $C$9, 100%, $E$9)</f>
        <v>8.0421999999999993</v>
      </c>
      <c r="O508" s="33">
        <f>8.0458 * CHOOSE(CONTROL!$C$32, $C$9, 100%, $E$9)</f>
        <v>8.0457999999999998</v>
      </c>
    </row>
    <row r="509" spans="1:15" ht="15" x14ac:dyDescent="0.2">
      <c r="A509" s="16">
        <v>56340</v>
      </c>
      <c r="B509" s="32">
        <f>7.2123 * CHOOSE(CONTROL!$C$32, $C$9, 100%, $E$9)</f>
        <v>7.2122999999999999</v>
      </c>
      <c r="C509" s="32">
        <f>7.2123 * CHOOSE(CONTROL!$C$32, $C$9, 100%, $E$9)</f>
        <v>7.2122999999999999</v>
      </c>
      <c r="D509" s="32">
        <f>7.2134 * CHOOSE(CONTROL!$C$32, $C$9, 100%, $E$9)</f>
        <v>7.2134</v>
      </c>
      <c r="E509" s="33">
        <f>8.1903 * CHOOSE(CONTROL!$C$32, $C$9, 100%, $E$9)</f>
        <v>8.1903000000000006</v>
      </c>
      <c r="F509" s="33">
        <f>8.1903 * CHOOSE(CONTROL!$C$32, $C$9, 100%, $E$9)</f>
        <v>8.1903000000000006</v>
      </c>
      <c r="G509" s="33">
        <f>8.1939 * CHOOSE(CONTROL!$C$32, $C$9, 100%, $E$9)</f>
        <v>8.1938999999999993</v>
      </c>
      <c r="H509" s="33">
        <f>15.895 * CHOOSE(CONTROL!$C$32, $C$9, 100%, $E$9)</f>
        <v>15.895</v>
      </c>
      <c r="I509" s="33">
        <f>15.8986 * CHOOSE(CONTROL!$C$32, $C$9, 100%, $E$9)</f>
        <v>15.8986</v>
      </c>
      <c r="J509" s="33">
        <f>15.895 * CHOOSE(CONTROL!$C$32, $C$9, 100%, $E$9)</f>
        <v>15.895</v>
      </c>
      <c r="K509" s="33">
        <f>15.8986 * CHOOSE(CONTROL!$C$32, $C$9, 100%, $E$9)</f>
        <v>15.8986</v>
      </c>
      <c r="L509" s="33">
        <f>8.1903 * CHOOSE(CONTROL!$C$32, $C$9, 100%, $E$9)</f>
        <v>8.1903000000000006</v>
      </c>
      <c r="M509" s="33">
        <f>8.1939 * CHOOSE(CONTROL!$C$32, $C$9, 100%, $E$9)</f>
        <v>8.1938999999999993</v>
      </c>
      <c r="N509" s="33">
        <f>8.1903 * CHOOSE(CONTROL!$C$32, $C$9, 100%, $E$9)</f>
        <v>8.1903000000000006</v>
      </c>
      <c r="O509" s="33">
        <f>8.1939 * CHOOSE(CONTROL!$C$32, $C$9, 100%, $E$9)</f>
        <v>8.1938999999999993</v>
      </c>
    </row>
    <row r="510" spans="1:15" ht="15" x14ac:dyDescent="0.2">
      <c r="A510" s="16">
        <v>56370</v>
      </c>
      <c r="B510" s="32">
        <f>7.2123 * CHOOSE(CONTROL!$C$32, $C$9, 100%, $E$9)</f>
        <v>7.2122999999999999</v>
      </c>
      <c r="C510" s="32">
        <f>7.2123 * CHOOSE(CONTROL!$C$32, $C$9, 100%, $E$9)</f>
        <v>7.2122999999999999</v>
      </c>
      <c r="D510" s="32">
        <f>7.2139 * CHOOSE(CONTROL!$C$32, $C$9, 100%, $E$9)</f>
        <v>7.2138999999999998</v>
      </c>
      <c r="E510" s="33">
        <f>8.2474 * CHOOSE(CONTROL!$C$32, $C$9, 100%, $E$9)</f>
        <v>8.2474000000000007</v>
      </c>
      <c r="F510" s="33">
        <f>8.2474 * CHOOSE(CONTROL!$C$32, $C$9, 100%, $E$9)</f>
        <v>8.2474000000000007</v>
      </c>
      <c r="G510" s="33">
        <f>8.2527 * CHOOSE(CONTROL!$C$32, $C$9, 100%, $E$9)</f>
        <v>8.2527000000000008</v>
      </c>
      <c r="H510" s="33">
        <f>15.9281 * CHOOSE(CONTROL!$C$32, $C$9, 100%, $E$9)</f>
        <v>15.928100000000001</v>
      </c>
      <c r="I510" s="33">
        <f>15.9334 * CHOOSE(CONTROL!$C$32, $C$9, 100%, $E$9)</f>
        <v>15.933400000000001</v>
      </c>
      <c r="J510" s="33">
        <f>15.9281 * CHOOSE(CONTROL!$C$32, $C$9, 100%, $E$9)</f>
        <v>15.928100000000001</v>
      </c>
      <c r="K510" s="33">
        <f>15.9334 * CHOOSE(CONTROL!$C$32, $C$9, 100%, $E$9)</f>
        <v>15.933400000000001</v>
      </c>
      <c r="L510" s="33">
        <f>8.2474 * CHOOSE(CONTROL!$C$32, $C$9, 100%, $E$9)</f>
        <v>8.2474000000000007</v>
      </c>
      <c r="M510" s="33">
        <f>8.2527 * CHOOSE(CONTROL!$C$32, $C$9, 100%, $E$9)</f>
        <v>8.2527000000000008</v>
      </c>
      <c r="N510" s="33">
        <f>8.2474 * CHOOSE(CONTROL!$C$32, $C$9, 100%, $E$9)</f>
        <v>8.2474000000000007</v>
      </c>
      <c r="O510" s="33">
        <f>8.2527 * CHOOSE(CONTROL!$C$32, $C$9, 100%, $E$9)</f>
        <v>8.2527000000000008</v>
      </c>
    </row>
    <row r="511" spans="1:15" ht="15" x14ac:dyDescent="0.2">
      <c r="A511" s="16">
        <v>56401</v>
      </c>
      <c r="B511" s="32">
        <f>7.2184 * CHOOSE(CONTROL!$C$32, $C$9, 100%, $E$9)</f>
        <v>7.2183999999999999</v>
      </c>
      <c r="C511" s="32">
        <f>7.2184 * CHOOSE(CONTROL!$C$32, $C$9, 100%, $E$9)</f>
        <v>7.2183999999999999</v>
      </c>
      <c r="D511" s="32">
        <f>7.2199 * CHOOSE(CONTROL!$C$32, $C$9, 100%, $E$9)</f>
        <v>7.2199</v>
      </c>
      <c r="E511" s="33">
        <f>8.1945 * CHOOSE(CONTROL!$C$32, $C$9, 100%, $E$9)</f>
        <v>8.1944999999999997</v>
      </c>
      <c r="F511" s="33">
        <f>8.1945 * CHOOSE(CONTROL!$C$32, $C$9, 100%, $E$9)</f>
        <v>8.1944999999999997</v>
      </c>
      <c r="G511" s="33">
        <f>8.1998 * CHOOSE(CONTROL!$C$32, $C$9, 100%, $E$9)</f>
        <v>8.1997999999999998</v>
      </c>
      <c r="H511" s="33">
        <f>15.9613 * CHOOSE(CONTROL!$C$32, $C$9, 100%, $E$9)</f>
        <v>15.9613</v>
      </c>
      <c r="I511" s="33">
        <f>15.9666 * CHOOSE(CONTROL!$C$32, $C$9, 100%, $E$9)</f>
        <v>15.9666</v>
      </c>
      <c r="J511" s="33">
        <f>15.9613 * CHOOSE(CONTROL!$C$32, $C$9, 100%, $E$9)</f>
        <v>15.9613</v>
      </c>
      <c r="K511" s="33">
        <f>15.9666 * CHOOSE(CONTROL!$C$32, $C$9, 100%, $E$9)</f>
        <v>15.9666</v>
      </c>
      <c r="L511" s="33">
        <f>8.1945 * CHOOSE(CONTROL!$C$32, $C$9, 100%, $E$9)</f>
        <v>8.1944999999999997</v>
      </c>
      <c r="M511" s="33">
        <f>8.1998 * CHOOSE(CONTROL!$C$32, $C$9, 100%, $E$9)</f>
        <v>8.1997999999999998</v>
      </c>
      <c r="N511" s="33">
        <f>8.1945 * CHOOSE(CONTROL!$C$32, $C$9, 100%, $E$9)</f>
        <v>8.1944999999999997</v>
      </c>
      <c r="O511" s="33">
        <f>8.1998 * CHOOSE(CONTROL!$C$32, $C$9, 100%, $E$9)</f>
        <v>8.1997999999999998</v>
      </c>
    </row>
    <row r="512" spans="1:15" ht="15" x14ac:dyDescent="0.2">
      <c r="A512" s="16">
        <v>56431</v>
      </c>
      <c r="B512" s="32">
        <f>7.3122 * CHOOSE(CONTROL!$C$32, $C$9, 100%, $E$9)</f>
        <v>7.3121999999999998</v>
      </c>
      <c r="C512" s="32">
        <f>7.3122 * CHOOSE(CONTROL!$C$32, $C$9, 100%, $E$9)</f>
        <v>7.3121999999999998</v>
      </c>
      <c r="D512" s="32">
        <f>7.3138 * CHOOSE(CONTROL!$C$32, $C$9, 100%, $E$9)</f>
        <v>7.3137999999999996</v>
      </c>
      <c r="E512" s="33">
        <f>8.3075 * CHOOSE(CONTROL!$C$32, $C$9, 100%, $E$9)</f>
        <v>8.3074999999999992</v>
      </c>
      <c r="F512" s="33">
        <f>8.3075 * CHOOSE(CONTROL!$C$32, $C$9, 100%, $E$9)</f>
        <v>8.3074999999999992</v>
      </c>
      <c r="G512" s="33">
        <f>8.3128 * CHOOSE(CONTROL!$C$32, $C$9, 100%, $E$9)</f>
        <v>8.3127999999999993</v>
      </c>
      <c r="H512" s="33">
        <f>15.9945 * CHOOSE(CONTROL!$C$32, $C$9, 100%, $E$9)</f>
        <v>15.9945</v>
      </c>
      <c r="I512" s="33">
        <f>15.9998 * CHOOSE(CONTROL!$C$32, $C$9, 100%, $E$9)</f>
        <v>15.9998</v>
      </c>
      <c r="J512" s="33">
        <f>15.9945 * CHOOSE(CONTROL!$C$32, $C$9, 100%, $E$9)</f>
        <v>15.9945</v>
      </c>
      <c r="K512" s="33">
        <f>15.9998 * CHOOSE(CONTROL!$C$32, $C$9, 100%, $E$9)</f>
        <v>15.9998</v>
      </c>
      <c r="L512" s="33">
        <f>8.3075 * CHOOSE(CONTROL!$C$32, $C$9, 100%, $E$9)</f>
        <v>8.3074999999999992</v>
      </c>
      <c r="M512" s="33">
        <f>8.3128 * CHOOSE(CONTROL!$C$32, $C$9, 100%, $E$9)</f>
        <v>8.3127999999999993</v>
      </c>
      <c r="N512" s="33">
        <f>8.3075 * CHOOSE(CONTROL!$C$32, $C$9, 100%, $E$9)</f>
        <v>8.3074999999999992</v>
      </c>
      <c r="O512" s="33">
        <f>8.3128 * CHOOSE(CONTROL!$C$32, $C$9, 100%, $E$9)</f>
        <v>8.3127999999999993</v>
      </c>
    </row>
    <row r="513" spans="1:15" ht="15" x14ac:dyDescent="0.2">
      <c r="A513" s="16">
        <v>56462</v>
      </c>
      <c r="B513" s="32">
        <f>7.3189 * CHOOSE(CONTROL!$C$32, $C$9, 100%, $E$9)</f>
        <v>7.3189000000000002</v>
      </c>
      <c r="C513" s="32">
        <f>7.3189 * CHOOSE(CONTROL!$C$32, $C$9, 100%, $E$9)</f>
        <v>7.3189000000000002</v>
      </c>
      <c r="D513" s="32">
        <f>7.3205 * CHOOSE(CONTROL!$C$32, $C$9, 100%, $E$9)</f>
        <v>7.3205</v>
      </c>
      <c r="E513" s="33">
        <f>8.1407 * CHOOSE(CONTROL!$C$32, $C$9, 100%, $E$9)</f>
        <v>8.1407000000000007</v>
      </c>
      <c r="F513" s="33">
        <f>8.1407 * CHOOSE(CONTROL!$C$32, $C$9, 100%, $E$9)</f>
        <v>8.1407000000000007</v>
      </c>
      <c r="G513" s="33">
        <f>8.146 * CHOOSE(CONTROL!$C$32, $C$9, 100%, $E$9)</f>
        <v>8.1460000000000008</v>
      </c>
      <c r="H513" s="33">
        <f>16.0279 * CHOOSE(CONTROL!$C$32, $C$9, 100%, $E$9)</f>
        <v>16.027899999999999</v>
      </c>
      <c r="I513" s="33">
        <f>16.0332 * CHOOSE(CONTROL!$C$32, $C$9, 100%, $E$9)</f>
        <v>16.033200000000001</v>
      </c>
      <c r="J513" s="33">
        <f>16.0279 * CHOOSE(CONTROL!$C$32, $C$9, 100%, $E$9)</f>
        <v>16.027899999999999</v>
      </c>
      <c r="K513" s="33">
        <f>16.0332 * CHOOSE(CONTROL!$C$32, $C$9, 100%, $E$9)</f>
        <v>16.033200000000001</v>
      </c>
      <c r="L513" s="33">
        <f>8.1407 * CHOOSE(CONTROL!$C$32, $C$9, 100%, $E$9)</f>
        <v>8.1407000000000007</v>
      </c>
      <c r="M513" s="33">
        <f>8.146 * CHOOSE(CONTROL!$C$32, $C$9, 100%, $E$9)</f>
        <v>8.1460000000000008</v>
      </c>
      <c r="N513" s="33">
        <f>8.1407 * CHOOSE(CONTROL!$C$32, $C$9, 100%, $E$9)</f>
        <v>8.1407000000000007</v>
      </c>
      <c r="O513" s="33">
        <f>8.146 * CHOOSE(CONTROL!$C$32, $C$9, 100%, $E$9)</f>
        <v>8.1460000000000008</v>
      </c>
    </row>
    <row r="514" spans="1:15" ht="15" x14ac:dyDescent="0.2">
      <c r="A514" s="16">
        <v>56493</v>
      </c>
      <c r="B514" s="32">
        <f>7.3159 * CHOOSE(CONTROL!$C$32, $C$9, 100%, $E$9)</f>
        <v>7.3159000000000001</v>
      </c>
      <c r="C514" s="32">
        <f>7.3159 * CHOOSE(CONTROL!$C$32, $C$9, 100%, $E$9)</f>
        <v>7.3159000000000001</v>
      </c>
      <c r="D514" s="32">
        <f>7.3174 * CHOOSE(CONTROL!$C$32, $C$9, 100%, $E$9)</f>
        <v>7.3174000000000001</v>
      </c>
      <c r="E514" s="33">
        <f>8.1196 * CHOOSE(CONTROL!$C$32, $C$9, 100%, $E$9)</f>
        <v>8.1196000000000002</v>
      </c>
      <c r="F514" s="33">
        <f>8.1196 * CHOOSE(CONTROL!$C$32, $C$9, 100%, $E$9)</f>
        <v>8.1196000000000002</v>
      </c>
      <c r="G514" s="33">
        <f>8.1249 * CHOOSE(CONTROL!$C$32, $C$9, 100%, $E$9)</f>
        <v>8.1249000000000002</v>
      </c>
      <c r="H514" s="33">
        <f>16.0613 * CHOOSE(CONTROL!$C$32, $C$9, 100%, $E$9)</f>
        <v>16.061299999999999</v>
      </c>
      <c r="I514" s="33">
        <f>16.0665 * CHOOSE(CONTROL!$C$32, $C$9, 100%, $E$9)</f>
        <v>16.066500000000001</v>
      </c>
      <c r="J514" s="33">
        <f>16.0613 * CHOOSE(CONTROL!$C$32, $C$9, 100%, $E$9)</f>
        <v>16.061299999999999</v>
      </c>
      <c r="K514" s="33">
        <f>16.0665 * CHOOSE(CONTROL!$C$32, $C$9, 100%, $E$9)</f>
        <v>16.066500000000001</v>
      </c>
      <c r="L514" s="33">
        <f>8.1196 * CHOOSE(CONTROL!$C$32, $C$9, 100%, $E$9)</f>
        <v>8.1196000000000002</v>
      </c>
      <c r="M514" s="33">
        <f>8.1249 * CHOOSE(CONTROL!$C$32, $C$9, 100%, $E$9)</f>
        <v>8.1249000000000002</v>
      </c>
      <c r="N514" s="33">
        <f>8.1196 * CHOOSE(CONTROL!$C$32, $C$9, 100%, $E$9)</f>
        <v>8.1196000000000002</v>
      </c>
      <c r="O514" s="33">
        <f>8.1249 * CHOOSE(CONTROL!$C$32, $C$9, 100%, $E$9)</f>
        <v>8.1249000000000002</v>
      </c>
    </row>
    <row r="515" spans="1:15" ht="15" x14ac:dyDescent="0.2">
      <c r="A515" s="16">
        <v>56523</v>
      </c>
      <c r="B515" s="32">
        <f>7.3233 * CHOOSE(CONTROL!$C$32, $C$9, 100%, $E$9)</f>
        <v>7.3232999999999997</v>
      </c>
      <c r="C515" s="32">
        <f>7.3233 * CHOOSE(CONTROL!$C$32, $C$9, 100%, $E$9)</f>
        <v>7.3232999999999997</v>
      </c>
      <c r="D515" s="32">
        <f>7.3243 * CHOOSE(CONTROL!$C$32, $C$9, 100%, $E$9)</f>
        <v>7.3243</v>
      </c>
      <c r="E515" s="33">
        <f>8.1823 * CHOOSE(CONTROL!$C$32, $C$9, 100%, $E$9)</f>
        <v>8.1822999999999997</v>
      </c>
      <c r="F515" s="33">
        <f>8.1823 * CHOOSE(CONTROL!$C$32, $C$9, 100%, $E$9)</f>
        <v>8.1822999999999997</v>
      </c>
      <c r="G515" s="33">
        <f>8.186 * CHOOSE(CONTROL!$C$32, $C$9, 100%, $E$9)</f>
        <v>8.1859999999999999</v>
      </c>
      <c r="H515" s="33">
        <f>16.0947 * CHOOSE(CONTROL!$C$32, $C$9, 100%, $E$9)</f>
        <v>16.0947</v>
      </c>
      <c r="I515" s="33">
        <f>16.0983 * CHOOSE(CONTROL!$C$32, $C$9, 100%, $E$9)</f>
        <v>16.098299999999998</v>
      </c>
      <c r="J515" s="33">
        <f>16.0947 * CHOOSE(CONTROL!$C$32, $C$9, 100%, $E$9)</f>
        <v>16.0947</v>
      </c>
      <c r="K515" s="33">
        <f>16.0983 * CHOOSE(CONTROL!$C$32, $C$9, 100%, $E$9)</f>
        <v>16.098299999999998</v>
      </c>
      <c r="L515" s="33">
        <f>8.1823 * CHOOSE(CONTROL!$C$32, $C$9, 100%, $E$9)</f>
        <v>8.1822999999999997</v>
      </c>
      <c r="M515" s="33">
        <f>8.186 * CHOOSE(CONTROL!$C$32, $C$9, 100%, $E$9)</f>
        <v>8.1859999999999999</v>
      </c>
      <c r="N515" s="33">
        <f>8.1823 * CHOOSE(CONTROL!$C$32, $C$9, 100%, $E$9)</f>
        <v>8.1822999999999997</v>
      </c>
      <c r="O515" s="33">
        <f>8.186 * CHOOSE(CONTROL!$C$32, $C$9, 100%, $E$9)</f>
        <v>8.1859999999999999</v>
      </c>
    </row>
    <row r="516" spans="1:15" ht="15" x14ac:dyDescent="0.2">
      <c r="A516" s="16">
        <v>56554</v>
      </c>
      <c r="B516" s="32">
        <f>7.3263 * CHOOSE(CONTROL!$C$32, $C$9, 100%, $E$9)</f>
        <v>7.3262999999999998</v>
      </c>
      <c r="C516" s="32">
        <f>7.3263 * CHOOSE(CONTROL!$C$32, $C$9, 100%, $E$9)</f>
        <v>7.3262999999999998</v>
      </c>
      <c r="D516" s="32">
        <f>7.3274 * CHOOSE(CONTROL!$C$32, $C$9, 100%, $E$9)</f>
        <v>7.3273999999999999</v>
      </c>
      <c r="E516" s="33">
        <f>8.2226 * CHOOSE(CONTROL!$C$32, $C$9, 100%, $E$9)</f>
        <v>8.2225999999999999</v>
      </c>
      <c r="F516" s="33">
        <f>8.2226 * CHOOSE(CONTROL!$C$32, $C$9, 100%, $E$9)</f>
        <v>8.2225999999999999</v>
      </c>
      <c r="G516" s="33">
        <f>8.2262 * CHOOSE(CONTROL!$C$32, $C$9, 100%, $E$9)</f>
        <v>8.2262000000000004</v>
      </c>
      <c r="H516" s="33">
        <f>16.1282 * CHOOSE(CONTROL!$C$32, $C$9, 100%, $E$9)</f>
        <v>16.1282</v>
      </c>
      <c r="I516" s="33">
        <f>16.1319 * CHOOSE(CONTROL!$C$32, $C$9, 100%, $E$9)</f>
        <v>16.131900000000002</v>
      </c>
      <c r="J516" s="33">
        <f>16.1282 * CHOOSE(CONTROL!$C$32, $C$9, 100%, $E$9)</f>
        <v>16.1282</v>
      </c>
      <c r="K516" s="33">
        <f>16.1319 * CHOOSE(CONTROL!$C$32, $C$9, 100%, $E$9)</f>
        <v>16.131900000000002</v>
      </c>
      <c r="L516" s="33">
        <f>8.2226 * CHOOSE(CONTROL!$C$32, $C$9, 100%, $E$9)</f>
        <v>8.2225999999999999</v>
      </c>
      <c r="M516" s="33">
        <f>8.2262 * CHOOSE(CONTROL!$C$32, $C$9, 100%, $E$9)</f>
        <v>8.2262000000000004</v>
      </c>
      <c r="N516" s="33">
        <f>8.2226 * CHOOSE(CONTROL!$C$32, $C$9, 100%, $E$9)</f>
        <v>8.2225999999999999</v>
      </c>
      <c r="O516" s="33">
        <f>8.2262 * CHOOSE(CONTROL!$C$32, $C$9, 100%, $E$9)</f>
        <v>8.2262000000000004</v>
      </c>
    </row>
    <row r="517" spans="1:15" ht="15" x14ac:dyDescent="0.2">
      <c r="A517" s="16">
        <v>56584</v>
      </c>
      <c r="B517" s="32">
        <f>7.3263 * CHOOSE(CONTROL!$C$32, $C$9, 100%, $E$9)</f>
        <v>7.3262999999999998</v>
      </c>
      <c r="C517" s="32">
        <f>7.3263 * CHOOSE(CONTROL!$C$32, $C$9, 100%, $E$9)</f>
        <v>7.3262999999999998</v>
      </c>
      <c r="D517" s="32">
        <f>7.3274 * CHOOSE(CONTROL!$C$32, $C$9, 100%, $E$9)</f>
        <v>7.3273999999999999</v>
      </c>
      <c r="E517" s="33">
        <f>8.1273 * CHOOSE(CONTROL!$C$32, $C$9, 100%, $E$9)</f>
        <v>8.1273</v>
      </c>
      <c r="F517" s="33">
        <f>8.1273 * CHOOSE(CONTROL!$C$32, $C$9, 100%, $E$9)</f>
        <v>8.1273</v>
      </c>
      <c r="G517" s="33">
        <f>8.1309 * CHOOSE(CONTROL!$C$32, $C$9, 100%, $E$9)</f>
        <v>8.1309000000000005</v>
      </c>
      <c r="H517" s="33">
        <f>16.1618 * CHOOSE(CONTROL!$C$32, $C$9, 100%, $E$9)</f>
        <v>16.161799999999999</v>
      </c>
      <c r="I517" s="33">
        <f>16.1655 * CHOOSE(CONTROL!$C$32, $C$9, 100%, $E$9)</f>
        <v>16.165500000000002</v>
      </c>
      <c r="J517" s="33">
        <f>16.1618 * CHOOSE(CONTROL!$C$32, $C$9, 100%, $E$9)</f>
        <v>16.161799999999999</v>
      </c>
      <c r="K517" s="33">
        <f>16.1655 * CHOOSE(CONTROL!$C$32, $C$9, 100%, $E$9)</f>
        <v>16.165500000000002</v>
      </c>
      <c r="L517" s="33">
        <f>8.1273 * CHOOSE(CONTROL!$C$32, $C$9, 100%, $E$9)</f>
        <v>8.1273</v>
      </c>
      <c r="M517" s="33">
        <f>8.1309 * CHOOSE(CONTROL!$C$32, $C$9, 100%, $E$9)</f>
        <v>8.1309000000000005</v>
      </c>
      <c r="N517" s="33">
        <f>8.1273 * CHOOSE(CONTROL!$C$32, $C$9, 100%, $E$9)</f>
        <v>8.1273</v>
      </c>
      <c r="O517" s="33">
        <f>8.1309 * CHOOSE(CONTROL!$C$32, $C$9, 100%, $E$9)</f>
        <v>8.1309000000000005</v>
      </c>
    </row>
    <row r="518" spans="1:15" ht="15" x14ac:dyDescent="0.2">
      <c r="A518" s="16">
        <v>56615</v>
      </c>
      <c r="B518" s="32">
        <f>7.3813 * CHOOSE(CONTROL!$C$32, $C$9, 100%, $E$9)</f>
        <v>7.3813000000000004</v>
      </c>
      <c r="C518" s="32">
        <f>7.3813 * CHOOSE(CONTROL!$C$32, $C$9, 100%, $E$9)</f>
        <v>7.3813000000000004</v>
      </c>
      <c r="D518" s="32">
        <f>7.3824 * CHOOSE(CONTROL!$C$32, $C$9, 100%, $E$9)</f>
        <v>7.3823999999999996</v>
      </c>
      <c r="E518" s="33">
        <f>8.2653 * CHOOSE(CONTROL!$C$32, $C$9, 100%, $E$9)</f>
        <v>8.2652999999999999</v>
      </c>
      <c r="F518" s="33">
        <f>8.2653 * CHOOSE(CONTROL!$C$32, $C$9, 100%, $E$9)</f>
        <v>8.2652999999999999</v>
      </c>
      <c r="G518" s="33">
        <f>8.2689 * CHOOSE(CONTROL!$C$32, $C$9, 100%, $E$9)</f>
        <v>8.2689000000000004</v>
      </c>
      <c r="H518" s="33">
        <f>16.1955 * CHOOSE(CONTROL!$C$32, $C$9, 100%, $E$9)</f>
        <v>16.195499999999999</v>
      </c>
      <c r="I518" s="33">
        <f>16.1991 * CHOOSE(CONTROL!$C$32, $C$9, 100%, $E$9)</f>
        <v>16.199100000000001</v>
      </c>
      <c r="J518" s="33">
        <f>16.1955 * CHOOSE(CONTROL!$C$32, $C$9, 100%, $E$9)</f>
        <v>16.195499999999999</v>
      </c>
      <c r="K518" s="33">
        <f>16.1991 * CHOOSE(CONTROL!$C$32, $C$9, 100%, $E$9)</f>
        <v>16.199100000000001</v>
      </c>
      <c r="L518" s="33">
        <f>8.2653 * CHOOSE(CONTROL!$C$32, $C$9, 100%, $E$9)</f>
        <v>8.2652999999999999</v>
      </c>
      <c r="M518" s="33">
        <f>8.2689 * CHOOSE(CONTROL!$C$32, $C$9, 100%, $E$9)</f>
        <v>8.2689000000000004</v>
      </c>
      <c r="N518" s="33">
        <f>8.2653 * CHOOSE(CONTROL!$C$32, $C$9, 100%, $E$9)</f>
        <v>8.2652999999999999</v>
      </c>
      <c r="O518" s="33">
        <f>8.2689 * CHOOSE(CONTROL!$C$32, $C$9, 100%, $E$9)</f>
        <v>8.2689000000000004</v>
      </c>
    </row>
    <row r="519" spans="1:15" ht="15" x14ac:dyDescent="0.2">
      <c r="A519" s="16">
        <v>56646</v>
      </c>
      <c r="B519" s="32">
        <f>7.3783 * CHOOSE(CONTROL!$C$32, $C$9, 100%, $E$9)</f>
        <v>7.3783000000000003</v>
      </c>
      <c r="C519" s="32">
        <f>7.3783 * CHOOSE(CONTROL!$C$32, $C$9, 100%, $E$9)</f>
        <v>7.3783000000000003</v>
      </c>
      <c r="D519" s="32">
        <f>7.3794 * CHOOSE(CONTROL!$C$32, $C$9, 100%, $E$9)</f>
        <v>7.3794000000000004</v>
      </c>
      <c r="E519" s="33">
        <f>8.0773 * CHOOSE(CONTROL!$C$32, $C$9, 100%, $E$9)</f>
        <v>8.0772999999999993</v>
      </c>
      <c r="F519" s="33">
        <f>8.0773 * CHOOSE(CONTROL!$C$32, $C$9, 100%, $E$9)</f>
        <v>8.0772999999999993</v>
      </c>
      <c r="G519" s="33">
        <f>8.0809 * CHOOSE(CONTROL!$C$32, $C$9, 100%, $E$9)</f>
        <v>8.0808999999999997</v>
      </c>
      <c r="H519" s="33">
        <f>16.2293 * CHOOSE(CONTROL!$C$32, $C$9, 100%, $E$9)</f>
        <v>16.229299999999999</v>
      </c>
      <c r="I519" s="33">
        <f>16.2329 * CHOOSE(CONTROL!$C$32, $C$9, 100%, $E$9)</f>
        <v>16.232900000000001</v>
      </c>
      <c r="J519" s="33">
        <f>16.2293 * CHOOSE(CONTROL!$C$32, $C$9, 100%, $E$9)</f>
        <v>16.229299999999999</v>
      </c>
      <c r="K519" s="33">
        <f>16.2329 * CHOOSE(CONTROL!$C$32, $C$9, 100%, $E$9)</f>
        <v>16.232900000000001</v>
      </c>
      <c r="L519" s="33">
        <f>8.0773 * CHOOSE(CONTROL!$C$32, $C$9, 100%, $E$9)</f>
        <v>8.0772999999999993</v>
      </c>
      <c r="M519" s="33">
        <f>8.0809 * CHOOSE(CONTROL!$C$32, $C$9, 100%, $E$9)</f>
        <v>8.0808999999999997</v>
      </c>
      <c r="N519" s="33">
        <f>8.0773 * CHOOSE(CONTROL!$C$32, $C$9, 100%, $E$9)</f>
        <v>8.0772999999999993</v>
      </c>
      <c r="O519" s="33">
        <f>8.0809 * CHOOSE(CONTROL!$C$32, $C$9, 100%, $E$9)</f>
        <v>8.0808999999999997</v>
      </c>
    </row>
    <row r="520" spans="1:15" ht="15" x14ac:dyDescent="0.2">
      <c r="A520" s="16">
        <v>56674</v>
      </c>
      <c r="B520" s="32">
        <f>7.3752 * CHOOSE(CONTROL!$C$32, $C$9, 100%, $E$9)</f>
        <v>7.3752000000000004</v>
      </c>
      <c r="C520" s="32">
        <f>7.3752 * CHOOSE(CONTROL!$C$32, $C$9, 100%, $E$9)</f>
        <v>7.3752000000000004</v>
      </c>
      <c r="D520" s="32">
        <f>7.3763 * CHOOSE(CONTROL!$C$32, $C$9, 100%, $E$9)</f>
        <v>7.3762999999999996</v>
      </c>
      <c r="E520" s="33">
        <f>8.2217 * CHOOSE(CONTROL!$C$32, $C$9, 100%, $E$9)</f>
        <v>8.2217000000000002</v>
      </c>
      <c r="F520" s="33">
        <f>8.2217 * CHOOSE(CONTROL!$C$32, $C$9, 100%, $E$9)</f>
        <v>8.2217000000000002</v>
      </c>
      <c r="G520" s="33">
        <f>8.2253 * CHOOSE(CONTROL!$C$32, $C$9, 100%, $E$9)</f>
        <v>8.2253000000000007</v>
      </c>
      <c r="H520" s="33">
        <f>16.2631 * CHOOSE(CONTROL!$C$32, $C$9, 100%, $E$9)</f>
        <v>16.263100000000001</v>
      </c>
      <c r="I520" s="33">
        <f>16.2667 * CHOOSE(CONTROL!$C$32, $C$9, 100%, $E$9)</f>
        <v>16.2667</v>
      </c>
      <c r="J520" s="33">
        <f>16.2631 * CHOOSE(CONTROL!$C$32, $C$9, 100%, $E$9)</f>
        <v>16.263100000000001</v>
      </c>
      <c r="K520" s="33">
        <f>16.2667 * CHOOSE(CONTROL!$C$32, $C$9, 100%, $E$9)</f>
        <v>16.2667</v>
      </c>
      <c r="L520" s="33">
        <f>8.2217 * CHOOSE(CONTROL!$C$32, $C$9, 100%, $E$9)</f>
        <v>8.2217000000000002</v>
      </c>
      <c r="M520" s="33">
        <f>8.2253 * CHOOSE(CONTROL!$C$32, $C$9, 100%, $E$9)</f>
        <v>8.2253000000000007</v>
      </c>
      <c r="N520" s="33">
        <f>8.2217 * CHOOSE(CONTROL!$C$32, $C$9, 100%, $E$9)</f>
        <v>8.2217000000000002</v>
      </c>
      <c r="O520" s="33">
        <f>8.2253 * CHOOSE(CONTROL!$C$32, $C$9, 100%, $E$9)</f>
        <v>8.2253000000000007</v>
      </c>
    </row>
    <row r="521" spans="1:15" ht="15" x14ac:dyDescent="0.2">
      <c r="A521" s="16">
        <v>56705</v>
      </c>
      <c r="B521" s="32">
        <f>7.3762 * CHOOSE(CONTROL!$C$32, $C$9, 100%, $E$9)</f>
        <v>7.3761999999999999</v>
      </c>
      <c r="C521" s="32">
        <f>7.3762 * CHOOSE(CONTROL!$C$32, $C$9, 100%, $E$9)</f>
        <v>7.3761999999999999</v>
      </c>
      <c r="D521" s="32">
        <f>7.3772 * CHOOSE(CONTROL!$C$32, $C$9, 100%, $E$9)</f>
        <v>7.3772000000000002</v>
      </c>
      <c r="E521" s="33">
        <f>8.3748 * CHOOSE(CONTROL!$C$32, $C$9, 100%, $E$9)</f>
        <v>8.3748000000000005</v>
      </c>
      <c r="F521" s="33">
        <f>8.3748 * CHOOSE(CONTROL!$C$32, $C$9, 100%, $E$9)</f>
        <v>8.3748000000000005</v>
      </c>
      <c r="G521" s="33">
        <f>8.3784 * CHOOSE(CONTROL!$C$32, $C$9, 100%, $E$9)</f>
        <v>8.3783999999999992</v>
      </c>
      <c r="H521" s="33">
        <f>16.297 * CHOOSE(CONTROL!$C$32, $C$9, 100%, $E$9)</f>
        <v>16.297000000000001</v>
      </c>
      <c r="I521" s="33">
        <f>16.3006 * CHOOSE(CONTROL!$C$32, $C$9, 100%, $E$9)</f>
        <v>16.300599999999999</v>
      </c>
      <c r="J521" s="33">
        <f>16.297 * CHOOSE(CONTROL!$C$32, $C$9, 100%, $E$9)</f>
        <v>16.297000000000001</v>
      </c>
      <c r="K521" s="33">
        <f>16.3006 * CHOOSE(CONTROL!$C$32, $C$9, 100%, $E$9)</f>
        <v>16.300599999999999</v>
      </c>
      <c r="L521" s="33">
        <f>8.3748 * CHOOSE(CONTROL!$C$32, $C$9, 100%, $E$9)</f>
        <v>8.3748000000000005</v>
      </c>
      <c r="M521" s="33">
        <f>8.3784 * CHOOSE(CONTROL!$C$32, $C$9, 100%, $E$9)</f>
        <v>8.3783999999999992</v>
      </c>
      <c r="N521" s="33">
        <f>8.3748 * CHOOSE(CONTROL!$C$32, $C$9, 100%, $E$9)</f>
        <v>8.3748000000000005</v>
      </c>
      <c r="O521" s="33">
        <f>8.3784 * CHOOSE(CONTROL!$C$32, $C$9, 100%, $E$9)</f>
        <v>8.3783999999999992</v>
      </c>
    </row>
    <row r="522" spans="1:15" ht="15" x14ac:dyDescent="0.2">
      <c r="A522" s="16">
        <v>56735</v>
      </c>
      <c r="B522" s="32">
        <f>7.3762 * CHOOSE(CONTROL!$C$32, $C$9, 100%, $E$9)</f>
        <v>7.3761999999999999</v>
      </c>
      <c r="C522" s="32">
        <f>7.3762 * CHOOSE(CONTROL!$C$32, $C$9, 100%, $E$9)</f>
        <v>7.3761999999999999</v>
      </c>
      <c r="D522" s="32">
        <f>7.3777 * CHOOSE(CONTROL!$C$32, $C$9, 100%, $E$9)</f>
        <v>7.3776999999999999</v>
      </c>
      <c r="E522" s="33">
        <f>8.4338 * CHOOSE(CONTROL!$C$32, $C$9, 100%, $E$9)</f>
        <v>8.4337999999999997</v>
      </c>
      <c r="F522" s="33">
        <f>8.4338 * CHOOSE(CONTROL!$C$32, $C$9, 100%, $E$9)</f>
        <v>8.4337999999999997</v>
      </c>
      <c r="G522" s="33">
        <f>8.4391 * CHOOSE(CONTROL!$C$32, $C$9, 100%, $E$9)</f>
        <v>8.4390999999999998</v>
      </c>
      <c r="H522" s="33">
        <f>16.3309 * CHOOSE(CONTROL!$C$32, $C$9, 100%, $E$9)</f>
        <v>16.3309</v>
      </c>
      <c r="I522" s="33">
        <f>16.3362 * CHOOSE(CONTROL!$C$32, $C$9, 100%, $E$9)</f>
        <v>16.336200000000002</v>
      </c>
      <c r="J522" s="33">
        <f>16.3309 * CHOOSE(CONTROL!$C$32, $C$9, 100%, $E$9)</f>
        <v>16.3309</v>
      </c>
      <c r="K522" s="33">
        <f>16.3362 * CHOOSE(CONTROL!$C$32, $C$9, 100%, $E$9)</f>
        <v>16.336200000000002</v>
      </c>
      <c r="L522" s="33">
        <f>8.4338 * CHOOSE(CONTROL!$C$32, $C$9, 100%, $E$9)</f>
        <v>8.4337999999999997</v>
      </c>
      <c r="M522" s="33">
        <f>8.4391 * CHOOSE(CONTROL!$C$32, $C$9, 100%, $E$9)</f>
        <v>8.4390999999999998</v>
      </c>
      <c r="N522" s="33">
        <f>8.4338 * CHOOSE(CONTROL!$C$32, $C$9, 100%, $E$9)</f>
        <v>8.4337999999999997</v>
      </c>
      <c r="O522" s="33">
        <f>8.4391 * CHOOSE(CONTROL!$C$32, $C$9, 100%, $E$9)</f>
        <v>8.4390999999999998</v>
      </c>
    </row>
    <row r="523" spans="1:15" ht="15" x14ac:dyDescent="0.2">
      <c r="A523" s="16">
        <v>56766</v>
      </c>
      <c r="B523" s="32">
        <f>7.3822 * CHOOSE(CONTROL!$C$32, $C$9, 100%, $E$9)</f>
        <v>7.3822000000000001</v>
      </c>
      <c r="C523" s="32">
        <f>7.3822 * CHOOSE(CONTROL!$C$32, $C$9, 100%, $E$9)</f>
        <v>7.3822000000000001</v>
      </c>
      <c r="D523" s="32">
        <f>7.3838 * CHOOSE(CONTROL!$C$32, $C$9, 100%, $E$9)</f>
        <v>7.3837999999999999</v>
      </c>
      <c r="E523" s="33">
        <f>8.379 * CHOOSE(CONTROL!$C$32, $C$9, 100%, $E$9)</f>
        <v>8.3789999999999996</v>
      </c>
      <c r="F523" s="33">
        <f>8.379 * CHOOSE(CONTROL!$C$32, $C$9, 100%, $E$9)</f>
        <v>8.3789999999999996</v>
      </c>
      <c r="G523" s="33">
        <f>8.3843 * CHOOSE(CONTROL!$C$32, $C$9, 100%, $E$9)</f>
        <v>8.3842999999999996</v>
      </c>
      <c r="H523" s="33">
        <f>16.3649 * CHOOSE(CONTROL!$C$32, $C$9, 100%, $E$9)</f>
        <v>16.364899999999999</v>
      </c>
      <c r="I523" s="33">
        <f>16.3702 * CHOOSE(CONTROL!$C$32, $C$9, 100%, $E$9)</f>
        <v>16.370200000000001</v>
      </c>
      <c r="J523" s="33">
        <f>16.3649 * CHOOSE(CONTROL!$C$32, $C$9, 100%, $E$9)</f>
        <v>16.364899999999999</v>
      </c>
      <c r="K523" s="33">
        <f>16.3702 * CHOOSE(CONTROL!$C$32, $C$9, 100%, $E$9)</f>
        <v>16.370200000000001</v>
      </c>
      <c r="L523" s="33">
        <f>8.379 * CHOOSE(CONTROL!$C$32, $C$9, 100%, $E$9)</f>
        <v>8.3789999999999996</v>
      </c>
      <c r="M523" s="33">
        <f>8.3843 * CHOOSE(CONTROL!$C$32, $C$9, 100%, $E$9)</f>
        <v>8.3842999999999996</v>
      </c>
      <c r="N523" s="33">
        <f>8.379 * CHOOSE(CONTROL!$C$32, $C$9, 100%, $E$9)</f>
        <v>8.3789999999999996</v>
      </c>
      <c r="O523" s="33">
        <f>8.3843 * CHOOSE(CONTROL!$C$32, $C$9, 100%, $E$9)</f>
        <v>8.3842999999999996</v>
      </c>
    </row>
    <row r="524" spans="1:15" ht="15" x14ac:dyDescent="0.2">
      <c r="A524" s="16">
        <v>56796</v>
      </c>
      <c r="B524" s="32">
        <f>7.4779 * CHOOSE(CONTROL!$C$32, $C$9, 100%, $E$9)</f>
        <v>7.4779</v>
      </c>
      <c r="C524" s="32">
        <f>7.4779 * CHOOSE(CONTROL!$C$32, $C$9, 100%, $E$9)</f>
        <v>7.4779</v>
      </c>
      <c r="D524" s="32">
        <f>7.4795 * CHOOSE(CONTROL!$C$32, $C$9, 100%, $E$9)</f>
        <v>7.4794999999999998</v>
      </c>
      <c r="E524" s="33">
        <f>8.4945 * CHOOSE(CONTROL!$C$32, $C$9, 100%, $E$9)</f>
        <v>8.4945000000000004</v>
      </c>
      <c r="F524" s="33">
        <f>8.4945 * CHOOSE(CONTROL!$C$32, $C$9, 100%, $E$9)</f>
        <v>8.4945000000000004</v>
      </c>
      <c r="G524" s="33">
        <f>8.4998 * CHOOSE(CONTROL!$C$32, $C$9, 100%, $E$9)</f>
        <v>8.4998000000000005</v>
      </c>
      <c r="H524" s="33">
        <f>16.399 * CHOOSE(CONTROL!$C$32, $C$9, 100%, $E$9)</f>
        <v>16.399000000000001</v>
      </c>
      <c r="I524" s="33">
        <f>16.4043 * CHOOSE(CONTROL!$C$32, $C$9, 100%, $E$9)</f>
        <v>16.404299999999999</v>
      </c>
      <c r="J524" s="33">
        <f>16.399 * CHOOSE(CONTROL!$C$32, $C$9, 100%, $E$9)</f>
        <v>16.399000000000001</v>
      </c>
      <c r="K524" s="33">
        <f>16.4043 * CHOOSE(CONTROL!$C$32, $C$9, 100%, $E$9)</f>
        <v>16.404299999999999</v>
      </c>
      <c r="L524" s="33">
        <f>8.4945 * CHOOSE(CONTROL!$C$32, $C$9, 100%, $E$9)</f>
        <v>8.4945000000000004</v>
      </c>
      <c r="M524" s="33">
        <f>8.4998 * CHOOSE(CONTROL!$C$32, $C$9, 100%, $E$9)</f>
        <v>8.4998000000000005</v>
      </c>
      <c r="N524" s="33">
        <f>8.4945 * CHOOSE(CONTROL!$C$32, $C$9, 100%, $E$9)</f>
        <v>8.4945000000000004</v>
      </c>
      <c r="O524" s="33">
        <f>8.4998 * CHOOSE(CONTROL!$C$32, $C$9, 100%, $E$9)</f>
        <v>8.4998000000000005</v>
      </c>
    </row>
    <row r="525" spans="1:15" ht="15" x14ac:dyDescent="0.2">
      <c r="A525" s="16">
        <v>56827</v>
      </c>
      <c r="B525" s="32">
        <f>7.4846 * CHOOSE(CONTROL!$C$32, $C$9, 100%, $E$9)</f>
        <v>7.4846000000000004</v>
      </c>
      <c r="C525" s="32">
        <f>7.4846 * CHOOSE(CONTROL!$C$32, $C$9, 100%, $E$9)</f>
        <v>7.4846000000000004</v>
      </c>
      <c r="D525" s="32">
        <f>7.4862 * CHOOSE(CONTROL!$C$32, $C$9, 100%, $E$9)</f>
        <v>7.4862000000000002</v>
      </c>
      <c r="E525" s="33">
        <f>8.3222 * CHOOSE(CONTROL!$C$32, $C$9, 100%, $E$9)</f>
        <v>8.3222000000000005</v>
      </c>
      <c r="F525" s="33">
        <f>8.3222 * CHOOSE(CONTROL!$C$32, $C$9, 100%, $E$9)</f>
        <v>8.3222000000000005</v>
      </c>
      <c r="G525" s="33">
        <f>8.3275 * CHOOSE(CONTROL!$C$32, $C$9, 100%, $E$9)</f>
        <v>8.3275000000000006</v>
      </c>
      <c r="H525" s="33">
        <f>16.4332 * CHOOSE(CONTROL!$C$32, $C$9, 100%, $E$9)</f>
        <v>16.433199999999999</v>
      </c>
      <c r="I525" s="33">
        <f>16.4385 * CHOOSE(CONTROL!$C$32, $C$9, 100%, $E$9)</f>
        <v>16.438500000000001</v>
      </c>
      <c r="J525" s="33">
        <f>16.4332 * CHOOSE(CONTROL!$C$32, $C$9, 100%, $E$9)</f>
        <v>16.433199999999999</v>
      </c>
      <c r="K525" s="33">
        <f>16.4385 * CHOOSE(CONTROL!$C$32, $C$9, 100%, $E$9)</f>
        <v>16.438500000000001</v>
      </c>
      <c r="L525" s="33">
        <f>8.3222 * CHOOSE(CONTROL!$C$32, $C$9, 100%, $E$9)</f>
        <v>8.3222000000000005</v>
      </c>
      <c r="M525" s="33">
        <f>8.3275 * CHOOSE(CONTROL!$C$32, $C$9, 100%, $E$9)</f>
        <v>8.3275000000000006</v>
      </c>
      <c r="N525" s="33">
        <f>8.3222 * CHOOSE(CONTROL!$C$32, $C$9, 100%, $E$9)</f>
        <v>8.3222000000000005</v>
      </c>
      <c r="O525" s="33">
        <f>8.3275 * CHOOSE(CONTROL!$C$32, $C$9, 100%, $E$9)</f>
        <v>8.3275000000000006</v>
      </c>
    </row>
    <row r="526" spans="1:15" ht="15" x14ac:dyDescent="0.2">
      <c r="A526" s="16">
        <v>56858</v>
      </c>
      <c r="B526" s="32">
        <f>7.4816 * CHOOSE(CONTROL!$C$32, $C$9, 100%, $E$9)</f>
        <v>7.4816000000000003</v>
      </c>
      <c r="C526" s="32">
        <f>7.4816 * CHOOSE(CONTROL!$C$32, $C$9, 100%, $E$9)</f>
        <v>7.4816000000000003</v>
      </c>
      <c r="D526" s="32">
        <f>7.4831 * CHOOSE(CONTROL!$C$32, $C$9, 100%, $E$9)</f>
        <v>7.4831000000000003</v>
      </c>
      <c r="E526" s="33">
        <f>8.3004 * CHOOSE(CONTROL!$C$32, $C$9, 100%, $E$9)</f>
        <v>8.3003999999999998</v>
      </c>
      <c r="F526" s="33">
        <f>8.3004 * CHOOSE(CONTROL!$C$32, $C$9, 100%, $E$9)</f>
        <v>8.3003999999999998</v>
      </c>
      <c r="G526" s="33">
        <f>8.3057 * CHOOSE(CONTROL!$C$32, $C$9, 100%, $E$9)</f>
        <v>8.3056999999999999</v>
      </c>
      <c r="H526" s="33">
        <f>16.4674 * CHOOSE(CONTROL!$C$32, $C$9, 100%, $E$9)</f>
        <v>16.467400000000001</v>
      </c>
      <c r="I526" s="33">
        <f>16.4727 * CHOOSE(CONTROL!$C$32, $C$9, 100%, $E$9)</f>
        <v>16.4727</v>
      </c>
      <c r="J526" s="33">
        <f>16.4674 * CHOOSE(CONTROL!$C$32, $C$9, 100%, $E$9)</f>
        <v>16.467400000000001</v>
      </c>
      <c r="K526" s="33">
        <f>16.4727 * CHOOSE(CONTROL!$C$32, $C$9, 100%, $E$9)</f>
        <v>16.4727</v>
      </c>
      <c r="L526" s="33">
        <f>8.3004 * CHOOSE(CONTROL!$C$32, $C$9, 100%, $E$9)</f>
        <v>8.3003999999999998</v>
      </c>
      <c r="M526" s="33">
        <f>8.3057 * CHOOSE(CONTROL!$C$32, $C$9, 100%, $E$9)</f>
        <v>8.3056999999999999</v>
      </c>
      <c r="N526" s="33">
        <f>8.3004 * CHOOSE(CONTROL!$C$32, $C$9, 100%, $E$9)</f>
        <v>8.3003999999999998</v>
      </c>
      <c r="O526" s="33">
        <f>8.3057 * CHOOSE(CONTROL!$C$32, $C$9, 100%, $E$9)</f>
        <v>8.3056999999999999</v>
      </c>
    </row>
    <row r="527" spans="1:15" ht="15" x14ac:dyDescent="0.2">
      <c r="A527" s="16">
        <v>56888</v>
      </c>
      <c r="B527" s="32">
        <f>7.4896 * CHOOSE(CONTROL!$C$32, $C$9, 100%, $E$9)</f>
        <v>7.4896000000000003</v>
      </c>
      <c r="C527" s="32">
        <f>7.4896 * CHOOSE(CONTROL!$C$32, $C$9, 100%, $E$9)</f>
        <v>7.4896000000000003</v>
      </c>
      <c r="D527" s="32">
        <f>7.4906 * CHOOSE(CONTROL!$C$32, $C$9, 100%, $E$9)</f>
        <v>7.4905999999999997</v>
      </c>
      <c r="E527" s="33">
        <f>8.3656 * CHOOSE(CONTROL!$C$32, $C$9, 100%, $E$9)</f>
        <v>8.3656000000000006</v>
      </c>
      <c r="F527" s="33">
        <f>8.3656 * CHOOSE(CONTROL!$C$32, $C$9, 100%, $E$9)</f>
        <v>8.3656000000000006</v>
      </c>
      <c r="G527" s="33">
        <f>8.3692 * CHOOSE(CONTROL!$C$32, $C$9, 100%, $E$9)</f>
        <v>8.3691999999999993</v>
      </c>
      <c r="H527" s="33">
        <f>16.5017 * CHOOSE(CONTROL!$C$32, $C$9, 100%, $E$9)</f>
        <v>16.5017</v>
      </c>
      <c r="I527" s="33">
        <f>16.5053 * CHOOSE(CONTROL!$C$32, $C$9, 100%, $E$9)</f>
        <v>16.505299999999998</v>
      </c>
      <c r="J527" s="33">
        <f>16.5017 * CHOOSE(CONTROL!$C$32, $C$9, 100%, $E$9)</f>
        <v>16.5017</v>
      </c>
      <c r="K527" s="33">
        <f>16.5053 * CHOOSE(CONTROL!$C$32, $C$9, 100%, $E$9)</f>
        <v>16.505299999999998</v>
      </c>
      <c r="L527" s="33">
        <f>8.3656 * CHOOSE(CONTROL!$C$32, $C$9, 100%, $E$9)</f>
        <v>8.3656000000000006</v>
      </c>
      <c r="M527" s="33">
        <f>8.3692 * CHOOSE(CONTROL!$C$32, $C$9, 100%, $E$9)</f>
        <v>8.3691999999999993</v>
      </c>
      <c r="N527" s="33">
        <f>8.3656 * CHOOSE(CONTROL!$C$32, $C$9, 100%, $E$9)</f>
        <v>8.3656000000000006</v>
      </c>
      <c r="O527" s="33">
        <f>8.3692 * CHOOSE(CONTROL!$C$32, $C$9, 100%, $E$9)</f>
        <v>8.3691999999999993</v>
      </c>
    </row>
    <row r="528" spans="1:15" ht="15" x14ac:dyDescent="0.2">
      <c r="A528" s="16">
        <v>56919</v>
      </c>
      <c r="B528" s="32">
        <f>7.4926 * CHOOSE(CONTROL!$C$32, $C$9, 100%, $E$9)</f>
        <v>7.4926000000000004</v>
      </c>
      <c r="C528" s="32">
        <f>7.4926 * CHOOSE(CONTROL!$C$32, $C$9, 100%, $E$9)</f>
        <v>7.4926000000000004</v>
      </c>
      <c r="D528" s="32">
        <f>7.4937 * CHOOSE(CONTROL!$C$32, $C$9, 100%, $E$9)</f>
        <v>7.4936999999999996</v>
      </c>
      <c r="E528" s="33">
        <f>8.4071 * CHOOSE(CONTROL!$C$32, $C$9, 100%, $E$9)</f>
        <v>8.4070999999999998</v>
      </c>
      <c r="F528" s="33">
        <f>8.4071 * CHOOSE(CONTROL!$C$32, $C$9, 100%, $E$9)</f>
        <v>8.4070999999999998</v>
      </c>
      <c r="G528" s="33">
        <f>8.4107 * CHOOSE(CONTROL!$C$32, $C$9, 100%, $E$9)</f>
        <v>8.4107000000000003</v>
      </c>
      <c r="H528" s="33">
        <f>16.5361 * CHOOSE(CONTROL!$C$32, $C$9, 100%, $E$9)</f>
        <v>16.536100000000001</v>
      </c>
      <c r="I528" s="33">
        <f>16.5397 * CHOOSE(CONTROL!$C$32, $C$9, 100%, $E$9)</f>
        <v>16.5397</v>
      </c>
      <c r="J528" s="33">
        <f>16.5361 * CHOOSE(CONTROL!$C$32, $C$9, 100%, $E$9)</f>
        <v>16.536100000000001</v>
      </c>
      <c r="K528" s="33">
        <f>16.5397 * CHOOSE(CONTROL!$C$32, $C$9, 100%, $E$9)</f>
        <v>16.5397</v>
      </c>
      <c r="L528" s="33">
        <f>8.4071 * CHOOSE(CONTROL!$C$32, $C$9, 100%, $E$9)</f>
        <v>8.4070999999999998</v>
      </c>
      <c r="M528" s="33">
        <f>8.4107 * CHOOSE(CONTROL!$C$32, $C$9, 100%, $E$9)</f>
        <v>8.4107000000000003</v>
      </c>
      <c r="N528" s="33">
        <f>8.4071 * CHOOSE(CONTROL!$C$32, $C$9, 100%, $E$9)</f>
        <v>8.4070999999999998</v>
      </c>
      <c r="O528" s="33">
        <f>8.4107 * CHOOSE(CONTROL!$C$32, $C$9, 100%, $E$9)</f>
        <v>8.4107000000000003</v>
      </c>
    </row>
    <row r="529" spans="1:15" ht="15" x14ac:dyDescent="0.2">
      <c r="A529" s="16">
        <v>56949</v>
      </c>
      <c r="B529" s="32">
        <f>7.4926 * CHOOSE(CONTROL!$C$32, $C$9, 100%, $E$9)</f>
        <v>7.4926000000000004</v>
      </c>
      <c r="C529" s="32">
        <f>7.4926 * CHOOSE(CONTROL!$C$32, $C$9, 100%, $E$9)</f>
        <v>7.4926000000000004</v>
      </c>
      <c r="D529" s="32">
        <f>7.4937 * CHOOSE(CONTROL!$C$32, $C$9, 100%, $E$9)</f>
        <v>7.4936999999999996</v>
      </c>
      <c r="E529" s="33">
        <f>8.3087 * CHOOSE(CONTROL!$C$32, $C$9, 100%, $E$9)</f>
        <v>8.3087</v>
      </c>
      <c r="F529" s="33">
        <f>8.3087 * CHOOSE(CONTROL!$C$32, $C$9, 100%, $E$9)</f>
        <v>8.3087</v>
      </c>
      <c r="G529" s="33">
        <f>8.3124 * CHOOSE(CONTROL!$C$32, $C$9, 100%, $E$9)</f>
        <v>8.3124000000000002</v>
      </c>
      <c r="H529" s="33">
        <f>16.5706 * CHOOSE(CONTROL!$C$32, $C$9, 100%, $E$9)</f>
        <v>16.570599999999999</v>
      </c>
      <c r="I529" s="33">
        <f>16.5742 * CHOOSE(CONTROL!$C$32, $C$9, 100%, $E$9)</f>
        <v>16.574200000000001</v>
      </c>
      <c r="J529" s="33">
        <f>16.5706 * CHOOSE(CONTROL!$C$32, $C$9, 100%, $E$9)</f>
        <v>16.570599999999999</v>
      </c>
      <c r="K529" s="33">
        <f>16.5742 * CHOOSE(CONTROL!$C$32, $C$9, 100%, $E$9)</f>
        <v>16.574200000000001</v>
      </c>
      <c r="L529" s="33">
        <f>8.3087 * CHOOSE(CONTROL!$C$32, $C$9, 100%, $E$9)</f>
        <v>8.3087</v>
      </c>
      <c r="M529" s="33">
        <f>8.3124 * CHOOSE(CONTROL!$C$32, $C$9, 100%, $E$9)</f>
        <v>8.3124000000000002</v>
      </c>
      <c r="N529" s="33">
        <f>8.3087 * CHOOSE(CONTROL!$C$32, $C$9, 100%, $E$9)</f>
        <v>8.3087</v>
      </c>
      <c r="O529" s="33">
        <f>8.3124 * CHOOSE(CONTROL!$C$32, $C$9, 100%, $E$9)</f>
        <v>8.3124000000000002</v>
      </c>
    </row>
    <row r="530" spans="1:15" ht="15" x14ac:dyDescent="0.2">
      <c r="A530" s="16">
        <v>56980</v>
      </c>
      <c r="B530" s="32">
        <f>7.5488 * CHOOSE(CONTROL!$C$32, $C$9, 100%, $E$9)</f>
        <v>7.5488</v>
      </c>
      <c r="C530" s="32">
        <f>7.5488 * CHOOSE(CONTROL!$C$32, $C$9, 100%, $E$9)</f>
        <v>7.5488</v>
      </c>
      <c r="D530" s="32">
        <f>7.5498 * CHOOSE(CONTROL!$C$32, $C$9, 100%, $E$9)</f>
        <v>7.5498000000000003</v>
      </c>
      <c r="E530" s="33">
        <f>8.4508 * CHOOSE(CONTROL!$C$32, $C$9, 100%, $E$9)</f>
        <v>8.4507999999999992</v>
      </c>
      <c r="F530" s="33">
        <f>8.4508 * CHOOSE(CONTROL!$C$32, $C$9, 100%, $E$9)</f>
        <v>8.4507999999999992</v>
      </c>
      <c r="G530" s="33">
        <f>8.4544 * CHOOSE(CONTROL!$C$32, $C$9, 100%, $E$9)</f>
        <v>8.4543999999999997</v>
      </c>
      <c r="H530" s="33">
        <f>16.6051 * CHOOSE(CONTROL!$C$32, $C$9, 100%, $E$9)</f>
        <v>16.6051</v>
      </c>
      <c r="I530" s="33">
        <f>16.6087 * CHOOSE(CONTROL!$C$32, $C$9, 100%, $E$9)</f>
        <v>16.608699999999999</v>
      </c>
      <c r="J530" s="33">
        <f>16.6051 * CHOOSE(CONTROL!$C$32, $C$9, 100%, $E$9)</f>
        <v>16.6051</v>
      </c>
      <c r="K530" s="33">
        <f>16.6087 * CHOOSE(CONTROL!$C$32, $C$9, 100%, $E$9)</f>
        <v>16.608699999999999</v>
      </c>
      <c r="L530" s="33">
        <f>8.4508 * CHOOSE(CONTROL!$C$32, $C$9, 100%, $E$9)</f>
        <v>8.4507999999999992</v>
      </c>
      <c r="M530" s="33">
        <f>8.4544 * CHOOSE(CONTROL!$C$32, $C$9, 100%, $E$9)</f>
        <v>8.4543999999999997</v>
      </c>
      <c r="N530" s="33">
        <f>8.4508 * CHOOSE(CONTROL!$C$32, $C$9, 100%, $E$9)</f>
        <v>8.4507999999999992</v>
      </c>
      <c r="O530" s="33">
        <f>8.4544 * CHOOSE(CONTROL!$C$32, $C$9, 100%, $E$9)</f>
        <v>8.4543999999999997</v>
      </c>
    </row>
    <row r="531" spans="1:15" ht="15" x14ac:dyDescent="0.2">
      <c r="A531" s="16">
        <v>57011</v>
      </c>
      <c r="B531" s="32">
        <f>7.5457 * CHOOSE(CONTROL!$C$32, $C$9, 100%, $E$9)</f>
        <v>7.5457000000000001</v>
      </c>
      <c r="C531" s="32">
        <f>7.5457 * CHOOSE(CONTROL!$C$32, $C$9, 100%, $E$9)</f>
        <v>7.5457000000000001</v>
      </c>
      <c r="D531" s="32">
        <f>7.5468 * CHOOSE(CONTROL!$C$32, $C$9, 100%, $E$9)</f>
        <v>7.5468000000000002</v>
      </c>
      <c r="E531" s="33">
        <f>8.2568 * CHOOSE(CONTROL!$C$32, $C$9, 100%, $E$9)</f>
        <v>8.2568000000000001</v>
      </c>
      <c r="F531" s="33">
        <f>8.2568 * CHOOSE(CONTROL!$C$32, $C$9, 100%, $E$9)</f>
        <v>8.2568000000000001</v>
      </c>
      <c r="G531" s="33">
        <f>8.2604 * CHOOSE(CONTROL!$C$32, $C$9, 100%, $E$9)</f>
        <v>8.2604000000000006</v>
      </c>
      <c r="H531" s="33">
        <f>16.6397 * CHOOSE(CONTROL!$C$32, $C$9, 100%, $E$9)</f>
        <v>16.639700000000001</v>
      </c>
      <c r="I531" s="33">
        <f>16.6433 * CHOOSE(CONTROL!$C$32, $C$9, 100%, $E$9)</f>
        <v>16.6433</v>
      </c>
      <c r="J531" s="33">
        <f>16.6397 * CHOOSE(CONTROL!$C$32, $C$9, 100%, $E$9)</f>
        <v>16.639700000000001</v>
      </c>
      <c r="K531" s="33">
        <f>16.6433 * CHOOSE(CONTROL!$C$32, $C$9, 100%, $E$9)</f>
        <v>16.6433</v>
      </c>
      <c r="L531" s="33">
        <f>8.2568 * CHOOSE(CONTROL!$C$32, $C$9, 100%, $E$9)</f>
        <v>8.2568000000000001</v>
      </c>
      <c r="M531" s="33">
        <f>8.2604 * CHOOSE(CONTROL!$C$32, $C$9, 100%, $E$9)</f>
        <v>8.2604000000000006</v>
      </c>
      <c r="N531" s="33">
        <f>8.2568 * CHOOSE(CONTROL!$C$32, $C$9, 100%, $E$9)</f>
        <v>8.2568000000000001</v>
      </c>
      <c r="O531" s="33">
        <f>8.2604 * CHOOSE(CONTROL!$C$32, $C$9, 100%, $E$9)</f>
        <v>8.2604000000000006</v>
      </c>
    </row>
    <row r="532" spans="1:15" ht="15" x14ac:dyDescent="0.2">
      <c r="A532" s="16">
        <v>57040</v>
      </c>
      <c r="B532" s="32">
        <f>7.5427 * CHOOSE(CONTROL!$C$32, $C$9, 100%, $E$9)</f>
        <v>7.5427</v>
      </c>
      <c r="C532" s="32">
        <f>7.5427 * CHOOSE(CONTROL!$C$32, $C$9, 100%, $E$9)</f>
        <v>7.5427</v>
      </c>
      <c r="D532" s="32">
        <f>7.5438 * CHOOSE(CONTROL!$C$32, $C$9, 100%, $E$9)</f>
        <v>7.5438000000000001</v>
      </c>
      <c r="E532" s="33">
        <f>8.406 * CHOOSE(CONTROL!$C$32, $C$9, 100%, $E$9)</f>
        <v>8.4060000000000006</v>
      </c>
      <c r="F532" s="33">
        <f>8.406 * CHOOSE(CONTROL!$C$32, $C$9, 100%, $E$9)</f>
        <v>8.4060000000000006</v>
      </c>
      <c r="G532" s="33">
        <f>8.4096 * CHOOSE(CONTROL!$C$32, $C$9, 100%, $E$9)</f>
        <v>8.4095999999999993</v>
      </c>
      <c r="H532" s="33">
        <f>16.6743 * CHOOSE(CONTROL!$C$32, $C$9, 100%, $E$9)</f>
        <v>16.674299999999999</v>
      </c>
      <c r="I532" s="33">
        <f>16.678 * CHOOSE(CONTROL!$C$32, $C$9, 100%, $E$9)</f>
        <v>16.678000000000001</v>
      </c>
      <c r="J532" s="33">
        <f>16.6743 * CHOOSE(CONTROL!$C$32, $C$9, 100%, $E$9)</f>
        <v>16.674299999999999</v>
      </c>
      <c r="K532" s="33">
        <f>16.678 * CHOOSE(CONTROL!$C$32, $C$9, 100%, $E$9)</f>
        <v>16.678000000000001</v>
      </c>
      <c r="L532" s="33">
        <f>8.406 * CHOOSE(CONTROL!$C$32, $C$9, 100%, $E$9)</f>
        <v>8.4060000000000006</v>
      </c>
      <c r="M532" s="33">
        <f>8.4096 * CHOOSE(CONTROL!$C$32, $C$9, 100%, $E$9)</f>
        <v>8.4095999999999993</v>
      </c>
      <c r="N532" s="33">
        <f>8.406 * CHOOSE(CONTROL!$C$32, $C$9, 100%, $E$9)</f>
        <v>8.4060000000000006</v>
      </c>
      <c r="O532" s="33">
        <f>8.4096 * CHOOSE(CONTROL!$C$32, $C$9, 100%, $E$9)</f>
        <v>8.4095999999999993</v>
      </c>
    </row>
    <row r="533" spans="1:15" ht="15" x14ac:dyDescent="0.2">
      <c r="A533" s="16">
        <v>57071</v>
      </c>
      <c r="B533" s="32">
        <f>7.5438 * CHOOSE(CONTROL!$C$32, $C$9, 100%, $E$9)</f>
        <v>7.5438000000000001</v>
      </c>
      <c r="C533" s="32">
        <f>7.5438 * CHOOSE(CONTROL!$C$32, $C$9, 100%, $E$9)</f>
        <v>7.5438000000000001</v>
      </c>
      <c r="D533" s="32">
        <f>7.5448 * CHOOSE(CONTROL!$C$32, $C$9, 100%, $E$9)</f>
        <v>7.5448000000000004</v>
      </c>
      <c r="E533" s="33">
        <f>8.5642 * CHOOSE(CONTROL!$C$32, $C$9, 100%, $E$9)</f>
        <v>8.5641999999999996</v>
      </c>
      <c r="F533" s="33">
        <f>8.5642 * CHOOSE(CONTROL!$C$32, $C$9, 100%, $E$9)</f>
        <v>8.5641999999999996</v>
      </c>
      <c r="G533" s="33">
        <f>8.5678 * CHOOSE(CONTROL!$C$32, $C$9, 100%, $E$9)</f>
        <v>8.5678000000000001</v>
      </c>
      <c r="H533" s="33">
        <f>16.7091 * CHOOSE(CONTROL!$C$32, $C$9, 100%, $E$9)</f>
        <v>16.709099999999999</v>
      </c>
      <c r="I533" s="33">
        <f>16.7127 * CHOOSE(CONTROL!$C$32, $C$9, 100%, $E$9)</f>
        <v>16.712700000000002</v>
      </c>
      <c r="J533" s="33">
        <f>16.7091 * CHOOSE(CONTROL!$C$32, $C$9, 100%, $E$9)</f>
        <v>16.709099999999999</v>
      </c>
      <c r="K533" s="33">
        <f>16.7127 * CHOOSE(CONTROL!$C$32, $C$9, 100%, $E$9)</f>
        <v>16.712700000000002</v>
      </c>
      <c r="L533" s="33">
        <f>8.5642 * CHOOSE(CONTROL!$C$32, $C$9, 100%, $E$9)</f>
        <v>8.5641999999999996</v>
      </c>
      <c r="M533" s="33">
        <f>8.5678 * CHOOSE(CONTROL!$C$32, $C$9, 100%, $E$9)</f>
        <v>8.5678000000000001</v>
      </c>
      <c r="N533" s="33">
        <f>8.5642 * CHOOSE(CONTROL!$C$32, $C$9, 100%, $E$9)</f>
        <v>8.5641999999999996</v>
      </c>
      <c r="O533" s="33">
        <f>8.5678 * CHOOSE(CONTROL!$C$32, $C$9, 100%, $E$9)</f>
        <v>8.5678000000000001</v>
      </c>
    </row>
    <row r="534" spans="1:15" ht="15" x14ac:dyDescent="0.2">
      <c r="A534" s="16">
        <v>57101</v>
      </c>
      <c r="B534" s="32">
        <f>7.5438 * CHOOSE(CONTROL!$C$32, $C$9, 100%, $E$9)</f>
        <v>7.5438000000000001</v>
      </c>
      <c r="C534" s="32">
        <f>7.5438 * CHOOSE(CONTROL!$C$32, $C$9, 100%, $E$9)</f>
        <v>7.5438000000000001</v>
      </c>
      <c r="D534" s="32">
        <f>7.5454 * CHOOSE(CONTROL!$C$32, $C$9, 100%, $E$9)</f>
        <v>7.5453999999999999</v>
      </c>
      <c r="E534" s="33">
        <f>8.6251 * CHOOSE(CONTROL!$C$32, $C$9, 100%, $E$9)</f>
        <v>8.6250999999999998</v>
      </c>
      <c r="F534" s="33">
        <f>8.6251 * CHOOSE(CONTROL!$C$32, $C$9, 100%, $E$9)</f>
        <v>8.6250999999999998</v>
      </c>
      <c r="G534" s="33">
        <f>8.6304 * CHOOSE(CONTROL!$C$32, $C$9, 100%, $E$9)</f>
        <v>8.6303999999999998</v>
      </c>
      <c r="H534" s="33">
        <f>16.7439 * CHOOSE(CONTROL!$C$32, $C$9, 100%, $E$9)</f>
        <v>16.7439</v>
      </c>
      <c r="I534" s="33">
        <f>16.7492 * CHOOSE(CONTROL!$C$32, $C$9, 100%, $E$9)</f>
        <v>16.749199999999998</v>
      </c>
      <c r="J534" s="33">
        <f>16.7439 * CHOOSE(CONTROL!$C$32, $C$9, 100%, $E$9)</f>
        <v>16.7439</v>
      </c>
      <c r="K534" s="33">
        <f>16.7492 * CHOOSE(CONTROL!$C$32, $C$9, 100%, $E$9)</f>
        <v>16.749199999999998</v>
      </c>
      <c r="L534" s="33">
        <f>8.6251 * CHOOSE(CONTROL!$C$32, $C$9, 100%, $E$9)</f>
        <v>8.6250999999999998</v>
      </c>
      <c r="M534" s="33">
        <f>8.6304 * CHOOSE(CONTROL!$C$32, $C$9, 100%, $E$9)</f>
        <v>8.6303999999999998</v>
      </c>
      <c r="N534" s="33">
        <f>8.6251 * CHOOSE(CONTROL!$C$32, $C$9, 100%, $E$9)</f>
        <v>8.6250999999999998</v>
      </c>
      <c r="O534" s="33">
        <f>8.6304 * CHOOSE(CONTROL!$C$32, $C$9, 100%, $E$9)</f>
        <v>8.6303999999999998</v>
      </c>
    </row>
    <row r="535" spans="1:15" ht="15" x14ac:dyDescent="0.2">
      <c r="A535" s="16">
        <v>57132</v>
      </c>
      <c r="B535" s="32">
        <f>7.5499 * CHOOSE(CONTROL!$C$32, $C$9, 100%, $E$9)</f>
        <v>7.5499000000000001</v>
      </c>
      <c r="C535" s="32">
        <f>7.5499 * CHOOSE(CONTROL!$C$32, $C$9, 100%, $E$9)</f>
        <v>7.5499000000000001</v>
      </c>
      <c r="D535" s="32">
        <f>7.5514 * CHOOSE(CONTROL!$C$32, $C$9, 100%, $E$9)</f>
        <v>7.5514000000000001</v>
      </c>
      <c r="E535" s="33">
        <f>8.5684 * CHOOSE(CONTROL!$C$32, $C$9, 100%, $E$9)</f>
        <v>8.5684000000000005</v>
      </c>
      <c r="F535" s="33">
        <f>8.5684 * CHOOSE(CONTROL!$C$32, $C$9, 100%, $E$9)</f>
        <v>8.5684000000000005</v>
      </c>
      <c r="G535" s="33">
        <f>8.5737 * CHOOSE(CONTROL!$C$32, $C$9, 100%, $E$9)</f>
        <v>8.5737000000000005</v>
      </c>
      <c r="H535" s="33">
        <f>16.7788 * CHOOSE(CONTROL!$C$32, $C$9, 100%, $E$9)</f>
        <v>16.7788</v>
      </c>
      <c r="I535" s="33">
        <f>16.7841 * CHOOSE(CONTROL!$C$32, $C$9, 100%, $E$9)</f>
        <v>16.784099999999999</v>
      </c>
      <c r="J535" s="33">
        <f>16.7788 * CHOOSE(CONTROL!$C$32, $C$9, 100%, $E$9)</f>
        <v>16.7788</v>
      </c>
      <c r="K535" s="33">
        <f>16.7841 * CHOOSE(CONTROL!$C$32, $C$9, 100%, $E$9)</f>
        <v>16.784099999999999</v>
      </c>
      <c r="L535" s="33">
        <f>8.5684 * CHOOSE(CONTROL!$C$32, $C$9, 100%, $E$9)</f>
        <v>8.5684000000000005</v>
      </c>
      <c r="M535" s="33">
        <f>8.5737 * CHOOSE(CONTROL!$C$32, $C$9, 100%, $E$9)</f>
        <v>8.5737000000000005</v>
      </c>
      <c r="N535" s="33">
        <f>8.5684 * CHOOSE(CONTROL!$C$32, $C$9, 100%, $E$9)</f>
        <v>8.5684000000000005</v>
      </c>
      <c r="O535" s="33">
        <f>8.5737 * CHOOSE(CONTROL!$C$32, $C$9, 100%, $E$9)</f>
        <v>8.5737000000000005</v>
      </c>
    </row>
    <row r="536" spans="1:15" ht="15" x14ac:dyDescent="0.2">
      <c r="A536" s="16">
        <v>57162</v>
      </c>
      <c r="B536" s="32">
        <f>7.6474 * CHOOSE(CONTROL!$C$32, $C$9, 100%, $E$9)</f>
        <v>7.6474000000000002</v>
      </c>
      <c r="C536" s="32">
        <f>7.6474 * CHOOSE(CONTROL!$C$32, $C$9, 100%, $E$9)</f>
        <v>7.6474000000000002</v>
      </c>
      <c r="D536" s="32">
        <f>7.6489 * CHOOSE(CONTROL!$C$32, $C$9, 100%, $E$9)</f>
        <v>7.6489000000000003</v>
      </c>
      <c r="E536" s="33">
        <f>8.6867 * CHOOSE(CONTROL!$C$32, $C$9, 100%, $E$9)</f>
        <v>8.6867000000000001</v>
      </c>
      <c r="F536" s="33">
        <f>8.6867 * CHOOSE(CONTROL!$C$32, $C$9, 100%, $E$9)</f>
        <v>8.6867000000000001</v>
      </c>
      <c r="G536" s="33">
        <f>8.692 * CHOOSE(CONTROL!$C$32, $C$9, 100%, $E$9)</f>
        <v>8.6920000000000002</v>
      </c>
      <c r="H536" s="33">
        <f>16.8137 * CHOOSE(CONTROL!$C$32, $C$9, 100%, $E$9)</f>
        <v>16.813700000000001</v>
      </c>
      <c r="I536" s="33">
        <f>16.819 * CHOOSE(CONTROL!$C$32, $C$9, 100%, $E$9)</f>
        <v>16.818999999999999</v>
      </c>
      <c r="J536" s="33">
        <f>16.8137 * CHOOSE(CONTROL!$C$32, $C$9, 100%, $E$9)</f>
        <v>16.813700000000001</v>
      </c>
      <c r="K536" s="33">
        <f>16.819 * CHOOSE(CONTROL!$C$32, $C$9, 100%, $E$9)</f>
        <v>16.818999999999999</v>
      </c>
      <c r="L536" s="33">
        <f>8.6867 * CHOOSE(CONTROL!$C$32, $C$9, 100%, $E$9)</f>
        <v>8.6867000000000001</v>
      </c>
      <c r="M536" s="33">
        <f>8.692 * CHOOSE(CONTROL!$C$32, $C$9, 100%, $E$9)</f>
        <v>8.6920000000000002</v>
      </c>
      <c r="N536" s="33">
        <f>8.6867 * CHOOSE(CONTROL!$C$32, $C$9, 100%, $E$9)</f>
        <v>8.6867000000000001</v>
      </c>
      <c r="O536" s="33">
        <f>8.692 * CHOOSE(CONTROL!$C$32, $C$9, 100%, $E$9)</f>
        <v>8.6920000000000002</v>
      </c>
    </row>
    <row r="537" spans="1:15" ht="15" x14ac:dyDescent="0.2">
      <c r="A537" s="16">
        <v>57193</v>
      </c>
      <c r="B537" s="32">
        <f>7.654 * CHOOSE(CONTROL!$C$32, $C$9, 100%, $E$9)</f>
        <v>7.6539999999999999</v>
      </c>
      <c r="C537" s="32">
        <f>7.654 * CHOOSE(CONTROL!$C$32, $C$9, 100%, $E$9)</f>
        <v>7.6539999999999999</v>
      </c>
      <c r="D537" s="32">
        <f>7.6556 * CHOOSE(CONTROL!$C$32, $C$9, 100%, $E$9)</f>
        <v>7.6555999999999997</v>
      </c>
      <c r="E537" s="33">
        <f>8.5087 * CHOOSE(CONTROL!$C$32, $C$9, 100%, $E$9)</f>
        <v>8.5086999999999993</v>
      </c>
      <c r="F537" s="33">
        <f>8.5087 * CHOOSE(CONTROL!$C$32, $C$9, 100%, $E$9)</f>
        <v>8.5086999999999993</v>
      </c>
      <c r="G537" s="33">
        <f>8.5139 * CHOOSE(CONTROL!$C$32, $C$9, 100%, $E$9)</f>
        <v>8.5138999999999996</v>
      </c>
      <c r="H537" s="33">
        <f>16.8488 * CHOOSE(CONTROL!$C$32, $C$9, 100%, $E$9)</f>
        <v>16.848800000000001</v>
      </c>
      <c r="I537" s="33">
        <f>16.854 * CHOOSE(CONTROL!$C$32, $C$9, 100%, $E$9)</f>
        <v>16.853999999999999</v>
      </c>
      <c r="J537" s="33">
        <f>16.8488 * CHOOSE(CONTROL!$C$32, $C$9, 100%, $E$9)</f>
        <v>16.848800000000001</v>
      </c>
      <c r="K537" s="33">
        <f>16.854 * CHOOSE(CONTROL!$C$32, $C$9, 100%, $E$9)</f>
        <v>16.853999999999999</v>
      </c>
      <c r="L537" s="33">
        <f>8.5087 * CHOOSE(CONTROL!$C$32, $C$9, 100%, $E$9)</f>
        <v>8.5086999999999993</v>
      </c>
      <c r="M537" s="33">
        <f>8.5139 * CHOOSE(CONTROL!$C$32, $C$9, 100%, $E$9)</f>
        <v>8.5138999999999996</v>
      </c>
      <c r="N537" s="33">
        <f>8.5087 * CHOOSE(CONTROL!$C$32, $C$9, 100%, $E$9)</f>
        <v>8.5086999999999993</v>
      </c>
      <c r="O537" s="33">
        <f>8.5139 * CHOOSE(CONTROL!$C$32, $C$9, 100%, $E$9)</f>
        <v>8.5138999999999996</v>
      </c>
    </row>
    <row r="538" spans="1:15" ht="15" x14ac:dyDescent="0.2">
      <c r="A538" s="16">
        <v>57224</v>
      </c>
      <c r="B538" s="32">
        <f>7.651 * CHOOSE(CONTROL!$C$32, $C$9, 100%, $E$9)</f>
        <v>7.6509999999999998</v>
      </c>
      <c r="C538" s="32">
        <f>7.651 * CHOOSE(CONTROL!$C$32, $C$9, 100%, $E$9)</f>
        <v>7.6509999999999998</v>
      </c>
      <c r="D538" s="32">
        <f>7.6526 * CHOOSE(CONTROL!$C$32, $C$9, 100%, $E$9)</f>
        <v>7.6525999999999996</v>
      </c>
      <c r="E538" s="33">
        <f>8.4862 * CHOOSE(CONTROL!$C$32, $C$9, 100%, $E$9)</f>
        <v>8.4862000000000002</v>
      </c>
      <c r="F538" s="33">
        <f>8.4862 * CHOOSE(CONTROL!$C$32, $C$9, 100%, $E$9)</f>
        <v>8.4862000000000002</v>
      </c>
      <c r="G538" s="33">
        <f>8.4915 * CHOOSE(CONTROL!$C$32, $C$9, 100%, $E$9)</f>
        <v>8.4915000000000003</v>
      </c>
      <c r="H538" s="33">
        <f>16.8839 * CHOOSE(CONTROL!$C$32, $C$9, 100%, $E$9)</f>
        <v>16.883900000000001</v>
      </c>
      <c r="I538" s="33">
        <f>16.8891 * CHOOSE(CONTROL!$C$32, $C$9, 100%, $E$9)</f>
        <v>16.889099999999999</v>
      </c>
      <c r="J538" s="33">
        <f>16.8839 * CHOOSE(CONTROL!$C$32, $C$9, 100%, $E$9)</f>
        <v>16.883900000000001</v>
      </c>
      <c r="K538" s="33">
        <f>16.8891 * CHOOSE(CONTROL!$C$32, $C$9, 100%, $E$9)</f>
        <v>16.889099999999999</v>
      </c>
      <c r="L538" s="33">
        <f>8.4862 * CHOOSE(CONTROL!$C$32, $C$9, 100%, $E$9)</f>
        <v>8.4862000000000002</v>
      </c>
      <c r="M538" s="33">
        <f>8.4915 * CHOOSE(CONTROL!$C$32, $C$9, 100%, $E$9)</f>
        <v>8.4915000000000003</v>
      </c>
      <c r="N538" s="33">
        <f>8.4862 * CHOOSE(CONTROL!$C$32, $C$9, 100%, $E$9)</f>
        <v>8.4862000000000002</v>
      </c>
      <c r="O538" s="33">
        <f>8.4915 * CHOOSE(CONTROL!$C$32, $C$9, 100%, $E$9)</f>
        <v>8.4915000000000003</v>
      </c>
    </row>
    <row r="539" spans="1:15" ht="15" x14ac:dyDescent="0.2">
      <c r="A539" s="16">
        <v>57254</v>
      </c>
      <c r="B539" s="32">
        <f>7.6597 * CHOOSE(CONTROL!$C$32, $C$9, 100%, $E$9)</f>
        <v>7.6597</v>
      </c>
      <c r="C539" s="32">
        <f>7.6597 * CHOOSE(CONTROL!$C$32, $C$9, 100%, $E$9)</f>
        <v>7.6597</v>
      </c>
      <c r="D539" s="32">
        <f>7.6607 * CHOOSE(CONTROL!$C$32, $C$9, 100%, $E$9)</f>
        <v>7.6607000000000003</v>
      </c>
      <c r="E539" s="33">
        <f>8.554 * CHOOSE(CONTROL!$C$32, $C$9, 100%, $E$9)</f>
        <v>8.5540000000000003</v>
      </c>
      <c r="F539" s="33">
        <f>8.554 * CHOOSE(CONTROL!$C$32, $C$9, 100%, $E$9)</f>
        <v>8.5540000000000003</v>
      </c>
      <c r="G539" s="33">
        <f>8.5577 * CHOOSE(CONTROL!$C$32, $C$9, 100%, $E$9)</f>
        <v>8.5577000000000005</v>
      </c>
      <c r="H539" s="33">
        <f>16.919 * CHOOSE(CONTROL!$C$32, $C$9, 100%, $E$9)</f>
        <v>16.919</v>
      </c>
      <c r="I539" s="33">
        <f>16.9226 * CHOOSE(CONTROL!$C$32, $C$9, 100%, $E$9)</f>
        <v>16.922599999999999</v>
      </c>
      <c r="J539" s="33">
        <f>16.919 * CHOOSE(CONTROL!$C$32, $C$9, 100%, $E$9)</f>
        <v>16.919</v>
      </c>
      <c r="K539" s="33">
        <f>16.9226 * CHOOSE(CONTROL!$C$32, $C$9, 100%, $E$9)</f>
        <v>16.922599999999999</v>
      </c>
      <c r="L539" s="33">
        <f>8.554 * CHOOSE(CONTROL!$C$32, $C$9, 100%, $E$9)</f>
        <v>8.5540000000000003</v>
      </c>
      <c r="M539" s="33">
        <f>8.5577 * CHOOSE(CONTROL!$C$32, $C$9, 100%, $E$9)</f>
        <v>8.5577000000000005</v>
      </c>
      <c r="N539" s="33">
        <f>8.554 * CHOOSE(CONTROL!$C$32, $C$9, 100%, $E$9)</f>
        <v>8.5540000000000003</v>
      </c>
      <c r="O539" s="33">
        <f>8.5577 * CHOOSE(CONTROL!$C$32, $C$9, 100%, $E$9)</f>
        <v>8.5577000000000005</v>
      </c>
    </row>
    <row r="540" spans="1:15" ht="15" x14ac:dyDescent="0.2">
      <c r="A540" s="16">
        <v>57285</v>
      </c>
      <c r="B540" s="32">
        <f>7.6627 * CHOOSE(CONTROL!$C$32, $C$9, 100%, $E$9)</f>
        <v>7.6627000000000001</v>
      </c>
      <c r="C540" s="32">
        <f>7.6627 * CHOOSE(CONTROL!$C$32, $C$9, 100%, $E$9)</f>
        <v>7.6627000000000001</v>
      </c>
      <c r="D540" s="32">
        <f>7.6638 * CHOOSE(CONTROL!$C$32, $C$9, 100%, $E$9)</f>
        <v>7.6638000000000002</v>
      </c>
      <c r="E540" s="33">
        <f>8.5968 * CHOOSE(CONTROL!$C$32, $C$9, 100%, $E$9)</f>
        <v>8.5968</v>
      </c>
      <c r="F540" s="33">
        <f>8.5968 * CHOOSE(CONTROL!$C$32, $C$9, 100%, $E$9)</f>
        <v>8.5968</v>
      </c>
      <c r="G540" s="33">
        <f>8.6004 * CHOOSE(CONTROL!$C$32, $C$9, 100%, $E$9)</f>
        <v>8.6004000000000005</v>
      </c>
      <c r="H540" s="33">
        <f>16.9543 * CHOOSE(CONTROL!$C$32, $C$9, 100%, $E$9)</f>
        <v>16.9543</v>
      </c>
      <c r="I540" s="33">
        <f>16.9579 * CHOOSE(CONTROL!$C$32, $C$9, 100%, $E$9)</f>
        <v>16.957899999999999</v>
      </c>
      <c r="J540" s="33">
        <f>16.9543 * CHOOSE(CONTROL!$C$32, $C$9, 100%, $E$9)</f>
        <v>16.9543</v>
      </c>
      <c r="K540" s="33">
        <f>16.9579 * CHOOSE(CONTROL!$C$32, $C$9, 100%, $E$9)</f>
        <v>16.957899999999999</v>
      </c>
      <c r="L540" s="33">
        <f>8.5968 * CHOOSE(CONTROL!$C$32, $C$9, 100%, $E$9)</f>
        <v>8.5968</v>
      </c>
      <c r="M540" s="33">
        <f>8.6004 * CHOOSE(CONTROL!$C$32, $C$9, 100%, $E$9)</f>
        <v>8.6004000000000005</v>
      </c>
      <c r="N540" s="33">
        <f>8.5968 * CHOOSE(CONTROL!$C$32, $C$9, 100%, $E$9)</f>
        <v>8.5968</v>
      </c>
      <c r="O540" s="33">
        <f>8.6004 * CHOOSE(CONTROL!$C$32, $C$9, 100%, $E$9)</f>
        <v>8.6004000000000005</v>
      </c>
    </row>
    <row r="541" spans="1:15" ht="15" x14ac:dyDescent="0.2">
      <c r="A541" s="16">
        <v>57315</v>
      </c>
      <c r="B541" s="32">
        <f>7.6627 * CHOOSE(CONTROL!$C$32, $C$9, 100%, $E$9)</f>
        <v>7.6627000000000001</v>
      </c>
      <c r="C541" s="32">
        <f>7.6627 * CHOOSE(CONTROL!$C$32, $C$9, 100%, $E$9)</f>
        <v>7.6627000000000001</v>
      </c>
      <c r="D541" s="32">
        <f>7.6638 * CHOOSE(CONTROL!$C$32, $C$9, 100%, $E$9)</f>
        <v>7.6638000000000002</v>
      </c>
      <c r="E541" s="33">
        <f>8.4952 * CHOOSE(CONTROL!$C$32, $C$9, 100%, $E$9)</f>
        <v>8.4952000000000005</v>
      </c>
      <c r="F541" s="33">
        <f>8.4952 * CHOOSE(CONTROL!$C$32, $C$9, 100%, $E$9)</f>
        <v>8.4952000000000005</v>
      </c>
      <c r="G541" s="33">
        <f>8.4989 * CHOOSE(CONTROL!$C$32, $C$9, 100%, $E$9)</f>
        <v>8.4989000000000008</v>
      </c>
      <c r="H541" s="33">
        <f>16.9896 * CHOOSE(CONTROL!$C$32, $C$9, 100%, $E$9)</f>
        <v>16.989599999999999</v>
      </c>
      <c r="I541" s="33">
        <f>16.9932 * CHOOSE(CONTROL!$C$32, $C$9, 100%, $E$9)</f>
        <v>16.993200000000002</v>
      </c>
      <c r="J541" s="33">
        <f>16.9896 * CHOOSE(CONTROL!$C$32, $C$9, 100%, $E$9)</f>
        <v>16.989599999999999</v>
      </c>
      <c r="K541" s="33">
        <f>16.9932 * CHOOSE(CONTROL!$C$32, $C$9, 100%, $E$9)</f>
        <v>16.993200000000002</v>
      </c>
      <c r="L541" s="33">
        <f>8.4952 * CHOOSE(CONTROL!$C$32, $C$9, 100%, $E$9)</f>
        <v>8.4952000000000005</v>
      </c>
      <c r="M541" s="33">
        <f>8.4989 * CHOOSE(CONTROL!$C$32, $C$9, 100%, $E$9)</f>
        <v>8.4989000000000008</v>
      </c>
      <c r="N541" s="33">
        <f>8.4952 * CHOOSE(CONTROL!$C$32, $C$9, 100%, $E$9)</f>
        <v>8.4952000000000005</v>
      </c>
      <c r="O541" s="33">
        <f>8.4989 * CHOOSE(CONTROL!$C$32, $C$9, 100%, $E$9)</f>
        <v>8.4989000000000008</v>
      </c>
    </row>
    <row r="542" spans="1:15" ht="15" x14ac:dyDescent="0.2">
      <c r="A542" s="16">
        <v>57346</v>
      </c>
      <c r="B542" s="32">
        <f>7.72 * CHOOSE(CONTROL!$C$32, $C$9, 100%, $E$9)</f>
        <v>7.72</v>
      </c>
      <c r="C542" s="32">
        <f>7.72 * CHOOSE(CONTROL!$C$32, $C$9, 100%, $E$9)</f>
        <v>7.72</v>
      </c>
      <c r="D542" s="32">
        <f>7.7211 * CHOOSE(CONTROL!$C$32, $C$9, 100%, $E$9)</f>
        <v>7.7210999999999999</v>
      </c>
      <c r="E542" s="33">
        <f>8.6415 * CHOOSE(CONTROL!$C$32, $C$9, 100%, $E$9)</f>
        <v>8.6415000000000006</v>
      </c>
      <c r="F542" s="33">
        <f>8.6415 * CHOOSE(CONTROL!$C$32, $C$9, 100%, $E$9)</f>
        <v>8.6415000000000006</v>
      </c>
      <c r="G542" s="33">
        <f>8.6451 * CHOOSE(CONTROL!$C$32, $C$9, 100%, $E$9)</f>
        <v>8.6450999999999993</v>
      </c>
      <c r="H542" s="33">
        <f>17.025 * CHOOSE(CONTROL!$C$32, $C$9, 100%, $E$9)</f>
        <v>17.024999999999999</v>
      </c>
      <c r="I542" s="33">
        <f>17.0286 * CHOOSE(CONTROL!$C$32, $C$9, 100%, $E$9)</f>
        <v>17.028600000000001</v>
      </c>
      <c r="J542" s="33">
        <f>17.025 * CHOOSE(CONTROL!$C$32, $C$9, 100%, $E$9)</f>
        <v>17.024999999999999</v>
      </c>
      <c r="K542" s="33">
        <f>17.0286 * CHOOSE(CONTROL!$C$32, $C$9, 100%, $E$9)</f>
        <v>17.028600000000001</v>
      </c>
      <c r="L542" s="33">
        <f>8.6415 * CHOOSE(CONTROL!$C$32, $C$9, 100%, $E$9)</f>
        <v>8.6415000000000006</v>
      </c>
      <c r="M542" s="33">
        <f>8.6451 * CHOOSE(CONTROL!$C$32, $C$9, 100%, $E$9)</f>
        <v>8.6450999999999993</v>
      </c>
      <c r="N542" s="33">
        <f>8.6415 * CHOOSE(CONTROL!$C$32, $C$9, 100%, $E$9)</f>
        <v>8.6415000000000006</v>
      </c>
      <c r="O542" s="33">
        <f>8.6451 * CHOOSE(CONTROL!$C$32, $C$9, 100%, $E$9)</f>
        <v>8.6450999999999993</v>
      </c>
    </row>
    <row r="543" spans="1:15" ht="15" x14ac:dyDescent="0.2">
      <c r="A543" s="16">
        <v>57377</v>
      </c>
      <c r="B543" s="32">
        <f>7.717 * CHOOSE(CONTROL!$C$32, $C$9, 100%, $E$9)</f>
        <v>7.7169999999999996</v>
      </c>
      <c r="C543" s="32">
        <f>7.717 * CHOOSE(CONTROL!$C$32, $C$9, 100%, $E$9)</f>
        <v>7.7169999999999996</v>
      </c>
      <c r="D543" s="32">
        <f>7.7181 * CHOOSE(CONTROL!$C$32, $C$9, 100%, $E$9)</f>
        <v>7.7180999999999997</v>
      </c>
      <c r="E543" s="33">
        <f>8.4413 * CHOOSE(CONTROL!$C$32, $C$9, 100%, $E$9)</f>
        <v>8.4413</v>
      </c>
      <c r="F543" s="33">
        <f>8.4413 * CHOOSE(CONTROL!$C$32, $C$9, 100%, $E$9)</f>
        <v>8.4413</v>
      </c>
      <c r="G543" s="33">
        <f>8.4449 * CHOOSE(CONTROL!$C$32, $C$9, 100%, $E$9)</f>
        <v>8.4449000000000005</v>
      </c>
      <c r="H543" s="33">
        <f>17.0605 * CHOOSE(CONTROL!$C$32, $C$9, 100%, $E$9)</f>
        <v>17.060500000000001</v>
      </c>
      <c r="I543" s="33">
        <f>17.0641 * CHOOSE(CONTROL!$C$32, $C$9, 100%, $E$9)</f>
        <v>17.0641</v>
      </c>
      <c r="J543" s="33">
        <f>17.0605 * CHOOSE(CONTROL!$C$32, $C$9, 100%, $E$9)</f>
        <v>17.060500000000001</v>
      </c>
      <c r="K543" s="33">
        <f>17.0641 * CHOOSE(CONTROL!$C$32, $C$9, 100%, $E$9)</f>
        <v>17.0641</v>
      </c>
      <c r="L543" s="33">
        <f>8.4413 * CHOOSE(CONTROL!$C$32, $C$9, 100%, $E$9)</f>
        <v>8.4413</v>
      </c>
      <c r="M543" s="33">
        <f>8.4449 * CHOOSE(CONTROL!$C$32, $C$9, 100%, $E$9)</f>
        <v>8.4449000000000005</v>
      </c>
      <c r="N543" s="33">
        <f>8.4413 * CHOOSE(CONTROL!$C$32, $C$9, 100%, $E$9)</f>
        <v>8.4413</v>
      </c>
      <c r="O543" s="33">
        <f>8.4449 * CHOOSE(CONTROL!$C$32, $C$9, 100%, $E$9)</f>
        <v>8.4449000000000005</v>
      </c>
    </row>
    <row r="544" spans="1:15" ht="15" x14ac:dyDescent="0.2">
      <c r="A544" s="16">
        <v>57405</v>
      </c>
      <c r="B544" s="32">
        <f>7.7139 * CHOOSE(CONTROL!$C$32, $C$9, 100%, $E$9)</f>
        <v>7.7138999999999998</v>
      </c>
      <c r="C544" s="32">
        <f>7.7139 * CHOOSE(CONTROL!$C$32, $C$9, 100%, $E$9)</f>
        <v>7.7138999999999998</v>
      </c>
      <c r="D544" s="32">
        <f>7.715 * CHOOSE(CONTROL!$C$32, $C$9, 100%, $E$9)</f>
        <v>7.7149999999999999</v>
      </c>
      <c r="E544" s="33">
        <f>8.5954 * CHOOSE(CONTROL!$C$32, $C$9, 100%, $E$9)</f>
        <v>8.5953999999999997</v>
      </c>
      <c r="F544" s="33">
        <f>8.5954 * CHOOSE(CONTROL!$C$32, $C$9, 100%, $E$9)</f>
        <v>8.5953999999999997</v>
      </c>
      <c r="G544" s="33">
        <f>8.599 * CHOOSE(CONTROL!$C$32, $C$9, 100%, $E$9)</f>
        <v>8.5990000000000002</v>
      </c>
      <c r="H544" s="33">
        <f>17.096 * CHOOSE(CONTROL!$C$32, $C$9, 100%, $E$9)</f>
        <v>17.096</v>
      </c>
      <c r="I544" s="33">
        <f>17.0996 * CHOOSE(CONTROL!$C$32, $C$9, 100%, $E$9)</f>
        <v>17.099599999999999</v>
      </c>
      <c r="J544" s="33">
        <f>17.096 * CHOOSE(CONTROL!$C$32, $C$9, 100%, $E$9)</f>
        <v>17.096</v>
      </c>
      <c r="K544" s="33">
        <f>17.0996 * CHOOSE(CONTROL!$C$32, $C$9, 100%, $E$9)</f>
        <v>17.099599999999999</v>
      </c>
      <c r="L544" s="33">
        <f>8.5954 * CHOOSE(CONTROL!$C$32, $C$9, 100%, $E$9)</f>
        <v>8.5953999999999997</v>
      </c>
      <c r="M544" s="33">
        <f>8.599 * CHOOSE(CONTROL!$C$32, $C$9, 100%, $E$9)</f>
        <v>8.5990000000000002</v>
      </c>
      <c r="N544" s="33">
        <f>8.5954 * CHOOSE(CONTROL!$C$32, $C$9, 100%, $E$9)</f>
        <v>8.5953999999999997</v>
      </c>
      <c r="O544" s="33">
        <f>8.599 * CHOOSE(CONTROL!$C$32, $C$9, 100%, $E$9)</f>
        <v>8.5990000000000002</v>
      </c>
    </row>
    <row r="545" spans="1:15" ht="15" x14ac:dyDescent="0.2">
      <c r="A545" s="16">
        <v>57436</v>
      </c>
      <c r="B545" s="32">
        <f>7.7152 * CHOOSE(CONTROL!$C$32, $C$9, 100%, $E$9)</f>
        <v>7.7152000000000003</v>
      </c>
      <c r="C545" s="32">
        <f>7.7152 * CHOOSE(CONTROL!$C$32, $C$9, 100%, $E$9)</f>
        <v>7.7152000000000003</v>
      </c>
      <c r="D545" s="32">
        <f>7.7163 * CHOOSE(CONTROL!$C$32, $C$9, 100%, $E$9)</f>
        <v>7.7163000000000004</v>
      </c>
      <c r="E545" s="33">
        <f>8.7588 * CHOOSE(CONTROL!$C$32, $C$9, 100%, $E$9)</f>
        <v>8.7588000000000008</v>
      </c>
      <c r="F545" s="33">
        <f>8.7588 * CHOOSE(CONTROL!$C$32, $C$9, 100%, $E$9)</f>
        <v>8.7588000000000008</v>
      </c>
      <c r="G545" s="33">
        <f>8.7625 * CHOOSE(CONTROL!$C$32, $C$9, 100%, $E$9)</f>
        <v>8.7624999999999993</v>
      </c>
      <c r="H545" s="33">
        <f>17.1316 * CHOOSE(CONTROL!$C$32, $C$9, 100%, $E$9)</f>
        <v>17.131599999999999</v>
      </c>
      <c r="I545" s="33">
        <f>17.1352 * CHOOSE(CONTROL!$C$32, $C$9, 100%, $E$9)</f>
        <v>17.135200000000001</v>
      </c>
      <c r="J545" s="33">
        <f>17.1316 * CHOOSE(CONTROL!$C$32, $C$9, 100%, $E$9)</f>
        <v>17.131599999999999</v>
      </c>
      <c r="K545" s="33">
        <f>17.1352 * CHOOSE(CONTROL!$C$32, $C$9, 100%, $E$9)</f>
        <v>17.135200000000001</v>
      </c>
      <c r="L545" s="33">
        <f>8.7588 * CHOOSE(CONTROL!$C$32, $C$9, 100%, $E$9)</f>
        <v>8.7588000000000008</v>
      </c>
      <c r="M545" s="33">
        <f>8.7625 * CHOOSE(CONTROL!$C$32, $C$9, 100%, $E$9)</f>
        <v>8.7624999999999993</v>
      </c>
      <c r="N545" s="33">
        <f>8.7588 * CHOOSE(CONTROL!$C$32, $C$9, 100%, $E$9)</f>
        <v>8.7588000000000008</v>
      </c>
      <c r="O545" s="33">
        <f>8.7625 * CHOOSE(CONTROL!$C$32, $C$9, 100%, $E$9)</f>
        <v>8.7624999999999993</v>
      </c>
    </row>
    <row r="546" spans="1:15" ht="15" x14ac:dyDescent="0.2">
      <c r="A546" s="16">
        <v>57466</v>
      </c>
      <c r="B546" s="32">
        <f>7.7152 * CHOOSE(CONTROL!$C$32, $C$9, 100%, $E$9)</f>
        <v>7.7152000000000003</v>
      </c>
      <c r="C546" s="32">
        <f>7.7152 * CHOOSE(CONTROL!$C$32, $C$9, 100%, $E$9)</f>
        <v>7.7152000000000003</v>
      </c>
      <c r="D546" s="32">
        <f>7.7168 * CHOOSE(CONTROL!$C$32, $C$9, 100%, $E$9)</f>
        <v>7.7168000000000001</v>
      </c>
      <c r="E546" s="33">
        <f>8.8217 * CHOOSE(CONTROL!$C$32, $C$9, 100%, $E$9)</f>
        <v>8.8216999999999999</v>
      </c>
      <c r="F546" s="33">
        <f>8.8217 * CHOOSE(CONTROL!$C$32, $C$9, 100%, $E$9)</f>
        <v>8.8216999999999999</v>
      </c>
      <c r="G546" s="33">
        <f>8.827 * CHOOSE(CONTROL!$C$32, $C$9, 100%, $E$9)</f>
        <v>8.827</v>
      </c>
      <c r="H546" s="33">
        <f>17.1673 * CHOOSE(CONTROL!$C$32, $C$9, 100%, $E$9)</f>
        <v>17.167300000000001</v>
      </c>
      <c r="I546" s="33">
        <f>17.1726 * CHOOSE(CONTROL!$C$32, $C$9, 100%, $E$9)</f>
        <v>17.172599999999999</v>
      </c>
      <c r="J546" s="33">
        <f>17.1673 * CHOOSE(CONTROL!$C$32, $C$9, 100%, $E$9)</f>
        <v>17.167300000000001</v>
      </c>
      <c r="K546" s="33">
        <f>17.1726 * CHOOSE(CONTROL!$C$32, $C$9, 100%, $E$9)</f>
        <v>17.172599999999999</v>
      </c>
      <c r="L546" s="33">
        <f>8.8217 * CHOOSE(CONTROL!$C$32, $C$9, 100%, $E$9)</f>
        <v>8.8216999999999999</v>
      </c>
      <c r="M546" s="33">
        <f>8.827 * CHOOSE(CONTROL!$C$32, $C$9, 100%, $E$9)</f>
        <v>8.827</v>
      </c>
      <c r="N546" s="33">
        <f>8.8217 * CHOOSE(CONTROL!$C$32, $C$9, 100%, $E$9)</f>
        <v>8.8216999999999999</v>
      </c>
      <c r="O546" s="33">
        <f>8.827 * CHOOSE(CONTROL!$C$32, $C$9, 100%, $E$9)</f>
        <v>8.827</v>
      </c>
    </row>
    <row r="547" spans="1:15" ht="15" x14ac:dyDescent="0.2">
      <c r="A547" s="16">
        <v>57497</v>
      </c>
      <c r="B547" s="32">
        <f>7.7213 * CHOOSE(CONTROL!$C$32, $C$9, 100%, $E$9)</f>
        <v>7.7213000000000003</v>
      </c>
      <c r="C547" s="32">
        <f>7.7213 * CHOOSE(CONTROL!$C$32, $C$9, 100%, $E$9)</f>
        <v>7.7213000000000003</v>
      </c>
      <c r="D547" s="32">
        <f>7.7228 * CHOOSE(CONTROL!$C$32, $C$9, 100%, $E$9)</f>
        <v>7.7228000000000003</v>
      </c>
      <c r="E547" s="33">
        <f>8.7631 * CHOOSE(CONTROL!$C$32, $C$9, 100%, $E$9)</f>
        <v>8.7630999999999997</v>
      </c>
      <c r="F547" s="33">
        <f>8.7631 * CHOOSE(CONTROL!$C$32, $C$9, 100%, $E$9)</f>
        <v>8.7630999999999997</v>
      </c>
      <c r="G547" s="33">
        <f>8.7684 * CHOOSE(CONTROL!$C$32, $C$9, 100%, $E$9)</f>
        <v>8.7683999999999997</v>
      </c>
      <c r="H547" s="33">
        <f>17.2031 * CHOOSE(CONTROL!$C$32, $C$9, 100%, $E$9)</f>
        <v>17.203099999999999</v>
      </c>
      <c r="I547" s="33">
        <f>17.2084 * CHOOSE(CONTROL!$C$32, $C$9, 100%, $E$9)</f>
        <v>17.208400000000001</v>
      </c>
      <c r="J547" s="33">
        <f>17.2031 * CHOOSE(CONTROL!$C$32, $C$9, 100%, $E$9)</f>
        <v>17.203099999999999</v>
      </c>
      <c r="K547" s="33">
        <f>17.2084 * CHOOSE(CONTROL!$C$32, $C$9, 100%, $E$9)</f>
        <v>17.208400000000001</v>
      </c>
      <c r="L547" s="33">
        <f>8.7631 * CHOOSE(CONTROL!$C$32, $C$9, 100%, $E$9)</f>
        <v>8.7630999999999997</v>
      </c>
      <c r="M547" s="33">
        <f>8.7684 * CHOOSE(CONTROL!$C$32, $C$9, 100%, $E$9)</f>
        <v>8.7683999999999997</v>
      </c>
      <c r="N547" s="33">
        <f>8.7631 * CHOOSE(CONTROL!$C$32, $C$9, 100%, $E$9)</f>
        <v>8.7630999999999997</v>
      </c>
      <c r="O547" s="33">
        <f>8.7684 * CHOOSE(CONTROL!$C$32, $C$9, 100%, $E$9)</f>
        <v>8.7683999999999997</v>
      </c>
    </row>
    <row r="548" spans="1:15" ht="15" x14ac:dyDescent="0.2">
      <c r="A548" s="16">
        <v>57527</v>
      </c>
      <c r="B548" s="32">
        <f>7.8207 * CHOOSE(CONTROL!$C$32, $C$9, 100%, $E$9)</f>
        <v>7.8207000000000004</v>
      </c>
      <c r="C548" s="32">
        <f>7.8207 * CHOOSE(CONTROL!$C$32, $C$9, 100%, $E$9)</f>
        <v>7.8207000000000004</v>
      </c>
      <c r="D548" s="32">
        <f>7.8222 * CHOOSE(CONTROL!$C$32, $C$9, 100%, $E$9)</f>
        <v>7.8221999999999996</v>
      </c>
      <c r="E548" s="33">
        <f>8.8842 * CHOOSE(CONTROL!$C$32, $C$9, 100%, $E$9)</f>
        <v>8.8841999999999999</v>
      </c>
      <c r="F548" s="33">
        <f>8.8842 * CHOOSE(CONTROL!$C$32, $C$9, 100%, $E$9)</f>
        <v>8.8841999999999999</v>
      </c>
      <c r="G548" s="33">
        <f>8.8895 * CHOOSE(CONTROL!$C$32, $C$9, 100%, $E$9)</f>
        <v>8.8895</v>
      </c>
      <c r="H548" s="33">
        <f>17.2389 * CHOOSE(CONTROL!$C$32, $C$9, 100%, $E$9)</f>
        <v>17.238900000000001</v>
      </c>
      <c r="I548" s="33">
        <f>17.2442 * CHOOSE(CONTROL!$C$32, $C$9, 100%, $E$9)</f>
        <v>17.244199999999999</v>
      </c>
      <c r="J548" s="33">
        <f>17.2389 * CHOOSE(CONTROL!$C$32, $C$9, 100%, $E$9)</f>
        <v>17.238900000000001</v>
      </c>
      <c r="K548" s="33">
        <f>17.2442 * CHOOSE(CONTROL!$C$32, $C$9, 100%, $E$9)</f>
        <v>17.244199999999999</v>
      </c>
      <c r="L548" s="33">
        <f>8.8842 * CHOOSE(CONTROL!$C$32, $C$9, 100%, $E$9)</f>
        <v>8.8841999999999999</v>
      </c>
      <c r="M548" s="33">
        <f>8.8895 * CHOOSE(CONTROL!$C$32, $C$9, 100%, $E$9)</f>
        <v>8.8895</v>
      </c>
      <c r="N548" s="33">
        <f>8.8842 * CHOOSE(CONTROL!$C$32, $C$9, 100%, $E$9)</f>
        <v>8.8841999999999999</v>
      </c>
      <c r="O548" s="33">
        <f>8.8895 * CHOOSE(CONTROL!$C$32, $C$9, 100%, $E$9)</f>
        <v>8.8895</v>
      </c>
    </row>
    <row r="549" spans="1:15" ht="15" x14ac:dyDescent="0.2">
      <c r="A549" s="16">
        <v>57558</v>
      </c>
      <c r="B549" s="32">
        <f>7.8273 * CHOOSE(CONTROL!$C$32, $C$9, 100%, $E$9)</f>
        <v>7.8273000000000001</v>
      </c>
      <c r="C549" s="32">
        <f>7.8273 * CHOOSE(CONTROL!$C$32, $C$9, 100%, $E$9)</f>
        <v>7.8273000000000001</v>
      </c>
      <c r="D549" s="32">
        <f>7.8289 * CHOOSE(CONTROL!$C$32, $C$9, 100%, $E$9)</f>
        <v>7.8289</v>
      </c>
      <c r="E549" s="33">
        <f>8.7002 * CHOOSE(CONTROL!$C$32, $C$9, 100%, $E$9)</f>
        <v>8.7002000000000006</v>
      </c>
      <c r="F549" s="33">
        <f>8.7002 * CHOOSE(CONTROL!$C$32, $C$9, 100%, $E$9)</f>
        <v>8.7002000000000006</v>
      </c>
      <c r="G549" s="33">
        <f>8.7055 * CHOOSE(CONTROL!$C$32, $C$9, 100%, $E$9)</f>
        <v>8.7055000000000007</v>
      </c>
      <c r="H549" s="33">
        <f>17.2748 * CHOOSE(CONTROL!$C$32, $C$9, 100%, $E$9)</f>
        <v>17.274799999999999</v>
      </c>
      <c r="I549" s="33">
        <f>17.2801 * CHOOSE(CONTROL!$C$32, $C$9, 100%, $E$9)</f>
        <v>17.280100000000001</v>
      </c>
      <c r="J549" s="33">
        <f>17.2748 * CHOOSE(CONTROL!$C$32, $C$9, 100%, $E$9)</f>
        <v>17.274799999999999</v>
      </c>
      <c r="K549" s="33">
        <f>17.2801 * CHOOSE(CONTROL!$C$32, $C$9, 100%, $E$9)</f>
        <v>17.280100000000001</v>
      </c>
      <c r="L549" s="33">
        <f>8.7002 * CHOOSE(CONTROL!$C$32, $C$9, 100%, $E$9)</f>
        <v>8.7002000000000006</v>
      </c>
      <c r="M549" s="33">
        <f>8.7055 * CHOOSE(CONTROL!$C$32, $C$9, 100%, $E$9)</f>
        <v>8.7055000000000007</v>
      </c>
      <c r="N549" s="33">
        <f>8.7002 * CHOOSE(CONTROL!$C$32, $C$9, 100%, $E$9)</f>
        <v>8.7002000000000006</v>
      </c>
      <c r="O549" s="33">
        <f>8.7055 * CHOOSE(CONTROL!$C$32, $C$9, 100%, $E$9)</f>
        <v>8.7055000000000007</v>
      </c>
    </row>
    <row r="550" spans="1:15" ht="15" x14ac:dyDescent="0.2">
      <c r="A550" s="16">
        <v>57589</v>
      </c>
      <c r="B550" s="32">
        <f>7.8243 * CHOOSE(CONTROL!$C$32, $C$9, 100%, $E$9)</f>
        <v>7.8243</v>
      </c>
      <c r="C550" s="32">
        <f>7.8243 * CHOOSE(CONTROL!$C$32, $C$9, 100%, $E$9)</f>
        <v>7.8243</v>
      </c>
      <c r="D550" s="32">
        <f>7.8259 * CHOOSE(CONTROL!$C$32, $C$9, 100%, $E$9)</f>
        <v>7.8258999999999999</v>
      </c>
      <c r="E550" s="33">
        <f>8.6771 * CHOOSE(CONTROL!$C$32, $C$9, 100%, $E$9)</f>
        <v>8.6770999999999994</v>
      </c>
      <c r="F550" s="33">
        <f>8.6771 * CHOOSE(CONTROL!$C$32, $C$9, 100%, $E$9)</f>
        <v>8.6770999999999994</v>
      </c>
      <c r="G550" s="33">
        <f>8.6824 * CHOOSE(CONTROL!$C$32, $C$9, 100%, $E$9)</f>
        <v>8.6823999999999995</v>
      </c>
      <c r="H550" s="33">
        <f>17.3108 * CHOOSE(CONTROL!$C$32, $C$9, 100%, $E$9)</f>
        <v>17.3108</v>
      </c>
      <c r="I550" s="33">
        <f>17.3161 * CHOOSE(CONTROL!$C$32, $C$9, 100%, $E$9)</f>
        <v>17.316099999999999</v>
      </c>
      <c r="J550" s="33">
        <f>17.3108 * CHOOSE(CONTROL!$C$32, $C$9, 100%, $E$9)</f>
        <v>17.3108</v>
      </c>
      <c r="K550" s="33">
        <f>17.3161 * CHOOSE(CONTROL!$C$32, $C$9, 100%, $E$9)</f>
        <v>17.316099999999999</v>
      </c>
      <c r="L550" s="33">
        <f>8.6771 * CHOOSE(CONTROL!$C$32, $C$9, 100%, $E$9)</f>
        <v>8.6770999999999994</v>
      </c>
      <c r="M550" s="33">
        <f>8.6824 * CHOOSE(CONTROL!$C$32, $C$9, 100%, $E$9)</f>
        <v>8.6823999999999995</v>
      </c>
      <c r="N550" s="33">
        <f>8.6771 * CHOOSE(CONTROL!$C$32, $C$9, 100%, $E$9)</f>
        <v>8.6770999999999994</v>
      </c>
      <c r="O550" s="33">
        <f>8.6824 * CHOOSE(CONTROL!$C$32, $C$9, 100%, $E$9)</f>
        <v>8.6823999999999995</v>
      </c>
    </row>
    <row r="551" spans="1:15" ht="15" x14ac:dyDescent="0.2">
      <c r="A551" s="16">
        <v>57619</v>
      </c>
      <c r="B551" s="32">
        <f>7.8336 * CHOOSE(CONTROL!$C$32, $C$9, 100%, $E$9)</f>
        <v>7.8335999999999997</v>
      </c>
      <c r="C551" s="32">
        <f>7.8336 * CHOOSE(CONTROL!$C$32, $C$9, 100%, $E$9)</f>
        <v>7.8335999999999997</v>
      </c>
      <c r="D551" s="32">
        <f>7.8347 * CHOOSE(CONTROL!$C$32, $C$9, 100%, $E$9)</f>
        <v>7.8346999999999998</v>
      </c>
      <c r="E551" s="33">
        <f>8.7475 * CHOOSE(CONTROL!$C$32, $C$9, 100%, $E$9)</f>
        <v>8.7475000000000005</v>
      </c>
      <c r="F551" s="33">
        <f>8.7475 * CHOOSE(CONTROL!$C$32, $C$9, 100%, $E$9)</f>
        <v>8.7475000000000005</v>
      </c>
      <c r="G551" s="33">
        <f>8.7511 * CHOOSE(CONTROL!$C$32, $C$9, 100%, $E$9)</f>
        <v>8.7510999999999992</v>
      </c>
      <c r="H551" s="33">
        <f>17.3469 * CHOOSE(CONTROL!$C$32, $C$9, 100%, $E$9)</f>
        <v>17.346900000000002</v>
      </c>
      <c r="I551" s="33">
        <f>17.3505 * CHOOSE(CONTROL!$C$32, $C$9, 100%, $E$9)</f>
        <v>17.3505</v>
      </c>
      <c r="J551" s="33">
        <f>17.3469 * CHOOSE(CONTROL!$C$32, $C$9, 100%, $E$9)</f>
        <v>17.346900000000002</v>
      </c>
      <c r="K551" s="33">
        <f>17.3505 * CHOOSE(CONTROL!$C$32, $C$9, 100%, $E$9)</f>
        <v>17.3505</v>
      </c>
      <c r="L551" s="33">
        <f>8.7475 * CHOOSE(CONTROL!$C$32, $C$9, 100%, $E$9)</f>
        <v>8.7475000000000005</v>
      </c>
      <c r="M551" s="33">
        <f>8.7511 * CHOOSE(CONTROL!$C$32, $C$9, 100%, $E$9)</f>
        <v>8.7510999999999992</v>
      </c>
      <c r="N551" s="33">
        <f>8.7475 * CHOOSE(CONTROL!$C$32, $C$9, 100%, $E$9)</f>
        <v>8.7475000000000005</v>
      </c>
      <c r="O551" s="33">
        <f>8.7511 * CHOOSE(CONTROL!$C$32, $C$9, 100%, $E$9)</f>
        <v>8.7510999999999992</v>
      </c>
    </row>
    <row r="552" spans="1:15" ht="15" x14ac:dyDescent="0.2">
      <c r="A552" s="16">
        <v>57650</v>
      </c>
      <c r="B552" s="32">
        <f>7.8366 * CHOOSE(CONTROL!$C$32, $C$9, 100%, $E$9)</f>
        <v>7.8365999999999998</v>
      </c>
      <c r="C552" s="32">
        <f>7.8366 * CHOOSE(CONTROL!$C$32, $C$9, 100%, $E$9)</f>
        <v>7.8365999999999998</v>
      </c>
      <c r="D552" s="32">
        <f>7.8377 * CHOOSE(CONTROL!$C$32, $C$9, 100%, $E$9)</f>
        <v>7.8376999999999999</v>
      </c>
      <c r="E552" s="33">
        <f>8.7916 * CHOOSE(CONTROL!$C$32, $C$9, 100%, $E$9)</f>
        <v>8.7916000000000007</v>
      </c>
      <c r="F552" s="33">
        <f>8.7916 * CHOOSE(CONTROL!$C$32, $C$9, 100%, $E$9)</f>
        <v>8.7916000000000007</v>
      </c>
      <c r="G552" s="33">
        <f>8.7952 * CHOOSE(CONTROL!$C$32, $C$9, 100%, $E$9)</f>
        <v>8.7951999999999995</v>
      </c>
      <c r="H552" s="33">
        <f>17.383 * CHOOSE(CONTROL!$C$32, $C$9, 100%, $E$9)</f>
        <v>17.382999999999999</v>
      </c>
      <c r="I552" s="33">
        <f>17.3866 * CHOOSE(CONTROL!$C$32, $C$9, 100%, $E$9)</f>
        <v>17.386600000000001</v>
      </c>
      <c r="J552" s="33">
        <f>17.383 * CHOOSE(CONTROL!$C$32, $C$9, 100%, $E$9)</f>
        <v>17.382999999999999</v>
      </c>
      <c r="K552" s="33">
        <f>17.3866 * CHOOSE(CONTROL!$C$32, $C$9, 100%, $E$9)</f>
        <v>17.386600000000001</v>
      </c>
      <c r="L552" s="33">
        <f>8.7916 * CHOOSE(CONTROL!$C$32, $C$9, 100%, $E$9)</f>
        <v>8.7916000000000007</v>
      </c>
      <c r="M552" s="33">
        <f>8.7952 * CHOOSE(CONTROL!$C$32, $C$9, 100%, $E$9)</f>
        <v>8.7951999999999995</v>
      </c>
      <c r="N552" s="33">
        <f>8.7916 * CHOOSE(CONTROL!$C$32, $C$9, 100%, $E$9)</f>
        <v>8.7916000000000007</v>
      </c>
      <c r="O552" s="33">
        <f>8.7952 * CHOOSE(CONTROL!$C$32, $C$9, 100%, $E$9)</f>
        <v>8.7951999999999995</v>
      </c>
    </row>
    <row r="553" spans="1:15" ht="15" x14ac:dyDescent="0.2">
      <c r="A553" s="16">
        <v>57680</v>
      </c>
      <c r="B553" s="32">
        <f>7.8366 * CHOOSE(CONTROL!$C$32, $C$9, 100%, $E$9)</f>
        <v>7.8365999999999998</v>
      </c>
      <c r="C553" s="32">
        <f>7.8366 * CHOOSE(CONTROL!$C$32, $C$9, 100%, $E$9)</f>
        <v>7.8365999999999998</v>
      </c>
      <c r="D553" s="32">
        <f>7.8377 * CHOOSE(CONTROL!$C$32, $C$9, 100%, $E$9)</f>
        <v>7.8376999999999999</v>
      </c>
      <c r="E553" s="33">
        <f>8.6867 * CHOOSE(CONTROL!$C$32, $C$9, 100%, $E$9)</f>
        <v>8.6867000000000001</v>
      </c>
      <c r="F553" s="33">
        <f>8.6867 * CHOOSE(CONTROL!$C$32, $C$9, 100%, $E$9)</f>
        <v>8.6867000000000001</v>
      </c>
      <c r="G553" s="33">
        <f>8.6904 * CHOOSE(CONTROL!$C$32, $C$9, 100%, $E$9)</f>
        <v>8.6904000000000003</v>
      </c>
      <c r="H553" s="33">
        <f>17.4192 * CHOOSE(CONTROL!$C$32, $C$9, 100%, $E$9)</f>
        <v>17.4192</v>
      </c>
      <c r="I553" s="33">
        <f>17.4229 * CHOOSE(CONTROL!$C$32, $C$9, 100%, $E$9)</f>
        <v>17.422899999999998</v>
      </c>
      <c r="J553" s="33">
        <f>17.4192 * CHOOSE(CONTROL!$C$32, $C$9, 100%, $E$9)</f>
        <v>17.4192</v>
      </c>
      <c r="K553" s="33">
        <f>17.4229 * CHOOSE(CONTROL!$C$32, $C$9, 100%, $E$9)</f>
        <v>17.422899999999998</v>
      </c>
      <c r="L553" s="33">
        <f>8.6867 * CHOOSE(CONTROL!$C$32, $C$9, 100%, $E$9)</f>
        <v>8.6867000000000001</v>
      </c>
      <c r="M553" s="33">
        <f>8.6904 * CHOOSE(CONTROL!$C$32, $C$9, 100%, $E$9)</f>
        <v>8.6904000000000003</v>
      </c>
      <c r="N553" s="33">
        <f>8.6867 * CHOOSE(CONTROL!$C$32, $C$9, 100%, $E$9)</f>
        <v>8.6867000000000001</v>
      </c>
      <c r="O553" s="33">
        <f>8.6904 * CHOOSE(CONTROL!$C$32, $C$9, 100%, $E$9)</f>
        <v>8.6904000000000003</v>
      </c>
    </row>
    <row r="554" spans="1:15" ht="15" x14ac:dyDescent="0.2">
      <c r="A554" s="16">
        <v>57711</v>
      </c>
      <c r="B554" s="32">
        <f>7.8952 * CHOOSE(CONTROL!$C$32, $C$9, 100%, $E$9)</f>
        <v>7.8952</v>
      </c>
      <c r="C554" s="32">
        <f>7.8952 * CHOOSE(CONTROL!$C$32, $C$9, 100%, $E$9)</f>
        <v>7.8952</v>
      </c>
      <c r="D554" s="32">
        <f>7.8962 * CHOOSE(CONTROL!$C$32, $C$9, 100%, $E$9)</f>
        <v>7.8962000000000003</v>
      </c>
      <c r="E554" s="33">
        <f>8.8374 * CHOOSE(CONTROL!$C$32, $C$9, 100%, $E$9)</f>
        <v>8.8374000000000006</v>
      </c>
      <c r="F554" s="33">
        <f>8.8374 * CHOOSE(CONTROL!$C$32, $C$9, 100%, $E$9)</f>
        <v>8.8374000000000006</v>
      </c>
      <c r="G554" s="33">
        <f>8.841 * CHOOSE(CONTROL!$C$32, $C$9, 100%, $E$9)</f>
        <v>8.8409999999999993</v>
      </c>
      <c r="H554" s="33">
        <f>17.4555 * CHOOSE(CONTROL!$C$32, $C$9, 100%, $E$9)</f>
        <v>17.455500000000001</v>
      </c>
      <c r="I554" s="33">
        <f>17.4591 * CHOOSE(CONTROL!$C$32, $C$9, 100%, $E$9)</f>
        <v>17.459099999999999</v>
      </c>
      <c r="J554" s="33">
        <f>17.4555 * CHOOSE(CONTROL!$C$32, $C$9, 100%, $E$9)</f>
        <v>17.455500000000001</v>
      </c>
      <c r="K554" s="33">
        <f>17.4591 * CHOOSE(CONTROL!$C$32, $C$9, 100%, $E$9)</f>
        <v>17.459099999999999</v>
      </c>
      <c r="L554" s="33">
        <f>8.8374 * CHOOSE(CONTROL!$C$32, $C$9, 100%, $E$9)</f>
        <v>8.8374000000000006</v>
      </c>
      <c r="M554" s="33">
        <f>8.841 * CHOOSE(CONTROL!$C$32, $C$9, 100%, $E$9)</f>
        <v>8.8409999999999993</v>
      </c>
      <c r="N554" s="33">
        <f>8.8374 * CHOOSE(CONTROL!$C$32, $C$9, 100%, $E$9)</f>
        <v>8.8374000000000006</v>
      </c>
      <c r="O554" s="33">
        <f>8.841 * CHOOSE(CONTROL!$C$32, $C$9, 100%, $E$9)</f>
        <v>8.8409999999999993</v>
      </c>
    </row>
    <row r="555" spans="1:15" ht="15" x14ac:dyDescent="0.2">
      <c r="A555" s="16">
        <v>57742</v>
      </c>
      <c r="B555" s="32">
        <f>7.8921 * CHOOSE(CONTROL!$C$32, $C$9, 100%, $E$9)</f>
        <v>7.8921000000000001</v>
      </c>
      <c r="C555" s="32">
        <f>7.8921 * CHOOSE(CONTROL!$C$32, $C$9, 100%, $E$9)</f>
        <v>7.8921000000000001</v>
      </c>
      <c r="D555" s="32">
        <f>7.8932 * CHOOSE(CONTROL!$C$32, $C$9, 100%, $E$9)</f>
        <v>7.8932000000000002</v>
      </c>
      <c r="E555" s="33">
        <f>8.6307 * CHOOSE(CONTROL!$C$32, $C$9, 100%, $E$9)</f>
        <v>8.6306999999999992</v>
      </c>
      <c r="F555" s="33">
        <f>8.6307 * CHOOSE(CONTROL!$C$32, $C$9, 100%, $E$9)</f>
        <v>8.6306999999999992</v>
      </c>
      <c r="G555" s="33">
        <f>8.6344 * CHOOSE(CONTROL!$C$32, $C$9, 100%, $E$9)</f>
        <v>8.6343999999999994</v>
      </c>
      <c r="H555" s="33">
        <f>17.4919 * CHOOSE(CONTROL!$C$32, $C$9, 100%, $E$9)</f>
        <v>17.491900000000001</v>
      </c>
      <c r="I555" s="33">
        <f>17.4955 * CHOOSE(CONTROL!$C$32, $C$9, 100%, $E$9)</f>
        <v>17.4955</v>
      </c>
      <c r="J555" s="33">
        <f>17.4919 * CHOOSE(CONTROL!$C$32, $C$9, 100%, $E$9)</f>
        <v>17.491900000000001</v>
      </c>
      <c r="K555" s="33">
        <f>17.4955 * CHOOSE(CONTROL!$C$32, $C$9, 100%, $E$9)</f>
        <v>17.4955</v>
      </c>
      <c r="L555" s="33">
        <f>8.6307 * CHOOSE(CONTROL!$C$32, $C$9, 100%, $E$9)</f>
        <v>8.6306999999999992</v>
      </c>
      <c r="M555" s="33">
        <f>8.6344 * CHOOSE(CONTROL!$C$32, $C$9, 100%, $E$9)</f>
        <v>8.6343999999999994</v>
      </c>
      <c r="N555" s="33">
        <f>8.6307 * CHOOSE(CONTROL!$C$32, $C$9, 100%, $E$9)</f>
        <v>8.6306999999999992</v>
      </c>
      <c r="O555" s="33">
        <f>8.6344 * CHOOSE(CONTROL!$C$32, $C$9, 100%, $E$9)</f>
        <v>8.6343999999999994</v>
      </c>
    </row>
    <row r="556" spans="1:15" ht="15" x14ac:dyDescent="0.2">
      <c r="A556" s="16">
        <v>57770</v>
      </c>
      <c r="B556" s="32">
        <f>7.8891 * CHOOSE(CONTROL!$C$32, $C$9, 100%, $E$9)</f>
        <v>7.8891</v>
      </c>
      <c r="C556" s="32">
        <f>7.8891 * CHOOSE(CONTROL!$C$32, $C$9, 100%, $E$9)</f>
        <v>7.8891</v>
      </c>
      <c r="D556" s="32">
        <f>7.8902 * CHOOSE(CONTROL!$C$32, $C$9, 100%, $E$9)</f>
        <v>7.8902000000000001</v>
      </c>
      <c r="E556" s="33">
        <f>8.7899 * CHOOSE(CONTROL!$C$32, $C$9, 100%, $E$9)</f>
        <v>8.7898999999999994</v>
      </c>
      <c r="F556" s="33">
        <f>8.7899 * CHOOSE(CONTROL!$C$32, $C$9, 100%, $E$9)</f>
        <v>8.7898999999999994</v>
      </c>
      <c r="G556" s="33">
        <f>8.7935 * CHOOSE(CONTROL!$C$32, $C$9, 100%, $E$9)</f>
        <v>8.7934999999999999</v>
      </c>
      <c r="H556" s="33">
        <f>17.5283 * CHOOSE(CONTROL!$C$32, $C$9, 100%, $E$9)</f>
        <v>17.528300000000002</v>
      </c>
      <c r="I556" s="33">
        <f>17.532 * CHOOSE(CONTROL!$C$32, $C$9, 100%, $E$9)</f>
        <v>17.532</v>
      </c>
      <c r="J556" s="33">
        <f>17.5283 * CHOOSE(CONTROL!$C$32, $C$9, 100%, $E$9)</f>
        <v>17.528300000000002</v>
      </c>
      <c r="K556" s="33">
        <f>17.532 * CHOOSE(CONTROL!$C$32, $C$9, 100%, $E$9)</f>
        <v>17.532</v>
      </c>
      <c r="L556" s="33">
        <f>8.7899 * CHOOSE(CONTROL!$C$32, $C$9, 100%, $E$9)</f>
        <v>8.7898999999999994</v>
      </c>
      <c r="M556" s="33">
        <f>8.7935 * CHOOSE(CONTROL!$C$32, $C$9, 100%, $E$9)</f>
        <v>8.7934999999999999</v>
      </c>
      <c r="N556" s="33">
        <f>8.7899 * CHOOSE(CONTROL!$C$32, $C$9, 100%, $E$9)</f>
        <v>8.7898999999999994</v>
      </c>
      <c r="O556" s="33">
        <f>8.7935 * CHOOSE(CONTROL!$C$32, $C$9, 100%, $E$9)</f>
        <v>8.7934999999999999</v>
      </c>
    </row>
    <row r="557" spans="1:15" ht="15" x14ac:dyDescent="0.2">
      <c r="A557" s="16">
        <v>57801</v>
      </c>
      <c r="B557" s="32">
        <f>7.8905 * CHOOSE(CONTROL!$C$32, $C$9, 100%, $E$9)</f>
        <v>7.8905000000000003</v>
      </c>
      <c r="C557" s="32">
        <f>7.8905 * CHOOSE(CONTROL!$C$32, $C$9, 100%, $E$9)</f>
        <v>7.8905000000000003</v>
      </c>
      <c r="D557" s="32">
        <f>7.8916 * CHOOSE(CONTROL!$C$32, $C$9, 100%, $E$9)</f>
        <v>7.8916000000000004</v>
      </c>
      <c r="E557" s="33">
        <f>8.9588 * CHOOSE(CONTROL!$C$32, $C$9, 100%, $E$9)</f>
        <v>8.9588000000000001</v>
      </c>
      <c r="F557" s="33">
        <f>8.9588 * CHOOSE(CONTROL!$C$32, $C$9, 100%, $E$9)</f>
        <v>8.9588000000000001</v>
      </c>
      <c r="G557" s="33">
        <f>8.9624 * CHOOSE(CONTROL!$C$32, $C$9, 100%, $E$9)</f>
        <v>8.9624000000000006</v>
      </c>
      <c r="H557" s="33">
        <f>17.5649 * CHOOSE(CONTROL!$C$32, $C$9, 100%, $E$9)</f>
        <v>17.564900000000002</v>
      </c>
      <c r="I557" s="33">
        <f>17.5685 * CHOOSE(CONTROL!$C$32, $C$9, 100%, $E$9)</f>
        <v>17.5685</v>
      </c>
      <c r="J557" s="33">
        <f>17.5649 * CHOOSE(CONTROL!$C$32, $C$9, 100%, $E$9)</f>
        <v>17.564900000000002</v>
      </c>
      <c r="K557" s="33">
        <f>17.5685 * CHOOSE(CONTROL!$C$32, $C$9, 100%, $E$9)</f>
        <v>17.5685</v>
      </c>
      <c r="L557" s="33">
        <f>8.9588 * CHOOSE(CONTROL!$C$32, $C$9, 100%, $E$9)</f>
        <v>8.9588000000000001</v>
      </c>
      <c r="M557" s="33">
        <f>8.9624 * CHOOSE(CONTROL!$C$32, $C$9, 100%, $E$9)</f>
        <v>8.9624000000000006</v>
      </c>
      <c r="N557" s="33">
        <f>8.9588 * CHOOSE(CONTROL!$C$32, $C$9, 100%, $E$9)</f>
        <v>8.9588000000000001</v>
      </c>
      <c r="O557" s="33">
        <f>8.9624 * CHOOSE(CONTROL!$C$32, $C$9, 100%, $E$9)</f>
        <v>8.9624000000000006</v>
      </c>
    </row>
    <row r="558" spans="1:15" ht="15" x14ac:dyDescent="0.2">
      <c r="A558" s="16">
        <v>57831</v>
      </c>
      <c r="B558" s="32">
        <f>7.8905 * CHOOSE(CONTROL!$C$32, $C$9, 100%, $E$9)</f>
        <v>7.8905000000000003</v>
      </c>
      <c r="C558" s="32">
        <f>7.8905 * CHOOSE(CONTROL!$C$32, $C$9, 100%, $E$9)</f>
        <v>7.8905000000000003</v>
      </c>
      <c r="D558" s="32">
        <f>7.8921 * CHOOSE(CONTROL!$C$32, $C$9, 100%, $E$9)</f>
        <v>7.8921000000000001</v>
      </c>
      <c r="E558" s="33">
        <f>9.0237 * CHOOSE(CONTROL!$C$32, $C$9, 100%, $E$9)</f>
        <v>9.0236999999999998</v>
      </c>
      <c r="F558" s="33">
        <f>9.0237 * CHOOSE(CONTROL!$C$32, $C$9, 100%, $E$9)</f>
        <v>9.0236999999999998</v>
      </c>
      <c r="G558" s="33">
        <f>9.029 * CHOOSE(CONTROL!$C$32, $C$9, 100%, $E$9)</f>
        <v>9.0289999999999999</v>
      </c>
      <c r="H558" s="33">
        <f>17.6014 * CHOOSE(CONTROL!$C$32, $C$9, 100%, $E$9)</f>
        <v>17.601400000000002</v>
      </c>
      <c r="I558" s="33">
        <f>17.6067 * CHOOSE(CONTROL!$C$32, $C$9, 100%, $E$9)</f>
        <v>17.6067</v>
      </c>
      <c r="J558" s="33">
        <f>17.6014 * CHOOSE(CONTROL!$C$32, $C$9, 100%, $E$9)</f>
        <v>17.601400000000002</v>
      </c>
      <c r="K558" s="33">
        <f>17.6067 * CHOOSE(CONTROL!$C$32, $C$9, 100%, $E$9)</f>
        <v>17.6067</v>
      </c>
      <c r="L558" s="33">
        <f>9.0237 * CHOOSE(CONTROL!$C$32, $C$9, 100%, $E$9)</f>
        <v>9.0236999999999998</v>
      </c>
      <c r="M558" s="33">
        <f>9.029 * CHOOSE(CONTROL!$C$32, $C$9, 100%, $E$9)</f>
        <v>9.0289999999999999</v>
      </c>
      <c r="N558" s="33">
        <f>9.0237 * CHOOSE(CONTROL!$C$32, $C$9, 100%, $E$9)</f>
        <v>9.0236999999999998</v>
      </c>
      <c r="O558" s="33">
        <f>9.029 * CHOOSE(CONTROL!$C$32, $C$9, 100%, $E$9)</f>
        <v>9.0289999999999999</v>
      </c>
    </row>
    <row r="559" spans="1:15" ht="15" x14ac:dyDescent="0.2">
      <c r="A559" s="16">
        <v>57862</v>
      </c>
      <c r="B559" s="32">
        <f>7.8966 * CHOOSE(CONTROL!$C$32, $C$9, 100%, $E$9)</f>
        <v>7.8966000000000003</v>
      </c>
      <c r="C559" s="32">
        <f>7.8966 * CHOOSE(CONTROL!$C$32, $C$9, 100%, $E$9)</f>
        <v>7.8966000000000003</v>
      </c>
      <c r="D559" s="32">
        <f>7.8982 * CHOOSE(CONTROL!$C$32, $C$9, 100%, $E$9)</f>
        <v>7.8982000000000001</v>
      </c>
      <c r="E559" s="33">
        <f>8.963 * CHOOSE(CONTROL!$C$32, $C$9, 100%, $E$9)</f>
        <v>8.9629999999999992</v>
      </c>
      <c r="F559" s="33">
        <f>8.963 * CHOOSE(CONTROL!$C$32, $C$9, 100%, $E$9)</f>
        <v>8.9629999999999992</v>
      </c>
      <c r="G559" s="33">
        <f>8.9683 * CHOOSE(CONTROL!$C$32, $C$9, 100%, $E$9)</f>
        <v>8.9682999999999993</v>
      </c>
      <c r="H559" s="33">
        <f>17.6381 * CHOOSE(CONTROL!$C$32, $C$9, 100%, $E$9)</f>
        <v>17.638100000000001</v>
      </c>
      <c r="I559" s="33">
        <f>17.6434 * CHOOSE(CONTROL!$C$32, $C$9, 100%, $E$9)</f>
        <v>17.6434</v>
      </c>
      <c r="J559" s="33">
        <f>17.6381 * CHOOSE(CONTROL!$C$32, $C$9, 100%, $E$9)</f>
        <v>17.638100000000001</v>
      </c>
      <c r="K559" s="33">
        <f>17.6434 * CHOOSE(CONTROL!$C$32, $C$9, 100%, $E$9)</f>
        <v>17.6434</v>
      </c>
      <c r="L559" s="33">
        <f>8.963 * CHOOSE(CONTROL!$C$32, $C$9, 100%, $E$9)</f>
        <v>8.9629999999999992</v>
      </c>
      <c r="M559" s="33">
        <f>8.9683 * CHOOSE(CONTROL!$C$32, $C$9, 100%, $E$9)</f>
        <v>8.9682999999999993</v>
      </c>
      <c r="N559" s="33">
        <f>8.963 * CHOOSE(CONTROL!$C$32, $C$9, 100%, $E$9)</f>
        <v>8.9629999999999992</v>
      </c>
      <c r="O559" s="33">
        <f>8.9683 * CHOOSE(CONTROL!$C$32, $C$9, 100%, $E$9)</f>
        <v>8.9682999999999993</v>
      </c>
    </row>
    <row r="560" spans="1:15" ht="15" x14ac:dyDescent="0.2">
      <c r="A560" s="16">
        <v>57892</v>
      </c>
      <c r="B560" s="32">
        <f>7.9979 * CHOOSE(CONTROL!$C$32, $C$9, 100%, $E$9)</f>
        <v>7.9978999999999996</v>
      </c>
      <c r="C560" s="32">
        <f>7.9979 * CHOOSE(CONTROL!$C$32, $C$9, 100%, $E$9)</f>
        <v>7.9978999999999996</v>
      </c>
      <c r="D560" s="32">
        <f>7.9995 * CHOOSE(CONTROL!$C$32, $C$9, 100%, $E$9)</f>
        <v>7.9995000000000003</v>
      </c>
      <c r="E560" s="33">
        <f>9.0871 * CHOOSE(CONTROL!$C$32, $C$9, 100%, $E$9)</f>
        <v>9.0870999999999995</v>
      </c>
      <c r="F560" s="33">
        <f>9.0871 * CHOOSE(CONTROL!$C$32, $C$9, 100%, $E$9)</f>
        <v>9.0870999999999995</v>
      </c>
      <c r="G560" s="33">
        <f>9.0924 * CHOOSE(CONTROL!$C$32, $C$9, 100%, $E$9)</f>
        <v>9.0923999999999996</v>
      </c>
      <c r="H560" s="33">
        <f>17.6749 * CHOOSE(CONTROL!$C$32, $C$9, 100%, $E$9)</f>
        <v>17.674900000000001</v>
      </c>
      <c r="I560" s="33">
        <f>17.6802 * CHOOSE(CONTROL!$C$32, $C$9, 100%, $E$9)</f>
        <v>17.680199999999999</v>
      </c>
      <c r="J560" s="33">
        <f>17.6749 * CHOOSE(CONTROL!$C$32, $C$9, 100%, $E$9)</f>
        <v>17.674900000000001</v>
      </c>
      <c r="K560" s="33">
        <f>17.6802 * CHOOSE(CONTROL!$C$32, $C$9, 100%, $E$9)</f>
        <v>17.680199999999999</v>
      </c>
      <c r="L560" s="33">
        <f>9.0871 * CHOOSE(CONTROL!$C$32, $C$9, 100%, $E$9)</f>
        <v>9.0870999999999995</v>
      </c>
      <c r="M560" s="33">
        <f>9.0924 * CHOOSE(CONTROL!$C$32, $C$9, 100%, $E$9)</f>
        <v>9.0923999999999996</v>
      </c>
      <c r="N560" s="33">
        <f>9.0871 * CHOOSE(CONTROL!$C$32, $C$9, 100%, $E$9)</f>
        <v>9.0870999999999995</v>
      </c>
      <c r="O560" s="33">
        <f>9.0924 * CHOOSE(CONTROL!$C$32, $C$9, 100%, $E$9)</f>
        <v>9.0923999999999996</v>
      </c>
    </row>
    <row r="561" spans="1:15" ht="15" x14ac:dyDescent="0.2">
      <c r="A561" s="16">
        <v>57923</v>
      </c>
      <c r="B561" s="32">
        <f>8.0046 * CHOOSE(CONTROL!$C$32, $C$9, 100%, $E$9)</f>
        <v>8.0045999999999999</v>
      </c>
      <c r="C561" s="32">
        <f>8.0046 * CHOOSE(CONTROL!$C$32, $C$9, 100%, $E$9)</f>
        <v>8.0045999999999999</v>
      </c>
      <c r="D561" s="32">
        <f>8.0062 * CHOOSE(CONTROL!$C$32, $C$9, 100%, $E$9)</f>
        <v>8.0061999999999998</v>
      </c>
      <c r="E561" s="33">
        <f>8.897 * CHOOSE(CONTROL!$C$32, $C$9, 100%, $E$9)</f>
        <v>8.8970000000000002</v>
      </c>
      <c r="F561" s="33">
        <f>8.897 * CHOOSE(CONTROL!$C$32, $C$9, 100%, $E$9)</f>
        <v>8.8970000000000002</v>
      </c>
      <c r="G561" s="33">
        <f>8.9022 * CHOOSE(CONTROL!$C$32, $C$9, 100%, $E$9)</f>
        <v>8.9022000000000006</v>
      </c>
      <c r="H561" s="33">
        <f>17.7117 * CHOOSE(CONTROL!$C$32, $C$9, 100%, $E$9)</f>
        <v>17.7117</v>
      </c>
      <c r="I561" s="33">
        <f>17.717 * CHOOSE(CONTROL!$C$32, $C$9, 100%, $E$9)</f>
        <v>17.716999999999999</v>
      </c>
      <c r="J561" s="33">
        <f>17.7117 * CHOOSE(CONTROL!$C$32, $C$9, 100%, $E$9)</f>
        <v>17.7117</v>
      </c>
      <c r="K561" s="33">
        <f>17.717 * CHOOSE(CONTROL!$C$32, $C$9, 100%, $E$9)</f>
        <v>17.716999999999999</v>
      </c>
      <c r="L561" s="33">
        <f>8.897 * CHOOSE(CONTROL!$C$32, $C$9, 100%, $E$9)</f>
        <v>8.8970000000000002</v>
      </c>
      <c r="M561" s="33">
        <f>8.9022 * CHOOSE(CONTROL!$C$32, $C$9, 100%, $E$9)</f>
        <v>8.9022000000000006</v>
      </c>
      <c r="N561" s="33">
        <f>8.897 * CHOOSE(CONTROL!$C$32, $C$9, 100%, $E$9)</f>
        <v>8.8970000000000002</v>
      </c>
      <c r="O561" s="33">
        <f>8.9022 * CHOOSE(CONTROL!$C$32, $C$9, 100%, $E$9)</f>
        <v>8.9022000000000006</v>
      </c>
    </row>
    <row r="562" spans="1:15" ht="15" x14ac:dyDescent="0.2">
      <c r="A562" s="16">
        <v>57954</v>
      </c>
      <c r="B562" s="32">
        <f>8.0015 * CHOOSE(CONTROL!$C$32, $C$9, 100%, $E$9)</f>
        <v>8.0015000000000001</v>
      </c>
      <c r="C562" s="32">
        <f>8.0015 * CHOOSE(CONTROL!$C$32, $C$9, 100%, $E$9)</f>
        <v>8.0015000000000001</v>
      </c>
      <c r="D562" s="32">
        <f>8.0031 * CHOOSE(CONTROL!$C$32, $C$9, 100%, $E$9)</f>
        <v>8.0030999999999999</v>
      </c>
      <c r="E562" s="33">
        <f>8.8732 * CHOOSE(CONTROL!$C$32, $C$9, 100%, $E$9)</f>
        <v>8.8732000000000006</v>
      </c>
      <c r="F562" s="33">
        <f>8.8732 * CHOOSE(CONTROL!$C$32, $C$9, 100%, $E$9)</f>
        <v>8.8732000000000006</v>
      </c>
      <c r="G562" s="33">
        <f>8.8785 * CHOOSE(CONTROL!$C$32, $C$9, 100%, $E$9)</f>
        <v>8.8785000000000007</v>
      </c>
      <c r="H562" s="33">
        <f>17.7486 * CHOOSE(CONTROL!$C$32, $C$9, 100%, $E$9)</f>
        <v>17.7486</v>
      </c>
      <c r="I562" s="33">
        <f>17.7539 * CHOOSE(CONTROL!$C$32, $C$9, 100%, $E$9)</f>
        <v>17.753900000000002</v>
      </c>
      <c r="J562" s="33">
        <f>17.7486 * CHOOSE(CONTROL!$C$32, $C$9, 100%, $E$9)</f>
        <v>17.7486</v>
      </c>
      <c r="K562" s="33">
        <f>17.7539 * CHOOSE(CONTROL!$C$32, $C$9, 100%, $E$9)</f>
        <v>17.753900000000002</v>
      </c>
      <c r="L562" s="33">
        <f>8.8732 * CHOOSE(CONTROL!$C$32, $C$9, 100%, $E$9)</f>
        <v>8.8732000000000006</v>
      </c>
      <c r="M562" s="33">
        <f>8.8785 * CHOOSE(CONTROL!$C$32, $C$9, 100%, $E$9)</f>
        <v>8.8785000000000007</v>
      </c>
      <c r="N562" s="33">
        <f>8.8732 * CHOOSE(CONTROL!$C$32, $C$9, 100%, $E$9)</f>
        <v>8.8732000000000006</v>
      </c>
      <c r="O562" s="33">
        <f>8.8785 * CHOOSE(CONTROL!$C$32, $C$9, 100%, $E$9)</f>
        <v>8.8785000000000007</v>
      </c>
    </row>
    <row r="563" spans="1:15" ht="15" x14ac:dyDescent="0.2">
      <c r="A563" s="16">
        <v>57984</v>
      </c>
      <c r="B563" s="32">
        <f>8.0115 * CHOOSE(CONTROL!$C$32, $C$9, 100%, $E$9)</f>
        <v>8.0114999999999998</v>
      </c>
      <c r="C563" s="32">
        <f>8.0115 * CHOOSE(CONTROL!$C$32, $C$9, 100%, $E$9)</f>
        <v>8.0114999999999998</v>
      </c>
      <c r="D563" s="32">
        <f>8.0126 * CHOOSE(CONTROL!$C$32, $C$9, 100%, $E$9)</f>
        <v>8.0126000000000008</v>
      </c>
      <c r="E563" s="33">
        <f>8.9464 * CHOOSE(CONTROL!$C$32, $C$9, 100%, $E$9)</f>
        <v>8.9464000000000006</v>
      </c>
      <c r="F563" s="33">
        <f>8.9464 * CHOOSE(CONTROL!$C$32, $C$9, 100%, $E$9)</f>
        <v>8.9464000000000006</v>
      </c>
      <c r="G563" s="33">
        <f>8.95 * CHOOSE(CONTROL!$C$32, $C$9, 100%, $E$9)</f>
        <v>8.9499999999999993</v>
      </c>
      <c r="H563" s="33">
        <f>17.7856 * CHOOSE(CONTROL!$C$32, $C$9, 100%, $E$9)</f>
        <v>17.785599999999999</v>
      </c>
      <c r="I563" s="33">
        <f>17.7892 * CHOOSE(CONTROL!$C$32, $C$9, 100%, $E$9)</f>
        <v>17.789200000000001</v>
      </c>
      <c r="J563" s="33">
        <f>17.7856 * CHOOSE(CONTROL!$C$32, $C$9, 100%, $E$9)</f>
        <v>17.785599999999999</v>
      </c>
      <c r="K563" s="33">
        <f>17.7892 * CHOOSE(CONTROL!$C$32, $C$9, 100%, $E$9)</f>
        <v>17.789200000000001</v>
      </c>
      <c r="L563" s="33">
        <f>8.9464 * CHOOSE(CONTROL!$C$32, $C$9, 100%, $E$9)</f>
        <v>8.9464000000000006</v>
      </c>
      <c r="M563" s="33">
        <f>8.95 * CHOOSE(CONTROL!$C$32, $C$9, 100%, $E$9)</f>
        <v>8.9499999999999993</v>
      </c>
      <c r="N563" s="33">
        <f>8.9464 * CHOOSE(CONTROL!$C$32, $C$9, 100%, $E$9)</f>
        <v>8.9464000000000006</v>
      </c>
      <c r="O563" s="33">
        <f>8.95 * CHOOSE(CONTROL!$C$32, $C$9, 100%, $E$9)</f>
        <v>8.9499999999999993</v>
      </c>
    </row>
    <row r="564" spans="1:15" ht="15" x14ac:dyDescent="0.2">
      <c r="A564" s="16">
        <v>58015</v>
      </c>
      <c r="B564" s="32">
        <f>8.0145 * CHOOSE(CONTROL!$C$32, $C$9, 100%, $E$9)</f>
        <v>8.0145</v>
      </c>
      <c r="C564" s="32">
        <f>8.0145 * CHOOSE(CONTROL!$C$32, $C$9, 100%, $E$9)</f>
        <v>8.0145</v>
      </c>
      <c r="D564" s="32">
        <f>8.0156 * CHOOSE(CONTROL!$C$32, $C$9, 100%, $E$9)</f>
        <v>8.0155999999999992</v>
      </c>
      <c r="E564" s="33">
        <f>8.9918 * CHOOSE(CONTROL!$C$32, $C$9, 100%, $E$9)</f>
        <v>8.9917999999999996</v>
      </c>
      <c r="F564" s="33">
        <f>8.9918 * CHOOSE(CONTROL!$C$32, $C$9, 100%, $E$9)</f>
        <v>8.9917999999999996</v>
      </c>
      <c r="G564" s="33">
        <f>8.9954 * CHOOSE(CONTROL!$C$32, $C$9, 100%, $E$9)</f>
        <v>8.9954000000000001</v>
      </c>
      <c r="H564" s="33">
        <f>17.8226 * CHOOSE(CONTROL!$C$32, $C$9, 100%, $E$9)</f>
        <v>17.822600000000001</v>
      </c>
      <c r="I564" s="33">
        <f>17.8262 * CHOOSE(CONTROL!$C$32, $C$9, 100%, $E$9)</f>
        <v>17.8262</v>
      </c>
      <c r="J564" s="33">
        <f>17.8226 * CHOOSE(CONTROL!$C$32, $C$9, 100%, $E$9)</f>
        <v>17.822600000000001</v>
      </c>
      <c r="K564" s="33">
        <f>17.8262 * CHOOSE(CONTROL!$C$32, $C$9, 100%, $E$9)</f>
        <v>17.8262</v>
      </c>
      <c r="L564" s="33">
        <f>8.9918 * CHOOSE(CONTROL!$C$32, $C$9, 100%, $E$9)</f>
        <v>8.9917999999999996</v>
      </c>
      <c r="M564" s="33">
        <f>8.9954 * CHOOSE(CONTROL!$C$32, $C$9, 100%, $E$9)</f>
        <v>8.9954000000000001</v>
      </c>
      <c r="N564" s="33">
        <f>8.9918 * CHOOSE(CONTROL!$C$32, $C$9, 100%, $E$9)</f>
        <v>8.9917999999999996</v>
      </c>
      <c r="O564" s="33">
        <f>8.9954 * CHOOSE(CONTROL!$C$32, $C$9, 100%, $E$9)</f>
        <v>8.9954000000000001</v>
      </c>
    </row>
    <row r="565" spans="1:15" ht="15" x14ac:dyDescent="0.2">
      <c r="A565" s="16">
        <v>58045</v>
      </c>
      <c r="B565" s="32">
        <f>8.0145 * CHOOSE(CONTROL!$C$32, $C$9, 100%, $E$9)</f>
        <v>8.0145</v>
      </c>
      <c r="C565" s="32">
        <f>8.0145 * CHOOSE(CONTROL!$C$32, $C$9, 100%, $E$9)</f>
        <v>8.0145</v>
      </c>
      <c r="D565" s="32">
        <f>8.0156 * CHOOSE(CONTROL!$C$32, $C$9, 100%, $E$9)</f>
        <v>8.0155999999999992</v>
      </c>
      <c r="E565" s="33">
        <f>8.8835 * CHOOSE(CONTROL!$C$32, $C$9, 100%, $E$9)</f>
        <v>8.8834999999999997</v>
      </c>
      <c r="F565" s="33">
        <f>8.8835 * CHOOSE(CONTROL!$C$32, $C$9, 100%, $E$9)</f>
        <v>8.8834999999999997</v>
      </c>
      <c r="G565" s="33">
        <f>8.8872 * CHOOSE(CONTROL!$C$32, $C$9, 100%, $E$9)</f>
        <v>8.8872</v>
      </c>
      <c r="H565" s="33">
        <f>17.8597 * CHOOSE(CONTROL!$C$32, $C$9, 100%, $E$9)</f>
        <v>17.8597</v>
      </c>
      <c r="I565" s="33">
        <f>17.8634 * CHOOSE(CONTROL!$C$32, $C$9, 100%, $E$9)</f>
        <v>17.863399999999999</v>
      </c>
      <c r="J565" s="33">
        <f>17.8597 * CHOOSE(CONTROL!$C$32, $C$9, 100%, $E$9)</f>
        <v>17.8597</v>
      </c>
      <c r="K565" s="33">
        <f>17.8634 * CHOOSE(CONTROL!$C$32, $C$9, 100%, $E$9)</f>
        <v>17.863399999999999</v>
      </c>
      <c r="L565" s="33">
        <f>8.8835 * CHOOSE(CONTROL!$C$32, $C$9, 100%, $E$9)</f>
        <v>8.8834999999999997</v>
      </c>
      <c r="M565" s="33">
        <f>8.8872 * CHOOSE(CONTROL!$C$32, $C$9, 100%, $E$9)</f>
        <v>8.8872</v>
      </c>
      <c r="N565" s="33">
        <f>8.8835 * CHOOSE(CONTROL!$C$32, $C$9, 100%, $E$9)</f>
        <v>8.8834999999999997</v>
      </c>
      <c r="O565" s="33">
        <f>8.8872 * CHOOSE(CONTROL!$C$32, $C$9, 100%, $E$9)</f>
        <v>8.8872</v>
      </c>
    </row>
    <row r="566" spans="1:15" ht="15" x14ac:dyDescent="0.2">
      <c r="A566" s="16">
        <v>58076</v>
      </c>
      <c r="B566" s="32">
        <f>8.0743 * CHOOSE(CONTROL!$C$32, $C$9, 100%, $E$9)</f>
        <v>8.0742999999999991</v>
      </c>
      <c r="C566" s="32">
        <f>8.0743 * CHOOSE(CONTROL!$C$32, $C$9, 100%, $E$9)</f>
        <v>8.0742999999999991</v>
      </c>
      <c r="D566" s="32">
        <f>8.0754 * CHOOSE(CONTROL!$C$32, $C$9, 100%, $E$9)</f>
        <v>8.0754000000000001</v>
      </c>
      <c r="E566" s="33">
        <f>9.0387 * CHOOSE(CONTROL!$C$32, $C$9, 100%, $E$9)</f>
        <v>9.0387000000000004</v>
      </c>
      <c r="F566" s="33">
        <f>9.0387 * CHOOSE(CONTROL!$C$32, $C$9, 100%, $E$9)</f>
        <v>9.0387000000000004</v>
      </c>
      <c r="G566" s="33">
        <f>9.0423 * CHOOSE(CONTROL!$C$32, $C$9, 100%, $E$9)</f>
        <v>9.0422999999999991</v>
      </c>
      <c r="H566" s="33">
        <f>17.897 * CHOOSE(CONTROL!$C$32, $C$9, 100%, $E$9)</f>
        <v>17.896999999999998</v>
      </c>
      <c r="I566" s="33">
        <f>17.9006 * CHOOSE(CONTROL!$C$32, $C$9, 100%, $E$9)</f>
        <v>17.900600000000001</v>
      </c>
      <c r="J566" s="33">
        <f>17.897 * CHOOSE(CONTROL!$C$32, $C$9, 100%, $E$9)</f>
        <v>17.896999999999998</v>
      </c>
      <c r="K566" s="33">
        <f>17.9006 * CHOOSE(CONTROL!$C$32, $C$9, 100%, $E$9)</f>
        <v>17.900600000000001</v>
      </c>
      <c r="L566" s="33">
        <f>9.0387 * CHOOSE(CONTROL!$C$32, $C$9, 100%, $E$9)</f>
        <v>9.0387000000000004</v>
      </c>
      <c r="M566" s="33">
        <f>9.0423 * CHOOSE(CONTROL!$C$32, $C$9, 100%, $E$9)</f>
        <v>9.0422999999999991</v>
      </c>
      <c r="N566" s="33">
        <f>9.0387 * CHOOSE(CONTROL!$C$32, $C$9, 100%, $E$9)</f>
        <v>9.0387000000000004</v>
      </c>
      <c r="O566" s="33">
        <f>9.0423 * CHOOSE(CONTROL!$C$32, $C$9, 100%, $E$9)</f>
        <v>9.0422999999999991</v>
      </c>
    </row>
    <row r="567" spans="1:15" ht="15" x14ac:dyDescent="0.2">
      <c r="A567" s="16">
        <v>58107</v>
      </c>
      <c r="B567" s="32">
        <f>8.0713 * CHOOSE(CONTROL!$C$32, $C$9, 100%, $E$9)</f>
        <v>8.0713000000000008</v>
      </c>
      <c r="C567" s="32">
        <f>8.0713 * CHOOSE(CONTROL!$C$32, $C$9, 100%, $E$9)</f>
        <v>8.0713000000000008</v>
      </c>
      <c r="D567" s="32">
        <f>8.0723 * CHOOSE(CONTROL!$C$32, $C$9, 100%, $E$9)</f>
        <v>8.0723000000000003</v>
      </c>
      <c r="E567" s="33">
        <f>8.8254 * CHOOSE(CONTROL!$C$32, $C$9, 100%, $E$9)</f>
        <v>8.8254000000000001</v>
      </c>
      <c r="F567" s="33">
        <f>8.8254 * CHOOSE(CONTROL!$C$32, $C$9, 100%, $E$9)</f>
        <v>8.8254000000000001</v>
      </c>
      <c r="G567" s="33">
        <f>8.829 * CHOOSE(CONTROL!$C$32, $C$9, 100%, $E$9)</f>
        <v>8.8290000000000006</v>
      </c>
      <c r="H567" s="33">
        <f>17.9342 * CHOOSE(CONTROL!$C$32, $C$9, 100%, $E$9)</f>
        <v>17.934200000000001</v>
      </c>
      <c r="I567" s="33">
        <f>17.9379 * CHOOSE(CONTROL!$C$32, $C$9, 100%, $E$9)</f>
        <v>17.937899999999999</v>
      </c>
      <c r="J567" s="33">
        <f>17.9342 * CHOOSE(CONTROL!$C$32, $C$9, 100%, $E$9)</f>
        <v>17.934200000000001</v>
      </c>
      <c r="K567" s="33">
        <f>17.9379 * CHOOSE(CONTROL!$C$32, $C$9, 100%, $E$9)</f>
        <v>17.937899999999999</v>
      </c>
      <c r="L567" s="33">
        <f>8.8254 * CHOOSE(CONTROL!$C$32, $C$9, 100%, $E$9)</f>
        <v>8.8254000000000001</v>
      </c>
      <c r="M567" s="33">
        <f>8.829 * CHOOSE(CONTROL!$C$32, $C$9, 100%, $E$9)</f>
        <v>8.8290000000000006</v>
      </c>
      <c r="N567" s="33">
        <f>8.8254 * CHOOSE(CONTROL!$C$32, $C$9, 100%, $E$9)</f>
        <v>8.8254000000000001</v>
      </c>
      <c r="O567" s="33">
        <f>8.829 * CHOOSE(CONTROL!$C$32, $C$9, 100%, $E$9)</f>
        <v>8.8290000000000006</v>
      </c>
    </row>
    <row r="568" spans="1:15" ht="15" x14ac:dyDescent="0.2">
      <c r="A568" s="16">
        <v>58135</v>
      </c>
      <c r="B568" s="32">
        <f>8.0682 * CHOOSE(CONTROL!$C$32, $C$9, 100%, $E$9)</f>
        <v>8.0681999999999992</v>
      </c>
      <c r="C568" s="32">
        <f>8.0682 * CHOOSE(CONTROL!$C$32, $C$9, 100%, $E$9)</f>
        <v>8.0681999999999992</v>
      </c>
      <c r="D568" s="32">
        <f>8.0693 * CHOOSE(CONTROL!$C$32, $C$9, 100%, $E$9)</f>
        <v>8.0693000000000001</v>
      </c>
      <c r="E568" s="33">
        <f>8.9897 * CHOOSE(CONTROL!$C$32, $C$9, 100%, $E$9)</f>
        <v>8.9896999999999991</v>
      </c>
      <c r="F568" s="33">
        <f>8.9897 * CHOOSE(CONTROL!$C$32, $C$9, 100%, $E$9)</f>
        <v>8.9896999999999991</v>
      </c>
      <c r="G568" s="33">
        <f>8.9934 * CHOOSE(CONTROL!$C$32, $C$9, 100%, $E$9)</f>
        <v>8.9933999999999994</v>
      </c>
      <c r="H568" s="33">
        <f>17.9716 * CHOOSE(CONTROL!$C$32, $C$9, 100%, $E$9)</f>
        <v>17.971599999999999</v>
      </c>
      <c r="I568" s="33">
        <f>17.9752 * CHOOSE(CONTROL!$C$32, $C$9, 100%, $E$9)</f>
        <v>17.975200000000001</v>
      </c>
      <c r="J568" s="33">
        <f>17.9716 * CHOOSE(CONTROL!$C$32, $C$9, 100%, $E$9)</f>
        <v>17.971599999999999</v>
      </c>
      <c r="K568" s="33">
        <f>17.9752 * CHOOSE(CONTROL!$C$32, $C$9, 100%, $E$9)</f>
        <v>17.975200000000001</v>
      </c>
      <c r="L568" s="33">
        <f>8.9897 * CHOOSE(CONTROL!$C$32, $C$9, 100%, $E$9)</f>
        <v>8.9896999999999991</v>
      </c>
      <c r="M568" s="33">
        <f>8.9934 * CHOOSE(CONTROL!$C$32, $C$9, 100%, $E$9)</f>
        <v>8.9933999999999994</v>
      </c>
      <c r="N568" s="33">
        <f>8.9897 * CHOOSE(CONTROL!$C$32, $C$9, 100%, $E$9)</f>
        <v>8.9896999999999991</v>
      </c>
      <c r="O568" s="33">
        <f>8.9934 * CHOOSE(CONTROL!$C$32, $C$9, 100%, $E$9)</f>
        <v>8.9933999999999994</v>
      </c>
    </row>
    <row r="569" spans="1:15" ht="15" x14ac:dyDescent="0.2">
      <c r="A569" s="16">
        <v>58166</v>
      </c>
      <c r="B569" s="32">
        <f>8.0698 * CHOOSE(CONTROL!$C$32, $C$9, 100%, $E$9)</f>
        <v>8.0698000000000008</v>
      </c>
      <c r="C569" s="32">
        <f>8.0698 * CHOOSE(CONTROL!$C$32, $C$9, 100%, $E$9)</f>
        <v>8.0698000000000008</v>
      </c>
      <c r="D569" s="32">
        <f>8.0709 * CHOOSE(CONTROL!$C$32, $C$9, 100%, $E$9)</f>
        <v>8.0709</v>
      </c>
      <c r="E569" s="33">
        <f>9.1643 * CHOOSE(CONTROL!$C$32, $C$9, 100%, $E$9)</f>
        <v>9.1643000000000008</v>
      </c>
      <c r="F569" s="33">
        <f>9.1643 * CHOOSE(CONTROL!$C$32, $C$9, 100%, $E$9)</f>
        <v>9.1643000000000008</v>
      </c>
      <c r="G569" s="33">
        <f>9.1679 * CHOOSE(CONTROL!$C$32, $C$9, 100%, $E$9)</f>
        <v>9.1678999999999995</v>
      </c>
      <c r="H569" s="33">
        <f>18.009 * CHOOSE(CONTROL!$C$32, $C$9, 100%, $E$9)</f>
        <v>18.009</v>
      </c>
      <c r="I569" s="33">
        <f>18.0127 * CHOOSE(CONTROL!$C$32, $C$9, 100%, $E$9)</f>
        <v>18.012699999999999</v>
      </c>
      <c r="J569" s="33">
        <f>18.009 * CHOOSE(CONTROL!$C$32, $C$9, 100%, $E$9)</f>
        <v>18.009</v>
      </c>
      <c r="K569" s="33">
        <f>18.0127 * CHOOSE(CONTROL!$C$32, $C$9, 100%, $E$9)</f>
        <v>18.012699999999999</v>
      </c>
      <c r="L569" s="33">
        <f>9.1643 * CHOOSE(CONTROL!$C$32, $C$9, 100%, $E$9)</f>
        <v>9.1643000000000008</v>
      </c>
      <c r="M569" s="33">
        <f>9.1679 * CHOOSE(CONTROL!$C$32, $C$9, 100%, $E$9)</f>
        <v>9.1678999999999995</v>
      </c>
      <c r="N569" s="33">
        <f>9.1643 * CHOOSE(CONTROL!$C$32, $C$9, 100%, $E$9)</f>
        <v>9.1643000000000008</v>
      </c>
      <c r="O569" s="33">
        <f>9.1679 * CHOOSE(CONTROL!$C$32, $C$9, 100%, $E$9)</f>
        <v>9.1678999999999995</v>
      </c>
    </row>
    <row r="570" spans="1:15" ht="15" x14ac:dyDescent="0.2">
      <c r="A570" s="16">
        <v>58196</v>
      </c>
      <c r="B570" s="32">
        <f>8.0698 * CHOOSE(CONTROL!$C$32, $C$9, 100%, $E$9)</f>
        <v>8.0698000000000008</v>
      </c>
      <c r="C570" s="32">
        <f>8.0698 * CHOOSE(CONTROL!$C$32, $C$9, 100%, $E$9)</f>
        <v>8.0698000000000008</v>
      </c>
      <c r="D570" s="32">
        <f>8.0714 * CHOOSE(CONTROL!$C$32, $C$9, 100%, $E$9)</f>
        <v>8.0714000000000006</v>
      </c>
      <c r="E570" s="33">
        <f>9.2313 * CHOOSE(CONTROL!$C$32, $C$9, 100%, $E$9)</f>
        <v>9.2312999999999992</v>
      </c>
      <c r="F570" s="33">
        <f>9.2313 * CHOOSE(CONTROL!$C$32, $C$9, 100%, $E$9)</f>
        <v>9.2312999999999992</v>
      </c>
      <c r="G570" s="33">
        <f>9.2366 * CHOOSE(CONTROL!$C$32, $C$9, 100%, $E$9)</f>
        <v>9.2365999999999993</v>
      </c>
      <c r="H570" s="33">
        <f>18.0466 * CHOOSE(CONTROL!$C$32, $C$9, 100%, $E$9)</f>
        <v>18.046600000000002</v>
      </c>
      <c r="I570" s="33">
        <f>18.0519 * CHOOSE(CONTROL!$C$32, $C$9, 100%, $E$9)</f>
        <v>18.0519</v>
      </c>
      <c r="J570" s="33">
        <f>18.0466 * CHOOSE(CONTROL!$C$32, $C$9, 100%, $E$9)</f>
        <v>18.046600000000002</v>
      </c>
      <c r="K570" s="33">
        <f>18.0519 * CHOOSE(CONTROL!$C$32, $C$9, 100%, $E$9)</f>
        <v>18.0519</v>
      </c>
      <c r="L570" s="33">
        <f>9.2313 * CHOOSE(CONTROL!$C$32, $C$9, 100%, $E$9)</f>
        <v>9.2312999999999992</v>
      </c>
      <c r="M570" s="33">
        <f>9.2366 * CHOOSE(CONTROL!$C$32, $C$9, 100%, $E$9)</f>
        <v>9.2365999999999993</v>
      </c>
      <c r="N570" s="33">
        <f>9.2313 * CHOOSE(CONTROL!$C$32, $C$9, 100%, $E$9)</f>
        <v>9.2312999999999992</v>
      </c>
      <c r="O570" s="33">
        <f>9.2366 * CHOOSE(CONTROL!$C$32, $C$9, 100%, $E$9)</f>
        <v>9.2365999999999993</v>
      </c>
    </row>
    <row r="571" spans="1:15" ht="15" x14ac:dyDescent="0.2">
      <c r="A571" s="16">
        <v>58227</v>
      </c>
      <c r="B571" s="32">
        <f>8.0759 * CHOOSE(CONTROL!$C$32, $C$9, 100%, $E$9)</f>
        <v>8.0759000000000007</v>
      </c>
      <c r="C571" s="32">
        <f>8.0759 * CHOOSE(CONTROL!$C$32, $C$9, 100%, $E$9)</f>
        <v>8.0759000000000007</v>
      </c>
      <c r="D571" s="32">
        <f>8.0775 * CHOOSE(CONTROL!$C$32, $C$9, 100%, $E$9)</f>
        <v>8.0775000000000006</v>
      </c>
      <c r="E571" s="33">
        <f>9.1685 * CHOOSE(CONTROL!$C$32, $C$9, 100%, $E$9)</f>
        <v>9.1684999999999999</v>
      </c>
      <c r="F571" s="33">
        <f>9.1685 * CHOOSE(CONTROL!$C$32, $C$9, 100%, $E$9)</f>
        <v>9.1684999999999999</v>
      </c>
      <c r="G571" s="33">
        <f>9.1738 * CHOOSE(CONTROL!$C$32, $C$9, 100%, $E$9)</f>
        <v>9.1738</v>
      </c>
      <c r="H571" s="33">
        <f>18.0842 * CHOOSE(CONTROL!$C$32, $C$9, 100%, $E$9)</f>
        <v>18.084199999999999</v>
      </c>
      <c r="I571" s="33">
        <f>18.0895 * CHOOSE(CONTROL!$C$32, $C$9, 100%, $E$9)</f>
        <v>18.089500000000001</v>
      </c>
      <c r="J571" s="33">
        <f>18.0842 * CHOOSE(CONTROL!$C$32, $C$9, 100%, $E$9)</f>
        <v>18.084199999999999</v>
      </c>
      <c r="K571" s="33">
        <f>18.0895 * CHOOSE(CONTROL!$C$32, $C$9, 100%, $E$9)</f>
        <v>18.089500000000001</v>
      </c>
      <c r="L571" s="33">
        <f>9.1685 * CHOOSE(CONTROL!$C$32, $C$9, 100%, $E$9)</f>
        <v>9.1684999999999999</v>
      </c>
      <c r="M571" s="33">
        <f>9.1738 * CHOOSE(CONTROL!$C$32, $C$9, 100%, $E$9)</f>
        <v>9.1738</v>
      </c>
      <c r="N571" s="33">
        <f>9.1685 * CHOOSE(CONTROL!$C$32, $C$9, 100%, $E$9)</f>
        <v>9.1684999999999999</v>
      </c>
      <c r="O571" s="33">
        <f>9.1738 * CHOOSE(CONTROL!$C$32, $C$9, 100%, $E$9)</f>
        <v>9.1738</v>
      </c>
    </row>
    <row r="572" spans="1:15" ht="15" x14ac:dyDescent="0.2">
      <c r="A572" s="16">
        <v>58257</v>
      </c>
      <c r="B572" s="32">
        <f>8.1792 * CHOOSE(CONTROL!$C$32, $C$9, 100%, $E$9)</f>
        <v>8.1791999999999998</v>
      </c>
      <c r="C572" s="32">
        <f>8.1792 * CHOOSE(CONTROL!$C$32, $C$9, 100%, $E$9)</f>
        <v>8.1791999999999998</v>
      </c>
      <c r="D572" s="32">
        <f>8.1807 * CHOOSE(CONTROL!$C$32, $C$9, 100%, $E$9)</f>
        <v>8.1806999999999999</v>
      </c>
      <c r="E572" s="33">
        <f>9.2956 * CHOOSE(CONTROL!$C$32, $C$9, 100%, $E$9)</f>
        <v>9.2956000000000003</v>
      </c>
      <c r="F572" s="33">
        <f>9.2956 * CHOOSE(CONTROL!$C$32, $C$9, 100%, $E$9)</f>
        <v>9.2956000000000003</v>
      </c>
      <c r="G572" s="33">
        <f>9.3009 * CHOOSE(CONTROL!$C$32, $C$9, 100%, $E$9)</f>
        <v>9.3009000000000004</v>
      </c>
      <c r="H572" s="33">
        <f>18.1218 * CHOOSE(CONTROL!$C$32, $C$9, 100%, $E$9)</f>
        <v>18.1218</v>
      </c>
      <c r="I572" s="33">
        <f>18.1271 * CHOOSE(CONTROL!$C$32, $C$9, 100%, $E$9)</f>
        <v>18.127099999999999</v>
      </c>
      <c r="J572" s="33">
        <f>18.1218 * CHOOSE(CONTROL!$C$32, $C$9, 100%, $E$9)</f>
        <v>18.1218</v>
      </c>
      <c r="K572" s="33">
        <f>18.1271 * CHOOSE(CONTROL!$C$32, $C$9, 100%, $E$9)</f>
        <v>18.127099999999999</v>
      </c>
      <c r="L572" s="33">
        <f>9.2956 * CHOOSE(CONTROL!$C$32, $C$9, 100%, $E$9)</f>
        <v>9.2956000000000003</v>
      </c>
      <c r="M572" s="33">
        <f>9.3009 * CHOOSE(CONTROL!$C$32, $C$9, 100%, $E$9)</f>
        <v>9.3009000000000004</v>
      </c>
      <c r="N572" s="33">
        <f>9.2956 * CHOOSE(CONTROL!$C$32, $C$9, 100%, $E$9)</f>
        <v>9.2956000000000003</v>
      </c>
      <c r="O572" s="33">
        <f>9.3009 * CHOOSE(CONTROL!$C$32, $C$9, 100%, $E$9)</f>
        <v>9.3009000000000004</v>
      </c>
    </row>
    <row r="573" spans="1:15" ht="15" x14ac:dyDescent="0.2">
      <c r="A573" s="16">
        <v>58288</v>
      </c>
      <c r="B573" s="32">
        <f>8.1858 * CHOOSE(CONTROL!$C$32, $C$9, 100%, $E$9)</f>
        <v>8.1858000000000004</v>
      </c>
      <c r="C573" s="32">
        <f>8.1858 * CHOOSE(CONTROL!$C$32, $C$9, 100%, $E$9)</f>
        <v>8.1858000000000004</v>
      </c>
      <c r="D573" s="32">
        <f>8.1874 * CHOOSE(CONTROL!$C$32, $C$9, 100%, $E$9)</f>
        <v>8.1874000000000002</v>
      </c>
      <c r="E573" s="33">
        <f>9.0991 * CHOOSE(CONTROL!$C$32, $C$9, 100%, $E$9)</f>
        <v>9.0991</v>
      </c>
      <c r="F573" s="33">
        <f>9.0991 * CHOOSE(CONTROL!$C$32, $C$9, 100%, $E$9)</f>
        <v>9.0991</v>
      </c>
      <c r="G573" s="33">
        <f>9.1044 * CHOOSE(CONTROL!$C$32, $C$9, 100%, $E$9)</f>
        <v>9.1044</v>
      </c>
      <c r="H573" s="33">
        <f>18.1596 * CHOOSE(CONTROL!$C$32, $C$9, 100%, $E$9)</f>
        <v>18.159600000000001</v>
      </c>
      <c r="I573" s="33">
        <f>18.1649 * CHOOSE(CONTROL!$C$32, $C$9, 100%, $E$9)</f>
        <v>18.164899999999999</v>
      </c>
      <c r="J573" s="33">
        <f>18.1596 * CHOOSE(CONTROL!$C$32, $C$9, 100%, $E$9)</f>
        <v>18.159600000000001</v>
      </c>
      <c r="K573" s="33">
        <f>18.1649 * CHOOSE(CONTROL!$C$32, $C$9, 100%, $E$9)</f>
        <v>18.164899999999999</v>
      </c>
      <c r="L573" s="33">
        <f>9.0991 * CHOOSE(CONTROL!$C$32, $C$9, 100%, $E$9)</f>
        <v>9.0991</v>
      </c>
      <c r="M573" s="33">
        <f>9.1044 * CHOOSE(CONTROL!$C$32, $C$9, 100%, $E$9)</f>
        <v>9.1044</v>
      </c>
      <c r="N573" s="33">
        <f>9.0991 * CHOOSE(CONTROL!$C$32, $C$9, 100%, $E$9)</f>
        <v>9.0991</v>
      </c>
      <c r="O573" s="33">
        <f>9.1044 * CHOOSE(CONTROL!$C$32, $C$9, 100%, $E$9)</f>
        <v>9.1044</v>
      </c>
    </row>
    <row r="574" spans="1:15" ht="15" x14ac:dyDescent="0.2">
      <c r="A574" s="16">
        <v>58319</v>
      </c>
      <c r="B574" s="32">
        <f>8.1828 * CHOOSE(CONTROL!$C$32, $C$9, 100%, $E$9)</f>
        <v>8.1828000000000003</v>
      </c>
      <c r="C574" s="32">
        <f>8.1828 * CHOOSE(CONTROL!$C$32, $C$9, 100%, $E$9)</f>
        <v>8.1828000000000003</v>
      </c>
      <c r="D574" s="32">
        <f>8.1844 * CHOOSE(CONTROL!$C$32, $C$9, 100%, $E$9)</f>
        <v>8.1844000000000001</v>
      </c>
      <c r="E574" s="33">
        <f>9.0746 * CHOOSE(CONTROL!$C$32, $C$9, 100%, $E$9)</f>
        <v>9.0746000000000002</v>
      </c>
      <c r="F574" s="33">
        <f>9.0746 * CHOOSE(CONTROL!$C$32, $C$9, 100%, $E$9)</f>
        <v>9.0746000000000002</v>
      </c>
      <c r="G574" s="33">
        <f>9.0799 * CHOOSE(CONTROL!$C$32, $C$9, 100%, $E$9)</f>
        <v>9.0799000000000003</v>
      </c>
      <c r="H574" s="33">
        <f>18.1974 * CHOOSE(CONTROL!$C$32, $C$9, 100%, $E$9)</f>
        <v>18.197399999999998</v>
      </c>
      <c r="I574" s="33">
        <f>18.2027 * CHOOSE(CONTROL!$C$32, $C$9, 100%, $E$9)</f>
        <v>18.2027</v>
      </c>
      <c r="J574" s="33">
        <f>18.1974 * CHOOSE(CONTROL!$C$32, $C$9, 100%, $E$9)</f>
        <v>18.197399999999998</v>
      </c>
      <c r="K574" s="33">
        <f>18.2027 * CHOOSE(CONTROL!$C$32, $C$9, 100%, $E$9)</f>
        <v>18.2027</v>
      </c>
      <c r="L574" s="33">
        <f>9.0746 * CHOOSE(CONTROL!$C$32, $C$9, 100%, $E$9)</f>
        <v>9.0746000000000002</v>
      </c>
      <c r="M574" s="33">
        <f>9.0799 * CHOOSE(CONTROL!$C$32, $C$9, 100%, $E$9)</f>
        <v>9.0799000000000003</v>
      </c>
      <c r="N574" s="33">
        <f>9.0746 * CHOOSE(CONTROL!$C$32, $C$9, 100%, $E$9)</f>
        <v>9.0746000000000002</v>
      </c>
      <c r="O574" s="33">
        <f>9.0799 * CHOOSE(CONTROL!$C$32, $C$9, 100%, $E$9)</f>
        <v>9.0799000000000003</v>
      </c>
    </row>
    <row r="575" spans="1:15" ht="15" x14ac:dyDescent="0.2">
      <c r="A575" s="16">
        <v>58349</v>
      </c>
      <c r="B575" s="32">
        <f>8.1934 * CHOOSE(CONTROL!$C$32, $C$9, 100%, $E$9)</f>
        <v>8.1934000000000005</v>
      </c>
      <c r="C575" s="32">
        <f>8.1934 * CHOOSE(CONTROL!$C$32, $C$9, 100%, $E$9)</f>
        <v>8.1934000000000005</v>
      </c>
      <c r="D575" s="32">
        <f>8.1945 * CHOOSE(CONTROL!$C$32, $C$9, 100%, $E$9)</f>
        <v>8.1944999999999997</v>
      </c>
      <c r="E575" s="33">
        <f>9.1506 * CHOOSE(CONTROL!$C$32, $C$9, 100%, $E$9)</f>
        <v>9.1506000000000007</v>
      </c>
      <c r="F575" s="33">
        <f>9.1506 * CHOOSE(CONTROL!$C$32, $C$9, 100%, $E$9)</f>
        <v>9.1506000000000007</v>
      </c>
      <c r="G575" s="33">
        <f>9.1542 * CHOOSE(CONTROL!$C$32, $C$9, 100%, $E$9)</f>
        <v>9.1541999999999994</v>
      </c>
      <c r="H575" s="33">
        <f>18.2353 * CHOOSE(CONTROL!$C$32, $C$9, 100%, $E$9)</f>
        <v>18.235299999999999</v>
      </c>
      <c r="I575" s="33">
        <f>18.2389 * CHOOSE(CONTROL!$C$32, $C$9, 100%, $E$9)</f>
        <v>18.238900000000001</v>
      </c>
      <c r="J575" s="33">
        <f>18.2353 * CHOOSE(CONTROL!$C$32, $C$9, 100%, $E$9)</f>
        <v>18.235299999999999</v>
      </c>
      <c r="K575" s="33">
        <f>18.2389 * CHOOSE(CONTROL!$C$32, $C$9, 100%, $E$9)</f>
        <v>18.238900000000001</v>
      </c>
      <c r="L575" s="33">
        <f>9.1506 * CHOOSE(CONTROL!$C$32, $C$9, 100%, $E$9)</f>
        <v>9.1506000000000007</v>
      </c>
      <c r="M575" s="33">
        <f>9.1542 * CHOOSE(CONTROL!$C$32, $C$9, 100%, $E$9)</f>
        <v>9.1541999999999994</v>
      </c>
      <c r="N575" s="33">
        <f>9.1506 * CHOOSE(CONTROL!$C$32, $C$9, 100%, $E$9)</f>
        <v>9.1506000000000007</v>
      </c>
      <c r="O575" s="33">
        <f>9.1542 * CHOOSE(CONTROL!$C$32, $C$9, 100%, $E$9)</f>
        <v>9.1541999999999994</v>
      </c>
    </row>
    <row r="576" spans="1:15" ht="15" x14ac:dyDescent="0.2">
      <c r="A576" s="16">
        <v>58380</v>
      </c>
      <c r="B576" s="32">
        <f>8.1965 * CHOOSE(CONTROL!$C$32, $C$9, 100%, $E$9)</f>
        <v>8.1965000000000003</v>
      </c>
      <c r="C576" s="32">
        <f>8.1965 * CHOOSE(CONTROL!$C$32, $C$9, 100%, $E$9)</f>
        <v>8.1965000000000003</v>
      </c>
      <c r="D576" s="32">
        <f>8.1976 * CHOOSE(CONTROL!$C$32, $C$9, 100%, $E$9)</f>
        <v>8.1975999999999996</v>
      </c>
      <c r="E576" s="33">
        <f>9.1974 * CHOOSE(CONTROL!$C$32, $C$9, 100%, $E$9)</f>
        <v>9.1974</v>
      </c>
      <c r="F576" s="33">
        <f>9.1974 * CHOOSE(CONTROL!$C$32, $C$9, 100%, $E$9)</f>
        <v>9.1974</v>
      </c>
      <c r="G576" s="33">
        <f>9.2011 * CHOOSE(CONTROL!$C$32, $C$9, 100%, $E$9)</f>
        <v>9.2011000000000003</v>
      </c>
      <c r="H576" s="33">
        <f>18.2733 * CHOOSE(CONTROL!$C$32, $C$9, 100%, $E$9)</f>
        <v>18.273299999999999</v>
      </c>
      <c r="I576" s="33">
        <f>18.2769 * CHOOSE(CONTROL!$C$32, $C$9, 100%, $E$9)</f>
        <v>18.276900000000001</v>
      </c>
      <c r="J576" s="33">
        <f>18.2733 * CHOOSE(CONTROL!$C$32, $C$9, 100%, $E$9)</f>
        <v>18.273299999999999</v>
      </c>
      <c r="K576" s="33">
        <f>18.2769 * CHOOSE(CONTROL!$C$32, $C$9, 100%, $E$9)</f>
        <v>18.276900000000001</v>
      </c>
      <c r="L576" s="33">
        <f>9.1974 * CHOOSE(CONTROL!$C$32, $C$9, 100%, $E$9)</f>
        <v>9.1974</v>
      </c>
      <c r="M576" s="33">
        <f>9.2011 * CHOOSE(CONTROL!$C$32, $C$9, 100%, $E$9)</f>
        <v>9.2011000000000003</v>
      </c>
      <c r="N576" s="33">
        <f>9.1974 * CHOOSE(CONTROL!$C$32, $C$9, 100%, $E$9)</f>
        <v>9.1974</v>
      </c>
      <c r="O576" s="33">
        <f>9.2011 * CHOOSE(CONTROL!$C$32, $C$9, 100%, $E$9)</f>
        <v>9.2011000000000003</v>
      </c>
    </row>
    <row r="577" spans="1:15" ht="15" x14ac:dyDescent="0.2">
      <c r="A577" s="16">
        <v>58410</v>
      </c>
      <c r="B577" s="32">
        <f>8.1965 * CHOOSE(CONTROL!$C$32, $C$9, 100%, $E$9)</f>
        <v>8.1965000000000003</v>
      </c>
      <c r="C577" s="32">
        <f>8.1965 * CHOOSE(CONTROL!$C$32, $C$9, 100%, $E$9)</f>
        <v>8.1965000000000003</v>
      </c>
      <c r="D577" s="32">
        <f>8.1976 * CHOOSE(CONTROL!$C$32, $C$9, 100%, $E$9)</f>
        <v>8.1975999999999996</v>
      </c>
      <c r="E577" s="33">
        <f>9.0857 * CHOOSE(CONTROL!$C$32, $C$9, 100%, $E$9)</f>
        <v>9.0856999999999992</v>
      </c>
      <c r="F577" s="33">
        <f>9.0857 * CHOOSE(CONTROL!$C$32, $C$9, 100%, $E$9)</f>
        <v>9.0856999999999992</v>
      </c>
      <c r="G577" s="33">
        <f>9.0893 * CHOOSE(CONTROL!$C$32, $C$9, 100%, $E$9)</f>
        <v>9.0892999999999997</v>
      </c>
      <c r="H577" s="33">
        <f>18.3114 * CHOOSE(CONTROL!$C$32, $C$9, 100%, $E$9)</f>
        <v>18.311399999999999</v>
      </c>
      <c r="I577" s="33">
        <f>18.315 * CHOOSE(CONTROL!$C$32, $C$9, 100%, $E$9)</f>
        <v>18.315000000000001</v>
      </c>
      <c r="J577" s="33">
        <f>18.3114 * CHOOSE(CONTROL!$C$32, $C$9, 100%, $E$9)</f>
        <v>18.311399999999999</v>
      </c>
      <c r="K577" s="33">
        <f>18.315 * CHOOSE(CONTROL!$C$32, $C$9, 100%, $E$9)</f>
        <v>18.315000000000001</v>
      </c>
      <c r="L577" s="33">
        <f>9.0857 * CHOOSE(CONTROL!$C$32, $C$9, 100%, $E$9)</f>
        <v>9.0856999999999992</v>
      </c>
      <c r="M577" s="33">
        <f>9.0893 * CHOOSE(CONTROL!$C$32, $C$9, 100%, $E$9)</f>
        <v>9.0892999999999997</v>
      </c>
      <c r="N577" s="33">
        <f>9.0857 * CHOOSE(CONTROL!$C$32, $C$9, 100%, $E$9)</f>
        <v>9.0856999999999992</v>
      </c>
      <c r="O577" s="33">
        <f>9.0893 * CHOOSE(CONTROL!$C$32, $C$9, 100%, $E$9)</f>
        <v>9.0892999999999997</v>
      </c>
    </row>
    <row r="578" spans="1:15" ht="15" x14ac:dyDescent="0.2">
      <c r="A578" s="16">
        <v>58441</v>
      </c>
      <c r="B578" s="32">
        <f>8.2575 * CHOOSE(CONTROL!$C$32, $C$9, 100%, $E$9)</f>
        <v>8.2575000000000003</v>
      </c>
      <c r="C578" s="32">
        <f>8.2575 * CHOOSE(CONTROL!$C$32, $C$9, 100%, $E$9)</f>
        <v>8.2575000000000003</v>
      </c>
      <c r="D578" s="32">
        <f>8.2586 * CHOOSE(CONTROL!$C$32, $C$9, 100%, $E$9)</f>
        <v>8.2585999999999995</v>
      </c>
      <c r="E578" s="33">
        <f>9.2455 * CHOOSE(CONTROL!$C$32, $C$9, 100%, $E$9)</f>
        <v>9.2454999999999998</v>
      </c>
      <c r="F578" s="33">
        <f>9.2455 * CHOOSE(CONTROL!$C$32, $C$9, 100%, $E$9)</f>
        <v>9.2454999999999998</v>
      </c>
      <c r="G578" s="33">
        <f>9.2491 * CHOOSE(CONTROL!$C$32, $C$9, 100%, $E$9)</f>
        <v>9.2491000000000003</v>
      </c>
      <c r="H578" s="33">
        <f>18.3495 * CHOOSE(CONTROL!$C$32, $C$9, 100%, $E$9)</f>
        <v>18.349499999999999</v>
      </c>
      <c r="I578" s="33">
        <f>18.3532 * CHOOSE(CONTROL!$C$32, $C$9, 100%, $E$9)</f>
        <v>18.353200000000001</v>
      </c>
      <c r="J578" s="33">
        <f>18.3495 * CHOOSE(CONTROL!$C$32, $C$9, 100%, $E$9)</f>
        <v>18.349499999999999</v>
      </c>
      <c r="K578" s="33">
        <f>18.3532 * CHOOSE(CONTROL!$C$32, $C$9, 100%, $E$9)</f>
        <v>18.353200000000001</v>
      </c>
      <c r="L578" s="33">
        <f>9.2455 * CHOOSE(CONTROL!$C$32, $C$9, 100%, $E$9)</f>
        <v>9.2454999999999998</v>
      </c>
      <c r="M578" s="33">
        <f>9.2491 * CHOOSE(CONTROL!$C$32, $C$9, 100%, $E$9)</f>
        <v>9.2491000000000003</v>
      </c>
      <c r="N578" s="33">
        <f>9.2455 * CHOOSE(CONTROL!$C$32, $C$9, 100%, $E$9)</f>
        <v>9.2454999999999998</v>
      </c>
      <c r="O578" s="33">
        <f>9.2491 * CHOOSE(CONTROL!$C$32, $C$9, 100%, $E$9)</f>
        <v>9.2491000000000003</v>
      </c>
    </row>
    <row r="579" spans="1:15" ht="15" x14ac:dyDescent="0.2">
      <c r="A579" s="16">
        <v>58472</v>
      </c>
      <c r="B579" s="32">
        <f>8.2544 * CHOOSE(CONTROL!$C$32, $C$9, 100%, $E$9)</f>
        <v>8.2544000000000004</v>
      </c>
      <c r="C579" s="32">
        <f>8.2544 * CHOOSE(CONTROL!$C$32, $C$9, 100%, $E$9)</f>
        <v>8.2544000000000004</v>
      </c>
      <c r="D579" s="32">
        <f>8.2555 * CHOOSE(CONTROL!$C$32, $C$9, 100%, $E$9)</f>
        <v>8.2554999999999996</v>
      </c>
      <c r="E579" s="33">
        <f>9.0253 * CHOOSE(CONTROL!$C$32, $C$9, 100%, $E$9)</f>
        <v>9.0252999999999997</v>
      </c>
      <c r="F579" s="33">
        <f>9.0253 * CHOOSE(CONTROL!$C$32, $C$9, 100%, $E$9)</f>
        <v>9.0252999999999997</v>
      </c>
      <c r="G579" s="33">
        <f>9.0289 * CHOOSE(CONTROL!$C$32, $C$9, 100%, $E$9)</f>
        <v>9.0289000000000001</v>
      </c>
      <c r="H579" s="33">
        <f>18.3878 * CHOOSE(CONTROL!$C$32, $C$9, 100%, $E$9)</f>
        <v>18.387799999999999</v>
      </c>
      <c r="I579" s="33">
        <f>18.3914 * CHOOSE(CONTROL!$C$32, $C$9, 100%, $E$9)</f>
        <v>18.391400000000001</v>
      </c>
      <c r="J579" s="33">
        <f>18.3878 * CHOOSE(CONTROL!$C$32, $C$9, 100%, $E$9)</f>
        <v>18.387799999999999</v>
      </c>
      <c r="K579" s="33">
        <f>18.3914 * CHOOSE(CONTROL!$C$32, $C$9, 100%, $E$9)</f>
        <v>18.391400000000001</v>
      </c>
      <c r="L579" s="33">
        <f>9.0253 * CHOOSE(CONTROL!$C$32, $C$9, 100%, $E$9)</f>
        <v>9.0252999999999997</v>
      </c>
      <c r="M579" s="33">
        <f>9.0289 * CHOOSE(CONTROL!$C$32, $C$9, 100%, $E$9)</f>
        <v>9.0289000000000001</v>
      </c>
      <c r="N579" s="33">
        <f>9.0253 * CHOOSE(CONTROL!$C$32, $C$9, 100%, $E$9)</f>
        <v>9.0252999999999997</v>
      </c>
      <c r="O579" s="33">
        <f>9.0289 * CHOOSE(CONTROL!$C$32, $C$9, 100%, $E$9)</f>
        <v>9.0289000000000001</v>
      </c>
    </row>
    <row r="580" spans="1:15" ht="15" x14ac:dyDescent="0.2">
      <c r="A580" s="16">
        <v>58501</v>
      </c>
      <c r="B580" s="32">
        <f>8.2514 * CHOOSE(CONTROL!$C$32, $C$9, 100%, $E$9)</f>
        <v>8.2514000000000003</v>
      </c>
      <c r="C580" s="32">
        <f>8.2514 * CHOOSE(CONTROL!$C$32, $C$9, 100%, $E$9)</f>
        <v>8.2514000000000003</v>
      </c>
      <c r="D580" s="32">
        <f>8.2525 * CHOOSE(CONTROL!$C$32, $C$9, 100%, $E$9)</f>
        <v>8.2524999999999995</v>
      </c>
      <c r="E580" s="33">
        <f>9.1951 * CHOOSE(CONTROL!$C$32, $C$9, 100%, $E$9)</f>
        <v>9.1951000000000001</v>
      </c>
      <c r="F580" s="33">
        <f>9.1951 * CHOOSE(CONTROL!$C$32, $C$9, 100%, $E$9)</f>
        <v>9.1951000000000001</v>
      </c>
      <c r="G580" s="33">
        <f>9.1987 * CHOOSE(CONTROL!$C$32, $C$9, 100%, $E$9)</f>
        <v>9.1987000000000005</v>
      </c>
      <c r="H580" s="33">
        <f>18.4261 * CHOOSE(CONTROL!$C$32, $C$9, 100%, $E$9)</f>
        <v>18.426100000000002</v>
      </c>
      <c r="I580" s="33">
        <f>18.4297 * CHOOSE(CONTROL!$C$32, $C$9, 100%, $E$9)</f>
        <v>18.4297</v>
      </c>
      <c r="J580" s="33">
        <f>18.4261 * CHOOSE(CONTROL!$C$32, $C$9, 100%, $E$9)</f>
        <v>18.426100000000002</v>
      </c>
      <c r="K580" s="33">
        <f>18.4297 * CHOOSE(CONTROL!$C$32, $C$9, 100%, $E$9)</f>
        <v>18.4297</v>
      </c>
      <c r="L580" s="33">
        <f>9.1951 * CHOOSE(CONTROL!$C$32, $C$9, 100%, $E$9)</f>
        <v>9.1951000000000001</v>
      </c>
      <c r="M580" s="33">
        <f>9.1987 * CHOOSE(CONTROL!$C$32, $C$9, 100%, $E$9)</f>
        <v>9.1987000000000005</v>
      </c>
      <c r="N580" s="33">
        <f>9.1951 * CHOOSE(CONTROL!$C$32, $C$9, 100%, $E$9)</f>
        <v>9.1951000000000001</v>
      </c>
      <c r="O580" s="33">
        <f>9.1987 * CHOOSE(CONTROL!$C$32, $C$9, 100%, $E$9)</f>
        <v>9.1987000000000005</v>
      </c>
    </row>
    <row r="581" spans="1:15" ht="15" x14ac:dyDescent="0.2">
      <c r="A581" s="16">
        <v>58532</v>
      </c>
      <c r="B581" s="32">
        <f>8.2532 * CHOOSE(CONTROL!$C$32, $C$9, 100%, $E$9)</f>
        <v>8.2531999999999996</v>
      </c>
      <c r="C581" s="32">
        <f>8.2532 * CHOOSE(CONTROL!$C$32, $C$9, 100%, $E$9)</f>
        <v>8.2531999999999996</v>
      </c>
      <c r="D581" s="32">
        <f>8.2542 * CHOOSE(CONTROL!$C$32, $C$9, 100%, $E$9)</f>
        <v>8.2542000000000009</v>
      </c>
      <c r="E581" s="33">
        <f>9.3755 * CHOOSE(CONTROL!$C$32, $C$9, 100%, $E$9)</f>
        <v>9.3755000000000006</v>
      </c>
      <c r="F581" s="33">
        <f>9.3755 * CHOOSE(CONTROL!$C$32, $C$9, 100%, $E$9)</f>
        <v>9.3755000000000006</v>
      </c>
      <c r="G581" s="33">
        <f>9.3791 * CHOOSE(CONTROL!$C$32, $C$9, 100%, $E$9)</f>
        <v>9.3790999999999993</v>
      </c>
      <c r="H581" s="33">
        <f>18.4645 * CHOOSE(CONTROL!$C$32, $C$9, 100%, $E$9)</f>
        <v>18.464500000000001</v>
      </c>
      <c r="I581" s="33">
        <f>18.4681 * CHOOSE(CONTROL!$C$32, $C$9, 100%, $E$9)</f>
        <v>18.4681</v>
      </c>
      <c r="J581" s="33">
        <f>18.4645 * CHOOSE(CONTROL!$C$32, $C$9, 100%, $E$9)</f>
        <v>18.464500000000001</v>
      </c>
      <c r="K581" s="33">
        <f>18.4681 * CHOOSE(CONTROL!$C$32, $C$9, 100%, $E$9)</f>
        <v>18.4681</v>
      </c>
      <c r="L581" s="33">
        <f>9.3755 * CHOOSE(CONTROL!$C$32, $C$9, 100%, $E$9)</f>
        <v>9.3755000000000006</v>
      </c>
      <c r="M581" s="33">
        <f>9.3791 * CHOOSE(CONTROL!$C$32, $C$9, 100%, $E$9)</f>
        <v>9.3790999999999993</v>
      </c>
      <c r="N581" s="33">
        <f>9.3755 * CHOOSE(CONTROL!$C$32, $C$9, 100%, $E$9)</f>
        <v>9.3755000000000006</v>
      </c>
      <c r="O581" s="33">
        <f>9.3791 * CHOOSE(CONTROL!$C$32, $C$9, 100%, $E$9)</f>
        <v>9.3790999999999993</v>
      </c>
    </row>
    <row r="582" spans="1:15" ht="15" x14ac:dyDescent="0.2">
      <c r="A582" s="16">
        <v>58562</v>
      </c>
      <c r="B582" s="32">
        <f>8.2532 * CHOOSE(CONTROL!$C$32, $C$9, 100%, $E$9)</f>
        <v>8.2531999999999996</v>
      </c>
      <c r="C582" s="32">
        <f>8.2532 * CHOOSE(CONTROL!$C$32, $C$9, 100%, $E$9)</f>
        <v>8.2531999999999996</v>
      </c>
      <c r="D582" s="32">
        <f>8.2548 * CHOOSE(CONTROL!$C$32, $C$9, 100%, $E$9)</f>
        <v>8.2547999999999995</v>
      </c>
      <c r="E582" s="33">
        <f>9.4447 * CHOOSE(CONTROL!$C$32, $C$9, 100%, $E$9)</f>
        <v>9.4446999999999992</v>
      </c>
      <c r="F582" s="33">
        <f>9.4447 * CHOOSE(CONTROL!$C$32, $C$9, 100%, $E$9)</f>
        <v>9.4446999999999992</v>
      </c>
      <c r="G582" s="33">
        <f>9.45 * CHOOSE(CONTROL!$C$32, $C$9, 100%, $E$9)</f>
        <v>9.4499999999999993</v>
      </c>
      <c r="H582" s="33">
        <f>18.5029 * CHOOSE(CONTROL!$C$32, $C$9, 100%, $E$9)</f>
        <v>18.5029</v>
      </c>
      <c r="I582" s="33">
        <f>18.5082 * CHOOSE(CONTROL!$C$32, $C$9, 100%, $E$9)</f>
        <v>18.508199999999999</v>
      </c>
      <c r="J582" s="33">
        <f>18.5029 * CHOOSE(CONTROL!$C$32, $C$9, 100%, $E$9)</f>
        <v>18.5029</v>
      </c>
      <c r="K582" s="33">
        <f>18.5082 * CHOOSE(CONTROL!$C$32, $C$9, 100%, $E$9)</f>
        <v>18.508199999999999</v>
      </c>
      <c r="L582" s="33">
        <f>9.4447 * CHOOSE(CONTROL!$C$32, $C$9, 100%, $E$9)</f>
        <v>9.4446999999999992</v>
      </c>
      <c r="M582" s="33">
        <f>9.45 * CHOOSE(CONTROL!$C$32, $C$9, 100%, $E$9)</f>
        <v>9.4499999999999993</v>
      </c>
      <c r="N582" s="33">
        <f>9.4447 * CHOOSE(CONTROL!$C$32, $C$9, 100%, $E$9)</f>
        <v>9.4446999999999992</v>
      </c>
      <c r="O582" s="33">
        <f>9.45 * CHOOSE(CONTROL!$C$32, $C$9, 100%, $E$9)</f>
        <v>9.4499999999999993</v>
      </c>
    </row>
    <row r="583" spans="1:15" ht="15" x14ac:dyDescent="0.2">
      <c r="A583" s="16">
        <v>58593</v>
      </c>
      <c r="B583" s="32">
        <f>8.2593 * CHOOSE(CONTROL!$C$32, $C$9, 100%, $E$9)</f>
        <v>8.2592999999999996</v>
      </c>
      <c r="C583" s="32">
        <f>8.2593 * CHOOSE(CONTROL!$C$32, $C$9, 100%, $E$9)</f>
        <v>8.2592999999999996</v>
      </c>
      <c r="D583" s="32">
        <f>8.2608 * CHOOSE(CONTROL!$C$32, $C$9, 100%, $E$9)</f>
        <v>8.2607999999999997</v>
      </c>
      <c r="E583" s="33">
        <f>9.3797 * CHOOSE(CONTROL!$C$32, $C$9, 100%, $E$9)</f>
        <v>9.3796999999999997</v>
      </c>
      <c r="F583" s="33">
        <f>9.3797 * CHOOSE(CONTROL!$C$32, $C$9, 100%, $E$9)</f>
        <v>9.3796999999999997</v>
      </c>
      <c r="G583" s="33">
        <f>9.385 * CHOOSE(CONTROL!$C$32, $C$9, 100%, $E$9)</f>
        <v>9.3849999999999998</v>
      </c>
      <c r="H583" s="33">
        <f>18.5415 * CHOOSE(CONTROL!$C$32, $C$9, 100%, $E$9)</f>
        <v>18.541499999999999</v>
      </c>
      <c r="I583" s="33">
        <f>18.5468 * CHOOSE(CONTROL!$C$32, $C$9, 100%, $E$9)</f>
        <v>18.546800000000001</v>
      </c>
      <c r="J583" s="33">
        <f>18.5415 * CHOOSE(CONTROL!$C$32, $C$9, 100%, $E$9)</f>
        <v>18.541499999999999</v>
      </c>
      <c r="K583" s="33">
        <f>18.5468 * CHOOSE(CONTROL!$C$32, $C$9, 100%, $E$9)</f>
        <v>18.546800000000001</v>
      </c>
      <c r="L583" s="33">
        <f>9.3797 * CHOOSE(CONTROL!$C$32, $C$9, 100%, $E$9)</f>
        <v>9.3796999999999997</v>
      </c>
      <c r="M583" s="33">
        <f>9.385 * CHOOSE(CONTROL!$C$32, $C$9, 100%, $E$9)</f>
        <v>9.3849999999999998</v>
      </c>
      <c r="N583" s="33">
        <f>9.3797 * CHOOSE(CONTROL!$C$32, $C$9, 100%, $E$9)</f>
        <v>9.3796999999999997</v>
      </c>
      <c r="O583" s="33">
        <f>9.385 * CHOOSE(CONTROL!$C$32, $C$9, 100%, $E$9)</f>
        <v>9.3849999999999998</v>
      </c>
    </row>
    <row r="584" spans="1:15" ht="15" x14ac:dyDescent="0.2">
      <c r="A584" s="16">
        <v>58623</v>
      </c>
      <c r="B584" s="32">
        <f>8.3645 * CHOOSE(CONTROL!$C$32, $C$9, 100%, $E$9)</f>
        <v>8.3644999999999996</v>
      </c>
      <c r="C584" s="32">
        <f>8.3645 * CHOOSE(CONTROL!$C$32, $C$9, 100%, $E$9)</f>
        <v>8.3644999999999996</v>
      </c>
      <c r="D584" s="32">
        <f>8.3661 * CHOOSE(CONTROL!$C$32, $C$9, 100%, $E$9)</f>
        <v>8.3660999999999994</v>
      </c>
      <c r="E584" s="33">
        <f>9.5099 * CHOOSE(CONTROL!$C$32, $C$9, 100%, $E$9)</f>
        <v>9.5099</v>
      </c>
      <c r="F584" s="33">
        <f>9.5099 * CHOOSE(CONTROL!$C$32, $C$9, 100%, $E$9)</f>
        <v>9.5099</v>
      </c>
      <c r="G584" s="33">
        <f>9.5151 * CHOOSE(CONTROL!$C$32, $C$9, 100%, $E$9)</f>
        <v>9.5151000000000003</v>
      </c>
      <c r="H584" s="33">
        <f>18.5801 * CHOOSE(CONTROL!$C$32, $C$9, 100%, $E$9)</f>
        <v>18.580100000000002</v>
      </c>
      <c r="I584" s="33">
        <f>18.5854 * CHOOSE(CONTROL!$C$32, $C$9, 100%, $E$9)</f>
        <v>18.5854</v>
      </c>
      <c r="J584" s="33">
        <f>18.5801 * CHOOSE(CONTROL!$C$32, $C$9, 100%, $E$9)</f>
        <v>18.580100000000002</v>
      </c>
      <c r="K584" s="33">
        <f>18.5854 * CHOOSE(CONTROL!$C$32, $C$9, 100%, $E$9)</f>
        <v>18.5854</v>
      </c>
      <c r="L584" s="33">
        <f>9.5099 * CHOOSE(CONTROL!$C$32, $C$9, 100%, $E$9)</f>
        <v>9.5099</v>
      </c>
      <c r="M584" s="33">
        <f>9.5151 * CHOOSE(CONTROL!$C$32, $C$9, 100%, $E$9)</f>
        <v>9.5151000000000003</v>
      </c>
      <c r="N584" s="33">
        <f>9.5099 * CHOOSE(CONTROL!$C$32, $C$9, 100%, $E$9)</f>
        <v>9.5099</v>
      </c>
      <c r="O584" s="33">
        <f>9.5151 * CHOOSE(CONTROL!$C$32, $C$9, 100%, $E$9)</f>
        <v>9.5151000000000003</v>
      </c>
    </row>
    <row r="585" spans="1:15" ht="15" x14ac:dyDescent="0.2">
      <c r="A585" s="16">
        <v>58654</v>
      </c>
      <c r="B585" s="32">
        <f>8.3712 * CHOOSE(CONTROL!$C$32, $C$9, 100%, $E$9)</f>
        <v>8.3712</v>
      </c>
      <c r="C585" s="32">
        <f>8.3712 * CHOOSE(CONTROL!$C$32, $C$9, 100%, $E$9)</f>
        <v>8.3712</v>
      </c>
      <c r="D585" s="32">
        <f>8.3728 * CHOOSE(CONTROL!$C$32, $C$9, 100%, $E$9)</f>
        <v>8.3727999999999998</v>
      </c>
      <c r="E585" s="33">
        <f>9.3068 * CHOOSE(CONTROL!$C$32, $C$9, 100%, $E$9)</f>
        <v>9.3068000000000008</v>
      </c>
      <c r="F585" s="33">
        <f>9.3068 * CHOOSE(CONTROL!$C$32, $C$9, 100%, $E$9)</f>
        <v>9.3068000000000008</v>
      </c>
      <c r="G585" s="33">
        <f>9.3121 * CHOOSE(CONTROL!$C$32, $C$9, 100%, $E$9)</f>
        <v>9.3120999999999992</v>
      </c>
      <c r="H585" s="33">
        <f>18.6188 * CHOOSE(CONTROL!$C$32, $C$9, 100%, $E$9)</f>
        <v>18.6188</v>
      </c>
      <c r="I585" s="33">
        <f>18.6241 * CHOOSE(CONTROL!$C$32, $C$9, 100%, $E$9)</f>
        <v>18.624099999999999</v>
      </c>
      <c r="J585" s="33">
        <f>18.6188 * CHOOSE(CONTROL!$C$32, $C$9, 100%, $E$9)</f>
        <v>18.6188</v>
      </c>
      <c r="K585" s="33">
        <f>18.6241 * CHOOSE(CONTROL!$C$32, $C$9, 100%, $E$9)</f>
        <v>18.624099999999999</v>
      </c>
      <c r="L585" s="33">
        <f>9.3068 * CHOOSE(CONTROL!$C$32, $C$9, 100%, $E$9)</f>
        <v>9.3068000000000008</v>
      </c>
      <c r="M585" s="33">
        <f>9.3121 * CHOOSE(CONTROL!$C$32, $C$9, 100%, $E$9)</f>
        <v>9.3120999999999992</v>
      </c>
      <c r="N585" s="33">
        <f>9.3068 * CHOOSE(CONTROL!$C$32, $C$9, 100%, $E$9)</f>
        <v>9.3068000000000008</v>
      </c>
      <c r="O585" s="33">
        <f>9.3121 * CHOOSE(CONTROL!$C$32, $C$9, 100%, $E$9)</f>
        <v>9.3120999999999992</v>
      </c>
    </row>
    <row r="586" spans="1:15" ht="15" x14ac:dyDescent="0.2">
      <c r="A586" s="16">
        <v>58685</v>
      </c>
      <c r="B586" s="32">
        <f>8.3682 * CHOOSE(CONTROL!$C$32, $C$9, 100%, $E$9)</f>
        <v>8.3681999999999999</v>
      </c>
      <c r="C586" s="32">
        <f>8.3682 * CHOOSE(CONTROL!$C$32, $C$9, 100%, $E$9)</f>
        <v>8.3681999999999999</v>
      </c>
      <c r="D586" s="32">
        <f>8.3698 * CHOOSE(CONTROL!$C$32, $C$9, 100%, $E$9)</f>
        <v>8.3697999999999997</v>
      </c>
      <c r="E586" s="33">
        <f>9.2816 * CHOOSE(CONTROL!$C$32, $C$9, 100%, $E$9)</f>
        <v>9.2815999999999992</v>
      </c>
      <c r="F586" s="33">
        <f>9.2816 * CHOOSE(CONTROL!$C$32, $C$9, 100%, $E$9)</f>
        <v>9.2815999999999992</v>
      </c>
      <c r="G586" s="33">
        <f>9.2869 * CHOOSE(CONTROL!$C$32, $C$9, 100%, $E$9)</f>
        <v>9.2868999999999993</v>
      </c>
      <c r="H586" s="33">
        <f>18.6576 * CHOOSE(CONTROL!$C$32, $C$9, 100%, $E$9)</f>
        <v>18.657599999999999</v>
      </c>
      <c r="I586" s="33">
        <f>18.6629 * CHOOSE(CONTROL!$C$32, $C$9, 100%, $E$9)</f>
        <v>18.6629</v>
      </c>
      <c r="J586" s="33">
        <f>18.6576 * CHOOSE(CONTROL!$C$32, $C$9, 100%, $E$9)</f>
        <v>18.657599999999999</v>
      </c>
      <c r="K586" s="33">
        <f>18.6629 * CHOOSE(CONTROL!$C$32, $C$9, 100%, $E$9)</f>
        <v>18.6629</v>
      </c>
      <c r="L586" s="33">
        <f>9.2816 * CHOOSE(CONTROL!$C$32, $C$9, 100%, $E$9)</f>
        <v>9.2815999999999992</v>
      </c>
      <c r="M586" s="33">
        <f>9.2869 * CHOOSE(CONTROL!$C$32, $C$9, 100%, $E$9)</f>
        <v>9.2868999999999993</v>
      </c>
      <c r="N586" s="33">
        <f>9.2816 * CHOOSE(CONTROL!$C$32, $C$9, 100%, $E$9)</f>
        <v>9.2815999999999992</v>
      </c>
      <c r="O586" s="33">
        <f>9.2869 * CHOOSE(CONTROL!$C$32, $C$9, 100%, $E$9)</f>
        <v>9.2868999999999993</v>
      </c>
    </row>
    <row r="587" spans="1:15" ht="15" x14ac:dyDescent="0.2">
      <c r="A587" s="16">
        <v>58715</v>
      </c>
      <c r="B587" s="32">
        <f>8.3795 * CHOOSE(CONTROL!$C$32, $C$9, 100%, $E$9)</f>
        <v>8.3795000000000002</v>
      </c>
      <c r="C587" s="32">
        <f>8.3795 * CHOOSE(CONTROL!$C$32, $C$9, 100%, $E$9)</f>
        <v>8.3795000000000002</v>
      </c>
      <c r="D587" s="32">
        <f>8.3806 * CHOOSE(CONTROL!$C$32, $C$9, 100%, $E$9)</f>
        <v>8.3805999999999994</v>
      </c>
      <c r="E587" s="33">
        <f>9.3605 * CHOOSE(CONTROL!$C$32, $C$9, 100%, $E$9)</f>
        <v>9.3605</v>
      </c>
      <c r="F587" s="33">
        <f>9.3605 * CHOOSE(CONTROL!$C$32, $C$9, 100%, $E$9)</f>
        <v>9.3605</v>
      </c>
      <c r="G587" s="33">
        <f>9.3641 * CHOOSE(CONTROL!$C$32, $C$9, 100%, $E$9)</f>
        <v>9.3641000000000005</v>
      </c>
      <c r="H587" s="33">
        <f>18.6965 * CHOOSE(CONTROL!$C$32, $C$9, 100%, $E$9)</f>
        <v>18.6965</v>
      </c>
      <c r="I587" s="33">
        <f>18.7001 * CHOOSE(CONTROL!$C$32, $C$9, 100%, $E$9)</f>
        <v>18.700099999999999</v>
      </c>
      <c r="J587" s="33">
        <f>18.6965 * CHOOSE(CONTROL!$C$32, $C$9, 100%, $E$9)</f>
        <v>18.6965</v>
      </c>
      <c r="K587" s="33">
        <f>18.7001 * CHOOSE(CONTROL!$C$32, $C$9, 100%, $E$9)</f>
        <v>18.700099999999999</v>
      </c>
      <c r="L587" s="33">
        <f>9.3605 * CHOOSE(CONTROL!$C$32, $C$9, 100%, $E$9)</f>
        <v>9.3605</v>
      </c>
      <c r="M587" s="33">
        <f>9.3641 * CHOOSE(CONTROL!$C$32, $C$9, 100%, $E$9)</f>
        <v>9.3641000000000005</v>
      </c>
      <c r="N587" s="33">
        <f>9.3605 * CHOOSE(CONTROL!$C$32, $C$9, 100%, $E$9)</f>
        <v>9.3605</v>
      </c>
      <c r="O587" s="33">
        <f>9.3641 * CHOOSE(CONTROL!$C$32, $C$9, 100%, $E$9)</f>
        <v>9.3641000000000005</v>
      </c>
    </row>
    <row r="588" spans="1:15" ht="15" x14ac:dyDescent="0.2">
      <c r="A588" s="16">
        <v>58746</v>
      </c>
      <c r="B588" s="32">
        <f>8.3826 * CHOOSE(CONTROL!$C$32, $C$9, 100%, $E$9)</f>
        <v>8.3826000000000001</v>
      </c>
      <c r="C588" s="32">
        <f>8.3826 * CHOOSE(CONTROL!$C$32, $C$9, 100%, $E$9)</f>
        <v>8.3826000000000001</v>
      </c>
      <c r="D588" s="32">
        <f>8.3836 * CHOOSE(CONTROL!$C$32, $C$9, 100%, $E$9)</f>
        <v>8.3835999999999995</v>
      </c>
      <c r="E588" s="33">
        <f>9.4088 * CHOOSE(CONTROL!$C$32, $C$9, 100%, $E$9)</f>
        <v>9.4087999999999994</v>
      </c>
      <c r="F588" s="33">
        <f>9.4088 * CHOOSE(CONTROL!$C$32, $C$9, 100%, $E$9)</f>
        <v>9.4087999999999994</v>
      </c>
      <c r="G588" s="33">
        <f>9.4124 * CHOOSE(CONTROL!$C$32, $C$9, 100%, $E$9)</f>
        <v>9.4123999999999999</v>
      </c>
      <c r="H588" s="33">
        <f>18.7354 * CHOOSE(CONTROL!$C$32, $C$9, 100%, $E$9)</f>
        <v>18.735399999999998</v>
      </c>
      <c r="I588" s="33">
        <f>18.739 * CHOOSE(CONTROL!$C$32, $C$9, 100%, $E$9)</f>
        <v>18.739000000000001</v>
      </c>
      <c r="J588" s="33">
        <f>18.7354 * CHOOSE(CONTROL!$C$32, $C$9, 100%, $E$9)</f>
        <v>18.735399999999998</v>
      </c>
      <c r="K588" s="33">
        <f>18.739 * CHOOSE(CONTROL!$C$32, $C$9, 100%, $E$9)</f>
        <v>18.739000000000001</v>
      </c>
      <c r="L588" s="33">
        <f>9.4088 * CHOOSE(CONTROL!$C$32, $C$9, 100%, $E$9)</f>
        <v>9.4087999999999994</v>
      </c>
      <c r="M588" s="33">
        <f>9.4124 * CHOOSE(CONTROL!$C$32, $C$9, 100%, $E$9)</f>
        <v>9.4123999999999999</v>
      </c>
      <c r="N588" s="33">
        <f>9.4088 * CHOOSE(CONTROL!$C$32, $C$9, 100%, $E$9)</f>
        <v>9.4087999999999994</v>
      </c>
      <c r="O588" s="33">
        <f>9.4124 * CHOOSE(CONTROL!$C$32, $C$9, 100%, $E$9)</f>
        <v>9.4123999999999999</v>
      </c>
    </row>
    <row r="589" spans="1:15" ht="15" x14ac:dyDescent="0.2">
      <c r="A589" s="16">
        <v>58776</v>
      </c>
      <c r="B589" s="32">
        <f>8.3826 * CHOOSE(CONTROL!$C$32, $C$9, 100%, $E$9)</f>
        <v>8.3826000000000001</v>
      </c>
      <c r="C589" s="32">
        <f>8.3826 * CHOOSE(CONTROL!$C$32, $C$9, 100%, $E$9)</f>
        <v>8.3826000000000001</v>
      </c>
      <c r="D589" s="32">
        <f>8.3836 * CHOOSE(CONTROL!$C$32, $C$9, 100%, $E$9)</f>
        <v>8.3835999999999995</v>
      </c>
      <c r="E589" s="33">
        <f>9.2934 * CHOOSE(CONTROL!$C$32, $C$9, 100%, $E$9)</f>
        <v>9.2934000000000001</v>
      </c>
      <c r="F589" s="33">
        <f>9.2934 * CHOOSE(CONTROL!$C$32, $C$9, 100%, $E$9)</f>
        <v>9.2934000000000001</v>
      </c>
      <c r="G589" s="33">
        <f>9.297 * CHOOSE(CONTROL!$C$32, $C$9, 100%, $E$9)</f>
        <v>9.2970000000000006</v>
      </c>
      <c r="H589" s="33">
        <f>18.7745 * CHOOSE(CONTROL!$C$32, $C$9, 100%, $E$9)</f>
        <v>18.7745</v>
      </c>
      <c r="I589" s="33">
        <f>18.7781 * CHOOSE(CONTROL!$C$32, $C$9, 100%, $E$9)</f>
        <v>18.778099999999998</v>
      </c>
      <c r="J589" s="33">
        <f>18.7745 * CHOOSE(CONTROL!$C$32, $C$9, 100%, $E$9)</f>
        <v>18.7745</v>
      </c>
      <c r="K589" s="33">
        <f>18.7781 * CHOOSE(CONTROL!$C$32, $C$9, 100%, $E$9)</f>
        <v>18.778099999999998</v>
      </c>
      <c r="L589" s="33">
        <f>9.2934 * CHOOSE(CONTROL!$C$32, $C$9, 100%, $E$9)</f>
        <v>9.2934000000000001</v>
      </c>
      <c r="M589" s="33">
        <f>9.297 * CHOOSE(CONTROL!$C$32, $C$9, 100%, $E$9)</f>
        <v>9.2970000000000006</v>
      </c>
      <c r="N589" s="33">
        <f>9.2934 * CHOOSE(CONTROL!$C$32, $C$9, 100%, $E$9)</f>
        <v>9.2934000000000001</v>
      </c>
      <c r="O589" s="33">
        <f>9.297 * CHOOSE(CONTROL!$C$32, $C$9, 100%, $E$9)</f>
        <v>9.2970000000000006</v>
      </c>
    </row>
    <row r="590" spans="1:15" ht="15" x14ac:dyDescent="0.2">
      <c r="A590" s="16">
        <v>58807</v>
      </c>
      <c r="B590" s="32">
        <f>8.4448 * CHOOSE(CONTROL!$C$32, $C$9, 100%, $E$9)</f>
        <v>8.4448000000000008</v>
      </c>
      <c r="C590" s="32">
        <f>8.4448 * CHOOSE(CONTROL!$C$32, $C$9, 100%, $E$9)</f>
        <v>8.4448000000000008</v>
      </c>
      <c r="D590" s="32">
        <f>8.4459 * CHOOSE(CONTROL!$C$32, $C$9, 100%, $E$9)</f>
        <v>8.4459</v>
      </c>
      <c r="E590" s="33">
        <f>9.458 * CHOOSE(CONTROL!$C$32, $C$9, 100%, $E$9)</f>
        <v>9.4580000000000002</v>
      </c>
      <c r="F590" s="33">
        <f>9.458 * CHOOSE(CONTROL!$C$32, $C$9, 100%, $E$9)</f>
        <v>9.4580000000000002</v>
      </c>
      <c r="G590" s="33">
        <f>9.4616 * CHOOSE(CONTROL!$C$32, $C$9, 100%, $E$9)</f>
        <v>9.4616000000000007</v>
      </c>
      <c r="H590" s="33">
        <f>18.8136 * CHOOSE(CONTROL!$C$32, $C$9, 100%, $E$9)</f>
        <v>18.813600000000001</v>
      </c>
      <c r="I590" s="33">
        <f>18.8172 * CHOOSE(CONTROL!$C$32, $C$9, 100%, $E$9)</f>
        <v>18.8172</v>
      </c>
      <c r="J590" s="33">
        <f>18.8136 * CHOOSE(CONTROL!$C$32, $C$9, 100%, $E$9)</f>
        <v>18.813600000000001</v>
      </c>
      <c r="K590" s="33">
        <f>18.8172 * CHOOSE(CONTROL!$C$32, $C$9, 100%, $E$9)</f>
        <v>18.8172</v>
      </c>
      <c r="L590" s="33">
        <f>9.458 * CHOOSE(CONTROL!$C$32, $C$9, 100%, $E$9)</f>
        <v>9.4580000000000002</v>
      </c>
      <c r="M590" s="33">
        <f>9.4616 * CHOOSE(CONTROL!$C$32, $C$9, 100%, $E$9)</f>
        <v>9.4616000000000007</v>
      </c>
      <c r="N590" s="33">
        <f>9.458 * CHOOSE(CONTROL!$C$32, $C$9, 100%, $E$9)</f>
        <v>9.4580000000000002</v>
      </c>
      <c r="O590" s="33">
        <f>9.4616 * CHOOSE(CONTROL!$C$32, $C$9, 100%, $E$9)</f>
        <v>9.4616000000000007</v>
      </c>
    </row>
    <row r="591" spans="1:15" ht="15" x14ac:dyDescent="0.2">
      <c r="A591" s="16">
        <v>58838</v>
      </c>
      <c r="B591" s="32">
        <f>8.4418 * CHOOSE(CONTROL!$C$32, $C$9, 100%, $E$9)</f>
        <v>8.4418000000000006</v>
      </c>
      <c r="C591" s="32">
        <f>8.4418 * CHOOSE(CONTROL!$C$32, $C$9, 100%, $E$9)</f>
        <v>8.4418000000000006</v>
      </c>
      <c r="D591" s="32">
        <f>8.4429 * CHOOSE(CONTROL!$C$32, $C$9, 100%, $E$9)</f>
        <v>8.4428999999999998</v>
      </c>
      <c r="E591" s="33">
        <f>9.2307 * CHOOSE(CONTROL!$C$32, $C$9, 100%, $E$9)</f>
        <v>9.2307000000000006</v>
      </c>
      <c r="F591" s="33">
        <f>9.2307 * CHOOSE(CONTROL!$C$32, $C$9, 100%, $E$9)</f>
        <v>9.2307000000000006</v>
      </c>
      <c r="G591" s="33">
        <f>9.2343 * CHOOSE(CONTROL!$C$32, $C$9, 100%, $E$9)</f>
        <v>9.2342999999999993</v>
      </c>
      <c r="H591" s="33">
        <f>18.8528 * CHOOSE(CONTROL!$C$32, $C$9, 100%, $E$9)</f>
        <v>18.852799999999998</v>
      </c>
      <c r="I591" s="33">
        <f>18.8564 * CHOOSE(CONTROL!$C$32, $C$9, 100%, $E$9)</f>
        <v>18.856400000000001</v>
      </c>
      <c r="J591" s="33">
        <f>18.8528 * CHOOSE(CONTROL!$C$32, $C$9, 100%, $E$9)</f>
        <v>18.852799999999998</v>
      </c>
      <c r="K591" s="33">
        <f>18.8564 * CHOOSE(CONTROL!$C$32, $C$9, 100%, $E$9)</f>
        <v>18.856400000000001</v>
      </c>
      <c r="L591" s="33">
        <f>9.2307 * CHOOSE(CONTROL!$C$32, $C$9, 100%, $E$9)</f>
        <v>9.2307000000000006</v>
      </c>
      <c r="M591" s="33">
        <f>9.2343 * CHOOSE(CONTROL!$C$32, $C$9, 100%, $E$9)</f>
        <v>9.2342999999999993</v>
      </c>
      <c r="N591" s="33">
        <f>9.2307 * CHOOSE(CONTROL!$C$32, $C$9, 100%, $E$9)</f>
        <v>9.2307000000000006</v>
      </c>
      <c r="O591" s="33">
        <f>9.2343 * CHOOSE(CONTROL!$C$32, $C$9, 100%, $E$9)</f>
        <v>9.2342999999999993</v>
      </c>
    </row>
    <row r="592" spans="1:15" ht="15" x14ac:dyDescent="0.2">
      <c r="A592" s="16">
        <v>58866</v>
      </c>
      <c r="B592" s="32">
        <f>8.4388 * CHOOSE(CONTROL!$C$32, $C$9, 100%, $E$9)</f>
        <v>8.4388000000000005</v>
      </c>
      <c r="C592" s="32">
        <f>8.4388 * CHOOSE(CONTROL!$C$32, $C$9, 100%, $E$9)</f>
        <v>8.4388000000000005</v>
      </c>
      <c r="D592" s="32">
        <f>8.4398 * CHOOSE(CONTROL!$C$32, $C$9, 100%, $E$9)</f>
        <v>8.4398</v>
      </c>
      <c r="E592" s="33">
        <f>9.4061 * CHOOSE(CONTROL!$C$32, $C$9, 100%, $E$9)</f>
        <v>9.4061000000000003</v>
      </c>
      <c r="F592" s="33">
        <f>9.4061 * CHOOSE(CONTROL!$C$32, $C$9, 100%, $E$9)</f>
        <v>9.4061000000000003</v>
      </c>
      <c r="G592" s="33">
        <f>9.4097 * CHOOSE(CONTROL!$C$32, $C$9, 100%, $E$9)</f>
        <v>9.4097000000000008</v>
      </c>
      <c r="H592" s="33">
        <f>18.892 * CHOOSE(CONTROL!$C$32, $C$9, 100%, $E$9)</f>
        <v>18.891999999999999</v>
      </c>
      <c r="I592" s="33">
        <f>18.8957 * CHOOSE(CONTROL!$C$32, $C$9, 100%, $E$9)</f>
        <v>18.895700000000001</v>
      </c>
      <c r="J592" s="33">
        <f>18.892 * CHOOSE(CONTROL!$C$32, $C$9, 100%, $E$9)</f>
        <v>18.891999999999999</v>
      </c>
      <c r="K592" s="33">
        <f>18.8957 * CHOOSE(CONTROL!$C$32, $C$9, 100%, $E$9)</f>
        <v>18.895700000000001</v>
      </c>
      <c r="L592" s="33">
        <f>9.4061 * CHOOSE(CONTROL!$C$32, $C$9, 100%, $E$9)</f>
        <v>9.4061000000000003</v>
      </c>
      <c r="M592" s="33">
        <f>9.4097 * CHOOSE(CONTROL!$C$32, $C$9, 100%, $E$9)</f>
        <v>9.4097000000000008</v>
      </c>
      <c r="N592" s="33">
        <f>9.4061 * CHOOSE(CONTROL!$C$32, $C$9, 100%, $E$9)</f>
        <v>9.4061000000000003</v>
      </c>
      <c r="O592" s="33">
        <f>9.4097 * CHOOSE(CONTROL!$C$32, $C$9, 100%, $E$9)</f>
        <v>9.4097000000000008</v>
      </c>
    </row>
    <row r="593" spans="1:15" ht="15" x14ac:dyDescent="0.2">
      <c r="A593" s="16">
        <v>58897</v>
      </c>
      <c r="B593" s="32">
        <f>8.4407 * CHOOSE(CONTROL!$C$32, $C$9, 100%, $E$9)</f>
        <v>8.4406999999999996</v>
      </c>
      <c r="C593" s="32">
        <f>8.4407 * CHOOSE(CONTROL!$C$32, $C$9, 100%, $E$9)</f>
        <v>8.4406999999999996</v>
      </c>
      <c r="D593" s="32">
        <f>8.4418 * CHOOSE(CONTROL!$C$32, $C$9, 100%, $E$9)</f>
        <v>8.4418000000000006</v>
      </c>
      <c r="E593" s="33">
        <f>9.5925 * CHOOSE(CONTROL!$C$32, $C$9, 100%, $E$9)</f>
        <v>9.5924999999999994</v>
      </c>
      <c r="F593" s="33">
        <f>9.5925 * CHOOSE(CONTROL!$C$32, $C$9, 100%, $E$9)</f>
        <v>9.5924999999999994</v>
      </c>
      <c r="G593" s="33">
        <f>9.5961 * CHOOSE(CONTROL!$C$32, $C$9, 100%, $E$9)</f>
        <v>9.5960999999999999</v>
      </c>
      <c r="H593" s="33">
        <f>18.9314 * CHOOSE(CONTROL!$C$32, $C$9, 100%, $E$9)</f>
        <v>18.9314</v>
      </c>
      <c r="I593" s="33">
        <f>18.935 * CHOOSE(CONTROL!$C$32, $C$9, 100%, $E$9)</f>
        <v>18.934999999999999</v>
      </c>
      <c r="J593" s="33">
        <f>18.9314 * CHOOSE(CONTROL!$C$32, $C$9, 100%, $E$9)</f>
        <v>18.9314</v>
      </c>
      <c r="K593" s="33">
        <f>18.935 * CHOOSE(CONTROL!$C$32, $C$9, 100%, $E$9)</f>
        <v>18.934999999999999</v>
      </c>
      <c r="L593" s="33">
        <f>9.5925 * CHOOSE(CONTROL!$C$32, $C$9, 100%, $E$9)</f>
        <v>9.5924999999999994</v>
      </c>
      <c r="M593" s="33">
        <f>9.5961 * CHOOSE(CONTROL!$C$32, $C$9, 100%, $E$9)</f>
        <v>9.5960999999999999</v>
      </c>
      <c r="N593" s="33">
        <f>9.5925 * CHOOSE(CONTROL!$C$32, $C$9, 100%, $E$9)</f>
        <v>9.5924999999999994</v>
      </c>
      <c r="O593" s="33">
        <f>9.5961 * CHOOSE(CONTROL!$C$32, $C$9, 100%, $E$9)</f>
        <v>9.5960999999999999</v>
      </c>
    </row>
    <row r="594" spans="1:15" ht="15" x14ac:dyDescent="0.2">
      <c r="A594" s="16">
        <v>58927</v>
      </c>
      <c r="B594" s="32">
        <f>8.4407 * CHOOSE(CONTROL!$C$32, $C$9, 100%, $E$9)</f>
        <v>8.4406999999999996</v>
      </c>
      <c r="C594" s="32">
        <f>8.4407 * CHOOSE(CONTROL!$C$32, $C$9, 100%, $E$9)</f>
        <v>8.4406999999999996</v>
      </c>
      <c r="D594" s="32">
        <f>8.4423 * CHOOSE(CONTROL!$C$32, $C$9, 100%, $E$9)</f>
        <v>8.4422999999999995</v>
      </c>
      <c r="E594" s="33">
        <f>9.6639 * CHOOSE(CONTROL!$C$32, $C$9, 100%, $E$9)</f>
        <v>9.6638999999999999</v>
      </c>
      <c r="F594" s="33">
        <f>9.6639 * CHOOSE(CONTROL!$C$32, $C$9, 100%, $E$9)</f>
        <v>9.6638999999999999</v>
      </c>
      <c r="G594" s="33">
        <f>9.6692 * CHOOSE(CONTROL!$C$32, $C$9, 100%, $E$9)</f>
        <v>9.6692</v>
      </c>
      <c r="H594" s="33">
        <f>18.9708 * CHOOSE(CONTROL!$C$32, $C$9, 100%, $E$9)</f>
        <v>18.970800000000001</v>
      </c>
      <c r="I594" s="33">
        <f>18.9761 * CHOOSE(CONTROL!$C$32, $C$9, 100%, $E$9)</f>
        <v>18.976099999999999</v>
      </c>
      <c r="J594" s="33">
        <f>18.9708 * CHOOSE(CONTROL!$C$32, $C$9, 100%, $E$9)</f>
        <v>18.970800000000001</v>
      </c>
      <c r="K594" s="33">
        <f>18.9761 * CHOOSE(CONTROL!$C$32, $C$9, 100%, $E$9)</f>
        <v>18.976099999999999</v>
      </c>
      <c r="L594" s="33">
        <f>9.6639 * CHOOSE(CONTROL!$C$32, $C$9, 100%, $E$9)</f>
        <v>9.6638999999999999</v>
      </c>
      <c r="M594" s="33">
        <f>9.6692 * CHOOSE(CONTROL!$C$32, $C$9, 100%, $E$9)</f>
        <v>9.6692</v>
      </c>
      <c r="N594" s="33">
        <f>9.6639 * CHOOSE(CONTROL!$C$32, $C$9, 100%, $E$9)</f>
        <v>9.6638999999999999</v>
      </c>
      <c r="O594" s="33">
        <f>9.6692 * CHOOSE(CONTROL!$C$32, $C$9, 100%, $E$9)</f>
        <v>9.6692</v>
      </c>
    </row>
    <row r="595" spans="1:15" ht="15" x14ac:dyDescent="0.2">
      <c r="A595" s="16">
        <v>58958</v>
      </c>
      <c r="B595" s="32">
        <f>8.4468 * CHOOSE(CONTROL!$C$32, $C$9, 100%, $E$9)</f>
        <v>8.4467999999999996</v>
      </c>
      <c r="C595" s="32">
        <f>8.4468 * CHOOSE(CONTROL!$C$32, $C$9, 100%, $E$9)</f>
        <v>8.4467999999999996</v>
      </c>
      <c r="D595" s="32">
        <f>8.4484 * CHOOSE(CONTROL!$C$32, $C$9, 100%, $E$9)</f>
        <v>8.4483999999999995</v>
      </c>
      <c r="E595" s="33">
        <f>9.5967 * CHOOSE(CONTROL!$C$32, $C$9, 100%, $E$9)</f>
        <v>9.5967000000000002</v>
      </c>
      <c r="F595" s="33">
        <f>9.5967 * CHOOSE(CONTROL!$C$32, $C$9, 100%, $E$9)</f>
        <v>9.5967000000000002</v>
      </c>
      <c r="G595" s="33">
        <f>9.602 * CHOOSE(CONTROL!$C$32, $C$9, 100%, $E$9)</f>
        <v>9.6020000000000003</v>
      </c>
      <c r="H595" s="33">
        <f>19.0104 * CHOOSE(CONTROL!$C$32, $C$9, 100%, $E$9)</f>
        <v>19.010400000000001</v>
      </c>
      <c r="I595" s="33">
        <f>19.0157 * CHOOSE(CONTROL!$C$32, $C$9, 100%, $E$9)</f>
        <v>19.015699999999999</v>
      </c>
      <c r="J595" s="33">
        <f>19.0104 * CHOOSE(CONTROL!$C$32, $C$9, 100%, $E$9)</f>
        <v>19.010400000000001</v>
      </c>
      <c r="K595" s="33">
        <f>19.0157 * CHOOSE(CONTROL!$C$32, $C$9, 100%, $E$9)</f>
        <v>19.015699999999999</v>
      </c>
      <c r="L595" s="33">
        <f>9.5967 * CHOOSE(CONTROL!$C$32, $C$9, 100%, $E$9)</f>
        <v>9.5967000000000002</v>
      </c>
      <c r="M595" s="33">
        <f>9.602 * CHOOSE(CONTROL!$C$32, $C$9, 100%, $E$9)</f>
        <v>9.6020000000000003</v>
      </c>
      <c r="N595" s="33">
        <f>9.5967 * CHOOSE(CONTROL!$C$32, $C$9, 100%, $E$9)</f>
        <v>9.5967000000000002</v>
      </c>
      <c r="O595" s="33">
        <f>9.602 * CHOOSE(CONTROL!$C$32, $C$9, 100%, $E$9)</f>
        <v>9.6020000000000003</v>
      </c>
    </row>
    <row r="596" spans="1:15" ht="15" x14ac:dyDescent="0.2">
      <c r="A596" s="16">
        <v>58988</v>
      </c>
      <c r="B596" s="32">
        <f>8.5541 * CHOOSE(CONTROL!$C$32, $C$9, 100%, $E$9)</f>
        <v>8.5541</v>
      </c>
      <c r="C596" s="32">
        <f>8.5541 * CHOOSE(CONTROL!$C$32, $C$9, 100%, $E$9)</f>
        <v>8.5541</v>
      </c>
      <c r="D596" s="32">
        <f>8.5557 * CHOOSE(CONTROL!$C$32, $C$9, 100%, $E$9)</f>
        <v>8.5556999999999999</v>
      </c>
      <c r="E596" s="33">
        <f>9.73 * CHOOSE(CONTROL!$C$32, $C$9, 100%, $E$9)</f>
        <v>9.73</v>
      </c>
      <c r="F596" s="33">
        <f>9.73 * CHOOSE(CONTROL!$C$32, $C$9, 100%, $E$9)</f>
        <v>9.73</v>
      </c>
      <c r="G596" s="33">
        <f>9.7353 * CHOOSE(CONTROL!$C$32, $C$9, 100%, $E$9)</f>
        <v>9.7353000000000005</v>
      </c>
      <c r="H596" s="33">
        <f>19.05 * CHOOSE(CONTROL!$C$32, $C$9, 100%, $E$9)</f>
        <v>19.05</v>
      </c>
      <c r="I596" s="33">
        <f>19.0553 * CHOOSE(CONTROL!$C$32, $C$9, 100%, $E$9)</f>
        <v>19.055299999999999</v>
      </c>
      <c r="J596" s="33">
        <f>19.05 * CHOOSE(CONTROL!$C$32, $C$9, 100%, $E$9)</f>
        <v>19.05</v>
      </c>
      <c r="K596" s="33">
        <f>19.0553 * CHOOSE(CONTROL!$C$32, $C$9, 100%, $E$9)</f>
        <v>19.055299999999999</v>
      </c>
      <c r="L596" s="33">
        <f>9.73 * CHOOSE(CONTROL!$C$32, $C$9, 100%, $E$9)</f>
        <v>9.73</v>
      </c>
      <c r="M596" s="33">
        <f>9.7353 * CHOOSE(CONTROL!$C$32, $C$9, 100%, $E$9)</f>
        <v>9.7353000000000005</v>
      </c>
      <c r="N596" s="33">
        <f>9.73 * CHOOSE(CONTROL!$C$32, $C$9, 100%, $E$9)</f>
        <v>9.73</v>
      </c>
      <c r="O596" s="33">
        <f>9.7353 * CHOOSE(CONTROL!$C$32, $C$9, 100%, $E$9)</f>
        <v>9.7353000000000005</v>
      </c>
    </row>
    <row r="597" spans="1:15" ht="15" x14ac:dyDescent="0.2">
      <c r="A597" s="16">
        <v>59019</v>
      </c>
      <c r="B597" s="32">
        <f>8.5608 * CHOOSE(CONTROL!$C$32, $C$9, 100%, $E$9)</f>
        <v>8.5608000000000004</v>
      </c>
      <c r="C597" s="32">
        <f>8.5608 * CHOOSE(CONTROL!$C$32, $C$9, 100%, $E$9)</f>
        <v>8.5608000000000004</v>
      </c>
      <c r="D597" s="32">
        <f>8.5624 * CHOOSE(CONTROL!$C$32, $C$9, 100%, $E$9)</f>
        <v>8.5624000000000002</v>
      </c>
      <c r="E597" s="33">
        <f>9.5203 * CHOOSE(CONTROL!$C$32, $C$9, 100%, $E$9)</f>
        <v>9.5203000000000007</v>
      </c>
      <c r="F597" s="33">
        <f>9.5203 * CHOOSE(CONTROL!$C$32, $C$9, 100%, $E$9)</f>
        <v>9.5203000000000007</v>
      </c>
      <c r="G597" s="33">
        <f>9.5256 * CHOOSE(CONTROL!$C$32, $C$9, 100%, $E$9)</f>
        <v>9.5256000000000007</v>
      </c>
      <c r="H597" s="33">
        <f>19.0897 * CHOOSE(CONTROL!$C$32, $C$9, 100%, $E$9)</f>
        <v>19.089700000000001</v>
      </c>
      <c r="I597" s="33">
        <f>19.095 * CHOOSE(CONTROL!$C$32, $C$9, 100%, $E$9)</f>
        <v>19.094999999999999</v>
      </c>
      <c r="J597" s="33">
        <f>19.0897 * CHOOSE(CONTROL!$C$32, $C$9, 100%, $E$9)</f>
        <v>19.089700000000001</v>
      </c>
      <c r="K597" s="33">
        <f>19.095 * CHOOSE(CONTROL!$C$32, $C$9, 100%, $E$9)</f>
        <v>19.094999999999999</v>
      </c>
      <c r="L597" s="33">
        <f>9.5203 * CHOOSE(CONTROL!$C$32, $C$9, 100%, $E$9)</f>
        <v>9.5203000000000007</v>
      </c>
      <c r="M597" s="33">
        <f>9.5256 * CHOOSE(CONTROL!$C$32, $C$9, 100%, $E$9)</f>
        <v>9.5256000000000007</v>
      </c>
      <c r="N597" s="33">
        <f>9.5203 * CHOOSE(CONTROL!$C$32, $C$9, 100%, $E$9)</f>
        <v>9.5203000000000007</v>
      </c>
      <c r="O597" s="33">
        <f>9.5256 * CHOOSE(CONTROL!$C$32, $C$9, 100%, $E$9)</f>
        <v>9.5256000000000007</v>
      </c>
    </row>
    <row r="598" spans="1:15" ht="15" x14ac:dyDescent="0.2">
      <c r="A598" s="16">
        <v>59050</v>
      </c>
      <c r="B598" s="32">
        <f>8.5578 * CHOOSE(CONTROL!$C$32, $C$9, 100%, $E$9)</f>
        <v>8.5578000000000003</v>
      </c>
      <c r="C598" s="32">
        <f>8.5578 * CHOOSE(CONTROL!$C$32, $C$9, 100%, $E$9)</f>
        <v>8.5578000000000003</v>
      </c>
      <c r="D598" s="32">
        <f>8.5594 * CHOOSE(CONTROL!$C$32, $C$9, 100%, $E$9)</f>
        <v>8.5594000000000001</v>
      </c>
      <c r="E598" s="33">
        <f>9.4943 * CHOOSE(CONTROL!$C$32, $C$9, 100%, $E$9)</f>
        <v>9.4943000000000008</v>
      </c>
      <c r="F598" s="33">
        <f>9.4943 * CHOOSE(CONTROL!$C$32, $C$9, 100%, $E$9)</f>
        <v>9.4943000000000008</v>
      </c>
      <c r="G598" s="33">
        <f>9.4996 * CHOOSE(CONTROL!$C$32, $C$9, 100%, $E$9)</f>
        <v>9.4995999999999992</v>
      </c>
      <c r="H598" s="33">
        <f>19.1294 * CHOOSE(CONTROL!$C$32, $C$9, 100%, $E$9)</f>
        <v>19.1294</v>
      </c>
      <c r="I598" s="33">
        <f>19.1347 * CHOOSE(CONTROL!$C$32, $C$9, 100%, $E$9)</f>
        <v>19.134699999999999</v>
      </c>
      <c r="J598" s="33">
        <f>19.1294 * CHOOSE(CONTROL!$C$32, $C$9, 100%, $E$9)</f>
        <v>19.1294</v>
      </c>
      <c r="K598" s="33">
        <f>19.1347 * CHOOSE(CONTROL!$C$32, $C$9, 100%, $E$9)</f>
        <v>19.134699999999999</v>
      </c>
      <c r="L598" s="33">
        <f>9.4943 * CHOOSE(CONTROL!$C$32, $C$9, 100%, $E$9)</f>
        <v>9.4943000000000008</v>
      </c>
      <c r="M598" s="33">
        <f>9.4996 * CHOOSE(CONTROL!$C$32, $C$9, 100%, $E$9)</f>
        <v>9.4995999999999992</v>
      </c>
      <c r="N598" s="33">
        <f>9.4943 * CHOOSE(CONTROL!$C$32, $C$9, 100%, $E$9)</f>
        <v>9.4943000000000008</v>
      </c>
      <c r="O598" s="33">
        <f>9.4996 * CHOOSE(CONTROL!$C$32, $C$9, 100%, $E$9)</f>
        <v>9.4995999999999992</v>
      </c>
    </row>
    <row r="599" spans="1:15" ht="15" x14ac:dyDescent="0.2">
      <c r="A599" s="16">
        <v>59080</v>
      </c>
      <c r="B599" s="32">
        <f>8.5698 * CHOOSE(CONTROL!$C$32, $C$9, 100%, $E$9)</f>
        <v>8.5698000000000008</v>
      </c>
      <c r="C599" s="32">
        <f>8.5698 * CHOOSE(CONTROL!$C$32, $C$9, 100%, $E$9)</f>
        <v>8.5698000000000008</v>
      </c>
      <c r="D599" s="32">
        <f>8.5709 * CHOOSE(CONTROL!$C$32, $C$9, 100%, $E$9)</f>
        <v>8.5709</v>
      </c>
      <c r="E599" s="33">
        <f>9.5762 * CHOOSE(CONTROL!$C$32, $C$9, 100%, $E$9)</f>
        <v>9.5762</v>
      </c>
      <c r="F599" s="33">
        <f>9.5762 * CHOOSE(CONTROL!$C$32, $C$9, 100%, $E$9)</f>
        <v>9.5762</v>
      </c>
      <c r="G599" s="33">
        <f>9.5798 * CHOOSE(CONTROL!$C$32, $C$9, 100%, $E$9)</f>
        <v>9.5798000000000005</v>
      </c>
      <c r="H599" s="33">
        <f>19.1693 * CHOOSE(CONTROL!$C$32, $C$9, 100%, $E$9)</f>
        <v>19.1693</v>
      </c>
      <c r="I599" s="33">
        <f>19.1729 * CHOOSE(CONTROL!$C$32, $C$9, 100%, $E$9)</f>
        <v>19.172899999999998</v>
      </c>
      <c r="J599" s="33">
        <f>19.1693 * CHOOSE(CONTROL!$C$32, $C$9, 100%, $E$9)</f>
        <v>19.1693</v>
      </c>
      <c r="K599" s="33">
        <f>19.1729 * CHOOSE(CONTROL!$C$32, $C$9, 100%, $E$9)</f>
        <v>19.172899999999998</v>
      </c>
      <c r="L599" s="33">
        <f>9.5762 * CHOOSE(CONTROL!$C$32, $C$9, 100%, $E$9)</f>
        <v>9.5762</v>
      </c>
      <c r="M599" s="33">
        <f>9.5798 * CHOOSE(CONTROL!$C$32, $C$9, 100%, $E$9)</f>
        <v>9.5798000000000005</v>
      </c>
      <c r="N599" s="33">
        <f>9.5762 * CHOOSE(CONTROL!$C$32, $C$9, 100%, $E$9)</f>
        <v>9.5762</v>
      </c>
      <c r="O599" s="33">
        <f>9.5798 * CHOOSE(CONTROL!$C$32, $C$9, 100%, $E$9)</f>
        <v>9.5798000000000005</v>
      </c>
    </row>
    <row r="600" spans="1:15" ht="15" x14ac:dyDescent="0.2">
      <c r="A600" s="16">
        <v>59111</v>
      </c>
      <c r="B600" s="32">
        <f>8.5729 * CHOOSE(CONTROL!$C$32, $C$9, 100%, $E$9)</f>
        <v>8.5729000000000006</v>
      </c>
      <c r="C600" s="32">
        <f>8.5729 * CHOOSE(CONTROL!$C$32, $C$9, 100%, $E$9)</f>
        <v>8.5729000000000006</v>
      </c>
      <c r="D600" s="32">
        <f>8.5739 * CHOOSE(CONTROL!$C$32, $C$9, 100%, $E$9)</f>
        <v>8.5739000000000001</v>
      </c>
      <c r="E600" s="33">
        <f>9.626 * CHOOSE(CONTROL!$C$32, $C$9, 100%, $E$9)</f>
        <v>9.6259999999999994</v>
      </c>
      <c r="F600" s="33">
        <f>9.626 * CHOOSE(CONTROL!$C$32, $C$9, 100%, $E$9)</f>
        <v>9.6259999999999994</v>
      </c>
      <c r="G600" s="33">
        <f>9.6296 * CHOOSE(CONTROL!$C$32, $C$9, 100%, $E$9)</f>
        <v>9.6295999999999999</v>
      </c>
      <c r="H600" s="33">
        <f>19.2092 * CHOOSE(CONTROL!$C$32, $C$9, 100%, $E$9)</f>
        <v>19.209199999999999</v>
      </c>
      <c r="I600" s="33">
        <f>19.2128 * CHOOSE(CONTROL!$C$32, $C$9, 100%, $E$9)</f>
        <v>19.212800000000001</v>
      </c>
      <c r="J600" s="33">
        <f>19.2092 * CHOOSE(CONTROL!$C$32, $C$9, 100%, $E$9)</f>
        <v>19.209199999999999</v>
      </c>
      <c r="K600" s="33">
        <f>19.2128 * CHOOSE(CONTROL!$C$32, $C$9, 100%, $E$9)</f>
        <v>19.212800000000001</v>
      </c>
      <c r="L600" s="33">
        <f>9.626 * CHOOSE(CONTROL!$C$32, $C$9, 100%, $E$9)</f>
        <v>9.6259999999999994</v>
      </c>
      <c r="M600" s="33">
        <f>9.6296 * CHOOSE(CONTROL!$C$32, $C$9, 100%, $E$9)</f>
        <v>9.6295999999999999</v>
      </c>
      <c r="N600" s="33">
        <f>9.626 * CHOOSE(CONTROL!$C$32, $C$9, 100%, $E$9)</f>
        <v>9.6259999999999994</v>
      </c>
      <c r="O600" s="33">
        <f>9.6296 * CHOOSE(CONTROL!$C$32, $C$9, 100%, $E$9)</f>
        <v>9.6295999999999999</v>
      </c>
    </row>
    <row r="601" spans="1:15" ht="15" x14ac:dyDescent="0.2">
      <c r="A601" s="16">
        <v>59141</v>
      </c>
      <c r="B601" s="32">
        <f>8.5729 * CHOOSE(CONTROL!$C$32, $C$9, 100%, $E$9)</f>
        <v>8.5729000000000006</v>
      </c>
      <c r="C601" s="32">
        <f>8.5729 * CHOOSE(CONTROL!$C$32, $C$9, 100%, $E$9)</f>
        <v>8.5729000000000006</v>
      </c>
      <c r="D601" s="32">
        <f>8.5739 * CHOOSE(CONTROL!$C$32, $C$9, 100%, $E$9)</f>
        <v>8.5739000000000001</v>
      </c>
      <c r="E601" s="33">
        <f>9.5068 * CHOOSE(CONTROL!$C$32, $C$9, 100%, $E$9)</f>
        <v>9.5068000000000001</v>
      </c>
      <c r="F601" s="33">
        <f>9.5068 * CHOOSE(CONTROL!$C$32, $C$9, 100%, $E$9)</f>
        <v>9.5068000000000001</v>
      </c>
      <c r="G601" s="33">
        <f>9.5105 * CHOOSE(CONTROL!$C$32, $C$9, 100%, $E$9)</f>
        <v>9.5105000000000004</v>
      </c>
      <c r="H601" s="33">
        <f>19.2492 * CHOOSE(CONTROL!$C$32, $C$9, 100%, $E$9)</f>
        <v>19.249199999999998</v>
      </c>
      <c r="I601" s="33">
        <f>19.2529 * CHOOSE(CONTROL!$C$32, $C$9, 100%, $E$9)</f>
        <v>19.2529</v>
      </c>
      <c r="J601" s="33">
        <f>19.2492 * CHOOSE(CONTROL!$C$32, $C$9, 100%, $E$9)</f>
        <v>19.249199999999998</v>
      </c>
      <c r="K601" s="33">
        <f>19.2529 * CHOOSE(CONTROL!$C$32, $C$9, 100%, $E$9)</f>
        <v>19.2529</v>
      </c>
      <c r="L601" s="33">
        <f>9.5068 * CHOOSE(CONTROL!$C$32, $C$9, 100%, $E$9)</f>
        <v>9.5068000000000001</v>
      </c>
      <c r="M601" s="33">
        <f>9.5105 * CHOOSE(CONTROL!$C$32, $C$9, 100%, $E$9)</f>
        <v>9.5105000000000004</v>
      </c>
      <c r="N601" s="33">
        <f>9.5068 * CHOOSE(CONTROL!$C$32, $C$9, 100%, $E$9)</f>
        <v>9.5068000000000001</v>
      </c>
      <c r="O601" s="33">
        <f>9.5105 * CHOOSE(CONTROL!$C$32, $C$9, 100%, $E$9)</f>
        <v>9.5105000000000004</v>
      </c>
    </row>
    <row r="602" spans="1:15" ht="15" x14ac:dyDescent="0.2">
      <c r="A602" s="16">
        <v>59172</v>
      </c>
      <c r="B602" s="32">
        <f>8.6322 * CHOOSE(CONTROL!$C$32, $C$9, 100%, $E$9)</f>
        <v>8.6321999999999992</v>
      </c>
      <c r="C602" s="32">
        <f>8.6322 * CHOOSE(CONTROL!$C$32, $C$9, 100%, $E$9)</f>
        <v>8.6321999999999992</v>
      </c>
      <c r="D602" s="32">
        <f>8.6333 * CHOOSE(CONTROL!$C$32, $C$9, 100%, $E$9)</f>
        <v>8.6333000000000002</v>
      </c>
      <c r="E602" s="33">
        <f>9.6705 * CHOOSE(CONTROL!$C$32, $C$9, 100%, $E$9)</f>
        <v>9.6705000000000005</v>
      </c>
      <c r="F602" s="33">
        <f>9.6705 * CHOOSE(CONTROL!$C$32, $C$9, 100%, $E$9)</f>
        <v>9.6705000000000005</v>
      </c>
      <c r="G602" s="33">
        <f>9.6741 * CHOOSE(CONTROL!$C$32, $C$9, 100%, $E$9)</f>
        <v>9.6740999999999993</v>
      </c>
      <c r="H602" s="33">
        <f>19.2776 * CHOOSE(CONTROL!$C$32, $C$9, 100%, $E$9)</f>
        <v>19.2776</v>
      </c>
      <c r="I602" s="33">
        <f>19.2812 * CHOOSE(CONTROL!$C$32, $C$9, 100%, $E$9)</f>
        <v>19.281199999999998</v>
      </c>
      <c r="J602" s="33">
        <f>19.2776 * CHOOSE(CONTROL!$C$32, $C$9, 100%, $E$9)</f>
        <v>19.2776</v>
      </c>
      <c r="K602" s="33">
        <f>19.2812 * CHOOSE(CONTROL!$C$32, $C$9, 100%, $E$9)</f>
        <v>19.281199999999998</v>
      </c>
      <c r="L602" s="33">
        <f>9.6705 * CHOOSE(CONTROL!$C$32, $C$9, 100%, $E$9)</f>
        <v>9.6705000000000005</v>
      </c>
      <c r="M602" s="33">
        <f>9.6741 * CHOOSE(CONTROL!$C$32, $C$9, 100%, $E$9)</f>
        <v>9.6740999999999993</v>
      </c>
      <c r="N602" s="33">
        <f>9.6705 * CHOOSE(CONTROL!$C$32, $C$9, 100%, $E$9)</f>
        <v>9.6705000000000005</v>
      </c>
      <c r="O602" s="33">
        <f>9.6741 * CHOOSE(CONTROL!$C$32, $C$9, 100%, $E$9)</f>
        <v>9.6740999999999993</v>
      </c>
    </row>
    <row r="603" spans="1:15" ht="15" x14ac:dyDescent="0.2">
      <c r="A603" s="16">
        <v>59203</v>
      </c>
      <c r="B603" s="32">
        <f>8.6292 * CHOOSE(CONTROL!$C$32, $C$9, 100%, $E$9)</f>
        <v>8.6292000000000009</v>
      </c>
      <c r="C603" s="32">
        <f>8.6292 * CHOOSE(CONTROL!$C$32, $C$9, 100%, $E$9)</f>
        <v>8.6292000000000009</v>
      </c>
      <c r="D603" s="32">
        <f>8.6302 * CHOOSE(CONTROL!$C$32, $C$9, 100%, $E$9)</f>
        <v>8.6302000000000003</v>
      </c>
      <c r="E603" s="33">
        <f>9.4361 * CHOOSE(CONTROL!$C$32, $C$9, 100%, $E$9)</f>
        <v>9.4360999999999997</v>
      </c>
      <c r="F603" s="33">
        <f>9.4361 * CHOOSE(CONTROL!$C$32, $C$9, 100%, $E$9)</f>
        <v>9.4360999999999997</v>
      </c>
      <c r="G603" s="33">
        <f>9.4398 * CHOOSE(CONTROL!$C$32, $C$9, 100%, $E$9)</f>
        <v>9.4398</v>
      </c>
      <c r="H603" s="33">
        <f>19.3178 * CHOOSE(CONTROL!$C$32, $C$9, 100%, $E$9)</f>
        <v>19.317799999999998</v>
      </c>
      <c r="I603" s="33">
        <f>19.3214 * CHOOSE(CONTROL!$C$32, $C$9, 100%, $E$9)</f>
        <v>19.321400000000001</v>
      </c>
      <c r="J603" s="33">
        <f>19.3178 * CHOOSE(CONTROL!$C$32, $C$9, 100%, $E$9)</f>
        <v>19.317799999999998</v>
      </c>
      <c r="K603" s="33">
        <f>19.3214 * CHOOSE(CONTROL!$C$32, $C$9, 100%, $E$9)</f>
        <v>19.321400000000001</v>
      </c>
      <c r="L603" s="33">
        <f>9.4361 * CHOOSE(CONTROL!$C$32, $C$9, 100%, $E$9)</f>
        <v>9.4360999999999997</v>
      </c>
      <c r="M603" s="33">
        <f>9.4398 * CHOOSE(CONTROL!$C$32, $C$9, 100%, $E$9)</f>
        <v>9.4398</v>
      </c>
      <c r="N603" s="33">
        <f>9.4361 * CHOOSE(CONTROL!$C$32, $C$9, 100%, $E$9)</f>
        <v>9.4360999999999997</v>
      </c>
      <c r="O603" s="33">
        <f>9.4398 * CHOOSE(CONTROL!$C$32, $C$9, 100%, $E$9)</f>
        <v>9.4398</v>
      </c>
    </row>
    <row r="604" spans="1:15" ht="15" x14ac:dyDescent="0.2">
      <c r="A604" s="16">
        <v>59231</v>
      </c>
      <c r="B604" s="32">
        <f>8.6261 * CHOOSE(CONTROL!$C$32, $C$9, 100%, $E$9)</f>
        <v>8.6260999999999992</v>
      </c>
      <c r="C604" s="32">
        <f>8.6261 * CHOOSE(CONTROL!$C$32, $C$9, 100%, $E$9)</f>
        <v>8.6260999999999992</v>
      </c>
      <c r="D604" s="32">
        <f>8.6272 * CHOOSE(CONTROL!$C$32, $C$9, 100%, $E$9)</f>
        <v>8.6272000000000002</v>
      </c>
      <c r="E604" s="33">
        <f>9.6171 * CHOOSE(CONTROL!$C$32, $C$9, 100%, $E$9)</f>
        <v>9.6171000000000006</v>
      </c>
      <c r="F604" s="33">
        <f>9.6171 * CHOOSE(CONTROL!$C$32, $C$9, 100%, $E$9)</f>
        <v>9.6171000000000006</v>
      </c>
      <c r="G604" s="33">
        <f>9.6207 * CHOOSE(CONTROL!$C$32, $C$9, 100%, $E$9)</f>
        <v>9.6206999999999994</v>
      </c>
      <c r="H604" s="33">
        <f>19.358 * CHOOSE(CONTROL!$C$32, $C$9, 100%, $E$9)</f>
        <v>19.358000000000001</v>
      </c>
      <c r="I604" s="33">
        <f>19.3616 * CHOOSE(CONTROL!$C$32, $C$9, 100%, $E$9)</f>
        <v>19.361599999999999</v>
      </c>
      <c r="J604" s="33">
        <f>19.358 * CHOOSE(CONTROL!$C$32, $C$9, 100%, $E$9)</f>
        <v>19.358000000000001</v>
      </c>
      <c r="K604" s="33">
        <f>19.3616 * CHOOSE(CONTROL!$C$32, $C$9, 100%, $E$9)</f>
        <v>19.361599999999999</v>
      </c>
      <c r="L604" s="33">
        <f>9.6171 * CHOOSE(CONTROL!$C$32, $C$9, 100%, $E$9)</f>
        <v>9.6171000000000006</v>
      </c>
      <c r="M604" s="33">
        <f>9.6207 * CHOOSE(CONTROL!$C$32, $C$9, 100%, $E$9)</f>
        <v>9.6206999999999994</v>
      </c>
      <c r="N604" s="33">
        <f>9.6171 * CHOOSE(CONTROL!$C$32, $C$9, 100%, $E$9)</f>
        <v>9.6171000000000006</v>
      </c>
      <c r="O604" s="33">
        <f>9.6207 * CHOOSE(CONTROL!$C$32, $C$9, 100%, $E$9)</f>
        <v>9.6206999999999994</v>
      </c>
    </row>
    <row r="605" spans="1:15" ht="15" x14ac:dyDescent="0.2">
      <c r="A605" s="16">
        <v>59262</v>
      </c>
      <c r="B605" s="32">
        <f>8.6283 * CHOOSE(CONTROL!$C$32, $C$9, 100%, $E$9)</f>
        <v>8.6282999999999994</v>
      </c>
      <c r="C605" s="32">
        <f>8.6283 * CHOOSE(CONTROL!$C$32, $C$9, 100%, $E$9)</f>
        <v>8.6282999999999994</v>
      </c>
      <c r="D605" s="32">
        <f>8.6293 * CHOOSE(CONTROL!$C$32, $C$9, 100%, $E$9)</f>
        <v>8.6293000000000006</v>
      </c>
      <c r="E605" s="33">
        <f>9.8095 * CHOOSE(CONTROL!$C$32, $C$9, 100%, $E$9)</f>
        <v>9.8094999999999999</v>
      </c>
      <c r="F605" s="33">
        <f>9.8095 * CHOOSE(CONTROL!$C$32, $C$9, 100%, $E$9)</f>
        <v>9.8094999999999999</v>
      </c>
      <c r="G605" s="33">
        <f>9.8131 * CHOOSE(CONTROL!$C$32, $C$9, 100%, $E$9)</f>
        <v>9.8131000000000004</v>
      </c>
      <c r="H605" s="33">
        <f>19.3983 * CHOOSE(CONTROL!$C$32, $C$9, 100%, $E$9)</f>
        <v>19.398299999999999</v>
      </c>
      <c r="I605" s="33">
        <f>19.402 * CHOOSE(CONTROL!$C$32, $C$9, 100%, $E$9)</f>
        <v>19.402000000000001</v>
      </c>
      <c r="J605" s="33">
        <f>19.3983 * CHOOSE(CONTROL!$C$32, $C$9, 100%, $E$9)</f>
        <v>19.398299999999999</v>
      </c>
      <c r="K605" s="33">
        <f>19.402 * CHOOSE(CONTROL!$C$32, $C$9, 100%, $E$9)</f>
        <v>19.402000000000001</v>
      </c>
      <c r="L605" s="33">
        <f>9.8095 * CHOOSE(CONTROL!$C$32, $C$9, 100%, $E$9)</f>
        <v>9.8094999999999999</v>
      </c>
      <c r="M605" s="33">
        <f>9.8131 * CHOOSE(CONTROL!$C$32, $C$9, 100%, $E$9)</f>
        <v>9.8131000000000004</v>
      </c>
      <c r="N605" s="33">
        <f>9.8095 * CHOOSE(CONTROL!$C$32, $C$9, 100%, $E$9)</f>
        <v>9.8094999999999999</v>
      </c>
      <c r="O605" s="33">
        <f>9.8131 * CHOOSE(CONTROL!$C$32, $C$9, 100%, $E$9)</f>
        <v>9.8131000000000004</v>
      </c>
    </row>
    <row r="606" spans="1:15" ht="15" x14ac:dyDescent="0.2">
      <c r="A606" s="16">
        <v>59292</v>
      </c>
      <c r="B606" s="32">
        <f>8.6283 * CHOOSE(CONTROL!$C$32, $C$9, 100%, $E$9)</f>
        <v>8.6282999999999994</v>
      </c>
      <c r="C606" s="32">
        <f>8.6283 * CHOOSE(CONTROL!$C$32, $C$9, 100%, $E$9)</f>
        <v>8.6282999999999994</v>
      </c>
      <c r="D606" s="32">
        <f>8.6298 * CHOOSE(CONTROL!$C$32, $C$9, 100%, $E$9)</f>
        <v>8.6297999999999995</v>
      </c>
      <c r="E606" s="33">
        <f>9.8832 * CHOOSE(CONTROL!$C$32, $C$9, 100%, $E$9)</f>
        <v>9.8832000000000004</v>
      </c>
      <c r="F606" s="33">
        <f>9.8832 * CHOOSE(CONTROL!$C$32, $C$9, 100%, $E$9)</f>
        <v>9.8832000000000004</v>
      </c>
      <c r="G606" s="33">
        <f>9.8885 * CHOOSE(CONTROL!$C$32, $C$9, 100%, $E$9)</f>
        <v>9.8885000000000005</v>
      </c>
      <c r="H606" s="33">
        <f>19.4388 * CHOOSE(CONTROL!$C$32, $C$9, 100%, $E$9)</f>
        <v>19.438800000000001</v>
      </c>
      <c r="I606" s="33">
        <f>19.444 * CHOOSE(CONTROL!$C$32, $C$9, 100%, $E$9)</f>
        <v>19.443999999999999</v>
      </c>
      <c r="J606" s="33">
        <f>19.4388 * CHOOSE(CONTROL!$C$32, $C$9, 100%, $E$9)</f>
        <v>19.438800000000001</v>
      </c>
      <c r="K606" s="33">
        <f>19.444 * CHOOSE(CONTROL!$C$32, $C$9, 100%, $E$9)</f>
        <v>19.443999999999999</v>
      </c>
      <c r="L606" s="33">
        <f>9.8832 * CHOOSE(CONTROL!$C$32, $C$9, 100%, $E$9)</f>
        <v>9.8832000000000004</v>
      </c>
      <c r="M606" s="33">
        <f>9.8885 * CHOOSE(CONTROL!$C$32, $C$9, 100%, $E$9)</f>
        <v>9.8885000000000005</v>
      </c>
      <c r="N606" s="33">
        <f>9.8832 * CHOOSE(CONTROL!$C$32, $C$9, 100%, $E$9)</f>
        <v>9.8832000000000004</v>
      </c>
      <c r="O606" s="33">
        <f>9.8885 * CHOOSE(CONTROL!$C$32, $C$9, 100%, $E$9)</f>
        <v>9.8885000000000005</v>
      </c>
    </row>
    <row r="607" spans="1:15" ht="15" x14ac:dyDescent="0.2">
      <c r="A607" s="16">
        <v>59323</v>
      </c>
      <c r="B607" s="32">
        <f>8.6343 * CHOOSE(CONTROL!$C$32, $C$9, 100%, $E$9)</f>
        <v>8.6342999999999996</v>
      </c>
      <c r="C607" s="32">
        <f>8.6343 * CHOOSE(CONTROL!$C$32, $C$9, 100%, $E$9)</f>
        <v>8.6342999999999996</v>
      </c>
      <c r="D607" s="32">
        <f>8.6359 * CHOOSE(CONTROL!$C$32, $C$9, 100%, $E$9)</f>
        <v>8.6358999999999995</v>
      </c>
      <c r="E607" s="33">
        <f>9.8137 * CHOOSE(CONTROL!$C$32, $C$9, 100%, $E$9)</f>
        <v>9.8137000000000008</v>
      </c>
      <c r="F607" s="33">
        <f>9.8137 * CHOOSE(CONTROL!$C$32, $C$9, 100%, $E$9)</f>
        <v>9.8137000000000008</v>
      </c>
      <c r="G607" s="33">
        <f>9.819 * CHOOSE(CONTROL!$C$32, $C$9, 100%, $E$9)</f>
        <v>9.8190000000000008</v>
      </c>
      <c r="H607" s="33">
        <f>19.4793 * CHOOSE(CONTROL!$C$32, $C$9, 100%, $E$9)</f>
        <v>19.479299999999999</v>
      </c>
      <c r="I607" s="33">
        <f>19.4845 * CHOOSE(CONTROL!$C$32, $C$9, 100%, $E$9)</f>
        <v>19.484500000000001</v>
      </c>
      <c r="J607" s="33">
        <f>19.4793 * CHOOSE(CONTROL!$C$32, $C$9, 100%, $E$9)</f>
        <v>19.479299999999999</v>
      </c>
      <c r="K607" s="33">
        <f>19.4845 * CHOOSE(CONTROL!$C$32, $C$9, 100%, $E$9)</f>
        <v>19.484500000000001</v>
      </c>
      <c r="L607" s="33">
        <f>9.8137 * CHOOSE(CONTROL!$C$32, $C$9, 100%, $E$9)</f>
        <v>9.8137000000000008</v>
      </c>
      <c r="M607" s="33">
        <f>9.819 * CHOOSE(CONTROL!$C$32, $C$9, 100%, $E$9)</f>
        <v>9.8190000000000008</v>
      </c>
      <c r="N607" s="33">
        <f>9.8137 * CHOOSE(CONTROL!$C$32, $C$9, 100%, $E$9)</f>
        <v>9.8137000000000008</v>
      </c>
      <c r="O607" s="33">
        <f>9.819 * CHOOSE(CONTROL!$C$32, $C$9, 100%, $E$9)</f>
        <v>9.8190000000000008</v>
      </c>
    </row>
    <row r="608" spans="1:15" ht="15" x14ac:dyDescent="0.2">
      <c r="A608" s="16">
        <v>59353</v>
      </c>
      <c r="B608" s="32">
        <f>8.7437 * CHOOSE(CONTROL!$C$32, $C$9, 100%, $E$9)</f>
        <v>8.7437000000000005</v>
      </c>
      <c r="C608" s="32">
        <f>8.7437 * CHOOSE(CONTROL!$C$32, $C$9, 100%, $E$9)</f>
        <v>8.7437000000000005</v>
      </c>
      <c r="D608" s="32">
        <f>8.7453 * CHOOSE(CONTROL!$C$32, $C$9, 100%, $E$9)</f>
        <v>8.7453000000000003</v>
      </c>
      <c r="E608" s="33">
        <f>9.9502 * CHOOSE(CONTROL!$C$32, $C$9, 100%, $E$9)</f>
        <v>9.9502000000000006</v>
      </c>
      <c r="F608" s="33">
        <f>9.9502 * CHOOSE(CONTROL!$C$32, $C$9, 100%, $E$9)</f>
        <v>9.9502000000000006</v>
      </c>
      <c r="G608" s="33">
        <f>9.9555 * CHOOSE(CONTROL!$C$32, $C$9, 100%, $E$9)</f>
        <v>9.9555000000000007</v>
      </c>
      <c r="H608" s="33">
        <f>19.5198 * CHOOSE(CONTROL!$C$32, $C$9, 100%, $E$9)</f>
        <v>19.5198</v>
      </c>
      <c r="I608" s="33">
        <f>19.5251 * CHOOSE(CONTROL!$C$32, $C$9, 100%, $E$9)</f>
        <v>19.525099999999998</v>
      </c>
      <c r="J608" s="33">
        <f>19.5198 * CHOOSE(CONTROL!$C$32, $C$9, 100%, $E$9)</f>
        <v>19.5198</v>
      </c>
      <c r="K608" s="33">
        <f>19.5251 * CHOOSE(CONTROL!$C$32, $C$9, 100%, $E$9)</f>
        <v>19.525099999999998</v>
      </c>
      <c r="L608" s="33">
        <f>9.9502 * CHOOSE(CONTROL!$C$32, $C$9, 100%, $E$9)</f>
        <v>9.9502000000000006</v>
      </c>
      <c r="M608" s="33">
        <f>9.9555 * CHOOSE(CONTROL!$C$32, $C$9, 100%, $E$9)</f>
        <v>9.9555000000000007</v>
      </c>
      <c r="N608" s="33">
        <f>9.9502 * CHOOSE(CONTROL!$C$32, $C$9, 100%, $E$9)</f>
        <v>9.9502000000000006</v>
      </c>
      <c r="O608" s="33">
        <f>9.9555 * CHOOSE(CONTROL!$C$32, $C$9, 100%, $E$9)</f>
        <v>9.9555000000000007</v>
      </c>
    </row>
    <row r="609" spans="1:15" ht="15" x14ac:dyDescent="0.2">
      <c r="A609" s="16">
        <v>59384</v>
      </c>
      <c r="B609" s="32">
        <f>8.7504 * CHOOSE(CONTROL!$C$32, $C$9, 100%, $E$9)</f>
        <v>8.7504000000000008</v>
      </c>
      <c r="C609" s="32">
        <f>8.7504 * CHOOSE(CONTROL!$C$32, $C$9, 100%, $E$9)</f>
        <v>8.7504000000000008</v>
      </c>
      <c r="D609" s="32">
        <f>8.752 * CHOOSE(CONTROL!$C$32, $C$9, 100%, $E$9)</f>
        <v>8.7520000000000007</v>
      </c>
      <c r="E609" s="33">
        <f>9.7337 * CHOOSE(CONTROL!$C$32, $C$9, 100%, $E$9)</f>
        <v>9.7337000000000007</v>
      </c>
      <c r="F609" s="33">
        <f>9.7337 * CHOOSE(CONTROL!$C$32, $C$9, 100%, $E$9)</f>
        <v>9.7337000000000007</v>
      </c>
      <c r="G609" s="33">
        <f>9.739 * CHOOSE(CONTROL!$C$32, $C$9, 100%, $E$9)</f>
        <v>9.7390000000000008</v>
      </c>
      <c r="H609" s="33">
        <f>19.5605 * CHOOSE(CONTROL!$C$32, $C$9, 100%, $E$9)</f>
        <v>19.560500000000001</v>
      </c>
      <c r="I609" s="33">
        <f>19.5658 * CHOOSE(CONTROL!$C$32, $C$9, 100%, $E$9)</f>
        <v>19.565799999999999</v>
      </c>
      <c r="J609" s="33">
        <f>19.5605 * CHOOSE(CONTROL!$C$32, $C$9, 100%, $E$9)</f>
        <v>19.560500000000001</v>
      </c>
      <c r="K609" s="33">
        <f>19.5658 * CHOOSE(CONTROL!$C$32, $C$9, 100%, $E$9)</f>
        <v>19.565799999999999</v>
      </c>
      <c r="L609" s="33">
        <f>9.7337 * CHOOSE(CONTROL!$C$32, $C$9, 100%, $E$9)</f>
        <v>9.7337000000000007</v>
      </c>
      <c r="M609" s="33">
        <f>9.739 * CHOOSE(CONTROL!$C$32, $C$9, 100%, $E$9)</f>
        <v>9.7390000000000008</v>
      </c>
      <c r="N609" s="33">
        <f>9.7337 * CHOOSE(CONTROL!$C$32, $C$9, 100%, $E$9)</f>
        <v>9.7337000000000007</v>
      </c>
      <c r="O609" s="33">
        <f>9.739 * CHOOSE(CONTROL!$C$32, $C$9, 100%, $E$9)</f>
        <v>9.7390000000000008</v>
      </c>
    </row>
    <row r="610" spans="1:15" ht="15" x14ac:dyDescent="0.2">
      <c r="A610" s="16">
        <v>59415</v>
      </c>
      <c r="B610" s="32">
        <f>8.7474 * CHOOSE(CONTROL!$C$32, $C$9, 100%, $E$9)</f>
        <v>8.7474000000000007</v>
      </c>
      <c r="C610" s="32">
        <f>8.7474 * CHOOSE(CONTROL!$C$32, $C$9, 100%, $E$9)</f>
        <v>8.7474000000000007</v>
      </c>
      <c r="D610" s="32">
        <f>8.749 * CHOOSE(CONTROL!$C$32, $C$9, 100%, $E$9)</f>
        <v>8.7490000000000006</v>
      </c>
      <c r="E610" s="33">
        <f>9.707 * CHOOSE(CONTROL!$C$32, $C$9, 100%, $E$9)</f>
        <v>9.7070000000000007</v>
      </c>
      <c r="F610" s="33">
        <f>9.707 * CHOOSE(CONTROL!$C$32, $C$9, 100%, $E$9)</f>
        <v>9.7070000000000007</v>
      </c>
      <c r="G610" s="33">
        <f>9.7123 * CHOOSE(CONTROL!$C$32, $C$9, 100%, $E$9)</f>
        <v>9.7123000000000008</v>
      </c>
      <c r="H610" s="33">
        <f>19.6012 * CHOOSE(CONTROL!$C$32, $C$9, 100%, $E$9)</f>
        <v>19.601199999999999</v>
      </c>
      <c r="I610" s="33">
        <f>19.6065 * CHOOSE(CONTROL!$C$32, $C$9, 100%, $E$9)</f>
        <v>19.6065</v>
      </c>
      <c r="J610" s="33">
        <f>19.6012 * CHOOSE(CONTROL!$C$32, $C$9, 100%, $E$9)</f>
        <v>19.601199999999999</v>
      </c>
      <c r="K610" s="33">
        <f>19.6065 * CHOOSE(CONTROL!$C$32, $C$9, 100%, $E$9)</f>
        <v>19.6065</v>
      </c>
      <c r="L610" s="33">
        <f>9.707 * CHOOSE(CONTROL!$C$32, $C$9, 100%, $E$9)</f>
        <v>9.7070000000000007</v>
      </c>
      <c r="M610" s="33">
        <f>9.7123 * CHOOSE(CONTROL!$C$32, $C$9, 100%, $E$9)</f>
        <v>9.7123000000000008</v>
      </c>
      <c r="N610" s="33">
        <f>9.707 * CHOOSE(CONTROL!$C$32, $C$9, 100%, $E$9)</f>
        <v>9.7070000000000007</v>
      </c>
      <c r="O610" s="33">
        <f>9.7123 * CHOOSE(CONTROL!$C$32, $C$9, 100%, $E$9)</f>
        <v>9.7123000000000008</v>
      </c>
    </row>
    <row r="611" spans="1:15" ht="15" x14ac:dyDescent="0.2">
      <c r="A611" s="16">
        <v>59445</v>
      </c>
      <c r="B611" s="32">
        <f>8.7601 * CHOOSE(CONTROL!$C$32, $C$9, 100%, $E$9)</f>
        <v>8.7600999999999996</v>
      </c>
      <c r="C611" s="32">
        <f>8.7601 * CHOOSE(CONTROL!$C$32, $C$9, 100%, $E$9)</f>
        <v>8.7600999999999996</v>
      </c>
      <c r="D611" s="32">
        <f>8.7612 * CHOOSE(CONTROL!$C$32, $C$9, 100%, $E$9)</f>
        <v>8.7612000000000005</v>
      </c>
      <c r="E611" s="33">
        <f>9.7919 * CHOOSE(CONTROL!$C$32, $C$9, 100%, $E$9)</f>
        <v>9.7919</v>
      </c>
      <c r="F611" s="33">
        <f>9.7919 * CHOOSE(CONTROL!$C$32, $C$9, 100%, $E$9)</f>
        <v>9.7919</v>
      </c>
      <c r="G611" s="33">
        <f>9.7955 * CHOOSE(CONTROL!$C$32, $C$9, 100%, $E$9)</f>
        <v>9.7955000000000005</v>
      </c>
      <c r="H611" s="33">
        <f>19.6421 * CHOOSE(CONTROL!$C$32, $C$9, 100%, $E$9)</f>
        <v>19.642099999999999</v>
      </c>
      <c r="I611" s="33">
        <f>19.6457 * CHOOSE(CONTROL!$C$32, $C$9, 100%, $E$9)</f>
        <v>19.645700000000001</v>
      </c>
      <c r="J611" s="33">
        <f>19.6421 * CHOOSE(CONTROL!$C$32, $C$9, 100%, $E$9)</f>
        <v>19.642099999999999</v>
      </c>
      <c r="K611" s="33">
        <f>19.6457 * CHOOSE(CONTROL!$C$32, $C$9, 100%, $E$9)</f>
        <v>19.645700000000001</v>
      </c>
      <c r="L611" s="33">
        <f>9.7919 * CHOOSE(CONTROL!$C$32, $C$9, 100%, $E$9)</f>
        <v>9.7919</v>
      </c>
      <c r="M611" s="33">
        <f>9.7955 * CHOOSE(CONTROL!$C$32, $C$9, 100%, $E$9)</f>
        <v>9.7955000000000005</v>
      </c>
      <c r="N611" s="33">
        <f>9.7919 * CHOOSE(CONTROL!$C$32, $C$9, 100%, $E$9)</f>
        <v>9.7919</v>
      </c>
      <c r="O611" s="33">
        <f>9.7955 * CHOOSE(CONTROL!$C$32, $C$9, 100%, $E$9)</f>
        <v>9.7955000000000005</v>
      </c>
    </row>
    <row r="612" spans="1:15" ht="15" x14ac:dyDescent="0.2">
      <c r="A612" s="16">
        <v>59476</v>
      </c>
      <c r="B612" s="32">
        <f>8.7632 * CHOOSE(CONTROL!$C$32, $C$9, 100%, $E$9)</f>
        <v>8.7631999999999994</v>
      </c>
      <c r="C612" s="32">
        <f>8.7632 * CHOOSE(CONTROL!$C$32, $C$9, 100%, $E$9)</f>
        <v>8.7631999999999994</v>
      </c>
      <c r="D612" s="32">
        <f>8.7643 * CHOOSE(CONTROL!$C$32, $C$9, 100%, $E$9)</f>
        <v>8.7643000000000004</v>
      </c>
      <c r="E612" s="33">
        <f>9.8432 * CHOOSE(CONTROL!$C$32, $C$9, 100%, $E$9)</f>
        <v>9.8431999999999995</v>
      </c>
      <c r="F612" s="33">
        <f>9.8432 * CHOOSE(CONTROL!$C$32, $C$9, 100%, $E$9)</f>
        <v>9.8431999999999995</v>
      </c>
      <c r="G612" s="33">
        <f>9.8468 * CHOOSE(CONTROL!$C$32, $C$9, 100%, $E$9)</f>
        <v>9.8468</v>
      </c>
      <c r="H612" s="33">
        <f>19.683 * CHOOSE(CONTROL!$C$32, $C$9, 100%, $E$9)</f>
        <v>19.683</v>
      </c>
      <c r="I612" s="33">
        <f>19.6866 * CHOOSE(CONTROL!$C$32, $C$9, 100%, $E$9)</f>
        <v>19.686599999999999</v>
      </c>
      <c r="J612" s="33">
        <f>19.683 * CHOOSE(CONTROL!$C$32, $C$9, 100%, $E$9)</f>
        <v>19.683</v>
      </c>
      <c r="K612" s="33">
        <f>19.6866 * CHOOSE(CONTROL!$C$32, $C$9, 100%, $E$9)</f>
        <v>19.686599999999999</v>
      </c>
      <c r="L612" s="33">
        <f>9.8432 * CHOOSE(CONTROL!$C$32, $C$9, 100%, $E$9)</f>
        <v>9.8431999999999995</v>
      </c>
      <c r="M612" s="33">
        <f>9.8468 * CHOOSE(CONTROL!$C$32, $C$9, 100%, $E$9)</f>
        <v>9.8468</v>
      </c>
      <c r="N612" s="33">
        <f>9.8432 * CHOOSE(CONTROL!$C$32, $C$9, 100%, $E$9)</f>
        <v>9.8431999999999995</v>
      </c>
      <c r="O612" s="33">
        <f>9.8468 * CHOOSE(CONTROL!$C$32, $C$9, 100%, $E$9)</f>
        <v>9.8468</v>
      </c>
    </row>
    <row r="613" spans="1:15" ht="15" x14ac:dyDescent="0.2">
      <c r="A613" s="16">
        <v>59506</v>
      </c>
      <c r="B613" s="32">
        <f>8.7632 * CHOOSE(CONTROL!$C$32, $C$9, 100%, $E$9)</f>
        <v>8.7631999999999994</v>
      </c>
      <c r="C613" s="32">
        <f>8.7632 * CHOOSE(CONTROL!$C$32, $C$9, 100%, $E$9)</f>
        <v>8.7631999999999994</v>
      </c>
      <c r="D613" s="32">
        <f>8.7643 * CHOOSE(CONTROL!$C$32, $C$9, 100%, $E$9)</f>
        <v>8.7643000000000004</v>
      </c>
      <c r="E613" s="33">
        <f>9.7203 * CHOOSE(CONTROL!$C$32, $C$9, 100%, $E$9)</f>
        <v>9.7202999999999999</v>
      </c>
      <c r="F613" s="33">
        <f>9.7203 * CHOOSE(CONTROL!$C$32, $C$9, 100%, $E$9)</f>
        <v>9.7202999999999999</v>
      </c>
      <c r="G613" s="33">
        <f>9.7239 * CHOOSE(CONTROL!$C$32, $C$9, 100%, $E$9)</f>
        <v>9.7239000000000004</v>
      </c>
      <c r="H613" s="33">
        <f>19.724 * CHOOSE(CONTROL!$C$32, $C$9, 100%, $E$9)</f>
        <v>19.724</v>
      </c>
      <c r="I613" s="33">
        <f>19.7276 * CHOOSE(CONTROL!$C$32, $C$9, 100%, $E$9)</f>
        <v>19.727599999999999</v>
      </c>
      <c r="J613" s="33">
        <f>19.724 * CHOOSE(CONTROL!$C$32, $C$9, 100%, $E$9)</f>
        <v>19.724</v>
      </c>
      <c r="K613" s="33">
        <f>19.7276 * CHOOSE(CONTROL!$C$32, $C$9, 100%, $E$9)</f>
        <v>19.727599999999999</v>
      </c>
      <c r="L613" s="33">
        <f>9.7203 * CHOOSE(CONTROL!$C$32, $C$9, 100%, $E$9)</f>
        <v>9.7202999999999999</v>
      </c>
      <c r="M613" s="33">
        <f>9.7239 * CHOOSE(CONTROL!$C$32, $C$9, 100%, $E$9)</f>
        <v>9.7239000000000004</v>
      </c>
      <c r="N613" s="33">
        <f>9.7203 * CHOOSE(CONTROL!$C$32, $C$9, 100%, $E$9)</f>
        <v>9.7202999999999999</v>
      </c>
      <c r="O613" s="33">
        <f>9.7239 * CHOOSE(CONTROL!$C$32, $C$9, 100%, $E$9)</f>
        <v>9.7239000000000004</v>
      </c>
    </row>
    <row r="614" spans="1:15" ht="15" x14ac:dyDescent="0.2">
      <c r="A614" s="16">
        <v>59537</v>
      </c>
      <c r="B614" s="32">
        <f>8.8196 * CHOOSE(CONTROL!$C$32, $C$9, 100%, $E$9)</f>
        <v>8.8195999999999994</v>
      </c>
      <c r="C614" s="32">
        <f>8.8196 * CHOOSE(CONTROL!$C$32, $C$9, 100%, $E$9)</f>
        <v>8.8195999999999994</v>
      </c>
      <c r="D614" s="32">
        <f>8.8206 * CHOOSE(CONTROL!$C$32, $C$9, 100%, $E$9)</f>
        <v>8.8206000000000007</v>
      </c>
      <c r="E614" s="33">
        <f>9.883 * CHOOSE(CONTROL!$C$32, $C$9, 100%, $E$9)</f>
        <v>9.8829999999999991</v>
      </c>
      <c r="F614" s="33">
        <f>9.883 * CHOOSE(CONTROL!$C$32, $C$9, 100%, $E$9)</f>
        <v>9.8829999999999991</v>
      </c>
      <c r="G614" s="33">
        <f>9.8866 * CHOOSE(CONTROL!$C$32, $C$9, 100%, $E$9)</f>
        <v>9.8865999999999996</v>
      </c>
      <c r="H614" s="33">
        <f>19.7416 * CHOOSE(CONTROL!$C$32, $C$9, 100%, $E$9)</f>
        <v>19.741599999999998</v>
      </c>
      <c r="I614" s="33">
        <f>19.7453 * CHOOSE(CONTROL!$C$32, $C$9, 100%, $E$9)</f>
        <v>19.7453</v>
      </c>
      <c r="J614" s="33">
        <f>19.7416 * CHOOSE(CONTROL!$C$32, $C$9, 100%, $E$9)</f>
        <v>19.741599999999998</v>
      </c>
      <c r="K614" s="33">
        <f>19.7453 * CHOOSE(CONTROL!$C$32, $C$9, 100%, $E$9)</f>
        <v>19.7453</v>
      </c>
      <c r="L614" s="33">
        <f>9.883 * CHOOSE(CONTROL!$C$32, $C$9, 100%, $E$9)</f>
        <v>9.8829999999999991</v>
      </c>
      <c r="M614" s="33">
        <f>9.8866 * CHOOSE(CONTROL!$C$32, $C$9, 100%, $E$9)</f>
        <v>9.8865999999999996</v>
      </c>
      <c r="N614" s="33">
        <f>9.883 * CHOOSE(CONTROL!$C$32, $C$9, 100%, $E$9)</f>
        <v>9.8829999999999991</v>
      </c>
      <c r="O614" s="33">
        <f>9.8866 * CHOOSE(CONTROL!$C$32, $C$9, 100%, $E$9)</f>
        <v>9.8865999999999996</v>
      </c>
    </row>
    <row r="615" spans="1:15" ht="15" x14ac:dyDescent="0.2">
      <c r="A615" s="16">
        <v>59568</v>
      </c>
      <c r="B615" s="32">
        <f>8.8165 * CHOOSE(CONTROL!$C$32, $C$9, 100%, $E$9)</f>
        <v>8.8164999999999996</v>
      </c>
      <c r="C615" s="32">
        <f>8.8165 * CHOOSE(CONTROL!$C$32, $C$9, 100%, $E$9)</f>
        <v>8.8164999999999996</v>
      </c>
      <c r="D615" s="32">
        <f>8.8176 * CHOOSE(CONTROL!$C$32, $C$9, 100%, $E$9)</f>
        <v>8.8176000000000005</v>
      </c>
      <c r="E615" s="33">
        <f>9.6416 * CHOOSE(CONTROL!$C$32, $C$9, 100%, $E$9)</f>
        <v>9.6416000000000004</v>
      </c>
      <c r="F615" s="33">
        <f>9.6416 * CHOOSE(CONTROL!$C$32, $C$9, 100%, $E$9)</f>
        <v>9.6416000000000004</v>
      </c>
      <c r="G615" s="33">
        <f>9.6452 * CHOOSE(CONTROL!$C$32, $C$9, 100%, $E$9)</f>
        <v>9.6452000000000009</v>
      </c>
      <c r="H615" s="33">
        <f>19.7828 * CHOOSE(CONTROL!$C$32, $C$9, 100%, $E$9)</f>
        <v>19.782800000000002</v>
      </c>
      <c r="I615" s="33">
        <f>19.7864 * CHOOSE(CONTROL!$C$32, $C$9, 100%, $E$9)</f>
        <v>19.7864</v>
      </c>
      <c r="J615" s="33">
        <f>19.7828 * CHOOSE(CONTROL!$C$32, $C$9, 100%, $E$9)</f>
        <v>19.782800000000002</v>
      </c>
      <c r="K615" s="33">
        <f>19.7864 * CHOOSE(CONTROL!$C$32, $C$9, 100%, $E$9)</f>
        <v>19.7864</v>
      </c>
      <c r="L615" s="33">
        <f>9.6416 * CHOOSE(CONTROL!$C$32, $C$9, 100%, $E$9)</f>
        <v>9.6416000000000004</v>
      </c>
      <c r="M615" s="33">
        <f>9.6452 * CHOOSE(CONTROL!$C$32, $C$9, 100%, $E$9)</f>
        <v>9.6452000000000009</v>
      </c>
      <c r="N615" s="33">
        <f>9.6416 * CHOOSE(CONTROL!$C$32, $C$9, 100%, $E$9)</f>
        <v>9.6416000000000004</v>
      </c>
      <c r="O615" s="33">
        <f>9.6452 * CHOOSE(CONTROL!$C$32, $C$9, 100%, $E$9)</f>
        <v>9.6452000000000009</v>
      </c>
    </row>
    <row r="616" spans="1:15" ht="15" x14ac:dyDescent="0.2">
      <c r="A616" s="16">
        <v>59596</v>
      </c>
      <c r="B616" s="32">
        <f>8.8135 * CHOOSE(CONTROL!$C$32, $C$9, 100%, $E$9)</f>
        <v>8.8134999999999994</v>
      </c>
      <c r="C616" s="32">
        <f>8.8135 * CHOOSE(CONTROL!$C$32, $C$9, 100%, $E$9)</f>
        <v>8.8134999999999994</v>
      </c>
      <c r="D616" s="32">
        <f>8.8146 * CHOOSE(CONTROL!$C$32, $C$9, 100%, $E$9)</f>
        <v>8.8146000000000004</v>
      </c>
      <c r="E616" s="33">
        <f>9.8281 * CHOOSE(CONTROL!$C$32, $C$9, 100%, $E$9)</f>
        <v>9.8280999999999992</v>
      </c>
      <c r="F616" s="33">
        <f>9.8281 * CHOOSE(CONTROL!$C$32, $C$9, 100%, $E$9)</f>
        <v>9.8280999999999992</v>
      </c>
      <c r="G616" s="33">
        <f>9.8317 * CHOOSE(CONTROL!$C$32, $C$9, 100%, $E$9)</f>
        <v>9.8316999999999997</v>
      </c>
      <c r="H616" s="33">
        <f>19.824 * CHOOSE(CONTROL!$C$32, $C$9, 100%, $E$9)</f>
        <v>19.824000000000002</v>
      </c>
      <c r="I616" s="33">
        <f>19.8276 * CHOOSE(CONTROL!$C$32, $C$9, 100%, $E$9)</f>
        <v>19.8276</v>
      </c>
      <c r="J616" s="33">
        <f>19.824 * CHOOSE(CONTROL!$C$32, $C$9, 100%, $E$9)</f>
        <v>19.824000000000002</v>
      </c>
      <c r="K616" s="33">
        <f>19.8276 * CHOOSE(CONTROL!$C$32, $C$9, 100%, $E$9)</f>
        <v>19.8276</v>
      </c>
      <c r="L616" s="33">
        <f>9.8281 * CHOOSE(CONTROL!$C$32, $C$9, 100%, $E$9)</f>
        <v>9.8280999999999992</v>
      </c>
      <c r="M616" s="33">
        <f>9.8317 * CHOOSE(CONTROL!$C$32, $C$9, 100%, $E$9)</f>
        <v>9.8316999999999997</v>
      </c>
      <c r="N616" s="33">
        <f>9.8281 * CHOOSE(CONTROL!$C$32, $C$9, 100%, $E$9)</f>
        <v>9.8280999999999992</v>
      </c>
      <c r="O616" s="33">
        <f>9.8317 * CHOOSE(CONTROL!$C$32, $C$9, 100%, $E$9)</f>
        <v>9.8316999999999997</v>
      </c>
    </row>
    <row r="617" spans="1:15" ht="15" x14ac:dyDescent="0.2">
      <c r="A617" s="16">
        <v>59627</v>
      </c>
      <c r="B617" s="32">
        <f>8.8158 * CHOOSE(CONTROL!$C$32, $C$9, 100%, $E$9)</f>
        <v>8.8157999999999994</v>
      </c>
      <c r="C617" s="32">
        <f>8.8158 * CHOOSE(CONTROL!$C$32, $C$9, 100%, $E$9)</f>
        <v>8.8157999999999994</v>
      </c>
      <c r="D617" s="32">
        <f>8.8169 * CHOOSE(CONTROL!$C$32, $C$9, 100%, $E$9)</f>
        <v>8.8169000000000004</v>
      </c>
      <c r="E617" s="33">
        <f>10.0265 * CHOOSE(CONTROL!$C$32, $C$9, 100%, $E$9)</f>
        <v>10.0265</v>
      </c>
      <c r="F617" s="33">
        <f>10.0265 * CHOOSE(CONTROL!$C$32, $C$9, 100%, $E$9)</f>
        <v>10.0265</v>
      </c>
      <c r="G617" s="33">
        <f>10.0301 * CHOOSE(CONTROL!$C$32, $C$9, 100%, $E$9)</f>
        <v>10.030099999999999</v>
      </c>
      <c r="H617" s="33">
        <f>19.8653 * CHOOSE(CONTROL!$C$32, $C$9, 100%, $E$9)</f>
        <v>19.865300000000001</v>
      </c>
      <c r="I617" s="33">
        <f>19.8689 * CHOOSE(CONTROL!$C$32, $C$9, 100%, $E$9)</f>
        <v>19.8689</v>
      </c>
      <c r="J617" s="33">
        <f>19.8653 * CHOOSE(CONTROL!$C$32, $C$9, 100%, $E$9)</f>
        <v>19.865300000000001</v>
      </c>
      <c r="K617" s="33">
        <f>19.8689 * CHOOSE(CONTROL!$C$32, $C$9, 100%, $E$9)</f>
        <v>19.8689</v>
      </c>
      <c r="L617" s="33">
        <f>10.0265 * CHOOSE(CONTROL!$C$32, $C$9, 100%, $E$9)</f>
        <v>10.0265</v>
      </c>
      <c r="M617" s="33">
        <f>10.0301 * CHOOSE(CONTROL!$C$32, $C$9, 100%, $E$9)</f>
        <v>10.030099999999999</v>
      </c>
      <c r="N617" s="33">
        <f>10.0265 * CHOOSE(CONTROL!$C$32, $C$9, 100%, $E$9)</f>
        <v>10.0265</v>
      </c>
      <c r="O617" s="33">
        <f>10.0301 * CHOOSE(CONTROL!$C$32, $C$9, 100%, $E$9)</f>
        <v>10.030099999999999</v>
      </c>
    </row>
    <row r="618" spans="1:15" ht="15" x14ac:dyDescent="0.2">
      <c r="A618" s="16">
        <v>59657</v>
      </c>
      <c r="B618" s="32">
        <f>8.8158 * CHOOSE(CONTROL!$C$32, $C$9, 100%, $E$9)</f>
        <v>8.8157999999999994</v>
      </c>
      <c r="C618" s="32">
        <f>8.8158 * CHOOSE(CONTROL!$C$32, $C$9, 100%, $E$9)</f>
        <v>8.8157999999999994</v>
      </c>
      <c r="D618" s="32">
        <f>8.8174 * CHOOSE(CONTROL!$C$32, $C$9, 100%, $E$9)</f>
        <v>8.8173999999999992</v>
      </c>
      <c r="E618" s="33">
        <f>10.1024 * CHOOSE(CONTROL!$C$32, $C$9, 100%, $E$9)</f>
        <v>10.102399999999999</v>
      </c>
      <c r="F618" s="33">
        <f>10.1024 * CHOOSE(CONTROL!$C$32, $C$9, 100%, $E$9)</f>
        <v>10.102399999999999</v>
      </c>
      <c r="G618" s="33">
        <f>10.1077 * CHOOSE(CONTROL!$C$32, $C$9, 100%, $E$9)</f>
        <v>10.107699999999999</v>
      </c>
      <c r="H618" s="33">
        <f>19.9067 * CHOOSE(CONTROL!$C$32, $C$9, 100%, $E$9)</f>
        <v>19.906700000000001</v>
      </c>
      <c r="I618" s="33">
        <f>19.912 * CHOOSE(CONTROL!$C$32, $C$9, 100%, $E$9)</f>
        <v>19.911999999999999</v>
      </c>
      <c r="J618" s="33">
        <f>19.9067 * CHOOSE(CONTROL!$C$32, $C$9, 100%, $E$9)</f>
        <v>19.906700000000001</v>
      </c>
      <c r="K618" s="33">
        <f>19.912 * CHOOSE(CONTROL!$C$32, $C$9, 100%, $E$9)</f>
        <v>19.911999999999999</v>
      </c>
      <c r="L618" s="33">
        <f>10.1024 * CHOOSE(CONTROL!$C$32, $C$9, 100%, $E$9)</f>
        <v>10.102399999999999</v>
      </c>
      <c r="M618" s="33">
        <f>10.1077 * CHOOSE(CONTROL!$C$32, $C$9, 100%, $E$9)</f>
        <v>10.107699999999999</v>
      </c>
      <c r="N618" s="33">
        <f>10.1024 * CHOOSE(CONTROL!$C$32, $C$9, 100%, $E$9)</f>
        <v>10.102399999999999</v>
      </c>
      <c r="O618" s="33">
        <f>10.1077 * CHOOSE(CONTROL!$C$32, $C$9, 100%, $E$9)</f>
        <v>10.107699999999999</v>
      </c>
    </row>
    <row r="619" spans="1:15" ht="15" x14ac:dyDescent="0.2">
      <c r="A619" s="16">
        <v>59688</v>
      </c>
      <c r="B619" s="32">
        <f>8.8219 * CHOOSE(CONTROL!$C$32, $C$9, 100%, $E$9)</f>
        <v>8.8218999999999994</v>
      </c>
      <c r="C619" s="32">
        <f>8.8219 * CHOOSE(CONTROL!$C$32, $C$9, 100%, $E$9)</f>
        <v>8.8218999999999994</v>
      </c>
      <c r="D619" s="32">
        <f>8.8235 * CHOOSE(CONTROL!$C$32, $C$9, 100%, $E$9)</f>
        <v>8.8234999999999992</v>
      </c>
      <c r="E619" s="33">
        <f>10.0307 * CHOOSE(CONTROL!$C$32, $C$9, 100%, $E$9)</f>
        <v>10.0307</v>
      </c>
      <c r="F619" s="33">
        <f>10.0307 * CHOOSE(CONTROL!$C$32, $C$9, 100%, $E$9)</f>
        <v>10.0307</v>
      </c>
      <c r="G619" s="33">
        <f>10.036 * CHOOSE(CONTROL!$C$32, $C$9, 100%, $E$9)</f>
        <v>10.036</v>
      </c>
      <c r="H619" s="33">
        <f>19.9481 * CHOOSE(CONTROL!$C$32, $C$9, 100%, $E$9)</f>
        <v>19.9481</v>
      </c>
      <c r="I619" s="33">
        <f>19.9534 * CHOOSE(CONTROL!$C$32, $C$9, 100%, $E$9)</f>
        <v>19.953399999999998</v>
      </c>
      <c r="J619" s="33">
        <f>19.9481 * CHOOSE(CONTROL!$C$32, $C$9, 100%, $E$9)</f>
        <v>19.9481</v>
      </c>
      <c r="K619" s="33">
        <f>19.9534 * CHOOSE(CONTROL!$C$32, $C$9, 100%, $E$9)</f>
        <v>19.953399999999998</v>
      </c>
      <c r="L619" s="33">
        <f>10.0307 * CHOOSE(CONTROL!$C$32, $C$9, 100%, $E$9)</f>
        <v>10.0307</v>
      </c>
      <c r="M619" s="33">
        <f>10.036 * CHOOSE(CONTROL!$C$32, $C$9, 100%, $E$9)</f>
        <v>10.036</v>
      </c>
      <c r="N619" s="33">
        <f>10.0307 * CHOOSE(CONTROL!$C$32, $C$9, 100%, $E$9)</f>
        <v>10.0307</v>
      </c>
      <c r="O619" s="33">
        <f>10.036 * CHOOSE(CONTROL!$C$32, $C$9, 100%, $E$9)</f>
        <v>10.036</v>
      </c>
    </row>
    <row r="620" spans="1:15" ht="15" x14ac:dyDescent="0.2">
      <c r="A620" s="16">
        <v>59718</v>
      </c>
      <c r="B620" s="32">
        <f>8.9333 * CHOOSE(CONTROL!$C$32, $C$9, 100%, $E$9)</f>
        <v>8.9332999999999991</v>
      </c>
      <c r="C620" s="32">
        <f>8.9333 * CHOOSE(CONTROL!$C$32, $C$9, 100%, $E$9)</f>
        <v>8.9332999999999991</v>
      </c>
      <c r="D620" s="32">
        <f>8.9349 * CHOOSE(CONTROL!$C$32, $C$9, 100%, $E$9)</f>
        <v>8.9349000000000007</v>
      </c>
      <c r="E620" s="33">
        <f>10.1704 * CHOOSE(CONTROL!$C$32, $C$9, 100%, $E$9)</f>
        <v>10.170400000000001</v>
      </c>
      <c r="F620" s="33">
        <f>10.1704 * CHOOSE(CONTROL!$C$32, $C$9, 100%, $E$9)</f>
        <v>10.170400000000001</v>
      </c>
      <c r="G620" s="33">
        <f>10.1757 * CHOOSE(CONTROL!$C$32, $C$9, 100%, $E$9)</f>
        <v>10.175700000000001</v>
      </c>
      <c r="H620" s="33">
        <f>19.9897 * CHOOSE(CONTROL!$C$32, $C$9, 100%, $E$9)</f>
        <v>19.989699999999999</v>
      </c>
      <c r="I620" s="33">
        <f>19.995 * CHOOSE(CONTROL!$C$32, $C$9, 100%, $E$9)</f>
        <v>19.995000000000001</v>
      </c>
      <c r="J620" s="33">
        <f>19.9897 * CHOOSE(CONTROL!$C$32, $C$9, 100%, $E$9)</f>
        <v>19.989699999999999</v>
      </c>
      <c r="K620" s="33">
        <f>19.995 * CHOOSE(CONTROL!$C$32, $C$9, 100%, $E$9)</f>
        <v>19.995000000000001</v>
      </c>
      <c r="L620" s="33">
        <f>10.1704 * CHOOSE(CONTROL!$C$32, $C$9, 100%, $E$9)</f>
        <v>10.170400000000001</v>
      </c>
      <c r="M620" s="33">
        <f>10.1757 * CHOOSE(CONTROL!$C$32, $C$9, 100%, $E$9)</f>
        <v>10.175700000000001</v>
      </c>
      <c r="N620" s="33">
        <f>10.1704 * CHOOSE(CONTROL!$C$32, $C$9, 100%, $E$9)</f>
        <v>10.170400000000001</v>
      </c>
      <c r="O620" s="33">
        <f>10.1757 * CHOOSE(CONTROL!$C$32, $C$9, 100%, $E$9)</f>
        <v>10.175700000000001</v>
      </c>
    </row>
    <row r="621" spans="1:15" ht="15" x14ac:dyDescent="0.2">
      <c r="A621" s="16">
        <v>59749</v>
      </c>
      <c r="B621" s="32">
        <f>8.94 * CHOOSE(CONTROL!$C$32, $C$9, 100%, $E$9)</f>
        <v>8.94</v>
      </c>
      <c r="C621" s="32">
        <f>8.94 * CHOOSE(CONTROL!$C$32, $C$9, 100%, $E$9)</f>
        <v>8.94</v>
      </c>
      <c r="D621" s="32">
        <f>8.9416 * CHOOSE(CONTROL!$C$32, $C$9, 100%, $E$9)</f>
        <v>8.9415999999999993</v>
      </c>
      <c r="E621" s="33">
        <f>9.9471 * CHOOSE(CONTROL!$C$32, $C$9, 100%, $E$9)</f>
        <v>9.9471000000000007</v>
      </c>
      <c r="F621" s="33">
        <f>9.9471 * CHOOSE(CONTROL!$C$32, $C$9, 100%, $E$9)</f>
        <v>9.9471000000000007</v>
      </c>
      <c r="G621" s="33">
        <f>9.9524 * CHOOSE(CONTROL!$C$32, $C$9, 100%, $E$9)</f>
        <v>9.9524000000000008</v>
      </c>
      <c r="H621" s="33">
        <f>20.0313 * CHOOSE(CONTROL!$C$32, $C$9, 100%, $E$9)</f>
        <v>20.031300000000002</v>
      </c>
      <c r="I621" s="33">
        <f>20.0366 * CHOOSE(CONTROL!$C$32, $C$9, 100%, $E$9)</f>
        <v>20.0366</v>
      </c>
      <c r="J621" s="33">
        <f>20.0313 * CHOOSE(CONTROL!$C$32, $C$9, 100%, $E$9)</f>
        <v>20.031300000000002</v>
      </c>
      <c r="K621" s="33">
        <f>20.0366 * CHOOSE(CONTROL!$C$32, $C$9, 100%, $E$9)</f>
        <v>20.0366</v>
      </c>
      <c r="L621" s="33">
        <f>9.9471 * CHOOSE(CONTROL!$C$32, $C$9, 100%, $E$9)</f>
        <v>9.9471000000000007</v>
      </c>
      <c r="M621" s="33">
        <f>9.9524 * CHOOSE(CONTROL!$C$32, $C$9, 100%, $E$9)</f>
        <v>9.9524000000000008</v>
      </c>
      <c r="N621" s="33">
        <f>9.9471 * CHOOSE(CONTROL!$C$32, $C$9, 100%, $E$9)</f>
        <v>9.9471000000000007</v>
      </c>
      <c r="O621" s="33">
        <f>9.9524 * CHOOSE(CONTROL!$C$32, $C$9, 100%, $E$9)</f>
        <v>9.9524000000000008</v>
      </c>
    </row>
    <row r="622" spans="1:15" ht="15" x14ac:dyDescent="0.2">
      <c r="A622" s="16">
        <v>59780</v>
      </c>
      <c r="B622" s="32">
        <f>8.937 * CHOOSE(CONTROL!$C$32, $C$9, 100%, $E$9)</f>
        <v>8.9369999999999994</v>
      </c>
      <c r="C622" s="32">
        <f>8.937 * CHOOSE(CONTROL!$C$32, $C$9, 100%, $E$9)</f>
        <v>8.9369999999999994</v>
      </c>
      <c r="D622" s="32">
        <f>8.9386 * CHOOSE(CONTROL!$C$32, $C$9, 100%, $E$9)</f>
        <v>8.9385999999999992</v>
      </c>
      <c r="E622" s="33">
        <f>9.9197 * CHOOSE(CONTROL!$C$32, $C$9, 100%, $E$9)</f>
        <v>9.9197000000000006</v>
      </c>
      <c r="F622" s="33">
        <f>9.9197 * CHOOSE(CONTROL!$C$32, $C$9, 100%, $E$9)</f>
        <v>9.9197000000000006</v>
      </c>
      <c r="G622" s="33">
        <f>9.925 * CHOOSE(CONTROL!$C$32, $C$9, 100%, $E$9)</f>
        <v>9.9250000000000007</v>
      </c>
      <c r="H622" s="33">
        <f>20.0731 * CHOOSE(CONTROL!$C$32, $C$9, 100%, $E$9)</f>
        <v>20.0731</v>
      </c>
      <c r="I622" s="33">
        <f>20.0784 * CHOOSE(CONTROL!$C$32, $C$9, 100%, $E$9)</f>
        <v>20.078399999999998</v>
      </c>
      <c r="J622" s="33">
        <f>20.0731 * CHOOSE(CONTROL!$C$32, $C$9, 100%, $E$9)</f>
        <v>20.0731</v>
      </c>
      <c r="K622" s="33">
        <f>20.0784 * CHOOSE(CONTROL!$C$32, $C$9, 100%, $E$9)</f>
        <v>20.078399999999998</v>
      </c>
      <c r="L622" s="33">
        <f>9.9197 * CHOOSE(CONTROL!$C$32, $C$9, 100%, $E$9)</f>
        <v>9.9197000000000006</v>
      </c>
      <c r="M622" s="33">
        <f>9.925 * CHOOSE(CONTROL!$C$32, $C$9, 100%, $E$9)</f>
        <v>9.9250000000000007</v>
      </c>
      <c r="N622" s="33">
        <f>9.9197 * CHOOSE(CONTROL!$C$32, $C$9, 100%, $E$9)</f>
        <v>9.9197000000000006</v>
      </c>
      <c r="O622" s="33">
        <f>9.925 * CHOOSE(CONTROL!$C$32, $C$9, 100%, $E$9)</f>
        <v>9.9250000000000007</v>
      </c>
    </row>
    <row r="623" spans="1:15" ht="15" x14ac:dyDescent="0.2">
      <c r="A623" s="16">
        <v>59810</v>
      </c>
      <c r="B623" s="32">
        <f>8.9505 * CHOOSE(CONTROL!$C$32, $C$9, 100%, $E$9)</f>
        <v>8.9504999999999999</v>
      </c>
      <c r="C623" s="32">
        <f>8.9505 * CHOOSE(CONTROL!$C$32, $C$9, 100%, $E$9)</f>
        <v>8.9504999999999999</v>
      </c>
      <c r="D623" s="32">
        <f>8.9515 * CHOOSE(CONTROL!$C$32, $C$9, 100%, $E$9)</f>
        <v>8.9514999999999993</v>
      </c>
      <c r="E623" s="33">
        <f>10.0076 * CHOOSE(CONTROL!$C$32, $C$9, 100%, $E$9)</f>
        <v>10.0076</v>
      </c>
      <c r="F623" s="33">
        <f>10.0076 * CHOOSE(CONTROL!$C$32, $C$9, 100%, $E$9)</f>
        <v>10.0076</v>
      </c>
      <c r="G623" s="33">
        <f>10.0112 * CHOOSE(CONTROL!$C$32, $C$9, 100%, $E$9)</f>
        <v>10.011200000000001</v>
      </c>
      <c r="H623" s="33">
        <f>20.1149 * CHOOSE(CONTROL!$C$32, $C$9, 100%, $E$9)</f>
        <v>20.114899999999999</v>
      </c>
      <c r="I623" s="33">
        <f>20.1185 * CHOOSE(CONTROL!$C$32, $C$9, 100%, $E$9)</f>
        <v>20.118500000000001</v>
      </c>
      <c r="J623" s="33">
        <f>20.1149 * CHOOSE(CONTROL!$C$32, $C$9, 100%, $E$9)</f>
        <v>20.114899999999999</v>
      </c>
      <c r="K623" s="33">
        <f>20.1185 * CHOOSE(CONTROL!$C$32, $C$9, 100%, $E$9)</f>
        <v>20.118500000000001</v>
      </c>
      <c r="L623" s="33">
        <f>10.0076 * CHOOSE(CONTROL!$C$32, $C$9, 100%, $E$9)</f>
        <v>10.0076</v>
      </c>
      <c r="M623" s="33">
        <f>10.0112 * CHOOSE(CONTROL!$C$32, $C$9, 100%, $E$9)</f>
        <v>10.011200000000001</v>
      </c>
      <c r="N623" s="33">
        <f>10.0076 * CHOOSE(CONTROL!$C$32, $C$9, 100%, $E$9)</f>
        <v>10.0076</v>
      </c>
      <c r="O623" s="33">
        <f>10.0112 * CHOOSE(CONTROL!$C$32, $C$9, 100%, $E$9)</f>
        <v>10.011200000000001</v>
      </c>
    </row>
    <row r="624" spans="1:15" ht="15" x14ac:dyDescent="0.2">
      <c r="A624" s="16">
        <v>59841</v>
      </c>
      <c r="B624" s="32">
        <f>8.9535 * CHOOSE(CONTROL!$C$32, $C$9, 100%, $E$9)</f>
        <v>8.9535</v>
      </c>
      <c r="C624" s="32">
        <f>8.9535 * CHOOSE(CONTROL!$C$32, $C$9, 100%, $E$9)</f>
        <v>8.9535</v>
      </c>
      <c r="D624" s="32">
        <f>8.9546 * CHOOSE(CONTROL!$C$32, $C$9, 100%, $E$9)</f>
        <v>8.9545999999999992</v>
      </c>
      <c r="E624" s="33">
        <f>10.0603 * CHOOSE(CONTROL!$C$32, $C$9, 100%, $E$9)</f>
        <v>10.0603</v>
      </c>
      <c r="F624" s="33">
        <f>10.0603 * CHOOSE(CONTROL!$C$32, $C$9, 100%, $E$9)</f>
        <v>10.0603</v>
      </c>
      <c r="G624" s="33">
        <f>10.064 * CHOOSE(CONTROL!$C$32, $C$9, 100%, $E$9)</f>
        <v>10.064</v>
      </c>
      <c r="H624" s="33">
        <f>20.1568 * CHOOSE(CONTROL!$C$32, $C$9, 100%, $E$9)</f>
        <v>20.1568</v>
      </c>
      <c r="I624" s="33">
        <f>20.1604 * CHOOSE(CONTROL!$C$32, $C$9, 100%, $E$9)</f>
        <v>20.160399999999999</v>
      </c>
      <c r="J624" s="33">
        <f>20.1568 * CHOOSE(CONTROL!$C$32, $C$9, 100%, $E$9)</f>
        <v>20.1568</v>
      </c>
      <c r="K624" s="33">
        <f>20.1604 * CHOOSE(CONTROL!$C$32, $C$9, 100%, $E$9)</f>
        <v>20.160399999999999</v>
      </c>
      <c r="L624" s="33">
        <f>10.0603 * CHOOSE(CONTROL!$C$32, $C$9, 100%, $E$9)</f>
        <v>10.0603</v>
      </c>
      <c r="M624" s="33">
        <f>10.064 * CHOOSE(CONTROL!$C$32, $C$9, 100%, $E$9)</f>
        <v>10.064</v>
      </c>
      <c r="N624" s="33">
        <f>10.0603 * CHOOSE(CONTROL!$C$32, $C$9, 100%, $E$9)</f>
        <v>10.0603</v>
      </c>
      <c r="O624" s="33">
        <f>10.064 * CHOOSE(CONTROL!$C$32, $C$9, 100%, $E$9)</f>
        <v>10.064</v>
      </c>
    </row>
    <row r="625" spans="1:15" ht="15" x14ac:dyDescent="0.2">
      <c r="A625" s="16">
        <v>59871</v>
      </c>
      <c r="B625" s="32">
        <f>8.9535 * CHOOSE(CONTROL!$C$32, $C$9, 100%, $E$9)</f>
        <v>8.9535</v>
      </c>
      <c r="C625" s="32">
        <f>8.9535 * CHOOSE(CONTROL!$C$32, $C$9, 100%, $E$9)</f>
        <v>8.9535</v>
      </c>
      <c r="D625" s="32">
        <f>8.9546 * CHOOSE(CONTROL!$C$32, $C$9, 100%, $E$9)</f>
        <v>8.9545999999999992</v>
      </c>
      <c r="E625" s="33">
        <f>9.9337 * CHOOSE(CONTROL!$C$32, $C$9, 100%, $E$9)</f>
        <v>9.9337</v>
      </c>
      <c r="F625" s="33">
        <f>9.9337 * CHOOSE(CONTROL!$C$32, $C$9, 100%, $E$9)</f>
        <v>9.9337</v>
      </c>
      <c r="G625" s="33">
        <f>9.9373 * CHOOSE(CONTROL!$C$32, $C$9, 100%, $E$9)</f>
        <v>9.9373000000000005</v>
      </c>
      <c r="H625" s="33">
        <f>20.1988 * CHOOSE(CONTROL!$C$32, $C$9, 100%, $E$9)</f>
        <v>20.198799999999999</v>
      </c>
      <c r="I625" s="33">
        <f>20.2024 * CHOOSE(CONTROL!$C$32, $C$9, 100%, $E$9)</f>
        <v>20.202400000000001</v>
      </c>
      <c r="J625" s="33">
        <f>20.1988 * CHOOSE(CONTROL!$C$32, $C$9, 100%, $E$9)</f>
        <v>20.198799999999999</v>
      </c>
      <c r="K625" s="33">
        <f>20.2024 * CHOOSE(CONTROL!$C$32, $C$9, 100%, $E$9)</f>
        <v>20.202400000000001</v>
      </c>
      <c r="L625" s="33">
        <f>9.9337 * CHOOSE(CONTROL!$C$32, $C$9, 100%, $E$9)</f>
        <v>9.9337</v>
      </c>
      <c r="M625" s="33">
        <f>9.9373 * CHOOSE(CONTROL!$C$32, $C$9, 100%, $E$9)</f>
        <v>9.9373000000000005</v>
      </c>
      <c r="N625" s="33">
        <f>9.9337 * CHOOSE(CONTROL!$C$32, $C$9, 100%, $E$9)</f>
        <v>9.9337</v>
      </c>
      <c r="O625" s="33">
        <f>9.9373 * CHOOSE(CONTROL!$C$32, $C$9, 100%, $E$9)</f>
        <v>9.9373000000000005</v>
      </c>
    </row>
    <row r="626" spans="1:15" ht="15" x14ac:dyDescent="0.2">
      <c r="A626" s="16">
        <v>59902</v>
      </c>
      <c r="B626" s="32">
        <f>9.0069 * CHOOSE(CONTROL!$C$32, $C$9, 100%, $E$9)</f>
        <v>9.0068999999999999</v>
      </c>
      <c r="C626" s="32">
        <f>9.0069 * CHOOSE(CONTROL!$C$32, $C$9, 100%, $E$9)</f>
        <v>9.0068999999999999</v>
      </c>
      <c r="D626" s="32">
        <f>9.008 * CHOOSE(CONTROL!$C$32, $C$9, 100%, $E$9)</f>
        <v>9.0079999999999991</v>
      </c>
      <c r="E626" s="33">
        <f>10.0955 * CHOOSE(CONTROL!$C$32, $C$9, 100%, $E$9)</f>
        <v>10.095499999999999</v>
      </c>
      <c r="F626" s="33">
        <f>10.0955 * CHOOSE(CONTROL!$C$32, $C$9, 100%, $E$9)</f>
        <v>10.095499999999999</v>
      </c>
      <c r="G626" s="33">
        <f>10.0991 * CHOOSE(CONTROL!$C$32, $C$9, 100%, $E$9)</f>
        <v>10.0991</v>
      </c>
      <c r="H626" s="33">
        <f>20.2057 * CHOOSE(CONTROL!$C$32, $C$9, 100%, $E$9)</f>
        <v>20.2057</v>
      </c>
      <c r="I626" s="33">
        <f>20.2093 * CHOOSE(CONTROL!$C$32, $C$9, 100%, $E$9)</f>
        <v>20.209299999999999</v>
      </c>
      <c r="J626" s="33">
        <f>20.2057 * CHOOSE(CONTROL!$C$32, $C$9, 100%, $E$9)</f>
        <v>20.2057</v>
      </c>
      <c r="K626" s="33">
        <f>20.2093 * CHOOSE(CONTROL!$C$32, $C$9, 100%, $E$9)</f>
        <v>20.209299999999999</v>
      </c>
      <c r="L626" s="33">
        <f>10.0955 * CHOOSE(CONTROL!$C$32, $C$9, 100%, $E$9)</f>
        <v>10.095499999999999</v>
      </c>
      <c r="M626" s="33">
        <f>10.0991 * CHOOSE(CONTROL!$C$32, $C$9, 100%, $E$9)</f>
        <v>10.0991</v>
      </c>
      <c r="N626" s="33">
        <f>10.0955 * CHOOSE(CONTROL!$C$32, $C$9, 100%, $E$9)</f>
        <v>10.095499999999999</v>
      </c>
      <c r="O626" s="33">
        <f>10.0991 * CHOOSE(CONTROL!$C$32, $C$9, 100%, $E$9)</f>
        <v>10.0991</v>
      </c>
    </row>
    <row r="627" spans="1:15" ht="15" x14ac:dyDescent="0.2">
      <c r="A627" s="16">
        <v>59933</v>
      </c>
      <c r="B627" s="32">
        <f>9.0039 * CHOOSE(CONTROL!$C$32, $C$9, 100%, $E$9)</f>
        <v>9.0038999999999998</v>
      </c>
      <c r="C627" s="32">
        <f>9.0039 * CHOOSE(CONTROL!$C$32, $C$9, 100%, $E$9)</f>
        <v>9.0038999999999998</v>
      </c>
      <c r="D627" s="32">
        <f>9.005 * CHOOSE(CONTROL!$C$32, $C$9, 100%, $E$9)</f>
        <v>9.0050000000000008</v>
      </c>
      <c r="E627" s="33">
        <f>9.847 * CHOOSE(CONTROL!$C$32, $C$9, 100%, $E$9)</f>
        <v>9.8469999999999995</v>
      </c>
      <c r="F627" s="33">
        <f>9.847 * CHOOSE(CONTROL!$C$32, $C$9, 100%, $E$9)</f>
        <v>9.8469999999999995</v>
      </c>
      <c r="G627" s="33">
        <f>9.8506 * CHOOSE(CONTROL!$C$32, $C$9, 100%, $E$9)</f>
        <v>9.8506</v>
      </c>
      <c r="H627" s="33">
        <f>20.2478 * CHOOSE(CONTROL!$C$32, $C$9, 100%, $E$9)</f>
        <v>20.247800000000002</v>
      </c>
      <c r="I627" s="33">
        <f>20.2514 * CHOOSE(CONTROL!$C$32, $C$9, 100%, $E$9)</f>
        <v>20.2514</v>
      </c>
      <c r="J627" s="33">
        <f>20.2478 * CHOOSE(CONTROL!$C$32, $C$9, 100%, $E$9)</f>
        <v>20.247800000000002</v>
      </c>
      <c r="K627" s="33">
        <f>20.2514 * CHOOSE(CONTROL!$C$32, $C$9, 100%, $E$9)</f>
        <v>20.2514</v>
      </c>
      <c r="L627" s="33">
        <f>9.847 * CHOOSE(CONTROL!$C$32, $C$9, 100%, $E$9)</f>
        <v>9.8469999999999995</v>
      </c>
      <c r="M627" s="33">
        <f>9.8506 * CHOOSE(CONTROL!$C$32, $C$9, 100%, $E$9)</f>
        <v>9.8506</v>
      </c>
      <c r="N627" s="33">
        <f>9.847 * CHOOSE(CONTROL!$C$32, $C$9, 100%, $E$9)</f>
        <v>9.8469999999999995</v>
      </c>
      <c r="O627" s="33">
        <f>9.8506 * CHOOSE(CONTROL!$C$32, $C$9, 100%, $E$9)</f>
        <v>9.8506</v>
      </c>
    </row>
    <row r="628" spans="1:15" ht="15" x14ac:dyDescent="0.2">
      <c r="A628" s="16">
        <v>59962</v>
      </c>
      <c r="B628" s="32">
        <f>9.0008 * CHOOSE(CONTROL!$C$32, $C$9, 100%, $E$9)</f>
        <v>9.0007999999999999</v>
      </c>
      <c r="C628" s="32">
        <f>9.0008 * CHOOSE(CONTROL!$C$32, $C$9, 100%, $E$9)</f>
        <v>9.0007999999999999</v>
      </c>
      <c r="D628" s="32">
        <f>9.0019 * CHOOSE(CONTROL!$C$32, $C$9, 100%, $E$9)</f>
        <v>9.0018999999999991</v>
      </c>
      <c r="E628" s="33">
        <f>10.0391 * CHOOSE(CONTROL!$C$32, $C$9, 100%, $E$9)</f>
        <v>10.039099999999999</v>
      </c>
      <c r="F628" s="33">
        <f>10.0391 * CHOOSE(CONTROL!$C$32, $C$9, 100%, $E$9)</f>
        <v>10.039099999999999</v>
      </c>
      <c r="G628" s="33">
        <f>10.0427 * CHOOSE(CONTROL!$C$32, $C$9, 100%, $E$9)</f>
        <v>10.0427</v>
      </c>
      <c r="H628" s="33">
        <f>20.2899 * CHOOSE(CONTROL!$C$32, $C$9, 100%, $E$9)</f>
        <v>20.289899999999999</v>
      </c>
      <c r="I628" s="33">
        <f>20.2936 * CHOOSE(CONTROL!$C$32, $C$9, 100%, $E$9)</f>
        <v>20.293600000000001</v>
      </c>
      <c r="J628" s="33">
        <f>20.2899 * CHOOSE(CONTROL!$C$32, $C$9, 100%, $E$9)</f>
        <v>20.289899999999999</v>
      </c>
      <c r="K628" s="33">
        <f>20.2936 * CHOOSE(CONTROL!$C$32, $C$9, 100%, $E$9)</f>
        <v>20.293600000000001</v>
      </c>
      <c r="L628" s="33">
        <f>10.0391 * CHOOSE(CONTROL!$C$32, $C$9, 100%, $E$9)</f>
        <v>10.039099999999999</v>
      </c>
      <c r="M628" s="33">
        <f>10.0427 * CHOOSE(CONTROL!$C$32, $C$9, 100%, $E$9)</f>
        <v>10.0427</v>
      </c>
      <c r="N628" s="33">
        <f>10.0391 * CHOOSE(CONTROL!$C$32, $C$9, 100%, $E$9)</f>
        <v>10.039099999999999</v>
      </c>
      <c r="O628" s="33">
        <f>10.0427 * CHOOSE(CONTROL!$C$32, $C$9, 100%, $E$9)</f>
        <v>10.0427</v>
      </c>
    </row>
    <row r="629" spans="1:15" ht="15" x14ac:dyDescent="0.2">
      <c r="A629" s="16">
        <v>59993</v>
      </c>
      <c r="B629" s="32">
        <f>9.0033 * CHOOSE(CONTROL!$C$32, $C$9, 100%, $E$9)</f>
        <v>9.0032999999999994</v>
      </c>
      <c r="C629" s="32">
        <f>9.0033 * CHOOSE(CONTROL!$C$32, $C$9, 100%, $E$9)</f>
        <v>9.0032999999999994</v>
      </c>
      <c r="D629" s="32">
        <f>9.0044 * CHOOSE(CONTROL!$C$32, $C$9, 100%, $E$9)</f>
        <v>9.0044000000000004</v>
      </c>
      <c r="E629" s="33">
        <f>10.2435 * CHOOSE(CONTROL!$C$32, $C$9, 100%, $E$9)</f>
        <v>10.243499999999999</v>
      </c>
      <c r="F629" s="33">
        <f>10.2435 * CHOOSE(CONTROL!$C$32, $C$9, 100%, $E$9)</f>
        <v>10.243499999999999</v>
      </c>
      <c r="G629" s="33">
        <f>10.2471 * CHOOSE(CONTROL!$C$32, $C$9, 100%, $E$9)</f>
        <v>10.2471</v>
      </c>
      <c r="H629" s="33">
        <f>20.3322 * CHOOSE(CONTROL!$C$32, $C$9, 100%, $E$9)</f>
        <v>20.3322</v>
      </c>
      <c r="I629" s="33">
        <f>20.3358 * CHOOSE(CONTROL!$C$32, $C$9, 100%, $E$9)</f>
        <v>20.335799999999999</v>
      </c>
      <c r="J629" s="33">
        <f>20.3322 * CHOOSE(CONTROL!$C$32, $C$9, 100%, $E$9)</f>
        <v>20.3322</v>
      </c>
      <c r="K629" s="33">
        <f>20.3358 * CHOOSE(CONTROL!$C$32, $C$9, 100%, $E$9)</f>
        <v>20.335799999999999</v>
      </c>
      <c r="L629" s="33">
        <f>10.2435 * CHOOSE(CONTROL!$C$32, $C$9, 100%, $E$9)</f>
        <v>10.243499999999999</v>
      </c>
      <c r="M629" s="33">
        <f>10.2471 * CHOOSE(CONTROL!$C$32, $C$9, 100%, $E$9)</f>
        <v>10.2471</v>
      </c>
      <c r="N629" s="33">
        <f>10.2435 * CHOOSE(CONTROL!$C$32, $C$9, 100%, $E$9)</f>
        <v>10.243499999999999</v>
      </c>
      <c r="O629" s="33">
        <f>10.2471 * CHOOSE(CONTROL!$C$32, $C$9, 100%, $E$9)</f>
        <v>10.2471</v>
      </c>
    </row>
    <row r="630" spans="1:15" ht="15" x14ac:dyDescent="0.2">
      <c r="A630" s="16">
        <v>60023</v>
      </c>
      <c r="B630" s="32">
        <f>9.0033 * CHOOSE(CONTROL!$C$32, $C$9, 100%, $E$9)</f>
        <v>9.0032999999999994</v>
      </c>
      <c r="C630" s="32">
        <f>9.0033 * CHOOSE(CONTROL!$C$32, $C$9, 100%, $E$9)</f>
        <v>9.0032999999999994</v>
      </c>
      <c r="D630" s="32">
        <f>9.0049 * CHOOSE(CONTROL!$C$32, $C$9, 100%, $E$9)</f>
        <v>9.0048999999999992</v>
      </c>
      <c r="E630" s="33">
        <f>10.3217 * CHOOSE(CONTROL!$C$32, $C$9, 100%, $E$9)</f>
        <v>10.3217</v>
      </c>
      <c r="F630" s="33">
        <f>10.3217 * CHOOSE(CONTROL!$C$32, $C$9, 100%, $E$9)</f>
        <v>10.3217</v>
      </c>
      <c r="G630" s="33">
        <f>10.327 * CHOOSE(CONTROL!$C$32, $C$9, 100%, $E$9)</f>
        <v>10.327</v>
      </c>
      <c r="H630" s="33">
        <f>20.3746 * CHOOSE(CONTROL!$C$32, $C$9, 100%, $E$9)</f>
        <v>20.374600000000001</v>
      </c>
      <c r="I630" s="33">
        <f>20.3799 * CHOOSE(CONTROL!$C$32, $C$9, 100%, $E$9)</f>
        <v>20.379899999999999</v>
      </c>
      <c r="J630" s="33">
        <f>20.3746 * CHOOSE(CONTROL!$C$32, $C$9, 100%, $E$9)</f>
        <v>20.374600000000001</v>
      </c>
      <c r="K630" s="33">
        <f>20.3799 * CHOOSE(CONTROL!$C$32, $C$9, 100%, $E$9)</f>
        <v>20.379899999999999</v>
      </c>
      <c r="L630" s="33">
        <f>10.3217 * CHOOSE(CONTROL!$C$32, $C$9, 100%, $E$9)</f>
        <v>10.3217</v>
      </c>
      <c r="M630" s="33">
        <f>10.327 * CHOOSE(CONTROL!$C$32, $C$9, 100%, $E$9)</f>
        <v>10.327</v>
      </c>
      <c r="N630" s="33">
        <f>10.3217 * CHOOSE(CONTROL!$C$32, $C$9, 100%, $E$9)</f>
        <v>10.3217</v>
      </c>
      <c r="O630" s="33">
        <f>10.327 * CHOOSE(CONTROL!$C$32, $C$9, 100%, $E$9)</f>
        <v>10.327</v>
      </c>
    </row>
    <row r="631" spans="1:15" ht="15" x14ac:dyDescent="0.2">
      <c r="A631" s="16">
        <v>60054</v>
      </c>
      <c r="B631" s="32">
        <f>9.0094 * CHOOSE(CONTROL!$C$32, $C$9, 100%, $E$9)</f>
        <v>9.0093999999999994</v>
      </c>
      <c r="C631" s="32">
        <f>9.0094 * CHOOSE(CONTROL!$C$32, $C$9, 100%, $E$9)</f>
        <v>9.0093999999999994</v>
      </c>
      <c r="D631" s="32">
        <f>9.011 * CHOOSE(CONTROL!$C$32, $C$9, 100%, $E$9)</f>
        <v>9.0109999999999992</v>
      </c>
      <c r="E631" s="33">
        <f>10.2477 * CHOOSE(CONTROL!$C$32, $C$9, 100%, $E$9)</f>
        <v>10.2477</v>
      </c>
      <c r="F631" s="33">
        <f>10.2477 * CHOOSE(CONTROL!$C$32, $C$9, 100%, $E$9)</f>
        <v>10.2477</v>
      </c>
      <c r="G631" s="33">
        <f>10.253 * CHOOSE(CONTROL!$C$32, $C$9, 100%, $E$9)</f>
        <v>10.253</v>
      </c>
      <c r="H631" s="33">
        <f>20.417 * CHOOSE(CONTROL!$C$32, $C$9, 100%, $E$9)</f>
        <v>20.417000000000002</v>
      </c>
      <c r="I631" s="33">
        <f>20.4223 * CHOOSE(CONTROL!$C$32, $C$9, 100%, $E$9)</f>
        <v>20.4223</v>
      </c>
      <c r="J631" s="33">
        <f>20.417 * CHOOSE(CONTROL!$C$32, $C$9, 100%, $E$9)</f>
        <v>20.417000000000002</v>
      </c>
      <c r="K631" s="33">
        <f>20.4223 * CHOOSE(CONTROL!$C$32, $C$9, 100%, $E$9)</f>
        <v>20.4223</v>
      </c>
      <c r="L631" s="33">
        <f>10.2477 * CHOOSE(CONTROL!$C$32, $C$9, 100%, $E$9)</f>
        <v>10.2477</v>
      </c>
      <c r="M631" s="33">
        <f>10.253 * CHOOSE(CONTROL!$C$32, $C$9, 100%, $E$9)</f>
        <v>10.253</v>
      </c>
      <c r="N631" s="33">
        <f>10.2477 * CHOOSE(CONTROL!$C$32, $C$9, 100%, $E$9)</f>
        <v>10.2477</v>
      </c>
      <c r="O631" s="33">
        <f>10.253 * CHOOSE(CONTROL!$C$32, $C$9, 100%, $E$9)</f>
        <v>10.253</v>
      </c>
    </row>
    <row r="632" spans="1:15" ht="15" x14ac:dyDescent="0.2">
      <c r="A632" s="16">
        <v>60084</v>
      </c>
      <c r="B632" s="32">
        <f>9.1229 * CHOOSE(CONTROL!$C$32, $C$9, 100%, $E$9)</f>
        <v>9.1228999999999996</v>
      </c>
      <c r="C632" s="32">
        <f>9.1229 * CHOOSE(CONTROL!$C$32, $C$9, 100%, $E$9)</f>
        <v>9.1228999999999996</v>
      </c>
      <c r="D632" s="32">
        <f>9.1245 * CHOOSE(CONTROL!$C$32, $C$9, 100%, $E$9)</f>
        <v>9.1244999999999994</v>
      </c>
      <c r="E632" s="33">
        <f>10.3906 * CHOOSE(CONTROL!$C$32, $C$9, 100%, $E$9)</f>
        <v>10.390599999999999</v>
      </c>
      <c r="F632" s="33">
        <f>10.3906 * CHOOSE(CONTROL!$C$32, $C$9, 100%, $E$9)</f>
        <v>10.390599999999999</v>
      </c>
      <c r="G632" s="33">
        <f>10.3959 * CHOOSE(CONTROL!$C$32, $C$9, 100%, $E$9)</f>
        <v>10.395899999999999</v>
      </c>
      <c r="H632" s="33">
        <f>20.4596 * CHOOSE(CONTROL!$C$32, $C$9, 100%, $E$9)</f>
        <v>20.459599999999998</v>
      </c>
      <c r="I632" s="33">
        <f>20.4649 * CHOOSE(CONTROL!$C$32, $C$9, 100%, $E$9)</f>
        <v>20.4649</v>
      </c>
      <c r="J632" s="33">
        <f>20.4596 * CHOOSE(CONTROL!$C$32, $C$9, 100%, $E$9)</f>
        <v>20.459599999999998</v>
      </c>
      <c r="K632" s="33">
        <f>20.4649 * CHOOSE(CONTROL!$C$32, $C$9, 100%, $E$9)</f>
        <v>20.4649</v>
      </c>
      <c r="L632" s="33">
        <f>10.3906 * CHOOSE(CONTROL!$C$32, $C$9, 100%, $E$9)</f>
        <v>10.390599999999999</v>
      </c>
      <c r="M632" s="33">
        <f>10.3959 * CHOOSE(CONTROL!$C$32, $C$9, 100%, $E$9)</f>
        <v>10.395899999999999</v>
      </c>
      <c r="N632" s="33">
        <f>10.3906 * CHOOSE(CONTROL!$C$32, $C$9, 100%, $E$9)</f>
        <v>10.390599999999999</v>
      </c>
      <c r="O632" s="33">
        <f>10.3959 * CHOOSE(CONTROL!$C$32, $C$9, 100%, $E$9)</f>
        <v>10.395899999999999</v>
      </c>
    </row>
    <row r="633" spans="1:15" ht="15" x14ac:dyDescent="0.2">
      <c r="A633" s="16">
        <v>60115</v>
      </c>
      <c r="B633" s="32">
        <f>9.1296 * CHOOSE(CONTROL!$C$32, $C$9, 100%, $E$9)</f>
        <v>9.1295999999999999</v>
      </c>
      <c r="C633" s="32">
        <f>9.1296 * CHOOSE(CONTROL!$C$32, $C$9, 100%, $E$9)</f>
        <v>9.1295999999999999</v>
      </c>
      <c r="D633" s="32">
        <f>9.1312 * CHOOSE(CONTROL!$C$32, $C$9, 100%, $E$9)</f>
        <v>9.1311999999999998</v>
      </c>
      <c r="E633" s="33">
        <f>10.1606 * CHOOSE(CONTROL!$C$32, $C$9, 100%, $E$9)</f>
        <v>10.160600000000001</v>
      </c>
      <c r="F633" s="33">
        <f>10.1606 * CHOOSE(CONTROL!$C$32, $C$9, 100%, $E$9)</f>
        <v>10.160600000000001</v>
      </c>
      <c r="G633" s="33">
        <f>10.1659 * CHOOSE(CONTROL!$C$32, $C$9, 100%, $E$9)</f>
        <v>10.165900000000001</v>
      </c>
      <c r="H633" s="33">
        <f>20.5022 * CHOOSE(CONTROL!$C$32, $C$9, 100%, $E$9)</f>
        <v>20.502199999999998</v>
      </c>
      <c r="I633" s="33">
        <f>20.5075 * CHOOSE(CONTROL!$C$32, $C$9, 100%, $E$9)</f>
        <v>20.5075</v>
      </c>
      <c r="J633" s="33">
        <f>20.5022 * CHOOSE(CONTROL!$C$32, $C$9, 100%, $E$9)</f>
        <v>20.502199999999998</v>
      </c>
      <c r="K633" s="33">
        <f>20.5075 * CHOOSE(CONTROL!$C$32, $C$9, 100%, $E$9)</f>
        <v>20.5075</v>
      </c>
      <c r="L633" s="33">
        <f>10.1606 * CHOOSE(CONTROL!$C$32, $C$9, 100%, $E$9)</f>
        <v>10.160600000000001</v>
      </c>
      <c r="M633" s="33">
        <f>10.1659 * CHOOSE(CONTROL!$C$32, $C$9, 100%, $E$9)</f>
        <v>10.165900000000001</v>
      </c>
      <c r="N633" s="33">
        <f>10.1606 * CHOOSE(CONTROL!$C$32, $C$9, 100%, $E$9)</f>
        <v>10.160600000000001</v>
      </c>
      <c r="O633" s="33">
        <f>10.1659 * CHOOSE(CONTROL!$C$32, $C$9, 100%, $E$9)</f>
        <v>10.165900000000001</v>
      </c>
    </row>
    <row r="634" spans="1:15" ht="15" x14ac:dyDescent="0.2">
      <c r="A634" s="16">
        <v>60146</v>
      </c>
      <c r="B634" s="32">
        <f>9.1266 * CHOOSE(CONTROL!$C$32, $C$9, 100%, $E$9)</f>
        <v>9.1265999999999998</v>
      </c>
      <c r="C634" s="32">
        <f>9.1266 * CHOOSE(CONTROL!$C$32, $C$9, 100%, $E$9)</f>
        <v>9.1265999999999998</v>
      </c>
      <c r="D634" s="32">
        <f>9.1282 * CHOOSE(CONTROL!$C$32, $C$9, 100%, $E$9)</f>
        <v>9.1281999999999996</v>
      </c>
      <c r="E634" s="33">
        <f>10.1324 * CHOOSE(CONTROL!$C$32, $C$9, 100%, $E$9)</f>
        <v>10.132400000000001</v>
      </c>
      <c r="F634" s="33">
        <f>10.1324 * CHOOSE(CONTROL!$C$32, $C$9, 100%, $E$9)</f>
        <v>10.132400000000001</v>
      </c>
      <c r="G634" s="33">
        <f>10.1377 * CHOOSE(CONTROL!$C$32, $C$9, 100%, $E$9)</f>
        <v>10.137700000000001</v>
      </c>
      <c r="H634" s="33">
        <f>20.5449 * CHOOSE(CONTROL!$C$32, $C$9, 100%, $E$9)</f>
        <v>20.544899999999998</v>
      </c>
      <c r="I634" s="33">
        <f>20.5502 * CHOOSE(CONTROL!$C$32, $C$9, 100%, $E$9)</f>
        <v>20.5502</v>
      </c>
      <c r="J634" s="33">
        <f>20.5449 * CHOOSE(CONTROL!$C$32, $C$9, 100%, $E$9)</f>
        <v>20.544899999999998</v>
      </c>
      <c r="K634" s="33">
        <f>20.5502 * CHOOSE(CONTROL!$C$32, $C$9, 100%, $E$9)</f>
        <v>20.5502</v>
      </c>
      <c r="L634" s="33">
        <f>10.1324 * CHOOSE(CONTROL!$C$32, $C$9, 100%, $E$9)</f>
        <v>10.132400000000001</v>
      </c>
      <c r="M634" s="33">
        <f>10.1377 * CHOOSE(CONTROL!$C$32, $C$9, 100%, $E$9)</f>
        <v>10.137700000000001</v>
      </c>
      <c r="N634" s="33">
        <f>10.1324 * CHOOSE(CONTROL!$C$32, $C$9, 100%, $E$9)</f>
        <v>10.132400000000001</v>
      </c>
      <c r="O634" s="33">
        <f>10.1377 * CHOOSE(CONTROL!$C$32, $C$9, 100%, $E$9)</f>
        <v>10.137700000000001</v>
      </c>
    </row>
    <row r="635" spans="1:15" ht="15" x14ac:dyDescent="0.2">
      <c r="A635" s="16">
        <v>60176</v>
      </c>
      <c r="B635" s="32">
        <f>9.1408 * CHOOSE(CONTROL!$C$32, $C$9, 100%, $E$9)</f>
        <v>9.1408000000000005</v>
      </c>
      <c r="C635" s="32">
        <f>9.1408 * CHOOSE(CONTROL!$C$32, $C$9, 100%, $E$9)</f>
        <v>9.1408000000000005</v>
      </c>
      <c r="D635" s="32">
        <f>9.1418 * CHOOSE(CONTROL!$C$32, $C$9, 100%, $E$9)</f>
        <v>9.1417999999999999</v>
      </c>
      <c r="E635" s="33">
        <f>10.2233 * CHOOSE(CONTROL!$C$32, $C$9, 100%, $E$9)</f>
        <v>10.2233</v>
      </c>
      <c r="F635" s="33">
        <f>10.2233 * CHOOSE(CONTROL!$C$32, $C$9, 100%, $E$9)</f>
        <v>10.2233</v>
      </c>
      <c r="G635" s="33">
        <f>10.2269 * CHOOSE(CONTROL!$C$32, $C$9, 100%, $E$9)</f>
        <v>10.226900000000001</v>
      </c>
      <c r="H635" s="33">
        <f>20.5877 * CHOOSE(CONTROL!$C$32, $C$9, 100%, $E$9)</f>
        <v>20.587700000000002</v>
      </c>
      <c r="I635" s="33">
        <f>20.5913 * CHOOSE(CONTROL!$C$32, $C$9, 100%, $E$9)</f>
        <v>20.5913</v>
      </c>
      <c r="J635" s="33">
        <f>20.5877 * CHOOSE(CONTROL!$C$32, $C$9, 100%, $E$9)</f>
        <v>20.587700000000002</v>
      </c>
      <c r="K635" s="33">
        <f>20.5913 * CHOOSE(CONTROL!$C$32, $C$9, 100%, $E$9)</f>
        <v>20.5913</v>
      </c>
      <c r="L635" s="33">
        <f>10.2233 * CHOOSE(CONTROL!$C$32, $C$9, 100%, $E$9)</f>
        <v>10.2233</v>
      </c>
      <c r="M635" s="33">
        <f>10.2269 * CHOOSE(CONTROL!$C$32, $C$9, 100%, $E$9)</f>
        <v>10.226900000000001</v>
      </c>
      <c r="N635" s="33">
        <f>10.2233 * CHOOSE(CONTROL!$C$32, $C$9, 100%, $E$9)</f>
        <v>10.2233</v>
      </c>
      <c r="O635" s="33">
        <f>10.2269 * CHOOSE(CONTROL!$C$32, $C$9, 100%, $E$9)</f>
        <v>10.226900000000001</v>
      </c>
    </row>
    <row r="636" spans="1:15" ht="15" x14ac:dyDescent="0.2">
      <c r="A636" s="16">
        <v>60207</v>
      </c>
      <c r="B636" s="32">
        <f>9.1438 * CHOOSE(CONTROL!$C$32, $C$9, 100%, $E$9)</f>
        <v>9.1438000000000006</v>
      </c>
      <c r="C636" s="32">
        <f>9.1438 * CHOOSE(CONTROL!$C$32, $C$9, 100%, $E$9)</f>
        <v>9.1438000000000006</v>
      </c>
      <c r="D636" s="32">
        <f>9.1449 * CHOOSE(CONTROL!$C$32, $C$9, 100%, $E$9)</f>
        <v>9.1448999999999998</v>
      </c>
      <c r="E636" s="33">
        <f>10.2775 * CHOOSE(CONTROL!$C$32, $C$9, 100%, $E$9)</f>
        <v>10.2775</v>
      </c>
      <c r="F636" s="33">
        <f>10.2775 * CHOOSE(CONTROL!$C$32, $C$9, 100%, $E$9)</f>
        <v>10.2775</v>
      </c>
      <c r="G636" s="33">
        <f>10.2811 * CHOOSE(CONTROL!$C$32, $C$9, 100%, $E$9)</f>
        <v>10.2811</v>
      </c>
      <c r="H636" s="33">
        <f>20.6306 * CHOOSE(CONTROL!$C$32, $C$9, 100%, $E$9)</f>
        <v>20.630600000000001</v>
      </c>
      <c r="I636" s="33">
        <f>20.6342 * CHOOSE(CONTROL!$C$32, $C$9, 100%, $E$9)</f>
        <v>20.6342</v>
      </c>
      <c r="J636" s="33">
        <f>20.6306 * CHOOSE(CONTROL!$C$32, $C$9, 100%, $E$9)</f>
        <v>20.630600000000001</v>
      </c>
      <c r="K636" s="33">
        <f>20.6342 * CHOOSE(CONTROL!$C$32, $C$9, 100%, $E$9)</f>
        <v>20.6342</v>
      </c>
      <c r="L636" s="33">
        <f>10.2775 * CHOOSE(CONTROL!$C$32, $C$9, 100%, $E$9)</f>
        <v>10.2775</v>
      </c>
      <c r="M636" s="33">
        <f>10.2811 * CHOOSE(CONTROL!$C$32, $C$9, 100%, $E$9)</f>
        <v>10.2811</v>
      </c>
      <c r="N636" s="33">
        <f>10.2775 * CHOOSE(CONTROL!$C$32, $C$9, 100%, $E$9)</f>
        <v>10.2775</v>
      </c>
      <c r="O636" s="33">
        <f>10.2811 * CHOOSE(CONTROL!$C$32, $C$9, 100%, $E$9)</f>
        <v>10.2811</v>
      </c>
    </row>
    <row r="637" spans="1:15" ht="15" x14ac:dyDescent="0.2">
      <c r="A637" s="16">
        <v>60237</v>
      </c>
      <c r="B637" s="32">
        <f>9.1438 * CHOOSE(CONTROL!$C$32, $C$9, 100%, $E$9)</f>
        <v>9.1438000000000006</v>
      </c>
      <c r="C637" s="32">
        <f>9.1438 * CHOOSE(CONTROL!$C$32, $C$9, 100%, $E$9)</f>
        <v>9.1438000000000006</v>
      </c>
      <c r="D637" s="32">
        <f>9.1449 * CHOOSE(CONTROL!$C$32, $C$9, 100%, $E$9)</f>
        <v>9.1448999999999998</v>
      </c>
      <c r="E637" s="33">
        <f>10.1471 * CHOOSE(CONTROL!$C$32, $C$9, 100%, $E$9)</f>
        <v>10.1471</v>
      </c>
      <c r="F637" s="33">
        <f>10.1471 * CHOOSE(CONTROL!$C$32, $C$9, 100%, $E$9)</f>
        <v>10.1471</v>
      </c>
      <c r="G637" s="33">
        <f>10.1508 * CHOOSE(CONTROL!$C$32, $C$9, 100%, $E$9)</f>
        <v>10.1508</v>
      </c>
      <c r="H637" s="33">
        <f>20.6736 * CHOOSE(CONTROL!$C$32, $C$9, 100%, $E$9)</f>
        <v>20.6736</v>
      </c>
      <c r="I637" s="33">
        <f>20.6772 * CHOOSE(CONTROL!$C$32, $C$9, 100%, $E$9)</f>
        <v>20.677199999999999</v>
      </c>
      <c r="J637" s="33">
        <f>20.6736 * CHOOSE(CONTROL!$C$32, $C$9, 100%, $E$9)</f>
        <v>20.6736</v>
      </c>
      <c r="K637" s="33">
        <f>20.6772 * CHOOSE(CONTROL!$C$32, $C$9, 100%, $E$9)</f>
        <v>20.677199999999999</v>
      </c>
      <c r="L637" s="33">
        <f>10.1471 * CHOOSE(CONTROL!$C$32, $C$9, 100%, $E$9)</f>
        <v>10.1471</v>
      </c>
      <c r="M637" s="33">
        <f>10.1508 * CHOOSE(CONTROL!$C$32, $C$9, 100%, $E$9)</f>
        <v>10.1508</v>
      </c>
      <c r="N637" s="33">
        <f>10.1471 * CHOOSE(CONTROL!$C$32, $C$9, 100%, $E$9)</f>
        <v>10.1471</v>
      </c>
      <c r="O637" s="33">
        <f>10.1508 * CHOOSE(CONTROL!$C$32, $C$9, 100%, $E$9)</f>
        <v>10.1508</v>
      </c>
    </row>
    <row r="638" spans="1:15" ht="15" x14ac:dyDescent="0.2">
      <c r="A638" s="16">
        <v>60268</v>
      </c>
      <c r="B638" s="32">
        <f>9.1943 * CHOOSE(CONTROL!$C$32, $C$9, 100%, $E$9)</f>
        <v>9.1943000000000001</v>
      </c>
      <c r="C638" s="32">
        <f>9.1943 * CHOOSE(CONTROL!$C$32, $C$9, 100%, $E$9)</f>
        <v>9.1943000000000001</v>
      </c>
      <c r="D638" s="32">
        <f>9.1954 * CHOOSE(CONTROL!$C$32, $C$9, 100%, $E$9)</f>
        <v>9.1953999999999994</v>
      </c>
      <c r="E638" s="33">
        <f>10.308 * CHOOSE(CONTROL!$C$32, $C$9, 100%, $E$9)</f>
        <v>10.308</v>
      </c>
      <c r="F638" s="33">
        <f>10.308 * CHOOSE(CONTROL!$C$32, $C$9, 100%, $E$9)</f>
        <v>10.308</v>
      </c>
      <c r="G638" s="33">
        <f>10.3116 * CHOOSE(CONTROL!$C$32, $C$9, 100%, $E$9)</f>
        <v>10.3116</v>
      </c>
      <c r="H638" s="33">
        <f>20.6697 * CHOOSE(CONTROL!$C$32, $C$9, 100%, $E$9)</f>
        <v>20.669699999999999</v>
      </c>
      <c r="I638" s="33">
        <f>20.6733 * CHOOSE(CONTROL!$C$32, $C$9, 100%, $E$9)</f>
        <v>20.673300000000001</v>
      </c>
      <c r="J638" s="33">
        <f>20.6697 * CHOOSE(CONTROL!$C$32, $C$9, 100%, $E$9)</f>
        <v>20.669699999999999</v>
      </c>
      <c r="K638" s="33">
        <f>20.6733 * CHOOSE(CONTROL!$C$32, $C$9, 100%, $E$9)</f>
        <v>20.673300000000001</v>
      </c>
      <c r="L638" s="33">
        <f>10.308 * CHOOSE(CONTROL!$C$32, $C$9, 100%, $E$9)</f>
        <v>10.308</v>
      </c>
      <c r="M638" s="33">
        <f>10.3116 * CHOOSE(CONTROL!$C$32, $C$9, 100%, $E$9)</f>
        <v>10.3116</v>
      </c>
      <c r="N638" s="33">
        <f>10.308 * CHOOSE(CONTROL!$C$32, $C$9, 100%, $E$9)</f>
        <v>10.308</v>
      </c>
      <c r="O638" s="33">
        <f>10.3116 * CHOOSE(CONTROL!$C$32, $C$9, 100%, $E$9)</f>
        <v>10.3116</v>
      </c>
    </row>
    <row r="639" spans="1:15" ht="15" x14ac:dyDescent="0.2">
      <c r="A639" s="16">
        <v>60299</v>
      </c>
      <c r="B639" s="32">
        <f>9.1912 * CHOOSE(CONTROL!$C$32, $C$9, 100%, $E$9)</f>
        <v>9.1912000000000003</v>
      </c>
      <c r="C639" s="32">
        <f>9.1912 * CHOOSE(CONTROL!$C$32, $C$9, 100%, $E$9)</f>
        <v>9.1912000000000003</v>
      </c>
      <c r="D639" s="32">
        <f>9.1923 * CHOOSE(CONTROL!$C$32, $C$9, 100%, $E$9)</f>
        <v>9.1922999999999995</v>
      </c>
      <c r="E639" s="33">
        <f>10.0524 * CHOOSE(CONTROL!$C$32, $C$9, 100%, $E$9)</f>
        <v>10.0524</v>
      </c>
      <c r="F639" s="33">
        <f>10.0524 * CHOOSE(CONTROL!$C$32, $C$9, 100%, $E$9)</f>
        <v>10.0524</v>
      </c>
      <c r="G639" s="33">
        <f>10.056 * CHOOSE(CONTROL!$C$32, $C$9, 100%, $E$9)</f>
        <v>10.055999999999999</v>
      </c>
      <c r="H639" s="33">
        <f>20.7128 * CHOOSE(CONTROL!$C$32, $C$9, 100%, $E$9)</f>
        <v>20.712800000000001</v>
      </c>
      <c r="I639" s="33">
        <f>20.7164 * CHOOSE(CONTROL!$C$32, $C$9, 100%, $E$9)</f>
        <v>20.7164</v>
      </c>
      <c r="J639" s="33">
        <f>20.7128 * CHOOSE(CONTROL!$C$32, $C$9, 100%, $E$9)</f>
        <v>20.712800000000001</v>
      </c>
      <c r="K639" s="33">
        <f>20.7164 * CHOOSE(CONTROL!$C$32, $C$9, 100%, $E$9)</f>
        <v>20.7164</v>
      </c>
      <c r="L639" s="33">
        <f>10.0524 * CHOOSE(CONTROL!$C$32, $C$9, 100%, $E$9)</f>
        <v>10.0524</v>
      </c>
      <c r="M639" s="33">
        <f>10.056 * CHOOSE(CONTROL!$C$32, $C$9, 100%, $E$9)</f>
        <v>10.055999999999999</v>
      </c>
      <c r="N639" s="33">
        <f>10.0524 * CHOOSE(CONTROL!$C$32, $C$9, 100%, $E$9)</f>
        <v>10.0524</v>
      </c>
      <c r="O639" s="33">
        <f>10.056 * CHOOSE(CONTROL!$C$32, $C$9, 100%, $E$9)</f>
        <v>10.055999999999999</v>
      </c>
    </row>
    <row r="640" spans="1:15" ht="15" x14ac:dyDescent="0.2">
      <c r="A640" s="16">
        <v>60327</v>
      </c>
      <c r="B640" s="32">
        <f>9.1882 * CHOOSE(CONTROL!$C$32, $C$9, 100%, $E$9)</f>
        <v>9.1882000000000001</v>
      </c>
      <c r="C640" s="32">
        <f>9.1882 * CHOOSE(CONTROL!$C$32, $C$9, 100%, $E$9)</f>
        <v>9.1882000000000001</v>
      </c>
      <c r="D640" s="32">
        <f>9.1893 * CHOOSE(CONTROL!$C$32, $C$9, 100%, $E$9)</f>
        <v>9.1892999999999994</v>
      </c>
      <c r="E640" s="33">
        <f>10.2501 * CHOOSE(CONTROL!$C$32, $C$9, 100%, $E$9)</f>
        <v>10.2501</v>
      </c>
      <c r="F640" s="33">
        <f>10.2501 * CHOOSE(CONTROL!$C$32, $C$9, 100%, $E$9)</f>
        <v>10.2501</v>
      </c>
      <c r="G640" s="33">
        <f>10.2537 * CHOOSE(CONTROL!$C$32, $C$9, 100%, $E$9)</f>
        <v>10.2537</v>
      </c>
      <c r="H640" s="33">
        <f>20.7559 * CHOOSE(CONTROL!$C$32, $C$9, 100%, $E$9)</f>
        <v>20.7559</v>
      </c>
      <c r="I640" s="33">
        <f>20.7595 * CHOOSE(CONTROL!$C$32, $C$9, 100%, $E$9)</f>
        <v>20.759499999999999</v>
      </c>
      <c r="J640" s="33">
        <f>20.7559 * CHOOSE(CONTROL!$C$32, $C$9, 100%, $E$9)</f>
        <v>20.7559</v>
      </c>
      <c r="K640" s="33">
        <f>20.7595 * CHOOSE(CONTROL!$C$32, $C$9, 100%, $E$9)</f>
        <v>20.759499999999999</v>
      </c>
      <c r="L640" s="33">
        <f>10.2501 * CHOOSE(CONTROL!$C$32, $C$9, 100%, $E$9)</f>
        <v>10.2501</v>
      </c>
      <c r="M640" s="33">
        <f>10.2537 * CHOOSE(CONTROL!$C$32, $C$9, 100%, $E$9)</f>
        <v>10.2537</v>
      </c>
      <c r="N640" s="33">
        <f>10.2501 * CHOOSE(CONTROL!$C$32, $C$9, 100%, $E$9)</f>
        <v>10.2501</v>
      </c>
      <c r="O640" s="33">
        <f>10.2537 * CHOOSE(CONTROL!$C$32, $C$9, 100%, $E$9)</f>
        <v>10.2537</v>
      </c>
    </row>
    <row r="641" spans="1:15" ht="15" x14ac:dyDescent="0.2">
      <c r="A641" s="16">
        <v>60358</v>
      </c>
      <c r="B641" s="32">
        <f>9.1909 * CHOOSE(CONTROL!$C$32, $C$9, 100%, $E$9)</f>
        <v>9.1908999999999992</v>
      </c>
      <c r="C641" s="32">
        <f>9.1909 * CHOOSE(CONTROL!$C$32, $C$9, 100%, $E$9)</f>
        <v>9.1908999999999992</v>
      </c>
      <c r="D641" s="32">
        <f>9.192 * CHOOSE(CONTROL!$C$32, $C$9, 100%, $E$9)</f>
        <v>9.1920000000000002</v>
      </c>
      <c r="E641" s="33">
        <f>10.4605 * CHOOSE(CONTROL!$C$32, $C$9, 100%, $E$9)</f>
        <v>10.4605</v>
      </c>
      <c r="F641" s="33">
        <f>10.4605 * CHOOSE(CONTROL!$C$32, $C$9, 100%, $E$9)</f>
        <v>10.4605</v>
      </c>
      <c r="G641" s="33">
        <f>10.4641 * CHOOSE(CONTROL!$C$32, $C$9, 100%, $E$9)</f>
        <v>10.4641</v>
      </c>
      <c r="H641" s="33">
        <f>20.7992 * CHOOSE(CONTROL!$C$32, $C$9, 100%, $E$9)</f>
        <v>20.799199999999999</v>
      </c>
      <c r="I641" s="33">
        <f>20.8028 * CHOOSE(CONTROL!$C$32, $C$9, 100%, $E$9)</f>
        <v>20.802800000000001</v>
      </c>
      <c r="J641" s="33">
        <f>20.7992 * CHOOSE(CONTROL!$C$32, $C$9, 100%, $E$9)</f>
        <v>20.799199999999999</v>
      </c>
      <c r="K641" s="33">
        <f>20.8028 * CHOOSE(CONTROL!$C$32, $C$9, 100%, $E$9)</f>
        <v>20.802800000000001</v>
      </c>
      <c r="L641" s="33">
        <f>10.4605 * CHOOSE(CONTROL!$C$32, $C$9, 100%, $E$9)</f>
        <v>10.4605</v>
      </c>
      <c r="M641" s="33">
        <f>10.4641 * CHOOSE(CONTROL!$C$32, $C$9, 100%, $E$9)</f>
        <v>10.4641</v>
      </c>
      <c r="N641" s="33">
        <f>10.4605 * CHOOSE(CONTROL!$C$32, $C$9, 100%, $E$9)</f>
        <v>10.4605</v>
      </c>
      <c r="O641" s="33">
        <f>10.4641 * CHOOSE(CONTROL!$C$32, $C$9, 100%, $E$9)</f>
        <v>10.4641</v>
      </c>
    </row>
    <row r="642" spans="1:15" ht="15" x14ac:dyDescent="0.2">
      <c r="A642" s="16">
        <v>60388</v>
      </c>
      <c r="B642" s="32">
        <f>9.1909 * CHOOSE(CONTROL!$C$32, $C$9, 100%, $E$9)</f>
        <v>9.1908999999999992</v>
      </c>
      <c r="C642" s="32">
        <f>9.1909 * CHOOSE(CONTROL!$C$32, $C$9, 100%, $E$9)</f>
        <v>9.1908999999999992</v>
      </c>
      <c r="D642" s="32">
        <f>9.1925 * CHOOSE(CONTROL!$C$32, $C$9, 100%, $E$9)</f>
        <v>9.1925000000000008</v>
      </c>
      <c r="E642" s="33">
        <f>10.541 * CHOOSE(CONTROL!$C$32, $C$9, 100%, $E$9)</f>
        <v>10.541</v>
      </c>
      <c r="F642" s="33">
        <f>10.541 * CHOOSE(CONTROL!$C$32, $C$9, 100%, $E$9)</f>
        <v>10.541</v>
      </c>
      <c r="G642" s="33">
        <f>10.5462 * CHOOSE(CONTROL!$C$32, $C$9, 100%, $E$9)</f>
        <v>10.546200000000001</v>
      </c>
      <c r="H642" s="33">
        <f>20.8425 * CHOOSE(CONTROL!$C$32, $C$9, 100%, $E$9)</f>
        <v>20.842500000000001</v>
      </c>
      <c r="I642" s="33">
        <f>20.8478 * CHOOSE(CONTROL!$C$32, $C$9, 100%, $E$9)</f>
        <v>20.847799999999999</v>
      </c>
      <c r="J642" s="33">
        <f>20.8425 * CHOOSE(CONTROL!$C$32, $C$9, 100%, $E$9)</f>
        <v>20.842500000000001</v>
      </c>
      <c r="K642" s="33">
        <f>20.8478 * CHOOSE(CONTROL!$C$32, $C$9, 100%, $E$9)</f>
        <v>20.847799999999999</v>
      </c>
      <c r="L642" s="33">
        <f>10.541 * CHOOSE(CONTROL!$C$32, $C$9, 100%, $E$9)</f>
        <v>10.541</v>
      </c>
      <c r="M642" s="33">
        <f>10.5462 * CHOOSE(CONTROL!$C$32, $C$9, 100%, $E$9)</f>
        <v>10.546200000000001</v>
      </c>
      <c r="N642" s="33">
        <f>10.541 * CHOOSE(CONTROL!$C$32, $C$9, 100%, $E$9)</f>
        <v>10.541</v>
      </c>
      <c r="O642" s="33">
        <f>10.5462 * CHOOSE(CONTROL!$C$32, $C$9, 100%, $E$9)</f>
        <v>10.546200000000001</v>
      </c>
    </row>
    <row r="643" spans="1:15" ht="15" x14ac:dyDescent="0.2">
      <c r="A643" s="16">
        <v>60419</v>
      </c>
      <c r="B643" s="32">
        <f>9.197 * CHOOSE(CONTROL!$C$32, $C$9, 100%, $E$9)</f>
        <v>9.1969999999999992</v>
      </c>
      <c r="C643" s="32">
        <f>9.197 * CHOOSE(CONTROL!$C$32, $C$9, 100%, $E$9)</f>
        <v>9.1969999999999992</v>
      </c>
      <c r="D643" s="32">
        <f>9.1985 * CHOOSE(CONTROL!$C$32, $C$9, 100%, $E$9)</f>
        <v>9.1984999999999992</v>
      </c>
      <c r="E643" s="33">
        <f>10.4647 * CHOOSE(CONTROL!$C$32, $C$9, 100%, $E$9)</f>
        <v>10.464700000000001</v>
      </c>
      <c r="F643" s="33">
        <f>10.4647 * CHOOSE(CONTROL!$C$32, $C$9, 100%, $E$9)</f>
        <v>10.464700000000001</v>
      </c>
      <c r="G643" s="33">
        <f>10.47 * CHOOSE(CONTROL!$C$32, $C$9, 100%, $E$9)</f>
        <v>10.47</v>
      </c>
      <c r="H643" s="33">
        <f>20.8859 * CHOOSE(CONTROL!$C$32, $C$9, 100%, $E$9)</f>
        <v>20.885899999999999</v>
      </c>
      <c r="I643" s="33">
        <f>20.8912 * CHOOSE(CONTROL!$C$32, $C$9, 100%, $E$9)</f>
        <v>20.891200000000001</v>
      </c>
      <c r="J643" s="33">
        <f>20.8859 * CHOOSE(CONTROL!$C$32, $C$9, 100%, $E$9)</f>
        <v>20.885899999999999</v>
      </c>
      <c r="K643" s="33">
        <f>20.8912 * CHOOSE(CONTROL!$C$32, $C$9, 100%, $E$9)</f>
        <v>20.891200000000001</v>
      </c>
      <c r="L643" s="33">
        <f>10.4647 * CHOOSE(CONTROL!$C$32, $C$9, 100%, $E$9)</f>
        <v>10.464700000000001</v>
      </c>
      <c r="M643" s="33">
        <f>10.47 * CHOOSE(CONTROL!$C$32, $C$9, 100%, $E$9)</f>
        <v>10.47</v>
      </c>
      <c r="N643" s="33">
        <f>10.4647 * CHOOSE(CONTROL!$C$32, $C$9, 100%, $E$9)</f>
        <v>10.464700000000001</v>
      </c>
      <c r="O643" s="33">
        <f>10.47 * CHOOSE(CONTROL!$C$32, $C$9, 100%, $E$9)</f>
        <v>10.47</v>
      </c>
    </row>
    <row r="644" spans="1:15" ht="15" x14ac:dyDescent="0.2">
      <c r="A644" s="16">
        <v>60449</v>
      </c>
      <c r="B644" s="32">
        <f>9.3125 * CHOOSE(CONTROL!$C$32, $C$9, 100%, $E$9)</f>
        <v>9.3125</v>
      </c>
      <c r="C644" s="32">
        <f>9.3125 * CHOOSE(CONTROL!$C$32, $C$9, 100%, $E$9)</f>
        <v>9.3125</v>
      </c>
      <c r="D644" s="32">
        <f>9.3141 * CHOOSE(CONTROL!$C$32, $C$9, 100%, $E$9)</f>
        <v>9.3140999999999998</v>
      </c>
      <c r="E644" s="33">
        <f>10.6108 * CHOOSE(CONTROL!$C$32, $C$9, 100%, $E$9)</f>
        <v>10.610799999999999</v>
      </c>
      <c r="F644" s="33">
        <f>10.6108 * CHOOSE(CONTROL!$C$32, $C$9, 100%, $E$9)</f>
        <v>10.610799999999999</v>
      </c>
      <c r="G644" s="33">
        <f>10.6161 * CHOOSE(CONTROL!$C$32, $C$9, 100%, $E$9)</f>
        <v>10.616099999999999</v>
      </c>
      <c r="H644" s="33">
        <f>20.9294 * CHOOSE(CONTROL!$C$32, $C$9, 100%, $E$9)</f>
        <v>20.929400000000001</v>
      </c>
      <c r="I644" s="33">
        <f>20.9347 * CHOOSE(CONTROL!$C$32, $C$9, 100%, $E$9)</f>
        <v>20.934699999999999</v>
      </c>
      <c r="J644" s="33">
        <f>20.9294 * CHOOSE(CONTROL!$C$32, $C$9, 100%, $E$9)</f>
        <v>20.929400000000001</v>
      </c>
      <c r="K644" s="33">
        <f>20.9347 * CHOOSE(CONTROL!$C$32, $C$9, 100%, $E$9)</f>
        <v>20.934699999999999</v>
      </c>
      <c r="L644" s="33">
        <f>10.6108 * CHOOSE(CONTROL!$C$32, $C$9, 100%, $E$9)</f>
        <v>10.610799999999999</v>
      </c>
      <c r="M644" s="33">
        <f>10.6161 * CHOOSE(CONTROL!$C$32, $C$9, 100%, $E$9)</f>
        <v>10.616099999999999</v>
      </c>
      <c r="N644" s="33">
        <f>10.6108 * CHOOSE(CONTROL!$C$32, $C$9, 100%, $E$9)</f>
        <v>10.610799999999999</v>
      </c>
      <c r="O644" s="33">
        <f>10.6161 * CHOOSE(CONTROL!$C$32, $C$9, 100%, $E$9)</f>
        <v>10.616099999999999</v>
      </c>
    </row>
    <row r="645" spans="1:15" ht="15" x14ac:dyDescent="0.2">
      <c r="A645" s="16">
        <v>60480</v>
      </c>
      <c r="B645" s="32">
        <f>9.3192 * CHOOSE(CONTROL!$C$32, $C$9, 100%, $E$9)</f>
        <v>9.3192000000000004</v>
      </c>
      <c r="C645" s="32">
        <f>9.3192 * CHOOSE(CONTROL!$C$32, $C$9, 100%, $E$9)</f>
        <v>9.3192000000000004</v>
      </c>
      <c r="D645" s="32">
        <f>9.3208 * CHOOSE(CONTROL!$C$32, $C$9, 100%, $E$9)</f>
        <v>9.3208000000000002</v>
      </c>
      <c r="E645" s="33">
        <f>10.374 * CHOOSE(CONTROL!$C$32, $C$9, 100%, $E$9)</f>
        <v>10.374000000000001</v>
      </c>
      <c r="F645" s="33">
        <f>10.374 * CHOOSE(CONTROL!$C$32, $C$9, 100%, $E$9)</f>
        <v>10.374000000000001</v>
      </c>
      <c r="G645" s="33">
        <f>10.3793 * CHOOSE(CONTROL!$C$32, $C$9, 100%, $E$9)</f>
        <v>10.379300000000001</v>
      </c>
      <c r="H645" s="33">
        <f>20.973 * CHOOSE(CONTROL!$C$32, $C$9, 100%, $E$9)</f>
        <v>20.972999999999999</v>
      </c>
      <c r="I645" s="33">
        <f>20.9783 * CHOOSE(CONTROL!$C$32, $C$9, 100%, $E$9)</f>
        <v>20.978300000000001</v>
      </c>
      <c r="J645" s="33">
        <f>20.973 * CHOOSE(CONTROL!$C$32, $C$9, 100%, $E$9)</f>
        <v>20.972999999999999</v>
      </c>
      <c r="K645" s="33">
        <f>20.9783 * CHOOSE(CONTROL!$C$32, $C$9, 100%, $E$9)</f>
        <v>20.978300000000001</v>
      </c>
      <c r="L645" s="33">
        <f>10.374 * CHOOSE(CONTROL!$C$32, $C$9, 100%, $E$9)</f>
        <v>10.374000000000001</v>
      </c>
      <c r="M645" s="33">
        <f>10.3793 * CHOOSE(CONTROL!$C$32, $C$9, 100%, $E$9)</f>
        <v>10.379300000000001</v>
      </c>
      <c r="N645" s="33">
        <f>10.374 * CHOOSE(CONTROL!$C$32, $C$9, 100%, $E$9)</f>
        <v>10.374000000000001</v>
      </c>
      <c r="O645" s="33">
        <f>10.3793 * CHOOSE(CONTROL!$C$32, $C$9, 100%, $E$9)</f>
        <v>10.379300000000001</v>
      </c>
    </row>
    <row r="646" spans="1:15" ht="15" x14ac:dyDescent="0.2">
      <c r="A646" s="16">
        <v>60511</v>
      </c>
      <c r="B646" s="32">
        <f>9.3162 * CHOOSE(CONTROL!$C$32, $C$9, 100%, $E$9)</f>
        <v>9.3162000000000003</v>
      </c>
      <c r="C646" s="32">
        <f>9.3162 * CHOOSE(CONTROL!$C$32, $C$9, 100%, $E$9)</f>
        <v>9.3162000000000003</v>
      </c>
      <c r="D646" s="32">
        <f>9.3178 * CHOOSE(CONTROL!$C$32, $C$9, 100%, $E$9)</f>
        <v>9.3178000000000001</v>
      </c>
      <c r="E646" s="33">
        <f>10.345 * CHOOSE(CONTROL!$C$32, $C$9, 100%, $E$9)</f>
        <v>10.345000000000001</v>
      </c>
      <c r="F646" s="33">
        <f>10.345 * CHOOSE(CONTROL!$C$32, $C$9, 100%, $E$9)</f>
        <v>10.345000000000001</v>
      </c>
      <c r="G646" s="33">
        <f>10.3503 * CHOOSE(CONTROL!$C$32, $C$9, 100%, $E$9)</f>
        <v>10.350300000000001</v>
      </c>
      <c r="H646" s="33">
        <f>21.0167 * CHOOSE(CONTROL!$C$32, $C$9, 100%, $E$9)</f>
        <v>21.0167</v>
      </c>
      <c r="I646" s="33">
        <f>21.022 * CHOOSE(CONTROL!$C$32, $C$9, 100%, $E$9)</f>
        <v>21.021999999999998</v>
      </c>
      <c r="J646" s="33">
        <f>21.0167 * CHOOSE(CONTROL!$C$32, $C$9, 100%, $E$9)</f>
        <v>21.0167</v>
      </c>
      <c r="K646" s="33">
        <f>21.022 * CHOOSE(CONTROL!$C$32, $C$9, 100%, $E$9)</f>
        <v>21.021999999999998</v>
      </c>
      <c r="L646" s="33">
        <f>10.345 * CHOOSE(CONTROL!$C$32, $C$9, 100%, $E$9)</f>
        <v>10.345000000000001</v>
      </c>
      <c r="M646" s="33">
        <f>10.3503 * CHOOSE(CONTROL!$C$32, $C$9, 100%, $E$9)</f>
        <v>10.350300000000001</v>
      </c>
      <c r="N646" s="33">
        <f>10.345 * CHOOSE(CONTROL!$C$32, $C$9, 100%, $E$9)</f>
        <v>10.345000000000001</v>
      </c>
      <c r="O646" s="33">
        <f>10.3503 * CHOOSE(CONTROL!$C$32, $C$9, 100%, $E$9)</f>
        <v>10.350300000000001</v>
      </c>
    </row>
    <row r="647" spans="1:15" ht="15" x14ac:dyDescent="0.2">
      <c r="A647" s="16">
        <v>60541</v>
      </c>
      <c r="B647" s="32">
        <f>9.3311 * CHOOSE(CONTROL!$C$32, $C$9, 100%, $E$9)</f>
        <v>9.3310999999999993</v>
      </c>
      <c r="C647" s="32">
        <f>9.3311 * CHOOSE(CONTROL!$C$32, $C$9, 100%, $E$9)</f>
        <v>9.3310999999999993</v>
      </c>
      <c r="D647" s="32">
        <f>9.3321 * CHOOSE(CONTROL!$C$32, $C$9, 100%, $E$9)</f>
        <v>9.3321000000000005</v>
      </c>
      <c r="E647" s="33">
        <f>10.4389 * CHOOSE(CONTROL!$C$32, $C$9, 100%, $E$9)</f>
        <v>10.4389</v>
      </c>
      <c r="F647" s="33">
        <f>10.4389 * CHOOSE(CONTROL!$C$32, $C$9, 100%, $E$9)</f>
        <v>10.4389</v>
      </c>
      <c r="G647" s="33">
        <f>10.4426 * CHOOSE(CONTROL!$C$32, $C$9, 100%, $E$9)</f>
        <v>10.442600000000001</v>
      </c>
      <c r="H647" s="33">
        <f>21.0605 * CHOOSE(CONTROL!$C$32, $C$9, 100%, $E$9)</f>
        <v>21.060500000000001</v>
      </c>
      <c r="I647" s="33">
        <f>21.0641 * CHOOSE(CONTROL!$C$32, $C$9, 100%, $E$9)</f>
        <v>21.0641</v>
      </c>
      <c r="J647" s="33">
        <f>21.0605 * CHOOSE(CONTROL!$C$32, $C$9, 100%, $E$9)</f>
        <v>21.060500000000001</v>
      </c>
      <c r="K647" s="33">
        <f>21.0641 * CHOOSE(CONTROL!$C$32, $C$9, 100%, $E$9)</f>
        <v>21.0641</v>
      </c>
      <c r="L647" s="33">
        <f>10.4389 * CHOOSE(CONTROL!$C$32, $C$9, 100%, $E$9)</f>
        <v>10.4389</v>
      </c>
      <c r="M647" s="33">
        <f>10.4426 * CHOOSE(CONTROL!$C$32, $C$9, 100%, $E$9)</f>
        <v>10.442600000000001</v>
      </c>
      <c r="N647" s="33">
        <f>10.4389 * CHOOSE(CONTROL!$C$32, $C$9, 100%, $E$9)</f>
        <v>10.4389</v>
      </c>
      <c r="O647" s="33">
        <f>10.4426 * CHOOSE(CONTROL!$C$32, $C$9, 100%, $E$9)</f>
        <v>10.442600000000001</v>
      </c>
    </row>
    <row r="648" spans="1:15" ht="15" x14ac:dyDescent="0.2">
      <c r="A648" s="16">
        <v>60572</v>
      </c>
      <c r="B648" s="32">
        <f>9.3341 * CHOOSE(CONTROL!$C$32, $C$9, 100%, $E$9)</f>
        <v>9.3340999999999994</v>
      </c>
      <c r="C648" s="32">
        <f>9.3341 * CHOOSE(CONTROL!$C$32, $C$9, 100%, $E$9)</f>
        <v>9.3340999999999994</v>
      </c>
      <c r="D648" s="32">
        <f>9.3352 * CHOOSE(CONTROL!$C$32, $C$9, 100%, $E$9)</f>
        <v>9.3352000000000004</v>
      </c>
      <c r="E648" s="33">
        <f>10.4947 * CHOOSE(CONTROL!$C$32, $C$9, 100%, $E$9)</f>
        <v>10.4947</v>
      </c>
      <c r="F648" s="33">
        <f>10.4947 * CHOOSE(CONTROL!$C$32, $C$9, 100%, $E$9)</f>
        <v>10.4947</v>
      </c>
      <c r="G648" s="33">
        <f>10.4983 * CHOOSE(CONTROL!$C$32, $C$9, 100%, $E$9)</f>
        <v>10.4983</v>
      </c>
      <c r="H648" s="33">
        <f>21.1044 * CHOOSE(CONTROL!$C$32, $C$9, 100%, $E$9)</f>
        <v>21.104399999999998</v>
      </c>
      <c r="I648" s="33">
        <f>21.108 * CHOOSE(CONTROL!$C$32, $C$9, 100%, $E$9)</f>
        <v>21.108000000000001</v>
      </c>
      <c r="J648" s="33">
        <f>21.1044 * CHOOSE(CONTROL!$C$32, $C$9, 100%, $E$9)</f>
        <v>21.104399999999998</v>
      </c>
      <c r="K648" s="33">
        <f>21.108 * CHOOSE(CONTROL!$C$32, $C$9, 100%, $E$9)</f>
        <v>21.108000000000001</v>
      </c>
      <c r="L648" s="33">
        <f>10.4947 * CHOOSE(CONTROL!$C$32, $C$9, 100%, $E$9)</f>
        <v>10.4947</v>
      </c>
      <c r="M648" s="33">
        <f>10.4983 * CHOOSE(CONTROL!$C$32, $C$9, 100%, $E$9)</f>
        <v>10.4983</v>
      </c>
      <c r="N648" s="33">
        <f>10.4947 * CHOOSE(CONTROL!$C$32, $C$9, 100%, $E$9)</f>
        <v>10.4947</v>
      </c>
      <c r="O648" s="33">
        <f>10.4983 * CHOOSE(CONTROL!$C$32, $C$9, 100%, $E$9)</f>
        <v>10.4983</v>
      </c>
    </row>
    <row r="649" spans="1:15" ht="15" x14ac:dyDescent="0.2">
      <c r="A649" s="16">
        <v>60602</v>
      </c>
      <c r="B649" s="32">
        <f>9.3341 * CHOOSE(CONTROL!$C$32, $C$9, 100%, $E$9)</f>
        <v>9.3340999999999994</v>
      </c>
      <c r="C649" s="32">
        <f>9.3341 * CHOOSE(CONTROL!$C$32, $C$9, 100%, $E$9)</f>
        <v>9.3340999999999994</v>
      </c>
      <c r="D649" s="32">
        <f>9.3352 * CHOOSE(CONTROL!$C$32, $C$9, 100%, $E$9)</f>
        <v>9.3352000000000004</v>
      </c>
      <c r="E649" s="33">
        <f>10.3606 * CHOOSE(CONTROL!$C$32, $C$9, 100%, $E$9)</f>
        <v>10.3606</v>
      </c>
      <c r="F649" s="33">
        <f>10.3606 * CHOOSE(CONTROL!$C$32, $C$9, 100%, $E$9)</f>
        <v>10.3606</v>
      </c>
      <c r="G649" s="33">
        <f>10.3642 * CHOOSE(CONTROL!$C$32, $C$9, 100%, $E$9)</f>
        <v>10.3642</v>
      </c>
      <c r="H649" s="33">
        <f>21.1483 * CHOOSE(CONTROL!$C$32, $C$9, 100%, $E$9)</f>
        <v>21.148299999999999</v>
      </c>
      <c r="I649" s="33">
        <f>21.152 * CHOOSE(CONTROL!$C$32, $C$9, 100%, $E$9)</f>
        <v>21.152000000000001</v>
      </c>
      <c r="J649" s="33">
        <f>21.1483 * CHOOSE(CONTROL!$C$32, $C$9, 100%, $E$9)</f>
        <v>21.148299999999999</v>
      </c>
      <c r="K649" s="33">
        <f>21.152 * CHOOSE(CONTROL!$C$32, $C$9, 100%, $E$9)</f>
        <v>21.152000000000001</v>
      </c>
      <c r="L649" s="33">
        <f>10.3606 * CHOOSE(CONTROL!$C$32, $C$9, 100%, $E$9)</f>
        <v>10.3606</v>
      </c>
      <c r="M649" s="33">
        <f>10.3642 * CHOOSE(CONTROL!$C$32, $C$9, 100%, $E$9)</f>
        <v>10.3642</v>
      </c>
      <c r="N649" s="33">
        <f>10.3606 * CHOOSE(CONTROL!$C$32, $C$9, 100%, $E$9)</f>
        <v>10.3606</v>
      </c>
      <c r="O649" s="33">
        <f>10.3642 * CHOOSE(CONTROL!$C$32, $C$9, 100%, $E$9)</f>
        <v>10.3642</v>
      </c>
    </row>
    <row r="650" spans="1:15" ht="15" x14ac:dyDescent="0.2">
      <c r="A650" s="16">
        <v>60633</v>
      </c>
      <c r="B650" s="32">
        <f>9.3816 * CHOOSE(CONTROL!$C$32, $C$9, 100%, $E$9)</f>
        <v>9.3816000000000006</v>
      </c>
      <c r="C650" s="32">
        <f>9.3816 * CHOOSE(CONTROL!$C$32, $C$9, 100%, $E$9)</f>
        <v>9.3816000000000006</v>
      </c>
      <c r="D650" s="32">
        <f>9.3827 * CHOOSE(CONTROL!$C$32, $C$9, 100%, $E$9)</f>
        <v>9.3826999999999998</v>
      </c>
      <c r="E650" s="33">
        <f>10.5205 * CHOOSE(CONTROL!$C$32, $C$9, 100%, $E$9)</f>
        <v>10.5205</v>
      </c>
      <c r="F650" s="33">
        <f>10.5205 * CHOOSE(CONTROL!$C$32, $C$9, 100%, $E$9)</f>
        <v>10.5205</v>
      </c>
      <c r="G650" s="33">
        <f>10.5241 * CHOOSE(CONTROL!$C$32, $C$9, 100%, $E$9)</f>
        <v>10.524100000000001</v>
      </c>
      <c r="H650" s="33">
        <f>21.1337 * CHOOSE(CONTROL!$C$32, $C$9, 100%, $E$9)</f>
        <v>21.133700000000001</v>
      </c>
      <c r="I650" s="33">
        <f>21.1373 * CHOOSE(CONTROL!$C$32, $C$9, 100%, $E$9)</f>
        <v>21.1373</v>
      </c>
      <c r="J650" s="33">
        <f>21.1337 * CHOOSE(CONTROL!$C$32, $C$9, 100%, $E$9)</f>
        <v>21.133700000000001</v>
      </c>
      <c r="K650" s="33">
        <f>21.1373 * CHOOSE(CONTROL!$C$32, $C$9, 100%, $E$9)</f>
        <v>21.1373</v>
      </c>
      <c r="L650" s="33">
        <f>10.5205 * CHOOSE(CONTROL!$C$32, $C$9, 100%, $E$9)</f>
        <v>10.5205</v>
      </c>
      <c r="M650" s="33">
        <f>10.5241 * CHOOSE(CONTROL!$C$32, $C$9, 100%, $E$9)</f>
        <v>10.524100000000001</v>
      </c>
      <c r="N650" s="33">
        <f>10.5205 * CHOOSE(CONTROL!$C$32, $C$9, 100%, $E$9)</f>
        <v>10.5205</v>
      </c>
      <c r="O650" s="33">
        <f>10.5241 * CHOOSE(CONTROL!$C$32, $C$9, 100%, $E$9)</f>
        <v>10.524100000000001</v>
      </c>
    </row>
    <row r="651" spans="1:15" ht="15" x14ac:dyDescent="0.2">
      <c r="A651" s="16">
        <v>60664</v>
      </c>
      <c r="B651" s="32">
        <f>9.3786 * CHOOSE(CONTROL!$C$32, $C$9, 100%, $E$9)</f>
        <v>9.3786000000000005</v>
      </c>
      <c r="C651" s="32">
        <f>9.3786 * CHOOSE(CONTROL!$C$32, $C$9, 100%, $E$9)</f>
        <v>9.3786000000000005</v>
      </c>
      <c r="D651" s="32">
        <f>9.3797 * CHOOSE(CONTROL!$C$32, $C$9, 100%, $E$9)</f>
        <v>9.3796999999999997</v>
      </c>
      <c r="E651" s="33">
        <f>10.2578 * CHOOSE(CONTROL!$C$32, $C$9, 100%, $E$9)</f>
        <v>10.2578</v>
      </c>
      <c r="F651" s="33">
        <f>10.2578 * CHOOSE(CONTROL!$C$32, $C$9, 100%, $E$9)</f>
        <v>10.2578</v>
      </c>
      <c r="G651" s="33">
        <f>10.2614 * CHOOSE(CONTROL!$C$32, $C$9, 100%, $E$9)</f>
        <v>10.2614</v>
      </c>
      <c r="H651" s="33">
        <f>21.1778 * CHOOSE(CONTROL!$C$32, $C$9, 100%, $E$9)</f>
        <v>21.177800000000001</v>
      </c>
      <c r="I651" s="33">
        <f>21.1814 * CHOOSE(CONTROL!$C$32, $C$9, 100%, $E$9)</f>
        <v>21.1814</v>
      </c>
      <c r="J651" s="33">
        <f>21.1778 * CHOOSE(CONTROL!$C$32, $C$9, 100%, $E$9)</f>
        <v>21.177800000000001</v>
      </c>
      <c r="K651" s="33">
        <f>21.1814 * CHOOSE(CONTROL!$C$32, $C$9, 100%, $E$9)</f>
        <v>21.1814</v>
      </c>
      <c r="L651" s="33">
        <f>10.2578 * CHOOSE(CONTROL!$C$32, $C$9, 100%, $E$9)</f>
        <v>10.2578</v>
      </c>
      <c r="M651" s="33">
        <f>10.2614 * CHOOSE(CONTROL!$C$32, $C$9, 100%, $E$9)</f>
        <v>10.2614</v>
      </c>
      <c r="N651" s="33">
        <f>10.2578 * CHOOSE(CONTROL!$C$32, $C$9, 100%, $E$9)</f>
        <v>10.2578</v>
      </c>
      <c r="O651" s="33">
        <f>10.2614 * CHOOSE(CONTROL!$C$32, $C$9, 100%, $E$9)</f>
        <v>10.2614</v>
      </c>
    </row>
    <row r="652" spans="1:15" ht="15" x14ac:dyDescent="0.2">
      <c r="A652" s="16">
        <v>60692</v>
      </c>
      <c r="B652" s="32">
        <f>9.3756 * CHOOSE(CONTROL!$C$32, $C$9, 100%, $E$9)</f>
        <v>9.3756000000000004</v>
      </c>
      <c r="C652" s="32">
        <f>9.3756 * CHOOSE(CONTROL!$C$32, $C$9, 100%, $E$9)</f>
        <v>9.3756000000000004</v>
      </c>
      <c r="D652" s="32">
        <f>9.3766 * CHOOSE(CONTROL!$C$32, $C$9, 100%, $E$9)</f>
        <v>9.3765999999999998</v>
      </c>
      <c r="E652" s="33">
        <f>10.4611 * CHOOSE(CONTROL!$C$32, $C$9, 100%, $E$9)</f>
        <v>10.4611</v>
      </c>
      <c r="F652" s="33">
        <f>10.4611 * CHOOSE(CONTROL!$C$32, $C$9, 100%, $E$9)</f>
        <v>10.4611</v>
      </c>
      <c r="G652" s="33">
        <f>10.4647 * CHOOSE(CONTROL!$C$32, $C$9, 100%, $E$9)</f>
        <v>10.464700000000001</v>
      </c>
      <c r="H652" s="33">
        <f>21.2219 * CHOOSE(CONTROL!$C$32, $C$9, 100%, $E$9)</f>
        <v>21.221900000000002</v>
      </c>
      <c r="I652" s="33">
        <f>21.2255 * CHOOSE(CONTROL!$C$32, $C$9, 100%, $E$9)</f>
        <v>21.2255</v>
      </c>
      <c r="J652" s="33">
        <f>21.2219 * CHOOSE(CONTROL!$C$32, $C$9, 100%, $E$9)</f>
        <v>21.221900000000002</v>
      </c>
      <c r="K652" s="33">
        <f>21.2255 * CHOOSE(CONTROL!$C$32, $C$9, 100%, $E$9)</f>
        <v>21.2255</v>
      </c>
      <c r="L652" s="33">
        <f>10.4611 * CHOOSE(CONTROL!$C$32, $C$9, 100%, $E$9)</f>
        <v>10.4611</v>
      </c>
      <c r="M652" s="33">
        <f>10.4647 * CHOOSE(CONTROL!$C$32, $C$9, 100%, $E$9)</f>
        <v>10.464700000000001</v>
      </c>
      <c r="N652" s="33">
        <f>10.4611 * CHOOSE(CONTROL!$C$32, $C$9, 100%, $E$9)</f>
        <v>10.4611</v>
      </c>
      <c r="O652" s="33">
        <f>10.4647 * CHOOSE(CONTROL!$C$32, $C$9, 100%, $E$9)</f>
        <v>10.464700000000001</v>
      </c>
    </row>
    <row r="653" spans="1:15" ht="15" x14ac:dyDescent="0.2">
      <c r="A653" s="16">
        <v>60723</v>
      </c>
      <c r="B653" s="32">
        <f>9.3784 * CHOOSE(CONTROL!$C$32, $C$9, 100%, $E$9)</f>
        <v>9.3783999999999992</v>
      </c>
      <c r="C653" s="32">
        <f>9.3784 * CHOOSE(CONTROL!$C$32, $C$9, 100%, $E$9)</f>
        <v>9.3783999999999992</v>
      </c>
      <c r="D653" s="32">
        <f>9.3795 * CHOOSE(CONTROL!$C$32, $C$9, 100%, $E$9)</f>
        <v>9.3795000000000002</v>
      </c>
      <c r="E653" s="33">
        <f>10.6775 * CHOOSE(CONTROL!$C$32, $C$9, 100%, $E$9)</f>
        <v>10.6775</v>
      </c>
      <c r="F653" s="33">
        <f>10.6775 * CHOOSE(CONTROL!$C$32, $C$9, 100%, $E$9)</f>
        <v>10.6775</v>
      </c>
      <c r="G653" s="33">
        <f>10.6811 * CHOOSE(CONTROL!$C$32, $C$9, 100%, $E$9)</f>
        <v>10.681100000000001</v>
      </c>
      <c r="H653" s="33">
        <f>21.2661 * CHOOSE(CONTROL!$C$32, $C$9, 100%, $E$9)</f>
        <v>21.266100000000002</v>
      </c>
      <c r="I653" s="33">
        <f>21.2697 * CHOOSE(CONTROL!$C$32, $C$9, 100%, $E$9)</f>
        <v>21.2697</v>
      </c>
      <c r="J653" s="33">
        <f>21.2661 * CHOOSE(CONTROL!$C$32, $C$9, 100%, $E$9)</f>
        <v>21.266100000000002</v>
      </c>
      <c r="K653" s="33">
        <f>21.2697 * CHOOSE(CONTROL!$C$32, $C$9, 100%, $E$9)</f>
        <v>21.2697</v>
      </c>
      <c r="L653" s="33">
        <f>10.6775 * CHOOSE(CONTROL!$C$32, $C$9, 100%, $E$9)</f>
        <v>10.6775</v>
      </c>
      <c r="M653" s="33">
        <f>10.6811 * CHOOSE(CONTROL!$C$32, $C$9, 100%, $E$9)</f>
        <v>10.681100000000001</v>
      </c>
      <c r="N653" s="33">
        <f>10.6775 * CHOOSE(CONTROL!$C$32, $C$9, 100%, $E$9)</f>
        <v>10.6775</v>
      </c>
      <c r="O653" s="33">
        <f>10.6811 * CHOOSE(CONTROL!$C$32, $C$9, 100%, $E$9)</f>
        <v>10.681100000000001</v>
      </c>
    </row>
    <row r="654" spans="1:15" ht="15" x14ac:dyDescent="0.2">
      <c r="A654" s="16">
        <v>60753</v>
      </c>
      <c r="B654" s="32">
        <f>9.3784 * CHOOSE(CONTROL!$C$32, $C$9, 100%, $E$9)</f>
        <v>9.3783999999999992</v>
      </c>
      <c r="C654" s="32">
        <f>9.3784 * CHOOSE(CONTROL!$C$32, $C$9, 100%, $E$9)</f>
        <v>9.3783999999999992</v>
      </c>
      <c r="D654" s="32">
        <f>9.38 * CHOOSE(CONTROL!$C$32, $C$9, 100%, $E$9)</f>
        <v>9.3800000000000008</v>
      </c>
      <c r="E654" s="33">
        <f>10.7602 * CHOOSE(CONTROL!$C$32, $C$9, 100%, $E$9)</f>
        <v>10.760199999999999</v>
      </c>
      <c r="F654" s="33">
        <f>10.7602 * CHOOSE(CONTROL!$C$32, $C$9, 100%, $E$9)</f>
        <v>10.760199999999999</v>
      </c>
      <c r="G654" s="33">
        <f>10.7655 * CHOOSE(CONTROL!$C$32, $C$9, 100%, $E$9)</f>
        <v>10.765499999999999</v>
      </c>
      <c r="H654" s="33">
        <f>21.3104 * CHOOSE(CONTROL!$C$32, $C$9, 100%, $E$9)</f>
        <v>21.310400000000001</v>
      </c>
      <c r="I654" s="33">
        <f>21.3157 * CHOOSE(CONTROL!$C$32, $C$9, 100%, $E$9)</f>
        <v>21.3157</v>
      </c>
      <c r="J654" s="33">
        <f>21.3104 * CHOOSE(CONTROL!$C$32, $C$9, 100%, $E$9)</f>
        <v>21.310400000000001</v>
      </c>
      <c r="K654" s="33">
        <f>21.3157 * CHOOSE(CONTROL!$C$32, $C$9, 100%, $E$9)</f>
        <v>21.3157</v>
      </c>
      <c r="L654" s="33">
        <f>10.7602 * CHOOSE(CONTROL!$C$32, $C$9, 100%, $E$9)</f>
        <v>10.760199999999999</v>
      </c>
      <c r="M654" s="33">
        <f>10.7655 * CHOOSE(CONTROL!$C$32, $C$9, 100%, $E$9)</f>
        <v>10.765499999999999</v>
      </c>
      <c r="N654" s="33">
        <f>10.7602 * CHOOSE(CONTROL!$C$32, $C$9, 100%, $E$9)</f>
        <v>10.760199999999999</v>
      </c>
      <c r="O654" s="33">
        <f>10.7655 * CHOOSE(CONTROL!$C$32, $C$9, 100%, $E$9)</f>
        <v>10.765499999999999</v>
      </c>
    </row>
    <row r="655" spans="1:15" ht="15" x14ac:dyDescent="0.2">
      <c r="A655" s="16">
        <v>60784</v>
      </c>
      <c r="B655" s="32">
        <f>9.3845 * CHOOSE(CONTROL!$C$32, $C$9, 100%, $E$9)</f>
        <v>9.3844999999999992</v>
      </c>
      <c r="C655" s="32">
        <f>9.3845 * CHOOSE(CONTROL!$C$32, $C$9, 100%, $E$9)</f>
        <v>9.3844999999999992</v>
      </c>
      <c r="D655" s="32">
        <f>9.3861 * CHOOSE(CONTROL!$C$32, $C$9, 100%, $E$9)</f>
        <v>9.3861000000000008</v>
      </c>
      <c r="E655" s="33">
        <f>10.6817 * CHOOSE(CONTROL!$C$32, $C$9, 100%, $E$9)</f>
        <v>10.681699999999999</v>
      </c>
      <c r="F655" s="33">
        <f>10.6817 * CHOOSE(CONTROL!$C$32, $C$9, 100%, $E$9)</f>
        <v>10.681699999999999</v>
      </c>
      <c r="G655" s="33">
        <f>10.687 * CHOOSE(CONTROL!$C$32, $C$9, 100%, $E$9)</f>
        <v>10.686999999999999</v>
      </c>
      <c r="H655" s="33">
        <f>21.3548 * CHOOSE(CONTROL!$C$32, $C$9, 100%, $E$9)</f>
        <v>21.354800000000001</v>
      </c>
      <c r="I655" s="33">
        <f>21.3601 * CHOOSE(CONTROL!$C$32, $C$9, 100%, $E$9)</f>
        <v>21.360099999999999</v>
      </c>
      <c r="J655" s="33">
        <f>21.3548 * CHOOSE(CONTROL!$C$32, $C$9, 100%, $E$9)</f>
        <v>21.354800000000001</v>
      </c>
      <c r="K655" s="33">
        <f>21.3601 * CHOOSE(CONTROL!$C$32, $C$9, 100%, $E$9)</f>
        <v>21.360099999999999</v>
      </c>
      <c r="L655" s="33">
        <f>10.6817 * CHOOSE(CONTROL!$C$32, $C$9, 100%, $E$9)</f>
        <v>10.681699999999999</v>
      </c>
      <c r="M655" s="33">
        <f>10.687 * CHOOSE(CONTROL!$C$32, $C$9, 100%, $E$9)</f>
        <v>10.686999999999999</v>
      </c>
      <c r="N655" s="33">
        <f>10.6817 * CHOOSE(CONTROL!$C$32, $C$9, 100%, $E$9)</f>
        <v>10.681699999999999</v>
      </c>
      <c r="O655" s="33">
        <f>10.687 * CHOOSE(CONTROL!$C$32, $C$9, 100%, $E$9)</f>
        <v>10.686999999999999</v>
      </c>
    </row>
    <row r="656" spans="1:15" ht="15" x14ac:dyDescent="0.2">
      <c r="A656" s="16">
        <v>60814</v>
      </c>
      <c r="B656" s="32">
        <f>9.5021 * CHOOSE(CONTROL!$C$32, $C$9, 100%, $E$9)</f>
        <v>9.5021000000000004</v>
      </c>
      <c r="C656" s="32">
        <f>9.5021 * CHOOSE(CONTROL!$C$32, $C$9, 100%, $E$9)</f>
        <v>9.5021000000000004</v>
      </c>
      <c r="D656" s="32">
        <f>9.5037 * CHOOSE(CONTROL!$C$32, $C$9, 100%, $E$9)</f>
        <v>9.5037000000000003</v>
      </c>
      <c r="E656" s="33">
        <f>10.8309 * CHOOSE(CONTROL!$C$32, $C$9, 100%, $E$9)</f>
        <v>10.8309</v>
      </c>
      <c r="F656" s="33">
        <f>10.8309 * CHOOSE(CONTROL!$C$32, $C$9, 100%, $E$9)</f>
        <v>10.8309</v>
      </c>
      <c r="G656" s="33">
        <f>10.8362 * CHOOSE(CONTROL!$C$32, $C$9, 100%, $E$9)</f>
        <v>10.8362</v>
      </c>
      <c r="H656" s="33">
        <f>21.3993 * CHOOSE(CONTROL!$C$32, $C$9, 100%, $E$9)</f>
        <v>21.3993</v>
      </c>
      <c r="I656" s="33">
        <f>21.4046 * CHOOSE(CONTROL!$C$32, $C$9, 100%, $E$9)</f>
        <v>21.404599999999999</v>
      </c>
      <c r="J656" s="33">
        <f>21.3993 * CHOOSE(CONTROL!$C$32, $C$9, 100%, $E$9)</f>
        <v>21.3993</v>
      </c>
      <c r="K656" s="33">
        <f>21.4046 * CHOOSE(CONTROL!$C$32, $C$9, 100%, $E$9)</f>
        <v>21.404599999999999</v>
      </c>
      <c r="L656" s="33">
        <f>10.8309 * CHOOSE(CONTROL!$C$32, $C$9, 100%, $E$9)</f>
        <v>10.8309</v>
      </c>
      <c r="M656" s="33">
        <f>10.8362 * CHOOSE(CONTROL!$C$32, $C$9, 100%, $E$9)</f>
        <v>10.8362</v>
      </c>
      <c r="N656" s="33">
        <f>10.8309 * CHOOSE(CONTROL!$C$32, $C$9, 100%, $E$9)</f>
        <v>10.8309</v>
      </c>
      <c r="O656" s="33">
        <f>10.8362 * CHOOSE(CONTROL!$C$32, $C$9, 100%, $E$9)</f>
        <v>10.8362</v>
      </c>
    </row>
    <row r="657" spans="1:15" ht="15" x14ac:dyDescent="0.2">
      <c r="A657" s="16">
        <v>60845</v>
      </c>
      <c r="B657" s="32">
        <f>9.5088 * CHOOSE(CONTROL!$C$32, $C$9, 100%, $E$9)</f>
        <v>9.5088000000000008</v>
      </c>
      <c r="C657" s="32">
        <f>9.5088 * CHOOSE(CONTROL!$C$32, $C$9, 100%, $E$9)</f>
        <v>9.5088000000000008</v>
      </c>
      <c r="D657" s="32">
        <f>9.5104 * CHOOSE(CONTROL!$C$32, $C$9, 100%, $E$9)</f>
        <v>9.5104000000000006</v>
      </c>
      <c r="E657" s="33">
        <f>10.5874 * CHOOSE(CONTROL!$C$32, $C$9, 100%, $E$9)</f>
        <v>10.587400000000001</v>
      </c>
      <c r="F657" s="33">
        <f>10.5874 * CHOOSE(CONTROL!$C$32, $C$9, 100%, $E$9)</f>
        <v>10.587400000000001</v>
      </c>
      <c r="G657" s="33">
        <f>10.5927 * CHOOSE(CONTROL!$C$32, $C$9, 100%, $E$9)</f>
        <v>10.592700000000001</v>
      </c>
      <c r="H657" s="33">
        <f>21.4439 * CHOOSE(CONTROL!$C$32, $C$9, 100%, $E$9)</f>
        <v>21.443899999999999</v>
      </c>
      <c r="I657" s="33">
        <f>21.4492 * CHOOSE(CONTROL!$C$32, $C$9, 100%, $E$9)</f>
        <v>21.449200000000001</v>
      </c>
      <c r="J657" s="33">
        <f>21.4439 * CHOOSE(CONTROL!$C$32, $C$9, 100%, $E$9)</f>
        <v>21.443899999999999</v>
      </c>
      <c r="K657" s="33">
        <f>21.4492 * CHOOSE(CONTROL!$C$32, $C$9, 100%, $E$9)</f>
        <v>21.449200000000001</v>
      </c>
      <c r="L657" s="33">
        <f>10.5874 * CHOOSE(CONTROL!$C$32, $C$9, 100%, $E$9)</f>
        <v>10.587400000000001</v>
      </c>
      <c r="M657" s="33">
        <f>10.5927 * CHOOSE(CONTROL!$C$32, $C$9, 100%, $E$9)</f>
        <v>10.592700000000001</v>
      </c>
      <c r="N657" s="33">
        <f>10.5874 * CHOOSE(CONTROL!$C$32, $C$9, 100%, $E$9)</f>
        <v>10.587400000000001</v>
      </c>
      <c r="O657" s="33">
        <f>10.5927 * CHOOSE(CONTROL!$C$32, $C$9, 100%, $E$9)</f>
        <v>10.592700000000001</v>
      </c>
    </row>
    <row r="658" spans="1:15" ht="15" x14ac:dyDescent="0.2">
      <c r="A658" s="16">
        <v>60876</v>
      </c>
      <c r="B658" s="32">
        <f>9.5058 * CHOOSE(CONTROL!$C$32, $C$9, 100%, $E$9)</f>
        <v>9.5058000000000007</v>
      </c>
      <c r="C658" s="32">
        <f>9.5058 * CHOOSE(CONTROL!$C$32, $C$9, 100%, $E$9)</f>
        <v>9.5058000000000007</v>
      </c>
      <c r="D658" s="32">
        <f>9.5074 * CHOOSE(CONTROL!$C$32, $C$9, 100%, $E$9)</f>
        <v>9.5074000000000005</v>
      </c>
      <c r="E658" s="33">
        <f>10.5577 * CHOOSE(CONTROL!$C$32, $C$9, 100%, $E$9)</f>
        <v>10.557700000000001</v>
      </c>
      <c r="F658" s="33">
        <f>10.5577 * CHOOSE(CONTROL!$C$32, $C$9, 100%, $E$9)</f>
        <v>10.557700000000001</v>
      </c>
      <c r="G658" s="33">
        <f>10.563 * CHOOSE(CONTROL!$C$32, $C$9, 100%, $E$9)</f>
        <v>10.563000000000001</v>
      </c>
      <c r="H658" s="33">
        <f>21.4885 * CHOOSE(CONTROL!$C$32, $C$9, 100%, $E$9)</f>
        <v>21.488499999999998</v>
      </c>
      <c r="I658" s="33">
        <f>21.4938 * CHOOSE(CONTROL!$C$32, $C$9, 100%, $E$9)</f>
        <v>21.4938</v>
      </c>
      <c r="J658" s="33">
        <f>21.4885 * CHOOSE(CONTROL!$C$32, $C$9, 100%, $E$9)</f>
        <v>21.488499999999998</v>
      </c>
      <c r="K658" s="33">
        <f>21.4938 * CHOOSE(CONTROL!$C$32, $C$9, 100%, $E$9)</f>
        <v>21.4938</v>
      </c>
      <c r="L658" s="33">
        <f>10.5577 * CHOOSE(CONTROL!$C$32, $C$9, 100%, $E$9)</f>
        <v>10.557700000000001</v>
      </c>
      <c r="M658" s="33">
        <f>10.563 * CHOOSE(CONTROL!$C$32, $C$9, 100%, $E$9)</f>
        <v>10.563000000000001</v>
      </c>
      <c r="N658" s="33">
        <f>10.5577 * CHOOSE(CONTROL!$C$32, $C$9, 100%, $E$9)</f>
        <v>10.557700000000001</v>
      </c>
      <c r="O658" s="33">
        <f>10.563 * CHOOSE(CONTROL!$C$32, $C$9, 100%, $E$9)</f>
        <v>10.563000000000001</v>
      </c>
    </row>
    <row r="659" spans="1:15" ht="15" x14ac:dyDescent="0.2">
      <c r="A659" s="16">
        <v>60906</v>
      </c>
      <c r="B659" s="32">
        <f>9.5214 * CHOOSE(CONTROL!$C$32, $C$9, 100%, $E$9)</f>
        <v>9.5213999999999999</v>
      </c>
      <c r="C659" s="32">
        <f>9.5214 * CHOOSE(CONTROL!$C$32, $C$9, 100%, $E$9)</f>
        <v>9.5213999999999999</v>
      </c>
      <c r="D659" s="32">
        <f>9.5225 * CHOOSE(CONTROL!$C$32, $C$9, 100%, $E$9)</f>
        <v>9.5225000000000009</v>
      </c>
      <c r="E659" s="33">
        <f>10.6546 * CHOOSE(CONTROL!$C$32, $C$9, 100%, $E$9)</f>
        <v>10.6546</v>
      </c>
      <c r="F659" s="33">
        <f>10.6546 * CHOOSE(CONTROL!$C$32, $C$9, 100%, $E$9)</f>
        <v>10.6546</v>
      </c>
      <c r="G659" s="33">
        <f>10.6582 * CHOOSE(CONTROL!$C$32, $C$9, 100%, $E$9)</f>
        <v>10.658200000000001</v>
      </c>
      <c r="H659" s="33">
        <f>21.5333 * CHOOSE(CONTROL!$C$32, $C$9, 100%, $E$9)</f>
        <v>21.533300000000001</v>
      </c>
      <c r="I659" s="33">
        <f>21.5369 * CHOOSE(CONTROL!$C$32, $C$9, 100%, $E$9)</f>
        <v>21.536899999999999</v>
      </c>
      <c r="J659" s="33">
        <f>21.5333 * CHOOSE(CONTROL!$C$32, $C$9, 100%, $E$9)</f>
        <v>21.533300000000001</v>
      </c>
      <c r="K659" s="33">
        <f>21.5369 * CHOOSE(CONTROL!$C$32, $C$9, 100%, $E$9)</f>
        <v>21.536899999999999</v>
      </c>
      <c r="L659" s="33">
        <f>10.6546 * CHOOSE(CONTROL!$C$32, $C$9, 100%, $E$9)</f>
        <v>10.6546</v>
      </c>
      <c r="M659" s="33">
        <f>10.6582 * CHOOSE(CONTROL!$C$32, $C$9, 100%, $E$9)</f>
        <v>10.658200000000001</v>
      </c>
      <c r="N659" s="33">
        <f>10.6546 * CHOOSE(CONTROL!$C$32, $C$9, 100%, $E$9)</f>
        <v>10.6546</v>
      </c>
      <c r="O659" s="33">
        <f>10.6582 * CHOOSE(CONTROL!$C$32, $C$9, 100%, $E$9)</f>
        <v>10.658200000000001</v>
      </c>
    </row>
    <row r="660" spans="1:15" ht="15" x14ac:dyDescent="0.2">
      <c r="A660" s="16">
        <v>60937</v>
      </c>
      <c r="B660" s="32">
        <f>9.5244 * CHOOSE(CONTROL!$C$32, $C$9, 100%, $E$9)</f>
        <v>9.5244</v>
      </c>
      <c r="C660" s="32">
        <f>9.5244 * CHOOSE(CONTROL!$C$32, $C$9, 100%, $E$9)</f>
        <v>9.5244</v>
      </c>
      <c r="D660" s="32">
        <f>9.5255 * CHOOSE(CONTROL!$C$32, $C$9, 100%, $E$9)</f>
        <v>9.5254999999999992</v>
      </c>
      <c r="E660" s="33">
        <f>10.7119 * CHOOSE(CONTROL!$C$32, $C$9, 100%, $E$9)</f>
        <v>10.7119</v>
      </c>
      <c r="F660" s="33">
        <f>10.7119 * CHOOSE(CONTROL!$C$32, $C$9, 100%, $E$9)</f>
        <v>10.7119</v>
      </c>
      <c r="G660" s="33">
        <f>10.7155 * CHOOSE(CONTROL!$C$32, $C$9, 100%, $E$9)</f>
        <v>10.7155</v>
      </c>
      <c r="H660" s="33">
        <f>21.5782 * CHOOSE(CONTROL!$C$32, $C$9, 100%, $E$9)</f>
        <v>21.578199999999999</v>
      </c>
      <c r="I660" s="33">
        <f>21.5818 * CHOOSE(CONTROL!$C$32, $C$9, 100%, $E$9)</f>
        <v>21.581800000000001</v>
      </c>
      <c r="J660" s="33">
        <f>21.5782 * CHOOSE(CONTROL!$C$32, $C$9, 100%, $E$9)</f>
        <v>21.578199999999999</v>
      </c>
      <c r="K660" s="33">
        <f>21.5818 * CHOOSE(CONTROL!$C$32, $C$9, 100%, $E$9)</f>
        <v>21.581800000000001</v>
      </c>
      <c r="L660" s="33">
        <f>10.7119 * CHOOSE(CONTROL!$C$32, $C$9, 100%, $E$9)</f>
        <v>10.7119</v>
      </c>
      <c r="M660" s="33">
        <f>10.7155 * CHOOSE(CONTROL!$C$32, $C$9, 100%, $E$9)</f>
        <v>10.7155</v>
      </c>
      <c r="N660" s="33">
        <f>10.7119 * CHOOSE(CONTROL!$C$32, $C$9, 100%, $E$9)</f>
        <v>10.7119</v>
      </c>
      <c r="O660" s="33">
        <f>10.7155 * CHOOSE(CONTROL!$C$32, $C$9, 100%, $E$9)</f>
        <v>10.7155</v>
      </c>
    </row>
    <row r="661" spans="1:15" ht="15" x14ac:dyDescent="0.2">
      <c r="A661" s="16">
        <v>60967</v>
      </c>
      <c r="B661" s="32">
        <f>9.5244 * CHOOSE(CONTROL!$C$32, $C$9, 100%, $E$9)</f>
        <v>9.5244</v>
      </c>
      <c r="C661" s="32">
        <f>9.5244 * CHOOSE(CONTROL!$C$32, $C$9, 100%, $E$9)</f>
        <v>9.5244</v>
      </c>
      <c r="D661" s="32">
        <f>9.5255 * CHOOSE(CONTROL!$C$32, $C$9, 100%, $E$9)</f>
        <v>9.5254999999999992</v>
      </c>
      <c r="E661" s="33">
        <f>10.574 * CHOOSE(CONTROL!$C$32, $C$9, 100%, $E$9)</f>
        <v>10.574</v>
      </c>
      <c r="F661" s="33">
        <f>10.574 * CHOOSE(CONTROL!$C$32, $C$9, 100%, $E$9)</f>
        <v>10.574</v>
      </c>
      <c r="G661" s="33">
        <f>10.5776 * CHOOSE(CONTROL!$C$32, $C$9, 100%, $E$9)</f>
        <v>10.5776</v>
      </c>
      <c r="H661" s="33">
        <f>21.6231 * CHOOSE(CONTROL!$C$32, $C$9, 100%, $E$9)</f>
        <v>21.623100000000001</v>
      </c>
      <c r="I661" s="33">
        <f>21.6267 * CHOOSE(CONTROL!$C$32, $C$9, 100%, $E$9)</f>
        <v>21.6267</v>
      </c>
      <c r="J661" s="33">
        <f>21.6231 * CHOOSE(CONTROL!$C$32, $C$9, 100%, $E$9)</f>
        <v>21.623100000000001</v>
      </c>
      <c r="K661" s="33">
        <f>21.6267 * CHOOSE(CONTROL!$C$32, $C$9, 100%, $E$9)</f>
        <v>21.6267</v>
      </c>
      <c r="L661" s="33">
        <f>10.574 * CHOOSE(CONTROL!$C$32, $C$9, 100%, $E$9)</f>
        <v>10.574</v>
      </c>
      <c r="M661" s="33">
        <f>10.5776 * CHOOSE(CONTROL!$C$32, $C$9, 100%, $E$9)</f>
        <v>10.5776</v>
      </c>
      <c r="N661" s="33">
        <f>10.574 * CHOOSE(CONTROL!$C$32, $C$9, 100%, $E$9)</f>
        <v>10.574</v>
      </c>
      <c r="O661" s="33">
        <f>10.5776 * CHOOSE(CONTROL!$C$32, $C$9, 100%, $E$9)</f>
        <v>10.5776</v>
      </c>
    </row>
    <row r="662" spans="1:15" ht="15" x14ac:dyDescent="0.2">
      <c r="A662" s="16">
        <v>60998</v>
      </c>
      <c r="B662" s="32">
        <f>9.569 * CHOOSE(CONTROL!$C$32, $C$9, 100%, $E$9)</f>
        <v>9.5690000000000008</v>
      </c>
      <c r="C662" s="32">
        <f>9.569 * CHOOSE(CONTROL!$C$32, $C$9, 100%, $E$9)</f>
        <v>9.5690000000000008</v>
      </c>
      <c r="D662" s="32">
        <f>9.5701 * CHOOSE(CONTROL!$C$32, $C$9, 100%, $E$9)</f>
        <v>9.5701000000000001</v>
      </c>
      <c r="E662" s="33">
        <f>10.733 * CHOOSE(CONTROL!$C$32, $C$9, 100%, $E$9)</f>
        <v>10.733000000000001</v>
      </c>
      <c r="F662" s="33">
        <f>10.733 * CHOOSE(CONTROL!$C$32, $C$9, 100%, $E$9)</f>
        <v>10.733000000000001</v>
      </c>
      <c r="G662" s="33">
        <f>10.7366 * CHOOSE(CONTROL!$C$32, $C$9, 100%, $E$9)</f>
        <v>10.736599999999999</v>
      </c>
      <c r="H662" s="33">
        <f>21.5978 * CHOOSE(CONTROL!$C$32, $C$9, 100%, $E$9)</f>
        <v>21.597799999999999</v>
      </c>
      <c r="I662" s="33">
        <f>21.6014 * CHOOSE(CONTROL!$C$32, $C$9, 100%, $E$9)</f>
        <v>21.601400000000002</v>
      </c>
      <c r="J662" s="33">
        <f>21.5978 * CHOOSE(CONTROL!$C$32, $C$9, 100%, $E$9)</f>
        <v>21.597799999999999</v>
      </c>
      <c r="K662" s="33">
        <f>21.6014 * CHOOSE(CONTROL!$C$32, $C$9, 100%, $E$9)</f>
        <v>21.601400000000002</v>
      </c>
      <c r="L662" s="33">
        <f>10.733 * CHOOSE(CONTROL!$C$32, $C$9, 100%, $E$9)</f>
        <v>10.733000000000001</v>
      </c>
      <c r="M662" s="33">
        <f>10.7366 * CHOOSE(CONTROL!$C$32, $C$9, 100%, $E$9)</f>
        <v>10.736599999999999</v>
      </c>
      <c r="N662" s="33">
        <f>10.733 * CHOOSE(CONTROL!$C$32, $C$9, 100%, $E$9)</f>
        <v>10.733000000000001</v>
      </c>
      <c r="O662" s="33">
        <f>10.7366 * CHOOSE(CONTROL!$C$32, $C$9, 100%, $E$9)</f>
        <v>10.736599999999999</v>
      </c>
    </row>
    <row r="663" spans="1:15" ht="15" x14ac:dyDescent="0.2">
      <c r="A663" s="16">
        <v>61029</v>
      </c>
      <c r="B663" s="32">
        <f>9.566 * CHOOSE(CONTROL!$C$32, $C$9, 100%, $E$9)</f>
        <v>9.5660000000000007</v>
      </c>
      <c r="C663" s="32">
        <f>9.566 * CHOOSE(CONTROL!$C$32, $C$9, 100%, $E$9)</f>
        <v>9.5660000000000007</v>
      </c>
      <c r="D663" s="32">
        <f>9.567 * CHOOSE(CONTROL!$C$32, $C$9, 100%, $E$9)</f>
        <v>9.5670000000000002</v>
      </c>
      <c r="E663" s="33">
        <f>10.4632 * CHOOSE(CONTROL!$C$32, $C$9, 100%, $E$9)</f>
        <v>10.463200000000001</v>
      </c>
      <c r="F663" s="33">
        <f>10.4632 * CHOOSE(CONTROL!$C$32, $C$9, 100%, $E$9)</f>
        <v>10.463200000000001</v>
      </c>
      <c r="G663" s="33">
        <f>10.4669 * CHOOSE(CONTROL!$C$32, $C$9, 100%, $E$9)</f>
        <v>10.466900000000001</v>
      </c>
      <c r="H663" s="33">
        <f>21.6428 * CHOOSE(CONTROL!$C$32, $C$9, 100%, $E$9)</f>
        <v>21.642800000000001</v>
      </c>
      <c r="I663" s="33">
        <f>21.6464 * CHOOSE(CONTROL!$C$32, $C$9, 100%, $E$9)</f>
        <v>21.6464</v>
      </c>
      <c r="J663" s="33">
        <f>21.6428 * CHOOSE(CONTROL!$C$32, $C$9, 100%, $E$9)</f>
        <v>21.642800000000001</v>
      </c>
      <c r="K663" s="33">
        <f>21.6464 * CHOOSE(CONTROL!$C$32, $C$9, 100%, $E$9)</f>
        <v>21.6464</v>
      </c>
      <c r="L663" s="33">
        <f>10.4632 * CHOOSE(CONTROL!$C$32, $C$9, 100%, $E$9)</f>
        <v>10.463200000000001</v>
      </c>
      <c r="M663" s="33">
        <f>10.4669 * CHOOSE(CONTROL!$C$32, $C$9, 100%, $E$9)</f>
        <v>10.466900000000001</v>
      </c>
      <c r="N663" s="33">
        <f>10.4632 * CHOOSE(CONTROL!$C$32, $C$9, 100%, $E$9)</f>
        <v>10.463200000000001</v>
      </c>
      <c r="O663" s="33">
        <f>10.4669 * CHOOSE(CONTROL!$C$32, $C$9, 100%, $E$9)</f>
        <v>10.466900000000001</v>
      </c>
    </row>
    <row r="664" spans="1:15" ht="15" x14ac:dyDescent="0.2">
      <c r="A664" s="16">
        <v>61057</v>
      </c>
      <c r="B664" s="32">
        <f>9.5629 * CHOOSE(CONTROL!$C$32, $C$9, 100%, $E$9)</f>
        <v>9.5629000000000008</v>
      </c>
      <c r="C664" s="32">
        <f>9.5629 * CHOOSE(CONTROL!$C$32, $C$9, 100%, $E$9)</f>
        <v>9.5629000000000008</v>
      </c>
      <c r="D664" s="32">
        <f>9.564 * CHOOSE(CONTROL!$C$32, $C$9, 100%, $E$9)</f>
        <v>9.5640000000000001</v>
      </c>
      <c r="E664" s="33">
        <f>10.6721 * CHOOSE(CONTROL!$C$32, $C$9, 100%, $E$9)</f>
        <v>10.6721</v>
      </c>
      <c r="F664" s="33">
        <f>10.6721 * CHOOSE(CONTROL!$C$32, $C$9, 100%, $E$9)</f>
        <v>10.6721</v>
      </c>
      <c r="G664" s="33">
        <f>10.6757 * CHOOSE(CONTROL!$C$32, $C$9, 100%, $E$9)</f>
        <v>10.675700000000001</v>
      </c>
      <c r="H664" s="33">
        <f>21.6878 * CHOOSE(CONTROL!$C$32, $C$9, 100%, $E$9)</f>
        <v>21.687799999999999</v>
      </c>
      <c r="I664" s="33">
        <f>21.6915 * CHOOSE(CONTROL!$C$32, $C$9, 100%, $E$9)</f>
        <v>21.691500000000001</v>
      </c>
      <c r="J664" s="33">
        <f>21.6878 * CHOOSE(CONTROL!$C$32, $C$9, 100%, $E$9)</f>
        <v>21.687799999999999</v>
      </c>
      <c r="K664" s="33">
        <f>21.6915 * CHOOSE(CONTROL!$C$32, $C$9, 100%, $E$9)</f>
        <v>21.691500000000001</v>
      </c>
      <c r="L664" s="33">
        <f>10.6721 * CHOOSE(CONTROL!$C$32, $C$9, 100%, $E$9)</f>
        <v>10.6721</v>
      </c>
      <c r="M664" s="33">
        <f>10.6757 * CHOOSE(CONTROL!$C$32, $C$9, 100%, $E$9)</f>
        <v>10.675700000000001</v>
      </c>
      <c r="N664" s="33">
        <f>10.6721 * CHOOSE(CONTROL!$C$32, $C$9, 100%, $E$9)</f>
        <v>10.6721</v>
      </c>
      <c r="O664" s="33">
        <f>10.6757 * CHOOSE(CONTROL!$C$32, $C$9, 100%, $E$9)</f>
        <v>10.675700000000001</v>
      </c>
    </row>
    <row r="665" spans="1:15" ht="15" x14ac:dyDescent="0.2">
      <c r="A665" s="16">
        <v>61088</v>
      </c>
      <c r="B665" s="32">
        <f>9.566 * CHOOSE(CONTROL!$C$32, $C$9, 100%, $E$9)</f>
        <v>9.5660000000000007</v>
      </c>
      <c r="C665" s="32">
        <f>9.566 * CHOOSE(CONTROL!$C$32, $C$9, 100%, $E$9)</f>
        <v>9.5660000000000007</v>
      </c>
      <c r="D665" s="32">
        <f>9.567 * CHOOSE(CONTROL!$C$32, $C$9, 100%, $E$9)</f>
        <v>9.5670000000000002</v>
      </c>
      <c r="E665" s="33">
        <f>10.8945 * CHOOSE(CONTROL!$C$32, $C$9, 100%, $E$9)</f>
        <v>10.894500000000001</v>
      </c>
      <c r="F665" s="33">
        <f>10.8945 * CHOOSE(CONTROL!$C$32, $C$9, 100%, $E$9)</f>
        <v>10.894500000000001</v>
      </c>
      <c r="G665" s="33">
        <f>10.8981 * CHOOSE(CONTROL!$C$32, $C$9, 100%, $E$9)</f>
        <v>10.898099999999999</v>
      </c>
      <c r="H665" s="33">
        <f>21.733 * CHOOSE(CONTROL!$C$32, $C$9, 100%, $E$9)</f>
        <v>21.733000000000001</v>
      </c>
      <c r="I665" s="33">
        <f>21.7366 * CHOOSE(CONTROL!$C$32, $C$9, 100%, $E$9)</f>
        <v>21.736599999999999</v>
      </c>
      <c r="J665" s="33">
        <f>21.733 * CHOOSE(CONTROL!$C$32, $C$9, 100%, $E$9)</f>
        <v>21.733000000000001</v>
      </c>
      <c r="K665" s="33">
        <f>21.7366 * CHOOSE(CONTROL!$C$32, $C$9, 100%, $E$9)</f>
        <v>21.736599999999999</v>
      </c>
      <c r="L665" s="33">
        <f>10.8945 * CHOOSE(CONTROL!$C$32, $C$9, 100%, $E$9)</f>
        <v>10.894500000000001</v>
      </c>
      <c r="M665" s="33">
        <f>10.8981 * CHOOSE(CONTROL!$C$32, $C$9, 100%, $E$9)</f>
        <v>10.898099999999999</v>
      </c>
      <c r="N665" s="33">
        <f>10.8945 * CHOOSE(CONTROL!$C$32, $C$9, 100%, $E$9)</f>
        <v>10.894500000000001</v>
      </c>
      <c r="O665" s="33">
        <f>10.8981 * CHOOSE(CONTROL!$C$32, $C$9, 100%, $E$9)</f>
        <v>10.898099999999999</v>
      </c>
    </row>
    <row r="666" spans="1:15" ht="15" x14ac:dyDescent="0.2">
      <c r="A666" s="16">
        <v>61118</v>
      </c>
      <c r="B666" s="32">
        <f>9.566 * CHOOSE(CONTROL!$C$32, $C$9, 100%, $E$9)</f>
        <v>9.5660000000000007</v>
      </c>
      <c r="C666" s="32">
        <f>9.566 * CHOOSE(CONTROL!$C$32, $C$9, 100%, $E$9)</f>
        <v>9.5660000000000007</v>
      </c>
      <c r="D666" s="32">
        <f>9.5675 * CHOOSE(CONTROL!$C$32, $C$9, 100%, $E$9)</f>
        <v>9.5675000000000008</v>
      </c>
      <c r="E666" s="33">
        <f>10.9795 * CHOOSE(CONTROL!$C$32, $C$9, 100%, $E$9)</f>
        <v>10.9795</v>
      </c>
      <c r="F666" s="33">
        <f>10.9795 * CHOOSE(CONTROL!$C$32, $C$9, 100%, $E$9)</f>
        <v>10.9795</v>
      </c>
      <c r="G666" s="33">
        <f>10.9848 * CHOOSE(CONTROL!$C$32, $C$9, 100%, $E$9)</f>
        <v>10.9848</v>
      </c>
      <c r="H666" s="33">
        <f>21.7783 * CHOOSE(CONTROL!$C$32, $C$9, 100%, $E$9)</f>
        <v>21.778300000000002</v>
      </c>
      <c r="I666" s="33">
        <f>21.7836 * CHOOSE(CONTROL!$C$32, $C$9, 100%, $E$9)</f>
        <v>21.7836</v>
      </c>
      <c r="J666" s="33">
        <f>21.7783 * CHOOSE(CONTROL!$C$32, $C$9, 100%, $E$9)</f>
        <v>21.778300000000002</v>
      </c>
      <c r="K666" s="33">
        <f>21.7836 * CHOOSE(CONTROL!$C$32, $C$9, 100%, $E$9)</f>
        <v>21.7836</v>
      </c>
      <c r="L666" s="33">
        <f>10.9795 * CHOOSE(CONTROL!$C$32, $C$9, 100%, $E$9)</f>
        <v>10.9795</v>
      </c>
      <c r="M666" s="33">
        <f>10.9848 * CHOOSE(CONTROL!$C$32, $C$9, 100%, $E$9)</f>
        <v>10.9848</v>
      </c>
      <c r="N666" s="33">
        <f>10.9795 * CHOOSE(CONTROL!$C$32, $C$9, 100%, $E$9)</f>
        <v>10.9795</v>
      </c>
      <c r="O666" s="33">
        <f>10.9848 * CHOOSE(CONTROL!$C$32, $C$9, 100%, $E$9)</f>
        <v>10.9848</v>
      </c>
    </row>
    <row r="667" spans="1:15" ht="15" x14ac:dyDescent="0.2">
      <c r="A667" s="16">
        <v>61149</v>
      </c>
      <c r="B667" s="32">
        <f>9.572 * CHOOSE(CONTROL!$C$32, $C$9, 100%, $E$9)</f>
        <v>9.5719999999999992</v>
      </c>
      <c r="C667" s="32">
        <f>9.572 * CHOOSE(CONTROL!$C$32, $C$9, 100%, $E$9)</f>
        <v>9.5719999999999992</v>
      </c>
      <c r="D667" s="32">
        <f>9.5736 * CHOOSE(CONTROL!$C$32, $C$9, 100%, $E$9)</f>
        <v>9.5736000000000008</v>
      </c>
      <c r="E667" s="33">
        <f>10.8987 * CHOOSE(CONTROL!$C$32, $C$9, 100%, $E$9)</f>
        <v>10.8987</v>
      </c>
      <c r="F667" s="33">
        <f>10.8987 * CHOOSE(CONTROL!$C$32, $C$9, 100%, $E$9)</f>
        <v>10.8987</v>
      </c>
      <c r="G667" s="33">
        <f>10.904 * CHOOSE(CONTROL!$C$32, $C$9, 100%, $E$9)</f>
        <v>10.904</v>
      </c>
      <c r="H667" s="33">
        <f>21.8237 * CHOOSE(CONTROL!$C$32, $C$9, 100%, $E$9)</f>
        <v>21.823699999999999</v>
      </c>
      <c r="I667" s="33">
        <f>21.829 * CHOOSE(CONTROL!$C$32, $C$9, 100%, $E$9)</f>
        <v>21.829000000000001</v>
      </c>
      <c r="J667" s="33">
        <f>21.8237 * CHOOSE(CONTROL!$C$32, $C$9, 100%, $E$9)</f>
        <v>21.823699999999999</v>
      </c>
      <c r="K667" s="33">
        <f>21.829 * CHOOSE(CONTROL!$C$32, $C$9, 100%, $E$9)</f>
        <v>21.829000000000001</v>
      </c>
      <c r="L667" s="33">
        <f>10.8987 * CHOOSE(CONTROL!$C$32, $C$9, 100%, $E$9)</f>
        <v>10.8987</v>
      </c>
      <c r="M667" s="33">
        <f>10.904 * CHOOSE(CONTROL!$C$32, $C$9, 100%, $E$9)</f>
        <v>10.904</v>
      </c>
      <c r="N667" s="33">
        <f>10.8987 * CHOOSE(CONTROL!$C$32, $C$9, 100%, $E$9)</f>
        <v>10.8987</v>
      </c>
      <c r="O667" s="33">
        <f>10.904 * CHOOSE(CONTROL!$C$32, $C$9, 100%, $E$9)</f>
        <v>10.904</v>
      </c>
    </row>
    <row r="668" spans="1:15" ht="15" x14ac:dyDescent="0.2">
      <c r="A668" s="16">
        <v>61179</v>
      </c>
      <c r="B668" s="32">
        <f>9.6917 * CHOOSE(CONTROL!$C$32, $C$9, 100%, $E$9)</f>
        <v>9.6917000000000009</v>
      </c>
      <c r="C668" s="32">
        <f>9.6917 * CHOOSE(CONTROL!$C$32, $C$9, 100%, $E$9)</f>
        <v>9.6917000000000009</v>
      </c>
      <c r="D668" s="32">
        <f>9.6933 * CHOOSE(CONTROL!$C$32, $C$9, 100%, $E$9)</f>
        <v>9.6933000000000007</v>
      </c>
      <c r="E668" s="33">
        <f>11.0511 * CHOOSE(CONTROL!$C$32, $C$9, 100%, $E$9)</f>
        <v>11.0511</v>
      </c>
      <c r="F668" s="33">
        <f>11.0511 * CHOOSE(CONTROL!$C$32, $C$9, 100%, $E$9)</f>
        <v>11.0511</v>
      </c>
      <c r="G668" s="33">
        <f>11.0564 * CHOOSE(CONTROL!$C$32, $C$9, 100%, $E$9)</f>
        <v>11.0564</v>
      </c>
      <c r="H668" s="33">
        <f>21.8691 * CHOOSE(CONTROL!$C$32, $C$9, 100%, $E$9)</f>
        <v>21.8691</v>
      </c>
      <c r="I668" s="33">
        <f>21.8744 * CHOOSE(CONTROL!$C$32, $C$9, 100%, $E$9)</f>
        <v>21.874400000000001</v>
      </c>
      <c r="J668" s="33">
        <f>21.8691 * CHOOSE(CONTROL!$C$32, $C$9, 100%, $E$9)</f>
        <v>21.8691</v>
      </c>
      <c r="K668" s="33">
        <f>21.8744 * CHOOSE(CONTROL!$C$32, $C$9, 100%, $E$9)</f>
        <v>21.874400000000001</v>
      </c>
      <c r="L668" s="33">
        <f>11.0511 * CHOOSE(CONTROL!$C$32, $C$9, 100%, $E$9)</f>
        <v>11.0511</v>
      </c>
      <c r="M668" s="33">
        <f>11.0564 * CHOOSE(CONTROL!$C$32, $C$9, 100%, $E$9)</f>
        <v>11.0564</v>
      </c>
      <c r="N668" s="33">
        <f>11.0511 * CHOOSE(CONTROL!$C$32, $C$9, 100%, $E$9)</f>
        <v>11.0511</v>
      </c>
      <c r="O668" s="33">
        <f>11.0564 * CHOOSE(CONTROL!$C$32, $C$9, 100%, $E$9)</f>
        <v>11.0564</v>
      </c>
    </row>
    <row r="669" spans="1:15" ht="15" x14ac:dyDescent="0.2">
      <c r="A669" s="16">
        <v>61210</v>
      </c>
      <c r="B669" s="32">
        <f>9.6984 * CHOOSE(CONTROL!$C$32, $C$9, 100%, $E$9)</f>
        <v>9.6983999999999995</v>
      </c>
      <c r="C669" s="32">
        <f>9.6984 * CHOOSE(CONTROL!$C$32, $C$9, 100%, $E$9)</f>
        <v>9.6983999999999995</v>
      </c>
      <c r="D669" s="32">
        <f>9.7 * CHOOSE(CONTROL!$C$32, $C$9, 100%, $E$9)</f>
        <v>9.6999999999999993</v>
      </c>
      <c r="E669" s="33">
        <f>10.8009 * CHOOSE(CONTROL!$C$32, $C$9, 100%, $E$9)</f>
        <v>10.8009</v>
      </c>
      <c r="F669" s="33">
        <f>10.8009 * CHOOSE(CONTROL!$C$32, $C$9, 100%, $E$9)</f>
        <v>10.8009</v>
      </c>
      <c r="G669" s="33">
        <f>10.8062 * CHOOSE(CONTROL!$C$32, $C$9, 100%, $E$9)</f>
        <v>10.8062</v>
      </c>
      <c r="H669" s="33">
        <f>21.9147 * CHOOSE(CONTROL!$C$32, $C$9, 100%, $E$9)</f>
        <v>21.9147</v>
      </c>
      <c r="I669" s="33">
        <f>21.92 * CHOOSE(CONTROL!$C$32, $C$9, 100%, $E$9)</f>
        <v>21.92</v>
      </c>
      <c r="J669" s="33">
        <f>21.9147 * CHOOSE(CONTROL!$C$32, $C$9, 100%, $E$9)</f>
        <v>21.9147</v>
      </c>
      <c r="K669" s="33">
        <f>21.92 * CHOOSE(CONTROL!$C$32, $C$9, 100%, $E$9)</f>
        <v>21.92</v>
      </c>
      <c r="L669" s="33">
        <f>10.8009 * CHOOSE(CONTROL!$C$32, $C$9, 100%, $E$9)</f>
        <v>10.8009</v>
      </c>
      <c r="M669" s="33">
        <f>10.8062 * CHOOSE(CONTROL!$C$32, $C$9, 100%, $E$9)</f>
        <v>10.8062</v>
      </c>
      <c r="N669" s="33">
        <f>10.8009 * CHOOSE(CONTROL!$C$32, $C$9, 100%, $E$9)</f>
        <v>10.8009</v>
      </c>
      <c r="O669" s="33">
        <f>10.8062 * CHOOSE(CONTROL!$C$32, $C$9, 100%, $E$9)</f>
        <v>10.8062</v>
      </c>
    </row>
    <row r="670" spans="1:15" ht="15" x14ac:dyDescent="0.2">
      <c r="A670" s="16">
        <v>61241</v>
      </c>
      <c r="B670" s="32">
        <f>9.6954 * CHOOSE(CONTROL!$C$32, $C$9, 100%, $E$9)</f>
        <v>9.6953999999999994</v>
      </c>
      <c r="C670" s="32">
        <f>9.6954 * CHOOSE(CONTROL!$C$32, $C$9, 100%, $E$9)</f>
        <v>9.6953999999999994</v>
      </c>
      <c r="D670" s="32">
        <f>9.697 * CHOOSE(CONTROL!$C$32, $C$9, 100%, $E$9)</f>
        <v>9.6969999999999992</v>
      </c>
      <c r="E670" s="33">
        <f>10.7704 * CHOOSE(CONTROL!$C$32, $C$9, 100%, $E$9)</f>
        <v>10.7704</v>
      </c>
      <c r="F670" s="33">
        <f>10.7704 * CHOOSE(CONTROL!$C$32, $C$9, 100%, $E$9)</f>
        <v>10.7704</v>
      </c>
      <c r="G670" s="33">
        <f>10.7757 * CHOOSE(CONTROL!$C$32, $C$9, 100%, $E$9)</f>
        <v>10.775700000000001</v>
      </c>
      <c r="H670" s="33">
        <f>21.9604 * CHOOSE(CONTROL!$C$32, $C$9, 100%, $E$9)</f>
        <v>21.9604</v>
      </c>
      <c r="I670" s="33">
        <f>21.9657 * CHOOSE(CONTROL!$C$32, $C$9, 100%, $E$9)</f>
        <v>21.965699999999998</v>
      </c>
      <c r="J670" s="33">
        <f>21.9604 * CHOOSE(CONTROL!$C$32, $C$9, 100%, $E$9)</f>
        <v>21.9604</v>
      </c>
      <c r="K670" s="33">
        <f>21.9657 * CHOOSE(CONTROL!$C$32, $C$9, 100%, $E$9)</f>
        <v>21.965699999999998</v>
      </c>
      <c r="L670" s="33">
        <f>10.7704 * CHOOSE(CONTROL!$C$32, $C$9, 100%, $E$9)</f>
        <v>10.7704</v>
      </c>
      <c r="M670" s="33">
        <f>10.7757 * CHOOSE(CONTROL!$C$32, $C$9, 100%, $E$9)</f>
        <v>10.775700000000001</v>
      </c>
      <c r="N670" s="33">
        <f>10.7704 * CHOOSE(CONTROL!$C$32, $C$9, 100%, $E$9)</f>
        <v>10.7704</v>
      </c>
      <c r="O670" s="33">
        <f>10.7757 * CHOOSE(CONTROL!$C$32, $C$9, 100%, $E$9)</f>
        <v>10.775700000000001</v>
      </c>
    </row>
    <row r="671" spans="1:15" ht="15" x14ac:dyDescent="0.2">
      <c r="A671" s="16">
        <v>61271</v>
      </c>
      <c r="B671" s="32">
        <f>9.7117 * CHOOSE(CONTROL!$C$32, $C$9, 100%, $E$9)</f>
        <v>9.7117000000000004</v>
      </c>
      <c r="C671" s="32">
        <f>9.7117 * CHOOSE(CONTROL!$C$32, $C$9, 100%, $E$9)</f>
        <v>9.7117000000000004</v>
      </c>
      <c r="D671" s="32">
        <f>9.7128 * CHOOSE(CONTROL!$C$32, $C$9, 100%, $E$9)</f>
        <v>9.7127999999999997</v>
      </c>
      <c r="E671" s="33">
        <f>10.8703 * CHOOSE(CONTROL!$C$32, $C$9, 100%, $E$9)</f>
        <v>10.8703</v>
      </c>
      <c r="F671" s="33">
        <f>10.8703 * CHOOSE(CONTROL!$C$32, $C$9, 100%, $E$9)</f>
        <v>10.8703</v>
      </c>
      <c r="G671" s="33">
        <f>10.8739 * CHOOSE(CONTROL!$C$32, $C$9, 100%, $E$9)</f>
        <v>10.873900000000001</v>
      </c>
      <c r="H671" s="33">
        <f>22.0061 * CHOOSE(CONTROL!$C$32, $C$9, 100%, $E$9)</f>
        <v>22.0061</v>
      </c>
      <c r="I671" s="33">
        <f>22.0097 * CHOOSE(CONTROL!$C$32, $C$9, 100%, $E$9)</f>
        <v>22.009699999999999</v>
      </c>
      <c r="J671" s="33">
        <f>22.0061 * CHOOSE(CONTROL!$C$32, $C$9, 100%, $E$9)</f>
        <v>22.0061</v>
      </c>
      <c r="K671" s="33">
        <f>22.0097 * CHOOSE(CONTROL!$C$32, $C$9, 100%, $E$9)</f>
        <v>22.009699999999999</v>
      </c>
      <c r="L671" s="33">
        <f>10.8703 * CHOOSE(CONTROL!$C$32, $C$9, 100%, $E$9)</f>
        <v>10.8703</v>
      </c>
      <c r="M671" s="33">
        <f>10.8739 * CHOOSE(CONTROL!$C$32, $C$9, 100%, $E$9)</f>
        <v>10.873900000000001</v>
      </c>
      <c r="N671" s="33">
        <f>10.8703 * CHOOSE(CONTROL!$C$32, $C$9, 100%, $E$9)</f>
        <v>10.8703</v>
      </c>
      <c r="O671" s="33">
        <f>10.8739 * CHOOSE(CONTROL!$C$32, $C$9, 100%, $E$9)</f>
        <v>10.873900000000001</v>
      </c>
    </row>
    <row r="672" spans="1:15" ht="15" x14ac:dyDescent="0.2">
      <c r="A672" s="16">
        <v>61302</v>
      </c>
      <c r="B672" s="32">
        <f>9.7147 * CHOOSE(CONTROL!$C$32, $C$9, 100%, $E$9)</f>
        <v>9.7147000000000006</v>
      </c>
      <c r="C672" s="32">
        <f>9.7147 * CHOOSE(CONTROL!$C$32, $C$9, 100%, $E$9)</f>
        <v>9.7147000000000006</v>
      </c>
      <c r="D672" s="32">
        <f>9.7158 * CHOOSE(CONTROL!$C$32, $C$9, 100%, $E$9)</f>
        <v>9.7157999999999998</v>
      </c>
      <c r="E672" s="33">
        <f>10.9291 * CHOOSE(CONTROL!$C$32, $C$9, 100%, $E$9)</f>
        <v>10.9291</v>
      </c>
      <c r="F672" s="33">
        <f>10.9291 * CHOOSE(CONTROL!$C$32, $C$9, 100%, $E$9)</f>
        <v>10.9291</v>
      </c>
      <c r="G672" s="33">
        <f>10.9327 * CHOOSE(CONTROL!$C$32, $C$9, 100%, $E$9)</f>
        <v>10.932700000000001</v>
      </c>
      <c r="H672" s="33">
        <f>22.052 * CHOOSE(CONTROL!$C$32, $C$9, 100%, $E$9)</f>
        <v>22.052</v>
      </c>
      <c r="I672" s="33">
        <f>22.0556 * CHOOSE(CONTROL!$C$32, $C$9, 100%, $E$9)</f>
        <v>22.055599999999998</v>
      </c>
      <c r="J672" s="33">
        <f>22.052 * CHOOSE(CONTROL!$C$32, $C$9, 100%, $E$9)</f>
        <v>22.052</v>
      </c>
      <c r="K672" s="33">
        <f>22.0556 * CHOOSE(CONTROL!$C$32, $C$9, 100%, $E$9)</f>
        <v>22.055599999999998</v>
      </c>
      <c r="L672" s="33">
        <f>10.9291 * CHOOSE(CONTROL!$C$32, $C$9, 100%, $E$9)</f>
        <v>10.9291</v>
      </c>
      <c r="M672" s="33">
        <f>10.9327 * CHOOSE(CONTROL!$C$32, $C$9, 100%, $E$9)</f>
        <v>10.932700000000001</v>
      </c>
      <c r="N672" s="33">
        <f>10.9291 * CHOOSE(CONTROL!$C$32, $C$9, 100%, $E$9)</f>
        <v>10.9291</v>
      </c>
      <c r="O672" s="33">
        <f>10.9327 * CHOOSE(CONTROL!$C$32, $C$9, 100%, $E$9)</f>
        <v>10.932700000000001</v>
      </c>
    </row>
    <row r="673" spans="1:15" ht="15" x14ac:dyDescent="0.2">
      <c r="A673" s="16">
        <v>61332</v>
      </c>
      <c r="B673" s="32">
        <f>9.7147 * CHOOSE(CONTROL!$C$32, $C$9, 100%, $E$9)</f>
        <v>9.7147000000000006</v>
      </c>
      <c r="C673" s="32">
        <f>9.7147 * CHOOSE(CONTROL!$C$32, $C$9, 100%, $E$9)</f>
        <v>9.7147000000000006</v>
      </c>
      <c r="D673" s="32">
        <f>9.7158 * CHOOSE(CONTROL!$C$32, $C$9, 100%, $E$9)</f>
        <v>9.7157999999999998</v>
      </c>
      <c r="E673" s="33">
        <f>10.7874 * CHOOSE(CONTROL!$C$32, $C$9, 100%, $E$9)</f>
        <v>10.7874</v>
      </c>
      <c r="F673" s="33">
        <f>10.7874 * CHOOSE(CONTROL!$C$32, $C$9, 100%, $E$9)</f>
        <v>10.7874</v>
      </c>
      <c r="G673" s="33">
        <f>10.7911 * CHOOSE(CONTROL!$C$32, $C$9, 100%, $E$9)</f>
        <v>10.7911</v>
      </c>
      <c r="H673" s="33">
        <f>22.0979 * CHOOSE(CONTROL!$C$32, $C$9, 100%, $E$9)</f>
        <v>22.097899999999999</v>
      </c>
      <c r="I673" s="33">
        <f>22.1015 * CHOOSE(CONTROL!$C$32, $C$9, 100%, $E$9)</f>
        <v>22.101500000000001</v>
      </c>
      <c r="J673" s="33">
        <f>22.0979 * CHOOSE(CONTROL!$C$32, $C$9, 100%, $E$9)</f>
        <v>22.097899999999999</v>
      </c>
      <c r="K673" s="33">
        <f>22.1015 * CHOOSE(CONTROL!$C$32, $C$9, 100%, $E$9)</f>
        <v>22.101500000000001</v>
      </c>
      <c r="L673" s="33">
        <f>10.7874 * CHOOSE(CONTROL!$C$32, $C$9, 100%, $E$9)</f>
        <v>10.7874</v>
      </c>
      <c r="M673" s="33">
        <f>10.7911 * CHOOSE(CONTROL!$C$32, $C$9, 100%, $E$9)</f>
        <v>10.7911</v>
      </c>
      <c r="N673" s="33">
        <f>10.7874 * CHOOSE(CONTROL!$C$32, $C$9, 100%, $E$9)</f>
        <v>10.7874</v>
      </c>
      <c r="O673" s="33">
        <f>10.7911 * CHOOSE(CONTROL!$C$32, $C$9, 100%, $E$9)</f>
        <v>10.7911</v>
      </c>
    </row>
    <row r="674" spans="1:15" ht="15" x14ac:dyDescent="0.2">
      <c r="A674" s="16">
        <v>61363</v>
      </c>
      <c r="B674" s="32">
        <f>9.7564 * CHOOSE(CONTROL!$C$32, $C$9, 100%, $E$9)</f>
        <v>9.7563999999999993</v>
      </c>
      <c r="C674" s="32">
        <f>9.7564 * CHOOSE(CONTROL!$C$32, $C$9, 100%, $E$9)</f>
        <v>9.7563999999999993</v>
      </c>
      <c r="D674" s="32">
        <f>9.7574 * CHOOSE(CONTROL!$C$32, $C$9, 100%, $E$9)</f>
        <v>9.7574000000000005</v>
      </c>
      <c r="E674" s="33">
        <f>10.9455 * CHOOSE(CONTROL!$C$32, $C$9, 100%, $E$9)</f>
        <v>10.945499999999999</v>
      </c>
      <c r="F674" s="33">
        <f>10.9455 * CHOOSE(CONTROL!$C$32, $C$9, 100%, $E$9)</f>
        <v>10.945499999999999</v>
      </c>
      <c r="G674" s="33">
        <f>10.9491 * CHOOSE(CONTROL!$C$32, $C$9, 100%, $E$9)</f>
        <v>10.9491</v>
      </c>
      <c r="H674" s="33">
        <f>22.0618 * CHOOSE(CONTROL!$C$32, $C$9, 100%, $E$9)</f>
        <v>22.061800000000002</v>
      </c>
      <c r="I674" s="33">
        <f>22.0654 * CHOOSE(CONTROL!$C$32, $C$9, 100%, $E$9)</f>
        <v>22.0654</v>
      </c>
      <c r="J674" s="33">
        <f>22.0618 * CHOOSE(CONTROL!$C$32, $C$9, 100%, $E$9)</f>
        <v>22.061800000000002</v>
      </c>
      <c r="K674" s="33">
        <f>22.0654 * CHOOSE(CONTROL!$C$32, $C$9, 100%, $E$9)</f>
        <v>22.0654</v>
      </c>
      <c r="L674" s="33">
        <f>10.9455 * CHOOSE(CONTROL!$C$32, $C$9, 100%, $E$9)</f>
        <v>10.945499999999999</v>
      </c>
      <c r="M674" s="33">
        <f>10.9491 * CHOOSE(CONTROL!$C$32, $C$9, 100%, $E$9)</f>
        <v>10.9491</v>
      </c>
      <c r="N674" s="33">
        <f>10.9455 * CHOOSE(CONTROL!$C$32, $C$9, 100%, $E$9)</f>
        <v>10.945499999999999</v>
      </c>
      <c r="O674" s="33">
        <f>10.9491 * CHOOSE(CONTROL!$C$32, $C$9, 100%, $E$9)</f>
        <v>10.9491</v>
      </c>
    </row>
    <row r="675" spans="1:15" ht="15" x14ac:dyDescent="0.2">
      <c r="A675" s="16">
        <v>61394</v>
      </c>
      <c r="B675" s="32">
        <f>9.7533 * CHOOSE(CONTROL!$C$32, $C$9, 100%, $E$9)</f>
        <v>9.7532999999999994</v>
      </c>
      <c r="C675" s="32">
        <f>9.7533 * CHOOSE(CONTROL!$C$32, $C$9, 100%, $E$9)</f>
        <v>9.7532999999999994</v>
      </c>
      <c r="D675" s="32">
        <f>9.7544 * CHOOSE(CONTROL!$C$32, $C$9, 100%, $E$9)</f>
        <v>9.7544000000000004</v>
      </c>
      <c r="E675" s="33">
        <f>10.6687 * CHOOSE(CONTROL!$C$32, $C$9, 100%, $E$9)</f>
        <v>10.668699999999999</v>
      </c>
      <c r="F675" s="33">
        <f>10.6687 * CHOOSE(CONTROL!$C$32, $C$9, 100%, $E$9)</f>
        <v>10.668699999999999</v>
      </c>
      <c r="G675" s="33">
        <f>10.6723 * CHOOSE(CONTROL!$C$32, $C$9, 100%, $E$9)</f>
        <v>10.6723</v>
      </c>
      <c r="H675" s="33">
        <f>22.1078 * CHOOSE(CONTROL!$C$32, $C$9, 100%, $E$9)</f>
        <v>22.107800000000001</v>
      </c>
      <c r="I675" s="33">
        <f>22.1114 * CHOOSE(CONTROL!$C$32, $C$9, 100%, $E$9)</f>
        <v>22.1114</v>
      </c>
      <c r="J675" s="33">
        <f>22.1078 * CHOOSE(CONTROL!$C$32, $C$9, 100%, $E$9)</f>
        <v>22.107800000000001</v>
      </c>
      <c r="K675" s="33">
        <f>22.1114 * CHOOSE(CONTROL!$C$32, $C$9, 100%, $E$9)</f>
        <v>22.1114</v>
      </c>
      <c r="L675" s="33">
        <f>10.6687 * CHOOSE(CONTROL!$C$32, $C$9, 100%, $E$9)</f>
        <v>10.668699999999999</v>
      </c>
      <c r="M675" s="33">
        <f>10.6723 * CHOOSE(CONTROL!$C$32, $C$9, 100%, $E$9)</f>
        <v>10.6723</v>
      </c>
      <c r="N675" s="33">
        <f>10.6687 * CHOOSE(CONTROL!$C$32, $C$9, 100%, $E$9)</f>
        <v>10.668699999999999</v>
      </c>
      <c r="O675" s="33">
        <f>10.6723 * CHOOSE(CONTROL!$C$32, $C$9, 100%, $E$9)</f>
        <v>10.6723</v>
      </c>
    </row>
    <row r="676" spans="1:15" ht="15" x14ac:dyDescent="0.2">
      <c r="A676" s="16">
        <v>61423</v>
      </c>
      <c r="B676" s="32">
        <f>9.7503 * CHOOSE(CONTROL!$C$32, $C$9, 100%, $E$9)</f>
        <v>9.7502999999999993</v>
      </c>
      <c r="C676" s="32">
        <f>9.7503 * CHOOSE(CONTROL!$C$32, $C$9, 100%, $E$9)</f>
        <v>9.7502999999999993</v>
      </c>
      <c r="D676" s="32">
        <f>9.7513 * CHOOSE(CONTROL!$C$32, $C$9, 100%, $E$9)</f>
        <v>9.7513000000000005</v>
      </c>
      <c r="E676" s="33">
        <f>10.8831 * CHOOSE(CONTROL!$C$32, $C$9, 100%, $E$9)</f>
        <v>10.883100000000001</v>
      </c>
      <c r="F676" s="33">
        <f>10.8831 * CHOOSE(CONTROL!$C$32, $C$9, 100%, $E$9)</f>
        <v>10.883100000000001</v>
      </c>
      <c r="G676" s="33">
        <f>10.8867 * CHOOSE(CONTROL!$C$32, $C$9, 100%, $E$9)</f>
        <v>10.886699999999999</v>
      </c>
      <c r="H676" s="33">
        <f>22.1538 * CHOOSE(CONTROL!$C$32, $C$9, 100%, $E$9)</f>
        <v>22.1538</v>
      </c>
      <c r="I676" s="33">
        <f>22.1574 * CHOOSE(CONTROL!$C$32, $C$9, 100%, $E$9)</f>
        <v>22.157399999999999</v>
      </c>
      <c r="J676" s="33">
        <f>22.1538 * CHOOSE(CONTROL!$C$32, $C$9, 100%, $E$9)</f>
        <v>22.1538</v>
      </c>
      <c r="K676" s="33">
        <f>22.1574 * CHOOSE(CONTROL!$C$32, $C$9, 100%, $E$9)</f>
        <v>22.157399999999999</v>
      </c>
      <c r="L676" s="33">
        <f>10.8831 * CHOOSE(CONTROL!$C$32, $C$9, 100%, $E$9)</f>
        <v>10.883100000000001</v>
      </c>
      <c r="M676" s="33">
        <f>10.8867 * CHOOSE(CONTROL!$C$32, $C$9, 100%, $E$9)</f>
        <v>10.886699999999999</v>
      </c>
      <c r="N676" s="33">
        <f>10.8831 * CHOOSE(CONTROL!$C$32, $C$9, 100%, $E$9)</f>
        <v>10.883100000000001</v>
      </c>
      <c r="O676" s="33">
        <f>10.8867 * CHOOSE(CONTROL!$C$32, $C$9, 100%, $E$9)</f>
        <v>10.886699999999999</v>
      </c>
    </row>
    <row r="677" spans="1:15" ht="15" x14ac:dyDescent="0.2">
      <c r="A677" s="16">
        <v>61454</v>
      </c>
      <c r="B677" s="32">
        <f>9.7535 * CHOOSE(CONTROL!$C$32, $C$9, 100%, $E$9)</f>
        <v>9.7535000000000007</v>
      </c>
      <c r="C677" s="32">
        <f>9.7535 * CHOOSE(CONTROL!$C$32, $C$9, 100%, $E$9)</f>
        <v>9.7535000000000007</v>
      </c>
      <c r="D677" s="32">
        <f>9.7546 * CHOOSE(CONTROL!$C$32, $C$9, 100%, $E$9)</f>
        <v>9.7545999999999999</v>
      </c>
      <c r="E677" s="33">
        <f>11.1115 * CHOOSE(CONTROL!$C$32, $C$9, 100%, $E$9)</f>
        <v>11.111499999999999</v>
      </c>
      <c r="F677" s="33">
        <f>11.1115 * CHOOSE(CONTROL!$C$32, $C$9, 100%, $E$9)</f>
        <v>11.111499999999999</v>
      </c>
      <c r="G677" s="33">
        <f>11.1151 * CHOOSE(CONTROL!$C$32, $C$9, 100%, $E$9)</f>
        <v>11.1151</v>
      </c>
      <c r="H677" s="33">
        <f>22.2 * CHOOSE(CONTROL!$C$32, $C$9, 100%, $E$9)</f>
        <v>22.2</v>
      </c>
      <c r="I677" s="33">
        <f>22.2036 * CHOOSE(CONTROL!$C$32, $C$9, 100%, $E$9)</f>
        <v>22.203600000000002</v>
      </c>
      <c r="J677" s="33">
        <f>22.2 * CHOOSE(CONTROL!$C$32, $C$9, 100%, $E$9)</f>
        <v>22.2</v>
      </c>
      <c r="K677" s="33">
        <f>22.2036 * CHOOSE(CONTROL!$C$32, $C$9, 100%, $E$9)</f>
        <v>22.203600000000002</v>
      </c>
      <c r="L677" s="33">
        <f>11.1115 * CHOOSE(CONTROL!$C$32, $C$9, 100%, $E$9)</f>
        <v>11.111499999999999</v>
      </c>
      <c r="M677" s="33">
        <f>11.1151 * CHOOSE(CONTROL!$C$32, $C$9, 100%, $E$9)</f>
        <v>11.1151</v>
      </c>
      <c r="N677" s="33">
        <f>11.1115 * CHOOSE(CONTROL!$C$32, $C$9, 100%, $E$9)</f>
        <v>11.111499999999999</v>
      </c>
      <c r="O677" s="33">
        <f>11.1151 * CHOOSE(CONTROL!$C$32, $C$9, 100%, $E$9)</f>
        <v>11.1151</v>
      </c>
    </row>
    <row r="678" spans="1:15" ht="15" x14ac:dyDescent="0.2">
      <c r="A678" s="16">
        <v>61484</v>
      </c>
      <c r="B678" s="32">
        <f>9.7535 * CHOOSE(CONTROL!$C$32, $C$9, 100%, $E$9)</f>
        <v>9.7535000000000007</v>
      </c>
      <c r="C678" s="32">
        <f>9.7535 * CHOOSE(CONTROL!$C$32, $C$9, 100%, $E$9)</f>
        <v>9.7535000000000007</v>
      </c>
      <c r="D678" s="32">
        <f>9.7551 * CHOOSE(CONTROL!$C$32, $C$9, 100%, $E$9)</f>
        <v>9.7551000000000005</v>
      </c>
      <c r="E678" s="33">
        <f>11.1987 * CHOOSE(CONTROL!$C$32, $C$9, 100%, $E$9)</f>
        <v>11.198700000000001</v>
      </c>
      <c r="F678" s="33">
        <f>11.1987 * CHOOSE(CONTROL!$C$32, $C$9, 100%, $E$9)</f>
        <v>11.198700000000001</v>
      </c>
      <c r="G678" s="33">
        <f>11.204 * CHOOSE(CONTROL!$C$32, $C$9, 100%, $E$9)</f>
        <v>11.204000000000001</v>
      </c>
      <c r="H678" s="33">
        <f>22.2462 * CHOOSE(CONTROL!$C$32, $C$9, 100%, $E$9)</f>
        <v>22.246200000000002</v>
      </c>
      <c r="I678" s="33">
        <f>22.2515 * CHOOSE(CONTROL!$C$32, $C$9, 100%, $E$9)</f>
        <v>22.2515</v>
      </c>
      <c r="J678" s="33">
        <f>22.2462 * CHOOSE(CONTROL!$C$32, $C$9, 100%, $E$9)</f>
        <v>22.246200000000002</v>
      </c>
      <c r="K678" s="33">
        <f>22.2515 * CHOOSE(CONTROL!$C$32, $C$9, 100%, $E$9)</f>
        <v>22.2515</v>
      </c>
      <c r="L678" s="33">
        <f>11.1987 * CHOOSE(CONTROL!$C$32, $C$9, 100%, $E$9)</f>
        <v>11.198700000000001</v>
      </c>
      <c r="M678" s="33">
        <f>11.204 * CHOOSE(CONTROL!$C$32, $C$9, 100%, $E$9)</f>
        <v>11.204000000000001</v>
      </c>
      <c r="N678" s="33">
        <f>11.1987 * CHOOSE(CONTROL!$C$32, $C$9, 100%, $E$9)</f>
        <v>11.198700000000001</v>
      </c>
      <c r="O678" s="33">
        <f>11.204 * CHOOSE(CONTROL!$C$32, $C$9, 100%, $E$9)</f>
        <v>11.204000000000001</v>
      </c>
    </row>
    <row r="679" spans="1:15" ht="15" x14ac:dyDescent="0.2">
      <c r="A679" s="16">
        <v>61515</v>
      </c>
      <c r="B679" s="32">
        <f>9.7596 * CHOOSE(CONTROL!$C$32, $C$9, 100%, $E$9)</f>
        <v>9.7596000000000007</v>
      </c>
      <c r="C679" s="32">
        <f>9.7596 * CHOOSE(CONTROL!$C$32, $C$9, 100%, $E$9)</f>
        <v>9.7596000000000007</v>
      </c>
      <c r="D679" s="32">
        <f>9.7612 * CHOOSE(CONTROL!$C$32, $C$9, 100%, $E$9)</f>
        <v>9.7612000000000005</v>
      </c>
      <c r="E679" s="33">
        <f>11.1157 * CHOOSE(CONTROL!$C$32, $C$9, 100%, $E$9)</f>
        <v>11.1157</v>
      </c>
      <c r="F679" s="33">
        <f>11.1157 * CHOOSE(CONTROL!$C$32, $C$9, 100%, $E$9)</f>
        <v>11.1157</v>
      </c>
      <c r="G679" s="33">
        <f>11.121 * CHOOSE(CONTROL!$C$32, $C$9, 100%, $E$9)</f>
        <v>11.121</v>
      </c>
      <c r="H679" s="33">
        <f>22.2926 * CHOOSE(CONTROL!$C$32, $C$9, 100%, $E$9)</f>
        <v>22.2926</v>
      </c>
      <c r="I679" s="33">
        <f>22.2979 * CHOOSE(CONTROL!$C$32, $C$9, 100%, $E$9)</f>
        <v>22.297899999999998</v>
      </c>
      <c r="J679" s="33">
        <f>22.2926 * CHOOSE(CONTROL!$C$32, $C$9, 100%, $E$9)</f>
        <v>22.2926</v>
      </c>
      <c r="K679" s="33">
        <f>22.2979 * CHOOSE(CONTROL!$C$32, $C$9, 100%, $E$9)</f>
        <v>22.297899999999998</v>
      </c>
      <c r="L679" s="33">
        <f>11.1157 * CHOOSE(CONTROL!$C$32, $C$9, 100%, $E$9)</f>
        <v>11.1157</v>
      </c>
      <c r="M679" s="33">
        <f>11.121 * CHOOSE(CONTROL!$C$32, $C$9, 100%, $E$9)</f>
        <v>11.121</v>
      </c>
      <c r="N679" s="33">
        <f>11.1157 * CHOOSE(CONTROL!$C$32, $C$9, 100%, $E$9)</f>
        <v>11.1157</v>
      </c>
      <c r="O679" s="33">
        <f>11.121 * CHOOSE(CONTROL!$C$32, $C$9, 100%, $E$9)</f>
        <v>11.121</v>
      </c>
    </row>
    <row r="680" spans="1:15" ht="15" x14ac:dyDescent="0.2">
      <c r="A680" s="16">
        <v>61545</v>
      </c>
      <c r="B680" s="32">
        <f>9.8813 * CHOOSE(CONTROL!$C$32, $C$9, 100%, $E$9)</f>
        <v>9.8812999999999995</v>
      </c>
      <c r="C680" s="32">
        <f>9.8813 * CHOOSE(CONTROL!$C$32, $C$9, 100%, $E$9)</f>
        <v>9.8812999999999995</v>
      </c>
      <c r="D680" s="32">
        <f>9.8829 * CHOOSE(CONTROL!$C$32, $C$9, 100%, $E$9)</f>
        <v>9.8828999999999994</v>
      </c>
      <c r="E680" s="33">
        <f>11.2713 * CHOOSE(CONTROL!$C$32, $C$9, 100%, $E$9)</f>
        <v>11.2713</v>
      </c>
      <c r="F680" s="33">
        <f>11.2713 * CHOOSE(CONTROL!$C$32, $C$9, 100%, $E$9)</f>
        <v>11.2713</v>
      </c>
      <c r="G680" s="33">
        <f>11.2766 * CHOOSE(CONTROL!$C$32, $C$9, 100%, $E$9)</f>
        <v>11.2766</v>
      </c>
      <c r="H680" s="33">
        <f>22.339 * CHOOSE(CONTROL!$C$32, $C$9, 100%, $E$9)</f>
        <v>22.338999999999999</v>
      </c>
      <c r="I680" s="33">
        <f>22.3443 * CHOOSE(CONTROL!$C$32, $C$9, 100%, $E$9)</f>
        <v>22.3443</v>
      </c>
      <c r="J680" s="33">
        <f>22.339 * CHOOSE(CONTROL!$C$32, $C$9, 100%, $E$9)</f>
        <v>22.338999999999999</v>
      </c>
      <c r="K680" s="33">
        <f>22.3443 * CHOOSE(CONTROL!$C$32, $C$9, 100%, $E$9)</f>
        <v>22.3443</v>
      </c>
      <c r="L680" s="33">
        <f>11.2713 * CHOOSE(CONTROL!$C$32, $C$9, 100%, $E$9)</f>
        <v>11.2713</v>
      </c>
      <c r="M680" s="33">
        <f>11.2766 * CHOOSE(CONTROL!$C$32, $C$9, 100%, $E$9)</f>
        <v>11.2766</v>
      </c>
      <c r="N680" s="33">
        <f>11.2713 * CHOOSE(CONTROL!$C$32, $C$9, 100%, $E$9)</f>
        <v>11.2713</v>
      </c>
      <c r="O680" s="33">
        <f>11.2766 * CHOOSE(CONTROL!$C$32, $C$9, 100%, $E$9)</f>
        <v>11.2766</v>
      </c>
    </row>
    <row r="681" spans="1:15" ht="15" x14ac:dyDescent="0.2">
      <c r="A681" s="16">
        <v>61576</v>
      </c>
      <c r="B681" s="32">
        <f>9.888 * CHOOSE(CONTROL!$C$32, $C$9, 100%, $E$9)</f>
        <v>9.8879999999999999</v>
      </c>
      <c r="C681" s="32">
        <f>9.888 * CHOOSE(CONTROL!$C$32, $C$9, 100%, $E$9)</f>
        <v>9.8879999999999999</v>
      </c>
      <c r="D681" s="32">
        <f>9.8896 * CHOOSE(CONTROL!$C$32, $C$9, 100%, $E$9)</f>
        <v>9.8895999999999997</v>
      </c>
      <c r="E681" s="33">
        <f>11.0143 * CHOOSE(CONTROL!$C$32, $C$9, 100%, $E$9)</f>
        <v>11.0143</v>
      </c>
      <c r="F681" s="33">
        <f>11.0143 * CHOOSE(CONTROL!$C$32, $C$9, 100%, $E$9)</f>
        <v>11.0143</v>
      </c>
      <c r="G681" s="33">
        <f>11.0196 * CHOOSE(CONTROL!$C$32, $C$9, 100%, $E$9)</f>
        <v>11.019600000000001</v>
      </c>
      <c r="H681" s="33">
        <f>22.3855 * CHOOSE(CONTROL!$C$32, $C$9, 100%, $E$9)</f>
        <v>22.3855</v>
      </c>
      <c r="I681" s="33">
        <f>22.3908 * CHOOSE(CONTROL!$C$32, $C$9, 100%, $E$9)</f>
        <v>22.390799999999999</v>
      </c>
      <c r="J681" s="33">
        <f>22.3855 * CHOOSE(CONTROL!$C$32, $C$9, 100%, $E$9)</f>
        <v>22.3855</v>
      </c>
      <c r="K681" s="33">
        <f>22.3908 * CHOOSE(CONTROL!$C$32, $C$9, 100%, $E$9)</f>
        <v>22.390799999999999</v>
      </c>
      <c r="L681" s="33">
        <f>11.0143 * CHOOSE(CONTROL!$C$32, $C$9, 100%, $E$9)</f>
        <v>11.0143</v>
      </c>
      <c r="M681" s="33">
        <f>11.0196 * CHOOSE(CONTROL!$C$32, $C$9, 100%, $E$9)</f>
        <v>11.019600000000001</v>
      </c>
      <c r="N681" s="33">
        <f>11.0143 * CHOOSE(CONTROL!$C$32, $C$9, 100%, $E$9)</f>
        <v>11.0143</v>
      </c>
      <c r="O681" s="33">
        <f>11.0196 * CHOOSE(CONTROL!$C$32, $C$9, 100%, $E$9)</f>
        <v>11.019600000000001</v>
      </c>
    </row>
    <row r="682" spans="1:15" ht="15" x14ac:dyDescent="0.2">
      <c r="A682" s="16">
        <v>61607</v>
      </c>
      <c r="B682" s="32">
        <f>9.885 * CHOOSE(CONTROL!$C$32, $C$9, 100%, $E$9)</f>
        <v>9.8849999999999998</v>
      </c>
      <c r="C682" s="32">
        <f>9.885 * CHOOSE(CONTROL!$C$32, $C$9, 100%, $E$9)</f>
        <v>9.8849999999999998</v>
      </c>
      <c r="D682" s="32">
        <f>9.8865 * CHOOSE(CONTROL!$C$32, $C$9, 100%, $E$9)</f>
        <v>9.8864999999999998</v>
      </c>
      <c r="E682" s="33">
        <f>10.9831 * CHOOSE(CONTROL!$C$32, $C$9, 100%, $E$9)</f>
        <v>10.9831</v>
      </c>
      <c r="F682" s="33">
        <f>10.9831 * CHOOSE(CONTROL!$C$32, $C$9, 100%, $E$9)</f>
        <v>10.9831</v>
      </c>
      <c r="G682" s="33">
        <f>10.9884 * CHOOSE(CONTROL!$C$32, $C$9, 100%, $E$9)</f>
        <v>10.9884</v>
      </c>
      <c r="H682" s="33">
        <f>22.4322 * CHOOSE(CONTROL!$C$32, $C$9, 100%, $E$9)</f>
        <v>22.432200000000002</v>
      </c>
      <c r="I682" s="33">
        <f>22.4375 * CHOOSE(CONTROL!$C$32, $C$9, 100%, $E$9)</f>
        <v>22.4375</v>
      </c>
      <c r="J682" s="33">
        <f>22.4322 * CHOOSE(CONTROL!$C$32, $C$9, 100%, $E$9)</f>
        <v>22.432200000000002</v>
      </c>
      <c r="K682" s="33">
        <f>22.4375 * CHOOSE(CONTROL!$C$32, $C$9, 100%, $E$9)</f>
        <v>22.4375</v>
      </c>
      <c r="L682" s="33">
        <f>10.9831 * CHOOSE(CONTROL!$C$32, $C$9, 100%, $E$9)</f>
        <v>10.9831</v>
      </c>
      <c r="M682" s="33">
        <f>10.9884 * CHOOSE(CONTROL!$C$32, $C$9, 100%, $E$9)</f>
        <v>10.9884</v>
      </c>
      <c r="N682" s="33">
        <f>10.9831 * CHOOSE(CONTROL!$C$32, $C$9, 100%, $E$9)</f>
        <v>10.9831</v>
      </c>
      <c r="O682" s="33">
        <f>10.9884 * CHOOSE(CONTROL!$C$32, $C$9, 100%, $E$9)</f>
        <v>10.9884</v>
      </c>
    </row>
    <row r="683" spans="1:15" ht="15" x14ac:dyDescent="0.2">
      <c r="A683" s="16">
        <v>61637</v>
      </c>
      <c r="B683" s="32">
        <f>9.902 * CHOOSE(CONTROL!$C$32, $C$9, 100%, $E$9)</f>
        <v>9.9019999999999992</v>
      </c>
      <c r="C683" s="32">
        <f>9.902 * CHOOSE(CONTROL!$C$32, $C$9, 100%, $E$9)</f>
        <v>9.9019999999999992</v>
      </c>
      <c r="D683" s="32">
        <f>9.9031 * CHOOSE(CONTROL!$C$32, $C$9, 100%, $E$9)</f>
        <v>9.9031000000000002</v>
      </c>
      <c r="E683" s="33">
        <f>11.086 * CHOOSE(CONTROL!$C$32, $C$9, 100%, $E$9)</f>
        <v>11.086</v>
      </c>
      <c r="F683" s="33">
        <f>11.086 * CHOOSE(CONTROL!$C$32, $C$9, 100%, $E$9)</f>
        <v>11.086</v>
      </c>
      <c r="G683" s="33">
        <f>11.0896 * CHOOSE(CONTROL!$C$32, $C$9, 100%, $E$9)</f>
        <v>11.089600000000001</v>
      </c>
      <c r="H683" s="33">
        <f>22.4789 * CHOOSE(CONTROL!$C$32, $C$9, 100%, $E$9)</f>
        <v>22.478899999999999</v>
      </c>
      <c r="I683" s="33">
        <f>22.4825 * CHOOSE(CONTROL!$C$32, $C$9, 100%, $E$9)</f>
        <v>22.482500000000002</v>
      </c>
      <c r="J683" s="33">
        <f>22.4789 * CHOOSE(CONTROL!$C$32, $C$9, 100%, $E$9)</f>
        <v>22.478899999999999</v>
      </c>
      <c r="K683" s="33">
        <f>22.4825 * CHOOSE(CONTROL!$C$32, $C$9, 100%, $E$9)</f>
        <v>22.482500000000002</v>
      </c>
      <c r="L683" s="33">
        <f>11.086 * CHOOSE(CONTROL!$C$32, $C$9, 100%, $E$9)</f>
        <v>11.086</v>
      </c>
      <c r="M683" s="33">
        <f>11.0896 * CHOOSE(CONTROL!$C$32, $C$9, 100%, $E$9)</f>
        <v>11.089600000000001</v>
      </c>
      <c r="N683" s="33">
        <f>11.086 * CHOOSE(CONTROL!$C$32, $C$9, 100%, $E$9)</f>
        <v>11.086</v>
      </c>
      <c r="O683" s="33">
        <f>11.0896 * CHOOSE(CONTROL!$C$32, $C$9, 100%, $E$9)</f>
        <v>11.089600000000001</v>
      </c>
    </row>
    <row r="684" spans="1:15" ht="15" x14ac:dyDescent="0.2">
      <c r="A684" s="16">
        <v>61668</v>
      </c>
      <c r="B684" s="32">
        <f>9.905 * CHOOSE(CONTROL!$C$32, $C$9, 100%, $E$9)</f>
        <v>9.9049999999999994</v>
      </c>
      <c r="C684" s="32">
        <f>9.905 * CHOOSE(CONTROL!$C$32, $C$9, 100%, $E$9)</f>
        <v>9.9049999999999994</v>
      </c>
      <c r="D684" s="32">
        <f>9.9061 * CHOOSE(CONTROL!$C$32, $C$9, 100%, $E$9)</f>
        <v>9.9061000000000003</v>
      </c>
      <c r="E684" s="33">
        <f>11.1463 * CHOOSE(CONTROL!$C$32, $C$9, 100%, $E$9)</f>
        <v>11.1463</v>
      </c>
      <c r="F684" s="33">
        <f>11.1463 * CHOOSE(CONTROL!$C$32, $C$9, 100%, $E$9)</f>
        <v>11.1463</v>
      </c>
      <c r="G684" s="33">
        <f>11.1499 * CHOOSE(CONTROL!$C$32, $C$9, 100%, $E$9)</f>
        <v>11.149900000000001</v>
      </c>
      <c r="H684" s="33">
        <f>22.5257 * CHOOSE(CONTROL!$C$32, $C$9, 100%, $E$9)</f>
        <v>22.525700000000001</v>
      </c>
      <c r="I684" s="33">
        <f>22.5294 * CHOOSE(CONTROL!$C$32, $C$9, 100%, $E$9)</f>
        <v>22.529399999999999</v>
      </c>
      <c r="J684" s="33">
        <f>22.5257 * CHOOSE(CONTROL!$C$32, $C$9, 100%, $E$9)</f>
        <v>22.525700000000001</v>
      </c>
      <c r="K684" s="33">
        <f>22.5294 * CHOOSE(CONTROL!$C$32, $C$9, 100%, $E$9)</f>
        <v>22.529399999999999</v>
      </c>
      <c r="L684" s="33">
        <f>11.1463 * CHOOSE(CONTROL!$C$32, $C$9, 100%, $E$9)</f>
        <v>11.1463</v>
      </c>
      <c r="M684" s="33">
        <f>11.1499 * CHOOSE(CONTROL!$C$32, $C$9, 100%, $E$9)</f>
        <v>11.149900000000001</v>
      </c>
      <c r="N684" s="33">
        <f>11.1463 * CHOOSE(CONTROL!$C$32, $C$9, 100%, $E$9)</f>
        <v>11.1463</v>
      </c>
      <c r="O684" s="33">
        <f>11.1499 * CHOOSE(CONTROL!$C$32, $C$9, 100%, $E$9)</f>
        <v>11.149900000000001</v>
      </c>
    </row>
    <row r="685" spans="1:15" ht="15" x14ac:dyDescent="0.2">
      <c r="A685" s="16">
        <v>61698</v>
      </c>
      <c r="B685" s="32">
        <f>9.905 * CHOOSE(CONTROL!$C$32, $C$9, 100%, $E$9)</f>
        <v>9.9049999999999994</v>
      </c>
      <c r="C685" s="32">
        <f>9.905 * CHOOSE(CONTROL!$C$32, $C$9, 100%, $E$9)</f>
        <v>9.9049999999999994</v>
      </c>
      <c r="D685" s="32">
        <f>9.9061 * CHOOSE(CONTROL!$C$32, $C$9, 100%, $E$9)</f>
        <v>9.9061000000000003</v>
      </c>
      <c r="E685" s="33">
        <f>11.0009 * CHOOSE(CONTROL!$C$32, $C$9, 100%, $E$9)</f>
        <v>11.0009</v>
      </c>
      <c r="F685" s="33">
        <f>11.0009 * CHOOSE(CONTROL!$C$32, $C$9, 100%, $E$9)</f>
        <v>11.0009</v>
      </c>
      <c r="G685" s="33">
        <f>11.0045 * CHOOSE(CONTROL!$C$32, $C$9, 100%, $E$9)</f>
        <v>11.0045</v>
      </c>
      <c r="H685" s="33">
        <f>22.5727 * CHOOSE(CONTROL!$C$32, $C$9, 100%, $E$9)</f>
        <v>22.572700000000001</v>
      </c>
      <c r="I685" s="33">
        <f>22.5763 * CHOOSE(CONTROL!$C$32, $C$9, 100%, $E$9)</f>
        <v>22.5763</v>
      </c>
      <c r="J685" s="33">
        <f>22.5727 * CHOOSE(CONTROL!$C$32, $C$9, 100%, $E$9)</f>
        <v>22.572700000000001</v>
      </c>
      <c r="K685" s="33">
        <f>22.5763 * CHOOSE(CONTROL!$C$32, $C$9, 100%, $E$9)</f>
        <v>22.5763</v>
      </c>
      <c r="L685" s="33">
        <f>11.0009 * CHOOSE(CONTROL!$C$32, $C$9, 100%, $E$9)</f>
        <v>11.0009</v>
      </c>
      <c r="M685" s="33">
        <f>11.0045 * CHOOSE(CONTROL!$C$32, $C$9, 100%, $E$9)</f>
        <v>11.0045</v>
      </c>
      <c r="N685" s="33">
        <f>11.0009 * CHOOSE(CONTROL!$C$32, $C$9, 100%, $E$9)</f>
        <v>11.0009</v>
      </c>
      <c r="O685" s="33">
        <f>11.0045 * CHOOSE(CONTROL!$C$32, $C$9, 100%, $E$9)</f>
        <v>11.0045</v>
      </c>
    </row>
    <row r="686" spans="1:15" ht="15" x14ac:dyDescent="0.2">
      <c r="A686" s="16">
        <v>61729</v>
      </c>
      <c r="B686" s="32">
        <f>9.9437 * CHOOSE(CONTROL!$C$32, $C$9, 100%, $E$9)</f>
        <v>9.9436999999999998</v>
      </c>
      <c r="C686" s="32">
        <f>9.9437 * CHOOSE(CONTROL!$C$32, $C$9, 100%, $E$9)</f>
        <v>9.9436999999999998</v>
      </c>
      <c r="D686" s="32">
        <f>9.9448 * CHOOSE(CONTROL!$C$32, $C$9, 100%, $E$9)</f>
        <v>9.9448000000000008</v>
      </c>
      <c r="E686" s="33">
        <f>11.158 * CHOOSE(CONTROL!$C$32, $C$9, 100%, $E$9)</f>
        <v>11.157999999999999</v>
      </c>
      <c r="F686" s="33">
        <f>11.158 * CHOOSE(CONTROL!$C$32, $C$9, 100%, $E$9)</f>
        <v>11.157999999999999</v>
      </c>
      <c r="G686" s="33">
        <f>11.1616 * CHOOSE(CONTROL!$C$32, $C$9, 100%, $E$9)</f>
        <v>11.1616</v>
      </c>
      <c r="H686" s="33">
        <f>22.5258 * CHOOSE(CONTROL!$C$32, $C$9, 100%, $E$9)</f>
        <v>22.5258</v>
      </c>
      <c r="I686" s="33">
        <f>22.5294 * CHOOSE(CONTROL!$C$32, $C$9, 100%, $E$9)</f>
        <v>22.529399999999999</v>
      </c>
      <c r="J686" s="33">
        <f>22.5258 * CHOOSE(CONTROL!$C$32, $C$9, 100%, $E$9)</f>
        <v>22.5258</v>
      </c>
      <c r="K686" s="33">
        <f>22.5294 * CHOOSE(CONTROL!$C$32, $C$9, 100%, $E$9)</f>
        <v>22.529399999999999</v>
      </c>
      <c r="L686" s="33">
        <f>11.158 * CHOOSE(CONTROL!$C$32, $C$9, 100%, $E$9)</f>
        <v>11.157999999999999</v>
      </c>
      <c r="M686" s="33">
        <f>11.1616 * CHOOSE(CONTROL!$C$32, $C$9, 100%, $E$9)</f>
        <v>11.1616</v>
      </c>
      <c r="N686" s="33">
        <f>11.158 * CHOOSE(CONTROL!$C$32, $C$9, 100%, $E$9)</f>
        <v>11.157999999999999</v>
      </c>
      <c r="O686" s="33">
        <f>11.1616 * CHOOSE(CONTROL!$C$32, $C$9, 100%, $E$9)</f>
        <v>11.1616</v>
      </c>
    </row>
    <row r="687" spans="1:15" ht="15" x14ac:dyDescent="0.2">
      <c r="A687" s="16">
        <v>61760</v>
      </c>
      <c r="B687" s="32">
        <f>9.9407 * CHOOSE(CONTROL!$C$32, $C$9, 100%, $E$9)</f>
        <v>9.9406999999999996</v>
      </c>
      <c r="C687" s="32">
        <f>9.9407 * CHOOSE(CONTROL!$C$32, $C$9, 100%, $E$9)</f>
        <v>9.9406999999999996</v>
      </c>
      <c r="D687" s="32">
        <f>9.9417 * CHOOSE(CONTROL!$C$32, $C$9, 100%, $E$9)</f>
        <v>9.9417000000000009</v>
      </c>
      <c r="E687" s="33">
        <f>10.8741 * CHOOSE(CONTROL!$C$32, $C$9, 100%, $E$9)</f>
        <v>10.8741</v>
      </c>
      <c r="F687" s="33">
        <f>10.8741 * CHOOSE(CONTROL!$C$32, $C$9, 100%, $E$9)</f>
        <v>10.8741</v>
      </c>
      <c r="G687" s="33">
        <f>10.8777 * CHOOSE(CONTROL!$C$32, $C$9, 100%, $E$9)</f>
        <v>10.877700000000001</v>
      </c>
      <c r="H687" s="33">
        <f>22.5728 * CHOOSE(CONTROL!$C$32, $C$9, 100%, $E$9)</f>
        <v>22.572800000000001</v>
      </c>
      <c r="I687" s="33">
        <f>22.5764 * CHOOSE(CONTROL!$C$32, $C$9, 100%, $E$9)</f>
        <v>22.5764</v>
      </c>
      <c r="J687" s="33">
        <f>22.5728 * CHOOSE(CONTROL!$C$32, $C$9, 100%, $E$9)</f>
        <v>22.572800000000001</v>
      </c>
      <c r="K687" s="33">
        <f>22.5764 * CHOOSE(CONTROL!$C$32, $C$9, 100%, $E$9)</f>
        <v>22.5764</v>
      </c>
      <c r="L687" s="33">
        <f>10.8741 * CHOOSE(CONTROL!$C$32, $C$9, 100%, $E$9)</f>
        <v>10.8741</v>
      </c>
      <c r="M687" s="33">
        <f>10.8777 * CHOOSE(CONTROL!$C$32, $C$9, 100%, $E$9)</f>
        <v>10.877700000000001</v>
      </c>
      <c r="N687" s="33">
        <f>10.8741 * CHOOSE(CONTROL!$C$32, $C$9, 100%, $E$9)</f>
        <v>10.8741</v>
      </c>
      <c r="O687" s="33">
        <f>10.8777 * CHOOSE(CONTROL!$C$32, $C$9, 100%, $E$9)</f>
        <v>10.877700000000001</v>
      </c>
    </row>
    <row r="688" spans="1:15" ht="15" x14ac:dyDescent="0.2">
      <c r="A688" s="16">
        <v>61788</v>
      </c>
      <c r="B688" s="32">
        <f>9.9376 * CHOOSE(CONTROL!$C$32, $C$9, 100%, $E$9)</f>
        <v>9.9375999999999998</v>
      </c>
      <c r="C688" s="32">
        <f>9.9376 * CHOOSE(CONTROL!$C$32, $C$9, 100%, $E$9)</f>
        <v>9.9375999999999998</v>
      </c>
      <c r="D688" s="32">
        <f>9.9387 * CHOOSE(CONTROL!$C$32, $C$9, 100%, $E$9)</f>
        <v>9.9387000000000008</v>
      </c>
      <c r="E688" s="33">
        <f>11.0941 * CHOOSE(CONTROL!$C$32, $C$9, 100%, $E$9)</f>
        <v>11.094099999999999</v>
      </c>
      <c r="F688" s="33">
        <f>11.0941 * CHOOSE(CONTROL!$C$32, $C$9, 100%, $E$9)</f>
        <v>11.094099999999999</v>
      </c>
      <c r="G688" s="33">
        <f>11.0977 * CHOOSE(CONTROL!$C$32, $C$9, 100%, $E$9)</f>
        <v>11.0977</v>
      </c>
      <c r="H688" s="33">
        <f>22.6198 * CHOOSE(CONTROL!$C$32, $C$9, 100%, $E$9)</f>
        <v>22.619800000000001</v>
      </c>
      <c r="I688" s="33">
        <f>22.6234 * CHOOSE(CONTROL!$C$32, $C$9, 100%, $E$9)</f>
        <v>22.6234</v>
      </c>
      <c r="J688" s="33">
        <f>22.6198 * CHOOSE(CONTROL!$C$32, $C$9, 100%, $E$9)</f>
        <v>22.619800000000001</v>
      </c>
      <c r="K688" s="33">
        <f>22.6234 * CHOOSE(CONTROL!$C$32, $C$9, 100%, $E$9)</f>
        <v>22.6234</v>
      </c>
      <c r="L688" s="33">
        <f>11.0941 * CHOOSE(CONTROL!$C$32, $C$9, 100%, $E$9)</f>
        <v>11.094099999999999</v>
      </c>
      <c r="M688" s="33">
        <f>11.0977 * CHOOSE(CONTROL!$C$32, $C$9, 100%, $E$9)</f>
        <v>11.0977</v>
      </c>
      <c r="N688" s="33">
        <f>11.0941 * CHOOSE(CONTROL!$C$32, $C$9, 100%, $E$9)</f>
        <v>11.094099999999999</v>
      </c>
      <c r="O688" s="33">
        <f>11.0977 * CHOOSE(CONTROL!$C$32, $C$9, 100%, $E$9)</f>
        <v>11.0977</v>
      </c>
    </row>
    <row r="689" spans="1:15" ht="15" x14ac:dyDescent="0.2">
      <c r="A689" s="16">
        <v>61819</v>
      </c>
      <c r="B689" s="32">
        <f>9.941 * CHOOSE(CONTROL!$C$32, $C$9, 100%, $E$9)</f>
        <v>9.9410000000000007</v>
      </c>
      <c r="C689" s="32">
        <f>9.941 * CHOOSE(CONTROL!$C$32, $C$9, 100%, $E$9)</f>
        <v>9.9410000000000007</v>
      </c>
      <c r="D689" s="32">
        <f>9.9421 * CHOOSE(CONTROL!$C$32, $C$9, 100%, $E$9)</f>
        <v>9.9420999999999999</v>
      </c>
      <c r="E689" s="33">
        <f>11.3285 * CHOOSE(CONTROL!$C$32, $C$9, 100%, $E$9)</f>
        <v>11.3285</v>
      </c>
      <c r="F689" s="33">
        <f>11.3285 * CHOOSE(CONTROL!$C$32, $C$9, 100%, $E$9)</f>
        <v>11.3285</v>
      </c>
      <c r="G689" s="33">
        <f>11.3321 * CHOOSE(CONTROL!$C$32, $C$9, 100%, $E$9)</f>
        <v>11.332100000000001</v>
      </c>
      <c r="H689" s="33">
        <f>22.6669 * CHOOSE(CONTROL!$C$32, $C$9, 100%, $E$9)</f>
        <v>22.666899999999998</v>
      </c>
      <c r="I689" s="33">
        <f>22.6705 * CHOOSE(CONTROL!$C$32, $C$9, 100%, $E$9)</f>
        <v>22.670500000000001</v>
      </c>
      <c r="J689" s="33">
        <f>22.6669 * CHOOSE(CONTROL!$C$32, $C$9, 100%, $E$9)</f>
        <v>22.666899999999998</v>
      </c>
      <c r="K689" s="33">
        <f>22.6705 * CHOOSE(CONTROL!$C$32, $C$9, 100%, $E$9)</f>
        <v>22.670500000000001</v>
      </c>
      <c r="L689" s="33">
        <f>11.3285 * CHOOSE(CONTROL!$C$32, $C$9, 100%, $E$9)</f>
        <v>11.3285</v>
      </c>
      <c r="M689" s="33">
        <f>11.3321 * CHOOSE(CONTROL!$C$32, $C$9, 100%, $E$9)</f>
        <v>11.332100000000001</v>
      </c>
      <c r="N689" s="33">
        <f>11.3285 * CHOOSE(CONTROL!$C$32, $C$9, 100%, $E$9)</f>
        <v>11.3285</v>
      </c>
      <c r="O689" s="33">
        <f>11.3321 * CHOOSE(CONTROL!$C$32, $C$9, 100%, $E$9)</f>
        <v>11.332100000000001</v>
      </c>
    </row>
    <row r="690" spans="1:15" ht="15" x14ac:dyDescent="0.2">
      <c r="A690" s="16">
        <v>61849</v>
      </c>
      <c r="B690" s="32">
        <f>9.941 * CHOOSE(CONTROL!$C$32, $C$9, 100%, $E$9)</f>
        <v>9.9410000000000007</v>
      </c>
      <c r="C690" s="32">
        <f>9.941 * CHOOSE(CONTROL!$C$32, $C$9, 100%, $E$9)</f>
        <v>9.9410000000000007</v>
      </c>
      <c r="D690" s="32">
        <f>9.9426 * CHOOSE(CONTROL!$C$32, $C$9, 100%, $E$9)</f>
        <v>9.9426000000000005</v>
      </c>
      <c r="E690" s="33">
        <f>11.418 * CHOOSE(CONTROL!$C$32, $C$9, 100%, $E$9)</f>
        <v>11.417999999999999</v>
      </c>
      <c r="F690" s="33">
        <f>11.418 * CHOOSE(CONTROL!$C$32, $C$9, 100%, $E$9)</f>
        <v>11.417999999999999</v>
      </c>
      <c r="G690" s="33">
        <f>11.4233 * CHOOSE(CONTROL!$C$32, $C$9, 100%, $E$9)</f>
        <v>11.423299999999999</v>
      </c>
      <c r="H690" s="33">
        <f>22.7141 * CHOOSE(CONTROL!$C$32, $C$9, 100%, $E$9)</f>
        <v>22.714099999999998</v>
      </c>
      <c r="I690" s="33">
        <f>22.7194 * CHOOSE(CONTROL!$C$32, $C$9, 100%, $E$9)</f>
        <v>22.7194</v>
      </c>
      <c r="J690" s="33">
        <f>22.7141 * CHOOSE(CONTROL!$C$32, $C$9, 100%, $E$9)</f>
        <v>22.714099999999998</v>
      </c>
      <c r="K690" s="33">
        <f>22.7194 * CHOOSE(CONTROL!$C$32, $C$9, 100%, $E$9)</f>
        <v>22.7194</v>
      </c>
      <c r="L690" s="33">
        <f>11.418 * CHOOSE(CONTROL!$C$32, $C$9, 100%, $E$9)</f>
        <v>11.417999999999999</v>
      </c>
      <c r="M690" s="33">
        <f>11.4233 * CHOOSE(CONTROL!$C$32, $C$9, 100%, $E$9)</f>
        <v>11.423299999999999</v>
      </c>
      <c r="N690" s="33">
        <f>11.418 * CHOOSE(CONTROL!$C$32, $C$9, 100%, $E$9)</f>
        <v>11.417999999999999</v>
      </c>
      <c r="O690" s="33">
        <f>11.4233 * CHOOSE(CONTROL!$C$32, $C$9, 100%, $E$9)</f>
        <v>11.423299999999999</v>
      </c>
    </row>
    <row r="691" spans="1:15" ht="15" x14ac:dyDescent="0.2">
      <c r="A691" s="16">
        <v>61880</v>
      </c>
      <c r="B691" s="32">
        <f>9.9471 * CHOOSE(CONTROL!$C$32, $C$9, 100%, $E$9)</f>
        <v>9.9471000000000007</v>
      </c>
      <c r="C691" s="32">
        <f>9.9471 * CHOOSE(CONTROL!$C$32, $C$9, 100%, $E$9)</f>
        <v>9.9471000000000007</v>
      </c>
      <c r="D691" s="32">
        <f>9.9487 * CHOOSE(CONTROL!$C$32, $C$9, 100%, $E$9)</f>
        <v>9.9487000000000005</v>
      </c>
      <c r="E691" s="33">
        <f>11.3327 * CHOOSE(CONTROL!$C$32, $C$9, 100%, $E$9)</f>
        <v>11.332700000000001</v>
      </c>
      <c r="F691" s="33">
        <f>11.3327 * CHOOSE(CONTROL!$C$32, $C$9, 100%, $E$9)</f>
        <v>11.332700000000001</v>
      </c>
      <c r="G691" s="33">
        <f>11.338 * CHOOSE(CONTROL!$C$32, $C$9, 100%, $E$9)</f>
        <v>11.337999999999999</v>
      </c>
      <c r="H691" s="33">
        <f>22.7614 * CHOOSE(CONTROL!$C$32, $C$9, 100%, $E$9)</f>
        <v>22.761399999999998</v>
      </c>
      <c r="I691" s="33">
        <f>22.7667 * CHOOSE(CONTROL!$C$32, $C$9, 100%, $E$9)</f>
        <v>22.7667</v>
      </c>
      <c r="J691" s="33">
        <f>22.7614 * CHOOSE(CONTROL!$C$32, $C$9, 100%, $E$9)</f>
        <v>22.761399999999998</v>
      </c>
      <c r="K691" s="33">
        <f>22.7667 * CHOOSE(CONTROL!$C$32, $C$9, 100%, $E$9)</f>
        <v>22.7667</v>
      </c>
      <c r="L691" s="33">
        <f>11.3327 * CHOOSE(CONTROL!$C$32, $C$9, 100%, $E$9)</f>
        <v>11.332700000000001</v>
      </c>
      <c r="M691" s="33">
        <f>11.338 * CHOOSE(CONTROL!$C$32, $C$9, 100%, $E$9)</f>
        <v>11.337999999999999</v>
      </c>
      <c r="N691" s="33">
        <f>11.3327 * CHOOSE(CONTROL!$C$32, $C$9, 100%, $E$9)</f>
        <v>11.332700000000001</v>
      </c>
      <c r="O691" s="33">
        <f>11.338 * CHOOSE(CONTROL!$C$32, $C$9, 100%, $E$9)</f>
        <v>11.337999999999999</v>
      </c>
    </row>
    <row r="692" spans="1:15" ht="15" x14ac:dyDescent="0.2">
      <c r="A692" s="16">
        <v>61910</v>
      </c>
      <c r="B692" s="32">
        <f>10.0709 * CHOOSE(CONTROL!$C$32, $C$9, 100%, $E$9)</f>
        <v>10.0709</v>
      </c>
      <c r="C692" s="32">
        <f>10.0709 * CHOOSE(CONTROL!$C$32, $C$9, 100%, $E$9)</f>
        <v>10.0709</v>
      </c>
      <c r="D692" s="32">
        <f>10.0725 * CHOOSE(CONTROL!$C$32, $C$9, 100%, $E$9)</f>
        <v>10.0725</v>
      </c>
      <c r="E692" s="33">
        <f>11.4915 * CHOOSE(CONTROL!$C$32, $C$9, 100%, $E$9)</f>
        <v>11.4915</v>
      </c>
      <c r="F692" s="33">
        <f>11.4915 * CHOOSE(CONTROL!$C$32, $C$9, 100%, $E$9)</f>
        <v>11.4915</v>
      </c>
      <c r="G692" s="33">
        <f>11.4968 * CHOOSE(CONTROL!$C$32, $C$9, 100%, $E$9)</f>
        <v>11.4968</v>
      </c>
      <c r="H692" s="33">
        <f>22.8089 * CHOOSE(CONTROL!$C$32, $C$9, 100%, $E$9)</f>
        <v>22.808900000000001</v>
      </c>
      <c r="I692" s="33">
        <f>22.8142 * CHOOSE(CONTROL!$C$32, $C$9, 100%, $E$9)</f>
        <v>22.8142</v>
      </c>
      <c r="J692" s="33">
        <f>22.8089 * CHOOSE(CONTROL!$C$32, $C$9, 100%, $E$9)</f>
        <v>22.808900000000001</v>
      </c>
      <c r="K692" s="33">
        <f>22.8142 * CHOOSE(CONTROL!$C$32, $C$9, 100%, $E$9)</f>
        <v>22.8142</v>
      </c>
      <c r="L692" s="33">
        <f>11.4915 * CHOOSE(CONTROL!$C$32, $C$9, 100%, $E$9)</f>
        <v>11.4915</v>
      </c>
      <c r="M692" s="33">
        <f>11.4968 * CHOOSE(CONTROL!$C$32, $C$9, 100%, $E$9)</f>
        <v>11.4968</v>
      </c>
      <c r="N692" s="33">
        <f>11.4915 * CHOOSE(CONTROL!$C$32, $C$9, 100%, $E$9)</f>
        <v>11.4915</v>
      </c>
      <c r="O692" s="33">
        <f>11.4968 * CHOOSE(CONTROL!$C$32, $C$9, 100%, $E$9)</f>
        <v>11.4968</v>
      </c>
    </row>
    <row r="693" spans="1:15" ht="15" x14ac:dyDescent="0.2">
      <c r="A693" s="16">
        <v>61941</v>
      </c>
      <c r="B693" s="32">
        <f>10.0776 * CHOOSE(CONTROL!$C$32, $C$9, 100%, $E$9)</f>
        <v>10.0776</v>
      </c>
      <c r="C693" s="32">
        <f>10.0776 * CHOOSE(CONTROL!$C$32, $C$9, 100%, $E$9)</f>
        <v>10.0776</v>
      </c>
      <c r="D693" s="32">
        <f>10.0792 * CHOOSE(CONTROL!$C$32, $C$9, 100%, $E$9)</f>
        <v>10.0792</v>
      </c>
      <c r="E693" s="33">
        <f>11.2277 * CHOOSE(CONTROL!$C$32, $C$9, 100%, $E$9)</f>
        <v>11.2277</v>
      </c>
      <c r="F693" s="33">
        <f>11.2277 * CHOOSE(CONTROL!$C$32, $C$9, 100%, $E$9)</f>
        <v>11.2277</v>
      </c>
      <c r="G693" s="33">
        <f>11.233 * CHOOSE(CONTROL!$C$32, $C$9, 100%, $E$9)</f>
        <v>11.233000000000001</v>
      </c>
      <c r="H693" s="33">
        <f>22.8564 * CHOOSE(CONTROL!$C$32, $C$9, 100%, $E$9)</f>
        <v>22.856400000000001</v>
      </c>
      <c r="I693" s="33">
        <f>22.8617 * CHOOSE(CONTROL!$C$32, $C$9, 100%, $E$9)</f>
        <v>22.861699999999999</v>
      </c>
      <c r="J693" s="33">
        <f>22.8564 * CHOOSE(CONTROL!$C$32, $C$9, 100%, $E$9)</f>
        <v>22.856400000000001</v>
      </c>
      <c r="K693" s="33">
        <f>22.8617 * CHOOSE(CONTROL!$C$32, $C$9, 100%, $E$9)</f>
        <v>22.861699999999999</v>
      </c>
      <c r="L693" s="33">
        <f>11.2277 * CHOOSE(CONTROL!$C$32, $C$9, 100%, $E$9)</f>
        <v>11.2277</v>
      </c>
      <c r="M693" s="33">
        <f>11.233 * CHOOSE(CONTROL!$C$32, $C$9, 100%, $E$9)</f>
        <v>11.233000000000001</v>
      </c>
      <c r="N693" s="33">
        <f>11.2277 * CHOOSE(CONTROL!$C$32, $C$9, 100%, $E$9)</f>
        <v>11.2277</v>
      </c>
      <c r="O693" s="33">
        <f>11.233 * CHOOSE(CONTROL!$C$32, $C$9, 100%, $E$9)</f>
        <v>11.233000000000001</v>
      </c>
    </row>
    <row r="694" spans="1:15" ht="15" x14ac:dyDescent="0.2">
      <c r="A694" s="16">
        <v>61972</v>
      </c>
      <c r="B694" s="32">
        <f>10.0746 * CHOOSE(CONTROL!$C$32, $C$9, 100%, $E$9)</f>
        <v>10.0746</v>
      </c>
      <c r="C694" s="32">
        <f>10.0746 * CHOOSE(CONTROL!$C$32, $C$9, 100%, $E$9)</f>
        <v>10.0746</v>
      </c>
      <c r="D694" s="32">
        <f>10.0761 * CHOOSE(CONTROL!$C$32, $C$9, 100%, $E$9)</f>
        <v>10.0761</v>
      </c>
      <c r="E694" s="33">
        <f>11.1958 * CHOOSE(CONTROL!$C$32, $C$9, 100%, $E$9)</f>
        <v>11.1958</v>
      </c>
      <c r="F694" s="33">
        <f>11.1958 * CHOOSE(CONTROL!$C$32, $C$9, 100%, $E$9)</f>
        <v>11.1958</v>
      </c>
      <c r="G694" s="33">
        <f>11.2011 * CHOOSE(CONTROL!$C$32, $C$9, 100%, $E$9)</f>
        <v>11.2011</v>
      </c>
      <c r="H694" s="33">
        <f>22.904 * CHOOSE(CONTROL!$C$32, $C$9, 100%, $E$9)</f>
        <v>22.904</v>
      </c>
      <c r="I694" s="33">
        <f>22.9093 * CHOOSE(CONTROL!$C$32, $C$9, 100%, $E$9)</f>
        <v>22.909300000000002</v>
      </c>
      <c r="J694" s="33">
        <f>22.904 * CHOOSE(CONTROL!$C$32, $C$9, 100%, $E$9)</f>
        <v>22.904</v>
      </c>
      <c r="K694" s="33">
        <f>22.9093 * CHOOSE(CONTROL!$C$32, $C$9, 100%, $E$9)</f>
        <v>22.909300000000002</v>
      </c>
      <c r="L694" s="33">
        <f>11.1958 * CHOOSE(CONTROL!$C$32, $C$9, 100%, $E$9)</f>
        <v>11.1958</v>
      </c>
      <c r="M694" s="33">
        <f>11.2011 * CHOOSE(CONTROL!$C$32, $C$9, 100%, $E$9)</f>
        <v>11.2011</v>
      </c>
      <c r="N694" s="33">
        <f>11.1958 * CHOOSE(CONTROL!$C$32, $C$9, 100%, $E$9)</f>
        <v>11.1958</v>
      </c>
      <c r="O694" s="33">
        <f>11.2011 * CHOOSE(CONTROL!$C$32, $C$9, 100%, $E$9)</f>
        <v>11.2011</v>
      </c>
    </row>
    <row r="695" spans="1:15" ht="15" x14ac:dyDescent="0.2">
      <c r="A695" s="16">
        <v>62002</v>
      </c>
      <c r="B695" s="32">
        <f>10.0923 * CHOOSE(CONTROL!$C$32, $C$9, 100%, $E$9)</f>
        <v>10.0923</v>
      </c>
      <c r="C695" s="32">
        <f>10.0923 * CHOOSE(CONTROL!$C$32, $C$9, 100%, $E$9)</f>
        <v>10.0923</v>
      </c>
      <c r="D695" s="32">
        <f>10.0934 * CHOOSE(CONTROL!$C$32, $C$9, 100%, $E$9)</f>
        <v>10.093400000000001</v>
      </c>
      <c r="E695" s="33">
        <f>11.3017 * CHOOSE(CONTROL!$C$32, $C$9, 100%, $E$9)</f>
        <v>11.3017</v>
      </c>
      <c r="F695" s="33">
        <f>11.3017 * CHOOSE(CONTROL!$C$32, $C$9, 100%, $E$9)</f>
        <v>11.3017</v>
      </c>
      <c r="G695" s="33">
        <f>11.3053 * CHOOSE(CONTROL!$C$32, $C$9, 100%, $E$9)</f>
        <v>11.305300000000001</v>
      </c>
      <c r="H695" s="33">
        <f>22.9517 * CHOOSE(CONTROL!$C$32, $C$9, 100%, $E$9)</f>
        <v>22.951699999999999</v>
      </c>
      <c r="I695" s="33">
        <f>22.9553 * CHOOSE(CONTROL!$C$32, $C$9, 100%, $E$9)</f>
        <v>22.955300000000001</v>
      </c>
      <c r="J695" s="33">
        <f>22.9517 * CHOOSE(CONTROL!$C$32, $C$9, 100%, $E$9)</f>
        <v>22.951699999999999</v>
      </c>
      <c r="K695" s="33">
        <f>22.9553 * CHOOSE(CONTROL!$C$32, $C$9, 100%, $E$9)</f>
        <v>22.955300000000001</v>
      </c>
      <c r="L695" s="33">
        <f>11.3017 * CHOOSE(CONTROL!$C$32, $C$9, 100%, $E$9)</f>
        <v>11.3017</v>
      </c>
      <c r="M695" s="33">
        <f>11.3053 * CHOOSE(CONTROL!$C$32, $C$9, 100%, $E$9)</f>
        <v>11.305300000000001</v>
      </c>
      <c r="N695" s="33">
        <f>11.3017 * CHOOSE(CONTROL!$C$32, $C$9, 100%, $E$9)</f>
        <v>11.3017</v>
      </c>
      <c r="O695" s="33">
        <f>11.3053 * CHOOSE(CONTROL!$C$32, $C$9, 100%, $E$9)</f>
        <v>11.305300000000001</v>
      </c>
    </row>
    <row r="696" spans="1:15" ht="15" x14ac:dyDescent="0.2">
      <c r="A696" s="16">
        <v>62033</v>
      </c>
      <c r="B696" s="32">
        <f>10.0953 * CHOOSE(CONTROL!$C$32, $C$9, 100%, $E$9)</f>
        <v>10.0953</v>
      </c>
      <c r="C696" s="32">
        <f>10.0953 * CHOOSE(CONTROL!$C$32, $C$9, 100%, $E$9)</f>
        <v>10.0953</v>
      </c>
      <c r="D696" s="32">
        <f>10.0964 * CHOOSE(CONTROL!$C$32, $C$9, 100%, $E$9)</f>
        <v>10.096399999999999</v>
      </c>
      <c r="E696" s="33">
        <f>11.3634 * CHOOSE(CONTROL!$C$32, $C$9, 100%, $E$9)</f>
        <v>11.3634</v>
      </c>
      <c r="F696" s="33">
        <f>11.3634 * CHOOSE(CONTROL!$C$32, $C$9, 100%, $E$9)</f>
        <v>11.3634</v>
      </c>
      <c r="G696" s="33">
        <f>11.3671 * CHOOSE(CONTROL!$C$32, $C$9, 100%, $E$9)</f>
        <v>11.367100000000001</v>
      </c>
      <c r="H696" s="33">
        <f>22.9995 * CHOOSE(CONTROL!$C$32, $C$9, 100%, $E$9)</f>
        <v>22.999500000000001</v>
      </c>
      <c r="I696" s="33">
        <f>23.0032 * CHOOSE(CONTROL!$C$32, $C$9, 100%, $E$9)</f>
        <v>23.0032</v>
      </c>
      <c r="J696" s="33">
        <f>22.9995 * CHOOSE(CONTROL!$C$32, $C$9, 100%, $E$9)</f>
        <v>22.999500000000001</v>
      </c>
      <c r="K696" s="33">
        <f>23.0032 * CHOOSE(CONTROL!$C$32, $C$9, 100%, $E$9)</f>
        <v>23.0032</v>
      </c>
      <c r="L696" s="33">
        <f>11.3634 * CHOOSE(CONTROL!$C$32, $C$9, 100%, $E$9)</f>
        <v>11.3634</v>
      </c>
      <c r="M696" s="33">
        <f>11.3671 * CHOOSE(CONTROL!$C$32, $C$9, 100%, $E$9)</f>
        <v>11.367100000000001</v>
      </c>
      <c r="N696" s="33">
        <f>11.3634 * CHOOSE(CONTROL!$C$32, $C$9, 100%, $E$9)</f>
        <v>11.3634</v>
      </c>
      <c r="O696" s="33">
        <f>11.3671 * CHOOSE(CONTROL!$C$32, $C$9, 100%, $E$9)</f>
        <v>11.367100000000001</v>
      </c>
    </row>
    <row r="697" spans="1:15" ht="15" x14ac:dyDescent="0.2">
      <c r="A697" s="16">
        <v>62063</v>
      </c>
      <c r="B697" s="32">
        <f>10.0953 * CHOOSE(CONTROL!$C$32, $C$9, 100%, $E$9)</f>
        <v>10.0953</v>
      </c>
      <c r="C697" s="32">
        <f>10.0953 * CHOOSE(CONTROL!$C$32, $C$9, 100%, $E$9)</f>
        <v>10.0953</v>
      </c>
      <c r="D697" s="32">
        <f>10.0964 * CHOOSE(CONTROL!$C$32, $C$9, 100%, $E$9)</f>
        <v>10.096399999999999</v>
      </c>
      <c r="E697" s="33">
        <f>11.2143 * CHOOSE(CONTROL!$C$32, $C$9, 100%, $E$9)</f>
        <v>11.2143</v>
      </c>
      <c r="F697" s="33">
        <f>11.2143 * CHOOSE(CONTROL!$C$32, $C$9, 100%, $E$9)</f>
        <v>11.2143</v>
      </c>
      <c r="G697" s="33">
        <f>11.2179 * CHOOSE(CONTROL!$C$32, $C$9, 100%, $E$9)</f>
        <v>11.2179</v>
      </c>
      <c r="H697" s="33">
        <f>23.0475 * CHOOSE(CONTROL!$C$32, $C$9, 100%, $E$9)</f>
        <v>23.047499999999999</v>
      </c>
      <c r="I697" s="33">
        <f>23.0511 * CHOOSE(CONTROL!$C$32, $C$9, 100%, $E$9)</f>
        <v>23.051100000000002</v>
      </c>
      <c r="J697" s="33">
        <f>23.0475 * CHOOSE(CONTROL!$C$32, $C$9, 100%, $E$9)</f>
        <v>23.047499999999999</v>
      </c>
      <c r="K697" s="33">
        <f>23.0511 * CHOOSE(CONTROL!$C$32, $C$9, 100%, $E$9)</f>
        <v>23.051100000000002</v>
      </c>
      <c r="L697" s="33">
        <f>11.2143 * CHOOSE(CONTROL!$C$32, $C$9, 100%, $E$9)</f>
        <v>11.2143</v>
      </c>
      <c r="M697" s="33">
        <f>11.2179 * CHOOSE(CONTROL!$C$32, $C$9, 100%, $E$9)</f>
        <v>11.2179</v>
      </c>
      <c r="N697" s="33">
        <f>11.2143 * CHOOSE(CONTROL!$C$32, $C$9, 100%, $E$9)</f>
        <v>11.2143</v>
      </c>
      <c r="O697" s="33">
        <f>11.2179 * CHOOSE(CONTROL!$C$32, $C$9, 100%, $E$9)</f>
        <v>11.2179</v>
      </c>
    </row>
    <row r="698" spans="1:15" ht="15" x14ac:dyDescent="0.2">
      <c r="A698" s="16">
        <v>62094</v>
      </c>
      <c r="B698" s="32">
        <f>10.1311 * CHOOSE(CONTROL!$C$32, $C$9, 100%, $E$9)</f>
        <v>10.1311</v>
      </c>
      <c r="C698" s="32">
        <f>10.1311 * CHOOSE(CONTROL!$C$32, $C$9, 100%, $E$9)</f>
        <v>10.1311</v>
      </c>
      <c r="D698" s="32">
        <f>10.1321 * CHOOSE(CONTROL!$C$32, $C$9, 100%, $E$9)</f>
        <v>10.132099999999999</v>
      </c>
      <c r="E698" s="33">
        <f>11.3705 * CHOOSE(CONTROL!$C$32, $C$9, 100%, $E$9)</f>
        <v>11.3705</v>
      </c>
      <c r="F698" s="33">
        <f>11.3705 * CHOOSE(CONTROL!$C$32, $C$9, 100%, $E$9)</f>
        <v>11.3705</v>
      </c>
      <c r="G698" s="33">
        <f>11.3741 * CHOOSE(CONTROL!$C$32, $C$9, 100%, $E$9)</f>
        <v>11.3741</v>
      </c>
      <c r="H698" s="33">
        <f>22.9899 * CHOOSE(CONTROL!$C$32, $C$9, 100%, $E$9)</f>
        <v>22.989899999999999</v>
      </c>
      <c r="I698" s="33">
        <f>22.9935 * CHOOSE(CONTROL!$C$32, $C$9, 100%, $E$9)</f>
        <v>22.993500000000001</v>
      </c>
      <c r="J698" s="33">
        <f>22.9899 * CHOOSE(CONTROL!$C$32, $C$9, 100%, $E$9)</f>
        <v>22.989899999999999</v>
      </c>
      <c r="K698" s="33">
        <f>22.9935 * CHOOSE(CONTROL!$C$32, $C$9, 100%, $E$9)</f>
        <v>22.993500000000001</v>
      </c>
      <c r="L698" s="33">
        <f>11.3705 * CHOOSE(CONTROL!$C$32, $C$9, 100%, $E$9)</f>
        <v>11.3705</v>
      </c>
      <c r="M698" s="33">
        <f>11.3741 * CHOOSE(CONTROL!$C$32, $C$9, 100%, $E$9)</f>
        <v>11.3741</v>
      </c>
      <c r="N698" s="33">
        <f>11.3705 * CHOOSE(CONTROL!$C$32, $C$9, 100%, $E$9)</f>
        <v>11.3705</v>
      </c>
      <c r="O698" s="33">
        <f>11.3741 * CHOOSE(CONTROL!$C$32, $C$9, 100%, $E$9)</f>
        <v>11.3741</v>
      </c>
    </row>
    <row r="699" spans="1:15" ht="15" x14ac:dyDescent="0.2">
      <c r="A699" s="16">
        <v>62125</v>
      </c>
      <c r="B699" s="32">
        <f>10.128 * CHOOSE(CONTROL!$C$32, $C$9, 100%, $E$9)</f>
        <v>10.128</v>
      </c>
      <c r="C699" s="32">
        <f>10.128 * CHOOSE(CONTROL!$C$32, $C$9, 100%, $E$9)</f>
        <v>10.128</v>
      </c>
      <c r="D699" s="32">
        <f>10.1291 * CHOOSE(CONTROL!$C$32, $C$9, 100%, $E$9)</f>
        <v>10.129099999999999</v>
      </c>
      <c r="E699" s="33">
        <f>11.0795 * CHOOSE(CONTROL!$C$32, $C$9, 100%, $E$9)</f>
        <v>11.079499999999999</v>
      </c>
      <c r="F699" s="33">
        <f>11.0795 * CHOOSE(CONTROL!$C$32, $C$9, 100%, $E$9)</f>
        <v>11.079499999999999</v>
      </c>
      <c r="G699" s="33">
        <f>11.0831 * CHOOSE(CONTROL!$C$32, $C$9, 100%, $E$9)</f>
        <v>11.0831</v>
      </c>
      <c r="H699" s="33">
        <f>23.0378 * CHOOSE(CONTROL!$C$32, $C$9, 100%, $E$9)</f>
        <v>23.037800000000001</v>
      </c>
      <c r="I699" s="33">
        <f>23.0414 * CHOOSE(CONTROL!$C$32, $C$9, 100%, $E$9)</f>
        <v>23.041399999999999</v>
      </c>
      <c r="J699" s="33">
        <f>23.0378 * CHOOSE(CONTROL!$C$32, $C$9, 100%, $E$9)</f>
        <v>23.037800000000001</v>
      </c>
      <c r="K699" s="33">
        <f>23.0414 * CHOOSE(CONTROL!$C$32, $C$9, 100%, $E$9)</f>
        <v>23.041399999999999</v>
      </c>
      <c r="L699" s="33">
        <f>11.0795 * CHOOSE(CONTROL!$C$32, $C$9, 100%, $E$9)</f>
        <v>11.079499999999999</v>
      </c>
      <c r="M699" s="33">
        <f>11.0831 * CHOOSE(CONTROL!$C$32, $C$9, 100%, $E$9)</f>
        <v>11.0831</v>
      </c>
      <c r="N699" s="33">
        <f>11.0795 * CHOOSE(CONTROL!$C$32, $C$9, 100%, $E$9)</f>
        <v>11.079499999999999</v>
      </c>
      <c r="O699" s="33">
        <f>11.0831 * CHOOSE(CONTROL!$C$32, $C$9, 100%, $E$9)</f>
        <v>11.0831</v>
      </c>
    </row>
    <row r="700" spans="1:15" ht="15" x14ac:dyDescent="0.2">
      <c r="A700" s="16">
        <v>62153</v>
      </c>
      <c r="B700" s="32">
        <f>10.125 * CHOOSE(CONTROL!$C$32, $C$9, 100%, $E$9)</f>
        <v>10.125</v>
      </c>
      <c r="C700" s="32">
        <f>10.125 * CHOOSE(CONTROL!$C$32, $C$9, 100%, $E$9)</f>
        <v>10.125</v>
      </c>
      <c r="D700" s="32">
        <f>10.1261 * CHOOSE(CONTROL!$C$32, $C$9, 100%, $E$9)</f>
        <v>10.126099999999999</v>
      </c>
      <c r="E700" s="33">
        <f>11.3051 * CHOOSE(CONTROL!$C$32, $C$9, 100%, $E$9)</f>
        <v>11.305099999999999</v>
      </c>
      <c r="F700" s="33">
        <f>11.3051 * CHOOSE(CONTROL!$C$32, $C$9, 100%, $E$9)</f>
        <v>11.305099999999999</v>
      </c>
      <c r="G700" s="33">
        <f>11.3087 * CHOOSE(CONTROL!$C$32, $C$9, 100%, $E$9)</f>
        <v>11.3087</v>
      </c>
      <c r="H700" s="33">
        <f>23.0857 * CHOOSE(CONTROL!$C$32, $C$9, 100%, $E$9)</f>
        <v>23.085699999999999</v>
      </c>
      <c r="I700" s="33">
        <f>23.0894 * CHOOSE(CONTROL!$C$32, $C$9, 100%, $E$9)</f>
        <v>23.089400000000001</v>
      </c>
      <c r="J700" s="33">
        <f>23.0857 * CHOOSE(CONTROL!$C$32, $C$9, 100%, $E$9)</f>
        <v>23.085699999999999</v>
      </c>
      <c r="K700" s="33">
        <f>23.0894 * CHOOSE(CONTROL!$C$32, $C$9, 100%, $E$9)</f>
        <v>23.089400000000001</v>
      </c>
      <c r="L700" s="33">
        <f>11.3051 * CHOOSE(CONTROL!$C$32, $C$9, 100%, $E$9)</f>
        <v>11.305099999999999</v>
      </c>
      <c r="M700" s="33">
        <f>11.3087 * CHOOSE(CONTROL!$C$32, $C$9, 100%, $E$9)</f>
        <v>11.3087</v>
      </c>
      <c r="N700" s="33">
        <f>11.3051 * CHOOSE(CONTROL!$C$32, $C$9, 100%, $E$9)</f>
        <v>11.305099999999999</v>
      </c>
      <c r="O700" s="33">
        <f>11.3087 * CHOOSE(CONTROL!$C$32, $C$9, 100%, $E$9)</f>
        <v>11.3087</v>
      </c>
    </row>
    <row r="701" spans="1:15" ht="15" x14ac:dyDescent="0.2">
      <c r="A701" s="16">
        <v>62184</v>
      </c>
      <c r="B701" s="32">
        <f>10.1286 * CHOOSE(CONTROL!$C$32, $C$9, 100%, $E$9)</f>
        <v>10.1286</v>
      </c>
      <c r="C701" s="32">
        <f>10.1286 * CHOOSE(CONTROL!$C$32, $C$9, 100%, $E$9)</f>
        <v>10.1286</v>
      </c>
      <c r="D701" s="32">
        <f>10.1297 * CHOOSE(CONTROL!$C$32, $C$9, 100%, $E$9)</f>
        <v>10.1297</v>
      </c>
      <c r="E701" s="33">
        <f>11.5455 * CHOOSE(CONTROL!$C$32, $C$9, 100%, $E$9)</f>
        <v>11.545500000000001</v>
      </c>
      <c r="F701" s="33">
        <f>11.5455 * CHOOSE(CONTROL!$C$32, $C$9, 100%, $E$9)</f>
        <v>11.545500000000001</v>
      </c>
      <c r="G701" s="33">
        <f>11.5491 * CHOOSE(CONTROL!$C$32, $C$9, 100%, $E$9)</f>
        <v>11.549099999999999</v>
      </c>
      <c r="H701" s="33">
        <f>23.1338 * CHOOSE(CONTROL!$C$32, $C$9, 100%, $E$9)</f>
        <v>23.133800000000001</v>
      </c>
      <c r="I701" s="33">
        <f>23.1375 * CHOOSE(CONTROL!$C$32, $C$9, 100%, $E$9)</f>
        <v>23.137499999999999</v>
      </c>
      <c r="J701" s="33">
        <f>23.1338 * CHOOSE(CONTROL!$C$32, $C$9, 100%, $E$9)</f>
        <v>23.133800000000001</v>
      </c>
      <c r="K701" s="33">
        <f>23.1375 * CHOOSE(CONTROL!$C$32, $C$9, 100%, $E$9)</f>
        <v>23.137499999999999</v>
      </c>
      <c r="L701" s="33">
        <f>11.5455 * CHOOSE(CONTROL!$C$32, $C$9, 100%, $E$9)</f>
        <v>11.545500000000001</v>
      </c>
      <c r="M701" s="33">
        <f>11.5491 * CHOOSE(CONTROL!$C$32, $C$9, 100%, $E$9)</f>
        <v>11.549099999999999</v>
      </c>
      <c r="N701" s="33">
        <f>11.5455 * CHOOSE(CONTROL!$C$32, $C$9, 100%, $E$9)</f>
        <v>11.545500000000001</v>
      </c>
      <c r="O701" s="33">
        <f>11.5491 * CHOOSE(CONTROL!$C$32, $C$9, 100%, $E$9)</f>
        <v>11.549099999999999</v>
      </c>
    </row>
    <row r="702" spans="1:15" ht="15" x14ac:dyDescent="0.2">
      <c r="A702" s="16">
        <v>62214</v>
      </c>
      <c r="B702" s="32">
        <f>10.1286 * CHOOSE(CONTROL!$C$32, $C$9, 100%, $E$9)</f>
        <v>10.1286</v>
      </c>
      <c r="C702" s="32">
        <f>10.1286 * CHOOSE(CONTROL!$C$32, $C$9, 100%, $E$9)</f>
        <v>10.1286</v>
      </c>
      <c r="D702" s="32">
        <f>10.1302 * CHOOSE(CONTROL!$C$32, $C$9, 100%, $E$9)</f>
        <v>10.1302</v>
      </c>
      <c r="E702" s="33">
        <f>11.6372 * CHOOSE(CONTROL!$C$32, $C$9, 100%, $E$9)</f>
        <v>11.6372</v>
      </c>
      <c r="F702" s="33">
        <f>11.6372 * CHOOSE(CONTROL!$C$32, $C$9, 100%, $E$9)</f>
        <v>11.6372</v>
      </c>
      <c r="G702" s="33">
        <f>11.6425 * CHOOSE(CONTROL!$C$32, $C$9, 100%, $E$9)</f>
        <v>11.6425</v>
      </c>
      <c r="H702" s="33">
        <f>23.182 * CHOOSE(CONTROL!$C$32, $C$9, 100%, $E$9)</f>
        <v>23.181999999999999</v>
      </c>
      <c r="I702" s="33">
        <f>23.1873 * CHOOSE(CONTROL!$C$32, $C$9, 100%, $E$9)</f>
        <v>23.1873</v>
      </c>
      <c r="J702" s="33">
        <f>23.182 * CHOOSE(CONTROL!$C$32, $C$9, 100%, $E$9)</f>
        <v>23.181999999999999</v>
      </c>
      <c r="K702" s="33">
        <f>23.1873 * CHOOSE(CONTROL!$C$32, $C$9, 100%, $E$9)</f>
        <v>23.1873</v>
      </c>
      <c r="L702" s="33">
        <f>11.6372 * CHOOSE(CONTROL!$C$32, $C$9, 100%, $E$9)</f>
        <v>11.6372</v>
      </c>
      <c r="M702" s="33">
        <f>11.6425 * CHOOSE(CONTROL!$C$32, $C$9, 100%, $E$9)</f>
        <v>11.6425</v>
      </c>
      <c r="N702" s="33">
        <f>11.6372 * CHOOSE(CONTROL!$C$32, $C$9, 100%, $E$9)</f>
        <v>11.6372</v>
      </c>
      <c r="O702" s="33">
        <f>11.6425 * CHOOSE(CONTROL!$C$32, $C$9, 100%, $E$9)</f>
        <v>11.6425</v>
      </c>
    </row>
    <row r="703" spans="1:15" ht="15" x14ac:dyDescent="0.2">
      <c r="A703" s="16">
        <v>62245</v>
      </c>
      <c r="B703" s="32">
        <f>10.1347 * CHOOSE(CONTROL!$C$32, $C$9, 100%, $E$9)</f>
        <v>10.1347</v>
      </c>
      <c r="C703" s="32">
        <f>10.1347 * CHOOSE(CONTROL!$C$32, $C$9, 100%, $E$9)</f>
        <v>10.1347</v>
      </c>
      <c r="D703" s="32">
        <f>10.1362 * CHOOSE(CONTROL!$C$32, $C$9, 100%, $E$9)</f>
        <v>10.136200000000001</v>
      </c>
      <c r="E703" s="33">
        <f>11.5497 * CHOOSE(CONTROL!$C$32, $C$9, 100%, $E$9)</f>
        <v>11.5497</v>
      </c>
      <c r="F703" s="33">
        <f>11.5497 * CHOOSE(CONTROL!$C$32, $C$9, 100%, $E$9)</f>
        <v>11.5497</v>
      </c>
      <c r="G703" s="33">
        <f>11.555 * CHOOSE(CONTROL!$C$32, $C$9, 100%, $E$9)</f>
        <v>11.555</v>
      </c>
      <c r="H703" s="33">
        <f>23.2303 * CHOOSE(CONTROL!$C$32, $C$9, 100%, $E$9)</f>
        <v>23.2303</v>
      </c>
      <c r="I703" s="33">
        <f>23.2356 * CHOOSE(CONTROL!$C$32, $C$9, 100%, $E$9)</f>
        <v>23.235600000000002</v>
      </c>
      <c r="J703" s="33">
        <f>23.2303 * CHOOSE(CONTROL!$C$32, $C$9, 100%, $E$9)</f>
        <v>23.2303</v>
      </c>
      <c r="K703" s="33">
        <f>23.2356 * CHOOSE(CONTROL!$C$32, $C$9, 100%, $E$9)</f>
        <v>23.235600000000002</v>
      </c>
      <c r="L703" s="33">
        <f>11.5497 * CHOOSE(CONTROL!$C$32, $C$9, 100%, $E$9)</f>
        <v>11.5497</v>
      </c>
      <c r="M703" s="33">
        <f>11.555 * CHOOSE(CONTROL!$C$32, $C$9, 100%, $E$9)</f>
        <v>11.555</v>
      </c>
      <c r="N703" s="33">
        <f>11.5497 * CHOOSE(CONTROL!$C$32, $C$9, 100%, $E$9)</f>
        <v>11.5497</v>
      </c>
      <c r="O703" s="33">
        <f>11.555 * CHOOSE(CONTROL!$C$32, $C$9, 100%, $E$9)</f>
        <v>11.555</v>
      </c>
    </row>
    <row r="704" spans="1:15" ht="15" x14ac:dyDescent="0.2">
      <c r="A704" s="16">
        <v>62275</v>
      </c>
      <c r="B704" s="32">
        <f>10.2605 * CHOOSE(CONTROL!$C$32, $C$9, 100%, $E$9)</f>
        <v>10.2605</v>
      </c>
      <c r="C704" s="32">
        <f>10.2605 * CHOOSE(CONTROL!$C$32, $C$9, 100%, $E$9)</f>
        <v>10.2605</v>
      </c>
      <c r="D704" s="32">
        <f>10.2621 * CHOOSE(CONTROL!$C$32, $C$9, 100%, $E$9)</f>
        <v>10.2621</v>
      </c>
      <c r="E704" s="33">
        <f>11.7117 * CHOOSE(CONTROL!$C$32, $C$9, 100%, $E$9)</f>
        <v>11.7117</v>
      </c>
      <c r="F704" s="33">
        <f>11.7117 * CHOOSE(CONTROL!$C$32, $C$9, 100%, $E$9)</f>
        <v>11.7117</v>
      </c>
      <c r="G704" s="33">
        <f>11.717 * CHOOSE(CONTROL!$C$32, $C$9, 100%, $E$9)</f>
        <v>11.717000000000001</v>
      </c>
      <c r="H704" s="33">
        <f>23.2787 * CHOOSE(CONTROL!$C$32, $C$9, 100%, $E$9)</f>
        <v>23.278700000000001</v>
      </c>
      <c r="I704" s="33">
        <f>23.284 * CHOOSE(CONTROL!$C$32, $C$9, 100%, $E$9)</f>
        <v>23.283999999999999</v>
      </c>
      <c r="J704" s="33">
        <f>23.2787 * CHOOSE(CONTROL!$C$32, $C$9, 100%, $E$9)</f>
        <v>23.278700000000001</v>
      </c>
      <c r="K704" s="33">
        <f>23.284 * CHOOSE(CONTROL!$C$32, $C$9, 100%, $E$9)</f>
        <v>23.283999999999999</v>
      </c>
      <c r="L704" s="33">
        <f>11.7117 * CHOOSE(CONTROL!$C$32, $C$9, 100%, $E$9)</f>
        <v>11.7117</v>
      </c>
      <c r="M704" s="33">
        <f>11.717 * CHOOSE(CONTROL!$C$32, $C$9, 100%, $E$9)</f>
        <v>11.717000000000001</v>
      </c>
      <c r="N704" s="33">
        <f>11.7117 * CHOOSE(CONTROL!$C$32, $C$9, 100%, $E$9)</f>
        <v>11.7117</v>
      </c>
      <c r="O704" s="33">
        <f>11.717 * CHOOSE(CONTROL!$C$32, $C$9, 100%, $E$9)</f>
        <v>11.717000000000001</v>
      </c>
    </row>
    <row r="705" spans="1:15" ht="15" x14ac:dyDescent="0.2">
      <c r="A705" s="16">
        <v>62306</v>
      </c>
      <c r="B705" s="32">
        <f>10.2672 * CHOOSE(CONTROL!$C$32, $C$9, 100%, $E$9)</f>
        <v>10.267200000000001</v>
      </c>
      <c r="C705" s="32">
        <f>10.2672 * CHOOSE(CONTROL!$C$32, $C$9, 100%, $E$9)</f>
        <v>10.267200000000001</v>
      </c>
      <c r="D705" s="32">
        <f>10.2688 * CHOOSE(CONTROL!$C$32, $C$9, 100%, $E$9)</f>
        <v>10.268800000000001</v>
      </c>
      <c r="E705" s="33">
        <f>11.4412 * CHOOSE(CONTROL!$C$32, $C$9, 100%, $E$9)</f>
        <v>11.4412</v>
      </c>
      <c r="F705" s="33">
        <f>11.4412 * CHOOSE(CONTROL!$C$32, $C$9, 100%, $E$9)</f>
        <v>11.4412</v>
      </c>
      <c r="G705" s="33">
        <f>11.4465 * CHOOSE(CONTROL!$C$32, $C$9, 100%, $E$9)</f>
        <v>11.4465</v>
      </c>
      <c r="H705" s="33">
        <f>23.3272 * CHOOSE(CONTROL!$C$32, $C$9, 100%, $E$9)</f>
        <v>23.327200000000001</v>
      </c>
      <c r="I705" s="33">
        <f>23.3325 * CHOOSE(CONTROL!$C$32, $C$9, 100%, $E$9)</f>
        <v>23.3325</v>
      </c>
      <c r="J705" s="33">
        <f>23.3272 * CHOOSE(CONTROL!$C$32, $C$9, 100%, $E$9)</f>
        <v>23.327200000000001</v>
      </c>
      <c r="K705" s="33">
        <f>23.3325 * CHOOSE(CONTROL!$C$32, $C$9, 100%, $E$9)</f>
        <v>23.3325</v>
      </c>
      <c r="L705" s="33">
        <f>11.4412 * CHOOSE(CONTROL!$C$32, $C$9, 100%, $E$9)</f>
        <v>11.4412</v>
      </c>
      <c r="M705" s="33">
        <f>11.4465 * CHOOSE(CONTROL!$C$32, $C$9, 100%, $E$9)</f>
        <v>11.4465</v>
      </c>
      <c r="N705" s="33">
        <f>11.4412 * CHOOSE(CONTROL!$C$32, $C$9, 100%, $E$9)</f>
        <v>11.4412</v>
      </c>
      <c r="O705" s="33">
        <f>11.4465 * CHOOSE(CONTROL!$C$32, $C$9, 100%, $E$9)</f>
        <v>11.4465</v>
      </c>
    </row>
    <row r="706" spans="1:15" ht="15" x14ac:dyDescent="0.2">
      <c r="A706" s="16">
        <v>62337</v>
      </c>
      <c r="B706" s="32">
        <f>10.2642 * CHOOSE(CONTROL!$C$32, $C$9, 100%, $E$9)</f>
        <v>10.264200000000001</v>
      </c>
      <c r="C706" s="32">
        <f>10.2642 * CHOOSE(CONTROL!$C$32, $C$9, 100%, $E$9)</f>
        <v>10.264200000000001</v>
      </c>
      <c r="D706" s="32">
        <f>10.2657 * CHOOSE(CONTROL!$C$32, $C$9, 100%, $E$9)</f>
        <v>10.265700000000001</v>
      </c>
      <c r="E706" s="33">
        <f>11.4085 * CHOOSE(CONTROL!$C$32, $C$9, 100%, $E$9)</f>
        <v>11.4085</v>
      </c>
      <c r="F706" s="33">
        <f>11.4085 * CHOOSE(CONTROL!$C$32, $C$9, 100%, $E$9)</f>
        <v>11.4085</v>
      </c>
      <c r="G706" s="33">
        <f>11.4138 * CHOOSE(CONTROL!$C$32, $C$9, 100%, $E$9)</f>
        <v>11.4138</v>
      </c>
      <c r="H706" s="33">
        <f>23.3758 * CHOOSE(CONTROL!$C$32, $C$9, 100%, $E$9)</f>
        <v>23.375800000000002</v>
      </c>
      <c r="I706" s="33">
        <f>23.3811 * CHOOSE(CONTROL!$C$32, $C$9, 100%, $E$9)</f>
        <v>23.3811</v>
      </c>
      <c r="J706" s="33">
        <f>23.3758 * CHOOSE(CONTROL!$C$32, $C$9, 100%, $E$9)</f>
        <v>23.375800000000002</v>
      </c>
      <c r="K706" s="33">
        <f>23.3811 * CHOOSE(CONTROL!$C$32, $C$9, 100%, $E$9)</f>
        <v>23.3811</v>
      </c>
      <c r="L706" s="33">
        <f>11.4085 * CHOOSE(CONTROL!$C$32, $C$9, 100%, $E$9)</f>
        <v>11.4085</v>
      </c>
      <c r="M706" s="33">
        <f>11.4138 * CHOOSE(CONTROL!$C$32, $C$9, 100%, $E$9)</f>
        <v>11.4138</v>
      </c>
      <c r="N706" s="33">
        <f>11.4085 * CHOOSE(CONTROL!$C$32, $C$9, 100%, $E$9)</f>
        <v>11.4085</v>
      </c>
      <c r="O706" s="33">
        <f>11.4138 * CHOOSE(CONTROL!$C$32, $C$9, 100%, $E$9)</f>
        <v>11.4138</v>
      </c>
    </row>
    <row r="707" spans="1:15" ht="15" x14ac:dyDescent="0.2">
      <c r="A707" s="16">
        <v>62367</v>
      </c>
      <c r="B707" s="32">
        <f>10.2826 * CHOOSE(CONTROL!$C$32, $C$9, 100%, $E$9)</f>
        <v>10.2826</v>
      </c>
      <c r="C707" s="32">
        <f>10.2826 * CHOOSE(CONTROL!$C$32, $C$9, 100%, $E$9)</f>
        <v>10.2826</v>
      </c>
      <c r="D707" s="32">
        <f>10.2837 * CHOOSE(CONTROL!$C$32, $C$9, 100%, $E$9)</f>
        <v>10.2837</v>
      </c>
      <c r="E707" s="33">
        <f>11.5173 * CHOOSE(CONTROL!$C$32, $C$9, 100%, $E$9)</f>
        <v>11.517300000000001</v>
      </c>
      <c r="F707" s="33">
        <f>11.5173 * CHOOSE(CONTROL!$C$32, $C$9, 100%, $E$9)</f>
        <v>11.517300000000001</v>
      </c>
      <c r="G707" s="33">
        <f>11.521 * CHOOSE(CONTROL!$C$32, $C$9, 100%, $E$9)</f>
        <v>11.521000000000001</v>
      </c>
      <c r="H707" s="33">
        <f>23.4245 * CHOOSE(CONTROL!$C$32, $C$9, 100%, $E$9)</f>
        <v>23.424499999999998</v>
      </c>
      <c r="I707" s="33">
        <f>23.4281 * CHOOSE(CONTROL!$C$32, $C$9, 100%, $E$9)</f>
        <v>23.428100000000001</v>
      </c>
      <c r="J707" s="33">
        <f>23.4245 * CHOOSE(CONTROL!$C$32, $C$9, 100%, $E$9)</f>
        <v>23.424499999999998</v>
      </c>
      <c r="K707" s="33">
        <f>23.4281 * CHOOSE(CONTROL!$C$32, $C$9, 100%, $E$9)</f>
        <v>23.428100000000001</v>
      </c>
      <c r="L707" s="33">
        <f>11.5173 * CHOOSE(CONTROL!$C$32, $C$9, 100%, $E$9)</f>
        <v>11.517300000000001</v>
      </c>
      <c r="M707" s="33">
        <f>11.521 * CHOOSE(CONTROL!$C$32, $C$9, 100%, $E$9)</f>
        <v>11.521000000000001</v>
      </c>
      <c r="N707" s="33">
        <f>11.5173 * CHOOSE(CONTROL!$C$32, $C$9, 100%, $E$9)</f>
        <v>11.517300000000001</v>
      </c>
      <c r="O707" s="33">
        <f>11.521 * CHOOSE(CONTROL!$C$32, $C$9, 100%, $E$9)</f>
        <v>11.521000000000001</v>
      </c>
    </row>
    <row r="708" spans="1:15" ht="15" x14ac:dyDescent="0.2">
      <c r="A708" s="16">
        <v>62398</v>
      </c>
      <c r="B708" s="32">
        <f>10.2857 * CHOOSE(CONTROL!$C$32, $C$9, 100%, $E$9)</f>
        <v>10.2857</v>
      </c>
      <c r="C708" s="32">
        <f>10.2857 * CHOOSE(CONTROL!$C$32, $C$9, 100%, $E$9)</f>
        <v>10.2857</v>
      </c>
      <c r="D708" s="32">
        <f>10.2867 * CHOOSE(CONTROL!$C$32, $C$9, 100%, $E$9)</f>
        <v>10.2867</v>
      </c>
      <c r="E708" s="33">
        <f>11.5806 * CHOOSE(CONTROL!$C$32, $C$9, 100%, $E$9)</f>
        <v>11.5806</v>
      </c>
      <c r="F708" s="33">
        <f>11.5806 * CHOOSE(CONTROL!$C$32, $C$9, 100%, $E$9)</f>
        <v>11.5806</v>
      </c>
      <c r="G708" s="33">
        <f>11.5842 * CHOOSE(CONTROL!$C$32, $C$9, 100%, $E$9)</f>
        <v>11.584199999999999</v>
      </c>
      <c r="H708" s="33">
        <f>23.4733 * CHOOSE(CONTROL!$C$32, $C$9, 100%, $E$9)</f>
        <v>23.473299999999998</v>
      </c>
      <c r="I708" s="33">
        <f>23.4769 * CHOOSE(CONTROL!$C$32, $C$9, 100%, $E$9)</f>
        <v>23.476900000000001</v>
      </c>
      <c r="J708" s="33">
        <f>23.4733 * CHOOSE(CONTROL!$C$32, $C$9, 100%, $E$9)</f>
        <v>23.473299999999998</v>
      </c>
      <c r="K708" s="33">
        <f>23.4769 * CHOOSE(CONTROL!$C$32, $C$9, 100%, $E$9)</f>
        <v>23.476900000000001</v>
      </c>
      <c r="L708" s="33">
        <f>11.5806 * CHOOSE(CONTROL!$C$32, $C$9, 100%, $E$9)</f>
        <v>11.5806</v>
      </c>
      <c r="M708" s="33">
        <f>11.5842 * CHOOSE(CONTROL!$C$32, $C$9, 100%, $E$9)</f>
        <v>11.584199999999999</v>
      </c>
      <c r="N708" s="33">
        <f>11.5806 * CHOOSE(CONTROL!$C$32, $C$9, 100%, $E$9)</f>
        <v>11.5806</v>
      </c>
      <c r="O708" s="33">
        <f>11.5842 * CHOOSE(CONTROL!$C$32, $C$9, 100%, $E$9)</f>
        <v>11.584199999999999</v>
      </c>
    </row>
    <row r="709" spans="1:15" ht="15" x14ac:dyDescent="0.2">
      <c r="A709" s="16">
        <v>62428</v>
      </c>
      <c r="B709" s="32">
        <f>10.2857 * CHOOSE(CONTROL!$C$32, $C$9, 100%, $E$9)</f>
        <v>10.2857</v>
      </c>
      <c r="C709" s="32">
        <f>10.2857 * CHOOSE(CONTROL!$C$32, $C$9, 100%, $E$9)</f>
        <v>10.2857</v>
      </c>
      <c r="D709" s="32">
        <f>10.2867 * CHOOSE(CONTROL!$C$32, $C$9, 100%, $E$9)</f>
        <v>10.2867</v>
      </c>
      <c r="E709" s="33">
        <f>11.4277 * CHOOSE(CONTROL!$C$32, $C$9, 100%, $E$9)</f>
        <v>11.4277</v>
      </c>
      <c r="F709" s="33">
        <f>11.4277 * CHOOSE(CONTROL!$C$32, $C$9, 100%, $E$9)</f>
        <v>11.4277</v>
      </c>
      <c r="G709" s="33">
        <f>11.4314 * CHOOSE(CONTROL!$C$32, $C$9, 100%, $E$9)</f>
        <v>11.4314</v>
      </c>
      <c r="H709" s="33">
        <f>23.5222 * CHOOSE(CONTROL!$C$32, $C$9, 100%, $E$9)</f>
        <v>23.522200000000002</v>
      </c>
      <c r="I709" s="33">
        <f>23.5258 * CHOOSE(CONTROL!$C$32, $C$9, 100%, $E$9)</f>
        <v>23.5258</v>
      </c>
      <c r="J709" s="33">
        <f>23.5222 * CHOOSE(CONTROL!$C$32, $C$9, 100%, $E$9)</f>
        <v>23.522200000000002</v>
      </c>
      <c r="K709" s="33">
        <f>23.5258 * CHOOSE(CONTROL!$C$32, $C$9, 100%, $E$9)</f>
        <v>23.5258</v>
      </c>
      <c r="L709" s="33">
        <f>11.4277 * CHOOSE(CONTROL!$C$32, $C$9, 100%, $E$9)</f>
        <v>11.4277</v>
      </c>
      <c r="M709" s="33">
        <f>11.4314 * CHOOSE(CONTROL!$C$32, $C$9, 100%, $E$9)</f>
        <v>11.4314</v>
      </c>
      <c r="N709" s="33">
        <f>11.4277 * CHOOSE(CONTROL!$C$32, $C$9, 100%, $E$9)</f>
        <v>11.4277</v>
      </c>
      <c r="O709" s="33">
        <f>11.4314 * CHOOSE(CONTROL!$C$32, $C$9, 100%, $E$9)</f>
        <v>11.4314</v>
      </c>
    </row>
    <row r="710" spans="1:15" ht="15" x14ac:dyDescent="0.2">
      <c r="A710" s="16">
        <v>62459</v>
      </c>
      <c r="B710" s="32">
        <f>10.3184 * CHOOSE(CONTROL!$C$32, $C$9, 100%, $E$9)</f>
        <v>10.3184</v>
      </c>
      <c r="C710" s="32">
        <f>10.3184 * CHOOSE(CONTROL!$C$32, $C$9, 100%, $E$9)</f>
        <v>10.3184</v>
      </c>
      <c r="D710" s="32">
        <f>10.3195 * CHOOSE(CONTROL!$C$32, $C$9, 100%, $E$9)</f>
        <v>10.3195</v>
      </c>
      <c r="E710" s="33">
        <f>11.583 * CHOOSE(CONTROL!$C$32, $C$9, 100%, $E$9)</f>
        <v>11.583</v>
      </c>
      <c r="F710" s="33">
        <f>11.583 * CHOOSE(CONTROL!$C$32, $C$9, 100%, $E$9)</f>
        <v>11.583</v>
      </c>
      <c r="G710" s="33">
        <f>11.5866 * CHOOSE(CONTROL!$C$32, $C$9, 100%, $E$9)</f>
        <v>11.586600000000001</v>
      </c>
      <c r="H710" s="33">
        <f>23.4539 * CHOOSE(CONTROL!$C$32, $C$9, 100%, $E$9)</f>
        <v>23.453900000000001</v>
      </c>
      <c r="I710" s="33">
        <f>23.4575 * CHOOSE(CONTROL!$C$32, $C$9, 100%, $E$9)</f>
        <v>23.4575</v>
      </c>
      <c r="J710" s="33">
        <f>23.4539 * CHOOSE(CONTROL!$C$32, $C$9, 100%, $E$9)</f>
        <v>23.453900000000001</v>
      </c>
      <c r="K710" s="33">
        <f>23.4575 * CHOOSE(CONTROL!$C$32, $C$9, 100%, $E$9)</f>
        <v>23.4575</v>
      </c>
      <c r="L710" s="33">
        <f>11.583 * CHOOSE(CONTROL!$C$32, $C$9, 100%, $E$9)</f>
        <v>11.583</v>
      </c>
      <c r="M710" s="33">
        <f>11.5866 * CHOOSE(CONTROL!$C$32, $C$9, 100%, $E$9)</f>
        <v>11.586600000000001</v>
      </c>
      <c r="N710" s="33">
        <f>11.583 * CHOOSE(CONTROL!$C$32, $C$9, 100%, $E$9)</f>
        <v>11.583</v>
      </c>
      <c r="O710" s="33">
        <f>11.5866 * CHOOSE(CONTROL!$C$32, $C$9, 100%, $E$9)</f>
        <v>11.586600000000001</v>
      </c>
    </row>
    <row r="711" spans="1:15" ht="15" x14ac:dyDescent="0.2">
      <c r="A711" s="16">
        <v>62490</v>
      </c>
      <c r="B711" s="32">
        <f>10.3154 * CHOOSE(CONTROL!$C$32, $C$9, 100%, $E$9)</f>
        <v>10.3154</v>
      </c>
      <c r="C711" s="32">
        <f>10.3154 * CHOOSE(CONTROL!$C$32, $C$9, 100%, $E$9)</f>
        <v>10.3154</v>
      </c>
      <c r="D711" s="32">
        <f>10.3165 * CHOOSE(CONTROL!$C$32, $C$9, 100%, $E$9)</f>
        <v>10.3165</v>
      </c>
      <c r="E711" s="33">
        <f>11.2849 * CHOOSE(CONTROL!$C$32, $C$9, 100%, $E$9)</f>
        <v>11.2849</v>
      </c>
      <c r="F711" s="33">
        <f>11.2849 * CHOOSE(CONTROL!$C$32, $C$9, 100%, $E$9)</f>
        <v>11.2849</v>
      </c>
      <c r="G711" s="33">
        <f>11.2885 * CHOOSE(CONTROL!$C$32, $C$9, 100%, $E$9)</f>
        <v>11.288500000000001</v>
      </c>
      <c r="H711" s="33">
        <f>23.5027 * CHOOSE(CONTROL!$C$32, $C$9, 100%, $E$9)</f>
        <v>23.502700000000001</v>
      </c>
      <c r="I711" s="33">
        <f>23.5064 * CHOOSE(CONTROL!$C$32, $C$9, 100%, $E$9)</f>
        <v>23.506399999999999</v>
      </c>
      <c r="J711" s="33">
        <f>23.5027 * CHOOSE(CONTROL!$C$32, $C$9, 100%, $E$9)</f>
        <v>23.502700000000001</v>
      </c>
      <c r="K711" s="33">
        <f>23.5064 * CHOOSE(CONTROL!$C$32, $C$9, 100%, $E$9)</f>
        <v>23.506399999999999</v>
      </c>
      <c r="L711" s="33">
        <f>11.2849 * CHOOSE(CONTROL!$C$32, $C$9, 100%, $E$9)</f>
        <v>11.2849</v>
      </c>
      <c r="M711" s="33">
        <f>11.2885 * CHOOSE(CONTROL!$C$32, $C$9, 100%, $E$9)</f>
        <v>11.288500000000001</v>
      </c>
      <c r="N711" s="33">
        <f>11.2849 * CHOOSE(CONTROL!$C$32, $C$9, 100%, $E$9)</f>
        <v>11.2849</v>
      </c>
      <c r="O711" s="33">
        <f>11.2885 * CHOOSE(CONTROL!$C$32, $C$9, 100%, $E$9)</f>
        <v>11.288500000000001</v>
      </c>
    </row>
    <row r="712" spans="1:15" ht="15" x14ac:dyDescent="0.2">
      <c r="A712" s="16">
        <v>62518</v>
      </c>
      <c r="B712" s="32">
        <f>10.3123 * CHOOSE(CONTROL!$C$32, $C$9, 100%, $E$9)</f>
        <v>10.3123</v>
      </c>
      <c r="C712" s="32">
        <f>10.3123 * CHOOSE(CONTROL!$C$32, $C$9, 100%, $E$9)</f>
        <v>10.3123</v>
      </c>
      <c r="D712" s="32">
        <f>10.3134 * CHOOSE(CONTROL!$C$32, $C$9, 100%, $E$9)</f>
        <v>10.3134</v>
      </c>
      <c r="E712" s="33">
        <f>11.5161 * CHOOSE(CONTROL!$C$32, $C$9, 100%, $E$9)</f>
        <v>11.5161</v>
      </c>
      <c r="F712" s="33">
        <f>11.5161 * CHOOSE(CONTROL!$C$32, $C$9, 100%, $E$9)</f>
        <v>11.5161</v>
      </c>
      <c r="G712" s="33">
        <f>11.5198 * CHOOSE(CONTROL!$C$32, $C$9, 100%, $E$9)</f>
        <v>11.5198</v>
      </c>
      <c r="H712" s="33">
        <f>23.5517 * CHOOSE(CONTROL!$C$32, $C$9, 100%, $E$9)</f>
        <v>23.5517</v>
      </c>
      <c r="I712" s="33">
        <f>23.5553 * CHOOSE(CONTROL!$C$32, $C$9, 100%, $E$9)</f>
        <v>23.555299999999999</v>
      </c>
      <c r="J712" s="33">
        <f>23.5517 * CHOOSE(CONTROL!$C$32, $C$9, 100%, $E$9)</f>
        <v>23.5517</v>
      </c>
      <c r="K712" s="33">
        <f>23.5553 * CHOOSE(CONTROL!$C$32, $C$9, 100%, $E$9)</f>
        <v>23.555299999999999</v>
      </c>
      <c r="L712" s="33">
        <f>11.5161 * CHOOSE(CONTROL!$C$32, $C$9, 100%, $E$9)</f>
        <v>11.5161</v>
      </c>
      <c r="M712" s="33">
        <f>11.5198 * CHOOSE(CONTROL!$C$32, $C$9, 100%, $E$9)</f>
        <v>11.5198</v>
      </c>
      <c r="N712" s="33">
        <f>11.5161 * CHOOSE(CONTROL!$C$32, $C$9, 100%, $E$9)</f>
        <v>11.5161</v>
      </c>
      <c r="O712" s="33">
        <f>11.5198 * CHOOSE(CONTROL!$C$32, $C$9, 100%, $E$9)</f>
        <v>11.5198</v>
      </c>
    </row>
    <row r="713" spans="1:15" ht="15" x14ac:dyDescent="0.2">
      <c r="A713" s="16">
        <v>62549</v>
      </c>
      <c r="B713" s="32">
        <f>10.3161 * CHOOSE(CONTROL!$C$32, $C$9, 100%, $E$9)</f>
        <v>10.3161</v>
      </c>
      <c r="C713" s="32">
        <f>10.3161 * CHOOSE(CONTROL!$C$32, $C$9, 100%, $E$9)</f>
        <v>10.3161</v>
      </c>
      <c r="D713" s="32">
        <f>10.3172 * CHOOSE(CONTROL!$C$32, $C$9, 100%, $E$9)</f>
        <v>10.3172</v>
      </c>
      <c r="E713" s="33">
        <f>11.7625 * CHOOSE(CONTROL!$C$32, $C$9, 100%, $E$9)</f>
        <v>11.762499999999999</v>
      </c>
      <c r="F713" s="33">
        <f>11.7625 * CHOOSE(CONTROL!$C$32, $C$9, 100%, $E$9)</f>
        <v>11.762499999999999</v>
      </c>
      <c r="G713" s="33">
        <f>11.7661 * CHOOSE(CONTROL!$C$32, $C$9, 100%, $E$9)</f>
        <v>11.7661</v>
      </c>
      <c r="H713" s="33">
        <f>23.6008 * CHOOSE(CONTROL!$C$32, $C$9, 100%, $E$9)</f>
        <v>23.6008</v>
      </c>
      <c r="I713" s="33">
        <f>23.6044 * CHOOSE(CONTROL!$C$32, $C$9, 100%, $E$9)</f>
        <v>23.604399999999998</v>
      </c>
      <c r="J713" s="33">
        <f>23.6008 * CHOOSE(CONTROL!$C$32, $C$9, 100%, $E$9)</f>
        <v>23.6008</v>
      </c>
      <c r="K713" s="33">
        <f>23.6044 * CHOOSE(CONTROL!$C$32, $C$9, 100%, $E$9)</f>
        <v>23.604399999999998</v>
      </c>
      <c r="L713" s="33">
        <f>11.7625 * CHOOSE(CONTROL!$C$32, $C$9, 100%, $E$9)</f>
        <v>11.762499999999999</v>
      </c>
      <c r="M713" s="33">
        <f>11.7661 * CHOOSE(CONTROL!$C$32, $C$9, 100%, $E$9)</f>
        <v>11.7661</v>
      </c>
      <c r="N713" s="33">
        <f>11.7625 * CHOOSE(CONTROL!$C$32, $C$9, 100%, $E$9)</f>
        <v>11.762499999999999</v>
      </c>
      <c r="O713" s="33">
        <f>11.7661 * CHOOSE(CONTROL!$C$32, $C$9, 100%, $E$9)</f>
        <v>11.7661</v>
      </c>
    </row>
    <row r="714" spans="1:15" ht="15" x14ac:dyDescent="0.2">
      <c r="A714" s="16">
        <v>62579</v>
      </c>
      <c r="B714" s="32">
        <f>10.3161 * CHOOSE(CONTROL!$C$32, $C$9, 100%, $E$9)</f>
        <v>10.3161</v>
      </c>
      <c r="C714" s="32">
        <f>10.3161 * CHOOSE(CONTROL!$C$32, $C$9, 100%, $E$9)</f>
        <v>10.3161</v>
      </c>
      <c r="D714" s="32">
        <f>10.3177 * CHOOSE(CONTROL!$C$32, $C$9, 100%, $E$9)</f>
        <v>10.3177</v>
      </c>
      <c r="E714" s="33">
        <f>11.8565 * CHOOSE(CONTROL!$C$32, $C$9, 100%, $E$9)</f>
        <v>11.8565</v>
      </c>
      <c r="F714" s="33">
        <f>11.8565 * CHOOSE(CONTROL!$C$32, $C$9, 100%, $E$9)</f>
        <v>11.8565</v>
      </c>
      <c r="G714" s="33">
        <f>11.8618 * CHOOSE(CONTROL!$C$32, $C$9, 100%, $E$9)</f>
        <v>11.861800000000001</v>
      </c>
      <c r="H714" s="33">
        <f>23.6499 * CHOOSE(CONTROL!$C$32, $C$9, 100%, $E$9)</f>
        <v>23.649899999999999</v>
      </c>
      <c r="I714" s="33">
        <f>23.6552 * CHOOSE(CONTROL!$C$32, $C$9, 100%, $E$9)</f>
        <v>23.655200000000001</v>
      </c>
      <c r="J714" s="33">
        <f>23.6499 * CHOOSE(CONTROL!$C$32, $C$9, 100%, $E$9)</f>
        <v>23.649899999999999</v>
      </c>
      <c r="K714" s="33">
        <f>23.6552 * CHOOSE(CONTROL!$C$32, $C$9, 100%, $E$9)</f>
        <v>23.655200000000001</v>
      </c>
      <c r="L714" s="33">
        <f>11.8565 * CHOOSE(CONTROL!$C$32, $C$9, 100%, $E$9)</f>
        <v>11.8565</v>
      </c>
      <c r="M714" s="33">
        <f>11.8618 * CHOOSE(CONTROL!$C$32, $C$9, 100%, $E$9)</f>
        <v>11.861800000000001</v>
      </c>
      <c r="N714" s="33">
        <f>11.8565 * CHOOSE(CONTROL!$C$32, $C$9, 100%, $E$9)</f>
        <v>11.8565</v>
      </c>
      <c r="O714" s="33">
        <f>11.8618 * CHOOSE(CONTROL!$C$32, $C$9, 100%, $E$9)</f>
        <v>11.861800000000001</v>
      </c>
    </row>
    <row r="715" spans="1:15" ht="15" x14ac:dyDescent="0.2">
      <c r="A715" s="16">
        <v>62610</v>
      </c>
      <c r="B715" s="32">
        <f>10.3222 * CHOOSE(CONTROL!$C$32, $C$9, 100%, $E$9)</f>
        <v>10.3222</v>
      </c>
      <c r="C715" s="32">
        <f>10.3222 * CHOOSE(CONTROL!$C$32, $C$9, 100%, $E$9)</f>
        <v>10.3222</v>
      </c>
      <c r="D715" s="32">
        <f>10.3238 * CHOOSE(CONTROL!$C$32, $C$9, 100%, $E$9)</f>
        <v>10.3238</v>
      </c>
      <c r="E715" s="33">
        <f>11.7667 * CHOOSE(CONTROL!$C$32, $C$9, 100%, $E$9)</f>
        <v>11.7667</v>
      </c>
      <c r="F715" s="33">
        <f>11.7667 * CHOOSE(CONTROL!$C$32, $C$9, 100%, $E$9)</f>
        <v>11.7667</v>
      </c>
      <c r="G715" s="33">
        <f>11.772 * CHOOSE(CONTROL!$C$32, $C$9, 100%, $E$9)</f>
        <v>11.772</v>
      </c>
      <c r="H715" s="33">
        <f>23.6992 * CHOOSE(CONTROL!$C$32, $C$9, 100%, $E$9)</f>
        <v>23.699200000000001</v>
      </c>
      <c r="I715" s="33">
        <f>23.7045 * CHOOSE(CONTROL!$C$32, $C$9, 100%, $E$9)</f>
        <v>23.704499999999999</v>
      </c>
      <c r="J715" s="33">
        <f>23.6992 * CHOOSE(CONTROL!$C$32, $C$9, 100%, $E$9)</f>
        <v>23.699200000000001</v>
      </c>
      <c r="K715" s="33">
        <f>23.7045 * CHOOSE(CONTROL!$C$32, $C$9, 100%, $E$9)</f>
        <v>23.704499999999999</v>
      </c>
      <c r="L715" s="33">
        <f>11.7667 * CHOOSE(CONTROL!$C$32, $C$9, 100%, $E$9)</f>
        <v>11.7667</v>
      </c>
      <c r="M715" s="33">
        <f>11.772 * CHOOSE(CONTROL!$C$32, $C$9, 100%, $E$9)</f>
        <v>11.772</v>
      </c>
      <c r="N715" s="33">
        <f>11.7667 * CHOOSE(CONTROL!$C$32, $C$9, 100%, $E$9)</f>
        <v>11.7667</v>
      </c>
      <c r="O715" s="33">
        <f>11.772 * CHOOSE(CONTROL!$C$32, $C$9, 100%, $E$9)</f>
        <v>11.772</v>
      </c>
    </row>
    <row r="716" spans="1:15" ht="15" x14ac:dyDescent="0.2">
      <c r="A716" s="16">
        <v>62640</v>
      </c>
      <c r="B716" s="32">
        <f>10.4501 * CHOOSE(CONTROL!$C$32, $C$9, 100%, $E$9)</f>
        <v>10.450100000000001</v>
      </c>
      <c r="C716" s="32">
        <f>10.4501 * CHOOSE(CONTROL!$C$32, $C$9, 100%, $E$9)</f>
        <v>10.450100000000001</v>
      </c>
      <c r="D716" s="32">
        <f>10.4517 * CHOOSE(CONTROL!$C$32, $C$9, 100%, $E$9)</f>
        <v>10.451700000000001</v>
      </c>
      <c r="E716" s="33">
        <f>11.9319 * CHOOSE(CONTROL!$C$32, $C$9, 100%, $E$9)</f>
        <v>11.931900000000001</v>
      </c>
      <c r="F716" s="33">
        <f>11.9319 * CHOOSE(CONTROL!$C$32, $C$9, 100%, $E$9)</f>
        <v>11.931900000000001</v>
      </c>
      <c r="G716" s="33">
        <f>11.9371 * CHOOSE(CONTROL!$C$32, $C$9, 100%, $E$9)</f>
        <v>11.937099999999999</v>
      </c>
      <c r="H716" s="33">
        <f>23.7486 * CHOOSE(CONTROL!$C$32, $C$9, 100%, $E$9)</f>
        <v>23.7486</v>
      </c>
      <c r="I716" s="33">
        <f>23.7539 * CHOOSE(CONTROL!$C$32, $C$9, 100%, $E$9)</f>
        <v>23.753900000000002</v>
      </c>
      <c r="J716" s="33">
        <f>23.7486 * CHOOSE(CONTROL!$C$32, $C$9, 100%, $E$9)</f>
        <v>23.7486</v>
      </c>
      <c r="K716" s="33">
        <f>23.7539 * CHOOSE(CONTROL!$C$32, $C$9, 100%, $E$9)</f>
        <v>23.753900000000002</v>
      </c>
      <c r="L716" s="33">
        <f>11.9319 * CHOOSE(CONTROL!$C$32, $C$9, 100%, $E$9)</f>
        <v>11.931900000000001</v>
      </c>
      <c r="M716" s="33">
        <f>11.9371 * CHOOSE(CONTROL!$C$32, $C$9, 100%, $E$9)</f>
        <v>11.937099999999999</v>
      </c>
      <c r="N716" s="33">
        <f>11.9319 * CHOOSE(CONTROL!$C$32, $C$9, 100%, $E$9)</f>
        <v>11.931900000000001</v>
      </c>
      <c r="O716" s="33">
        <f>11.9371 * CHOOSE(CONTROL!$C$32, $C$9, 100%, $E$9)</f>
        <v>11.937099999999999</v>
      </c>
    </row>
    <row r="717" spans="1:15" ht="15" x14ac:dyDescent="0.2">
      <c r="A717" s="16">
        <v>62671</v>
      </c>
      <c r="B717" s="32">
        <f>10.4568 * CHOOSE(CONTROL!$C$32, $C$9, 100%, $E$9)</f>
        <v>10.456799999999999</v>
      </c>
      <c r="C717" s="32">
        <f>10.4568 * CHOOSE(CONTROL!$C$32, $C$9, 100%, $E$9)</f>
        <v>10.456799999999999</v>
      </c>
      <c r="D717" s="32">
        <f>10.4584 * CHOOSE(CONTROL!$C$32, $C$9, 100%, $E$9)</f>
        <v>10.458399999999999</v>
      </c>
      <c r="E717" s="33">
        <f>11.6546 * CHOOSE(CONTROL!$C$32, $C$9, 100%, $E$9)</f>
        <v>11.6546</v>
      </c>
      <c r="F717" s="33">
        <f>11.6546 * CHOOSE(CONTROL!$C$32, $C$9, 100%, $E$9)</f>
        <v>11.6546</v>
      </c>
      <c r="G717" s="33">
        <f>11.6599 * CHOOSE(CONTROL!$C$32, $C$9, 100%, $E$9)</f>
        <v>11.6599</v>
      </c>
      <c r="H717" s="33">
        <f>23.7981 * CHOOSE(CONTROL!$C$32, $C$9, 100%, $E$9)</f>
        <v>23.798100000000002</v>
      </c>
      <c r="I717" s="33">
        <f>23.8034 * CHOOSE(CONTROL!$C$32, $C$9, 100%, $E$9)</f>
        <v>23.8034</v>
      </c>
      <c r="J717" s="33">
        <f>23.7981 * CHOOSE(CONTROL!$C$32, $C$9, 100%, $E$9)</f>
        <v>23.798100000000002</v>
      </c>
      <c r="K717" s="33">
        <f>23.8034 * CHOOSE(CONTROL!$C$32, $C$9, 100%, $E$9)</f>
        <v>23.8034</v>
      </c>
      <c r="L717" s="33">
        <f>11.6546 * CHOOSE(CONTROL!$C$32, $C$9, 100%, $E$9)</f>
        <v>11.6546</v>
      </c>
      <c r="M717" s="33">
        <f>11.6599 * CHOOSE(CONTROL!$C$32, $C$9, 100%, $E$9)</f>
        <v>11.6599</v>
      </c>
      <c r="N717" s="33">
        <f>11.6546 * CHOOSE(CONTROL!$C$32, $C$9, 100%, $E$9)</f>
        <v>11.6546</v>
      </c>
      <c r="O717" s="33">
        <f>11.6599 * CHOOSE(CONTROL!$C$32, $C$9, 100%, $E$9)</f>
        <v>11.6599</v>
      </c>
    </row>
    <row r="718" spans="1:15" ht="15" x14ac:dyDescent="0.2">
      <c r="A718" s="16">
        <v>62702</v>
      </c>
      <c r="B718" s="32">
        <f>10.4538 * CHOOSE(CONTROL!$C$32, $C$9, 100%, $E$9)</f>
        <v>10.453799999999999</v>
      </c>
      <c r="C718" s="32">
        <f>10.4538 * CHOOSE(CONTROL!$C$32, $C$9, 100%, $E$9)</f>
        <v>10.453799999999999</v>
      </c>
      <c r="D718" s="32">
        <f>10.4553 * CHOOSE(CONTROL!$C$32, $C$9, 100%, $E$9)</f>
        <v>10.455299999999999</v>
      </c>
      <c r="E718" s="33">
        <f>11.6211 * CHOOSE(CONTROL!$C$32, $C$9, 100%, $E$9)</f>
        <v>11.6211</v>
      </c>
      <c r="F718" s="33">
        <f>11.6211 * CHOOSE(CONTROL!$C$32, $C$9, 100%, $E$9)</f>
        <v>11.6211</v>
      </c>
      <c r="G718" s="33">
        <f>11.6264 * CHOOSE(CONTROL!$C$32, $C$9, 100%, $E$9)</f>
        <v>11.6264</v>
      </c>
      <c r="H718" s="33">
        <f>23.8476 * CHOOSE(CONTROL!$C$32, $C$9, 100%, $E$9)</f>
        <v>23.8476</v>
      </c>
      <c r="I718" s="33">
        <f>23.8529 * CHOOSE(CONTROL!$C$32, $C$9, 100%, $E$9)</f>
        <v>23.852900000000002</v>
      </c>
      <c r="J718" s="33">
        <f>23.8476 * CHOOSE(CONTROL!$C$32, $C$9, 100%, $E$9)</f>
        <v>23.8476</v>
      </c>
      <c r="K718" s="33">
        <f>23.8529 * CHOOSE(CONTROL!$C$32, $C$9, 100%, $E$9)</f>
        <v>23.852900000000002</v>
      </c>
      <c r="L718" s="33">
        <f>11.6211 * CHOOSE(CONTROL!$C$32, $C$9, 100%, $E$9)</f>
        <v>11.6211</v>
      </c>
      <c r="M718" s="33">
        <f>11.6264 * CHOOSE(CONTROL!$C$32, $C$9, 100%, $E$9)</f>
        <v>11.6264</v>
      </c>
      <c r="N718" s="33">
        <f>11.6211 * CHOOSE(CONTROL!$C$32, $C$9, 100%, $E$9)</f>
        <v>11.6211</v>
      </c>
      <c r="O718" s="33">
        <f>11.6264 * CHOOSE(CONTROL!$C$32, $C$9, 100%, $E$9)</f>
        <v>11.6264</v>
      </c>
    </row>
    <row r="719" spans="1:15" ht="15" x14ac:dyDescent="0.2">
      <c r="A719" s="16">
        <v>62732</v>
      </c>
      <c r="B719" s="32">
        <f>10.4729 * CHOOSE(CONTROL!$C$32, $C$9, 100%, $E$9)</f>
        <v>10.472899999999999</v>
      </c>
      <c r="C719" s="32">
        <f>10.4729 * CHOOSE(CONTROL!$C$32, $C$9, 100%, $E$9)</f>
        <v>10.472899999999999</v>
      </c>
      <c r="D719" s="32">
        <f>10.474 * CHOOSE(CONTROL!$C$32, $C$9, 100%, $E$9)</f>
        <v>10.474</v>
      </c>
      <c r="E719" s="33">
        <f>11.733 * CHOOSE(CONTROL!$C$32, $C$9, 100%, $E$9)</f>
        <v>11.733000000000001</v>
      </c>
      <c r="F719" s="33">
        <f>11.733 * CHOOSE(CONTROL!$C$32, $C$9, 100%, $E$9)</f>
        <v>11.733000000000001</v>
      </c>
      <c r="G719" s="33">
        <f>11.7366 * CHOOSE(CONTROL!$C$32, $C$9, 100%, $E$9)</f>
        <v>11.736599999999999</v>
      </c>
      <c r="H719" s="33">
        <f>23.8973 * CHOOSE(CONTROL!$C$32, $C$9, 100%, $E$9)</f>
        <v>23.897300000000001</v>
      </c>
      <c r="I719" s="33">
        <f>23.9009 * CHOOSE(CONTROL!$C$32, $C$9, 100%, $E$9)</f>
        <v>23.9009</v>
      </c>
      <c r="J719" s="33">
        <f>23.8973 * CHOOSE(CONTROL!$C$32, $C$9, 100%, $E$9)</f>
        <v>23.897300000000001</v>
      </c>
      <c r="K719" s="33">
        <f>23.9009 * CHOOSE(CONTROL!$C$32, $C$9, 100%, $E$9)</f>
        <v>23.9009</v>
      </c>
      <c r="L719" s="33">
        <f>11.733 * CHOOSE(CONTROL!$C$32, $C$9, 100%, $E$9)</f>
        <v>11.733000000000001</v>
      </c>
      <c r="M719" s="33">
        <f>11.7366 * CHOOSE(CONTROL!$C$32, $C$9, 100%, $E$9)</f>
        <v>11.736599999999999</v>
      </c>
      <c r="N719" s="33">
        <f>11.733 * CHOOSE(CONTROL!$C$32, $C$9, 100%, $E$9)</f>
        <v>11.733000000000001</v>
      </c>
      <c r="O719" s="33">
        <f>11.7366 * CHOOSE(CONTROL!$C$32, $C$9, 100%, $E$9)</f>
        <v>11.736599999999999</v>
      </c>
    </row>
    <row r="720" spans="1:15" ht="15" x14ac:dyDescent="0.2">
      <c r="A720" s="16">
        <v>62763</v>
      </c>
      <c r="B720" s="32">
        <f>10.476 * CHOOSE(CONTROL!$C$32, $C$9, 100%, $E$9)</f>
        <v>10.476000000000001</v>
      </c>
      <c r="C720" s="32">
        <f>10.476 * CHOOSE(CONTROL!$C$32, $C$9, 100%, $E$9)</f>
        <v>10.476000000000001</v>
      </c>
      <c r="D720" s="32">
        <f>10.477 * CHOOSE(CONTROL!$C$32, $C$9, 100%, $E$9)</f>
        <v>10.477</v>
      </c>
      <c r="E720" s="33">
        <f>11.7978 * CHOOSE(CONTROL!$C$32, $C$9, 100%, $E$9)</f>
        <v>11.797800000000001</v>
      </c>
      <c r="F720" s="33">
        <f>11.7978 * CHOOSE(CONTROL!$C$32, $C$9, 100%, $E$9)</f>
        <v>11.797800000000001</v>
      </c>
      <c r="G720" s="33">
        <f>11.8014 * CHOOSE(CONTROL!$C$32, $C$9, 100%, $E$9)</f>
        <v>11.801399999999999</v>
      </c>
      <c r="H720" s="33">
        <f>23.9471 * CHOOSE(CONTROL!$C$32, $C$9, 100%, $E$9)</f>
        <v>23.947099999999999</v>
      </c>
      <c r="I720" s="33">
        <f>23.9507 * CHOOSE(CONTROL!$C$32, $C$9, 100%, $E$9)</f>
        <v>23.950700000000001</v>
      </c>
      <c r="J720" s="33">
        <f>23.9471 * CHOOSE(CONTROL!$C$32, $C$9, 100%, $E$9)</f>
        <v>23.947099999999999</v>
      </c>
      <c r="K720" s="33">
        <f>23.9507 * CHOOSE(CONTROL!$C$32, $C$9, 100%, $E$9)</f>
        <v>23.950700000000001</v>
      </c>
      <c r="L720" s="33">
        <f>11.7978 * CHOOSE(CONTROL!$C$32, $C$9, 100%, $E$9)</f>
        <v>11.797800000000001</v>
      </c>
      <c r="M720" s="33">
        <f>11.8014 * CHOOSE(CONTROL!$C$32, $C$9, 100%, $E$9)</f>
        <v>11.801399999999999</v>
      </c>
      <c r="N720" s="33">
        <f>11.7978 * CHOOSE(CONTROL!$C$32, $C$9, 100%, $E$9)</f>
        <v>11.797800000000001</v>
      </c>
      <c r="O720" s="33">
        <f>11.8014 * CHOOSE(CONTROL!$C$32, $C$9, 100%, $E$9)</f>
        <v>11.801399999999999</v>
      </c>
    </row>
    <row r="721" spans="1:15" ht="15" x14ac:dyDescent="0.2">
      <c r="A721" s="16">
        <v>62793</v>
      </c>
      <c r="B721" s="32">
        <f>10.476 * CHOOSE(CONTROL!$C$32, $C$9, 100%, $E$9)</f>
        <v>10.476000000000001</v>
      </c>
      <c r="C721" s="32">
        <f>10.476 * CHOOSE(CONTROL!$C$32, $C$9, 100%, $E$9)</f>
        <v>10.476000000000001</v>
      </c>
      <c r="D721" s="32">
        <f>10.477 * CHOOSE(CONTROL!$C$32, $C$9, 100%, $E$9)</f>
        <v>10.477</v>
      </c>
      <c r="E721" s="33">
        <f>11.6412 * CHOOSE(CONTROL!$C$32, $C$9, 100%, $E$9)</f>
        <v>11.6412</v>
      </c>
      <c r="F721" s="33">
        <f>11.6412 * CHOOSE(CONTROL!$C$32, $C$9, 100%, $E$9)</f>
        <v>11.6412</v>
      </c>
      <c r="G721" s="33">
        <f>11.6448 * CHOOSE(CONTROL!$C$32, $C$9, 100%, $E$9)</f>
        <v>11.6448</v>
      </c>
      <c r="H721" s="33">
        <f>23.997 * CHOOSE(CONTROL!$C$32, $C$9, 100%, $E$9)</f>
        <v>23.997</v>
      </c>
      <c r="I721" s="33">
        <f>24.0006 * CHOOSE(CONTROL!$C$32, $C$9, 100%, $E$9)</f>
        <v>24.000599999999999</v>
      </c>
      <c r="J721" s="33">
        <f>23.997 * CHOOSE(CONTROL!$C$32, $C$9, 100%, $E$9)</f>
        <v>23.997</v>
      </c>
      <c r="K721" s="33">
        <f>24.0006 * CHOOSE(CONTROL!$C$32, $C$9, 100%, $E$9)</f>
        <v>24.000599999999999</v>
      </c>
      <c r="L721" s="33">
        <f>11.6412 * CHOOSE(CONTROL!$C$32, $C$9, 100%, $E$9)</f>
        <v>11.6412</v>
      </c>
      <c r="M721" s="33">
        <f>11.6448 * CHOOSE(CONTROL!$C$32, $C$9, 100%, $E$9)</f>
        <v>11.6448</v>
      </c>
      <c r="N721" s="33">
        <f>11.6412 * CHOOSE(CONTROL!$C$32, $C$9, 100%, $E$9)</f>
        <v>11.6412</v>
      </c>
      <c r="O721" s="33">
        <f>11.6448 * CHOOSE(CONTROL!$C$32, $C$9, 100%, $E$9)</f>
        <v>11.6448</v>
      </c>
    </row>
    <row r="722" spans="1:15" ht="15" x14ac:dyDescent="0.2">
      <c r="A722" s="16">
        <v>62824</v>
      </c>
      <c r="B722" s="32">
        <f>10.5058 * CHOOSE(CONTROL!$C$32, $C$9, 100%, $E$9)</f>
        <v>10.505800000000001</v>
      </c>
      <c r="C722" s="32">
        <f>10.5058 * CHOOSE(CONTROL!$C$32, $C$9, 100%, $E$9)</f>
        <v>10.505800000000001</v>
      </c>
      <c r="D722" s="32">
        <f>10.5069 * CHOOSE(CONTROL!$C$32, $C$9, 100%, $E$9)</f>
        <v>10.5069</v>
      </c>
      <c r="E722" s="33">
        <f>11.7955 * CHOOSE(CONTROL!$C$32, $C$9, 100%, $E$9)</f>
        <v>11.795500000000001</v>
      </c>
      <c r="F722" s="33">
        <f>11.7955 * CHOOSE(CONTROL!$C$32, $C$9, 100%, $E$9)</f>
        <v>11.795500000000001</v>
      </c>
      <c r="G722" s="33">
        <f>11.7991 * CHOOSE(CONTROL!$C$32, $C$9, 100%, $E$9)</f>
        <v>11.799099999999999</v>
      </c>
      <c r="H722" s="33">
        <f>23.9179 * CHOOSE(CONTROL!$C$32, $C$9, 100%, $E$9)</f>
        <v>23.917899999999999</v>
      </c>
      <c r="I722" s="33">
        <f>23.9215 * CHOOSE(CONTROL!$C$32, $C$9, 100%, $E$9)</f>
        <v>23.921500000000002</v>
      </c>
      <c r="J722" s="33">
        <f>23.9179 * CHOOSE(CONTROL!$C$32, $C$9, 100%, $E$9)</f>
        <v>23.917899999999999</v>
      </c>
      <c r="K722" s="33">
        <f>23.9215 * CHOOSE(CONTROL!$C$32, $C$9, 100%, $E$9)</f>
        <v>23.921500000000002</v>
      </c>
      <c r="L722" s="33">
        <f>11.7955 * CHOOSE(CONTROL!$C$32, $C$9, 100%, $E$9)</f>
        <v>11.795500000000001</v>
      </c>
      <c r="M722" s="33">
        <f>11.7991 * CHOOSE(CONTROL!$C$32, $C$9, 100%, $E$9)</f>
        <v>11.799099999999999</v>
      </c>
      <c r="N722" s="33">
        <f>11.7955 * CHOOSE(CONTROL!$C$32, $C$9, 100%, $E$9)</f>
        <v>11.795500000000001</v>
      </c>
      <c r="O722" s="33">
        <f>11.7991 * CHOOSE(CONTROL!$C$32, $C$9, 100%, $E$9)</f>
        <v>11.799099999999999</v>
      </c>
    </row>
    <row r="723" spans="1:15" ht="15" x14ac:dyDescent="0.2">
      <c r="A723" s="16">
        <v>62855</v>
      </c>
      <c r="B723" s="32">
        <f>10.5027 * CHOOSE(CONTROL!$C$32, $C$9, 100%, $E$9)</f>
        <v>10.502700000000001</v>
      </c>
      <c r="C723" s="32">
        <f>10.5027 * CHOOSE(CONTROL!$C$32, $C$9, 100%, $E$9)</f>
        <v>10.502700000000001</v>
      </c>
      <c r="D723" s="32">
        <f>10.5038 * CHOOSE(CONTROL!$C$32, $C$9, 100%, $E$9)</f>
        <v>10.5038</v>
      </c>
      <c r="E723" s="33">
        <f>11.4903 * CHOOSE(CONTROL!$C$32, $C$9, 100%, $E$9)</f>
        <v>11.4903</v>
      </c>
      <c r="F723" s="33">
        <f>11.4903 * CHOOSE(CONTROL!$C$32, $C$9, 100%, $E$9)</f>
        <v>11.4903</v>
      </c>
      <c r="G723" s="33">
        <f>11.4939 * CHOOSE(CONTROL!$C$32, $C$9, 100%, $E$9)</f>
        <v>11.4939</v>
      </c>
      <c r="H723" s="33">
        <f>23.9677 * CHOOSE(CONTROL!$C$32, $C$9, 100%, $E$9)</f>
        <v>23.967700000000001</v>
      </c>
      <c r="I723" s="33">
        <f>23.9714 * CHOOSE(CONTROL!$C$32, $C$9, 100%, $E$9)</f>
        <v>23.971399999999999</v>
      </c>
      <c r="J723" s="33">
        <f>23.9677 * CHOOSE(CONTROL!$C$32, $C$9, 100%, $E$9)</f>
        <v>23.967700000000001</v>
      </c>
      <c r="K723" s="33">
        <f>23.9714 * CHOOSE(CONTROL!$C$32, $C$9, 100%, $E$9)</f>
        <v>23.971399999999999</v>
      </c>
      <c r="L723" s="33">
        <f>11.4903 * CHOOSE(CONTROL!$C$32, $C$9, 100%, $E$9)</f>
        <v>11.4903</v>
      </c>
      <c r="M723" s="33">
        <f>11.4939 * CHOOSE(CONTROL!$C$32, $C$9, 100%, $E$9)</f>
        <v>11.4939</v>
      </c>
      <c r="N723" s="33">
        <f>11.4903 * CHOOSE(CONTROL!$C$32, $C$9, 100%, $E$9)</f>
        <v>11.4903</v>
      </c>
      <c r="O723" s="33">
        <f>11.4939 * CHOOSE(CONTROL!$C$32, $C$9, 100%, $E$9)</f>
        <v>11.4939</v>
      </c>
    </row>
    <row r="724" spans="1:15" ht="15" x14ac:dyDescent="0.2">
      <c r="A724" s="16">
        <v>62884</v>
      </c>
      <c r="B724" s="32">
        <f>10.4997 * CHOOSE(CONTROL!$C$32, $C$9, 100%, $E$9)</f>
        <v>10.499700000000001</v>
      </c>
      <c r="C724" s="32">
        <f>10.4997 * CHOOSE(CONTROL!$C$32, $C$9, 100%, $E$9)</f>
        <v>10.499700000000001</v>
      </c>
      <c r="D724" s="32">
        <f>10.5008 * CHOOSE(CONTROL!$C$32, $C$9, 100%, $E$9)</f>
        <v>10.5008</v>
      </c>
      <c r="E724" s="33">
        <f>11.7271 * CHOOSE(CONTROL!$C$32, $C$9, 100%, $E$9)</f>
        <v>11.7271</v>
      </c>
      <c r="F724" s="33">
        <f>11.7271 * CHOOSE(CONTROL!$C$32, $C$9, 100%, $E$9)</f>
        <v>11.7271</v>
      </c>
      <c r="G724" s="33">
        <f>11.7308 * CHOOSE(CONTROL!$C$32, $C$9, 100%, $E$9)</f>
        <v>11.7308</v>
      </c>
      <c r="H724" s="33">
        <f>24.0177 * CHOOSE(CONTROL!$C$32, $C$9, 100%, $E$9)</f>
        <v>24.017700000000001</v>
      </c>
      <c r="I724" s="33">
        <f>24.0213 * CHOOSE(CONTROL!$C$32, $C$9, 100%, $E$9)</f>
        <v>24.0213</v>
      </c>
      <c r="J724" s="33">
        <f>24.0177 * CHOOSE(CONTROL!$C$32, $C$9, 100%, $E$9)</f>
        <v>24.017700000000001</v>
      </c>
      <c r="K724" s="33">
        <f>24.0213 * CHOOSE(CONTROL!$C$32, $C$9, 100%, $E$9)</f>
        <v>24.0213</v>
      </c>
      <c r="L724" s="33">
        <f>11.7271 * CHOOSE(CONTROL!$C$32, $C$9, 100%, $E$9)</f>
        <v>11.7271</v>
      </c>
      <c r="M724" s="33">
        <f>11.7308 * CHOOSE(CONTROL!$C$32, $C$9, 100%, $E$9)</f>
        <v>11.7308</v>
      </c>
      <c r="N724" s="33">
        <f>11.7271 * CHOOSE(CONTROL!$C$32, $C$9, 100%, $E$9)</f>
        <v>11.7271</v>
      </c>
      <c r="O724" s="33">
        <f>11.7308 * CHOOSE(CONTROL!$C$32, $C$9, 100%, $E$9)</f>
        <v>11.7308</v>
      </c>
    </row>
    <row r="725" spans="1:15" ht="15" x14ac:dyDescent="0.2">
      <c r="A725" s="16">
        <v>62915</v>
      </c>
      <c r="B725" s="32">
        <f>10.5037 * CHOOSE(CONTROL!$C$32, $C$9, 100%, $E$9)</f>
        <v>10.5037</v>
      </c>
      <c r="C725" s="32">
        <f>10.5037 * CHOOSE(CONTROL!$C$32, $C$9, 100%, $E$9)</f>
        <v>10.5037</v>
      </c>
      <c r="D725" s="32">
        <f>10.5047 * CHOOSE(CONTROL!$C$32, $C$9, 100%, $E$9)</f>
        <v>10.5047</v>
      </c>
      <c r="E725" s="33">
        <f>11.9795 * CHOOSE(CONTROL!$C$32, $C$9, 100%, $E$9)</f>
        <v>11.9795</v>
      </c>
      <c r="F725" s="33">
        <f>11.9795 * CHOOSE(CONTROL!$C$32, $C$9, 100%, $E$9)</f>
        <v>11.9795</v>
      </c>
      <c r="G725" s="33">
        <f>11.9831 * CHOOSE(CONTROL!$C$32, $C$9, 100%, $E$9)</f>
        <v>11.9831</v>
      </c>
      <c r="H725" s="33">
        <f>24.0677 * CHOOSE(CONTROL!$C$32, $C$9, 100%, $E$9)</f>
        <v>24.067699999999999</v>
      </c>
      <c r="I725" s="33">
        <f>24.0713 * CHOOSE(CONTROL!$C$32, $C$9, 100%, $E$9)</f>
        <v>24.071300000000001</v>
      </c>
      <c r="J725" s="33">
        <f>24.0677 * CHOOSE(CONTROL!$C$32, $C$9, 100%, $E$9)</f>
        <v>24.067699999999999</v>
      </c>
      <c r="K725" s="33">
        <f>24.0713 * CHOOSE(CONTROL!$C$32, $C$9, 100%, $E$9)</f>
        <v>24.071300000000001</v>
      </c>
      <c r="L725" s="33">
        <f>11.9795 * CHOOSE(CONTROL!$C$32, $C$9, 100%, $E$9)</f>
        <v>11.9795</v>
      </c>
      <c r="M725" s="33">
        <f>11.9831 * CHOOSE(CONTROL!$C$32, $C$9, 100%, $E$9)</f>
        <v>11.9831</v>
      </c>
      <c r="N725" s="33">
        <f>11.9795 * CHOOSE(CONTROL!$C$32, $C$9, 100%, $E$9)</f>
        <v>11.9795</v>
      </c>
      <c r="O725" s="33">
        <f>11.9831 * CHOOSE(CONTROL!$C$32, $C$9, 100%, $E$9)</f>
        <v>11.9831</v>
      </c>
    </row>
    <row r="726" spans="1:15" ht="15" x14ac:dyDescent="0.2">
      <c r="A726" s="16">
        <v>62945</v>
      </c>
      <c r="B726" s="32">
        <f>10.5037 * CHOOSE(CONTROL!$C$32, $C$9, 100%, $E$9)</f>
        <v>10.5037</v>
      </c>
      <c r="C726" s="32">
        <f>10.5037 * CHOOSE(CONTROL!$C$32, $C$9, 100%, $E$9)</f>
        <v>10.5037</v>
      </c>
      <c r="D726" s="32">
        <f>10.5052 * CHOOSE(CONTROL!$C$32, $C$9, 100%, $E$9)</f>
        <v>10.5052</v>
      </c>
      <c r="E726" s="33">
        <f>12.0757 * CHOOSE(CONTROL!$C$32, $C$9, 100%, $E$9)</f>
        <v>12.075699999999999</v>
      </c>
      <c r="F726" s="33">
        <f>12.0757 * CHOOSE(CONTROL!$C$32, $C$9, 100%, $E$9)</f>
        <v>12.075699999999999</v>
      </c>
      <c r="G726" s="33">
        <f>12.081 * CHOOSE(CONTROL!$C$32, $C$9, 100%, $E$9)</f>
        <v>12.081</v>
      </c>
      <c r="H726" s="33">
        <f>24.1179 * CHOOSE(CONTROL!$C$32, $C$9, 100%, $E$9)</f>
        <v>24.117899999999999</v>
      </c>
      <c r="I726" s="33">
        <f>24.1232 * CHOOSE(CONTROL!$C$32, $C$9, 100%, $E$9)</f>
        <v>24.123200000000001</v>
      </c>
      <c r="J726" s="33">
        <f>24.1179 * CHOOSE(CONTROL!$C$32, $C$9, 100%, $E$9)</f>
        <v>24.117899999999999</v>
      </c>
      <c r="K726" s="33">
        <f>24.1232 * CHOOSE(CONTROL!$C$32, $C$9, 100%, $E$9)</f>
        <v>24.123200000000001</v>
      </c>
      <c r="L726" s="33">
        <f>12.0757 * CHOOSE(CONTROL!$C$32, $C$9, 100%, $E$9)</f>
        <v>12.075699999999999</v>
      </c>
      <c r="M726" s="33">
        <f>12.081 * CHOOSE(CONTROL!$C$32, $C$9, 100%, $E$9)</f>
        <v>12.081</v>
      </c>
      <c r="N726" s="33">
        <f>12.0757 * CHOOSE(CONTROL!$C$32, $C$9, 100%, $E$9)</f>
        <v>12.075699999999999</v>
      </c>
      <c r="O726" s="33">
        <f>12.081 * CHOOSE(CONTROL!$C$32, $C$9, 100%, $E$9)</f>
        <v>12.081</v>
      </c>
    </row>
    <row r="727" spans="1:15" ht="15" x14ac:dyDescent="0.2">
      <c r="A727" s="16">
        <v>62976</v>
      </c>
      <c r="B727" s="32">
        <f>10.5097 * CHOOSE(CONTROL!$C$32, $C$9, 100%, $E$9)</f>
        <v>10.5097</v>
      </c>
      <c r="C727" s="32">
        <f>10.5097 * CHOOSE(CONTROL!$C$32, $C$9, 100%, $E$9)</f>
        <v>10.5097</v>
      </c>
      <c r="D727" s="32">
        <f>10.5113 * CHOOSE(CONTROL!$C$32, $C$9, 100%, $E$9)</f>
        <v>10.5113</v>
      </c>
      <c r="E727" s="33">
        <f>11.9837 * CHOOSE(CONTROL!$C$32, $C$9, 100%, $E$9)</f>
        <v>11.983700000000001</v>
      </c>
      <c r="F727" s="33">
        <f>11.9837 * CHOOSE(CONTROL!$C$32, $C$9, 100%, $E$9)</f>
        <v>11.983700000000001</v>
      </c>
      <c r="G727" s="33">
        <f>11.989 * CHOOSE(CONTROL!$C$32, $C$9, 100%, $E$9)</f>
        <v>11.989000000000001</v>
      </c>
      <c r="H727" s="33">
        <f>24.1681 * CHOOSE(CONTROL!$C$32, $C$9, 100%, $E$9)</f>
        <v>24.168099999999999</v>
      </c>
      <c r="I727" s="33">
        <f>24.1734 * CHOOSE(CONTROL!$C$32, $C$9, 100%, $E$9)</f>
        <v>24.173400000000001</v>
      </c>
      <c r="J727" s="33">
        <f>24.1681 * CHOOSE(CONTROL!$C$32, $C$9, 100%, $E$9)</f>
        <v>24.168099999999999</v>
      </c>
      <c r="K727" s="33">
        <f>24.1734 * CHOOSE(CONTROL!$C$32, $C$9, 100%, $E$9)</f>
        <v>24.173400000000001</v>
      </c>
      <c r="L727" s="33">
        <f>11.9837 * CHOOSE(CONTROL!$C$32, $C$9, 100%, $E$9)</f>
        <v>11.983700000000001</v>
      </c>
      <c r="M727" s="33">
        <f>11.989 * CHOOSE(CONTROL!$C$32, $C$9, 100%, $E$9)</f>
        <v>11.989000000000001</v>
      </c>
      <c r="N727" s="33">
        <f>11.9837 * CHOOSE(CONTROL!$C$32, $C$9, 100%, $E$9)</f>
        <v>11.983700000000001</v>
      </c>
      <c r="O727" s="33">
        <f>11.989 * CHOOSE(CONTROL!$C$32, $C$9, 100%, $E$9)</f>
        <v>11.989000000000001</v>
      </c>
    </row>
    <row r="728" spans="1:15" ht="15" x14ac:dyDescent="0.2">
      <c r="A728" s="16">
        <v>63006</v>
      </c>
      <c r="B728" s="32">
        <f>10.6397 * CHOOSE(CONTROL!$C$32, $C$9, 100%, $E$9)</f>
        <v>10.639699999999999</v>
      </c>
      <c r="C728" s="32">
        <f>10.6397 * CHOOSE(CONTROL!$C$32, $C$9, 100%, $E$9)</f>
        <v>10.639699999999999</v>
      </c>
      <c r="D728" s="32">
        <f>10.6413 * CHOOSE(CONTROL!$C$32, $C$9, 100%, $E$9)</f>
        <v>10.641299999999999</v>
      </c>
      <c r="E728" s="33">
        <f>12.152 * CHOOSE(CONTROL!$C$32, $C$9, 100%, $E$9)</f>
        <v>12.151999999999999</v>
      </c>
      <c r="F728" s="33">
        <f>12.152 * CHOOSE(CONTROL!$C$32, $C$9, 100%, $E$9)</f>
        <v>12.151999999999999</v>
      </c>
      <c r="G728" s="33">
        <f>12.1573 * CHOOSE(CONTROL!$C$32, $C$9, 100%, $E$9)</f>
        <v>12.157299999999999</v>
      </c>
      <c r="H728" s="33">
        <f>24.2185 * CHOOSE(CONTROL!$C$32, $C$9, 100%, $E$9)</f>
        <v>24.218499999999999</v>
      </c>
      <c r="I728" s="33">
        <f>24.2237 * CHOOSE(CONTROL!$C$32, $C$9, 100%, $E$9)</f>
        <v>24.223700000000001</v>
      </c>
      <c r="J728" s="33">
        <f>24.2185 * CHOOSE(CONTROL!$C$32, $C$9, 100%, $E$9)</f>
        <v>24.218499999999999</v>
      </c>
      <c r="K728" s="33">
        <f>24.2237 * CHOOSE(CONTROL!$C$32, $C$9, 100%, $E$9)</f>
        <v>24.223700000000001</v>
      </c>
      <c r="L728" s="33">
        <f>12.152 * CHOOSE(CONTROL!$C$32, $C$9, 100%, $E$9)</f>
        <v>12.151999999999999</v>
      </c>
      <c r="M728" s="33">
        <f>12.1573 * CHOOSE(CONTROL!$C$32, $C$9, 100%, $E$9)</f>
        <v>12.157299999999999</v>
      </c>
      <c r="N728" s="33">
        <f>12.152 * CHOOSE(CONTROL!$C$32, $C$9, 100%, $E$9)</f>
        <v>12.151999999999999</v>
      </c>
      <c r="O728" s="33">
        <f>12.1573 * CHOOSE(CONTROL!$C$32, $C$9, 100%, $E$9)</f>
        <v>12.157299999999999</v>
      </c>
    </row>
    <row r="729" spans="1:15" ht="15" x14ac:dyDescent="0.2">
      <c r="A729" s="16">
        <v>63037</v>
      </c>
      <c r="B729" s="32">
        <f>10.6464 * CHOOSE(CONTROL!$C$32, $C$9, 100%, $E$9)</f>
        <v>10.6464</v>
      </c>
      <c r="C729" s="32">
        <f>10.6464 * CHOOSE(CONTROL!$C$32, $C$9, 100%, $E$9)</f>
        <v>10.6464</v>
      </c>
      <c r="D729" s="32">
        <f>10.648 * CHOOSE(CONTROL!$C$32, $C$9, 100%, $E$9)</f>
        <v>10.648</v>
      </c>
      <c r="E729" s="33">
        <f>11.868 * CHOOSE(CONTROL!$C$32, $C$9, 100%, $E$9)</f>
        <v>11.868</v>
      </c>
      <c r="F729" s="33">
        <f>11.868 * CHOOSE(CONTROL!$C$32, $C$9, 100%, $E$9)</f>
        <v>11.868</v>
      </c>
      <c r="G729" s="33">
        <f>11.8733 * CHOOSE(CONTROL!$C$32, $C$9, 100%, $E$9)</f>
        <v>11.8733</v>
      </c>
      <c r="H729" s="33">
        <f>24.2689 * CHOOSE(CONTROL!$C$32, $C$9, 100%, $E$9)</f>
        <v>24.268899999999999</v>
      </c>
      <c r="I729" s="33">
        <f>24.2742 * CHOOSE(CONTROL!$C$32, $C$9, 100%, $E$9)</f>
        <v>24.2742</v>
      </c>
      <c r="J729" s="33">
        <f>24.2689 * CHOOSE(CONTROL!$C$32, $C$9, 100%, $E$9)</f>
        <v>24.268899999999999</v>
      </c>
      <c r="K729" s="33">
        <f>24.2742 * CHOOSE(CONTROL!$C$32, $C$9, 100%, $E$9)</f>
        <v>24.2742</v>
      </c>
      <c r="L729" s="33">
        <f>11.868 * CHOOSE(CONTROL!$C$32, $C$9, 100%, $E$9)</f>
        <v>11.868</v>
      </c>
      <c r="M729" s="33">
        <f>11.8733 * CHOOSE(CONTROL!$C$32, $C$9, 100%, $E$9)</f>
        <v>11.8733</v>
      </c>
      <c r="N729" s="33">
        <f>11.868 * CHOOSE(CONTROL!$C$32, $C$9, 100%, $E$9)</f>
        <v>11.868</v>
      </c>
      <c r="O729" s="33">
        <f>11.8733 * CHOOSE(CONTROL!$C$32, $C$9, 100%, $E$9)</f>
        <v>11.8733</v>
      </c>
    </row>
    <row r="730" spans="1:15" ht="15" x14ac:dyDescent="0.2">
      <c r="A730" s="16">
        <v>63068</v>
      </c>
      <c r="B730" s="32">
        <f>10.6434 * CHOOSE(CONTROL!$C$32, $C$9, 100%, $E$9)</f>
        <v>10.6434</v>
      </c>
      <c r="C730" s="32">
        <f>10.6434 * CHOOSE(CONTROL!$C$32, $C$9, 100%, $E$9)</f>
        <v>10.6434</v>
      </c>
      <c r="D730" s="32">
        <f>10.6449 * CHOOSE(CONTROL!$C$32, $C$9, 100%, $E$9)</f>
        <v>10.6449</v>
      </c>
      <c r="E730" s="33">
        <f>11.8338 * CHOOSE(CONTROL!$C$32, $C$9, 100%, $E$9)</f>
        <v>11.8338</v>
      </c>
      <c r="F730" s="33">
        <f>11.8338 * CHOOSE(CONTROL!$C$32, $C$9, 100%, $E$9)</f>
        <v>11.8338</v>
      </c>
      <c r="G730" s="33">
        <f>11.8391 * CHOOSE(CONTROL!$C$32, $C$9, 100%, $E$9)</f>
        <v>11.8391</v>
      </c>
      <c r="H730" s="33">
        <f>24.3195 * CHOOSE(CONTROL!$C$32, $C$9, 100%, $E$9)</f>
        <v>24.319500000000001</v>
      </c>
      <c r="I730" s="33">
        <f>24.3248 * CHOOSE(CONTROL!$C$32, $C$9, 100%, $E$9)</f>
        <v>24.3248</v>
      </c>
      <c r="J730" s="33">
        <f>24.3195 * CHOOSE(CONTROL!$C$32, $C$9, 100%, $E$9)</f>
        <v>24.319500000000001</v>
      </c>
      <c r="K730" s="33">
        <f>24.3248 * CHOOSE(CONTROL!$C$32, $C$9, 100%, $E$9)</f>
        <v>24.3248</v>
      </c>
      <c r="L730" s="33">
        <f>11.8338 * CHOOSE(CONTROL!$C$32, $C$9, 100%, $E$9)</f>
        <v>11.8338</v>
      </c>
      <c r="M730" s="33">
        <f>11.8391 * CHOOSE(CONTROL!$C$32, $C$9, 100%, $E$9)</f>
        <v>11.8391</v>
      </c>
      <c r="N730" s="33">
        <f>11.8338 * CHOOSE(CONTROL!$C$32, $C$9, 100%, $E$9)</f>
        <v>11.8338</v>
      </c>
      <c r="O730" s="33">
        <f>11.8391 * CHOOSE(CONTROL!$C$32, $C$9, 100%, $E$9)</f>
        <v>11.8391</v>
      </c>
    </row>
    <row r="731" spans="1:15" ht="15" x14ac:dyDescent="0.2">
      <c r="A731" s="16">
        <v>63098</v>
      </c>
      <c r="B731" s="32">
        <f>10.6632 * CHOOSE(CONTROL!$C$32, $C$9, 100%, $E$9)</f>
        <v>10.6632</v>
      </c>
      <c r="C731" s="32">
        <f>10.6632 * CHOOSE(CONTROL!$C$32, $C$9, 100%, $E$9)</f>
        <v>10.6632</v>
      </c>
      <c r="D731" s="32">
        <f>10.6643 * CHOOSE(CONTROL!$C$32, $C$9, 100%, $E$9)</f>
        <v>10.664300000000001</v>
      </c>
      <c r="E731" s="33">
        <f>11.9487 * CHOOSE(CONTROL!$C$32, $C$9, 100%, $E$9)</f>
        <v>11.948700000000001</v>
      </c>
      <c r="F731" s="33">
        <f>11.9487 * CHOOSE(CONTROL!$C$32, $C$9, 100%, $E$9)</f>
        <v>11.948700000000001</v>
      </c>
      <c r="G731" s="33">
        <f>11.9523 * CHOOSE(CONTROL!$C$32, $C$9, 100%, $E$9)</f>
        <v>11.952299999999999</v>
      </c>
      <c r="H731" s="33">
        <f>24.3701 * CHOOSE(CONTROL!$C$32, $C$9, 100%, $E$9)</f>
        <v>24.370100000000001</v>
      </c>
      <c r="I731" s="33">
        <f>24.3738 * CHOOSE(CONTROL!$C$32, $C$9, 100%, $E$9)</f>
        <v>24.373799999999999</v>
      </c>
      <c r="J731" s="33">
        <f>24.3701 * CHOOSE(CONTROL!$C$32, $C$9, 100%, $E$9)</f>
        <v>24.370100000000001</v>
      </c>
      <c r="K731" s="33">
        <f>24.3738 * CHOOSE(CONTROL!$C$32, $C$9, 100%, $E$9)</f>
        <v>24.373799999999999</v>
      </c>
      <c r="L731" s="33">
        <f>11.9487 * CHOOSE(CONTROL!$C$32, $C$9, 100%, $E$9)</f>
        <v>11.948700000000001</v>
      </c>
      <c r="M731" s="33">
        <f>11.9523 * CHOOSE(CONTROL!$C$32, $C$9, 100%, $E$9)</f>
        <v>11.952299999999999</v>
      </c>
      <c r="N731" s="33">
        <f>11.9487 * CHOOSE(CONTROL!$C$32, $C$9, 100%, $E$9)</f>
        <v>11.948700000000001</v>
      </c>
      <c r="O731" s="33">
        <f>11.9523 * CHOOSE(CONTROL!$C$32, $C$9, 100%, $E$9)</f>
        <v>11.952299999999999</v>
      </c>
    </row>
    <row r="732" spans="1:15" ht="15" x14ac:dyDescent="0.2">
      <c r="A732" s="16">
        <v>63129</v>
      </c>
      <c r="B732" s="32">
        <f>10.6663 * CHOOSE(CONTROL!$C$32, $C$9, 100%, $E$9)</f>
        <v>10.6663</v>
      </c>
      <c r="C732" s="32">
        <f>10.6663 * CHOOSE(CONTROL!$C$32, $C$9, 100%, $E$9)</f>
        <v>10.6663</v>
      </c>
      <c r="D732" s="32">
        <f>10.6673 * CHOOSE(CONTROL!$C$32, $C$9, 100%, $E$9)</f>
        <v>10.667299999999999</v>
      </c>
      <c r="E732" s="33">
        <f>12.015 * CHOOSE(CONTROL!$C$32, $C$9, 100%, $E$9)</f>
        <v>12.015000000000001</v>
      </c>
      <c r="F732" s="33">
        <f>12.015 * CHOOSE(CONTROL!$C$32, $C$9, 100%, $E$9)</f>
        <v>12.015000000000001</v>
      </c>
      <c r="G732" s="33">
        <f>12.0186 * CHOOSE(CONTROL!$C$32, $C$9, 100%, $E$9)</f>
        <v>12.018599999999999</v>
      </c>
      <c r="H732" s="33">
        <f>24.4209 * CHOOSE(CONTROL!$C$32, $C$9, 100%, $E$9)</f>
        <v>24.4209</v>
      </c>
      <c r="I732" s="33">
        <f>24.4245 * CHOOSE(CONTROL!$C$32, $C$9, 100%, $E$9)</f>
        <v>24.424499999999998</v>
      </c>
      <c r="J732" s="33">
        <f>24.4209 * CHOOSE(CONTROL!$C$32, $C$9, 100%, $E$9)</f>
        <v>24.4209</v>
      </c>
      <c r="K732" s="33">
        <f>24.4245 * CHOOSE(CONTROL!$C$32, $C$9, 100%, $E$9)</f>
        <v>24.424499999999998</v>
      </c>
      <c r="L732" s="33">
        <f>12.015 * CHOOSE(CONTROL!$C$32, $C$9, 100%, $E$9)</f>
        <v>12.015000000000001</v>
      </c>
      <c r="M732" s="33">
        <f>12.0186 * CHOOSE(CONTROL!$C$32, $C$9, 100%, $E$9)</f>
        <v>12.018599999999999</v>
      </c>
      <c r="N732" s="33">
        <f>12.015 * CHOOSE(CONTROL!$C$32, $C$9, 100%, $E$9)</f>
        <v>12.015000000000001</v>
      </c>
      <c r="O732" s="33">
        <f>12.0186 * CHOOSE(CONTROL!$C$32, $C$9, 100%, $E$9)</f>
        <v>12.018599999999999</v>
      </c>
    </row>
    <row r="733" spans="1:15" ht="15" x14ac:dyDescent="0.2">
      <c r="A733" s="16">
        <v>63159</v>
      </c>
      <c r="B733" s="32">
        <f>10.6663 * CHOOSE(CONTROL!$C$32, $C$9, 100%, $E$9)</f>
        <v>10.6663</v>
      </c>
      <c r="C733" s="32">
        <f>10.6663 * CHOOSE(CONTROL!$C$32, $C$9, 100%, $E$9)</f>
        <v>10.6663</v>
      </c>
      <c r="D733" s="32">
        <f>10.6673 * CHOOSE(CONTROL!$C$32, $C$9, 100%, $E$9)</f>
        <v>10.667299999999999</v>
      </c>
      <c r="E733" s="33">
        <f>11.8546 * CHOOSE(CONTROL!$C$32, $C$9, 100%, $E$9)</f>
        <v>11.8546</v>
      </c>
      <c r="F733" s="33">
        <f>11.8546 * CHOOSE(CONTROL!$C$32, $C$9, 100%, $E$9)</f>
        <v>11.8546</v>
      </c>
      <c r="G733" s="33">
        <f>11.8582 * CHOOSE(CONTROL!$C$32, $C$9, 100%, $E$9)</f>
        <v>11.8582</v>
      </c>
      <c r="H733" s="33">
        <f>24.4718 * CHOOSE(CONTROL!$C$32, $C$9, 100%, $E$9)</f>
        <v>24.471800000000002</v>
      </c>
      <c r="I733" s="33">
        <f>24.4754 * CHOOSE(CONTROL!$C$32, $C$9, 100%, $E$9)</f>
        <v>24.4754</v>
      </c>
      <c r="J733" s="33">
        <f>24.4718 * CHOOSE(CONTROL!$C$32, $C$9, 100%, $E$9)</f>
        <v>24.471800000000002</v>
      </c>
      <c r="K733" s="33">
        <f>24.4754 * CHOOSE(CONTROL!$C$32, $C$9, 100%, $E$9)</f>
        <v>24.4754</v>
      </c>
      <c r="L733" s="33">
        <f>11.8546 * CHOOSE(CONTROL!$C$32, $C$9, 100%, $E$9)</f>
        <v>11.8546</v>
      </c>
      <c r="M733" s="33">
        <f>11.8582 * CHOOSE(CONTROL!$C$32, $C$9, 100%, $E$9)</f>
        <v>11.8582</v>
      </c>
      <c r="N733" s="33">
        <f>11.8546 * CHOOSE(CONTROL!$C$32, $C$9, 100%, $E$9)</f>
        <v>11.8546</v>
      </c>
      <c r="O733" s="33">
        <f>11.8582 * CHOOSE(CONTROL!$C$32, $C$9, 100%, $E$9)</f>
        <v>11.8582</v>
      </c>
    </row>
    <row r="734" spans="1:15" ht="15" x14ac:dyDescent="0.2">
      <c r="A734" s="16">
        <v>63190</v>
      </c>
      <c r="B734" s="32">
        <f>10.6931 * CHOOSE(CONTROL!$C$32, $C$9, 100%, $E$9)</f>
        <v>10.693099999999999</v>
      </c>
      <c r="C734" s="32">
        <f>10.6931 * CHOOSE(CONTROL!$C$32, $C$9, 100%, $E$9)</f>
        <v>10.693099999999999</v>
      </c>
      <c r="D734" s="32">
        <f>10.6942 * CHOOSE(CONTROL!$C$32, $C$9, 100%, $E$9)</f>
        <v>10.6942</v>
      </c>
      <c r="E734" s="33">
        <f>12.008 * CHOOSE(CONTROL!$C$32, $C$9, 100%, $E$9)</f>
        <v>12.007999999999999</v>
      </c>
      <c r="F734" s="33">
        <f>12.008 * CHOOSE(CONTROL!$C$32, $C$9, 100%, $E$9)</f>
        <v>12.007999999999999</v>
      </c>
      <c r="G734" s="33">
        <f>12.0116 * CHOOSE(CONTROL!$C$32, $C$9, 100%, $E$9)</f>
        <v>12.0116</v>
      </c>
      <c r="H734" s="33">
        <f>24.382 * CHOOSE(CONTROL!$C$32, $C$9, 100%, $E$9)</f>
        <v>24.382000000000001</v>
      </c>
      <c r="I734" s="33">
        <f>24.3856 * CHOOSE(CONTROL!$C$32, $C$9, 100%, $E$9)</f>
        <v>24.3856</v>
      </c>
      <c r="J734" s="33">
        <f>24.382 * CHOOSE(CONTROL!$C$32, $C$9, 100%, $E$9)</f>
        <v>24.382000000000001</v>
      </c>
      <c r="K734" s="33">
        <f>24.3856 * CHOOSE(CONTROL!$C$32, $C$9, 100%, $E$9)</f>
        <v>24.3856</v>
      </c>
      <c r="L734" s="33">
        <f>12.008 * CHOOSE(CONTROL!$C$32, $C$9, 100%, $E$9)</f>
        <v>12.007999999999999</v>
      </c>
      <c r="M734" s="33">
        <f>12.0116 * CHOOSE(CONTROL!$C$32, $C$9, 100%, $E$9)</f>
        <v>12.0116</v>
      </c>
      <c r="N734" s="33">
        <f>12.008 * CHOOSE(CONTROL!$C$32, $C$9, 100%, $E$9)</f>
        <v>12.007999999999999</v>
      </c>
      <c r="O734" s="33">
        <f>12.0116 * CHOOSE(CONTROL!$C$32, $C$9, 100%, $E$9)</f>
        <v>12.0116</v>
      </c>
    </row>
    <row r="735" spans="1:15" ht="15" x14ac:dyDescent="0.2">
      <c r="A735" s="16">
        <v>63221</v>
      </c>
      <c r="B735" s="32">
        <f>10.6901 * CHOOSE(CONTROL!$C$32, $C$9, 100%, $E$9)</f>
        <v>10.690099999999999</v>
      </c>
      <c r="C735" s="32">
        <f>10.6901 * CHOOSE(CONTROL!$C$32, $C$9, 100%, $E$9)</f>
        <v>10.690099999999999</v>
      </c>
      <c r="D735" s="32">
        <f>10.6912 * CHOOSE(CONTROL!$C$32, $C$9, 100%, $E$9)</f>
        <v>10.6912</v>
      </c>
      <c r="E735" s="33">
        <f>11.6957 * CHOOSE(CONTROL!$C$32, $C$9, 100%, $E$9)</f>
        <v>11.6957</v>
      </c>
      <c r="F735" s="33">
        <f>11.6957 * CHOOSE(CONTROL!$C$32, $C$9, 100%, $E$9)</f>
        <v>11.6957</v>
      </c>
      <c r="G735" s="33">
        <f>11.6994 * CHOOSE(CONTROL!$C$32, $C$9, 100%, $E$9)</f>
        <v>11.699400000000001</v>
      </c>
      <c r="H735" s="33">
        <f>24.4327 * CHOOSE(CONTROL!$C$32, $C$9, 100%, $E$9)</f>
        <v>24.432700000000001</v>
      </c>
      <c r="I735" s="33">
        <f>24.4364 * CHOOSE(CONTROL!$C$32, $C$9, 100%, $E$9)</f>
        <v>24.436399999999999</v>
      </c>
      <c r="J735" s="33">
        <f>24.4327 * CHOOSE(CONTROL!$C$32, $C$9, 100%, $E$9)</f>
        <v>24.432700000000001</v>
      </c>
      <c r="K735" s="33">
        <f>24.4364 * CHOOSE(CONTROL!$C$32, $C$9, 100%, $E$9)</f>
        <v>24.436399999999999</v>
      </c>
      <c r="L735" s="33">
        <f>11.6957 * CHOOSE(CONTROL!$C$32, $C$9, 100%, $E$9)</f>
        <v>11.6957</v>
      </c>
      <c r="M735" s="33">
        <f>11.6994 * CHOOSE(CONTROL!$C$32, $C$9, 100%, $E$9)</f>
        <v>11.699400000000001</v>
      </c>
      <c r="N735" s="33">
        <f>11.6957 * CHOOSE(CONTROL!$C$32, $C$9, 100%, $E$9)</f>
        <v>11.6957</v>
      </c>
      <c r="O735" s="33">
        <f>11.6994 * CHOOSE(CONTROL!$C$32, $C$9, 100%, $E$9)</f>
        <v>11.699400000000001</v>
      </c>
    </row>
    <row r="736" spans="1:15" ht="15" x14ac:dyDescent="0.2">
      <c r="A736" s="16">
        <v>63249</v>
      </c>
      <c r="B736" s="32">
        <f>10.6871 * CHOOSE(CONTROL!$C$32, $C$9, 100%, $E$9)</f>
        <v>10.687099999999999</v>
      </c>
      <c r="C736" s="32">
        <f>10.6871 * CHOOSE(CONTROL!$C$32, $C$9, 100%, $E$9)</f>
        <v>10.687099999999999</v>
      </c>
      <c r="D736" s="32">
        <f>10.6881 * CHOOSE(CONTROL!$C$32, $C$9, 100%, $E$9)</f>
        <v>10.6881</v>
      </c>
      <c r="E736" s="33">
        <f>11.9381 * CHOOSE(CONTROL!$C$32, $C$9, 100%, $E$9)</f>
        <v>11.9381</v>
      </c>
      <c r="F736" s="33">
        <f>11.9381 * CHOOSE(CONTROL!$C$32, $C$9, 100%, $E$9)</f>
        <v>11.9381</v>
      </c>
      <c r="G736" s="33">
        <f>11.9418 * CHOOSE(CONTROL!$C$32, $C$9, 100%, $E$9)</f>
        <v>11.941800000000001</v>
      </c>
      <c r="H736" s="33">
        <f>24.4836 * CHOOSE(CONTROL!$C$32, $C$9, 100%, $E$9)</f>
        <v>24.483599999999999</v>
      </c>
      <c r="I736" s="33">
        <f>24.4873 * CHOOSE(CONTROL!$C$32, $C$9, 100%, $E$9)</f>
        <v>24.487300000000001</v>
      </c>
      <c r="J736" s="33">
        <f>24.4836 * CHOOSE(CONTROL!$C$32, $C$9, 100%, $E$9)</f>
        <v>24.483599999999999</v>
      </c>
      <c r="K736" s="33">
        <f>24.4873 * CHOOSE(CONTROL!$C$32, $C$9, 100%, $E$9)</f>
        <v>24.487300000000001</v>
      </c>
      <c r="L736" s="33">
        <f>11.9381 * CHOOSE(CONTROL!$C$32, $C$9, 100%, $E$9)</f>
        <v>11.9381</v>
      </c>
      <c r="M736" s="33">
        <f>11.9418 * CHOOSE(CONTROL!$C$32, $C$9, 100%, $E$9)</f>
        <v>11.941800000000001</v>
      </c>
      <c r="N736" s="33">
        <f>11.9381 * CHOOSE(CONTROL!$C$32, $C$9, 100%, $E$9)</f>
        <v>11.9381</v>
      </c>
      <c r="O736" s="33">
        <f>11.9418 * CHOOSE(CONTROL!$C$32, $C$9, 100%, $E$9)</f>
        <v>11.941800000000001</v>
      </c>
    </row>
    <row r="737" spans="1:15" ht="15" x14ac:dyDescent="0.2">
      <c r="A737" s="16">
        <v>63280</v>
      </c>
      <c r="B737" s="32">
        <f>10.6912 * CHOOSE(CONTROL!$C$32, $C$9, 100%, $E$9)</f>
        <v>10.6912</v>
      </c>
      <c r="C737" s="32">
        <f>10.6912 * CHOOSE(CONTROL!$C$32, $C$9, 100%, $E$9)</f>
        <v>10.6912</v>
      </c>
      <c r="D737" s="32">
        <f>10.6923 * CHOOSE(CONTROL!$C$32, $C$9, 100%, $E$9)</f>
        <v>10.692299999999999</v>
      </c>
      <c r="E737" s="33">
        <f>12.1965 * CHOOSE(CONTROL!$C$32, $C$9, 100%, $E$9)</f>
        <v>12.1965</v>
      </c>
      <c r="F737" s="33">
        <f>12.1965 * CHOOSE(CONTROL!$C$32, $C$9, 100%, $E$9)</f>
        <v>12.1965</v>
      </c>
      <c r="G737" s="33">
        <f>12.2001 * CHOOSE(CONTROL!$C$32, $C$9, 100%, $E$9)</f>
        <v>12.200100000000001</v>
      </c>
      <c r="H737" s="33">
        <f>24.5347 * CHOOSE(CONTROL!$C$32, $C$9, 100%, $E$9)</f>
        <v>24.534700000000001</v>
      </c>
      <c r="I737" s="33">
        <f>24.5383 * CHOOSE(CONTROL!$C$32, $C$9, 100%, $E$9)</f>
        <v>24.5383</v>
      </c>
      <c r="J737" s="33">
        <f>24.5347 * CHOOSE(CONTROL!$C$32, $C$9, 100%, $E$9)</f>
        <v>24.534700000000001</v>
      </c>
      <c r="K737" s="33">
        <f>24.5383 * CHOOSE(CONTROL!$C$32, $C$9, 100%, $E$9)</f>
        <v>24.5383</v>
      </c>
      <c r="L737" s="33">
        <f>12.1965 * CHOOSE(CONTROL!$C$32, $C$9, 100%, $E$9)</f>
        <v>12.1965</v>
      </c>
      <c r="M737" s="33">
        <f>12.2001 * CHOOSE(CONTROL!$C$32, $C$9, 100%, $E$9)</f>
        <v>12.200100000000001</v>
      </c>
      <c r="N737" s="33">
        <f>12.1965 * CHOOSE(CONTROL!$C$32, $C$9, 100%, $E$9)</f>
        <v>12.1965</v>
      </c>
      <c r="O737" s="33">
        <f>12.2001 * CHOOSE(CONTROL!$C$32, $C$9, 100%, $E$9)</f>
        <v>12.200100000000001</v>
      </c>
    </row>
    <row r="738" spans="1:15" ht="15" x14ac:dyDescent="0.2">
      <c r="A738" s="16">
        <v>63310</v>
      </c>
      <c r="B738" s="32">
        <f>10.6912 * CHOOSE(CONTROL!$C$32, $C$9, 100%, $E$9)</f>
        <v>10.6912</v>
      </c>
      <c r="C738" s="32">
        <f>10.6912 * CHOOSE(CONTROL!$C$32, $C$9, 100%, $E$9)</f>
        <v>10.6912</v>
      </c>
      <c r="D738" s="32">
        <f>10.6928 * CHOOSE(CONTROL!$C$32, $C$9, 100%, $E$9)</f>
        <v>10.6928</v>
      </c>
      <c r="E738" s="33">
        <f>12.295 * CHOOSE(CONTROL!$C$32, $C$9, 100%, $E$9)</f>
        <v>12.295</v>
      </c>
      <c r="F738" s="33">
        <f>12.295 * CHOOSE(CONTROL!$C$32, $C$9, 100%, $E$9)</f>
        <v>12.295</v>
      </c>
      <c r="G738" s="33">
        <f>12.3003 * CHOOSE(CONTROL!$C$32, $C$9, 100%, $E$9)</f>
        <v>12.3003</v>
      </c>
      <c r="H738" s="33">
        <f>24.5858 * CHOOSE(CONTROL!$C$32, $C$9, 100%, $E$9)</f>
        <v>24.585799999999999</v>
      </c>
      <c r="I738" s="33">
        <f>24.5911 * CHOOSE(CONTROL!$C$32, $C$9, 100%, $E$9)</f>
        <v>24.591100000000001</v>
      </c>
      <c r="J738" s="33">
        <f>24.5858 * CHOOSE(CONTROL!$C$32, $C$9, 100%, $E$9)</f>
        <v>24.585799999999999</v>
      </c>
      <c r="K738" s="33">
        <f>24.5911 * CHOOSE(CONTROL!$C$32, $C$9, 100%, $E$9)</f>
        <v>24.591100000000001</v>
      </c>
      <c r="L738" s="33">
        <f>12.295 * CHOOSE(CONTROL!$C$32, $C$9, 100%, $E$9)</f>
        <v>12.295</v>
      </c>
      <c r="M738" s="33">
        <f>12.3003 * CHOOSE(CONTROL!$C$32, $C$9, 100%, $E$9)</f>
        <v>12.3003</v>
      </c>
      <c r="N738" s="33">
        <f>12.295 * CHOOSE(CONTROL!$C$32, $C$9, 100%, $E$9)</f>
        <v>12.295</v>
      </c>
      <c r="O738" s="33">
        <f>12.3003 * CHOOSE(CONTROL!$C$32, $C$9, 100%, $E$9)</f>
        <v>12.3003</v>
      </c>
    </row>
    <row r="739" spans="1:15" ht="15" x14ac:dyDescent="0.2">
      <c r="A739" s="16">
        <v>63341</v>
      </c>
      <c r="B739" s="32">
        <f>10.6973 * CHOOSE(CONTROL!$C$32, $C$9, 100%, $E$9)</f>
        <v>10.6973</v>
      </c>
      <c r="C739" s="32">
        <f>10.6973 * CHOOSE(CONTROL!$C$32, $C$9, 100%, $E$9)</f>
        <v>10.6973</v>
      </c>
      <c r="D739" s="32">
        <f>10.6989 * CHOOSE(CONTROL!$C$32, $C$9, 100%, $E$9)</f>
        <v>10.6989</v>
      </c>
      <c r="E739" s="33">
        <f>12.2007 * CHOOSE(CONTROL!$C$32, $C$9, 100%, $E$9)</f>
        <v>12.200699999999999</v>
      </c>
      <c r="F739" s="33">
        <f>12.2007 * CHOOSE(CONTROL!$C$32, $C$9, 100%, $E$9)</f>
        <v>12.200699999999999</v>
      </c>
      <c r="G739" s="33">
        <f>12.206 * CHOOSE(CONTROL!$C$32, $C$9, 100%, $E$9)</f>
        <v>12.206</v>
      </c>
      <c r="H739" s="33">
        <f>24.637 * CHOOSE(CONTROL!$C$32, $C$9, 100%, $E$9)</f>
        <v>24.637</v>
      </c>
      <c r="I739" s="33">
        <f>24.6423 * CHOOSE(CONTROL!$C$32, $C$9, 100%, $E$9)</f>
        <v>24.642299999999999</v>
      </c>
      <c r="J739" s="33">
        <f>24.637 * CHOOSE(CONTROL!$C$32, $C$9, 100%, $E$9)</f>
        <v>24.637</v>
      </c>
      <c r="K739" s="33">
        <f>24.6423 * CHOOSE(CONTROL!$C$32, $C$9, 100%, $E$9)</f>
        <v>24.642299999999999</v>
      </c>
      <c r="L739" s="33">
        <f>12.2007 * CHOOSE(CONTROL!$C$32, $C$9, 100%, $E$9)</f>
        <v>12.200699999999999</v>
      </c>
      <c r="M739" s="33">
        <f>12.206 * CHOOSE(CONTROL!$C$32, $C$9, 100%, $E$9)</f>
        <v>12.206</v>
      </c>
      <c r="N739" s="33">
        <f>12.2007 * CHOOSE(CONTROL!$C$32, $C$9, 100%, $E$9)</f>
        <v>12.200699999999999</v>
      </c>
      <c r="O739" s="33">
        <f>12.206 * CHOOSE(CONTROL!$C$32, $C$9, 100%, $E$9)</f>
        <v>12.206</v>
      </c>
    </row>
    <row r="740" spans="1:15" ht="15" x14ac:dyDescent="0.2">
      <c r="A740" s="16">
        <v>63371</v>
      </c>
      <c r="B740" s="32">
        <f>10.8293 * CHOOSE(CONTROL!$C$32, $C$9, 100%, $E$9)</f>
        <v>10.8293</v>
      </c>
      <c r="C740" s="32">
        <f>10.8293 * CHOOSE(CONTROL!$C$32, $C$9, 100%, $E$9)</f>
        <v>10.8293</v>
      </c>
      <c r="D740" s="32">
        <f>10.8309 * CHOOSE(CONTROL!$C$32, $C$9, 100%, $E$9)</f>
        <v>10.8309</v>
      </c>
      <c r="E740" s="33">
        <f>12.3722 * CHOOSE(CONTROL!$C$32, $C$9, 100%, $E$9)</f>
        <v>12.372199999999999</v>
      </c>
      <c r="F740" s="33">
        <f>12.3722 * CHOOSE(CONTROL!$C$32, $C$9, 100%, $E$9)</f>
        <v>12.372199999999999</v>
      </c>
      <c r="G740" s="33">
        <f>12.3775 * CHOOSE(CONTROL!$C$32, $C$9, 100%, $E$9)</f>
        <v>12.3775</v>
      </c>
      <c r="H740" s="33">
        <f>24.6883 * CHOOSE(CONTROL!$C$32, $C$9, 100%, $E$9)</f>
        <v>24.688300000000002</v>
      </c>
      <c r="I740" s="33">
        <f>24.6936 * CHOOSE(CONTROL!$C$32, $C$9, 100%, $E$9)</f>
        <v>24.6936</v>
      </c>
      <c r="J740" s="33">
        <f>24.6883 * CHOOSE(CONTROL!$C$32, $C$9, 100%, $E$9)</f>
        <v>24.688300000000002</v>
      </c>
      <c r="K740" s="33">
        <f>24.6936 * CHOOSE(CONTROL!$C$32, $C$9, 100%, $E$9)</f>
        <v>24.6936</v>
      </c>
      <c r="L740" s="33">
        <f>12.3722 * CHOOSE(CONTROL!$C$32, $C$9, 100%, $E$9)</f>
        <v>12.372199999999999</v>
      </c>
      <c r="M740" s="33">
        <f>12.3775 * CHOOSE(CONTROL!$C$32, $C$9, 100%, $E$9)</f>
        <v>12.3775</v>
      </c>
      <c r="N740" s="33">
        <f>12.3722 * CHOOSE(CONTROL!$C$32, $C$9, 100%, $E$9)</f>
        <v>12.372199999999999</v>
      </c>
      <c r="O740" s="33">
        <f>12.3775 * CHOOSE(CONTROL!$C$32, $C$9, 100%, $E$9)</f>
        <v>12.3775</v>
      </c>
    </row>
    <row r="741" spans="1:15" ht="15" x14ac:dyDescent="0.2">
      <c r="A741" s="16">
        <v>63402</v>
      </c>
      <c r="B741" s="32">
        <f>10.836 * CHOOSE(CONTROL!$C$32, $C$9, 100%, $E$9)</f>
        <v>10.836</v>
      </c>
      <c r="C741" s="32">
        <f>10.836 * CHOOSE(CONTROL!$C$32, $C$9, 100%, $E$9)</f>
        <v>10.836</v>
      </c>
      <c r="D741" s="32">
        <f>10.8376 * CHOOSE(CONTROL!$C$32, $C$9, 100%, $E$9)</f>
        <v>10.8376</v>
      </c>
      <c r="E741" s="33">
        <f>12.0815 * CHOOSE(CONTROL!$C$32, $C$9, 100%, $E$9)</f>
        <v>12.0815</v>
      </c>
      <c r="F741" s="33">
        <f>12.0815 * CHOOSE(CONTROL!$C$32, $C$9, 100%, $E$9)</f>
        <v>12.0815</v>
      </c>
      <c r="G741" s="33">
        <f>12.0868 * CHOOSE(CONTROL!$C$32, $C$9, 100%, $E$9)</f>
        <v>12.0868</v>
      </c>
      <c r="H741" s="33">
        <f>24.7398 * CHOOSE(CONTROL!$C$32, $C$9, 100%, $E$9)</f>
        <v>24.739799999999999</v>
      </c>
      <c r="I741" s="33">
        <f>24.745 * CHOOSE(CONTROL!$C$32, $C$9, 100%, $E$9)</f>
        <v>24.745000000000001</v>
      </c>
      <c r="J741" s="33">
        <f>24.7398 * CHOOSE(CONTROL!$C$32, $C$9, 100%, $E$9)</f>
        <v>24.739799999999999</v>
      </c>
      <c r="K741" s="33">
        <f>24.745 * CHOOSE(CONTROL!$C$32, $C$9, 100%, $E$9)</f>
        <v>24.745000000000001</v>
      </c>
      <c r="L741" s="33">
        <f>12.0815 * CHOOSE(CONTROL!$C$32, $C$9, 100%, $E$9)</f>
        <v>12.0815</v>
      </c>
      <c r="M741" s="33">
        <f>12.0868 * CHOOSE(CONTROL!$C$32, $C$9, 100%, $E$9)</f>
        <v>12.0868</v>
      </c>
      <c r="N741" s="33">
        <f>12.0815 * CHOOSE(CONTROL!$C$32, $C$9, 100%, $E$9)</f>
        <v>12.0815</v>
      </c>
      <c r="O741" s="33">
        <f>12.0868 * CHOOSE(CONTROL!$C$32, $C$9, 100%, $E$9)</f>
        <v>12.0868</v>
      </c>
    </row>
    <row r="742" spans="1:15" ht="15" x14ac:dyDescent="0.2">
      <c r="A742" s="16">
        <v>63433</v>
      </c>
      <c r="B742" s="32">
        <f>10.833 * CHOOSE(CONTROL!$C$32, $C$9, 100%, $E$9)</f>
        <v>10.833</v>
      </c>
      <c r="C742" s="32">
        <f>10.833 * CHOOSE(CONTROL!$C$32, $C$9, 100%, $E$9)</f>
        <v>10.833</v>
      </c>
      <c r="D742" s="32">
        <f>10.8345 * CHOOSE(CONTROL!$C$32, $C$9, 100%, $E$9)</f>
        <v>10.8345</v>
      </c>
      <c r="E742" s="33">
        <f>12.0465 * CHOOSE(CONTROL!$C$32, $C$9, 100%, $E$9)</f>
        <v>12.0465</v>
      </c>
      <c r="F742" s="33">
        <f>12.0465 * CHOOSE(CONTROL!$C$32, $C$9, 100%, $E$9)</f>
        <v>12.0465</v>
      </c>
      <c r="G742" s="33">
        <f>12.0518 * CHOOSE(CONTROL!$C$32, $C$9, 100%, $E$9)</f>
        <v>12.0518</v>
      </c>
      <c r="H742" s="33">
        <f>24.7913 * CHOOSE(CONTROL!$C$32, $C$9, 100%, $E$9)</f>
        <v>24.7913</v>
      </c>
      <c r="I742" s="33">
        <f>24.7966 * CHOOSE(CONTROL!$C$32, $C$9, 100%, $E$9)</f>
        <v>24.796600000000002</v>
      </c>
      <c r="J742" s="33">
        <f>24.7913 * CHOOSE(CONTROL!$C$32, $C$9, 100%, $E$9)</f>
        <v>24.7913</v>
      </c>
      <c r="K742" s="33">
        <f>24.7966 * CHOOSE(CONTROL!$C$32, $C$9, 100%, $E$9)</f>
        <v>24.796600000000002</v>
      </c>
      <c r="L742" s="33">
        <f>12.0465 * CHOOSE(CONTROL!$C$32, $C$9, 100%, $E$9)</f>
        <v>12.0465</v>
      </c>
      <c r="M742" s="33">
        <f>12.0518 * CHOOSE(CONTROL!$C$32, $C$9, 100%, $E$9)</f>
        <v>12.0518</v>
      </c>
      <c r="N742" s="33">
        <f>12.0465 * CHOOSE(CONTROL!$C$32, $C$9, 100%, $E$9)</f>
        <v>12.0465</v>
      </c>
      <c r="O742" s="33">
        <f>12.0518 * CHOOSE(CONTROL!$C$32, $C$9, 100%, $E$9)</f>
        <v>12.0518</v>
      </c>
    </row>
    <row r="743" spans="1:15" ht="15" x14ac:dyDescent="0.2">
      <c r="A743" s="16">
        <v>63463</v>
      </c>
      <c r="B743" s="32">
        <f>10.8535 * CHOOSE(CONTROL!$C$32, $C$9, 100%, $E$9)</f>
        <v>10.8535</v>
      </c>
      <c r="C743" s="32">
        <f>10.8535 * CHOOSE(CONTROL!$C$32, $C$9, 100%, $E$9)</f>
        <v>10.8535</v>
      </c>
      <c r="D743" s="32">
        <f>10.8546 * CHOOSE(CONTROL!$C$32, $C$9, 100%, $E$9)</f>
        <v>10.8546</v>
      </c>
      <c r="E743" s="33">
        <f>12.1644 * CHOOSE(CONTROL!$C$32, $C$9, 100%, $E$9)</f>
        <v>12.164400000000001</v>
      </c>
      <c r="F743" s="33">
        <f>12.1644 * CHOOSE(CONTROL!$C$32, $C$9, 100%, $E$9)</f>
        <v>12.164400000000001</v>
      </c>
      <c r="G743" s="33">
        <f>12.168 * CHOOSE(CONTROL!$C$32, $C$9, 100%, $E$9)</f>
        <v>12.167999999999999</v>
      </c>
      <c r="H743" s="33">
        <f>24.8429 * CHOOSE(CONTROL!$C$32, $C$9, 100%, $E$9)</f>
        <v>24.8429</v>
      </c>
      <c r="I743" s="33">
        <f>24.8466 * CHOOSE(CONTROL!$C$32, $C$9, 100%, $E$9)</f>
        <v>24.846599999999999</v>
      </c>
      <c r="J743" s="33">
        <f>24.8429 * CHOOSE(CONTROL!$C$32, $C$9, 100%, $E$9)</f>
        <v>24.8429</v>
      </c>
      <c r="K743" s="33">
        <f>24.8466 * CHOOSE(CONTROL!$C$32, $C$9, 100%, $E$9)</f>
        <v>24.846599999999999</v>
      </c>
      <c r="L743" s="33">
        <f>12.1644 * CHOOSE(CONTROL!$C$32, $C$9, 100%, $E$9)</f>
        <v>12.164400000000001</v>
      </c>
      <c r="M743" s="33">
        <f>12.168 * CHOOSE(CONTROL!$C$32, $C$9, 100%, $E$9)</f>
        <v>12.167999999999999</v>
      </c>
      <c r="N743" s="33">
        <f>12.1644 * CHOOSE(CONTROL!$C$32, $C$9, 100%, $E$9)</f>
        <v>12.164400000000001</v>
      </c>
      <c r="O743" s="33">
        <f>12.168 * CHOOSE(CONTROL!$C$32, $C$9, 100%, $E$9)</f>
        <v>12.167999999999999</v>
      </c>
    </row>
    <row r="744" spans="1:15" ht="15" x14ac:dyDescent="0.2">
      <c r="A744" s="16">
        <v>63494</v>
      </c>
      <c r="B744" s="32">
        <f>10.8566 * CHOOSE(CONTROL!$C$32, $C$9, 100%, $E$9)</f>
        <v>10.8566</v>
      </c>
      <c r="C744" s="32">
        <f>10.8566 * CHOOSE(CONTROL!$C$32, $C$9, 100%, $E$9)</f>
        <v>10.8566</v>
      </c>
      <c r="D744" s="32">
        <f>10.8576 * CHOOSE(CONTROL!$C$32, $C$9, 100%, $E$9)</f>
        <v>10.8576</v>
      </c>
      <c r="E744" s="33">
        <f>12.2322 * CHOOSE(CONTROL!$C$32, $C$9, 100%, $E$9)</f>
        <v>12.232200000000001</v>
      </c>
      <c r="F744" s="33">
        <f>12.2322 * CHOOSE(CONTROL!$C$32, $C$9, 100%, $E$9)</f>
        <v>12.232200000000001</v>
      </c>
      <c r="G744" s="33">
        <f>12.2358 * CHOOSE(CONTROL!$C$32, $C$9, 100%, $E$9)</f>
        <v>12.235799999999999</v>
      </c>
      <c r="H744" s="33">
        <f>24.8947 * CHOOSE(CONTROL!$C$32, $C$9, 100%, $E$9)</f>
        <v>24.8947</v>
      </c>
      <c r="I744" s="33">
        <f>24.8983 * CHOOSE(CONTROL!$C$32, $C$9, 100%, $E$9)</f>
        <v>24.898299999999999</v>
      </c>
      <c r="J744" s="33">
        <f>24.8947 * CHOOSE(CONTROL!$C$32, $C$9, 100%, $E$9)</f>
        <v>24.8947</v>
      </c>
      <c r="K744" s="33">
        <f>24.8983 * CHOOSE(CONTROL!$C$32, $C$9, 100%, $E$9)</f>
        <v>24.898299999999999</v>
      </c>
      <c r="L744" s="33">
        <f>12.2322 * CHOOSE(CONTROL!$C$32, $C$9, 100%, $E$9)</f>
        <v>12.232200000000001</v>
      </c>
      <c r="M744" s="33">
        <f>12.2358 * CHOOSE(CONTROL!$C$32, $C$9, 100%, $E$9)</f>
        <v>12.235799999999999</v>
      </c>
      <c r="N744" s="33">
        <f>12.2322 * CHOOSE(CONTROL!$C$32, $C$9, 100%, $E$9)</f>
        <v>12.232200000000001</v>
      </c>
      <c r="O744" s="33">
        <f>12.2358 * CHOOSE(CONTROL!$C$32, $C$9, 100%, $E$9)</f>
        <v>12.235799999999999</v>
      </c>
    </row>
    <row r="745" spans="1:15" ht="15" x14ac:dyDescent="0.2">
      <c r="A745" s="16">
        <v>63524</v>
      </c>
      <c r="B745" s="32">
        <f>10.8566 * CHOOSE(CONTROL!$C$32, $C$9, 100%, $E$9)</f>
        <v>10.8566</v>
      </c>
      <c r="C745" s="32">
        <f>10.8566 * CHOOSE(CONTROL!$C$32, $C$9, 100%, $E$9)</f>
        <v>10.8566</v>
      </c>
      <c r="D745" s="32">
        <f>10.8576 * CHOOSE(CONTROL!$C$32, $C$9, 100%, $E$9)</f>
        <v>10.8576</v>
      </c>
      <c r="E745" s="33">
        <f>12.068 * CHOOSE(CONTROL!$C$32, $C$9, 100%, $E$9)</f>
        <v>12.068</v>
      </c>
      <c r="F745" s="33">
        <f>12.068 * CHOOSE(CONTROL!$C$32, $C$9, 100%, $E$9)</f>
        <v>12.068</v>
      </c>
      <c r="G745" s="33">
        <f>12.0717 * CHOOSE(CONTROL!$C$32, $C$9, 100%, $E$9)</f>
        <v>12.0717</v>
      </c>
      <c r="H745" s="33">
        <f>24.9466 * CHOOSE(CONTROL!$C$32, $C$9, 100%, $E$9)</f>
        <v>24.9466</v>
      </c>
      <c r="I745" s="33">
        <f>24.9502 * CHOOSE(CONTROL!$C$32, $C$9, 100%, $E$9)</f>
        <v>24.950199999999999</v>
      </c>
      <c r="J745" s="33">
        <f>24.9466 * CHOOSE(CONTROL!$C$32, $C$9, 100%, $E$9)</f>
        <v>24.9466</v>
      </c>
      <c r="K745" s="33">
        <f>24.9502 * CHOOSE(CONTROL!$C$32, $C$9, 100%, $E$9)</f>
        <v>24.950199999999999</v>
      </c>
      <c r="L745" s="33">
        <f>12.068 * CHOOSE(CONTROL!$C$32, $C$9, 100%, $E$9)</f>
        <v>12.068</v>
      </c>
      <c r="M745" s="33">
        <f>12.0717 * CHOOSE(CONTROL!$C$32, $C$9, 100%, $E$9)</f>
        <v>12.0717</v>
      </c>
      <c r="N745" s="33">
        <f>12.068 * CHOOSE(CONTROL!$C$32, $C$9, 100%, $E$9)</f>
        <v>12.068</v>
      </c>
      <c r="O745" s="33">
        <f>12.0717 * CHOOSE(CONTROL!$C$32, $C$9, 100%, $E$9)</f>
        <v>12.0717</v>
      </c>
    </row>
    <row r="746" spans="1:15" ht="15" x14ac:dyDescent="0.2">
      <c r="A746" s="16">
        <v>63555</v>
      </c>
      <c r="B746" s="32">
        <f>10.8805 * CHOOSE(CONTROL!$C$32, $C$9, 100%, $E$9)</f>
        <v>10.8805</v>
      </c>
      <c r="C746" s="32">
        <f>10.8805 * CHOOSE(CONTROL!$C$32, $C$9, 100%, $E$9)</f>
        <v>10.8805</v>
      </c>
      <c r="D746" s="32">
        <f>10.8816 * CHOOSE(CONTROL!$C$32, $C$9, 100%, $E$9)</f>
        <v>10.881600000000001</v>
      </c>
      <c r="E746" s="33">
        <f>12.2205 * CHOOSE(CONTROL!$C$32, $C$9, 100%, $E$9)</f>
        <v>12.220499999999999</v>
      </c>
      <c r="F746" s="33">
        <f>12.2205 * CHOOSE(CONTROL!$C$32, $C$9, 100%, $E$9)</f>
        <v>12.220499999999999</v>
      </c>
      <c r="G746" s="33">
        <f>12.2242 * CHOOSE(CONTROL!$C$32, $C$9, 100%, $E$9)</f>
        <v>12.2242</v>
      </c>
      <c r="H746" s="33">
        <f>24.846 * CHOOSE(CONTROL!$C$32, $C$9, 100%, $E$9)</f>
        <v>24.846</v>
      </c>
      <c r="I746" s="33">
        <f>24.8496 * CHOOSE(CONTROL!$C$32, $C$9, 100%, $E$9)</f>
        <v>24.849599999999999</v>
      </c>
      <c r="J746" s="33">
        <f>24.846 * CHOOSE(CONTROL!$C$32, $C$9, 100%, $E$9)</f>
        <v>24.846</v>
      </c>
      <c r="K746" s="33">
        <f>24.8496 * CHOOSE(CONTROL!$C$32, $C$9, 100%, $E$9)</f>
        <v>24.849599999999999</v>
      </c>
      <c r="L746" s="33">
        <f>12.2205 * CHOOSE(CONTROL!$C$32, $C$9, 100%, $E$9)</f>
        <v>12.220499999999999</v>
      </c>
      <c r="M746" s="33">
        <f>12.2242 * CHOOSE(CONTROL!$C$32, $C$9, 100%, $E$9)</f>
        <v>12.2242</v>
      </c>
      <c r="N746" s="33">
        <f>12.2205 * CHOOSE(CONTROL!$C$32, $C$9, 100%, $E$9)</f>
        <v>12.220499999999999</v>
      </c>
      <c r="O746" s="33">
        <f>12.2242 * CHOOSE(CONTROL!$C$32, $C$9, 100%, $E$9)</f>
        <v>12.2242</v>
      </c>
    </row>
    <row r="747" spans="1:15" ht="15" x14ac:dyDescent="0.2">
      <c r="A747" s="16">
        <v>63586</v>
      </c>
      <c r="B747" s="32">
        <f>10.8775 * CHOOSE(CONTROL!$C$32, $C$9, 100%, $E$9)</f>
        <v>10.8775</v>
      </c>
      <c r="C747" s="32">
        <f>10.8775 * CHOOSE(CONTROL!$C$32, $C$9, 100%, $E$9)</f>
        <v>10.8775</v>
      </c>
      <c r="D747" s="32">
        <f>10.8785 * CHOOSE(CONTROL!$C$32, $C$9, 100%, $E$9)</f>
        <v>10.878500000000001</v>
      </c>
      <c r="E747" s="33">
        <f>11.9012 * CHOOSE(CONTROL!$C$32, $C$9, 100%, $E$9)</f>
        <v>11.901199999999999</v>
      </c>
      <c r="F747" s="33">
        <f>11.9012 * CHOOSE(CONTROL!$C$32, $C$9, 100%, $E$9)</f>
        <v>11.901199999999999</v>
      </c>
      <c r="G747" s="33">
        <f>11.9048 * CHOOSE(CONTROL!$C$32, $C$9, 100%, $E$9)</f>
        <v>11.9048</v>
      </c>
      <c r="H747" s="33">
        <f>24.8977 * CHOOSE(CONTROL!$C$32, $C$9, 100%, $E$9)</f>
        <v>24.8977</v>
      </c>
      <c r="I747" s="33">
        <f>24.9014 * CHOOSE(CONTROL!$C$32, $C$9, 100%, $E$9)</f>
        <v>24.901399999999999</v>
      </c>
      <c r="J747" s="33">
        <f>24.8977 * CHOOSE(CONTROL!$C$32, $C$9, 100%, $E$9)</f>
        <v>24.8977</v>
      </c>
      <c r="K747" s="33">
        <f>24.9014 * CHOOSE(CONTROL!$C$32, $C$9, 100%, $E$9)</f>
        <v>24.901399999999999</v>
      </c>
      <c r="L747" s="33">
        <f>11.9012 * CHOOSE(CONTROL!$C$32, $C$9, 100%, $E$9)</f>
        <v>11.901199999999999</v>
      </c>
      <c r="M747" s="33">
        <f>11.9048 * CHOOSE(CONTROL!$C$32, $C$9, 100%, $E$9)</f>
        <v>11.9048</v>
      </c>
      <c r="N747" s="33">
        <f>11.9012 * CHOOSE(CONTROL!$C$32, $C$9, 100%, $E$9)</f>
        <v>11.901199999999999</v>
      </c>
      <c r="O747" s="33">
        <f>11.9048 * CHOOSE(CONTROL!$C$32, $C$9, 100%, $E$9)</f>
        <v>11.9048</v>
      </c>
    </row>
    <row r="748" spans="1:15" ht="15" x14ac:dyDescent="0.2">
      <c r="A748" s="16">
        <v>63614</v>
      </c>
      <c r="B748" s="32">
        <f>10.8744 * CHOOSE(CONTROL!$C$32, $C$9, 100%, $E$9)</f>
        <v>10.8744</v>
      </c>
      <c r="C748" s="32">
        <f>10.8744 * CHOOSE(CONTROL!$C$32, $C$9, 100%, $E$9)</f>
        <v>10.8744</v>
      </c>
      <c r="D748" s="32">
        <f>10.8755 * CHOOSE(CONTROL!$C$32, $C$9, 100%, $E$9)</f>
        <v>10.875500000000001</v>
      </c>
      <c r="E748" s="33">
        <f>12.1491 * CHOOSE(CONTROL!$C$32, $C$9, 100%, $E$9)</f>
        <v>12.149100000000001</v>
      </c>
      <c r="F748" s="33">
        <f>12.1491 * CHOOSE(CONTROL!$C$32, $C$9, 100%, $E$9)</f>
        <v>12.149100000000001</v>
      </c>
      <c r="G748" s="33">
        <f>12.1528 * CHOOSE(CONTROL!$C$32, $C$9, 100%, $E$9)</f>
        <v>12.152799999999999</v>
      </c>
      <c r="H748" s="33">
        <f>24.9496 * CHOOSE(CONTROL!$C$32, $C$9, 100%, $E$9)</f>
        <v>24.9496</v>
      </c>
      <c r="I748" s="33">
        <f>24.9532 * CHOOSE(CONTROL!$C$32, $C$9, 100%, $E$9)</f>
        <v>24.953199999999999</v>
      </c>
      <c r="J748" s="33">
        <f>24.9496 * CHOOSE(CONTROL!$C$32, $C$9, 100%, $E$9)</f>
        <v>24.9496</v>
      </c>
      <c r="K748" s="33">
        <f>24.9532 * CHOOSE(CONTROL!$C$32, $C$9, 100%, $E$9)</f>
        <v>24.953199999999999</v>
      </c>
      <c r="L748" s="33">
        <f>12.1491 * CHOOSE(CONTROL!$C$32, $C$9, 100%, $E$9)</f>
        <v>12.149100000000001</v>
      </c>
      <c r="M748" s="33">
        <f>12.1528 * CHOOSE(CONTROL!$C$32, $C$9, 100%, $E$9)</f>
        <v>12.152799999999999</v>
      </c>
      <c r="N748" s="33">
        <f>12.1491 * CHOOSE(CONTROL!$C$32, $C$9, 100%, $E$9)</f>
        <v>12.149100000000001</v>
      </c>
      <c r="O748" s="33">
        <f>12.1528 * CHOOSE(CONTROL!$C$32, $C$9, 100%, $E$9)</f>
        <v>12.152799999999999</v>
      </c>
    </row>
    <row r="749" spans="1:15" ht="15" x14ac:dyDescent="0.2">
      <c r="A749" s="16">
        <v>63645</v>
      </c>
      <c r="B749" s="32">
        <f>10.8787 * CHOOSE(CONTROL!$C$32, $C$9, 100%, $E$9)</f>
        <v>10.8787</v>
      </c>
      <c r="C749" s="32">
        <f>10.8787 * CHOOSE(CONTROL!$C$32, $C$9, 100%, $E$9)</f>
        <v>10.8787</v>
      </c>
      <c r="D749" s="32">
        <f>10.8798 * CHOOSE(CONTROL!$C$32, $C$9, 100%, $E$9)</f>
        <v>10.879799999999999</v>
      </c>
      <c r="E749" s="33">
        <f>12.4135 * CHOOSE(CONTROL!$C$32, $C$9, 100%, $E$9)</f>
        <v>12.413500000000001</v>
      </c>
      <c r="F749" s="33">
        <f>12.4135 * CHOOSE(CONTROL!$C$32, $C$9, 100%, $E$9)</f>
        <v>12.413500000000001</v>
      </c>
      <c r="G749" s="33">
        <f>12.4171 * CHOOSE(CONTROL!$C$32, $C$9, 100%, $E$9)</f>
        <v>12.4171</v>
      </c>
      <c r="H749" s="33">
        <f>25.0016 * CHOOSE(CONTROL!$C$32, $C$9, 100%, $E$9)</f>
        <v>25.0016</v>
      </c>
      <c r="I749" s="33">
        <f>25.0052 * CHOOSE(CONTROL!$C$32, $C$9, 100%, $E$9)</f>
        <v>25.005199999999999</v>
      </c>
      <c r="J749" s="33">
        <f>25.0016 * CHOOSE(CONTROL!$C$32, $C$9, 100%, $E$9)</f>
        <v>25.0016</v>
      </c>
      <c r="K749" s="33">
        <f>25.0052 * CHOOSE(CONTROL!$C$32, $C$9, 100%, $E$9)</f>
        <v>25.005199999999999</v>
      </c>
      <c r="L749" s="33">
        <f>12.4135 * CHOOSE(CONTROL!$C$32, $C$9, 100%, $E$9)</f>
        <v>12.413500000000001</v>
      </c>
      <c r="M749" s="33">
        <f>12.4171 * CHOOSE(CONTROL!$C$32, $C$9, 100%, $E$9)</f>
        <v>12.4171</v>
      </c>
      <c r="N749" s="33">
        <f>12.4135 * CHOOSE(CONTROL!$C$32, $C$9, 100%, $E$9)</f>
        <v>12.413500000000001</v>
      </c>
      <c r="O749" s="33">
        <f>12.4171 * CHOOSE(CONTROL!$C$32, $C$9, 100%, $E$9)</f>
        <v>12.4171</v>
      </c>
    </row>
    <row r="750" spans="1:15" ht="15" x14ac:dyDescent="0.2">
      <c r="A750" s="16">
        <v>63675</v>
      </c>
      <c r="B750" s="32">
        <f>10.8787 * CHOOSE(CONTROL!$C$32, $C$9, 100%, $E$9)</f>
        <v>10.8787</v>
      </c>
      <c r="C750" s="32">
        <f>10.8787 * CHOOSE(CONTROL!$C$32, $C$9, 100%, $E$9)</f>
        <v>10.8787</v>
      </c>
      <c r="D750" s="32">
        <f>10.8803 * CHOOSE(CONTROL!$C$32, $C$9, 100%, $E$9)</f>
        <v>10.8803</v>
      </c>
      <c r="E750" s="33">
        <f>12.5142 * CHOOSE(CONTROL!$C$32, $C$9, 100%, $E$9)</f>
        <v>12.514200000000001</v>
      </c>
      <c r="F750" s="33">
        <f>12.5142 * CHOOSE(CONTROL!$C$32, $C$9, 100%, $E$9)</f>
        <v>12.514200000000001</v>
      </c>
      <c r="G750" s="33">
        <f>12.5195 * CHOOSE(CONTROL!$C$32, $C$9, 100%, $E$9)</f>
        <v>12.519500000000001</v>
      </c>
      <c r="H750" s="33">
        <f>25.0537 * CHOOSE(CONTROL!$C$32, $C$9, 100%, $E$9)</f>
        <v>25.053699999999999</v>
      </c>
      <c r="I750" s="33">
        <f>25.059 * CHOOSE(CONTROL!$C$32, $C$9, 100%, $E$9)</f>
        <v>25.059000000000001</v>
      </c>
      <c r="J750" s="33">
        <f>25.0537 * CHOOSE(CONTROL!$C$32, $C$9, 100%, $E$9)</f>
        <v>25.053699999999999</v>
      </c>
      <c r="K750" s="33">
        <f>25.059 * CHOOSE(CONTROL!$C$32, $C$9, 100%, $E$9)</f>
        <v>25.059000000000001</v>
      </c>
      <c r="L750" s="33">
        <f>12.5142 * CHOOSE(CONTROL!$C$32, $C$9, 100%, $E$9)</f>
        <v>12.514200000000001</v>
      </c>
      <c r="M750" s="33">
        <f>12.5195 * CHOOSE(CONTROL!$C$32, $C$9, 100%, $E$9)</f>
        <v>12.519500000000001</v>
      </c>
      <c r="N750" s="33">
        <f>12.5142 * CHOOSE(CONTROL!$C$32, $C$9, 100%, $E$9)</f>
        <v>12.514200000000001</v>
      </c>
      <c r="O750" s="33">
        <f>12.5195 * CHOOSE(CONTROL!$C$32, $C$9, 100%, $E$9)</f>
        <v>12.519500000000001</v>
      </c>
    </row>
    <row r="751" spans="1:15" ht="15" x14ac:dyDescent="0.2">
      <c r="A751" s="16">
        <v>63706</v>
      </c>
      <c r="B751" s="32">
        <f>10.8848 * CHOOSE(CONTROL!$C$32, $C$9, 100%, $E$9)</f>
        <v>10.8848</v>
      </c>
      <c r="C751" s="32">
        <f>10.8848 * CHOOSE(CONTROL!$C$32, $C$9, 100%, $E$9)</f>
        <v>10.8848</v>
      </c>
      <c r="D751" s="32">
        <f>10.8864 * CHOOSE(CONTROL!$C$32, $C$9, 100%, $E$9)</f>
        <v>10.8864</v>
      </c>
      <c r="E751" s="33">
        <f>12.4177 * CHOOSE(CONTROL!$C$32, $C$9, 100%, $E$9)</f>
        <v>12.4177</v>
      </c>
      <c r="F751" s="33">
        <f>12.4177 * CHOOSE(CONTROL!$C$32, $C$9, 100%, $E$9)</f>
        <v>12.4177</v>
      </c>
      <c r="G751" s="33">
        <f>12.423 * CHOOSE(CONTROL!$C$32, $C$9, 100%, $E$9)</f>
        <v>12.423</v>
      </c>
      <c r="H751" s="33">
        <f>25.1059 * CHOOSE(CONTROL!$C$32, $C$9, 100%, $E$9)</f>
        <v>25.105899999999998</v>
      </c>
      <c r="I751" s="33">
        <f>25.1112 * CHOOSE(CONTROL!$C$32, $C$9, 100%, $E$9)</f>
        <v>25.1112</v>
      </c>
      <c r="J751" s="33">
        <f>25.1059 * CHOOSE(CONTROL!$C$32, $C$9, 100%, $E$9)</f>
        <v>25.105899999999998</v>
      </c>
      <c r="K751" s="33">
        <f>25.1112 * CHOOSE(CONTROL!$C$32, $C$9, 100%, $E$9)</f>
        <v>25.1112</v>
      </c>
      <c r="L751" s="33">
        <f>12.4177 * CHOOSE(CONTROL!$C$32, $C$9, 100%, $E$9)</f>
        <v>12.4177</v>
      </c>
      <c r="M751" s="33">
        <f>12.423 * CHOOSE(CONTROL!$C$32, $C$9, 100%, $E$9)</f>
        <v>12.423</v>
      </c>
      <c r="N751" s="33">
        <f>12.4177 * CHOOSE(CONTROL!$C$32, $C$9, 100%, $E$9)</f>
        <v>12.4177</v>
      </c>
      <c r="O751" s="33">
        <f>12.423 * CHOOSE(CONTROL!$C$32, $C$9, 100%, $E$9)</f>
        <v>12.423</v>
      </c>
    </row>
    <row r="752" spans="1:15" ht="15" x14ac:dyDescent="0.2">
      <c r="A752" s="16">
        <v>63736</v>
      </c>
      <c r="B752" s="32">
        <f>11.0189 * CHOOSE(CONTROL!$C$32, $C$9, 100%, $E$9)</f>
        <v>11.0189</v>
      </c>
      <c r="C752" s="32">
        <f>11.0189 * CHOOSE(CONTROL!$C$32, $C$9, 100%, $E$9)</f>
        <v>11.0189</v>
      </c>
      <c r="D752" s="32">
        <f>11.0205 * CHOOSE(CONTROL!$C$32, $C$9, 100%, $E$9)</f>
        <v>11.0205</v>
      </c>
      <c r="E752" s="33">
        <f>12.5924 * CHOOSE(CONTROL!$C$32, $C$9, 100%, $E$9)</f>
        <v>12.5924</v>
      </c>
      <c r="F752" s="33">
        <f>12.5924 * CHOOSE(CONTROL!$C$32, $C$9, 100%, $E$9)</f>
        <v>12.5924</v>
      </c>
      <c r="G752" s="33">
        <f>12.5977 * CHOOSE(CONTROL!$C$32, $C$9, 100%, $E$9)</f>
        <v>12.5977</v>
      </c>
      <c r="H752" s="33">
        <f>25.1582 * CHOOSE(CONTROL!$C$32, $C$9, 100%, $E$9)</f>
        <v>25.158200000000001</v>
      </c>
      <c r="I752" s="33">
        <f>25.1635 * CHOOSE(CONTROL!$C$32, $C$9, 100%, $E$9)</f>
        <v>25.163499999999999</v>
      </c>
      <c r="J752" s="33">
        <f>25.1582 * CHOOSE(CONTROL!$C$32, $C$9, 100%, $E$9)</f>
        <v>25.158200000000001</v>
      </c>
      <c r="K752" s="33">
        <f>25.1635 * CHOOSE(CONTROL!$C$32, $C$9, 100%, $E$9)</f>
        <v>25.163499999999999</v>
      </c>
      <c r="L752" s="33">
        <f>12.5924 * CHOOSE(CONTROL!$C$32, $C$9, 100%, $E$9)</f>
        <v>12.5924</v>
      </c>
      <c r="M752" s="33">
        <f>12.5977 * CHOOSE(CONTROL!$C$32, $C$9, 100%, $E$9)</f>
        <v>12.5977</v>
      </c>
      <c r="N752" s="33">
        <f>12.5924 * CHOOSE(CONTROL!$C$32, $C$9, 100%, $E$9)</f>
        <v>12.5924</v>
      </c>
      <c r="O752" s="33">
        <f>12.5977 * CHOOSE(CONTROL!$C$32, $C$9, 100%, $E$9)</f>
        <v>12.5977</v>
      </c>
    </row>
    <row r="753" spans="1:15" ht="15" x14ac:dyDescent="0.2">
      <c r="A753" s="16">
        <v>63767</v>
      </c>
      <c r="B753" s="32">
        <f>11.0256 * CHOOSE(CONTROL!$C$32, $C$9, 100%, $E$9)</f>
        <v>11.025600000000001</v>
      </c>
      <c r="C753" s="32">
        <f>11.0256 * CHOOSE(CONTROL!$C$32, $C$9, 100%, $E$9)</f>
        <v>11.025600000000001</v>
      </c>
      <c r="D753" s="32">
        <f>11.0272 * CHOOSE(CONTROL!$C$32, $C$9, 100%, $E$9)</f>
        <v>11.027200000000001</v>
      </c>
      <c r="E753" s="33">
        <f>12.2949 * CHOOSE(CONTROL!$C$32, $C$9, 100%, $E$9)</f>
        <v>12.2949</v>
      </c>
      <c r="F753" s="33">
        <f>12.2949 * CHOOSE(CONTROL!$C$32, $C$9, 100%, $E$9)</f>
        <v>12.2949</v>
      </c>
      <c r="G753" s="33">
        <f>12.3002 * CHOOSE(CONTROL!$C$32, $C$9, 100%, $E$9)</f>
        <v>12.3002</v>
      </c>
      <c r="H753" s="33">
        <f>25.2106 * CHOOSE(CONTROL!$C$32, $C$9, 100%, $E$9)</f>
        <v>25.210599999999999</v>
      </c>
      <c r="I753" s="33">
        <f>25.2159 * CHOOSE(CONTROL!$C$32, $C$9, 100%, $E$9)</f>
        <v>25.215900000000001</v>
      </c>
      <c r="J753" s="33">
        <f>25.2106 * CHOOSE(CONTROL!$C$32, $C$9, 100%, $E$9)</f>
        <v>25.210599999999999</v>
      </c>
      <c r="K753" s="33">
        <f>25.2159 * CHOOSE(CONTROL!$C$32, $C$9, 100%, $E$9)</f>
        <v>25.215900000000001</v>
      </c>
      <c r="L753" s="33">
        <f>12.2949 * CHOOSE(CONTROL!$C$32, $C$9, 100%, $E$9)</f>
        <v>12.2949</v>
      </c>
      <c r="M753" s="33">
        <f>12.3002 * CHOOSE(CONTROL!$C$32, $C$9, 100%, $E$9)</f>
        <v>12.3002</v>
      </c>
      <c r="N753" s="33">
        <f>12.2949 * CHOOSE(CONTROL!$C$32, $C$9, 100%, $E$9)</f>
        <v>12.2949</v>
      </c>
      <c r="O753" s="33">
        <f>12.3002 * CHOOSE(CONTROL!$C$32, $C$9, 100%, $E$9)</f>
        <v>12.3002</v>
      </c>
    </row>
    <row r="754" spans="1:15" ht="15" x14ac:dyDescent="0.2">
      <c r="A754" s="16">
        <v>63798</v>
      </c>
      <c r="B754" s="32">
        <f>11.0226 * CHOOSE(CONTROL!$C$32, $C$9, 100%, $E$9)</f>
        <v>11.022600000000001</v>
      </c>
      <c r="C754" s="32">
        <f>11.0226 * CHOOSE(CONTROL!$C$32, $C$9, 100%, $E$9)</f>
        <v>11.022600000000001</v>
      </c>
      <c r="D754" s="32">
        <f>11.0241 * CHOOSE(CONTROL!$C$32, $C$9, 100%, $E$9)</f>
        <v>11.024100000000001</v>
      </c>
      <c r="E754" s="33">
        <f>12.2592 * CHOOSE(CONTROL!$C$32, $C$9, 100%, $E$9)</f>
        <v>12.2592</v>
      </c>
      <c r="F754" s="33">
        <f>12.2592 * CHOOSE(CONTROL!$C$32, $C$9, 100%, $E$9)</f>
        <v>12.2592</v>
      </c>
      <c r="G754" s="33">
        <f>12.2645 * CHOOSE(CONTROL!$C$32, $C$9, 100%, $E$9)</f>
        <v>12.2645</v>
      </c>
      <c r="H754" s="33">
        <f>25.2631 * CHOOSE(CONTROL!$C$32, $C$9, 100%, $E$9)</f>
        <v>25.263100000000001</v>
      </c>
      <c r="I754" s="33">
        <f>25.2684 * CHOOSE(CONTROL!$C$32, $C$9, 100%, $E$9)</f>
        <v>25.2684</v>
      </c>
      <c r="J754" s="33">
        <f>25.2631 * CHOOSE(CONTROL!$C$32, $C$9, 100%, $E$9)</f>
        <v>25.263100000000001</v>
      </c>
      <c r="K754" s="33">
        <f>25.2684 * CHOOSE(CONTROL!$C$32, $C$9, 100%, $E$9)</f>
        <v>25.2684</v>
      </c>
      <c r="L754" s="33">
        <f>12.2592 * CHOOSE(CONTROL!$C$32, $C$9, 100%, $E$9)</f>
        <v>12.2592</v>
      </c>
      <c r="M754" s="33">
        <f>12.2645 * CHOOSE(CONTROL!$C$32, $C$9, 100%, $E$9)</f>
        <v>12.2645</v>
      </c>
      <c r="N754" s="33">
        <f>12.2592 * CHOOSE(CONTROL!$C$32, $C$9, 100%, $E$9)</f>
        <v>12.2592</v>
      </c>
      <c r="O754" s="33">
        <f>12.2645 * CHOOSE(CONTROL!$C$32, $C$9, 100%, $E$9)</f>
        <v>12.2645</v>
      </c>
    </row>
    <row r="755" spans="1:15" ht="15" x14ac:dyDescent="0.2">
      <c r="A755" s="16">
        <v>63828</v>
      </c>
      <c r="B755" s="32">
        <f>11.0438 * CHOOSE(CONTROL!$C$32, $C$9, 100%, $E$9)</f>
        <v>11.043799999999999</v>
      </c>
      <c r="C755" s="32">
        <f>11.0438 * CHOOSE(CONTROL!$C$32, $C$9, 100%, $E$9)</f>
        <v>11.043799999999999</v>
      </c>
      <c r="D755" s="32">
        <f>11.0449 * CHOOSE(CONTROL!$C$32, $C$9, 100%, $E$9)</f>
        <v>11.0449</v>
      </c>
      <c r="E755" s="33">
        <f>12.3801 * CHOOSE(CONTROL!$C$32, $C$9, 100%, $E$9)</f>
        <v>12.380100000000001</v>
      </c>
      <c r="F755" s="33">
        <f>12.3801 * CHOOSE(CONTROL!$C$32, $C$9, 100%, $E$9)</f>
        <v>12.380100000000001</v>
      </c>
      <c r="G755" s="33">
        <f>12.3837 * CHOOSE(CONTROL!$C$32, $C$9, 100%, $E$9)</f>
        <v>12.383699999999999</v>
      </c>
      <c r="H755" s="33">
        <f>25.3157 * CHOOSE(CONTROL!$C$32, $C$9, 100%, $E$9)</f>
        <v>25.3157</v>
      </c>
      <c r="I755" s="33">
        <f>25.3194 * CHOOSE(CONTROL!$C$32, $C$9, 100%, $E$9)</f>
        <v>25.319400000000002</v>
      </c>
      <c r="J755" s="33">
        <f>25.3157 * CHOOSE(CONTROL!$C$32, $C$9, 100%, $E$9)</f>
        <v>25.3157</v>
      </c>
      <c r="K755" s="33">
        <f>25.3194 * CHOOSE(CONTROL!$C$32, $C$9, 100%, $E$9)</f>
        <v>25.319400000000002</v>
      </c>
      <c r="L755" s="33">
        <f>12.3801 * CHOOSE(CONTROL!$C$32, $C$9, 100%, $E$9)</f>
        <v>12.380100000000001</v>
      </c>
      <c r="M755" s="33">
        <f>12.3837 * CHOOSE(CONTROL!$C$32, $C$9, 100%, $E$9)</f>
        <v>12.383699999999999</v>
      </c>
      <c r="N755" s="33">
        <f>12.3801 * CHOOSE(CONTROL!$C$32, $C$9, 100%, $E$9)</f>
        <v>12.380100000000001</v>
      </c>
      <c r="O755" s="33">
        <f>12.3837 * CHOOSE(CONTROL!$C$32, $C$9, 100%, $E$9)</f>
        <v>12.383699999999999</v>
      </c>
    </row>
    <row r="756" spans="1:15" ht="15" x14ac:dyDescent="0.2">
      <c r="A756" s="16">
        <v>63859</v>
      </c>
      <c r="B756" s="32">
        <f>11.0469 * CHOOSE(CONTROL!$C$32, $C$9, 100%, $E$9)</f>
        <v>11.046900000000001</v>
      </c>
      <c r="C756" s="32">
        <f>11.0469 * CHOOSE(CONTROL!$C$32, $C$9, 100%, $E$9)</f>
        <v>11.046900000000001</v>
      </c>
      <c r="D756" s="32">
        <f>11.048 * CHOOSE(CONTROL!$C$32, $C$9, 100%, $E$9)</f>
        <v>11.048</v>
      </c>
      <c r="E756" s="33">
        <f>12.4493 * CHOOSE(CONTROL!$C$32, $C$9, 100%, $E$9)</f>
        <v>12.449299999999999</v>
      </c>
      <c r="F756" s="33">
        <f>12.4493 * CHOOSE(CONTROL!$C$32, $C$9, 100%, $E$9)</f>
        <v>12.449299999999999</v>
      </c>
      <c r="G756" s="33">
        <f>12.453 * CHOOSE(CONTROL!$C$32, $C$9, 100%, $E$9)</f>
        <v>12.452999999999999</v>
      </c>
      <c r="H756" s="33">
        <f>25.3685 * CHOOSE(CONTROL!$C$32, $C$9, 100%, $E$9)</f>
        <v>25.368500000000001</v>
      </c>
      <c r="I756" s="33">
        <f>25.3721 * CHOOSE(CONTROL!$C$32, $C$9, 100%, $E$9)</f>
        <v>25.3721</v>
      </c>
      <c r="J756" s="33">
        <f>25.3685 * CHOOSE(CONTROL!$C$32, $C$9, 100%, $E$9)</f>
        <v>25.368500000000001</v>
      </c>
      <c r="K756" s="33">
        <f>25.3721 * CHOOSE(CONTROL!$C$32, $C$9, 100%, $E$9)</f>
        <v>25.3721</v>
      </c>
      <c r="L756" s="33">
        <f>12.4493 * CHOOSE(CONTROL!$C$32, $C$9, 100%, $E$9)</f>
        <v>12.449299999999999</v>
      </c>
      <c r="M756" s="33">
        <f>12.453 * CHOOSE(CONTROL!$C$32, $C$9, 100%, $E$9)</f>
        <v>12.452999999999999</v>
      </c>
      <c r="N756" s="33">
        <f>12.4493 * CHOOSE(CONTROL!$C$32, $C$9, 100%, $E$9)</f>
        <v>12.449299999999999</v>
      </c>
      <c r="O756" s="33">
        <f>12.453 * CHOOSE(CONTROL!$C$32, $C$9, 100%, $E$9)</f>
        <v>12.452999999999999</v>
      </c>
    </row>
    <row r="757" spans="1:15" ht="15" x14ac:dyDescent="0.2">
      <c r="A757" s="16">
        <v>63889</v>
      </c>
      <c r="B757" s="32">
        <f>11.0469 * CHOOSE(CONTROL!$C$32, $C$9, 100%, $E$9)</f>
        <v>11.046900000000001</v>
      </c>
      <c r="C757" s="32">
        <f>11.0469 * CHOOSE(CONTROL!$C$32, $C$9, 100%, $E$9)</f>
        <v>11.046900000000001</v>
      </c>
      <c r="D757" s="32">
        <f>11.048 * CHOOSE(CONTROL!$C$32, $C$9, 100%, $E$9)</f>
        <v>11.048</v>
      </c>
      <c r="E757" s="33">
        <f>12.2815 * CHOOSE(CONTROL!$C$32, $C$9, 100%, $E$9)</f>
        <v>12.281499999999999</v>
      </c>
      <c r="F757" s="33">
        <f>12.2815 * CHOOSE(CONTROL!$C$32, $C$9, 100%, $E$9)</f>
        <v>12.281499999999999</v>
      </c>
      <c r="G757" s="33">
        <f>12.2851 * CHOOSE(CONTROL!$C$32, $C$9, 100%, $E$9)</f>
        <v>12.2851</v>
      </c>
      <c r="H757" s="33">
        <f>25.4213 * CHOOSE(CONTROL!$C$32, $C$9, 100%, $E$9)</f>
        <v>25.421299999999999</v>
      </c>
      <c r="I757" s="33">
        <f>25.425 * CHOOSE(CONTROL!$C$32, $C$9, 100%, $E$9)</f>
        <v>25.425000000000001</v>
      </c>
      <c r="J757" s="33">
        <f>25.4213 * CHOOSE(CONTROL!$C$32, $C$9, 100%, $E$9)</f>
        <v>25.421299999999999</v>
      </c>
      <c r="K757" s="33">
        <f>25.425 * CHOOSE(CONTROL!$C$32, $C$9, 100%, $E$9)</f>
        <v>25.425000000000001</v>
      </c>
      <c r="L757" s="33">
        <f>12.2815 * CHOOSE(CONTROL!$C$32, $C$9, 100%, $E$9)</f>
        <v>12.281499999999999</v>
      </c>
      <c r="M757" s="33">
        <f>12.2851 * CHOOSE(CONTROL!$C$32, $C$9, 100%, $E$9)</f>
        <v>12.2851</v>
      </c>
      <c r="N757" s="33">
        <f>12.2815 * CHOOSE(CONTROL!$C$32, $C$9, 100%, $E$9)</f>
        <v>12.281499999999999</v>
      </c>
      <c r="O757" s="33">
        <f>12.2851 * CHOOSE(CONTROL!$C$32, $C$9, 100%, $E$9)</f>
        <v>12.2851</v>
      </c>
    </row>
    <row r="758" spans="1:15" ht="15" x14ac:dyDescent="0.2">
      <c r="A758" s="16">
        <v>63920</v>
      </c>
      <c r="B758" s="32">
        <f>11.0679 * CHOOSE(CONTROL!$C$32, $C$9, 100%, $E$9)</f>
        <v>11.0679</v>
      </c>
      <c r="C758" s="32">
        <f>11.0679 * CHOOSE(CONTROL!$C$32, $C$9, 100%, $E$9)</f>
        <v>11.0679</v>
      </c>
      <c r="D758" s="32">
        <f>11.0689 * CHOOSE(CONTROL!$C$32, $C$9, 100%, $E$9)</f>
        <v>11.068899999999999</v>
      </c>
      <c r="E758" s="33">
        <f>12.433 * CHOOSE(CONTROL!$C$32, $C$9, 100%, $E$9)</f>
        <v>12.433</v>
      </c>
      <c r="F758" s="33">
        <f>12.433 * CHOOSE(CONTROL!$C$32, $C$9, 100%, $E$9)</f>
        <v>12.433</v>
      </c>
      <c r="G758" s="33">
        <f>12.4367 * CHOOSE(CONTROL!$C$32, $C$9, 100%, $E$9)</f>
        <v>12.4367</v>
      </c>
      <c r="H758" s="33">
        <f>25.31 * CHOOSE(CONTROL!$C$32, $C$9, 100%, $E$9)</f>
        <v>25.31</v>
      </c>
      <c r="I758" s="33">
        <f>25.3136 * CHOOSE(CONTROL!$C$32, $C$9, 100%, $E$9)</f>
        <v>25.313600000000001</v>
      </c>
      <c r="J758" s="33">
        <f>25.31 * CHOOSE(CONTROL!$C$32, $C$9, 100%, $E$9)</f>
        <v>25.31</v>
      </c>
      <c r="K758" s="33">
        <f>25.3136 * CHOOSE(CONTROL!$C$32, $C$9, 100%, $E$9)</f>
        <v>25.313600000000001</v>
      </c>
      <c r="L758" s="33">
        <f>12.433 * CHOOSE(CONTROL!$C$32, $C$9, 100%, $E$9)</f>
        <v>12.433</v>
      </c>
      <c r="M758" s="33">
        <f>12.4367 * CHOOSE(CONTROL!$C$32, $C$9, 100%, $E$9)</f>
        <v>12.4367</v>
      </c>
      <c r="N758" s="33">
        <f>12.433 * CHOOSE(CONTROL!$C$32, $C$9, 100%, $E$9)</f>
        <v>12.433</v>
      </c>
      <c r="O758" s="33">
        <f>12.4367 * CHOOSE(CONTROL!$C$32, $C$9, 100%, $E$9)</f>
        <v>12.4367</v>
      </c>
    </row>
    <row r="759" spans="1:15" ht="15" x14ac:dyDescent="0.2">
      <c r="A759" s="16">
        <v>63951</v>
      </c>
      <c r="B759" s="32">
        <f>11.0648 * CHOOSE(CONTROL!$C$32, $C$9, 100%, $E$9)</f>
        <v>11.0648</v>
      </c>
      <c r="C759" s="32">
        <f>11.0648 * CHOOSE(CONTROL!$C$32, $C$9, 100%, $E$9)</f>
        <v>11.0648</v>
      </c>
      <c r="D759" s="32">
        <f>11.0659 * CHOOSE(CONTROL!$C$32, $C$9, 100%, $E$9)</f>
        <v>11.065899999999999</v>
      </c>
      <c r="E759" s="33">
        <f>12.1066 * CHOOSE(CONTROL!$C$32, $C$9, 100%, $E$9)</f>
        <v>12.1066</v>
      </c>
      <c r="F759" s="33">
        <f>12.1066 * CHOOSE(CONTROL!$C$32, $C$9, 100%, $E$9)</f>
        <v>12.1066</v>
      </c>
      <c r="G759" s="33">
        <f>12.1102 * CHOOSE(CONTROL!$C$32, $C$9, 100%, $E$9)</f>
        <v>12.110200000000001</v>
      </c>
      <c r="H759" s="33">
        <f>25.3627 * CHOOSE(CONTROL!$C$32, $C$9, 100%, $E$9)</f>
        <v>25.3627</v>
      </c>
      <c r="I759" s="33">
        <f>25.3664 * CHOOSE(CONTROL!$C$32, $C$9, 100%, $E$9)</f>
        <v>25.366399999999999</v>
      </c>
      <c r="J759" s="33">
        <f>25.3627 * CHOOSE(CONTROL!$C$32, $C$9, 100%, $E$9)</f>
        <v>25.3627</v>
      </c>
      <c r="K759" s="33">
        <f>25.3664 * CHOOSE(CONTROL!$C$32, $C$9, 100%, $E$9)</f>
        <v>25.366399999999999</v>
      </c>
      <c r="L759" s="33">
        <f>12.1066 * CHOOSE(CONTROL!$C$32, $C$9, 100%, $E$9)</f>
        <v>12.1066</v>
      </c>
      <c r="M759" s="33">
        <f>12.1102 * CHOOSE(CONTROL!$C$32, $C$9, 100%, $E$9)</f>
        <v>12.110200000000001</v>
      </c>
      <c r="N759" s="33">
        <f>12.1066 * CHOOSE(CONTROL!$C$32, $C$9, 100%, $E$9)</f>
        <v>12.1066</v>
      </c>
      <c r="O759" s="33">
        <f>12.1102 * CHOOSE(CONTROL!$C$32, $C$9, 100%, $E$9)</f>
        <v>12.110200000000001</v>
      </c>
    </row>
    <row r="760" spans="1:15" ht="15" x14ac:dyDescent="0.2">
      <c r="A760" s="16">
        <v>63979</v>
      </c>
      <c r="B760" s="32">
        <f>11.0618 * CHOOSE(CONTROL!$C$32, $C$9, 100%, $E$9)</f>
        <v>11.0618</v>
      </c>
      <c r="C760" s="32">
        <f>11.0618 * CHOOSE(CONTROL!$C$32, $C$9, 100%, $E$9)</f>
        <v>11.0618</v>
      </c>
      <c r="D760" s="32">
        <f>11.0629 * CHOOSE(CONTROL!$C$32, $C$9, 100%, $E$9)</f>
        <v>11.062900000000001</v>
      </c>
      <c r="E760" s="33">
        <f>12.3602 * CHOOSE(CONTROL!$C$32, $C$9, 100%, $E$9)</f>
        <v>12.360200000000001</v>
      </c>
      <c r="F760" s="33">
        <f>12.3602 * CHOOSE(CONTROL!$C$32, $C$9, 100%, $E$9)</f>
        <v>12.360200000000001</v>
      </c>
      <c r="G760" s="33">
        <f>12.3638 * CHOOSE(CONTROL!$C$32, $C$9, 100%, $E$9)</f>
        <v>12.363799999999999</v>
      </c>
      <c r="H760" s="33">
        <f>25.4156 * CHOOSE(CONTROL!$C$32, $C$9, 100%, $E$9)</f>
        <v>25.415600000000001</v>
      </c>
      <c r="I760" s="33">
        <f>25.4192 * CHOOSE(CONTROL!$C$32, $C$9, 100%, $E$9)</f>
        <v>25.4192</v>
      </c>
      <c r="J760" s="33">
        <f>25.4156 * CHOOSE(CONTROL!$C$32, $C$9, 100%, $E$9)</f>
        <v>25.415600000000001</v>
      </c>
      <c r="K760" s="33">
        <f>25.4192 * CHOOSE(CONTROL!$C$32, $C$9, 100%, $E$9)</f>
        <v>25.4192</v>
      </c>
      <c r="L760" s="33">
        <f>12.3602 * CHOOSE(CONTROL!$C$32, $C$9, 100%, $E$9)</f>
        <v>12.360200000000001</v>
      </c>
      <c r="M760" s="33">
        <f>12.3638 * CHOOSE(CONTROL!$C$32, $C$9, 100%, $E$9)</f>
        <v>12.363799999999999</v>
      </c>
      <c r="N760" s="33">
        <f>12.3602 * CHOOSE(CONTROL!$C$32, $C$9, 100%, $E$9)</f>
        <v>12.360200000000001</v>
      </c>
      <c r="O760" s="33">
        <f>12.3638 * CHOOSE(CONTROL!$C$32, $C$9, 100%, $E$9)</f>
        <v>12.363799999999999</v>
      </c>
    </row>
    <row r="761" spans="1:15" ht="15" x14ac:dyDescent="0.2">
      <c r="A761" s="16">
        <v>64010</v>
      </c>
      <c r="B761" s="32">
        <f>11.0663 * CHOOSE(CONTROL!$C$32, $C$9, 100%, $E$9)</f>
        <v>11.0663</v>
      </c>
      <c r="C761" s="32">
        <f>11.0663 * CHOOSE(CONTROL!$C$32, $C$9, 100%, $E$9)</f>
        <v>11.0663</v>
      </c>
      <c r="D761" s="32">
        <f>11.0674 * CHOOSE(CONTROL!$C$32, $C$9, 100%, $E$9)</f>
        <v>11.067399999999999</v>
      </c>
      <c r="E761" s="33">
        <f>12.6305 * CHOOSE(CONTROL!$C$32, $C$9, 100%, $E$9)</f>
        <v>12.6305</v>
      </c>
      <c r="F761" s="33">
        <f>12.6305 * CHOOSE(CONTROL!$C$32, $C$9, 100%, $E$9)</f>
        <v>12.6305</v>
      </c>
      <c r="G761" s="33">
        <f>12.6341 * CHOOSE(CONTROL!$C$32, $C$9, 100%, $E$9)</f>
        <v>12.6341</v>
      </c>
      <c r="H761" s="33">
        <f>25.4685 * CHOOSE(CONTROL!$C$32, $C$9, 100%, $E$9)</f>
        <v>25.468499999999999</v>
      </c>
      <c r="I761" s="33">
        <f>25.4721 * CHOOSE(CONTROL!$C$32, $C$9, 100%, $E$9)</f>
        <v>25.472100000000001</v>
      </c>
      <c r="J761" s="33">
        <f>25.4685 * CHOOSE(CONTROL!$C$32, $C$9, 100%, $E$9)</f>
        <v>25.468499999999999</v>
      </c>
      <c r="K761" s="33">
        <f>25.4721 * CHOOSE(CONTROL!$C$32, $C$9, 100%, $E$9)</f>
        <v>25.472100000000001</v>
      </c>
      <c r="L761" s="33">
        <f>12.6305 * CHOOSE(CONTROL!$C$32, $C$9, 100%, $E$9)</f>
        <v>12.6305</v>
      </c>
      <c r="M761" s="33">
        <f>12.6341 * CHOOSE(CONTROL!$C$32, $C$9, 100%, $E$9)</f>
        <v>12.6341</v>
      </c>
      <c r="N761" s="33">
        <f>12.6305 * CHOOSE(CONTROL!$C$32, $C$9, 100%, $E$9)</f>
        <v>12.6305</v>
      </c>
      <c r="O761" s="33">
        <f>12.6341 * CHOOSE(CONTROL!$C$32, $C$9, 100%, $E$9)</f>
        <v>12.6341</v>
      </c>
    </row>
    <row r="762" spans="1:15" ht="15" x14ac:dyDescent="0.2">
      <c r="A762" s="16">
        <v>64040</v>
      </c>
      <c r="B762" s="32">
        <f>11.0663 * CHOOSE(CONTROL!$C$32, $C$9, 100%, $E$9)</f>
        <v>11.0663</v>
      </c>
      <c r="C762" s="32">
        <f>11.0663 * CHOOSE(CONTROL!$C$32, $C$9, 100%, $E$9)</f>
        <v>11.0663</v>
      </c>
      <c r="D762" s="32">
        <f>11.0679 * CHOOSE(CONTROL!$C$32, $C$9, 100%, $E$9)</f>
        <v>11.0679</v>
      </c>
      <c r="E762" s="33">
        <f>12.7335 * CHOOSE(CONTROL!$C$32, $C$9, 100%, $E$9)</f>
        <v>12.733499999999999</v>
      </c>
      <c r="F762" s="33">
        <f>12.7335 * CHOOSE(CONTROL!$C$32, $C$9, 100%, $E$9)</f>
        <v>12.733499999999999</v>
      </c>
      <c r="G762" s="33">
        <f>12.7388 * CHOOSE(CONTROL!$C$32, $C$9, 100%, $E$9)</f>
        <v>12.738799999999999</v>
      </c>
      <c r="H762" s="33">
        <f>25.5216 * CHOOSE(CONTROL!$C$32, $C$9, 100%, $E$9)</f>
        <v>25.521599999999999</v>
      </c>
      <c r="I762" s="33">
        <f>25.5269 * CHOOSE(CONTROL!$C$32, $C$9, 100%, $E$9)</f>
        <v>25.526900000000001</v>
      </c>
      <c r="J762" s="33">
        <f>25.5216 * CHOOSE(CONTROL!$C$32, $C$9, 100%, $E$9)</f>
        <v>25.521599999999999</v>
      </c>
      <c r="K762" s="33">
        <f>25.5269 * CHOOSE(CONTROL!$C$32, $C$9, 100%, $E$9)</f>
        <v>25.526900000000001</v>
      </c>
      <c r="L762" s="33">
        <f>12.7335 * CHOOSE(CONTROL!$C$32, $C$9, 100%, $E$9)</f>
        <v>12.733499999999999</v>
      </c>
      <c r="M762" s="33">
        <f>12.7388 * CHOOSE(CONTROL!$C$32, $C$9, 100%, $E$9)</f>
        <v>12.738799999999999</v>
      </c>
      <c r="N762" s="33">
        <f>12.7335 * CHOOSE(CONTROL!$C$32, $C$9, 100%, $E$9)</f>
        <v>12.733499999999999</v>
      </c>
      <c r="O762" s="33">
        <f>12.7388 * CHOOSE(CONTROL!$C$32, $C$9, 100%, $E$9)</f>
        <v>12.738799999999999</v>
      </c>
    </row>
    <row r="763" spans="1:15" ht="15" x14ac:dyDescent="0.2">
      <c r="A763" s="16">
        <v>64071</v>
      </c>
      <c r="B763" s="32">
        <f>11.0724 * CHOOSE(CONTROL!$C$32, $C$9, 100%, $E$9)</f>
        <v>11.0724</v>
      </c>
      <c r="C763" s="32">
        <f>11.0724 * CHOOSE(CONTROL!$C$32, $C$9, 100%, $E$9)</f>
        <v>11.0724</v>
      </c>
      <c r="D763" s="32">
        <f>11.0739 * CHOOSE(CONTROL!$C$32, $C$9, 100%, $E$9)</f>
        <v>11.0739</v>
      </c>
      <c r="E763" s="33">
        <f>12.6347 * CHOOSE(CONTROL!$C$32, $C$9, 100%, $E$9)</f>
        <v>12.6347</v>
      </c>
      <c r="F763" s="33">
        <f>12.6347 * CHOOSE(CONTROL!$C$32, $C$9, 100%, $E$9)</f>
        <v>12.6347</v>
      </c>
      <c r="G763" s="33">
        <f>12.64 * CHOOSE(CONTROL!$C$32, $C$9, 100%, $E$9)</f>
        <v>12.64</v>
      </c>
      <c r="H763" s="33">
        <f>25.5748 * CHOOSE(CONTROL!$C$32, $C$9, 100%, $E$9)</f>
        <v>25.5748</v>
      </c>
      <c r="I763" s="33">
        <f>25.5801 * CHOOSE(CONTROL!$C$32, $C$9, 100%, $E$9)</f>
        <v>25.580100000000002</v>
      </c>
      <c r="J763" s="33">
        <f>25.5748 * CHOOSE(CONTROL!$C$32, $C$9, 100%, $E$9)</f>
        <v>25.5748</v>
      </c>
      <c r="K763" s="33">
        <f>25.5801 * CHOOSE(CONTROL!$C$32, $C$9, 100%, $E$9)</f>
        <v>25.580100000000002</v>
      </c>
      <c r="L763" s="33">
        <f>12.6347 * CHOOSE(CONTROL!$C$32, $C$9, 100%, $E$9)</f>
        <v>12.6347</v>
      </c>
      <c r="M763" s="33">
        <f>12.64 * CHOOSE(CONTROL!$C$32, $C$9, 100%, $E$9)</f>
        <v>12.64</v>
      </c>
      <c r="N763" s="33">
        <f>12.6347 * CHOOSE(CONTROL!$C$32, $C$9, 100%, $E$9)</f>
        <v>12.6347</v>
      </c>
      <c r="O763" s="33">
        <f>12.64 * CHOOSE(CONTROL!$C$32, $C$9, 100%, $E$9)</f>
        <v>12.64</v>
      </c>
    </row>
    <row r="764" spans="1:15" ht="15" x14ac:dyDescent="0.2">
      <c r="A764" s="16">
        <v>64101</v>
      </c>
      <c r="B764" s="32">
        <f>11.2085 * CHOOSE(CONTROL!$C$32, $C$9, 100%, $E$9)</f>
        <v>11.208500000000001</v>
      </c>
      <c r="C764" s="32">
        <f>11.2085 * CHOOSE(CONTROL!$C$32, $C$9, 100%, $E$9)</f>
        <v>11.208500000000001</v>
      </c>
      <c r="D764" s="32">
        <f>11.2101 * CHOOSE(CONTROL!$C$32, $C$9, 100%, $E$9)</f>
        <v>11.210100000000001</v>
      </c>
      <c r="E764" s="33">
        <f>12.8126 * CHOOSE(CONTROL!$C$32, $C$9, 100%, $E$9)</f>
        <v>12.8126</v>
      </c>
      <c r="F764" s="33">
        <f>12.8126 * CHOOSE(CONTROL!$C$32, $C$9, 100%, $E$9)</f>
        <v>12.8126</v>
      </c>
      <c r="G764" s="33">
        <f>12.8179 * CHOOSE(CONTROL!$C$32, $C$9, 100%, $E$9)</f>
        <v>12.8179</v>
      </c>
      <c r="H764" s="33">
        <f>25.628 * CHOOSE(CONTROL!$C$32, $C$9, 100%, $E$9)</f>
        <v>25.628</v>
      </c>
      <c r="I764" s="33">
        <f>25.6333 * CHOOSE(CONTROL!$C$32, $C$9, 100%, $E$9)</f>
        <v>25.633299999999998</v>
      </c>
      <c r="J764" s="33">
        <f>25.628 * CHOOSE(CONTROL!$C$32, $C$9, 100%, $E$9)</f>
        <v>25.628</v>
      </c>
      <c r="K764" s="33">
        <f>25.6333 * CHOOSE(CONTROL!$C$32, $C$9, 100%, $E$9)</f>
        <v>25.633299999999998</v>
      </c>
      <c r="L764" s="33">
        <f>12.8126 * CHOOSE(CONTROL!$C$32, $C$9, 100%, $E$9)</f>
        <v>12.8126</v>
      </c>
      <c r="M764" s="33">
        <f>12.8179 * CHOOSE(CONTROL!$C$32, $C$9, 100%, $E$9)</f>
        <v>12.8179</v>
      </c>
      <c r="N764" s="33">
        <f>12.8126 * CHOOSE(CONTROL!$C$32, $C$9, 100%, $E$9)</f>
        <v>12.8126</v>
      </c>
      <c r="O764" s="33">
        <f>12.8179 * CHOOSE(CONTROL!$C$32, $C$9, 100%, $E$9)</f>
        <v>12.8179</v>
      </c>
    </row>
    <row r="765" spans="1:15" ht="15" x14ac:dyDescent="0.2">
      <c r="A765" s="16">
        <v>64132</v>
      </c>
      <c r="B765" s="32">
        <f>11.2152 * CHOOSE(CONTROL!$C$32, $C$9, 100%, $E$9)</f>
        <v>11.215199999999999</v>
      </c>
      <c r="C765" s="32">
        <f>11.2152 * CHOOSE(CONTROL!$C$32, $C$9, 100%, $E$9)</f>
        <v>11.215199999999999</v>
      </c>
      <c r="D765" s="32">
        <f>11.2168 * CHOOSE(CONTROL!$C$32, $C$9, 100%, $E$9)</f>
        <v>11.216799999999999</v>
      </c>
      <c r="E765" s="33">
        <f>12.5083 * CHOOSE(CONTROL!$C$32, $C$9, 100%, $E$9)</f>
        <v>12.5083</v>
      </c>
      <c r="F765" s="33">
        <f>12.5083 * CHOOSE(CONTROL!$C$32, $C$9, 100%, $E$9)</f>
        <v>12.5083</v>
      </c>
      <c r="G765" s="33">
        <f>12.5136 * CHOOSE(CONTROL!$C$32, $C$9, 100%, $E$9)</f>
        <v>12.5136</v>
      </c>
      <c r="H765" s="33">
        <f>25.6814 * CHOOSE(CONTROL!$C$32, $C$9, 100%, $E$9)</f>
        <v>25.6814</v>
      </c>
      <c r="I765" s="33">
        <f>25.6867 * CHOOSE(CONTROL!$C$32, $C$9, 100%, $E$9)</f>
        <v>25.686699999999998</v>
      </c>
      <c r="J765" s="33">
        <f>25.6814 * CHOOSE(CONTROL!$C$32, $C$9, 100%, $E$9)</f>
        <v>25.6814</v>
      </c>
      <c r="K765" s="33">
        <f>25.6867 * CHOOSE(CONTROL!$C$32, $C$9, 100%, $E$9)</f>
        <v>25.686699999999998</v>
      </c>
      <c r="L765" s="33">
        <f>12.5083 * CHOOSE(CONTROL!$C$32, $C$9, 100%, $E$9)</f>
        <v>12.5083</v>
      </c>
      <c r="M765" s="33">
        <f>12.5136 * CHOOSE(CONTROL!$C$32, $C$9, 100%, $E$9)</f>
        <v>12.5136</v>
      </c>
      <c r="N765" s="33">
        <f>12.5083 * CHOOSE(CONTROL!$C$32, $C$9, 100%, $E$9)</f>
        <v>12.5083</v>
      </c>
      <c r="O765" s="33">
        <f>12.5136 * CHOOSE(CONTROL!$C$32, $C$9, 100%, $E$9)</f>
        <v>12.5136</v>
      </c>
    </row>
    <row r="766" spans="1:15" ht="15" x14ac:dyDescent="0.2">
      <c r="A766" s="16">
        <v>64163</v>
      </c>
      <c r="B766" s="32">
        <f>11.2122 * CHOOSE(CONTROL!$C$32, $C$9, 100%, $E$9)</f>
        <v>11.212199999999999</v>
      </c>
      <c r="C766" s="32">
        <f>11.2122 * CHOOSE(CONTROL!$C$32, $C$9, 100%, $E$9)</f>
        <v>11.212199999999999</v>
      </c>
      <c r="D766" s="32">
        <f>11.2137 * CHOOSE(CONTROL!$C$32, $C$9, 100%, $E$9)</f>
        <v>11.213699999999999</v>
      </c>
      <c r="E766" s="33">
        <f>12.4719 * CHOOSE(CONTROL!$C$32, $C$9, 100%, $E$9)</f>
        <v>12.4719</v>
      </c>
      <c r="F766" s="33">
        <f>12.4719 * CHOOSE(CONTROL!$C$32, $C$9, 100%, $E$9)</f>
        <v>12.4719</v>
      </c>
      <c r="G766" s="33">
        <f>12.4772 * CHOOSE(CONTROL!$C$32, $C$9, 100%, $E$9)</f>
        <v>12.4772</v>
      </c>
      <c r="H766" s="33">
        <f>25.7349 * CHOOSE(CONTROL!$C$32, $C$9, 100%, $E$9)</f>
        <v>25.7349</v>
      </c>
      <c r="I766" s="33">
        <f>25.7402 * CHOOSE(CONTROL!$C$32, $C$9, 100%, $E$9)</f>
        <v>25.740200000000002</v>
      </c>
      <c r="J766" s="33">
        <f>25.7349 * CHOOSE(CONTROL!$C$32, $C$9, 100%, $E$9)</f>
        <v>25.7349</v>
      </c>
      <c r="K766" s="33">
        <f>25.7402 * CHOOSE(CONTROL!$C$32, $C$9, 100%, $E$9)</f>
        <v>25.740200000000002</v>
      </c>
      <c r="L766" s="33">
        <f>12.4719 * CHOOSE(CONTROL!$C$32, $C$9, 100%, $E$9)</f>
        <v>12.4719</v>
      </c>
      <c r="M766" s="33">
        <f>12.4772 * CHOOSE(CONTROL!$C$32, $C$9, 100%, $E$9)</f>
        <v>12.4772</v>
      </c>
      <c r="N766" s="33">
        <f>12.4719 * CHOOSE(CONTROL!$C$32, $C$9, 100%, $E$9)</f>
        <v>12.4719</v>
      </c>
      <c r="O766" s="33">
        <f>12.4772 * CHOOSE(CONTROL!$C$32, $C$9, 100%, $E$9)</f>
        <v>12.4772</v>
      </c>
    </row>
    <row r="767" spans="1:15" ht="15" x14ac:dyDescent="0.2">
      <c r="A767" s="16">
        <v>64193</v>
      </c>
      <c r="B767" s="32">
        <f>11.2342 * CHOOSE(CONTROL!$C$32, $C$9, 100%, $E$9)</f>
        <v>11.2342</v>
      </c>
      <c r="C767" s="32">
        <f>11.2342 * CHOOSE(CONTROL!$C$32, $C$9, 100%, $E$9)</f>
        <v>11.2342</v>
      </c>
      <c r="D767" s="32">
        <f>11.2352 * CHOOSE(CONTROL!$C$32, $C$9, 100%, $E$9)</f>
        <v>11.235200000000001</v>
      </c>
      <c r="E767" s="33">
        <f>12.5958 * CHOOSE(CONTROL!$C$32, $C$9, 100%, $E$9)</f>
        <v>12.595800000000001</v>
      </c>
      <c r="F767" s="33">
        <f>12.5958 * CHOOSE(CONTROL!$C$32, $C$9, 100%, $E$9)</f>
        <v>12.595800000000001</v>
      </c>
      <c r="G767" s="33">
        <f>12.5994 * CHOOSE(CONTROL!$C$32, $C$9, 100%, $E$9)</f>
        <v>12.599399999999999</v>
      </c>
      <c r="H767" s="33">
        <f>25.7886 * CHOOSE(CONTROL!$C$32, $C$9, 100%, $E$9)</f>
        <v>25.788599999999999</v>
      </c>
      <c r="I767" s="33">
        <f>25.7922 * CHOOSE(CONTROL!$C$32, $C$9, 100%, $E$9)</f>
        <v>25.792200000000001</v>
      </c>
      <c r="J767" s="33">
        <f>25.7886 * CHOOSE(CONTROL!$C$32, $C$9, 100%, $E$9)</f>
        <v>25.788599999999999</v>
      </c>
      <c r="K767" s="33">
        <f>25.7922 * CHOOSE(CONTROL!$C$32, $C$9, 100%, $E$9)</f>
        <v>25.792200000000001</v>
      </c>
      <c r="L767" s="33">
        <f>12.5958 * CHOOSE(CONTROL!$C$32, $C$9, 100%, $E$9)</f>
        <v>12.595800000000001</v>
      </c>
      <c r="M767" s="33">
        <f>12.5994 * CHOOSE(CONTROL!$C$32, $C$9, 100%, $E$9)</f>
        <v>12.599399999999999</v>
      </c>
      <c r="N767" s="33">
        <f>12.5958 * CHOOSE(CONTROL!$C$32, $C$9, 100%, $E$9)</f>
        <v>12.595800000000001</v>
      </c>
      <c r="O767" s="33">
        <f>12.5994 * CHOOSE(CONTROL!$C$32, $C$9, 100%, $E$9)</f>
        <v>12.599399999999999</v>
      </c>
    </row>
    <row r="768" spans="1:15" ht="15" x14ac:dyDescent="0.2">
      <c r="A768" s="16">
        <v>64224</v>
      </c>
      <c r="B768" s="32">
        <f>11.2372 * CHOOSE(CONTROL!$C$32, $C$9, 100%, $E$9)</f>
        <v>11.2372</v>
      </c>
      <c r="C768" s="32">
        <f>11.2372 * CHOOSE(CONTROL!$C$32, $C$9, 100%, $E$9)</f>
        <v>11.2372</v>
      </c>
      <c r="D768" s="32">
        <f>11.2383 * CHOOSE(CONTROL!$C$32, $C$9, 100%, $E$9)</f>
        <v>11.238300000000001</v>
      </c>
      <c r="E768" s="33">
        <f>12.6665 * CHOOSE(CONTROL!$C$32, $C$9, 100%, $E$9)</f>
        <v>12.666499999999999</v>
      </c>
      <c r="F768" s="33">
        <f>12.6665 * CHOOSE(CONTROL!$C$32, $C$9, 100%, $E$9)</f>
        <v>12.666499999999999</v>
      </c>
      <c r="G768" s="33">
        <f>12.6701 * CHOOSE(CONTROL!$C$32, $C$9, 100%, $E$9)</f>
        <v>12.6701</v>
      </c>
      <c r="H768" s="33">
        <f>25.8423 * CHOOSE(CONTROL!$C$32, $C$9, 100%, $E$9)</f>
        <v>25.842300000000002</v>
      </c>
      <c r="I768" s="33">
        <f>25.8459 * CHOOSE(CONTROL!$C$32, $C$9, 100%, $E$9)</f>
        <v>25.8459</v>
      </c>
      <c r="J768" s="33">
        <f>25.8423 * CHOOSE(CONTROL!$C$32, $C$9, 100%, $E$9)</f>
        <v>25.842300000000002</v>
      </c>
      <c r="K768" s="33">
        <f>25.8459 * CHOOSE(CONTROL!$C$32, $C$9, 100%, $E$9)</f>
        <v>25.8459</v>
      </c>
      <c r="L768" s="33">
        <f>12.6665 * CHOOSE(CONTROL!$C$32, $C$9, 100%, $E$9)</f>
        <v>12.666499999999999</v>
      </c>
      <c r="M768" s="33">
        <f>12.6701 * CHOOSE(CONTROL!$C$32, $C$9, 100%, $E$9)</f>
        <v>12.6701</v>
      </c>
      <c r="N768" s="33">
        <f>12.6665 * CHOOSE(CONTROL!$C$32, $C$9, 100%, $E$9)</f>
        <v>12.666499999999999</v>
      </c>
      <c r="O768" s="33">
        <f>12.6701 * CHOOSE(CONTROL!$C$32, $C$9, 100%, $E$9)</f>
        <v>12.6701</v>
      </c>
    </row>
    <row r="769" spans="1:15" ht="15" x14ac:dyDescent="0.2">
      <c r="A769" s="16">
        <v>64254</v>
      </c>
      <c r="B769" s="32">
        <f>11.2372 * CHOOSE(CONTROL!$C$32, $C$9, 100%, $E$9)</f>
        <v>11.2372</v>
      </c>
      <c r="C769" s="32">
        <f>11.2372 * CHOOSE(CONTROL!$C$32, $C$9, 100%, $E$9)</f>
        <v>11.2372</v>
      </c>
      <c r="D769" s="32">
        <f>11.2383 * CHOOSE(CONTROL!$C$32, $C$9, 100%, $E$9)</f>
        <v>11.238300000000001</v>
      </c>
      <c r="E769" s="33">
        <f>12.4949 * CHOOSE(CONTROL!$C$32, $C$9, 100%, $E$9)</f>
        <v>12.494899999999999</v>
      </c>
      <c r="F769" s="33">
        <f>12.4949 * CHOOSE(CONTROL!$C$32, $C$9, 100%, $E$9)</f>
        <v>12.494899999999999</v>
      </c>
      <c r="G769" s="33">
        <f>12.4985 * CHOOSE(CONTROL!$C$32, $C$9, 100%, $E$9)</f>
        <v>12.4985</v>
      </c>
      <c r="H769" s="33">
        <f>25.8961 * CHOOSE(CONTROL!$C$32, $C$9, 100%, $E$9)</f>
        <v>25.896100000000001</v>
      </c>
      <c r="I769" s="33">
        <f>25.8997 * CHOOSE(CONTROL!$C$32, $C$9, 100%, $E$9)</f>
        <v>25.899699999999999</v>
      </c>
      <c r="J769" s="33">
        <f>25.8961 * CHOOSE(CONTROL!$C$32, $C$9, 100%, $E$9)</f>
        <v>25.896100000000001</v>
      </c>
      <c r="K769" s="33">
        <f>25.8997 * CHOOSE(CONTROL!$C$32, $C$9, 100%, $E$9)</f>
        <v>25.899699999999999</v>
      </c>
      <c r="L769" s="33">
        <f>12.4949 * CHOOSE(CONTROL!$C$32, $C$9, 100%, $E$9)</f>
        <v>12.494899999999999</v>
      </c>
      <c r="M769" s="33">
        <f>12.4985 * CHOOSE(CONTROL!$C$32, $C$9, 100%, $E$9)</f>
        <v>12.4985</v>
      </c>
      <c r="N769" s="33">
        <f>12.4949 * CHOOSE(CONTROL!$C$32, $C$9, 100%, $E$9)</f>
        <v>12.494899999999999</v>
      </c>
      <c r="O769" s="33">
        <f>12.4985 * CHOOSE(CONTROL!$C$32, $C$9, 100%, $E$9)</f>
        <v>12.4985</v>
      </c>
    </row>
    <row r="770" spans="1:15" ht="15" x14ac:dyDescent="0.2">
      <c r="A770" s="16">
        <v>64285</v>
      </c>
      <c r="B770" s="32">
        <f>11.2552 * CHOOSE(CONTROL!$C$32, $C$9, 100%, $E$9)</f>
        <v>11.2552</v>
      </c>
      <c r="C770" s="32">
        <f>11.2552 * CHOOSE(CONTROL!$C$32, $C$9, 100%, $E$9)</f>
        <v>11.2552</v>
      </c>
      <c r="D770" s="32">
        <f>11.2563 * CHOOSE(CONTROL!$C$32, $C$9, 100%, $E$9)</f>
        <v>11.2563</v>
      </c>
      <c r="E770" s="33">
        <f>12.6455 * CHOOSE(CONTROL!$C$32, $C$9, 100%, $E$9)</f>
        <v>12.6455</v>
      </c>
      <c r="F770" s="33">
        <f>12.6455 * CHOOSE(CONTROL!$C$32, $C$9, 100%, $E$9)</f>
        <v>12.6455</v>
      </c>
      <c r="G770" s="33">
        <f>12.6492 * CHOOSE(CONTROL!$C$32, $C$9, 100%, $E$9)</f>
        <v>12.6492</v>
      </c>
      <c r="H770" s="33">
        <f>25.774 * CHOOSE(CONTROL!$C$32, $C$9, 100%, $E$9)</f>
        <v>25.774000000000001</v>
      </c>
      <c r="I770" s="33">
        <f>25.7777 * CHOOSE(CONTROL!$C$32, $C$9, 100%, $E$9)</f>
        <v>25.777699999999999</v>
      </c>
      <c r="J770" s="33">
        <f>25.774 * CHOOSE(CONTROL!$C$32, $C$9, 100%, $E$9)</f>
        <v>25.774000000000001</v>
      </c>
      <c r="K770" s="33">
        <f>25.7777 * CHOOSE(CONTROL!$C$32, $C$9, 100%, $E$9)</f>
        <v>25.777699999999999</v>
      </c>
      <c r="L770" s="33">
        <f>12.6455 * CHOOSE(CONTROL!$C$32, $C$9, 100%, $E$9)</f>
        <v>12.6455</v>
      </c>
      <c r="M770" s="33">
        <f>12.6492 * CHOOSE(CONTROL!$C$32, $C$9, 100%, $E$9)</f>
        <v>12.6492</v>
      </c>
      <c r="N770" s="33">
        <f>12.6455 * CHOOSE(CONTROL!$C$32, $C$9, 100%, $E$9)</f>
        <v>12.6455</v>
      </c>
      <c r="O770" s="33">
        <f>12.6492 * CHOOSE(CONTROL!$C$32, $C$9, 100%, $E$9)</f>
        <v>12.6492</v>
      </c>
    </row>
    <row r="771" spans="1:15" ht="15" x14ac:dyDescent="0.2">
      <c r="A771" s="16">
        <v>64316</v>
      </c>
      <c r="B771" s="32">
        <f>11.2522 * CHOOSE(CONTROL!$C$32, $C$9, 100%, $E$9)</f>
        <v>11.2522</v>
      </c>
      <c r="C771" s="32">
        <f>11.2522 * CHOOSE(CONTROL!$C$32, $C$9, 100%, $E$9)</f>
        <v>11.2522</v>
      </c>
      <c r="D771" s="32">
        <f>11.2533 * CHOOSE(CONTROL!$C$32, $C$9, 100%, $E$9)</f>
        <v>11.253299999999999</v>
      </c>
      <c r="E771" s="33">
        <f>12.312 * CHOOSE(CONTROL!$C$32, $C$9, 100%, $E$9)</f>
        <v>12.311999999999999</v>
      </c>
      <c r="F771" s="33">
        <f>12.312 * CHOOSE(CONTROL!$C$32, $C$9, 100%, $E$9)</f>
        <v>12.311999999999999</v>
      </c>
      <c r="G771" s="33">
        <f>12.3156 * CHOOSE(CONTROL!$C$32, $C$9, 100%, $E$9)</f>
        <v>12.3156</v>
      </c>
      <c r="H771" s="33">
        <f>25.8277 * CHOOSE(CONTROL!$C$32, $C$9, 100%, $E$9)</f>
        <v>25.8277</v>
      </c>
      <c r="I771" s="33">
        <f>25.8314 * CHOOSE(CONTROL!$C$32, $C$9, 100%, $E$9)</f>
        <v>25.831399999999999</v>
      </c>
      <c r="J771" s="33">
        <f>25.8277 * CHOOSE(CONTROL!$C$32, $C$9, 100%, $E$9)</f>
        <v>25.8277</v>
      </c>
      <c r="K771" s="33">
        <f>25.8314 * CHOOSE(CONTROL!$C$32, $C$9, 100%, $E$9)</f>
        <v>25.831399999999999</v>
      </c>
      <c r="L771" s="33">
        <f>12.312 * CHOOSE(CONTROL!$C$32, $C$9, 100%, $E$9)</f>
        <v>12.311999999999999</v>
      </c>
      <c r="M771" s="33">
        <f>12.3156 * CHOOSE(CONTROL!$C$32, $C$9, 100%, $E$9)</f>
        <v>12.3156</v>
      </c>
      <c r="N771" s="33">
        <f>12.312 * CHOOSE(CONTROL!$C$32, $C$9, 100%, $E$9)</f>
        <v>12.311999999999999</v>
      </c>
      <c r="O771" s="33">
        <f>12.3156 * CHOOSE(CONTROL!$C$32, $C$9, 100%, $E$9)</f>
        <v>12.3156</v>
      </c>
    </row>
    <row r="772" spans="1:15" ht="15" x14ac:dyDescent="0.2">
      <c r="A772" s="16">
        <v>64345</v>
      </c>
      <c r="B772" s="32">
        <f>11.2491 * CHOOSE(CONTROL!$C$32, $C$9, 100%, $E$9)</f>
        <v>11.2491</v>
      </c>
      <c r="C772" s="32">
        <f>11.2491 * CHOOSE(CONTROL!$C$32, $C$9, 100%, $E$9)</f>
        <v>11.2491</v>
      </c>
      <c r="D772" s="32">
        <f>11.2502 * CHOOSE(CONTROL!$C$32, $C$9, 100%, $E$9)</f>
        <v>11.2502</v>
      </c>
      <c r="E772" s="33">
        <f>12.5712 * CHOOSE(CONTROL!$C$32, $C$9, 100%, $E$9)</f>
        <v>12.571199999999999</v>
      </c>
      <c r="F772" s="33">
        <f>12.5712 * CHOOSE(CONTROL!$C$32, $C$9, 100%, $E$9)</f>
        <v>12.571199999999999</v>
      </c>
      <c r="G772" s="33">
        <f>12.5748 * CHOOSE(CONTROL!$C$32, $C$9, 100%, $E$9)</f>
        <v>12.5748</v>
      </c>
      <c r="H772" s="33">
        <f>25.8815 * CHOOSE(CONTROL!$C$32, $C$9, 100%, $E$9)</f>
        <v>25.881499999999999</v>
      </c>
      <c r="I772" s="33">
        <f>25.8852 * CHOOSE(CONTROL!$C$32, $C$9, 100%, $E$9)</f>
        <v>25.885200000000001</v>
      </c>
      <c r="J772" s="33">
        <f>25.8815 * CHOOSE(CONTROL!$C$32, $C$9, 100%, $E$9)</f>
        <v>25.881499999999999</v>
      </c>
      <c r="K772" s="33">
        <f>25.8852 * CHOOSE(CONTROL!$C$32, $C$9, 100%, $E$9)</f>
        <v>25.885200000000001</v>
      </c>
      <c r="L772" s="33">
        <f>12.5712 * CHOOSE(CONTROL!$C$32, $C$9, 100%, $E$9)</f>
        <v>12.571199999999999</v>
      </c>
      <c r="M772" s="33">
        <f>12.5748 * CHOOSE(CONTROL!$C$32, $C$9, 100%, $E$9)</f>
        <v>12.5748</v>
      </c>
      <c r="N772" s="33">
        <f>12.5712 * CHOOSE(CONTROL!$C$32, $C$9, 100%, $E$9)</f>
        <v>12.571199999999999</v>
      </c>
      <c r="O772" s="33">
        <f>12.5748 * CHOOSE(CONTROL!$C$32, $C$9, 100%, $E$9)</f>
        <v>12.5748</v>
      </c>
    </row>
    <row r="773" spans="1:15" ht="15" x14ac:dyDescent="0.2">
      <c r="A773" s="16">
        <v>64376</v>
      </c>
      <c r="B773" s="32">
        <f>11.2538 * CHOOSE(CONTROL!$C$32, $C$9, 100%, $E$9)</f>
        <v>11.2538</v>
      </c>
      <c r="C773" s="32">
        <f>11.2538 * CHOOSE(CONTROL!$C$32, $C$9, 100%, $E$9)</f>
        <v>11.2538</v>
      </c>
      <c r="D773" s="32">
        <f>11.2549 * CHOOSE(CONTROL!$C$32, $C$9, 100%, $E$9)</f>
        <v>11.254899999999999</v>
      </c>
      <c r="E773" s="33">
        <f>12.8475 * CHOOSE(CONTROL!$C$32, $C$9, 100%, $E$9)</f>
        <v>12.8475</v>
      </c>
      <c r="F773" s="33">
        <f>12.8475 * CHOOSE(CONTROL!$C$32, $C$9, 100%, $E$9)</f>
        <v>12.8475</v>
      </c>
      <c r="G773" s="33">
        <f>12.8511 * CHOOSE(CONTROL!$C$32, $C$9, 100%, $E$9)</f>
        <v>12.851100000000001</v>
      </c>
      <c r="H773" s="33">
        <f>25.9355 * CHOOSE(CONTROL!$C$32, $C$9, 100%, $E$9)</f>
        <v>25.935500000000001</v>
      </c>
      <c r="I773" s="33">
        <f>25.9391 * CHOOSE(CONTROL!$C$32, $C$9, 100%, $E$9)</f>
        <v>25.9391</v>
      </c>
      <c r="J773" s="33">
        <f>25.9355 * CHOOSE(CONTROL!$C$32, $C$9, 100%, $E$9)</f>
        <v>25.935500000000001</v>
      </c>
      <c r="K773" s="33">
        <f>25.9391 * CHOOSE(CONTROL!$C$32, $C$9, 100%, $E$9)</f>
        <v>25.9391</v>
      </c>
      <c r="L773" s="33">
        <f>12.8475 * CHOOSE(CONTROL!$C$32, $C$9, 100%, $E$9)</f>
        <v>12.8475</v>
      </c>
      <c r="M773" s="33">
        <f>12.8511 * CHOOSE(CONTROL!$C$32, $C$9, 100%, $E$9)</f>
        <v>12.851100000000001</v>
      </c>
      <c r="N773" s="33">
        <f>12.8475 * CHOOSE(CONTROL!$C$32, $C$9, 100%, $E$9)</f>
        <v>12.8475</v>
      </c>
      <c r="O773" s="33">
        <f>12.8511 * CHOOSE(CONTROL!$C$32, $C$9, 100%, $E$9)</f>
        <v>12.851100000000001</v>
      </c>
    </row>
    <row r="774" spans="1:15" ht="15" x14ac:dyDescent="0.2">
      <c r="A774" s="16">
        <v>64406</v>
      </c>
      <c r="B774" s="32">
        <f>11.2538 * CHOOSE(CONTROL!$C$32, $C$9, 100%, $E$9)</f>
        <v>11.2538</v>
      </c>
      <c r="C774" s="32">
        <f>11.2538 * CHOOSE(CONTROL!$C$32, $C$9, 100%, $E$9)</f>
        <v>11.2538</v>
      </c>
      <c r="D774" s="32">
        <f>11.2554 * CHOOSE(CONTROL!$C$32, $C$9, 100%, $E$9)</f>
        <v>11.2554</v>
      </c>
      <c r="E774" s="33">
        <f>12.9527 * CHOOSE(CONTROL!$C$32, $C$9, 100%, $E$9)</f>
        <v>12.9527</v>
      </c>
      <c r="F774" s="33">
        <f>12.9527 * CHOOSE(CONTROL!$C$32, $C$9, 100%, $E$9)</f>
        <v>12.9527</v>
      </c>
      <c r="G774" s="33">
        <f>12.958 * CHOOSE(CONTROL!$C$32, $C$9, 100%, $E$9)</f>
        <v>12.958</v>
      </c>
      <c r="H774" s="33">
        <f>25.9895 * CHOOSE(CONTROL!$C$32, $C$9, 100%, $E$9)</f>
        <v>25.9895</v>
      </c>
      <c r="I774" s="33">
        <f>25.9948 * CHOOSE(CONTROL!$C$32, $C$9, 100%, $E$9)</f>
        <v>25.994800000000001</v>
      </c>
      <c r="J774" s="33">
        <f>25.9895 * CHOOSE(CONTROL!$C$32, $C$9, 100%, $E$9)</f>
        <v>25.9895</v>
      </c>
      <c r="K774" s="33">
        <f>25.9948 * CHOOSE(CONTROL!$C$32, $C$9, 100%, $E$9)</f>
        <v>25.994800000000001</v>
      </c>
      <c r="L774" s="33">
        <f>12.9527 * CHOOSE(CONTROL!$C$32, $C$9, 100%, $E$9)</f>
        <v>12.9527</v>
      </c>
      <c r="M774" s="33">
        <f>12.958 * CHOOSE(CONTROL!$C$32, $C$9, 100%, $E$9)</f>
        <v>12.958</v>
      </c>
      <c r="N774" s="33">
        <f>12.9527 * CHOOSE(CONTROL!$C$32, $C$9, 100%, $E$9)</f>
        <v>12.9527</v>
      </c>
      <c r="O774" s="33">
        <f>12.958 * CHOOSE(CONTROL!$C$32, $C$9, 100%, $E$9)</f>
        <v>12.958</v>
      </c>
    </row>
    <row r="775" spans="1:15" ht="15" x14ac:dyDescent="0.2">
      <c r="A775" s="16">
        <v>64437</v>
      </c>
      <c r="B775" s="32">
        <f>11.2599 * CHOOSE(CONTROL!$C$32, $C$9, 100%, $E$9)</f>
        <v>11.2599</v>
      </c>
      <c r="C775" s="32">
        <f>11.2599 * CHOOSE(CONTROL!$C$32, $C$9, 100%, $E$9)</f>
        <v>11.2599</v>
      </c>
      <c r="D775" s="32">
        <f>11.2615 * CHOOSE(CONTROL!$C$32, $C$9, 100%, $E$9)</f>
        <v>11.2615</v>
      </c>
      <c r="E775" s="33">
        <f>12.8518 * CHOOSE(CONTROL!$C$32, $C$9, 100%, $E$9)</f>
        <v>12.851800000000001</v>
      </c>
      <c r="F775" s="33">
        <f>12.8518 * CHOOSE(CONTROL!$C$32, $C$9, 100%, $E$9)</f>
        <v>12.851800000000001</v>
      </c>
      <c r="G775" s="33">
        <f>12.857 * CHOOSE(CONTROL!$C$32, $C$9, 100%, $E$9)</f>
        <v>12.856999999999999</v>
      </c>
      <c r="H775" s="33">
        <f>26.0436 * CHOOSE(CONTROL!$C$32, $C$9, 100%, $E$9)</f>
        <v>26.043600000000001</v>
      </c>
      <c r="I775" s="33">
        <f>26.0489 * CHOOSE(CONTROL!$C$32, $C$9, 100%, $E$9)</f>
        <v>26.0489</v>
      </c>
      <c r="J775" s="33">
        <f>26.0436 * CHOOSE(CONTROL!$C$32, $C$9, 100%, $E$9)</f>
        <v>26.043600000000001</v>
      </c>
      <c r="K775" s="33">
        <f>26.0489 * CHOOSE(CONTROL!$C$32, $C$9, 100%, $E$9)</f>
        <v>26.0489</v>
      </c>
      <c r="L775" s="33">
        <f>12.8518 * CHOOSE(CONTROL!$C$32, $C$9, 100%, $E$9)</f>
        <v>12.851800000000001</v>
      </c>
      <c r="M775" s="33">
        <f>12.857 * CHOOSE(CONTROL!$C$32, $C$9, 100%, $E$9)</f>
        <v>12.856999999999999</v>
      </c>
      <c r="N775" s="33">
        <f>12.8518 * CHOOSE(CONTROL!$C$32, $C$9, 100%, $E$9)</f>
        <v>12.851800000000001</v>
      </c>
      <c r="O775" s="33">
        <f>12.857 * CHOOSE(CONTROL!$C$32, $C$9, 100%, $E$9)</f>
        <v>12.856999999999999</v>
      </c>
    </row>
    <row r="776" spans="1:15" ht="15" x14ac:dyDescent="0.2">
      <c r="A776" s="16">
        <v>64467</v>
      </c>
      <c r="B776" s="32">
        <f>11.3981 * CHOOSE(CONTROL!$C$32, $C$9, 100%, $E$9)</f>
        <v>11.398099999999999</v>
      </c>
      <c r="C776" s="32">
        <f>11.3981 * CHOOSE(CONTROL!$C$32, $C$9, 100%, $E$9)</f>
        <v>11.398099999999999</v>
      </c>
      <c r="D776" s="32">
        <f>11.3997 * CHOOSE(CONTROL!$C$32, $C$9, 100%, $E$9)</f>
        <v>11.399699999999999</v>
      </c>
      <c r="E776" s="33">
        <f>13.0328 * CHOOSE(CONTROL!$C$32, $C$9, 100%, $E$9)</f>
        <v>13.0328</v>
      </c>
      <c r="F776" s="33">
        <f>13.0328 * CHOOSE(CONTROL!$C$32, $C$9, 100%, $E$9)</f>
        <v>13.0328</v>
      </c>
      <c r="G776" s="33">
        <f>13.0381 * CHOOSE(CONTROL!$C$32, $C$9, 100%, $E$9)</f>
        <v>13.0381</v>
      </c>
      <c r="H776" s="33">
        <f>26.0979 * CHOOSE(CONTROL!$C$32, $C$9, 100%, $E$9)</f>
        <v>26.097899999999999</v>
      </c>
      <c r="I776" s="33">
        <f>26.1032 * CHOOSE(CONTROL!$C$32, $C$9, 100%, $E$9)</f>
        <v>26.103200000000001</v>
      </c>
      <c r="J776" s="33">
        <f>26.0979 * CHOOSE(CONTROL!$C$32, $C$9, 100%, $E$9)</f>
        <v>26.097899999999999</v>
      </c>
      <c r="K776" s="33">
        <f>26.1032 * CHOOSE(CONTROL!$C$32, $C$9, 100%, $E$9)</f>
        <v>26.103200000000001</v>
      </c>
      <c r="L776" s="33">
        <f>13.0328 * CHOOSE(CONTROL!$C$32, $C$9, 100%, $E$9)</f>
        <v>13.0328</v>
      </c>
      <c r="M776" s="33">
        <f>13.0381 * CHOOSE(CONTROL!$C$32, $C$9, 100%, $E$9)</f>
        <v>13.0381</v>
      </c>
      <c r="N776" s="33">
        <f>13.0328 * CHOOSE(CONTROL!$C$32, $C$9, 100%, $E$9)</f>
        <v>13.0328</v>
      </c>
      <c r="O776" s="33">
        <f>13.0381 * CHOOSE(CONTROL!$C$32, $C$9, 100%, $E$9)</f>
        <v>13.0381</v>
      </c>
    </row>
    <row r="777" spans="1:15" ht="15" x14ac:dyDescent="0.2">
      <c r="A777" s="16">
        <v>64498</v>
      </c>
      <c r="B777" s="32">
        <f>11.4048 * CHOOSE(CONTROL!$C$32, $C$9, 100%, $E$9)</f>
        <v>11.4048</v>
      </c>
      <c r="C777" s="32">
        <f>11.4048 * CHOOSE(CONTROL!$C$32, $C$9, 100%, $E$9)</f>
        <v>11.4048</v>
      </c>
      <c r="D777" s="32">
        <f>11.4064 * CHOOSE(CONTROL!$C$32, $C$9, 100%, $E$9)</f>
        <v>11.4064</v>
      </c>
      <c r="E777" s="33">
        <f>12.7218 * CHOOSE(CONTROL!$C$32, $C$9, 100%, $E$9)</f>
        <v>12.7218</v>
      </c>
      <c r="F777" s="33">
        <f>12.7218 * CHOOSE(CONTROL!$C$32, $C$9, 100%, $E$9)</f>
        <v>12.7218</v>
      </c>
      <c r="G777" s="33">
        <f>12.727 * CHOOSE(CONTROL!$C$32, $C$9, 100%, $E$9)</f>
        <v>12.727</v>
      </c>
      <c r="H777" s="33">
        <f>26.1523 * CHOOSE(CONTROL!$C$32, $C$9, 100%, $E$9)</f>
        <v>26.1523</v>
      </c>
      <c r="I777" s="33">
        <f>26.1576 * CHOOSE(CONTROL!$C$32, $C$9, 100%, $E$9)</f>
        <v>26.157599999999999</v>
      </c>
      <c r="J777" s="33">
        <f>26.1523 * CHOOSE(CONTROL!$C$32, $C$9, 100%, $E$9)</f>
        <v>26.1523</v>
      </c>
      <c r="K777" s="33">
        <f>26.1576 * CHOOSE(CONTROL!$C$32, $C$9, 100%, $E$9)</f>
        <v>26.157599999999999</v>
      </c>
      <c r="L777" s="33">
        <f>12.7218 * CHOOSE(CONTROL!$C$32, $C$9, 100%, $E$9)</f>
        <v>12.7218</v>
      </c>
      <c r="M777" s="33">
        <f>12.727 * CHOOSE(CONTROL!$C$32, $C$9, 100%, $E$9)</f>
        <v>12.727</v>
      </c>
      <c r="N777" s="33">
        <f>12.7218 * CHOOSE(CONTROL!$C$32, $C$9, 100%, $E$9)</f>
        <v>12.7218</v>
      </c>
      <c r="O777" s="33">
        <f>12.727 * CHOOSE(CONTROL!$C$32, $C$9, 100%, $E$9)</f>
        <v>12.727</v>
      </c>
    </row>
    <row r="778" spans="1:15" ht="15" x14ac:dyDescent="0.2">
      <c r="A778" s="16">
        <v>64529</v>
      </c>
      <c r="B778" s="32">
        <f>11.4018 * CHOOSE(CONTROL!$C$32, $C$9, 100%, $E$9)</f>
        <v>11.4018</v>
      </c>
      <c r="C778" s="32">
        <f>11.4018 * CHOOSE(CONTROL!$C$32, $C$9, 100%, $E$9)</f>
        <v>11.4018</v>
      </c>
      <c r="D778" s="32">
        <f>11.4033 * CHOOSE(CONTROL!$C$32, $C$9, 100%, $E$9)</f>
        <v>11.4033</v>
      </c>
      <c r="E778" s="33">
        <f>12.6846 * CHOOSE(CONTROL!$C$32, $C$9, 100%, $E$9)</f>
        <v>12.6846</v>
      </c>
      <c r="F778" s="33">
        <f>12.6846 * CHOOSE(CONTROL!$C$32, $C$9, 100%, $E$9)</f>
        <v>12.6846</v>
      </c>
      <c r="G778" s="33">
        <f>12.6899 * CHOOSE(CONTROL!$C$32, $C$9, 100%, $E$9)</f>
        <v>12.6899</v>
      </c>
      <c r="H778" s="33">
        <f>26.2068 * CHOOSE(CONTROL!$C$32, $C$9, 100%, $E$9)</f>
        <v>26.206800000000001</v>
      </c>
      <c r="I778" s="33">
        <f>26.2121 * CHOOSE(CONTROL!$C$32, $C$9, 100%, $E$9)</f>
        <v>26.2121</v>
      </c>
      <c r="J778" s="33">
        <f>26.2068 * CHOOSE(CONTROL!$C$32, $C$9, 100%, $E$9)</f>
        <v>26.206800000000001</v>
      </c>
      <c r="K778" s="33">
        <f>26.2121 * CHOOSE(CONTROL!$C$32, $C$9, 100%, $E$9)</f>
        <v>26.2121</v>
      </c>
      <c r="L778" s="33">
        <f>12.6846 * CHOOSE(CONTROL!$C$32, $C$9, 100%, $E$9)</f>
        <v>12.6846</v>
      </c>
      <c r="M778" s="33">
        <f>12.6899 * CHOOSE(CONTROL!$C$32, $C$9, 100%, $E$9)</f>
        <v>12.6899</v>
      </c>
      <c r="N778" s="33">
        <f>12.6846 * CHOOSE(CONTROL!$C$32, $C$9, 100%, $E$9)</f>
        <v>12.6846</v>
      </c>
      <c r="O778" s="33">
        <f>12.6899 * CHOOSE(CONTROL!$C$32, $C$9, 100%, $E$9)</f>
        <v>12.6899</v>
      </c>
    </row>
    <row r="779" spans="1:15" ht="15" x14ac:dyDescent="0.2">
      <c r="A779" s="16">
        <v>64559</v>
      </c>
      <c r="B779" s="32">
        <f>11.4245 * CHOOSE(CONTROL!$C$32, $C$9, 100%, $E$9)</f>
        <v>11.4245</v>
      </c>
      <c r="C779" s="32">
        <f>11.4245 * CHOOSE(CONTROL!$C$32, $C$9, 100%, $E$9)</f>
        <v>11.4245</v>
      </c>
      <c r="D779" s="32">
        <f>11.4255 * CHOOSE(CONTROL!$C$32, $C$9, 100%, $E$9)</f>
        <v>11.4255</v>
      </c>
      <c r="E779" s="33">
        <f>12.8114 * CHOOSE(CONTROL!$C$32, $C$9, 100%, $E$9)</f>
        <v>12.811400000000001</v>
      </c>
      <c r="F779" s="33">
        <f>12.8114 * CHOOSE(CONTROL!$C$32, $C$9, 100%, $E$9)</f>
        <v>12.811400000000001</v>
      </c>
      <c r="G779" s="33">
        <f>12.8151 * CHOOSE(CONTROL!$C$32, $C$9, 100%, $E$9)</f>
        <v>12.815099999999999</v>
      </c>
      <c r="H779" s="33">
        <f>26.2614 * CHOOSE(CONTROL!$C$32, $C$9, 100%, $E$9)</f>
        <v>26.261399999999998</v>
      </c>
      <c r="I779" s="33">
        <f>26.265 * CHOOSE(CONTROL!$C$32, $C$9, 100%, $E$9)</f>
        <v>26.265000000000001</v>
      </c>
      <c r="J779" s="33">
        <f>26.2614 * CHOOSE(CONTROL!$C$32, $C$9, 100%, $E$9)</f>
        <v>26.261399999999998</v>
      </c>
      <c r="K779" s="33">
        <f>26.265 * CHOOSE(CONTROL!$C$32, $C$9, 100%, $E$9)</f>
        <v>26.265000000000001</v>
      </c>
      <c r="L779" s="33">
        <f>12.8114 * CHOOSE(CONTROL!$C$32, $C$9, 100%, $E$9)</f>
        <v>12.811400000000001</v>
      </c>
      <c r="M779" s="33">
        <f>12.8151 * CHOOSE(CONTROL!$C$32, $C$9, 100%, $E$9)</f>
        <v>12.815099999999999</v>
      </c>
      <c r="N779" s="33">
        <f>12.8114 * CHOOSE(CONTROL!$C$32, $C$9, 100%, $E$9)</f>
        <v>12.811400000000001</v>
      </c>
      <c r="O779" s="33">
        <f>12.8151 * CHOOSE(CONTROL!$C$32, $C$9, 100%, $E$9)</f>
        <v>12.815099999999999</v>
      </c>
    </row>
    <row r="780" spans="1:15" ht="15" x14ac:dyDescent="0.2">
      <c r="A780" s="16">
        <v>64590</v>
      </c>
      <c r="B780" s="32">
        <f>11.4275 * CHOOSE(CONTROL!$C$32, $C$9, 100%, $E$9)</f>
        <v>11.4275</v>
      </c>
      <c r="C780" s="32">
        <f>11.4275 * CHOOSE(CONTROL!$C$32, $C$9, 100%, $E$9)</f>
        <v>11.4275</v>
      </c>
      <c r="D780" s="32">
        <f>11.4286 * CHOOSE(CONTROL!$C$32, $C$9, 100%, $E$9)</f>
        <v>11.428599999999999</v>
      </c>
      <c r="E780" s="33">
        <f>12.8837 * CHOOSE(CONTROL!$C$32, $C$9, 100%, $E$9)</f>
        <v>12.883699999999999</v>
      </c>
      <c r="F780" s="33">
        <f>12.8837 * CHOOSE(CONTROL!$C$32, $C$9, 100%, $E$9)</f>
        <v>12.883699999999999</v>
      </c>
      <c r="G780" s="33">
        <f>12.8873 * CHOOSE(CONTROL!$C$32, $C$9, 100%, $E$9)</f>
        <v>12.8873</v>
      </c>
      <c r="H780" s="33">
        <f>26.3161 * CHOOSE(CONTROL!$C$32, $C$9, 100%, $E$9)</f>
        <v>26.316099999999999</v>
      </c>
      <c r="I780" s="33">
        <f>26.3197 * CHOOSE(CONTROL!$C$32, $C$9, 100%, $E$9)</f>
        <v>26.319700000000001</v>
      </c>
      <c r="J780" s="33">
        <f>26.3161 * CHOOSE(CONTROL!$C$32, $C$9, 100%, $E$9)</f>
        <v>26.316099999999999</v>
      </c>
      <c r="K780" s="33">
        <f>26.3197 * CHOOSE(CONTROL!$C$32, $C$9, 100%, $E$9)</f>
        <v>26.319700000000001</v>
      </c>
      <c r="L780" s="33">
        <f>12.8837 * CHOOSE(CONTROL!$C$32, $C$9, 100%, $E$9)</f>
        <v>12.883699999999999</v>
      </c>
      <c r="M780" s="33">
        <f>12.8873 * CHOOSE(CONTROL!$C$32, $C$9, 100%, $E$9)</f>
        <v>12.8873</v>
      </c>
      <c r="N780" s="33">
        <f>12.8837 * CHOOSE(CONTROL!$C$32, $C$9, 100%, $E$9)</f>
        <v>12.883699999999999</v>
      </c>
      <c r="O780" s="33">
        <f>12.8873 * CHOOSE(CONTROL!$C$32, $C$9, 100%, $E$9)</f>
        <v>12.8873</v>
      </c>
    </row>
    <row r="781" spans="1:15" ht="15" x14ac:dyDescent="0.2">
      <c r="A781" s="16">
        <v>64620</v>
      </c>
      <c r="B781" s="32">
        <f>11.4275 * CHOOSE(CONTROL!$C$32, $C$9, 100%, $E$9)</f>
        <v>11.4275</v>
      </c>
      <c r="C781" s="32">
        <f>11.4275 * CHOOSE(CONTROL!$C$32, $C$9, 100%, $E$9)</f>
        <v>11.4275</v>
      </c>
      <c r="D781" s="32">
        <f>11.4286 * CHOOSE(CONTROL!$C$32, $C$9, 100%, $E$9)</f>
        <v>11.428599999999999</v>
      </c>
      <c r="E781" s="33">
        <f>12.7083 * CHOOSE(CONTROL!$C$32, $C$9, 100%, $E$9)</f>
        <v>12.708299999999999</v>
      </c>
      <c r="F781" s="33">
        <f>12.7083 * CHOOSE(CONTROL!$C$32, $C$9, 100%, $E$9)</f>
        <v>12.708299999999999</v>
      </c>
      <c r="G781" s="33">
        <f>12.712 * CHOOSE(CONTROL!$C$32, $C$9, 100%, $E$9)</f>
        <v>12.712</v>
      </c>
      <c r="H781" s="33">
        <f>26.3709 * CHOOSE(CONTROL!$C$32, $C$9, 100%, $E$9)</f>
        <v>26.370899999999999</v>
      </c>
      <c r="I781" s="33">
        <f>26.3745 * CHOOSE(CONTROL!$C$32, $C$9, 100%, $E$9)</f>
        <v>26.374500000000001</v>
      </c>
      <c r="J781" s="33">
        <f>26.3709 * CHOOSE(CONTROL!$C$32, $C$9, 100%, $E$9)</f>
        <v>26.370899999999999</v>
      </c>
      <c r="K781" s="33">
        <f>26.3745 * CHOOSE(CONTROL!$C$32, $C$9, 100%, $E$9)</f>
        <v>26.374500000000001</v>
      </c>
      <c r="L781" s="33">
        <f>12.7083 * CHOOSE(CONTROL!$C$32, $C$9, 100%, $E$9)</f>
        <v>12.708299999999999</v>
      </c>
      <c r="M781" s="33">
        <f>12.712 * CHOOSE(CONTROL!$C$32, $C$9, 100%, $E$9)</f>
        <v>12.712</v>
      </c>
      <c r="N781" s="33">
        <f>12.7083 * CHOOSE(CONTROL!$C$32, $C$9, 100%, $E$9)</f>
        <v>12.708299999999999</v>
      </c>
      <c r="O781" s="33">
        <f>12.712 * CHOOSE(CONTROL!$C$32, $C$9, 100%, $E$9)</f>
        <v>12.712</v>
      </c>
    </row>
    <row r="782" spans="1:15" ht="15" x14ac:dyDescent="0.2">
      <c r="A782" s="16">
        <v>64651</v>
      </c>
      <c r="B782" s="32">
        <f>11.4426 * CHOOSE(CONTROL!$C$32, $C$9, 100%, $E$9)</f>
        <v>11.442600000000001</v>
      </c>
      <c r="C782" s="32">
        <f>11.4426 * CHOOSE(CONTROL!$C$32, $C$9, 100%, $E$9)</f>
        <v>11.442600000000001</v>
      </c>
      <c r="D782" s="32">
        <f>11.4436 * CHOOSE(CONTROL!$C$32, $C$9, 100%, $E$9)</f>
        <v>11.4436</v>
      </c>
      <c r="E782" s="33">
        <f>12.858 * CHOOSE(CONTROL!$C$32, $C$9, 100%, $E$9)</f>
        <v>12.858000000000001</v>
      </c>
      <c r="F782" s="33">
        <f>12.858 * CHOOSE(CONTROL!$C$32, $C$9, 100%, $E$9)</f>
        <v>12.858000000000001</v>
      </c>
      <c r="G782" s="33">
        <f>12.8617 * CHOOSE(CONTROL!$C$32, $C$9, 100%, $E$9)</f>
        <v>12.861700000000001</v>
      </c>
      <c r="H782" s="33">
        <f>26.2381 * CHOOSE(CONTROL!$C$32, $C$9, 100%, $E$9)</f>
        <v>26.238099999999999</v>
      </c>
      <c r="I782" s="33">
        <f>26.2417 * CHOOSE(CONTROL!$C$32, $C$9, 100%, $E$9)</f>
        <v>26.241700000000002</v>
      </c>
      <c r="J782" s="33">
        <f>26.2381 * CHOOSE(CONTROL!$C$32, $C$9, 100%, $E$9)</f>
        <v>26.238099999999999</v>
      </c>
      <c r="K782" s="33">
        <f>26.2417 * CHOOSE(CONTROL!$C$32, $C$9, 100%, $E$9)</f>
        <v>26.241700000000002</v>
      </c>
      <c r="L782" s="33">
        <f>12.858 * CHOOSE(CONTROL!$C$32, $C$9, 100%, $E$9)</f>
        <v>12.858000000000001</v>
      </c>
      <c r="M782" s="33">
        <f>12.8617 * CHOOSE(CONTROL!$C$32, $C$9, 100%, $E$9)</f>
        <v>12.861700000000001</v>
      </c>
      <c r="N782" s="33">
        <f>12.858 * CHOOSE(CONTROL!$C$32, $C$9, 100%, $E$9)</f>
        <v>12.858000000000001</v>
      </c>
      <c r="O782" s="33">
        <f>12.8617 * CHOOSE(CONTROL!$C$32, $C$9, 100%, $E$9)</f>
        <v>12.861700000000001</v>
      </c>
    </row>
    <row r="783" spans="1:15" ht="15" x14ac:dyDescent="0.2">
      <c r="A783" s="16">
        <v>64682</v>
      </c>
      <c r="B783" s="32">
        <f>11.4395 * CHOOSE(CONTROL!$C$32, $C$9, 100%, $E$9)</f>
        <v>11.439500000000001</v>
      </c>
      <c r="C783" s="32">
        <f>11.4395 * CHOOSE(CONTROL!$C$32, $C$9, 100%, $E$9)</f>
        <v>11.439500000000001</v>
      </c>
      <c r="D783" s="32">
        <f>11.4406 * CHOOSE(CONTROL!$C$32, $C$9, 100%, $E$9)</f>
        <v>11.4406</v>
      </c>
      <c r="E783" s="33">
        <f>12.5174 * CHOOSE(CONTROL!$C$32, $C$9, 100%, $E$9)</f>
        <v>12.5174</v>
      </c>
      <c r="F783" s="33">
        <f>12.5174 * CHOOSE(CONTROL!$C$32, $C$9, 100%, $E$9)</f>
        <v>12.5174</v>
      </c>
      <c r="G783" s="33">
        <f>12.521 * CHOOSE(CONTROL!$C$32, $C$9, 100%, $E$9)</f>
        <v>12.521000000000001</v>
      </c>
      <c r="H783" s="33">
        <f>26.2927 * CHOOSE(CONTROL!$C$32, $C$9, 100%, $E$9)</f>
        <v>26.2927</v>
      </c>
      <c r="I783" s="33">
        <f>26.2964 * CHOOSE(CONTROL!$C$32, $C$9, 100%, $E$9)</f>
        <v>26.296399999999998</v>
      </c>
      <c r="J783" s="33">
        <f>26.2927 * CHOOSE(CONTROL!$C$32, $C$9, 100%, $E$9)</f>
        <v>26.2927</v>
      </c>
      <c r="K783" s="33">
        <f>26.2964 * CHOOSE(CONTROL!$C$32, $C$9, 100%, $E$9)</f>
        <v>26.296399999999998</v>
      </c>
      <c r="L783" s="33">
        <f>12.5174 * CHOOSE(CONTROL!$C$32, $C$9, 100%, $E$9)</f>
        <v>12.5174</v>
      </c>
      <c r="M783" s="33">
        <f>12.521 * CHOOSE(CONTROL!$C$32, $C$9, 100%, $E$9)</f>
        <v>12.521000000000001</v>
      </c>
      <c r="N783" s="33">
        <f>12.5174 * CHOOSE(CONTROL!$C$32, $C$9, 100%, $E$9)</f>
        <v>12.5174</v>
      </c>
      <c r="O783" s="33">
        <f>12.521 * CHOOSE(CONTROL!$C$32, $C$9, 100%, $E$9)</f>
        <v>12.521000000000001</v>
      </c>
    </row>
    <row r="784" spans="1:15" ht="15" x14ac:dyDescent="0.2">
      <c r="A784" s="16">
        <v>64710</v>
      </c>
      <c r="B784" s="32">
        <f>11.4365 * CHOOSE(CONTROL!$C$32, $C$9, 100%, $E$9)</f>
        <v>11.436500000000001</v>
      </c>
      <c r="C784" s="32">
        <f>11.4365 * CHOOSE(CONTROL!$C$32, $C$9, 100%, $E$9)</f>
        <v>11.436500000000001</v>
      </c>
      <c r="D784" s="32">
        <f>11.4376 * CHOOSE(CONTROL!$C$32, $C$9, 100%, $E$9)</f>
        <v>11.4376</v>
      </c>
      <c r="E784" s="33">
        <f>12.7822 * CHOOSE(CONTROL!$C$32, $C$9, 100%, $E$9)</f>
        <v>12.7822</v>
      </c>
      <c r="F784" s="33">
        <f>12.7822 * CHOOSE(CONTROL!$C$32, $C$9, 100%, $E$9)</f>
        <v>12.7822</v>
      </c>
      <c r="G784" s="33">
        <f>12.7858 * CHOOSE(CONTROL!$C$32, $C$9, 100%, $E$9)</f>
        <v>12.7858</v>
      </c>
      <c r="H784" s="33">
        <f>26.3475 * CHOOSE(CONTROL!$C$32, $C$9, 100%, $E$9)</f>
        <v>26.3475</v>
      </c>
      <c r="I784" s="33">
        <f>26.3511 * CHOOSE(CONTROL!$C$32, $C$9, 100%, $E$9)</f>
        <v>26.351099999999999</v>
      </c>
      <c r="J784" s="33">
        <f>26.3475 * CHOOSE(CONTROL!$C$32, $C$9, 100%, $E$9)</f>
        <v>26.3475</v>
      </c>
      <c r="K784" s="33">
        <f>26.3511 * CHOOSE(CONTROL!$C$32, $C$9, 100%, $E$9)</f>
        <v>26.351099999999999</v>
      </c>
      <c r="L784" s="33">
        <f>12.7822 * CHOOSE(CONTROL!$C$32, $C$9, 100%, $E$9)</f>
        <v>12.7822</v>
      </c>
      <c r="M784" s="33">
        <f>12.7858 * CHOOSE(CONTROL!$C$32, $C$9, 100%, $E$9)</f>
        <v>12.7858</v>
      </c>
      <c r="N784" s="33">
        <f>12.7822 * CHOOSE(CONTROL!$C$32, $C$9, 100%, $E$9)</f>
        <v>12.7822</v>
      </c>
      <c r="O784" s="33">
        <f>12.7858 * CHOOSE(CONTROL!$C$32, $C$9, 100%, $E$9)</f>
        <v>12.7858</v>
      </c>
    </row>
    <row r="785" spans="1:15" ht="15" x14ac:dyDescent="0.2">
      <c r="A785" s="16">
        <v>64741</v>
      </c>
      <c r="B785" s="32">
        <f>11.4414 * CHOOSE(CONTROL!$C$32, $C$9, 100%, $E$9)</f>
        <v>11.4414</v>
      </c>
      <c r="C785" s="32">
        <f>11.4414 * CHOOSE(CONTROL!$C$32, $C$9, 100%, $E$9)</f>
        <v>11.4414</v>
      </c>
      <c r="D785" s="32">
        <f>11.4424 * CHOOSE(CONTROL!$C$32, $C$9, 100%, $E$9)</f>
        <v>11.442399999999999</v>
      </c>
      <c r="E785" s="33">
        <f>13.0645 * CHOOSE(CONTROL!$C$32, $C$9, 100%, $E$9)</f>
        <v>13.064500000000001</v>
      </c>
      <c r="F785" s="33">
        <f>13.0645 * CHOOSE(CONTROL!$C$32, $C$9, 100%, $E$9)</f>
        <v>13.064500000000001</v>
      </c>
      <c r="G785" s="33">
        <f>13.0681 * CHOOSE(CONTROL!$C$32, $C$9, 100%, $E$9)</f>
        <v>13.068099999999999</v>
      </c>
      <c r="H785" s="33">
        <f>26.4024 * CHOOSE(CONTROL!$C$32, $C$9, 100%, $E$9)</f>
        <v>26.4024</v>
      </c>
      <c r="I785" s="33">
        <f>26.406 * CHOOSE(CONTROL!$C$32, $C$9, 100%, $E$9)</f>
        <v>26.405999999999999</v>
      </c>
      <c r="J785" s="33">
        <f>26.4024 * CHOOSE(CONTROL!$C$32, $C$9, 100%, $E$9)</f>
        <v>26.4024</v>
      </c>
      <c r="K785" s="33">
        <f>26.406 * CHOOSE(CONTROL!$C$32, $C$9, 100%, $E$9)</f>
        <v>26.405999999999999</v>
      </c>
      <c r="L785" s="33">
        <f>13.0645 * CHOOSE(CONTROL!$C$32, $C$9, 100%, $E$9)</f>
        <v>13.064500000000001</v>
      </c>
      <c r="M785" s="33">
        <f>13.0681 * CHOOSE(CONTROL!$C$32, $C$9, 100%, $E$9)</f>
        <v>13.068099999999999</v>
      </c>
      <c r="N785" s="33">
        <f>13.0645 * CHOOSE(CONTROL!$C$32, $C$9, 100%, $E$9)</f>
        <v>13.064500000000001</v>
      </c>
      <c r="O785" s="33">
        <f>13.0681 * CHOOSE(CONTROL!$C$32, $C$9, 100%, $E$9)</f>
        <v>13.068099999999999</v>
      </c>
    </row>
    <row r="786" spans="1:15" ht="15" x14ac:dyDescent="0.2">
      <c r="A786" s="16">
        <v>64771</v>
      </c>
      <c r="B786" s="32">
        <f>11.4414 * CHOOSE(CONTROL!$C$32, $C$9, 100%, $E$9)</f>
        <v>11.4414</v>
      </c>
      <c r="C786" s="32">
        <f>11.4414 * CHOOSE(CONTROL!$C$32, $C$9, 100%, $E$9)</f>
        <v>11.4414</v>
      </c>
      <c r="D786" s="32">
        <f>11.4429 * CHOOSE(CONTROL!$C$32, $C$9, 100%, $E$9)</f>
        <v>11.4429</v>
      </c>
      <c r="E786" s="33">
        <f>13.172 * CHOOSE(CONTROL!$C$32, $C$9, 100%, $E$9)</f>
        <v>13.172000000000001</v>
      </c>
      <c r="F786" s="33">
        <f>13.172 * CHOOSE(CONTROL!$C$32, $C$9, 100%, $E$9)</f>
        <v>13.172000000000001</v>
      </c>
      <c r="G786" s="33">
        <f>13.1773 * CHOOSE(CONTROL!$C$32, $C$9, 100%, $E$9)</f>
        <v>13.177300000000001</v>
      </c>
      <c r="H786" s="33">
        <f>26.4574 * CHOOSE(CONTROL!$C$32, $C$9, 100%, $E$9)</f>
        <v>26.4574</v>
      </c>
      <c r="I786" s="33">
        <f>26.4627 * CHOOSE(CONTROL!$C$32, $C$9, 100%, $E$9)</f>
        <v>26.462700000000002</v>
      </c>
      <c r="J786" s="33">
        <f>26.4574 * CHOOSE(CONTROL!$C$32, $C$9, 100%, $E$9)</f>
        <v>26.4574</v>
      </c>
      <c r="K786" s="33">
        <f>26.4627 * CHOOSE(CONTROL!$C$32, $C$9, 100%, $E$9)</f>
        <v>26.462700000000002</v>
      </c>
      <c r="L786" s="33">
        <f>13.172 * CHOOSE(CONTROL!$C$32, $C$9, 100%, $E$9)</f>
        <v>13.172000000000001</v>
      </c>
      <c r="M786" s="33">
        <f>13.1773 * CHOOSE(CONTROL!$C$32, $C$9, 100%, $E$9)</f>
        <v>13.177300000000001</v>
      </c>
      <c r="N786" s="33">
        <f>13.172 * CHOOSE(CONTROL!$C$32, $C$9, 100%, $E$9)</f>
        <v>13.172000000000001</v>
      </c>
      <c r="O786" s="33">
        <f>13.1773 * CHOOSE(CONTROL!$C$32, $C$9, 100%, $E$9)</f>
        <v>13.177300000000001</v>
      </c>
    </row>
    <row r="787" spans="1:15" ht="15" x14ac:dyDescent="0.2">
      <c r="A787" s="16">
        <v>64802</v>
      </c>
      <c r="B787" s="32">
        <f>11.4474 * CHOOSE(CONTROL!$C$32, $C$9, 100%, $E$9)</f>
        <v>11.4474</v>
      </c>
      <c r="C787" s="32">
        <f>11.4474 * CHOOSE(CONTROL!$C$32, $C$9, 100%, $E$9)</f>
        <v>11.4474</v>
      </c>
      <c r="D787" s="32">
        <f>11.449 * CHOOSE(CONTROL!$C$32, $C$9, 100%, $E$9)</f>
        <v>11.449</v>
      </c>
      <c r="E787" s="33">
        <f>13.0688 * CHOOSE(CONTROL!$C$32, $C$9, 100%, $E$9)</f>
        <v>13.0688</v>
      </c>
      <c r="F787" s="33">
        <f>13.0688 * CHOOSE(CONTROL!$C$32, $C$9, 100%, $E$9)</f>
        <v>13.0688</v>
      </c>
      <c r="G787" s="33">
        <f>13.074 * CHOOSE(CONTROL!$C$32, $C$9, 100%, $E$9)</f>
        <v>13.074</v>
      </c>
      <c r="H787" s="33">
        <f>26.5125 * CHOOSE(CONTROL!$C$32, $C$9, 100%, $E$9)</f>
        <v>26.512499999999999</v>
      </c>
      <c r="I787" s="33">
        <f>26.5178 * CHOOSE(CONTROL!$C$32, $C$9, 100%, $E$9)</f>
        <v>26.517800000000001</v>
      </c>
      <c r="J787" s="33">
        <f>26.5125 * CHOOSE(CONTROL!$C$32, $C$9, 100%, $E$9)</f>
        <v>26.512499999999999</v>
      </c>
      <c r="K787" s="33">
        <f>26.5178 * CHOOSE(CONTROL!$C$32, $C$9, 100%, $E$9)</f>
        <v>26.517800000000001</v>
      </c>
      <c r="L787" s="33">
        <f>13.0688 * CHOOSE(CONTROL!$C$32, $C$9, 100%, $E$9)</f>
        <v>13.0688</v>
      </c>
      <c r="M787" s="33">
        <f>13.074 * CHOOSE(CONTROL!$C$32, $C$9, 100%, $E$9)</f>
        <v>13.074</v>
      </c>
      <c r="N787" s="33">
        <f>13.0688 * CHOOSE(CONTROL!$C$32, $C$9, 100%, $E$9)</f>
        <v>13.0688</v>
      </c>
      <c r="O787" s="33">
        <f>13.074 * CHOOSE(CONTROL!$C$32, $C$9, 100%, $E$9)</f>
        <v>13.074</v>
      </c>
    </row>
    <row r="788" spans="1:15" ht="15" x14ac:dyDescent="0.2">
      <c r="A788" s="16">
        <v>64832</v>
      </c>
      <c r="B788" s="32">
        <f>11.5877 * CHOOSE(CONTROL!$C$32, $C$9, 100%, $E$9)</f>
        <v>11.5877</v>
      </c>
      <c r="C788" s="32">
        <f>11.5877 * CHOOSE(CONTROL!$C$32, $C$9, 100%, $E$9)</f>
        <v>11.5877</v>
      </c>
      <c r="D788" s="32">
        <f>11.5893 * CHOOSE(CONTROL!$C$32, $C$9, 100%, $E$9)</f>
        <v>11.5893</v>
      </c>
      <c r="E788" s="33">
        <f>13.2529 * CHOOSE(CONTROL!$C$32, $C$9, 100%, $E$9)</f>
        <v>13.2529</v>
      </c>
      <c r="F788" s="33">
        <f>13.2529 * CHOOSE(CONTROL!$C$32, $C$9, 100%, $E$9)</f>
        <v>13.2529</v>
      </c>
      <c r="G788" s="33">
        <f>13.2582 * CHOOSE(CONTROL!$C$32, $C$9, 100%, $E$9)</f>
        <v>13.2582</v>
      </c>
      <c r="H788" s="33">
        <f>26.5678 * CHOOSE(CONTROL!$C$32, $C$9, 100%, $E$9)</f>
        <v>26.567799999999998</v>
      </c>
      <c r="I788" s="33">
        <f>26.5731 * CHOOSE(CONTROL!$C$32, $C$9, 100%, $E$9)</f>
        <v>26.5731</v>
      </c>
      <c r="J788" s="33">
        <f>26.5678 * CHOOSE(CONTROL!$C$32, $C$9, 100%, $E$9)</f>
        <v>26.567799999999998</v>
      </c>
      <c r="K788" s="33">
        <f>26.5731 * CHOOSE(CONTROL!$C$32, $C$9, 100%, $E$9)</f>
        <v>26.5731</v>
      </c>
      <c r="L788" s="33">
        <f>13.2529 * CHOOSE(CONTROL!$C$32, $C$9, 100%, $E$9)</f>
        <v>13.2529</v>
      </c>
      <c r="M788" s="33">
        <f>13.2582 * CHOOSE(CONTROL!$C$32, $C$9, 100%, $E$9)</f>
        <v>13.2582</v>
      </c>
      <c r="N788" s="33">
        <f>13.2529 * CHOOSE(CONTROL!$C$32, $C$9, 100%, $E$9)</f>
        <v>13.2529</v>
      </c>
      <c r="O788" s="33">
        <f>13.2582 * CHOOSE(CONTROL!$C$32, $C$9, 100%, $E$9)</f>
        <v>13.2582</v>
      </c>
    </row>
    <row r="789" spans="1:15" ht="15" x14ac:dyDescent="0.2">
      <c r="A789" s="16">
        <v>64863</v>
      </c>
      <c r="B789" s="32">
        <f>11.5944 * CHOOSE(CONTROL!$C$32, $C$9, 100%, $E$9)</f>
        <v>11.5944</v>
      </c>
      <c r="C789" s="32">
        <f>11.5944 * CHOOSE(CONTROL!$C$32, $C$9, 100%, $E$9)</f>
        <v>11.5944</v>
      </c>
      <c r="D789" s="32">
        <f>11.596 * CHOOSE(CONTROL!$C$32, $C$9, 100%, $E$9)</f>
        <v>11.596</v>
      </c>
      <c r="E789" s="33">
        <f>12.9352 * CHOOSE(CONTROL!$C$32, $C$9, 100%, $E$9)</f>
        <v>12.9352</v>
      </c>
      <c r="F789" s="33">
        <f>12.9352 * CHOOSE(CONTROL!$C$32, $C$9, 100%, $E$9)</f>
        <v>12.9352</v>
      </c>
      <c r="G789" s="33">
        <f>12.9405 * CHOOSE(CONTROL!$C$32, $C$9, 100%, $E$9)</f>
        <v>12.9405</v>
      </c>
      <c r="H789" s="33">
        <f>26.6231 * CHOOSE(CONTROL!$C$32, $C$9, 100%, $E$9)</f>
        <v>26.623100000000001</v>
      </c>
      <c r="I789" s="33">
        <f>26.6284 * CHOOSE(CONTROL!$C$32, $C$9, 100%, $E$9)</f>
        <v>26.628399999999999</v>
      </c>
      <c r="J789" s="33">
        <f>26.6231 * CHOOSE(CONTROL!$C$32, $C$9, 100%, $E$9)</f>
        <v>26.623100000000001</v>
      </c>
      <c r="K789" s="33">
        <f>26.6284 * CHOOSE(CONTROL!$C$32, $C$9, 100%, $E$9)</f>
        <v>26.628399999999999</v>
      </c>
      <c r="L789" s="33">
        <f>12.9352 * CHOOSE(CONTROL!$C$32, $C$9, 100%, $E$9)</f>
        <v>12.9352</v>
      </c>
      <c r="M789" s="33">
        <f>12.9405 * CHOOSE(CONTROL!$C$32, $C$9, 100%, $E$9)</f>
        <v>12.9405</v>
      </c>
      <c r="N789" s="33">
        <f>12.9352 * CHOOSE(CONTROL!$C$32, $C$9, 100%, $E$9)</f>
        <v>12.9352</v>
      </c>
      <c r="O789" s="33">
        <f>12.9405 * CHOOSE(CONTROL!$C$32, $C$9, 100%, $E$9)</f>
        <v>12.9405</v>
      </c>
    </row>
    <row r="790" spans="1:15" ht="15" x14ac:dyDescent="0.2">
      <c r="A790" s="16">
        <v>64894</v>
      </c>
      <c r="B790" s="32">
        <f>11.5913 * CHOOSE(CONTROL!$C$32, $C$9, 100%, $E$9)</f>
        <v>11.5913</v>
      </c>
      <c r="C790" s="32">
        <f>11.5913 * CHOOSE(CONTROL!$C$32, $C$9, 100%, $E$9)</f>
        <v>11.5913</v>
      </c>
      <c r="D790" s="32">
        <f>11.5929 * CHOOSE(CONTROL!$C$32, $C$9, 100%, $E$9)</f>
        <v>11.5929</v>
      </c>
      <c r="E790" s="33">
        <f>12.8972 * CHOOSE(CONTROL!$C$32, $C$9, 100%, $E$9)</f>
        <v>12.8972</v>
      </c>
      <c r="F790" s="33">
        <f>12.8972 * CHOOSE(CONTROL!$C$32, $C$9, 100%, $E$9)</f>
        <v>12.8972</v>
      </c>
      <c r="G790" s="33">
        <f>12.9025 * CHOOSE(CONTROL!$C$32, $C$9, 100%, $E$9)</f>
        <v>12.9025</v>
      </c>
      <c r="H790" s="33">
        <f>26.6786 * CHOOSE(CONTROL!$C$32, $C$9, 100%, $E$9)</f>
        <v>26.678599999999999</v>
      </c>
      <c r="I790" s="33">
        <f>26.6839 * CHOOSE(CONTROL!$C$32, $C$9, 100%, $E$9)</f>
        <v>26.683900000000001</v>
      </c>
      <c r="J790" s="33">
        <f>26.6786 * CHOOSE(CONTROL!$C$32, $C$9, 100%, $E$9)</f>
        <v>26.678599999999999</v>
      </c>
      <c r="K790" s="33">
        <f>26.6839 * CHOOSE(CONTROL!$C$32, $C$9, 100%, $E$9)</f>
        <v>26.683900000000001</v>
      </c>
      <c r="L790" s="33">
        <f>12.8972 * CHOOSE(CONTROL!$C$32, $C$9, 100%, $E$9)</f>
        <v>12.8972</v>
      </c>
      <c r="M790" s="33">
        <f>12.9025 * CHOOSE(CONTROL!$C$32, $C$9, 100%, $E$9)</f>
        <v>12.9025</v>
      </c>
      <c r="N790" s="33">
        <f>12.8972 * CHOOSE(CONTROL!$C$32, $C$9, 100%, $E$9)</f>
        <v>12.8972</v>
      </c>
      <c r="O790" s="33">
        <f>12.9025 * CHOOSE(CONTROL!$C$32, $C$9, 100%, $E$9)</f>
        <v>12.9025</v>
      </c>
    </row>
    <row r="791" spans="1:15" ht="15" x14ac:dyDescent="0.2">
      <c r="A791" s="16">
        <v>64924</v>
      </c>
      <c r="B791" s="32">
        <f>11.6148 * CHOOSE(CONTROL!$C$32, $C$9, 100%, $E$9)</f>
        <v>11.614800000000001</v>
      </c>
      <c r="C791" s="32">
        <f>11.6148 * CHOOSE(CONTROL!$C$32, $C$9, 100%, $E$9)</f>
        <v>11.614800000000001</v>
      </c>
      <c r="D791" s="32">
        <f>11.6158 * CHOOSE(CONTROL!$C$32, $C$9, 100%, $E$9)</f>
        <v>11.6158</v>
      </c>
      <c r="E791" s="33">
        <f>13.0271 * CHOOSE(CONTROL!$C$32, $C$9, 100%, $E$9)</f>
        <v>13.027100000000001</v>
      </c>
      <c r="F791" s="33">
        <f>13.0271 * CHOOSE(CONTROL!$C$32, $C$9, 100%, $E$9)</f>
        <v>13.027100000000001</v>
      </c>
      <c r="G791" s="33">
        <f>13.0307 * CHOOSE(CONTROL!$C$32, $C$9, 100%, $E$9)</f>
        <v>13.0307</v>
      </c>
      <c r="H791" s="33">
        <f>26.7342 * CHOOSE(CONTROL!$C$32, $C$9, 100%, $E$9)</f>
        <v>26.734200000000001</v>
      </c>
      <c r="I791" s="33">
        <f>26.7378 * CHOOSE(CONTROL!$C$32, $C$9, 100%, $E$9)</f>
        <v>26.7378</v>
      </c>
      <c r="J791" s="33">
        <f>26.7342 * CHOOSE(CONTROL!$C$32, $C$9, 100%, $E$9)</f>
        <v>26.734200000000001</v>
      </c>
      <c r="K791" s="33">
        <f>26.7378 * CHOOSE(CONTROL!$C$32, $C$9, 100%, $E$9)</f>
        <v>26.7378</v>
      </c>
      <c r="L791" s="33">
        <f>13.0271 * CHOOSE(CONTROL!$C$32, $C$9, 100%, $E$9)</f>
        <v>13.027100000000001</v>
      </c>
      <c r="M791" s="33">
        <f>13.0307 * CHOOSE(CONTROL!$C$32, $C$9, 100%, $E$9)</f>
        <v>13.0307</v>
      </c>
      <c r="N791" s="33">
        <f>13.0271 * CHOOSE(CONTROL!$C$32, $C$9, 100%, $E$9)</f>
        <v>13.027100000000001</v>
      </c>
      <c r="O791" s="33">
        <f>13.0307 * CHOOSE(CONTROL!$C$32, $C$9, 100%, $E$9)</f>
        <v>13.0307</v>
      </c>
    </row>
    <row r="792" spans="1:15" ht="15" x14ac:dyDescent="0.2">
      <c r="A792" s="16">
        <v>64955</v>
      </c>
      <c r="B792" s="32">
        <f>11.6178 * CHOOSE(CONTROL!$C$32, $C$9, 100%, $E$9)</f>
        <v>11.617800000000001</v>
      </c>
      <c r="C792" s="32">
        <f>11.6178 * CHOOSE(CONTROL!$C$32, $C$9, 100%, $E$9)</f>
        <v>11.617800000000001</v>
      </c>
      <c r="D792" s="32">
        <f>11.6189 * CHOOSE(CONTROL!$C$32, $C$9, 100%, $E$9)</f>
        <v>11.6189</v>
      </c>
      <c r="E792" s="33">
        <f>13.1009 * CHOOSE(CONTROL!$C$32, $C$9, 100%, $E$9)</f>
        <v>13.100899999999999</v>
      </c>
      <c r="F792" s="33">
        <f>13.1009 * CHOOSE(CONTROL!$C$32, $C$9, 100%, $E$9)</f>
        <v>13.100899999999999</v>
      </c>
      <c r="G792" s="33">
        <f>13.1045 * CHOOSE(CONTROL!$C$32, $C$9, 100%, $E$9)</f>
        <v>13.1045</v>
      </c>
      <c r="H792" s="33">
        <f>26.7899 * CHOOSE(CONTROL!$C$32, $C$9, 100%, $E$9)</f>
        <v>26.789899999999999</v>
      </c>
      <c r="I792" s="33">
        <f>26.7935 * CHOOSE(CONTROL!$C$32, $C$9, 100%, $E$9)</f>
        <v>26.793500000000002</v>
      </c>
      <c r="J792" s="33">
        <f>26.7899 * CHOOSE(CONTROL!$C$32, $C$9, 100%, $E$9)</f>
        <v>26.789899999999999</v>
      </c>
      <c r="K792" s="33">
        <f>26.7935 * CHOOSE(CONTROL!$C$32, $C$9, 100%, $E$9)</f>
        <v>26.793500000000002</v>
      </c>
      <c r="L792" s="33">
        <f>13.1009 * CHOOSE(CONTROL!$C$32, $C$9, 100%, $E$9)</f>
        <v>13.100899999999999</v>
      </c>
      <c r="M792" s="33">
        <f>13.1045 * CHOOSE(CONTROL!$C$32, $C$9, 100%, $E$9)</f>
        <v>13.1045</v>
      </c>
      <c r="N792" s="33">
        <f>13.1009 * CHOOSE(CONTROL!$C$32, $C$9, 100%, $E$9)</f>
        <v>13.100899999999999</v>
      </c>
      <c r="O792" s="33">
        <f>13.1045 * CHOOSE(CONTROL!$C$32, $C$9, 100%, $E$9)</f>
        <v>13.1045</v>
      </c>
    </row>
    <row r="793" spans="1:15" ht="15" x14ac:dyDescent="0.2">
      <c r="A793" s="16">
        <v>64985</v>
      </c>
      <c r="B793" s="32">
        <f>11.6178 * CHOOSE(CONTROL!$C$32, $C$9, 100%, $E$9)</f>
        <v>11.617800000000001</v>
      </c>
      <c r="C793" s="32">
        <f>11.6178 * CHOOSE(CONTROL!$C$32, $C$9, 100%, $E$9)</f>
        <v>11.617800000000001</v>
      </c>
      <c r="D793" s="32">
        <f>11.6189 * CHOOSE(CONTROL!$C$32, $C$9, 100%, $E$9)</f>
        <v>11.6189</v>
      </c>
      <c r="E793" s="33">
        <f>12.9218 * CHOOSE(CONTROL!$C$32, $C$9, 100%, $E$9)</f>
        <v>12.921799999999999</v>
      </c>
      <c r="F793" s="33">
        <f>12.9218 * CHOOSE(CONTROL!$C$32, $C$9, 100%, $E$9)</f>
        <v>12.921799999999999</v>
      </c>
      <c r="G793" s="33">
        <f>12.9254 * CHOOSE(CONTROL!$C$32, $C$9, 100%, $E$9)</f>
        <v>12.9254</v>
      </c>
      <c r="H793" s="33">
        <f>26.8457 * CHOOSE(CONTROL!$C$32, $C$9, 100%, $E$9)</f>
        <v>26.845700000000001</v>
      </c>
      <c r="I793" s="33">
        <f>26.8493 * CHOOSE(CONTROL!$C$32, $C$9, 100%, $E$9)</f>
        <v>26.849299999999999</v>
      </c>
      <c r="J793" s="33">
        <f>26.8457 * CHOOSE(CONTROL!$C$32, $C$9, 100%, $E$9)</f>
        <v>26.845700000000001</v>
      </c>
      <c r="K793" s="33">
        <f>26.8493 * CHOOSE(CONTROL!$C$32, $C$9, 100%, $E$9)</f>
        <v>26.849299999999999</v>
      </c>
      <c r="L793" s="33">
        <f>12.9218 * CHOOSE(CONTROL!$C$32, $C$9, 100%, $E$9)</f>
        <v>12.921799999999999</v>
      </c>
      <c r="M793" s="33">
        <f>12.9254 * CHOOSE(CONTROL!$C$32, $C$9, 100%, $E$9)</f>
        <v>12.9254</v>
      </c>
      <c r="N793" s="33">
        <f>12.9218 * CHOOSE(CONTROL!$C$32, $C$9, 100%, $E$9)</f>
        <v>12.921799999999999</v>
      </c>
      <c r="O793" s="33">
        <f>12.9254 * CHOOSE(CONTROL!$C$32, $C$9, 100%, $E$9)</f>
        <v>12.9254</v>
      </c>
    </row>
    <row r="794" spans="1:15" ht="15" x14ac:dyDescent="0.2">
      <c r="A794" s="16">
        <v>65016</v>
      </c>
      <c r="B794" s="32">
        <f>11.6299 * CHOOSE(CONTROL!$C$32, $C$9, 100%, $E$9)</f>
        <v>11.629899999999999</v>
      </c>
      <c r="C794" s="32">
        <f>11.6299 * CHOOSE(CONTROL!$C$32, $C$9, 100%, $E$9)</f>
        <v>11.629899999999999</v>
      </c>
      <c r="D794" s="32">
        <f>11.631 * CHOOSE(CONTROL!$C$32, $C$9, 100%, $E$9)</f>
        <v>11.631</v>
      </c>
      <c r="E794" s="33">
        <f>13.0706 * CHOOSE(CONTROL!$C$32, $C$9, 100%, $E$9)</f>
        <v>13.070600000000001</v>
      </c>
      <c r="F794" s="33">
        <f>13.0706 * CHOOSE(CONTROL!$C$32, $C$9, 100%, $E$9)</f>
        <v>13.070600000000001</v>
      </c>
      <c r="G794" s="33">
        <f>13.0742 * CHOOSE(CONTROL!$C$32, $C$9, 100%, $E$9)</f>
        <v>13.074199999999999</v>
      </c>
      <c r="H794" s="33">
        <f>26.7021 * CHOOSE(CONTROL!$C$32, $C$9, 100%, $E$9)</f>
        <v>26.702100000000002</v>
      </c>
      <c r="I794" s="33">
        <f>26.7057 * CHOOSE(CONTROL!$C$32, $C$9, 100%, $E$9)</f>
        <v>26.7057</v>
      </c>
      <c r="J794" s="33">
        <f>26.7021 * CHOOSE(CONTROL!$C$32, $C$9, 100%, $E$9)</f>
        <v>26.702100000000002</v>
      </c>
      <c r="K794" s="33">
        <f>26.7057 * CHOOSE(CONTROL!$C$32, $C$9, 100%, $E$9)</f>
        <v>26.7057</v>
      </c>
      <c r="L794" s="33">
        <f>13.0706 * CHOOSE(CONTROL!$C$32, $C$9, 100%, $E$9)</f>
        <v>13.070600000000001</v>
      </c>
      <c r="M794" s="33">
        <f>13.0742 * CHOOSE(CONTROL!$C$32, $C$9, 100%, $E$9)</f>
        <v>13.074199999999999</v>
      </c>
      <c r="N794" s="33">
        <f>13.0706 * CHOOSE(CONTROL!$C$32, $C$9, 100%, $E$9)</f>
        <v>13.070600000000001</v>
      </c>
      <c r="O794" s="33">
        <f>13.0742 * CHOOSE(CONTROL!$C$32, $C$9, 100%, $E$9)</f>
        <v>13.074199999999999</v>
      </c>
    </row>
    <row r="795" spans="1:15" ht="15" x14ac:dyDescent="0.2">
      <c r="A795" s="16">
        <v>65047</v>
      </c>
      <c r="B795" s="32">
        <f>11.6269 * CHOOSE(CONTROL!$C$32, $C$9, 100%, $E$9)</f>
        <v>11.626899999999999</v>
      </c>
      <c r="C795" s="32">
        <f>11.6269 * CHOOSE(CONTROL!$C$32, $C$9, 100%, $E$9)</f>
        <v>11.626899999999999</v>
      </c>
      <c r="D795" s="32">
        <f>11.628 * CHOOSE(CONTROL!$C$32, $C$9, 100%, $E$9)</f>
        <v>11.628</v>
      </c>
      <c r="E795" s="33">
        <f>12.7228 * CHOOSE(CONTROL!$C$32, $C$9, 100%, $E$9)</f>
        <v>12.722799999999999</v>
      </c>
      <c r="F795" s="33">
        <f>12.7228 * CHOOSE(CONTROL!$C$32, $C$9, 100%, $E$9)</f>
        <v>12.722799999999999</v>
      </c>
      <c r="G795" s="33">
        <f>12.7265 * CHOOSE(CONTROL!$C$32, $C$9, 100%, $E$9)</f>
        <v>12.7265</v>
      </c>
      <c r="H795" s="33">
        <f>26.7577 * CHOOSE(CONTROL!$C$32, $C$9, 100%, $E$9)</f>
        <v>26.7577</v>
      </c>
      <c r="I795" s="33">
        <f>26.7614 * CHOOSE(CONTROL!$C$32, $C$9, 100%, $E$9)</f>
        <v>26.761399999999998</v>
      </c>
      <c r="J795" s="33">
        <f>26.7577 * CHOOSE(CONTROL!$C$32, $C$9, 100%, $E$9)</f>
        <v>26.7577</v>
      </c>
      <c r="K795" s="33">
        <f>26.7614 * CHOOSE(CONTROL!$C$32, $C$9, 100%, $E$9)</f>
        <v>26.761399999999998</v>
      </c>
      <c r="L795" s="33">
        <f>12.7228 * CHOOSE(CONTROL!$C$32, $C$9, 100%, $E$9)</f>
        <v>12.722799999999999</v>
      </c>
      <c r="M795" s="33">
        <f>12.7265 * CHOOSE(CONTROL!$C$32, $C$9, 100%, $E$9)</f>
        <v>12.7265</v>
      </c>
      <c r="N795" s="33">
        <f>12.7228 * CHOOSE(CONTROL!$C$32, $C$9, 100%, $E$9)</f>
        <v>12.722799999999999</v>
      </c>
      <c r="O795" s="33">
        <f>12.7265 * CHOOSE(CONTROL!$C$32, $C$9, 100%, $E$9)</f>
        <v>12.7265</v>
      </c>
    </row>
    <row r="796" spans="1:15" ht="15" x14ac:dyDescent="0.2">
      <c r="A796" s="16">
        <v>65075</v>
      </c>
      <c r="B796" s="32">
        <f>11.6239 * CHOOSE(CONTROL!$C$32, $C$9, 100%, $E$9)</f>
        <v>11.623900000000001</v>
      </c>
      <c r="C796" s="32">
        <f>11.6239 * CHOOSE(CONTROL!$C$32, $C$9, 100%, $E$9)</f>
        <v>11.623900000000001</v>
      </c>
      <c r="D796" s="32">
        <f>11.6249 * CHOOSE(CONTROL!$C$32, $C$9, 100%, $E$9)</f>
        <v>11.6249</v>
      </c>
      <c r="E796" s="33">
        <f>12.9932 * CHOOSE(CONTROL!$C$32, $C$9, 100%, $E$9)</f>
        <v>12.9932</v>
      </c>
      <c r="F796" s="33">
        <f>12.9932 * CHOOSE(CONTROL!$C$32, $C$9, 100%, $E$9)</f>
        <v>12.9932</v>
      </c>
      <c r="G796" s="33">
        <f>12.9968 * CHOOSE(CONTROL!$C$32, $C$9, 100%, $E$9)</f>
        <v>12.9968</v>
      </c>
      <c r="H796" s="33">
        <f>26.8135 * CHOOSE(CONTROL!$C$32, $C$9, 100%, $E$9)</f>
        <v>26.813500000000001</v>
      </c>
      <c r="I796" s="33">
        <f>26.8171 * CHOOSE(CONTROL!$C$32, $C$9, 100%, $E$9)</f>
        <v>26.8171</v>
      </c>
      <c r="J796" s="33">
        <f>26.8135 * CHOOSE(CONTROL!$C$32, $C$9, 100%, $E$9)</f>
        <v>26.813500000000001</v>
      </c>
      <c r="K796" s="33">
        <f>26.8171 * CHOOSE(CONTROL!$C$32, $C$9, 100%, $E$9)</f>
        <v>26.8171</v>
      </c>
      <c r="L796" s="33">
        <f>12.9932 * CHOOSE(CONTROL!$C$32, $C$9, 100%, $E$9)</f>
        <v>12.9932</v>
      </c>
      <c r="M796" s="33">
        <f>12.9968 * CHOOSE(CONTROL!$C$32, $C$9, 100%, $E$9)</f>
        <v>12.9968</v>
      </c>
      <c r="N796" s="33">
        <f>12.9932 * CHOOSE(CONTROL!$C$32, $C$9, 100%, $E$9)</f>
        <v>12.9932</v>
      </c>
      <c r="O796" s="33">
        <f>12.9968 * CHOOSE(CONTROL!$C$32, $C$9, 100%, $E$9)</f>
        <v>12.9968</v>
      </c>
    </row>
    <row r="797" spans="1:15" ht="15" x14ac:dyDescent="0.2">
      <c r="A797" s="16">
        <v>65106</v>
      </c>
      <c r="B797" s="32">
        <f>11.6289 * CHOOSE(CONTROL!$C$32, $C$9, 100%, $E$9)</f>
        <v>11.6289</v>
      </c>
      <c r="C797" s="32">
        <f>11.6289 * CHOOSE(CONTROL!$C$32, $C$9, 100%, $E$9)</f>
        <v>11.6289</v>
      </c>
      <c r="D797" s="32">
        <f>11.63 * CHOOSE(CONTROL!$C$32, $C$9, 100%, $E$9)</f>
        <v>11.63</v>
      </c>
      <c r="E797" s="33">
        <f>13.2815 * CHOOSE(CONTROL!$C$32, $C$9, 100%, $E$9)</f>
        <v>13.281499999999999</v>
      </c>
      <c r="F797" s="33">
        <f>13.2815 * CHOOSE(CONTROL!$C$32, $C$9, 100%, $E$9)</f>
        <v>13.281499999999999</v>
      </c>
      <c r="G797" s="33">
        <f>13.2851 * CHOOSE(CONTROL!$C$32, $C$9, 100%, $E$9)</f>
        <v>13.2851</v>
      </c>
      <c r="H797" s="33">
        <f>26.8693 * CHOOSE(CONTROL!$C$32, $C$9, 100%, $E$9)</f>
        <v>26.869299999999999</v>
      </c>
      <c r="I797" s="33">
        <f>26.873 * CHOOSE(CONTROL!$C$32, $C$9, 100%, $E$9)</f>
        <v>26.873000000000001</v>
      </c>
      <c r="J797" s="33">
        <f>26.8693 * CHOOSE(CONTROL!$C$32, $C$9, 100%, $E$9)</f>
        <v>26.869299999999999</v>
      </c>
      <c r="K797" s="33">
        <f>26.873 * CHOOSE(CONTROL!$C$32, $C$9, 100%, $E$9)</f>
        <v>26.873000000000001</v>
      </c>
      <c r="L797" s="33">
        <f>13.2815 * CHOOSE(CONTROL!$C$32, $C$9, 100%, $E$9)</f>
        <v>13.281499999999999</v>
      </c>
      <c r="M797" s="33">
        <f>13.2851 * CHOOSE(CONTROL!$C$32, $C$9, 100%, $E$9)</f>
        <v>13.2851</v>
      </c>
      <c r="N797" s="33">
        <f>13.2815 * CHOOSE(CONTROL!$C$32, $C$9, 100%, $E$9)</f>
        <v>13.281499999999999</v>
      </c>
      <c r="O797" s="33">
        <f>13.2851 * CHOOSE(CONTROL!$C$32, $C$9, 100%, $E$9)</f>
        <v>13.2851</v>
      </c>
    </row>
    <row r="798" spans="1:15" ht="15" x14ac:dyDescent="0.2">
      <c r="A798" s="16">
        <v>65136</v>
      </c>
      <c r="B798" s="32">
        <f>11.6289 * CHOOSE(CONTROL!$C$32, $C$9, 100%, $E$9)</f>
        <v>11.6289</v>
      </c>
      <c r="C798" s="32">
        <f>11.6289 * CHOOSE(CONTROL!$C$32, $C$9, 100%, $E$9)</f>
        <v>11.6289</v>
      </c>
      <c r="D798" s="32">
        <f>11.6305 * CHOOSE(CONTROL!$C$32, $C$9, 100%, $E$9)</f>
        <v>11.6305</v>
      </c>
      <c r="E798" s="33">
        <f>13.3912 * CHOOSE(CONTROL!$C$32, $C$9, 100%, $E$9)</f>
        <v>13.3912</v>
      </c>
      <c r="F798" s="33">
        <f>13.3912 * CHOOSE(CONTROL!$C$32, $C$9, 100%, $E$9)</f>
        <v>13.3912</v>
      </c>
      <c r="G798" s="33">
        <f>13.3965 * CHOOSE(CONTROL!$C$32, $C$9, 100%, $E$9)</f>
        <v>13.3965</v>
      </c>
      <c r="H798" s="33">
        <f>26.9253 * CHOOSE(CONTROL!$C$32, $C$9, 100%, $E$9)</f>
        <v>26.9253</v>
      </c>
      <c r="I798" s="33">
        <f>26.9306 * CHOOSE(CONTROL!$C$32, $C$9, 100%, $E$9)</f>
        <v>26.930599999999998</v>
      </c>
      <c r="J798" s="33">
        <f>26.9253 * CHOOSE(CONTROL!$C$32, $C$9, 100%, $E$9)</f>
        <v>26.9253</v>
      </c>
      <c r="K798" s="33">
        <f>26.9306 * CHOOSE(CONTROL!$C$32, $C$9, 100%, $E$9)</f>
        <v>26.930599999999998</v>
      </c>
      <c r="L798" s="33">
        <f>13.3912 * CHOOSE(CONTROL!$C$32, $C$9, 100%, $E$9)</f>
        <v>13.3912</v>
      </c>
      <c r="M798" s="33">
        <f>13.3965 * CHOOSE(CONTROL!$C$32, $C$9, 100%, $E$9)</f>
        <v>13.3965</v>
      </c>
      <c r="N798" s="33">
        <f>13.3912 * CHOOSE(CONTROL!$C$32, $C$9, 100%, $E$9)</f>
        <v>13.3912</v>
      </c>
      <c r="O798" s="33">
        <f>13.3965 * CHOOSE(CONTROL!$C$32, $C$9, 100%, $E$9)</f>
        <v>13.3965</v>
      </c>
    </row>
    <row r="799" spans="1:15" ht="15" x14ac:dyDescent="0.2">
      <c r="A799" s="16">
        <v>65167</v>
      </c>
      <c r="B799" s="32">
        <f>11.635 * CHOOSE(CONTROL!$C$32, $C$9, 100%, $E$9)</f>
        <v>11.635</v>
      </c>
      <c r="C799" s="32">
        <f>11.635 * CHOOSE(CONTROL!$C$32, $C$9, 100%, $E$9)</f>
        <v>11.635</v>
      </c>
      <c r="D799" s="32">
        <f>11.6366 * CHOOSE(CONTROL!$C$32, $C$9, 100%, $E$9)</f>
        <v>11.6366</v>
      </c>
      <c r="E799" s="33">
        <f>13.2858 * CHOOSE(CONTROL!$C$32, $C$9, 100%, $E$9)</f>
        <v>13.2858</v>
      </c>
      <c r="F799" s="33">
        <f>13.2858 * CHOOSE(CONTROL!$C$32, $C$9, 100%, $E$9)</f>
        <v>13.2858</v>
      </c>
      <c r="G799" s="33">
        <f>13.2911 * CHOOSE(CONTROL!$C$32, $C$9, 100%, $E$9)</f>
        <v>13.2911</v>
      </c>
      <c r="H799" s="33">
        <f>26.9814 * CHOOSE(CONTROL!$C$32, $C$9, 100%, $E$9)</f>
        <v>26.981400000000001</v>
      </c>
      <c r="I799" s="33">
        <f>26.9867 * CHOOSE(CONTROL!$C$32, $C$9, 100%, $E$9)</f>
        <v>26.986699999999999</v>
      </c>
      <c r="J799" s="33">
        <f>26.9814 * CHOOSE(CONTROL!$C$32, $C$9, 100%, $E$9)</f>
        <v>26.981400000000001</v>
      </c>
      <c r="K799" s="33">
        <f>26.9867 * CHOOSE(CONTROL!$C$32, $C$9, 100%, $E$9)</f>
        <v>26.986699999999999</v>
      </c>
      <c r="L799" s="33">
        <f>13.2858 * CHOOSE(CONTROL!$C$32, $C$9, 100%, $E$9)</f>
        <v>13.2858</v>
      </c>
      <c r="M799" s="33">
        <f>13.2911 * CHOOSE(CONTROL!$C$32, $C$9, 100%, $E$9)</f>
        <v>13.2911</v>
      </c>
      <c r="N799" s="33">
        <f>13.2858 * CHOOSE(CONTROL!$C$32, $C$9, 100%, $E$9)</f>
        <v>13.2858</v>
      </c>
      <c r="O799" s="33">
        <f>13.2911 * CHOOSE(CONTROL!$C$32, $C$9, 100%, $E$9)</f>
        <v>13.2911</v>
      </c>
    </row>
    <row r="800" spans="1:15" ht="15" x14ac:dyDescent="0.2">
      <c r="A800" s="16">
        <v>65197</v>
      </c>
      <c r="B800" s="32">
        <f>11.7773 * CHOOSE(CONTROL!$C$32, $C$9, 100%, $E$9)</f>
        <v>11.7773</v>
      </c>
      <c r="C800" s="32">
        <f>11.7773 * CHOOSE(CONTROL!$C$32, $C$9, 100%, $E$9)</f>
        <v>11.7773</v>
      </c>
      <c r="D800" s="32">
        <f>11.7789 * CHOOSE(CONTROL!$C$32, $C$9, 100%, $E$9)</f>
        <v>11.7789</v>
      </c>
      <c r="E800" s="33">
        <f>13.4731 * CHOOSE(CONTROL!$C$32, $C$9, 100%, $E$9)</f>
        <v>13.473100000000001</v>
      </c>
      <c r="F800" s="33">
        <f>13.4731 * CHOOSE(CONTROL!$C$32, $C$9, 100%, $E$9)</f>
        <v>13.473100000000001</v>
      </c>
      <c r="G800" s="33">
        <f>13.4784 * CHOOSE(CONTROL!$C$32, $C$9, 100%, $E$9)</f>
        <v>13.478400000000001</v>
      </c>
      <c r="H800" s="33">
        <f>27.0376 * CHOOSE(CONTROL!$C$32, $C$9, 100%, $E$9)</f>
        <v>27.037600000000001</v>
      </c>
      <c r="I800" s="33">
        <f>27.0429 * CHOOSE(CONTROL!$C$32, $C$9, 100%, $E$9)</f>
        <v>27.042899999999999</v>
      </c>
      <c r="J800" s="33">
        <f>27.0376 * CHOOSE(CONTROL!$C$32, $C$9, 100%, $E$9)</f>
        <v>27.037600000000001</v>
      </c>
      <c r="K800" s="33">
        <f>27.0429 * CHOOSE(CONTROL!$C$32, $C$9, 100%, $E$9)</f>
        <v>27.042899999999999</v>
      </c>
      <c r="L800" s="33">
        <f>13.4731 * CHOOSE(CONTROL!$C$32, $C$9, 100%, $E$9)</f>
        <v>13.473100000000001</v>
      </c>
      <c r="M800" s="33">
        <f>13.4784 * CHOOSE(CONTROL!$C$32, $C$9, 100%, $E$9)</f>
        <v>13.478400000000001</v>
      </c>
      <c r="N800" s="33">
        <f>13.4731 * CHOOSE(CONTROL!$C$32, $C$9, 100%, $E$9)</f>
        <v>13.473100000000001</v>
      </c>
      <c r="O800" s="33">
        <f>13.4784 * CHOOSE(CONTROL!$C$32, $C$9, 100%, $E$9)</f>
        <v>13.478400000000001</v>
      </c>
    </row>
    <row r="801" spans="1:15" ht="15" x14ac:dyDescent="0.2">
      <c r="A801" s="16">
        <v>65228</v>
      </c>
      <c r="B801" s="32">
        <f>11.784 * CHOOSE(CONTROL!$C$32, $C$9, 100%, $E$9)</f>
        <v>11.784000000000001</v>
      </c>
      <c r="C801" s="32">
        <f>11.784 * CHOOSE(CONTROL!$C$32, $C$9, 100%, $E$9)</f>
        <v>11.784000000000001</v>
      </c>
      <c r="D801" s="32">
        <f>11.7856 * CHOOSE(CONTROL!$C$32, $C$9, 100%, $E$9)</f>
        <v>11.785600000000001</v>
      </c>
      <c r="E801" s="33">
        <f>13.1486 * CHOOSE(CONTROL!$C$32, $C$9, 100%, $E$9)</f>
        <v>13.1486</v>
      </c>
      <c r="F801" s="33">
        <f>13.1486 * CHOOSE(CONTROL!$C$32, $C$9, 100%, $E$9)</f>
        <v>13.1486</v>
      </c>
      <c r="G801" s="33">
        <f>13.1539 * CHOOSE(CONTROL!$C$32, $C$9, 100%, $E$9)</f>
        <v>13.1539</v>
      </c>
      <c r="H801" s="33">
        <f>27.094 * CHOOSE(CONTROL!$C$32, $C$9, 100%, $E$9)</f>
        <v>27.094000000000001</v>
      </c>
      <c r="I801" s="33">
        <f>27.0993 * CHOOSE(CONTROL!$C$32, $C$9, 100%, $E$9)</f>
        <v>27.099299999999999</v>
      </c>
      <c r="J801" s="33">
        <f>27.094 * CHOOSE(CONTROL!$C$32, $C$9, 100%, $E$9)</f>
        <v>27.094000000000001</v>
      </c>
      <c r="K801" s="33">
        <f>27.0993 * CHOOSE(CONTROL!$C$32, $C$9, 100%, $E$9)</f>
        <v>27.099299999999999</v>
      </c>
      <c r="L801" s="33">
        <f>13.1486 * CHOOSE(CONTROL!$C$32, $C$9, 100%, $E$9)</f>
        <v>13.1486</v>
      </c>
      <c r="M801" s="33">
        <f>13.1539 * CHOOSE(CONTROL!$C$32, $C$9, 100%, $E$9)</f>
        <v>13.1539</v>
      </c>
      <c r="N801" s="33">
        <f>13.1486 * CHOOSE(CONTROL!$C$32, $C$9, 100%, $E$9)</f>
        <v>13.1486</v>
      </c>
      <c r="O801" s="33">
        <f>13.1539 * CHOOSE(CONTROL!$C$32, $C$9, 100%, $E$9)</f>
        <v>13.1539</v>
      </c>
    </row>
    <row r="802" spans="1:15" ht="15" x14ac:dyDescent="0.2">
      <c r="A802" s="16">
        <v>65259</v>
      </c>
      <c r="B802" s="32">
        <f>11.7809 * CHOOSE(CONTROL!$C$32, $C$9, 100%, $E$9)</f>
        <v>11.780900000000001</v>
      </c>
      <c r="C802" s="32">
        <f>11.7809 * CHOOSE(CONTROL!$C$32, $C$9, 100%, $E$9)</f>
        <v>11.780900000000001</v>
      </c>
      <c r="D802" s="32">
        <f>11.7825 * CHOOSE(CONTROL!$C$32, $C$9, 100%, $E$9)</f>
        <v>11.782500000000001</v>
      </c>
      <c r="E802" s="33">
        <f>13.1099 * CHOOSE(CONTROL!$C$32, $C$9, 100%, $E$9)</f>
        <v>13.1099</v>
      </c>
      <c r="F802" s="33">
        <f>13.1099 * CHOOSE(CONTROL!$C$32, $C$9, 100%, $E$9)</f>
        <v>13.1099</v>
      </c>
      <c r="G802" s="33">
        <f>13.1152 * CHOOSE(CONTROL!$C$32, $C$9, 100%, $E$9)</f>
        <v>13.1152</v>
      </c>
      <c r="H802" s="33">
        <f>27.1504 * CHOOSE(CONTROL!$C$32, $C$9, 100%, $E$9)</f>
        <v>27.150400000000001</v>
      </c>
      <c r="I802" s="33">
        <f>27.1557 * CHOOSE(CONTROL!$C$32, $C$9, 100%, $E$9)</f>
        <v>27.1557</v>
      </c>
      <c r="J802" s="33">
        <f>27.1504 * CHOOSE(CONTROL!$C$32, $C$9, 100%, $E$9)</f>
        <v>27.150400000000001</v>
      </c>
      <c r="K802" s="33">
        <f>27.1557 * CHOOSE(CONTROL!$C$32, $C$9, 100%, $E$9)</f>
        <v>27.1557</v>
      </c>
      <c r="L802" s="33">
        <f>13.1099 * CHOOSE(CONTROL!$C$32, $C$9, 100%, $E$9)</f>
        <v>13.1099</v>
      </c>
      <c r="M802" s="33">
        <f>13.1152 * CHOOSE(CONTROL!$C$32, $C$9, 100%, $E$9)</f>
        <v>13.1152</v>
      </c>
      <c r="N802" s="33">
        <f>13.1099 * CHOOSE(CONTROL!$C$32, $C$9, 100%, $E$9)</f>
        <v>13.1099</v>
      </c>
      <c r="O802" s="33">
        <f>13.1152 * CHOOSE(CONTROL!$C$32, $C$9, 100%, $E$9)</f>
        <v>13.1152</v>
      </c>
    </row>
    <row r="803" spans="1:15" ht="15" x14ac:dyDescent="0.2">
      <c r="A803" s="16">
        <v>65289</v>
      </c>
      <c r="B803" s="32">
        <f>11.8051 * CHOOSE(CONTROL!$C$32, $C$9, 100%, $E$9)</f>
        <v>11.805099999999999</v>
      </c>
      <c r="C803" s="32">
        <f>11.8051 * CHOOSE(CONTROL!$C$32, $C$9, 100%, $E$9)</f>
        <v>11.805099999999999</v>
      </c>
      <c r="D803" s="32">
        <f>11.8062 * CHOOSE(CONTROL!$C$32, $C$9, 100%, $E$9)</f>
        <v>11.8062</v>
      </c>
      <c r="E803" s="33">
        <f>13.2428 * CHOOSE(CONTROL!$C$32, $C$9, 100%, $E$9)</f>
        <v>13.242800000000001</v>
      </c>
      <c r="F803" s="33">
        <f>13.2428 * CHOOSE(CONTROL!$C$32, $C$9, 100%, $E$9)</f>
        <v>13.242800000000001</v>
      </c>
      <c r="G803" s="33">
        <f>13.2464 * CHOOSE(CONTROL!$C$32, $C$9, 100%, $E$9)</f>
        <v>13.2464</v>
      </c>
      <c r="H803" s="33">
        <f>27.207 * CHOOSE(CONTROL!$C$32, $C$9, 100%, $E$9)</f>
        <v>27.207000000000001</v>
      </c>
      <c r="I803" s="33">
        <f>27.2106 * CHOOSE(CONTROL!$C$32, $C$9, 100%, $E$9)</f>
        <v>27.210599999999999</v>
      </c>
      <c r="J803" s="33">
        <f>27.207 * CHOOSE(CONTROL!$C$32, $C$9, 100%, $E$9)</f>
        <v>27.207000000000001</v>
      </c>
      <c r="K803" s="33">
        <f>27.2106 * CHOOSE(CONTROL!$C$32, $C$9, 100%, $E$9)</f>
        <v>27.210599999999999</v>
      </c>
      <c r="L803" s="33">
        <f>13.2428 * CHOOSE(CONTROL!$C$32, $C$9, 100%, $E$9)</f>
        <v>13.242800000000001</v>
      </c>
      <c r="M803" s="33">
        <f>13.2464 * CHOOSE(CONTROL!$C$32, $C$9, 100%, $E$9)</f>
        <v>13.2464</v>
      </c>
      <c r="N803" s="33">
        <f>13.2428 * CHOOSE(CONTROL!$C$32, $C$9, 100%, $E$9)</f>
        <v>13.242800000000001</v>
      </c>
      <c r="O803" s="33">
        <f>13.2464 * CHOOSE(CONTROL!$C$32, $C$9, 100%, $E$9)</f>
        <v>13.2464</v>
      </c>
    </row>
    <row r="804" spans="1:15" ht="15" x14ac:dyDescent="0.2">
      <c r="A804" s="16">
        <v>65320</v>
      </c>
      <c r="B804" s="32">
        <f>11.8081 * CHOOSE(CONTROL!$C$32, $C$9, 100%, $E$9)</f>
        <v>11.8081</v>
      </c>
      <c r="C804" s="32">
        <f>11.8081 * CHOOSE(CONTROL!$C$32, $C$9, 100%, $E$9)</f>
        <v>11.8081</v>
      </c>
      <c r="D804" s="32">
        <f>11.8092 * CHOOSE(CONTROL!$C$32, $C$9, 100%, $E$9)</f>
        <v>11.809200000000001</v>
      </c>
      <c r="E804" s="33">
        <f>13.3181 * CHOOSE(CONTROL!$C$32, $C$9, 100%, $E$9)</f>
        <v>13.318099999999999</v>
      </c>
      <c r="F804" s="33">
        <f>13.3181 * CHOOSE(CONTROL!$C$32, $C$9, 100%, $E$9)</f>
        <v>13.318099999999999</v>
      </c>
      <c r="G804" s="33">
        <f>13.3217 * CHOOSE(CONTROL!$C$32, $C$9, 100%, $E$9)</f>
        <v>13.3217</v>
      </c>
      <c r="H804" s="33">
        <f>27.2636 * CHOOSE(CONTROL!$C$32, $C$9, 100%, $E$9)</f>
        <v>27.2636</v>
      </c>
      <c r="I804" s="33">
        <f>27.2673 * CHOOSE(CONTROL!$C$32, $C$9, 100%, $E$9)</f>
        <v>27.267299999999999</v>
      </c>
      <c r="J804" s="33">
        <f>27.2636 * CHOOSE(CONTROL!$C$32, $C$9, 100%, $E$9)</f>
        <v>27.2636</v>
      </c>
      <c r="K804" s="33">
        <f>27.2673 * CHOOSE(CONTROL!$C$32, $C$9, 100%, $E$9)</f>
        <v>27.267299999999999</v>
      </c>
      <c r="L804" s="33">
        <f>13.3181 * CHOOSE(CONTROL!$C$32, $C$9, 100%, $E$9)</f>
        <v>13.318099999999999</v>
      </c>
      <c r="M804" s="33">
        <f>13.3217 * CHOOSE(CONTROL!$C$32, $C$9, 100%, $E$9)</f>
        <v>13.3217</v>
      </c>
      <c r="N804" s="33">
        <f>13.3181 * CHOOSE(CONTROL!$C$32, $C$9, 100%, $E$9)</f>
        <v>13.318099999999999</v>
      </c>
      <c r="O804" s="33">
        <f>13.3217 * CHOOSE(CONTROL!$C$32, $C$9, 100%, $E$9)</f>
        <v>13.3217</v>
      </c>
    </row>
    <row r="805" spans="1:15" ht="15" x14ac:dyDescent="0.2">
      <c r="A805" s="16">
        <v>65350</v>
      </c>
      <c r="B805" s="32">
        <f>11.8081 * CHOOSE(CONTROL!$C$32, $C$9, 100%, $E$9)</f>
        <v>11.8081</v>
      </c>
      <c r="C805" s="32">
        <f>11.8081 * CHOOSE(CONTROL!$C$32, $C$9, 100%, $E$9)</f>
        <v>11.8081</v>
      </c>
      <c r="D805" s="32">
        <f>11.8092 * CHOOSE(CONTROL!$C$32, $C$9, 100%, $E$9)</f>
        <v>11.809200000000001</v>
      </c>
      <c r="E805" s="33">
        <f>13.1352 * CHOOSE(CONTROL!$C$32, $C$9, 100%, $E$9)</f>
        <v>13.135199999999999</v>
      </c>
      <c r="F805" s="33">
        <f>13.1352 * CHOOSE(CONTROL!$C$32, $C$9, 100%, $E$9)</f>
        <v>13.135199999999999</v>
      </c>
      <c r="G805" s="33">
        <f>13.1388 * CHOOSE(CONTROL!$C$32, $C$9, 100%, $E$9)</f>
        <v>13.1388</v>
      </c>
      <c r="H805" s="33">
        <f>27.3204 * CHOOSE(CONTROL!$C$32, $C$9, 100%, $E$9)</f>
        <v>27.320399999999999</v>
      </c>
      <c r="I805" s="33">
        <f>27.3241 * CHOOSE(CONTROL!$C$32, $C$9, 100%, $E$9)</f>
        <v>27.324100000000001</v>
      </c>
      <c r="J805" s="33">
        <f>27.3204 * CHOOSE(CONTROL!$C$32, $C$9, 100%, $E$9)</f>
        <v>27.320399999999999</v>
      </c>
      <c r="K805" s="33">
        <f>27.3241 * CHOOSE(CONTROL!$C$32, $C$9, 100%, $E$9)</f>
        <v>27.324100000000001</v>
      </c>
      <c r="L805" s="33">
        <f>13.1352 * CHOOSE(CONTROL!$C$32, $C$9, 100%, $E$9)</f>
        <v>13.135199999999999</v>
      </c>
      <c r="M805" s="33">
        <f>13.1388 * CHOOSE(CONTROL!$C$32, $C$9, 100%, $E$9)</f>
        <v>13.1388</v>
      </c>
      <c r="N805" s="33">
        <f>13.1352 * CHOOSE(CONTROL!$C$32, $C$9, 100%, $E$9)</f>
        <v>13.135199999999999</v>
      </c>
      <c r="O805" s="33">
        <f>13.1388 * CHOOSE(CONTROL!$C$32, $C$9, 100%, $E$9)</f>
        <v>13.1388</v>
      </c>
    </row>
    <row r="806" spans="1:15" ht="15" x14ac:dyDescent="0.2">
      <c r="A806" s="16">
        <v>65381</v>
      </c>
      <c r="B806" s="32">
        <f>11.8173 * CHOOSE(CONTROL!$C$32, $C$9, 100%, $E$9)</f>
        <v>11.817299999999999</v>
      </c>
      <c r="C806" s="32">
        <f>11.8173 * CHOOSE(CONTROL!$C$32, $C$9, 100%, $E$9)</f>
        <v>11.817299999999999</v>
      </c>
      <c r="D806" s="32">
        <f>11.8184 * CHOOSE(CONTROL!$C$32, $C$9, 100%, $E$9)</f>
        <v>11.8184</v>
      </c>
      <c r="E806" s="33">
        <f>13.2831 * CHOOSE(CONTROL!$C$32, $C$9, 100%, $E$9)</f>
        <v>13.283099999999999</v>
      </c>
      <c r="F806" s="33">
        <f>13.2831 * CHOOSE(CONTROL!$C$32, $C$9, 100%, $E$9)</f>
        <v>13.283099999999999</v>
      </c>
      <c r="G806" s="33">
        <f>13.2867 * CHOOSE(CONTROL!$C$32, $C$9, 100%, $E$9)</f>
        <v>13.2867</v>
      </c>
      <c r="H806" s="33">
        <f>27.1661 * CHOOSE(CONTROL!$C$32, $C$9, 100%, $E$9)</f>
        <v>27.1661</v>
      </c>
      <c r="I806" s="33">
        <f>27.1698 * CHOOSE(CONTROL!$C$32, $C$9, 100%, $E$9)</f>
        <v>27.169799999999999</v>
      </c>
      <c r="J806" s="33">
        <f>27.1661 * CHOOSE(CONTROL!$C$32, $C$9, 100%, $E$9)</f>
        <v>27.1661</v>
      </c>
      <c r="K806" s="33">
        <f>27.1698 * CHOOSE(CONTROL!$C$32, $C$9, 100%, $E$9)</f>
        <v>27.169799999999999</v>
      </c>
      <c r="L806" s="33">
        <f>13.2831 * CHOOSE(CONTROL!$C$32, $C$9, 100%, $E$9)</f>
        <v>13.283099999999999</v>
      </c>
      <c r="M806" s="33">
        <f>13.2867 * CHOOSE(CONTROL!$C$32, $C$9, 100%, $E$9)</f>
        <v>13.2867</v>
      </c>
      <c r="N806" s="33">
        <f>13.2831 * CHOOSE(CONTROL!$C$32, $C$9, 100%, $E$9)</f>
        <v>13.283099999999999</v>
      </c>
      <c r="O806" s="33">
        <f>13.2867 * CHOOSE(CONTROL!$C$32, $C$9, 100%, $E$9)</f>
        <v>13.2867</v>
      </c>
    </row>
    <row r="807" spans="1:15" ht="15" x14ac:dyDescent="0.2">
      <c r="A807" s="16">
        <v>65412</v>
      </c>
      <c r="B807" s="32">
        <f>11.8143 * CHOOSE(CONTROL!$C$32, $C$9, 100%, $E$9)</f>
        <v>11.814299999999999</v>
      </c>
      <c r="C807" s="32">
        <f>11.8143 * CHOOSE(CONTROL!$C$32, $C$9, 100%, $E$9)</f>
        <v>11.814299999999999</v>
      </c>
      <c r="D807" s="32">
        <f>11.8153 * CHOOSE(CONTROL!$C$32, $C$9, 100%, $E$9)</f>
        <v>11.815300000000001</v>
      </c>
      <c r="E807" s="33">
        <f>12.9283 * CHOOSE(CONTROL!$C$32, $C$9, 100%, $E$9)</f>
        <v>12.9283</v>
      </c>
      <c r="F807" s="33">
        <f>12.9283 * CHOOSE(CONTROL!$C$32, $C$9, 100%, $E$9)</f>
        <v>12.9283</v>
      </c>
      <c r="G807" s="33">
        <f>12.9319 * CHOOSE(CONTROL!$C$32, $C$9, 100%, $E$9)</f>
        <v>12.931900000000001</v>
      </c>
      <c r="H807" s="33">
        <f>27.2227 * CHOOSE(CONTROL!$C$32, $C$9, 100%, $E$9)</f>
        <v>27.2227</v>
      </c>
      <c r="I807" s="33">
        <f>27.2264 * CHOOSE(CONTROL!$C$32, $C$9, 100%, $E$9)</f>
        <v>27.226400000000002</v>
      </c>
      <c r="J807" s="33">
        <f>27.2227 * CHOOSE(CONTROL!$C$32, $C$9, 100%, $E$9)</f>
        <v>27.2227</v>
      </c>
      <c r="K807" s="33">
        <f>27.2264 * CHOOSE(CONTROL!$C$32, $C$9, 100%, $E$9)</f>
        <v>27.226400000000002</v>
      </c>
      <c r="L807" s="33">
        <f>12.9283 * CHOOSE(CONTROL!$C$32, $C$9, 100%, $E$9)</f>
        <v>12.9283</v>
      </c>
      <c r="M807" s="33">
        <f>12.9319 * CHOOSE(CONTROL!$C$32, $C$9, 100%, $E$9)</f>
        <v>12.931900000000001</v>
      </c>
      <c r="N807" s="33">
        <f>12.9283 * CHOOSE(CONTROL!$C$32, $C$9, 100%, $E$9)</f>
        <v>12.9283</v>
      </c>
      <c r="O807" s="33">
        <f>12.9319 * CHOOSE(CONTROL!$C$32, $C$9, 100%, $E$9)</f>
        <v>12.931900000000001</v>
      </c>
    </row>
    <row r="808" spans="1:15" ht="15" x14ac:dyDescent="0.2">
      <c r="A808" s="16">
        <v>65440</v>
      </c>
      <c r="B808" s="32">
        <f>11.8112 * CHOOSE(CONTROL!$C$32, $C$9, 100%, $E$9)</f>
        <v>11.811199999999999</v>
      </c>
      <c r="C808" s="32">
        <f>11.8112 * CHOOSE(CONTROL!$C$32, $C$9, 100%, $E$9)</f>
        <v>11.811199999999999</v>
      </c>
      <c r="D808" s="32">
        <f>11.8123 * CHOOSE(CONTROL!$C$32, $C$9, 100%, $E$9)</f>
        <v>11.8123</v>
      </c>
      <c r="E808" s="33">
        <f>13.2042 * CHOOSE(CONTROL!$C$32, $C$9, 100%, $E$9)</f>
        <v>13.2042</v>
      </c>
      <c r="F808" s="33">
        <f>13.2042 * CHOOSE(CONTROL!$C$32, $C$9, 100%, $E$9)</f>
        <v>13.2042</v>
      </c>
      <c r="G808" s="33">
        <f>13.2078 * CHOOSE(CONTROL!$C$32, $C$9, 100%, $E$9)</f>
        <v>13.207800000000001</v>
      </c>
      <c r="H808" s="33">
        <f>27.2795 * CHOOSE(CONTROL!$C$32, $C$9, 100%, $E$9)</f>
        <v>27.279499999999999</v>
      </c>
      <c r="I808" s="33">
        <f>27.2831 * CHOOSE(CONTROL!$C$32, $C$9, 100%, $E$9)</f>
        <v>27.283100000000001</v>
      </c>
      <c r="J808" s="33">
        <f>27.2795 * CHOOSE(CONTROL!$C$32, $C$9, 100%, $E$9)</f>
        <v>27.279499999999999</v>
      </c>
      <c r="K808" s="33">
        <f>27.2831 * CHOOSE(CONTROL!$C$32, $C$9, 100%, $E$9)</f>
        <v>27.283100000000001</v>
      </c>
      <c r="L808" s="33">
        <f>13.2042 * CHOOSE(CONTROL!$C$32, $C$9, 100%, $E$9)</f>
        <v>13.2042</v>
      </c>
      <c r="M808" s="33">
        <f>13.2078 * CHOOSE(CONTROL!$C$32, $C$9, 100%, $E$9)</f>
        <v>13.207800000000001</v>
      </c>
      <c r="N808" s="33">
        <f>13.2042 * CHOOSE(CONTROL!$C$32, $C$9, 100%, $E$9)</f>
        <v>13.2042</v>
      </c>
      <c r="O808" s="33">
        <f>13.2078 * CHOOSE(CONTROL!$C$32, $C$9, 100%, $E$9)</f>
        <v>13.207800000000001</v>
      </c>
    </row>
    <row r="809" spans="1:15" ht="15" x14ac:dyDescent="0.2">
      <c r="A809" s="16">
        <v>65471</v>
      </c>
      <c r="B809" s="32">
        <f>11.8164 * CHOOSE(CONTROL!$C$32, $C$9, 100%, $E$9)</f>
        <v>11.8164</v>
      </c>
      <c r="C809" s="32">
        <f>11.8164 * CHOOSE(CONTROL!$C$32, $C$9, 100%, $E$9)</f>
        <v>11.8164</v>
      </c>
      <c r="D809" s="32">
        <f>11.8175 * CHOOSE(CONTROL!$C$32, $C$9, 100%, $E$9)</f>
        <v>11.817500000000001</v>
      </c>
      <c r="E809" s="33">
        <f>13.4985 * CHOOSE(CONTROL!$C$32, $C$9, 100%, $E$9)</f>
        <v>13.4985</v>
      </c>
      <c r="F809" s="33">
        <f>13.4985 * CHOOSE(CONTROL!$C$32, $C$9, 100%, $E$9)</f>
        <v>13.4985</v>
      </c>
      <c r="G809" s="33">
        <f>13.5021 * CHOOSE(CONTROL!$C$32, $C$9, 100%, $E$9)</f>
        <v>13.5021</v>
      </c>
      <c r="H809" s="33">
        <f>27.3363 * CHOOSE(CONTROL!$C$32, $C$9, 100%, $E$9)</f>
        <v>27.336300000000001</v>
      </c>
      <c r="I809" s="33">
        <f>27.3399 * CHOOSE(CONTROL!$C$32, $C$9, 100%, $E$9)</f>
        <v>27.3399</v>
      </c>
      <c r="J809" s="33">
        <f>27.3363 * CHOOSE(CONTROL!$C$32, $C$9, 100%, $E$9)</f>
        <v>27.336300000000001</v>
      </c>
      <c r="K809" s="33">
        <f>27.3399 * CHOOSE(CONTROL!$C$32, $C$9, 100%, $E$9)</f>
        <v>27.3399</v>
      </c>
      <c r="L809" s="33">
        <f>13.4985 * CHOOSE(CONTROL!$C$32, $C$9, 100%, $E$9)</f>
        <v>13.4985</v>
      </c>
      <c r="M809" s="33">
        <f>13.5021 * CHOOSE(CONTROL!$C$32, $C$9, 100%, $E$9)</f>
        <v>13.5021</v>
      </c>
      <c r="N809" s="33">
        <f>13.4985 * CHOOSE(CONTROL!$C$32, $C$9, 100%, $E$9)</f>
        <v>13.4985</v>
      </c>
      <c r="O809" s="33">
        <f>13.5021 * CHOOSE(CONTROL!$C$32, $C$9, 100%, $E$9)</f>
        <v>13.5021</v>
      </c>
    </row>
    <row r="810" spans="1:15" ht="15" x14ac:dyDescent="0.2">
      <c r="A810" s="16">
        <v>65501</v>
      </c>
      <c r="B810" s="32">
        <f>11.8164 * CHOOSE(CONTROL!$C$32, $C$9, 100%, $E$9)</f>
        <v>11.8164</v>
      </c>
      <c r="C810" s="32">
        <f>11.8164 * CHOOSE(CONTROL!$C$32, $C$9, 100%, $E$9)</f>
        <v>11.8164</v>
      </c>
      <c r="D810" s="32">
        <f>11.818 * CHOOSE(CONTROL!$C$32, $C$9, 100%, $E$9)</f>
        <v>11.818</v>
      </c>
      <c r="E810" s="33">
        <f>13.6105 * CHOOSE(CONTROL!$C$32, $C$9, 100%, $E$9)</f>
        <v>13.6105</v>
      </c>
      <c r="F810" s="33">
        <f>13.6105 * CHOOSE(CONTROL!$C$32, $C$9, 100%, $E$9)</f>
        <v>13.6105</v>
      </c>
      <c r="G810" s="33">
        <f>13.6158 * CHOOSE(CONTROL!$C$32, $C$9, 100%, $E$9)</f>
        <v>13.6158</v>
      </c>
      <c r="H810" s="33">
        <f>27.3932 * CHOOSE(CONTROL!$C$32, $C$9, 100%, $E$9)</f>
        <v>27.3932</v>
      </c>
      <c r="I810" s="33">
        <f>27.3985 * CHOOSE(CONTROL!$C$32, $C$9, 100%, $E$9)</f>
        <v>27.398499999999999</v>
      </c>
      <c r="J810" s="33">
        <f>27.3932 * CHOOSE(CONTROL!$C$32, $C$9, 100%, $E$9)</f>
        <v>27.3932</v>
      </c>
      <c r="K810" s="33">
        <f>27.3985 * CHOOSE(CONTROL!$C$32, $C$9, 100%, $E$9)</f>
        <v>27.398499999999999</v>
      </c>
      <c r="L810" s="33">
        <f>13.6105 * CHOOSE(CONTROL!$C$32, $C$9, 100%, $E$9)</f>
        <v>13.6105</v>
      </c>
      <c r="M810" s="33">
        <f>13.6158 * CHOOSE(CONTROL!$C$32, $C$9, 100%, $E$9)</f>
        <v>13.6158</v>
      </c>
      <c r="N810" s="33">
        <f>13.6105 * CHOOSE(CONTROL!$C$32, $C$9, 100%, $E$9)</f>
        <v>13.6105</v>
      </c>
      <c r="O810" s="33">
        <f>13.6158 * CHOOSE(CONTROL!$C$32, $C$9, 100%, $E$9)</f>
        <v>13.6158</v>
      </c>
    </row>
    <row r="811" spans="1:15" ht="15" x14ac:dyDescent="0.2">
      <c r="A811" s="16">
        <v>65532</v>
      </c>
      <c r="B811" s="32">
        <f>11.8225 * CHOOSE(CONTROL!$C$32, $C$9, 100%, $E$9)</f>
        <v>11.8225</v>
      </c>
      <c r="C811" s="32">
        <f>11.8225 * CHOOSE(CONTROL!$C$32, $C$9, 100%, $E$9)</f>
        <v>11.8225</v>
      </c>
      <c r="D811" s="32">
        <f>11.8241 * CHOOSE(CONTROL!$C$32, $C$9, 100%, $E$9)</f>
        <v>11.8241</v>
      </c>
      <c r="E811" s="33">
        <f>13.5028 * CHOOSE(CONTROL!$C$32, $C$9, 100%, $E$9)</f>
        <v>13.502800000000001</v>
      </c>
      <c r="F811" s="33">
        <f>13.5028 * CHOOSE(CONTROL!$C$32, $C$9, 100%, $E$9)</f>
        <v>13.502800000000001</v>
      </c>
      <c r="G811" s="33">
        <f>13.5081 * CHOOSE(CONTROL!$C$32, $C$9, 100%, $E$9)</f>
        <v>13.508100000000001</v>
      </c>
      <c r="H811" s="33">
        <f>27.4503 * CHOOSE(CONTROL!$C$32, $C$9, 100%, $E$9)</f>
        <v>27.450299999999999</v>
      </c>
      <c r="I811" s="33">
        <f>27.4556 * CHOOSE(CONTROL!$C$32, $C$9, 100%, $E$9)</f>
        <v>27.4556</v>
      </c>
      <c r="J811" s="33">
        <f>27.4503 * CHOOSE(CONTROL!$C$32, $C$9, 100%, $E$9)</f>
        <v>27.450299999999999</v>
      </c>
      <c r="K811" s="33">
        <f>27.4556 * CHOOSE(CONTROL!$C$32, $C$9, 100%, $E$9)</f>
        <v>27.4556</v>
      </c>
      <c r="L811" s="33">
        <f>13.5028 * CHOOSE(CONTROL!$C$32, $C$9, 100%, $E$9)</f>
        <v>13.502800000000001</v>
      </c>
      <c r="M811" s="33">
        <f>13.5081 * CHOOSE(CONTROL!$C$32, $C$9, 100%, $E$9)</f>
        <v>13.508100000000001</v>
      </c>
      <c r="N811" s="33">
        <f>13.5028 * CHOOSE(CONTROL!$C$32, $C$9, 100%, $E$9)</f>
        <v>13.502800000000001</v>
      </c>
      <c r="O811" s="33">
        <f>13.5081 * CHOOSE(CONTROL!$C$32, $C$9, 100%, $E$9)</f>
        <v>13.508100000000001</v>
      </c>
    </row>
    <row r="812" spans="1:15" ht="15" x14ac:dyDescent="0.2">
      <c r="A812" s="16">
        <v>65562</v>
      </c>
      <c r="B812" s="32">
        <f>11.9669 * CHOOSE(CONTROL!$C$32, $C$9, 100%, $E$9)</f>
        <v>11.966900000000001</v>
      </c>
      <c r="C812" s="32">
        <f>11.9669 * CHOOSE(CONTROL!$C$32, $C$9, 100%, $E$9)</f>
        <v>11.966900000000001</v>
      </c>
      <c r="D812" s="32">
        <f>11.9685 * CHOOSE(CONTROL!$C$32, $C$9, 100%, $E$9)</f>
        <v>11.968500000000001</v>
      </c>
      <c r="E812" s="33">
        <f>13.6933 * CHOOSE(CONTROL!$C$32, $C$9, 100%, $E$9)</f>
        <v>13.693300000000001</v>
      </c>
      <c r="F812" s="33">
        <f>13.6933 * CHOOSE(CONTROL!$C$32, $C$9, 100%, $E$9)</f>
        <v>13.693300000000001</v>
      </c>
      <c r="G812" s="33">
        <f>13.6986 * CHOOSE(CONTROL!$C$32, $C$9, 100%, $E$9)</f>
        <v>13.698600000000001</v>
      </c>
      <c r="H812" s="33">
        <f>27.5075 * CHOOSE(CONTROL!$C$32, $C$9, 100%, $E$9)</f>
        <v>27.5075</v>
      </c>
      <c r="I812" s="33">
        <f>27.5128 * CHOOSE(CONTROL!$C$32, $C$9, 100%, $E$9)</f>
        <v>27.512799999999999</v>
      </c>
      <c r="J812" s="33">
        <f>27.5075 * CHOOSE(CONTROL!$C$32, $C$9, 100%, $E$9)</f>
        <v>27.5075</v>
      </c>
      <c r="K812" s="33">
        <f>27.5128 * CHOOSE(CONTROL!$C$32, $C$9, 100%, $E$9)</f>
        <v>27.512799999999999</v>
      </c>
      <c r="L812" s="33">
        <f>13.6933 * CHOOSE(CONTROL!$C$32, $C$9, 100%, $E$9)</f>
        <v>13.693300000000001</v>
      </c>
      <c r="M812" s="33">
        <f>13.6986 * CHOOSE(CONTROL!$C$32, $C$9, 100%, $E$9)</f>
        <v>13.698600000000001</v>
      </c>
      <c r="N812" s="33">
        <f>13.6933 * CHOOSE(CONTROL!$C$32, $C$9, 100%, $E$9)</f>
        <v>13.693300000000001</v>
      </c>
      <c r="O812" s="33">
        <f>13.6986 * CHOOSE(CONTROL!$C$32, $C$9, 100%, $E$9)</f>
        <v>13.698600000000001</v>
      </c>
    </row>
    <row r="813" spans="1:15" ht="15" x14ac:dyDescent="0.2">
      <c r="A813" s="16">
        <v>65593</v>
      </c>
      <c r="B813" s="32">
        <f>11.9736 * CHOOSE(CONTROL!$C$32, $C$9, 100%, $E$9)</f>
        <v>11.973599999999999</v>
      </c>
      <c r="C813" s="32">
        <f>11.9736 * CHOOSE(CONTROL!$C$32, $C$9, 100%, $E$9)</f>
        <v>11.973599999999999</v>
      </c>
      <c r="D813" s="32">
        <f>11.9752 * CHOOSE(CONTROL!$C$32, $C$9, 100%, $E$9)</f>
        <v>11.975199999999999</v>
      </c>
      <c r="E813" s="33">
        <f>13.3621 * CHOOSE(CONTROL!$C$32, $C$9, 100%, $E$9)</f>
        <v>13.3621</v>
      </c>
      <c r="F813" s="33">
        <f>13.3621 * CHOOSE(CONTROL!$C$32, $C$9, 100%, $E$9)</f>
        <v>13.3621</v>
      </c>
      <c r="G813" s="33">
        <f>13.3673 * CHOOSE(CONTROL!$C$32, $C$9, 100%, $E$9)</f>
        <v>13.3673</v>
      </c>
      <c r="H813" s="33">
        <f>27.5648 * CHOOSE(CONTROL!$C$32, $C$9, 100%, $E$9)</f>
        <v>27.564800000000002</v>
      </c>
      <c r="I813" s="33">
        <f>27.5701 * CHOOSE(CONTROL!$C$32, $C$9, 100%, $E$9)</f>
        <v>27.5701</v>
      </c>
      <c r="J813" s="33">
        <f>27.5648 * CHOOSE(CONTROL!$C$32, $C$9, 100%, $E$9)</f>
        <v>27.564800000000002</v>
      </c>
      <c r="K813" s="33">
        <f>27.5701 * CHOOSE(CONTROL!$C$32, $C$9, 100%, $E$9)</f>
        <v>27.5701</v>
      </c>
      <c r="L813" s="33">
        <f>13.3621 * CHOOSE(CONTROL!$C$32, $C$9, 100%, $E$9)</f>
        <v>13.3621</v>
      </c>
      <c r="M813" s="33">
        <f>13.3673 * CHOOSE(CONTROL!$C$32, $C$9, 100%, $E$9)</f>
        <v>13.3673</v>
      </c>
      <c r="N813" s="33">
        <f>13.3621 * CHOOSE(CONTROL!$C$32, $C$9, 100%, $E$9)</f>
        <v>13.3621</v>
      </c>
      <c r="O813" s="33">
        <f>13.3673 * CHOOSE(CONTROL!$C$32, $C$9, 100%, $E$9)</f>
        <v>13.3673</v>
      </c>
    </row>
    <row r="814" spans="1:15" ht="15" x14ac:dyDescent="0.2">
      <c r="A814" s="16">
        <v>65624</v>
      </c>
      <c r="B814" s="32">
        <f>11.9705 * CHOOSE(CONTROL!$C$32, $C$9, 100%, $E$9)</f>
        <v>11.970499999999999</v>
      </c>
      <c r="C814" s="32">
        <f>11.9705 * CHOOSE(CONTROL!$C$32, $C$9, 100%, $E$9)</f>
        <v>11.970499999999999</v>
      </c>
      <c r="D814" s="32">
        <f>11.9721 * CHOOSE(CONTROL!$C$32, $C$9, 100%, $E$9)</f>
        <v>11.972099999999999</v>
      </c>
      <c r="E814" s="33">
        <f>13.3226 * CHOOSE(CONTROL!$C$32, $C$9, 100%, $E$9)</f>
        <v>13.3226</v>
      </c>
      <c r="F814" s="33">
        <f>13.3226 * CHOOSE(CONTROL!$C$32, $C$9, 100%, $E$9)</f>
        <v>13.3226</v>
      </c>
      <c r="G814" s="33">
        <f>13.3279 * CHOOSE(CONTROL!$C$32, $C$9, 100%, $E$9)</f>
        <v>13.3279</v>
      </c>
      <c r="H814" s="33">
        <f>27.6222 * CHOOSE(CONTROL!$C$32, $C$9, 100%, $E$9)</f>
        <v>27.622199999999999</v>
      </c>
      <c r="I814" s="33">
        <f>27.6275 * CHOOSE(CONTROL!$C$32, $C$9, 100%, $E$9)</f>
        <v>27.627500000000001</v>
      </c>
      <c r="J814" s="33">
        <f>27.6222 * CHOOSE(CONTROL!$C$32, $C$9, 100%, $E$9)</f>
        <v>27.622199999999999</v>
      </c>
      <c r="K814" s="33">
        <f>27.6275 * CHOOSE(CONTROL!$C$32, $C$9, 100%, $E$9)</f>
        <v>27.627500000000001</v>
      </c>
      <c r="L814" s="33">
        <f>13.3226 * CHOOSE(CONTROL!$C$32, $C$9, 100%, $E$9)</f>
        <v>13.3226</v>
      </c>
      <c r="M814" s="33">
        <f>13.3279 * CHOOSE(CONTROL!$C$32, $C$9, 100%, $E$9)</f>
        <v>13.3279</v>
      </c>
      <c r="N814" s="33">
        <f>13.3226 * CHOOSE(CONTROL!$C$32, $C$9, 100%, $E$9)</f>
        <v>13.3226</v>
      </c>
      <c r="O814" s="33">
        <f>13.3279 * CHOOSE(CONTROL!$C$32, $C$9, 100%, $E$9)</f>
        <v>13.3279</v>
      </c>
    </row>
    <row r="815" spans="1:15" ht="15" x14ac:dyDescent="0.2">
      <c r="A815" s="16">
        <v>65654</v>
      </c>
      <c r="B815" s="32">
        <f>11.9954 * CHOOSE(CONTROL!$C$32, $C$9, 100%, $E$9)</f>
        <v>11.9954</v>
      </c>
      <c r="C815" s="32">
        <f>11.9954 * CHOOSE(CONTROL!$C$32, $C$9, 100%, $E$9)</f>
        <v>11.9954</v>
      </c>
      <c r="D815" s="32">
        <f>11.9965 * CHOOSE(CONTROL!$C$32, $C$9, 100%, $E$9)</f>
        <v>11.996499999999999</v>
      </c>
      <c r="E815" s="33">
        <f>13.4585 * CHOOSE(CONTROL!$C$32, $C$9, 100%, $E$9)</f>
        <v>13.458500000000001</v>
      </c>
      <c r="F815" s="33">
        <f>13.4585 * CHOOSE(CONTROL!$C$32, $C$9, 100%, $E$9)</f>
        <v>13.458500000000001</v>
      </c>
      <c r="G815" s="33">
        <f>13.4621 * CHOOSE(CONTROL!$C$32, $C$9, 100%, $E$9)</f>
        <v>13.4621</v>
      </c>
      <c r="H815" s="33">
        <f>27.6798 * CHOOSE(CONTROL!$C$32, $C$9, 100%, $E$9)</f>
        <v>27.6798</v>
      </c>
      <c r="I815" s="33">
        <f>27.6834 * CHOOSE(CONTROL!$C$32, $C$9, 100%, $E$9)</f>
        <v>27.683399999999999</v>
      </c>
      <c r="J815" s="33">
        <f>27.6798 * CHOOSE(CONTROL!$C$32, $C$9, 100%, $E$9)</f>
        <v>27.6798</v>
      </c>
      <c r="K815" s="33">
        <f>27.6834 * CHOOSE(CONTROL!$C$32, $C$9, 100%, $E$9)</f>
        <v>27.683399999999999</v>
      </c>
      <c r="L815" s="33">
        <f>13.4585 * CHOOSE(CONTROL!$C$32, $C$9, 100%, $E$9)</f>
        <v>13.458500000000001</v>
      </c>
      <c r="M815" s="33">
        <f>13.4621 * CHOOSE(CONTROL!$C$32, $C$9, 100%, $E$9)</f>
        <v>13.4621</v>
      </c>
      <c r="N815" s="33">
        <f>13.4585 * CHOOSE(CONTROL!$C$32, $C$9, 100%, $E$9)</f>
        <v>13.458500000000001</v>
      </c>
      <c r="O815" s="33">
        <f>13.4621 * CHOOSE(CONTROL!$C$32, $C$9, 100%, $E$9)</f>
        <v>13.4621</v>
      </c>
    </row>
    <row r="816" spans="1:15" ht="15" x14ac:dyDescent="0.2">
      <c r="A816" s="16">
        <v>65685</v>
      </c>
      <c r="B816" s="32">
        <f>11.9984 * CHOOSE(CONTROL!$C$32, $C$9, 100%, $E$9)</f>
        <v>11.9984</v>
      </c>
      <c r="C816" s="32">
        <f>11.9984 * CHOOSE(CONTROL!$C$32, $C$9, 100%, $E$9)</f>
        <v>11.9984</v>
      </c>
      <c r="D816" s="32">
        <f>11.9995 * CHOOSE(CONTROL!$C$32, $C$9, 100%, $E$9)</f>
        <v>11.999499999999999</v>
      </c>
      <c r="E816" s="33">
        <f>13.5353 * CHOOSE(CONTROL!$C$32, $C$9, 100%, $E$9)</f>
        <v>13.535299999999999</v>
      </c>
      <c r="F816" s="33">
        <f>13.5353 * CHOOSE(CONTROL!$C$32, $C$9, 100%, $E$9)</f>
        <v>13.535299999999999</v>
      </c>
      <c r="G816" s="33">
        <f>13.5389 * CHOOSE(CONTROL!$C$32, $C$9, 100%, $E$9)</f>
        <v>13.5389</v>
      </c>
      <c r="H816" s="33">
        <f>27.7374 * CHOOSE(CONTROL!$C$32, $C$9, 100%, $E$9)</f>
        <v>27.737400000000001</v>
      </c>
      <c r="I816" s="33">
        <f>27.7411 * CHOOSE(CONTROL!$C$32, $C$9, 100%, $E$9)</f>
        <v>27.741099999999999</v>
      </c>
      <c r="J816" s="33">
        <f>27.7374 * CHOOSE(CONTROL!$C$32, $C$9, 100%, $E$9)</f>
        <v>27.737400000000001</v>
      </c>
      <c r="K816" s="33">
        <f>27.7411 * CHOOSE(CONTROL!$C$32, $C$9, 100%, $E$9)</f>
        <v>27.741099999999999</v>
      </c>
      <c r="L816" s="33">
        <f>13.5353 * CHOOSE(CONTROL!$C$32, $C$9, 100%, $E$9)</f>
        <v>13.535299999999999</v>
      </c>
      <c r="M816" s="33">
        <f>13.5389 * CHOOSE(CONTROL!$C$32, $C$9, 100%, $E$9)</f>
        <v>13.5389</v>
      </c>
      <c r="N816" s="33">
        <f>13.5353 * CHOOSE(CONTROL!$C$32, $C$9, 100%, $E$9)</f>
        <v>13.535299999999999</v>
      </c>
      <c r="O816" s="33">
        <f>13.5389 * CHOOSE(CONTROL!$C$32, $C$9, 100%, $E$9)</f>
        <v>13.5389</v>
      </c>
    </row>
    <row r="817" spans="1:15" ht="15" x14ac:dyDescent="0.2">
      <c r="A817" s="16">
        <v>65715</v>
      </c>
      <c r="B817" s="32">
        <f>11.9984 * CHOOSE(CONTROL!$C$32, $C$9, 100%, $E$9)</f>
        <v>11.9984</v>
      </c>
      <c r="C817" s="32">
        <f>11.9984 * CHOOSE(CONTROL!$C$32, $C$9, 100%, $E$9)</f>
        <v>11.9984</v>
      </c>
      <c r="D817" s="32">
        <f>11.9995 * CHOOSE(CONTROL!$C$32, $C$9, 100%, $E$9)</f>
        <v>11.999499999999999</v>
      </c>
      <c r="E817" s="33">
        <f>13.3486 * CHOOSE(CONTROL!$C$32, $C$9, 100%, $E$9)</f>
        <v>13.348599999999999</v>
      </c>
      <c r="F817" s="33">
        <f>13.3486 * CHOOSE(CONTROL!$C$32, $C$9, 100%, $E$9)</f>
        <v>13.348599999999999</v>
      </c>
      <c r="G817" s="33">
        <f>13.3523 * CHOOSE(CONTROL!$C$32, $C$9, 100%, $E$9)</f>
        <v>13.3523</v>
      </c>
      <c r="H817" s="33">
        <f>27.7952 * CHOOSE(CONTROL!$C$32, $C$9, 100%, $E$9)</f>
        <v>27.795200000000001</v>
      </c>
      <c r="I817" s="33">
        <f>27.7988 * CHOOSE(CONTROL!$C$32, $C$9, 100%, $E$9)</f>
        <v>27.7988</v>
      </c>
      <c r="J817" s="33">
        <f>27.7952 * CHOOSE(CONTROL!$C$32, $C$9, 100%, $E$9)</f>
        <v>27.795200000000001</v>
      </c>
      <c r="K817" s="33">
        <f>27.7988 * CHOOSE(CONTROL!$C$32, $C$9, 100%, $E$9)</f>
        <v>27.7988</v>
      </c>
      <c r="L817" s="33">
        <f>13.3486 * CHOOSE(CONTROL!$C$32, $C$9, 100%, $E$9)</f>
        <v>13.348599999999999</v>
      </c>
      <c r="M817" s="33">
        <f>13.3523 * CHOOSE(CONTROL!$C$32, $C$9, 100%, $E$9)</f>
        <v>13.3523</v>
      </c>
      <c r="N817" s="33">
        <f>13.3486 * CHOOSE(CONTROL!$C$32, $C$9, 100%, $E$9)</f>
        <v>13.348599999999999</v>
      </c>
      <c r="O817" s="33">
        <f>13.3523 * CHOOSE(CONTROL!$C$32, $C$9, 100%, $E$9)</f>
        <v>13.3523</v>
      </c>
    </row>
    <row r="818" spans="1:15" ht="15" x14ac:dyDescent="0.2">
      <c r="A818" s="16">
        <v>65746</v>
      </c>
      <c r="B818" s="32">
        <f>12.0047 * CHOOSE(CONTROL!$C$32, $C$9, 100%, $E$9)</f>
        <v>12.0047</v>
      </c>
      <c r="C818" s="32">
        <f>12.0047 * CHOOSE(CONTROL!$C$32, $C$9, 100%, $E$9)</f>
        <v>12.0047</v>
      </c>
      <c r="D818" s="32">
        <f>12.0057 * CHOOSE(CONTROL!$C$32, $C$9, 100%, $E$9)</f>
        <v>12.005699999999999</v>
      </c>
      <c r="E818" s="33">
        <f>13.4956 * CHOOSE(CONTROL!$C$32, $C$9, 100%, $E$9)</f>
        <v>13.4956</v>
      </c>
      <c r="F818" s="33">
        <f>13.4956 * CHOOSE(CONTROL!$C$32, $C$9, 100%, $E$9)</f>
        <v>13.4956</v>
      </c>
      <c r="G818" s="33">
        <f>13.4992 * CHOOSE(CONTROL!$C$32, $C$9, 100%, $E$9)</f>
        <v>13.4992</v>
      </c>
      <c r="H818" s="33">
        <f>27.6302 * CHOOSE(CONTROL!$C$32, $C$9, 100%, $E$9)</f>
        <v>27.630199999999999</v>
      </c>
      <c r="I818" s="33">
        <f>27.6338 * CHOOSE(CONTROL!$C$32, $C$9, 100%, $E$9)</f>
        <v>27.633800000000001</v>
      </c>
      <c r="J818" s="33">
        <f>27.6302 * CHOOSE(CONTROL!$C$32, $C$9, 100%, $E$9)</f>
        <v>27.630199999999999</v>
      </c>
      <c r="K818" s="33">
        <f>27.6338 * CHOOSE(CONTROL!$C$32, $C$9, 100%, $E$9)</f>
        <v>27.633800000000001</v>
      </c>
      <c r="L818" s="33">
        <f>13.4956 * CHOOSE(CONTROL!$C$32, $C$9, 100%, $E$9)</f>
        <v>13.4956</v>
      </c>
      <c r="M818" s="33">
        <f>13.4992 * CHOOSE(CONTROL!$C$32, $C$9, 100%, $E$9)</f>
        <v>13.4992</v>
      </c>
      <c r="N818" s="33">
        <f>13.4956 * CHOOSE(CONTROL!$C$32, $C$9, 100%, $E$9)</f>
        <v>13.4956</v>
      </c>
      <c r="O818" s="33">
        <f>13.4992 * CHOOSE(CONTROL!$C$32, $C$9, 100%, $E$9)</f>
        <v>13.4992</v>
      </c>
    </row>
    <row r="819" spans="1:15" ht="15" x14ac:dyDescent="0.2">
      <c r="A819" s="16">
        <v>65777</v>
      </c>
      <c r="B819" s="32">
        <f>12.0016 * CHOOSE(CONTROL!$C$32, $C$9, 100%, $E$9)</f>
        <v>12.0016</v>
      </c>
      <c r="C819" s="32">
        <f>12.0016 * CHOOSE(CONTROL!$C$32, $C$9, 100%, $E$9)</f>
        <v>12.0016</v>
      </c>
      <c r="D819" s="32">
        <f>12.0027 * CHOOSE(CONTROL!$C$32, $C$9, 100%, $E$9)</f>
        <v>12.002700000000001</v>
      </c>
      <c r="E819" s="33">
        <f>13.1337 * CHOOSE(CONTROL!$C$32, $C$9, 100%, $E$9)</f>
        <v>13.133699999999999</v>
      </c>
      <c r="F819" s="33">
        <f>13.1337 * CHOOSE(CONTROL!$C$32, $C$9, 100%, $E$9)</f>
        <v>13.133699999999999</v>
      </c>
      <c r="G819" s="33">
        <f>13.1373 * CHOOSE(CONTROL!$C$32, $C$9, 100%, $E$9)</f>
        <v>13.1373</v>
      </c>
      <c r="H819" s="33">
        <f>27.6877 * CHOOSE(CONTROL!$C$32, $C$9, 100%, $E$9)</f>
        <v>27.6877</v>
      </c>
      <c r="I819" s="33">
        <f>27.6914 * CHOOSE(CONTROL!$C$32, $C$9, 100%, $E$9)</f>
        <v>27.691400000000002</v>
      </c>
      <c r="J819" s="33">
        <f>27.6877 * CHOOSE(CONTROL!$C$32, $C$9, 100%, $E$9)</f>
        <v>27.6877</v>
      </c>
      <c r="K819" s="33">
        <f>27.6914 * CHOOSE(CONTROL!$C$32, $C$9, 100%, $E$9)</f>
        <v>27.691400000000002</v>
      </c>
      <c r="L819" s="33">
        <f>13.1337 * CHOOSE(CONTROL!$C$32, $C$9, 100%, $E$9)</f>
        <v>13.133699999999999</v>
      </c>
      <c r="M819" s="33">
        <f>13.1373 * CHOOSE(CONTROL!$C$32, $C$9, 100%, $E$9)</f>
        <v>13.1373</v>
      </c>
      <c r="N819" s="33">
        <f>13.1337 * CHOOSE(CONTROL!$C$32, $C$9, 100%, $E$9)</f>
        <v>13.133699999999999</v>
      </c>
      <c r="O819" s="33">
        <f>13.1373 * CHOOSE(CONTROL!$C$32, $C$9, 100%, $E$9)</f>
        <v>13.1373</v>
      </c>
    </row>
    <row r="820" spans="1:15" ht="15" x14ac:dyDescent="0.2">
      <c r="A820" s="16">
        <v>65806</v>
      </c>
      <c r="B820" s="32">
        <f>11.9986 * CHOOSE(CONTROL!$C$32, $C$9, 100%, $E$9)</f>
        <v>11.9986</v>
      </c>
      <c r="C820" s="32">
        <f>11.9986 * CHOOSE(CONTROL!$C$32, $C$9, 100%, $E$9)</f>
        <v>11.9986</v>
      </c>
      <c r="D820" s="32">
        <f>11.9996 * CHOOSE(CONTROL!$C$32, $C$9, 100%, $E$9)</f>
        <v>11.999599999999999</v>
      </c>
      <c r="E820" s="33">
        <f>13.4152 * CHOOSE(CONTROL!$C$32, $C$9, 100%, $E$9)</f>
        <v>13.4152</v>
      </c>
      <c r="F820" s="33">
        <f>13.4152 * CHOOSE(CONTROL!$C$32, $C$9, 100%, $E$9)</f>
        <v>13.4152</v>
      </c>
      <c r="G820" s="33">
        <f>13.4188 * CHOOSE(CONTROL!$C$32, $C$9, 100%, $E$9)</f>
        <v>13.418799999999999</v>
      </c>
      <c r="H820" s="33">
        <f>27.7454 * CHOOSE(CONTROL!$C$32, $C$9, 100%, $E$9)</f>
        <v>27.7454</v>
      </c>
      <c r="I820" s="33">
        <f>27.749 * CHOOSE(CONTROL!$C$32, $C$9, 100%, $E$9)</f>
        <v>27.748999999999999</v>
      </c>
      <c r="J820" s="33">
        <f>27.7454 * CHOOSE(CONTROL!$C$32, $C$9, 100%, $E$9)</f>
        <v>27.7454</v>
      </c>
      <c r="K820" s="33">
        <f>27.749 * CHOOSE(CONTROL!$C$32, $C$9, 100%, $E$9)</f>
        <v>27.748999999999999</v>
      </c>
      <c r="L820" s="33">
        <f>13.4152 * CHOOSE(CONTROL!$C$32, $C$9, 100%, $E$9)</f>
        <v>13.4152</v>
      </c>
      <c r="M820" s="33">
        <f>13.4188 * CHOOSE(CONTROL!$C$32, $C$9, 100%, $E$9)</f>
        <v>13.418799999999999</v>
      </c>
      <c r="N820" s="33">
        <f>13.4152 * CHOOSE(CONTROL!$C$32, $C$9, 100%, $E$9)</f>
        <v>13.4152</v>
      </c>
      <c r="O820" s="33">
        <f>13.4188 * CHOOSE(CONTROL!$C$32, $C$9, 100%, $E$9)</f>
        <v>13.418799999999999</v>
      </c>
    </row>
    <row r="821" spans="1:15" ht="15" x14ac:dyDescent="0.2">
      <c r="A821" s="16">
        <v>65837</v>
      </c>
      <c r="B821" s="32">
        <f>12.004 * CHOOSE(CONTROL!$C$32, $C$9, 100%, $E$9)</f>
        <v>12.004</v>
      </c>
      <c r="C821" s="32">
        <f>12.004 * CHOOSE(CONTROL!$C$32, $C$9, 100%, $E$9)</f>
        <v>12.004</v>
      </c>
      <c r="D821" s="32">
        <f>12.0051 * CHOOSE(CONTROL!$C$32, $C$9, 100%, $E$9)</f>
        <v>12.005100000000001</v>
      </c>
      <c r="E821" s="33">
        <f>13.7155 * CHOOSE(CONTROL!$C$32, $C$9, 100%, $E$9)</f>
        <v>13.7155</v>
      </c>
      <c r="F821" s="33">
        <f>13.7155 * CHOOSE(CONTROL!$C$32, $C$9, 100%, $E$9)</f>
        <v>13.7155</v>
      </c>
      <c r="G821" s="33">
        <f>13.7191 * CHOOSE(CONTROL!$C$32, $C$9, 100%, $E$9)</f>
        <v>13.719099999999999</v>
      </c>
      <c r="H821" s="33">
        <f>27.8032 * CHOOSE(CONTROL!$C$32, $C$9, 100%, $E$9)</f>
        <v>27.8032</v>
      </c>
      <c r="I821" s="33">
        <f>27.8068 * CHOOSE(CONTROL!$C$32, $C$9, 100%, $E$9)</f>
        <v>27.806799999999999</v>
      </c>
      <c r="J821" s="33">
        <f>27.8032 * CHOOSE(CONTROL!$C$32, $C$9, 100%, $E$9)</f>
        <v>27.8032</v>
      </c>
      <c r="K821" s="33">
        <f>27.8068 * CHOOSE(CONTROL!$C$32, $C$9, 100%, $E$9)</f>
        <v>27.806799999999999</v>
      </c>
      <c r="L821" s="33">
        <f>13.7155 * CHOOSE(CONTROL!$C$32, $C$9, 100%, $E$9)</f>
        <v>13.7155</v>
      </c>
      <c r="M821" s="33">
        <f>13.7191 * CHOOSE(CONTROL!$C$32, $C$9, 100%, $E$9)</f>
        <v>13.719099999999999</v>
      </c>
      <c r="N821" s="33">
        <f>13.7155 * CHOOSE(CONTROL!$C$32, $C$9, 100%, $E$9)</f>
        <v>13.7155</v>
      </c>
      <c r="O821" s="33">
        <f>13.7191 * CHOOSE(CONTROL!$C$32, $C$9, 100%, $E$9)</f>
        <v>13.719099999999999</v>
      </c>
    </row>
    <row r="822" spans="1:15" ht="15" x14ac:dyDescent="0.2">
      <c r="A822" s="16">
        <v>65867</v>
      </c>
      <c r="B822" s="32">
        <f>12.004 * CHOOSE(CONTROL!$C$32, $C$9, 100%, $E$9)</f>
        <v>12.004</v>
      </c>
      <c r="C822" s="32">
        <f>12.004 * CHOOSE(CONTROL!$C$32, $C$9, 100%, $E$9)</f>
        <v>12.004</v>
      </c>
      <c r="D822" s="32">
        <f>12.0056 * CHOOSE(CONTROL!$C$32, $C$9, 100%, $E$9)</f>
        <v>12.005599999999999</v>
      </c>
      <c r="E822" s="33">
        <f>13.8298 * CHOOSE(CONTROL!$C$32, $C$9, 100%, $E$9)</f>
        <v>13.829800000000001</v>
      </c>
      <c r="F822" s="33">
        <f>13.8298 * CHOOSE(CONTROL!$C$32, $C$9, 100%, $E$9)</f>
        <v>13.829800000000001</v>
      </c>
      <c r="G822" s="33">
        <f>13.835 * CHOOSE(CONTROL!$C$32, $C$9, 100%, $E$9)</f>
        <v>13.835000000000001</v>
      </c>
      <c r="H822" s="33">
        <f>27.8611 * CHOOSE(CONTROL!$C$32, $C$9, 100%, $E$9)</f>
        <v>27.8611</v>
      </c>
      <c r="I822" s="33">
        <f>27.8664 * CHOOSE(CONTROL!$C$32, $C$9, 100%, $E$9)</f>
        <v>27.866399999999999</v>
      </c>
      <c r="J822" s="33">
        <f>27.8611 * CHOOSE(CONTROL!$C$32, $C$9, 100%, $E$9)</f>
        <v>27.8611</v>
      </c>
      <c r="K822" s="33">
        <f>27.8664 * CHOOSE(CONTROL!$C$32, $C$9, 100%, $E$9)</f>
        <v>27.866399999999999</v>
      </c>
      <c r="L822" s="33">
        <f>13.8298 * CHOOSE(CONTROL!$C$32, $C$9, 100%, $E$9)</f>
        <v>13.829800000000001</v>
      </c>
      <c r="M822" s="33">
        <f>13.835 * CHOOSE(CONTROL!$C$32, $C$9, 100%, $E$9)</f>
        <v>13.835000000000001</v>
      </c>
      <c r="N822" s="33">
        <f>13.8298 * CHOOSE(CONTROL!$C$32, $C$9, 100%, $E$9)</f>
        <v>13.829800000000001</v>
      </c>
      <c r="O822" s="33">
        <f>13.835 * CHOOSE(CONTROL!$C$32, $C$9, 100%, $E$9)</f>
        <v>13.835000000000001</v>
      </c>
    </row>
    <row r="823" spans="1:15" ht="15" x14ac:dyDescent="0.2">
      <c r="A823" s="16">
        <v>65898</v>
      </c>
      <c r="B823" s="32">
        <f>12.0101 * CHOOSE(CONTROL!$C$32, $C$9, 100%, $E$9)</f>
        <v>12.0101</v>
      </c>
      <c r="C823" s="32">
        <f>12.0101 * CHOOSE(CONTROL!$C$32, $C$9, 100%, $E$9)</f>
        <v>12.0101</v>
      </c>
      <c r="D823" s="32">
        <f>12.0116 * CHOOSE(CONTROL!$C$32, $C$9, 100%, $E$9)</f>
        <v>12.0116</v>
      </c>
      <c r="E823" s="33">
        <f>13.7198 * CHOOSE(CONTROL!$C$32, $C$9, 100%, $E$9)</f>
        <v>13.719799999999999</v>
      </c>
      <c r="F823" s="33">
        <f>13.7198 * CHOOSE(CONTROL!$C$32, $C$9, 100%, $E$9)</f>
        <v>13.719799999999999</v>
      </c>
      <c r="G823" s="33">
        <f>13.7251 * CHOOSE(CONTROL!$C$32, $C$9, 100%, $E$9)</f>
        <v>13.725099999999999</v>
      </c>
      <c r="H823" s="33">
        <f>27.9192 * CHOOSE(CONTROL!$C$32, $C$9, 100%, $E$9)</f>
        <v>27.9192</v>
      </c>
      <c r="I823" s="33">
        <f>27.9245 * CHOOSE(CONTROL!$C$32, $C$9, 100%, $E$9)</f>
        <v>27.924499999999998</v>
      </c>
      <c r="J823" s="33">
        <f>27.9192 * CHOOSE(CONTROL!$C$32, $C$9, 100%, $E$9)</f>
        <v>27.9192</v>
      </c>
      <c r="K823" s="33">
        <f>27.9245 * CHOOSE(CONTROL!$C$32, $C$9, 100%, $E$9)</f>
        <v>27.924499999999998</v>
      </c>
      <c r="L823" s="33">
        <f>13.7198 * CHOOSE(CONTROL!$C$32, $C$9, 100%, $E$9)</f>
        <v>13.719799999999999</v>
      </c>
      <c r="M823" s="33">
        <f>13.7251 * CHOOSE(CONTROL!$C$32, $C$9, 100%, $E$9)</f>
        <v>13.725099999999999</v>
      </c>
      <c r="N823" s="33">
        <f>13.7198 * CHOOSE(CONTROL!$C$32, $C$9, 100%, $E$9)</f>
        <v>13.719799999999999</v>
      </c>
      <c r="O823" s="33">
        <f>13.7251 * CHOOSE(CONTROL!$C$32, $C$9, 100%, $E$9)</f>
        <v>13.725099999999999</v>
      </c>
    </row>
    <row r="824" spans="1:15" ht="15" x14ac:dyDescent="0.2">
      <c r="A824" s="16">
        <v>65928</v>
      </c>
      <c r="B824" s="32">
        <f>12.1565 * CHOOSE(CONTROL!$C$32, $C$9, 100%, $E$9)</f>
        <v>12.156499999999999</v>
      </c>
      <c r="C824" s="32">
        <f>12.1565 * CHOOSE(CONTROL!$C$32, $C$9, 100%, $E$9)</f>
        <v>12.156499999999999</v>
      </c>
      <c r="D824" s="32">
        <f>12.1581 * CHOOSE(CONTROL!$C$32, $C$9, 100%, $E$9)</f>
        <v>12.158099999999999</v>
      </c>
      <c r="E824" s="33">
        <f>13.9135 * CHOOSE(CONTROL!$C$32, $C$9, 100%, $E$9)</f>
        <v>13.913500000000001</v>
      </c>
      <c r="F824" s="33">
        <f>13.9135 * CHOOSE(CONTROL!$C$32, $C$9, 100%, $E$9)</f>
        <v>13.913500000000001</v>
      </c>
      <c r="G824" s="33">
        <f>13.9188 * CHOOSE(CONTROL!$C$32, $C$9, 100%, $E$9)</f>
        <v>13.918799999999999</v>
      </c>
      <c r="H824" s="33">
        <f>27.9774 * CHOOSE(CONTROL!$C$32, $C$9, 100%, $E$9)</f>
        <v>27.977399999999999</v>
      </c>
      <c r="I824" s="33">
        <f>27.9826 * CHOOSE(CONTROL!$C$32, $C$9, 100%, $E$9)</f>
        <v>27.982600000000001</v>
      </c>
      <c r="J824" s="33">
        <f>27.9774 * CHOOSE(CONTROL!$C$32, $C$9, 100%, $E$9)</f>
        <v>27.977399999999999</v>
      </c>
      <c r="K824" s="33">
        <f>27.9826 * CHOOSE(CONTROL!$C$32, $C$9, 100%, $E$9)</f>
        <v>27.982600000000001</v>
      </c>
      <c r="L824" s="33">
        <f>13.9135 * CHOOSE(CONTROL!$C$32, $C$9, 100%, $E$9)</f>
        <v>13.913500000000001</v>
      </c>
      <c r="M824" s="33">
        <f>13.9188 * CHOOSE(CONTROL!$C$32, $C$9, 100%, $E$9)</f>
        <v>13.918799999999999</v>
      </c>
      <c r="N824" s="33">
        <f>13.9135 * CHOOSE(CONTROL!$C$32, $C$9, 100%, $E$9)</f>
        <v>13.913500000000001</v>
      </c>
      <c r="O824" s="33">
        <f>13.9188 * CHOOSE(CONTROL!$C$32, $C$9, 100%, $E$9)</f>
        <v>13.918799999999999</v>
      </c>
    </row>
    <row r="825" spans="1:15" ht="15" x14ac:dyDescent="0.2">
      <c r="A825" s="16">
        <v>65959</v>
      </c>
      <c r="B825" s="32">
        <f>12.1632 * CHOOSE(CONTROL!$C$32, $C$9, 100%, $E$9)</f>
        <v>12.1632</v>
      </c>
      <c r="C825" s="32">
        <f>12.1632 * CHOOSE(CONTROL!$C$32, $C$9, 100%, $E$9)</f>
        <v>12.1632</v>
      </c>
      <c r="D825" s="32">
        <f>12.1648 * CHOOSE(CONTROL!$C$32, $C$9, 100%, $E$9)</f>
        <v>12.1648</v>
      </c>
      <c r="E825" s="33">
        <f>13.5755 * CHOOSE(CONTROL!$C$32, $C$9, 100%, $E$9)</f>
        <v>13.5755</v>
      </c>
      <c r="F825" s="33">
        <f>13.5755 * CHOOSE(CONTROL!$C$32, $C$9, 100%, $E$9)</f>
        <v>13.5755</v>
      </c>
      <c r="G825" s="33">
        <f>13.5808 * CHOOSE(CONTROL!$C$32, $C$9, 100%, $E$9)</f>
        <v>13.5808</v>
      </c>
      <c r="H825" s="33">
        <f>28.0356 * CHOOSE(CONTROL!$C$32, $C$9, 100%, $E$9)</f>
        <v>28.035599999999999</v>
      </c>
      <c r="I825" s="33">
        <f>28.0409 * CHOOSE(CONTROL!$C$32, $C$9, 100%, $E$9)</f>
        <v>28.040900000000001</v>
      </c>
      <c r="J825" s="33">
        <f>28.0356 * CHOOSE(CONTROL!$C$32, $C$9, 100%, $E$9)</f>
        <v>28.035599999999999</v>
      </c>
      <c r="K825" s="33">
        <f>28.0409 * CHOOSE(CONTROL!$C$32, $C$9, 100%, $E$9)</f>
        <v>28.040900000000001</v>
      </c>
      <c r="L825" s="33">
        <f>13.5755 * CHOOSE(CONTROL!$C$32, $C$9, 100%, $E$9)</f>
        <v>13.5755</v>
      </c>
      <c r="M825" s="33">
        <f>13.5808 * CHOOSE(CONTROL!$C$32, $C$9, 100%, $E$9)</f>
        <v>13.5808</v>
      </c>
      <c r="N825" s="33">
        <f>13.5755 * CHOOSE(CONTROL!$C$32, $C$9, 100%, $E$9)</f>
        <v>13.5755</v>
      </c>
      <c r="O825" s="33">
        <f>13.5808 * CHOOSE(CONTROL!$C$32, $C$9, 100%, $E$9)</f>
        <v>13.5808</v>
      </c>
    </row>
    <row r="826" spans="1:15" ht="15" x14ac:dyDescent="0.2">
      <c r="A826" s="16">
        <v>65990</v>
      </c>
      <c r="B826" s="32">
        <f>12.1601 * CHOOSE(CONTROL!$C$32, $C$9, 100%, $E$9)</f>
        <v>12.1601</v>
      </c>
      <c r="C826" s="32">
        <f>12.1601 * CHOOSE(CONTROL!$C$32, $C$9, 100%, $E$9)</f>
        <v>12.1601</v>
      </c>
      <c r="D826" s="32">
        <f>12.1617 * CHOOSE(CONTROL!$C$32, $C$9, 100%, $E$9)</f>
        <v>12.1617</v>
      </c>
      <c r="E826" s="33">
        <f>13.5353 * CHOOSE(CONTROL!$C$32, $C$9, 100%, $E$9)</f>
        <v>13.535299999999999</v>
      </c>
      <c r="F826" s="33">
        <f>13.5353 * CHOOSE(CONTROL!$C$32, $C$9, 100%, $E$9)</f>
        <v>13.535299999999999</v>
      </c>
      <c r="G826" s="33">
        <f>13.5406 * CHOOSE(CONTROL!$C$32, $C$9, 100%, $E$9)</f>
        <v>13.5406</v>
      </c>
      <c r="H826" s="33">
        <f>28.094 * CHOOSE(CONTROL!$C$32, $C$9, 100%, $E$9)</f>
        <v>28.094000000000001</v>
      </c>
      <c r="I826" s="33">
        <f>28.0993 * CHOOSE(CONTROL!$C$32, $C$9, 100%, $E$9)</f>
        <v>28.099299999999999</v>
      </c>
      <c r="J826" s="33">
        <f>28.094 * CHOOSE(CONTROL!$C$32, $C$9, 100%, $E$9)</f>
        <v>28.094000000000001</v>
      </c>
      <c r="K826" s="33">
        <f>28.0993 * CHOOSE(CONTROL!$C$32, $C$9, 100%, $E$9)</f>
        <v>28.099299999999999</v>
      </c>
      <c r="L826" s="33">
        <f>13.5353 * CHOOSE(CONTROL!$C$32, $C$9, 100%, $E$9)</f>
        <v>13.535299999999999</v>
      </c>
      <c r="M826" s="33">
        <f>13.5406 * CHOOSE(CONTROL!$C$32, $C$9, 100%, $E$9)</f>
        <v>13.5406</v>
      </c>
      <c r="N826" s="33">
        <f>13.5353 * CHOOSE(CONTROL!$C$32, $C$9, 100%, $E$9)</f>
        <v>13.535299999999999</v>
      </c>
      <c r="O826" s="33">
        <f>13.5406 * CHOOSE(CONTROL!$C$32, $C$9, 100%, $E$9)</f>
        <v>13.5406</v>
      </c>
    </row>
    <row r="827" spans="1:15" ht="15" x14ac:dyDescent="0.2">
      <c r="A827" s="16">
        <v>66020</v>
      </c>
      <c r="B827" s="32">
        <f>12.1857 * CHOOSE(CONTROL!$C$32, $C$9, 100%, $E$9)</f>
        <v>12.185700000000001</v>
      </c>
      <c r="C827" s="32">
        <f>12.1857 * CHOOSE(CONTROL!$C$32, $C$9, 100%, $E$9)</f>
        <v>12.185700000000001</v>
      </c>
      <c r="D827" s="32">
        <f>12.1868 * CHOOSE(CONTROL!$C$32, $C$9, 100%, $E$9)</f>
        <v>12.1868</v>
      </c>
      <c r="E827" s="33">
        <f>13.6742 * CHOOSE(CONTROL!$C$32, $C$9, 100%, $E$9)</f>
        <v>13.674200000000001</v>
      </c>
      <c r="F827" s="33">
        <f>13.6742 * CHOOSE(CONTROL!$C$32, $C$9, 100%, $E$9)</f>
        <v>13.674200000000001</v>
      </c>
      <c r="G827" s="33">
        <f>13.6778 * CHOOSE(CONTROL!$C$32, $C$9, 100%, $E$9)</f>
        <v>13.6778</v>
      </c>
      <c r="H827" s="33">
        <f>28.1526 * CHOOSE(CONTROL!$C$32, $C$9, 100%, $E$9)</f>
        <v>28.1526</v>
      </c>
      <c r="I827" s="33">
        <f>28.1562 * CHOOSE(CONTROL!$C$32, $C$9, 100%, $E$9)</f>
        <v>28.156199999999998</v>
      </c>
      <c r="J827" s="33">
        <f>28.1526 * CHOOSE(CONTROL!$C$32, $C$9, 100%, $E$9)</f>
        <v>28.1526</v>
      </c>
      <c r="K827" s="33">
        <f>28.1562 * CHOOSE(CONTROL!$C$32, $C$9, 100%, $E$9)</f>
        <v>28.156199999999998</v>
      </c>
      <c r="L827" s="33">
        <f>13.6742 * CHOOSE(CONTROL!$C$32, $C$9, 100%, $E$9)</f>
        <v>13.674200000000001</v>
      </c>
      <c r="M827" s="33">
        <f>13.6778 * CHOOSE(CONTROL!$C$32, $C$9, 100%, $E$9)</f>
        <v>13.6778</v>
      </c>
      <c r="N827" s="33">
        <f>13.6742 * CHOOSE(CONTROL!$C$32, $C$9, 100%, $E$9)</f>
        <v>13.674200000000001</v>
      </c>
      <c r="O827" s="33">
        <f>13.6778 * CHOOSE(CONTROL!$C$32, $C$9, 100%, $E$9)</f>
        <v>13.6778</v>
      </c>
    </row>
    <row r="828" spans="1:15" ht="15" x14ac:dyDescent="0.2">
      <c r="A828" s="16">
        <v>66051</v>
      </c>
      <c r="B828" s="32">
        <f>12.1887 * CHOOSE(CONTROL!$C$32, $C$9, 100%, $E$9)</f>
        <v>12.188700000000001</v>
      </c>
      <c r="C828" s="32">
        <f>12.1887 * CHOOSE(CONTROL!$C$32, $C$9, 100%, $E$9)</f>
        <v>12.188700000000001</v>
      </c>
      <c r="D828" s="32">
        <f>12.1898 * CHOOSE(CONTROL!$C$32, $C$9, 100%, $E$9)</f>
        <v>12.1898</v>
      </c>
      <c r="E828" s="33">
        <f>13.7524 * CHOOSE(CONTROL!$C$32, $C$9, 100%, $E$9)</f>
        <v>13.7524</v>
      </c>
      <c r="F828" s="33">
        <f>13.7524 * CHOOSE(CONTROL!$C$32, $C$9, 100%, $E$9)</f>
        <v>13.7524</v>
      </c>
      <c r="G828" s="33">
        <f>13.7561 * CHOOSE(CONTROL!$C$32, $C$9, 100%, $E$9)</f>
        <v>13.7561</v>
      </c>
      <c r="H828" s="33">
        <f>28.2112 * CHOOSE(CONTROL!$C$32, $C$9, 100%, $E$9)</f>
        <v>28.211200000000002</v>
      </c>
      <c r="I828" s="33">
        <f>28.2148 * CHOOSE(CONTROL!$C$32, $C$9, 100%, $E$9)</f>
        <v>28.2148</v>
      </c>
      <c r="J828" s="33">
        <f>28.2112 * CHOOSE(CONTROL!$C$32, $C$9, 100%, $E$9)</f>
        <v>28.211200000000002</v>
      </c>
      <c r="K828" s="33">
        <f>28.2148 * CHOOSE(CONTROL!$C$32, $C$9, 100%, $E$9)</f>
        <v>28.2148</v>
      </c>
      <c r="L828" s="33">
        <f>13.7524 * CHOOSE(CONTROL!$C$32, $C$9, 100%, $E$9)</f>
        <v>13.7524</v>
      </c>
      <c r="M828" s="33">
        <f>13.7561 * CHOOSE(CONTROL!$C$32, $C$9, 100%, $E$9)</f>
        <v>13.7561</v>
      </c>
      <c r="N828" s="33">
        <f>13.7524 * CHOOSE(CONTROL!$C$32, $C$9, 100%, $E$9)</f>
        <v>13.7524</v>
      </c>
      <c r="O828" s="33">
        <f>13.7561 * CHOOSE(CONTROL!$C$32, $C$9, 100%, $E$9)</f>
        <v>13.7561</v>
      </c>
    </row>
    <row r="829" spans="1:15" ht="15" x14ac:dyDescent="0.2">
      <c r="A829" s="16">
        <v>66081</v>
      </c>
      <c r="B829" s="32">
        <f>12.1887 * CHOOSE(CONTROL!$C$32, $C$9, 100%, $E$9)</f>
        <v>12.188700000000001</v>
      </c>
      <c r="C829" s="32">
        <f>12.1887 * CHOOSE(CONTROL!$C$32, $C$9, 100%, $E$9)</f>
        <v>12.188700000000001</v>
      </c>
      <c r="D829" s="32">
        <f>12.1898 * CHOOSE(CONTROL!$C$32, $C$9, 100%, $E$9)</f>
        <v>12.1898</v>
      </c>
      <c r="E829" s="33">
        <f>13.5621 * CHOOSE(CONTROL!$C$32, $C$9, 100%, $E$9)</f>
        <v>13.562099999999999</v>
      </c>
      <c r="F829" s="33">
        <f>13.5621 * CHOOSE(CONTROL!$C$32, $C$9, 100%, $E$9)</f>
        <v>13.562099999999999</v>
      </c>
      <c r="G829" s="33">
        <f>13.5657 * CHOOSE(CONTROL!$C$32, $C$9, 100%, $E$9)</f>
        <v>13.5657</v>
      </c>
      <c r="H829" s="33">
        <f>28.27 * CHOOSE(CONTROL!$C$32, $C$9, 100%, $E$9)</f>
        <v>28.27</v>
      </c>
      <c r="I829" s="33">
        <f>28.2736 * CHOOSE(CONTROL!$C$32, $C$9, 100%, $E$9)</f>
        <v>28.273599999999998</v>
      </c>
      <c r="J829" s="33">
        <f>28.27 * CHOOSE(CONTROL!$C$32, $C$9, 100%, $E$9)</f>
        <v>28.27</v>
      </c>
      <c r="K829" s="33">
        <f>28.2736 * CHOOSE(CONTROL!$C$32, $C$9, 100%, $E$9)</f>
        <v>28.273599999999998</v>
      </c>
      <c r="L829" s="33">
        <f>13.5621 * CHOOSE(CONTROL!$C$32, $C$9, 100%, $E$9)</f>
        <v>13.562099999999999</v>
      </c>
      <c r="M829" s="33">
        <f>13.5657 * CHOOSE(CONTROL!$C$32, $C$9, 100%, $E$9)</f>
        <v>13.5657</v>
      </c>
      <c r="N829" s="33">
        <f>13.5621 * CHOOSE(CONTROL!$C$32, $C$9, 100%, $E$9)</f>
        <v>13.562099999999999</v>
      </c>
      <c r="O829" s="33">
        <f>13.5657 * CHOOSE(CONTROL!$C$32, $C$9, 100%, $E$9)</f>
        <v>13.5657</v>
      </c>
    </row>
    <row r="830" spans="1:15" ht="15" x14ac:dyDescent="0.2">
      <c r="A830" s="16">
        <v>66112</v>
      </c>
      <c r="B830" s="32">
        <f>12.192 * CHOOSE(CONTROL!$C$32, $C$9, 100%, $E$9)</f>
        <v>12.192</v>
      </c>
      <c r="C830" s="32">
        <f>12.192 * CHOOSE(CONTROL!$C$32, $C$9, 100%, $E$9)</f>
        <v>12.192</v>
      </c>
      <c r="D830" s="32">
        <f>12.1931 * CHOOSE(CONTROL!$C$32, $C$9, 100%, $E$9)</f>
        <v>12.193099999999999</v>
      </c>
      <c r="E830" s="33">
        <f>13.7081 * CHOOSE(CONTROL!$C$32, $C$9, 100%, $E$9)</f>
        <v>13.7081</v>
      </c>
      <c r="F830" s="33">
        <f>13.7081 * CHOOSE(CONTROL!$C$32, $C$9, 100%, $E$9)</f>
        <v>13.7081</v>
      </c>
      <c r="G830" s="33">
        <f>13.7117 * CHOOSE(CONTROL!$C$32, $C$9, 100%, $E$9)</f>
        <v>13.7117</v>
      </c>
      <c r="H830" s="33">
        <f>28.0942 * CHOOSE(CONTROL!$C$32, $C$9, 100%, $E$9)</f>
        <v>28.094200000000001</v>
      </c>
      <c r="I830" s="33">
        <f>28.0978 * CHOOSE(CONTROL!$C$32, $C$9, 100%, $E$9)</f>
        <v>28.097799999999999</v>
      </c>
      <c r="J830" s="33">
        <f>28.0942 * CHOOSE(CONTROL!$C$32, $C$9, 100%, $E$9)</f>
        <v>28.094200000000001</v>
      </c>
      <c r="K830" s="33">
        <f>28.0978 * CHOOSE(CONTROL!$C$32, $C$9, 100%, $E$9)</f>
        <v>28.097799999999999</v>
      </c>
      <c r="L830" s="33">
        <f>13.7081 * CHOOSE(CONTROL!$C$32, $C$9, 100%, $E$9)</f>
        <v>13.7081</v>
      </c>
      <c r="M830" s="33">
        <f>13.7117 * CHOOSE(CONTROL!$C$32, $C$9, 100%, $E$9)</f>
        <v>13.7117</v>
      </c>
      <c r="N830" s="33">
        <f>13.7081 * CHOOSE(CONTROL!$C$32, $C$9, 100%, $E$9)</f>
        <v>13.7081</v>
      </c>
      <c r="O830" s="33">
        <f>13.7117 * CHOOSE(CONTROL!$C$32, $C$9, 100%, $E$9)</f>
        <v>13.7117</v>
      </c>
    </row>
    <row r="831" spans="1:15" ht="15" x14ac:dyDescent="0.2">
      <c r="A831" s="16">
        <v>66143</v>
      </c>
      <c r="B831" s="32">
        <f>12.189 * CHOOSE(CONTROL!$C$32, $C$9, 100%, $E$9)</f>
        <v>12.189</v>
      </c>
      <c r="C831" s="32">
        <f>12.189 * CHOOSE(CONTROL!$C$32, $C$9, 100%, $E$9)</f>
        <v>12.189</v>
      </c>
      <c r="D831" s="32">
        <f>12.19 * CHOOSE(CONTROL!$C$32, $C$9, 100%, $E$9)</f>
        <v>12.19</v>
      </c>
      <c r="E831" s="33">
        <f>13.3391 * CHOOSE(CONTROL!$C$32, $C$9, 100%, $E$9)</f>
        <v>13.3391</v>
      </c>
      <c r="F831" s="33">
        <f>13.3391 * CHOOSE(CONTROL!$C$32, $C$9, 100%, $E$9)</f>
        <v>13.3391</v>
      </c>
      <c r="G831" s="33">
        <f>13.3427 * CHOOSE(CONTROL!$C$32, $C$9, 100%, $E$9)</f>
        <v>13.342700000000001</v>
      </c>
      <c r="H831" s="33">
        <f>28.1527 * CHOOSE(CONTROL!$C$32, $C$9, 100%, $E$9)</f>
        <v>28.152699999999999</v>
      </c>
      <c r="I831" s="33">
        <f>28.1563 * CHOOSE(CONTROL!$C$32, $C$9, 100%, $E$9)</f>
        <v>28.156300000000002</v>
      </c>
      <c r="J831" s="33">
        <f>28.1527 * CHOOSE(CONTROL!$C$32, $C$9, 100%, $E$9)</f>
        <v>28.152699999999999</v>
      </c>
      <c r="K831" s="33">
        <f>28.1563 * CHOOSE(CONTROL!$C$32, $C$9, 100%, $E$9)</f>
        <v>28.156300000000002</v>
      </c>
      <c r="L831" s="33">
        <f>13.3391 * CHOOSE(CONTROL!$C$32, $C$9, 100%, $E$9)</f>
        <v>13.3391</v>
      </c>
      <c r="M831" s="33">
        <f>13.3427 * CHOOSE(CONTROL!$C$32, $C$9, 100%, $E$9)</f>
        <v>13.342700000000001</v>
      </c>
      <c r="N831" s="33">
        <f>13.3391 * CHOOSE(CONTROL!$C$32, $C$9, 100%, $E$9)</f>
        <v>13.3391</v>
      </c>
      <c r="O831" s="33">
        <f>13.3427 * CHOOSE(CONTROL!$C$32, $C$9, 100%, $E$9)</f>
        <v>13.342700000000001</v>
      </c>
    </row>
    <row r="832" spans="1:15" ht="15" x14ac:dyDescent="0.2">
      <c r="A832" s="16">
        <v>66171</v>
      </c>
      <c r="B832" s="32">
        <f>12.1859 * CHOOSE(CONTROL!$C$32, $C$9, 100%, $E$9)</f>
        <v>12.1859</v>
      </c>
      <c r="C832" s="32">
        <f>12.1859 * CHOOSE(CONTROL!$C$32, $C$9, 100%, $E$9)</f>
        <v>12.1859</v>
      </c>
      <c r="D832" s="32">
        <f>12.187 * CHOOSE(CONTROL!$C$32, $C$9, 100%, $E$9)</f>
        <v>12.186999999999999</v>
      </c>
      <c r="E832" s="33">
        <f>13.6262 * CHOOSE(CONTROL!$C$32, $C$9, 100%, $E$9)</f>
        <v>13.626200000000001</v>
      </c>
      <c r="F832" s="33">
        <f>13.6262 * CHOOSE(CONTROL!$C$32, $C$9, 100%, $E$9)</f>
        <v>13.626200000000001</v>
      </c>
      <c r="G832" s="33">
        <f>13.6298 * CHOOSE(CONTROL!$C$32, $C$9, 100%, $E$9)</f>
        <v>13.629799999999999</v>
      </c>
      <c r="H832" s="33">
        <f>28.2114 * CHOOSE(CONTROL!$C$32, $C$9, 100%, $E$9)</f>
        <v>28.211400000000001</v>
      </c>
      <c r="I832" s="33">
        <f>28.215 * CHOOSE(CONTROL!$C$32, $C$9, 100%, $E$9)</f>
        <v>28.215</v>
      </c>
      <c r="J832" s="33">
        <f>28.2114 * CHOOSE(CONTROL!$C$32, $C$9, 100%, $E$9)</f>
        <v>28.211400000000001</v>
      </c>
      <c r="K832" s="33">
        <f>28.215 * CHOOSE(CONTROL!$C$32, $C$9, 100%, $E$9)</f>
        <v>28.215</v>
      </c>
      <c r="L832" s="33">
        <f>13.6262 * CHOOSE(CONTROL!$C$32, $C$9, 100%, $E$9)</f>
        <v>13.626200000000001</v>
      </c>
      <c r="M832" s="33">
        <f>13.6298 * CHOOSE(CONTROL!$C$32, $C$9, 100%, $E$9)</f>
        <v>13.629799999999999</v>
      </c>
      <c r="N832" s="33">
        <f>13.6262 * CHOOSE(CONTROL!$C$32, $C$9, 100%, $E$9)</f>
        <v>13.626200000000001</v>
      </c>
      <c r="O832" s="33">
        <f>13.6298 * CHOOSE(CONTROL!$C$32, $C$9, 100%, $E$9)</f>
        <v>13.629799999999999</v>
      </c>
    </row>
    <row r="833" spans="1:15" ht="15" x14ac:dyDescent="0.2">
      <c r="A833" s="16">
        <v>66202</v>
      </c>
      <c r="B833" s="32">
        <f>12.1915 * CHOOSE(CONTROL!$C$32, $C$9, 100%, $E$9)</f>
        <v>12.1915</v>
      </c>
      <c r="C833" s="32">
        <f>12.1915 * CHOOSE(CONTROL!$C$32, $C$9, 100%, $E$9)</f>
        <v>12.1915</v>
      </c>
      <c r="D833" s="32">
        <f>12.1926 * CHOOSE(CONTROL!$C$32, $C$9, 100%, $E$9)</f>
        <v>12.192600000000001</v>
      </c>
      <c r="E833" s="33">
        <f>13.9325 * CHOOSE(CONTROL!$C$32, $C$9, 100%, $E$9)</f>
        <v>13.932499999999999</v>
      </c>
      <c r="F833" s="33">
        <f>13.9325 * CHOOSE(CONTROL!$C$32, $C$9, 100%, $E$9)</f>
        <v>13.932499999999999</v>
      </c>
      <c r="G833" s="33">
        <f>13.9361 * CHOOSE(CONTROL!$C$32, $C$9, 100%, $E$9)</f>
        <v>13.9361</v>
      </c>
      <c r="H833" s="33">
        <f>28.2702 * CHOOSE(CONTROL!$C$32, $C$9, 100%, $E$9)</f>
        <v>28.270199999999999</v>
      </c>
      <c r="I833" s="33">
        <f>28.2738 * CHOOSE(CONTROL!$C$32, $C$9, 100%, $E$9)</f>
        <v>28.273800000000001</v>
      </c>
      <c r="J833" s="33">
        <f>28.2702 * CHOOSE(CONTROL!$C$32, $C$9, 100%, $E$9)</f>
        <v>28.270199999999999</v>
      </c>
      <c r="K833" s="33">
        <f>28.2738 * CHOOSE(CONTROL!$C$32, $C$9, 100%, $E$9)</f>
        <v>28.273800000000001</v>
      </c>
      <c r="L833" s="33">
        <f>13.9325 * CHOOSE(CONTROL!$C$32, $C$9, 100%, $E$9)</f>
        <v>13.932499999999999</v>
      </c>
      <c r="M833" s="33">
        <f>13.9361 * CHOOSE(CONTROL!$C$32, $C$9, 100%, $E$9)</f>
        <v>13.9361</v>
      </c>
      <c r="N833" s="33">
        <f>13.9325 * CHOOSE(CONTROL!$C$32, $C$9, 100%, $E$9)</f>
        <v>13.932499999999999</v>
      </c>
      <c r="O833" s="33">
        <f>13.9361 * CHOOSE(CONTROL!$C$32, $C$9, 100%, $E$9)</f>
        <v>13.9361</v>
      </c>
    </row>
    <row r="834" spans="1:15" ht="15" x14ac:dyDescent="0.2">
      <c r="A834" s="16">
        <v>66232</v>
      </c>
      <c r="B834" s="32">
        <f>12.1915 * CHOOSE(CONTROL!$C$32, $C$9, 100%, $E$9)</f>
        <v>12.1915</v>
      </c>
      <c r="C834" s="32">
        <f>12.1915 * CHOOSE(CONTROL!$C$32, $C$9, 100%, $E$9)</f>
        <v>12.1915</v>
      </c>
      <c r="D834" s="32">
        <f>12.1931 * CHOOSE(CONTROL!$C$32, $C$9, 100%, $E$9)</f>
        <v>12.193099999999999</v>
      </c>
      <c r="E834" s="33">
        <f>14.049 * CHOOSE(CONTROL!$C$32, $C$9, 100%, $E$9)</f>
        <v>14.048999999999999</v>
      </c>
      <c r="F834" s="33">
        <f>14.049 * CHOOSE(CONTROL!$C$32, $C$9, 100%, $E$9)</f>
        <v>14.048999999999999</v>
      </c>
      <c r="G834" s="33">
        <f>14.0543 * CHOOSE(CONTROL!$C$32, $C$9, 100%, $E$9)</f>
        <v>14.0543</v>
      </c>
      <c r="H834" s="33">
        <f>28.3291 * CHOOSE(CONTROL!$C$32, $C$9, 100%, $E$9)</f>
        <v>28.3291</v>
      </c>
      <c r="I834" s="33">
        <f>28.3343 * CHOOSE(CONTROL!$C$32, $C$9, 100%, $E$9)</f>
        <v>28.334299999999999</v>
      </c>
      <c r="J834" s="33">
        <f>28.3291 * CHOOSE(CONTROL!$C$32, $C$9, 100%, $E$9)</f>
        <v>28.3291</v>
      </c>
      <c r="K834" s="33">
        <f>28.3343 * CHOOSE(CONTROL!$C$32, $C$9, 100%, $E$9)</f>
        <v>28.334299999999999</v>
      </c>
      <c r="L834" s="33">
        <f>14.049 * CHOOSE(CONTROL!$C$32, $C$9, 100%, $E$9)</f>
        <v>14.048999999999999</v>
      </c>
      <c r="M834" s="33">
        <f>14.0543 * CHOOSE(CONTROL!$C$32, $C$9, 100%, $E$9)</f>
        <v>14.0543</v>
      </c>
      <c r="N834" s="33">
        <f>14.049 * CHOOSE(CONTROL!$C$32, $C$9, 100%, $E$9)</f>
        <v>14.048999999999999</v>
      </c>
      <c r="O834" s="33">
        <f>14.0543 * CHOOSE(CONTROL!$C$32, $C$9, 100%, $E$9)</f>
        <v>14.0543</v>
      </c>
    </row>
    <row r="835" spans="1:15" ht="15" x14ac:dyDescent="0.2">
      <c r="A835" s="16">
        <v>66263</v>
      </c>
      <c r="B835" s="32">
        <f>12.1976 * CHOOSE(CONTROL!$C$32, $C$9, 100%, $E$9)</f>
        <v>12.1976</v>
      </c>
      <c r="C835" s="32">
        <f>12.1976 * CHOOSE(CONTROL!$C$32, $C$9, 100%, $E$9)</f>
        <v>12.1976</v>
      </c>
      <c r="D835" s="32">
        <f>12.1992 * CHOOSE(CONTROL!$C$32, $C$9, 100%, $E$9)</f>
        <v>12.199199999999999</v>
      </c>
      <c r="E835" s="33">
        <f>13.9368 * CHOOSE(CONTROL!$C$32, $C$9, 100%, $E$9)</f>
        <v>13.9368</v>
      </c>
      <c r="F835" s="33">
        <f>13.9368 * CHOOSE(CONTROL!$C$32, $C$9, 100%, $E$9)</f>
        <v>13.9368</v>
      </c>
      <c r="G835" s="33">
        <f>13.9421 * CHOOSE(CONTROL!$C$32, $C$9, 100%, $E$9)</f>
        <v>13.9421</v>
      </c>
      <c r="H835" s="33">
        <f>28.3881 * CHOOSE(CONTROL!$C$32, $C$9, 100%, $E$9)</f>
        <v>28.388100000000001</v>
      </c>
      <c r="I835" s="33">
        <f>28.3934 * CHOOSE(CONTROL!$C$32, $C$9, 100%, $E$9)</f>
        <v>28.3934</v>
      </c>
      <c r="J835" s="33">
        <f>28.3881 * CHOOSE(CONTROL!$C$32, $C$9, 100%, $E$9)</f>
        <v>28.388100000000001</v>
      </c>
      <c r="K835" s="33">
        <f>28.3934 * CHOOSE(CONTROL!$C$32, $C$9, 100%, $E$9)</f>
        <v>28.3934</v>
      </c>
      <c r="L835" s="33">
        <f>13.9368 * CHOOSE(CONTROL!$C$32, $C$9, 100%, $E$9)</f>
        <v>13.9368</v>
      </c>
      <c r="M835" s="33">
        <f>13.9421 * CHOOSE(CONTROL!$C$32, $C$9, 100%, $E$9)</f>
        <v>13.9421</v>
      </c>
      <c r="N835" s="33">
        <f>13.9368 * CHOOSE(CONTROL!$C$32, $C$9, 100%, $E$9)</f>
        <v>13.9368</v>
      </c>
      <c r="O835" s="33">
        <f>13.9421 * CHOOSE(CONTROL!$C$32, $C$9, 100%, $E$9)</f>
        <v>13.9421</v>
      </c>
    </row>
    <row r="836" spans="1:15" ht="15" x14ac:dyDescent="0.2">
      <c r="A836" s="16">
        <v>66293</v>
      </c>
      <c r="B836" s="32">
        <f>12.3461 * CHOOSE(CONTROL!$C$32, $C$9, 100%, $E$9)</f>
        <v>12.3461</v>
      </c>
      <c r="C836" s="32">
        <f>12.3461 * CHOOSE(CONTROL!$C$32, $C$9, 100%, $E$9)</f>
        <v>12.3461</v>
      </c>
      <c r="D836" s="32">
        <f>12.3477 * CHOOSE(CONTROL!$C$32, $C$9, 100%, $E$9)</f>
        <v>12.3477</v>
      </c>
      <c r="E836" s="33">
        <f>14.1337 * CHOOSE(CONTROL!$C$32, $C$9, 100%, $E$9)</f>
        <v>14.133699999999999</v>
      </c>
      <c r="F836" s="33">
        <f>14.1337 * CHOOSE(CONTROL!$C$32, $C$9, 100%, $E$9)</f>
        <v>14.133699999999999</v>
      </c>
      <c r="G836" s="33">
        <f>14.139 * CHOOSE(CONTROL!$C$32, $C$9, 100%, $E$9)</f>
        <v>14.138999999999999</v>
      </c>
      <c r="H836" s="33">
        <f>28.4472 * CHOOSE(CONTROL!$C$32, $C$9, 100%, $E$9)</f>
        <v>28.447199999999999</v>
      </c>
      <c r="I836" s="33">
        <f>28.4525 * CHOOSE(CONTROL!$C$32, $C$9, 100%, $E$9)</f>
        <v>28.452500000000001</v>
      </c>
      <c r="J836" s="33">
        <f>28.4472 * CHOOSE(CONTROL!$C$32, $C$9, 100%, $E$9)</f>
        <v>28.447199999999999</v>
      </c>
      <c r="K836" s="33">
        <f>28.4525 * CHOOSE(CONTROL!$C$32, $C$9, 100%, $E$9)</f>
        <v>28.452500000000001</v>
      </c>
      <c r="L836" s="33">
        <f>14.1337 * CHOOSE(CONTROL!$C$32, $C$9, 100%, $E$9)</f>
        <v>14.133699999999999</v>
      </c>
      <c r="M836" s="33">
        <f>14.139 * CHOOSE(CONTROL!$C$32, $C$9, 100%, $E$9)</f>
        <v>14.138999999999999</v>
      </c>
      <c r="N836" s="33">
        <f>14.1337 * CHOOSE(CONTROL!$C$32, $C$9, 100%, $E$9)</f>
        <v>14.133699999999999</v>
      </c>
      <c r="O836" s="33">
        <f>14.139 * CHOOSE(CONTROL!$C$32, $C$9, 100%, $E$9)</f>
        <v>14.138999999999999</v>
      </c>
    </row>
    <row r="837" spans="1:15" ht="15" x14ac:dyDescent="0.2">
      <c r="A837" s="16">
        <v>66324</v>
      </c>
      <c r="B837" s="32">
        <f>12.3528 * CHOOSE(CONTROL!$C$32, $C$9, 100%, $E$9)</f>
        <v>12.3528</v>
      </c>
      <c r="C837" s="32">
        <f>12.3528 * CHOOSE(CONTROL!$C$32, $C$9, 100%, $E$9)</f>
        <v>12.3528</v>
      </c>
      <c r="D837" s="32">
        <f>12.3544 * CHOOSE(CONTROL!$C$32, $C$9, 100%, $E$9)</f>
        <v>12.3544</v>
      </c>
      <c r="E837" s="33">
        <f>13.7889 * CHOOSE(CONTROL!$C$32, $C$9, 100%, $E$9)</f>
        <v>13.7889</v>
      </c>
      <c r="F837" s="33">
        <f>13.7889 * CHOOSE(CONTROL!$C$32, $C$9, 100%, $E$9)</f>
        <v>13.7889</v>
      </c>
      <c r="G837" s="33">
        <f>13.7942 * CHOOSE(CONTROL!$C$32, $C$9, 100%, $E$9)</f>
        <v>13.7942</v>
      </c>
      <c r="H837" s="33">
        <f>28.5065 * CHOOSE(CONTROL!$C$32, $C$9, 100%, $E$9)</f>
        <v>28.506499999999999</v>
      </c>
      <c r="I837" s="33">
        <f>28.5118 * CHOOSE(CONTROL!$C$32, $C$9, 100%, $E$9)</f>
        <v>28.511800000000001</v>
      </c>
      <c r="J837" s="33">
        <f>28.5065 * CHOOSE(CONTROL!$C$32, $C$9, 100%, $E$9)</f>
        <v>28.506499999999999</v>
      </c>
      <c r="K837" s="33">
        <f>28.5118 * CHOOSE(CONTROL!$C$32, $C$9, 100%, $E$9)</f>
        <v>28.511800000000001</v>
      </c>
      <c r="L837" s="33">
        <f>13.7889 * CHOOSE(CONTROL!$C$32, $C$9, 100%, $E$9)</f>
        <v>13.7889</v>
      </c>
      <c r="M837" s="33">
        <f>13.7942 * CHOOSE(CONTROL!$C$32, $C$9, 100%, $E$9)</f>
        <v>13.7942</v>
      </c>
      <c r="N837" s="33">
        <f>13.7889 * CHOOSE(CONTROL!$C$32, $C$9, 100%, $E$9)</f>
        <v>13.7889</v>
      </c>
      <c r="O837" s="33">
        <f>13.7942 * CHOOSE(CONTROL!$C$32, $C$9, 100%, $E$9)</f>
        <v>13.7942</v>
      </c>
    </row>
    <row r="838" spans="1:15" ht="15" x14ac:dyDescent="0.2">
      <c r="A838" s="16">
        <v>66355</v>
      </c>
      <c r="B838" s="32">
        <f>12.3497 * CHOOSE(CONTROL!$C$32, $C$9, 100%, $E$9)</f>
        <v>12.3497</v>
      </c>
      <c r="C838" s="32">
        <f>12.3497 * CHOOSE(CONTROL!$C$32, $C$9, 100%, $E$9)</f>
        <v>12.3497</v>
      </c>
      <c r="D838" s="32">
        <f>12.3513 * CHOOSE(CONTROL!$C$32, $C$9, 100%, $E$9)</f>
        <v>12.3513</v>
      </c>
      <c r="E838" s="33">
        <f>13.748 * CHOOSE(CONTROL!$C$32, $C$9, 100%, $E$9)</f>
        <v>13.747999999999999</v>
      </c>
      <c r="F838" s="33">
        <f>13.748 * CHOOSE(CONTROL!$C$32, $C$9, 100%, $E$9)</f>
        <v>13.747999999999999</v>
      </c>
      <c r="G838" s="33">
        <f>13.7533 * CHOOSE(CONTROL!$C$32, $C$9, 100%, $E$9)</f>
        <v>13.753299999999999</v>
      </c>
      <c r="H838" s="33">
        <f>28.5659 * CHOOSE(CONTROL!$C$32, $C$9, 100%, $E$9)</f>
        <v>28.565899999999999</v>
      </c>
      <c r="I838" s="33">
        <f>28.5712 * CHOOSE(CONTROL!$C$32, $C$9, 100%, $E$9)</f>
        <v>28.571200000000001</v>
      </c>
      <c r="J838" s="33">
        <f>28.5659 * CHOOSE(CONTROL!$C$32, $C$9, 100%, $E$9)</f>
        <v>28.565899999999999</v>
      </c>
      <c r="K838" s="33">
        <f>28.5712 * CHOOSE(CONTROL!$C$32, $C$9, 100%, $E$9)</f>
        <v>28.571200000000001</v>
      </c>
      <c r="L838" s="33">
        <f>13.748 * CHOOSE(CONTROL!$C$32, $C$9, 100%, $E$9)</f>
        <v>13.747999999999999</v>
      </c>
      <c r="M838" s="33">
        <f>13.7533 * CHOOSE(CONTROL!$C$32, $C$9, 100%, $E$9)</f>
        <v>13.753299999999999</v>
      </c>
      <c r="N838" s="33">
        <f>13.748 * CHOOSE(CONTROL!$C$32, $C$9, 100%, $E$9)</f>
        <v>13.747999999999999</v>
      </c>
      <c r="O838" s="33">
        <f>13.7533 * CHOOSE(CONTROL!$C$32, $C$9, 100%, $E$9)</f>
        <v>13.753299999999999</v>
      </c>
    </row>
    <row r="839" spans="1:15" ht="15" x14ac:dyDescent="0.2">
      <c r="A839" s="16">
        <v>66385</v>
      </c>
      <c r="B839" s="32">
        <f>12.376 * CHOOSE(CONTROL!$C$32, $C$9, 100%, $E$9)</f>
        <v>12.375999999999999</v>
      </c>
      <c r="C839" s="32">
        <f>12.376 * CHOOSE(CONTROL!$C$32, $C$9, 100%, $E$9)</f>
        <v>12.375999999999999</v>
      </c>
      <c r="D839" s="32">
        <f>12.3771 * CHOOSE(CONTROL!$C$32, $C$9, 100%, $E$9)</f>
        <v>12.3771</v>
      </c>
      <c r="E839" s="33">
        <f>13.8899 * CHOOSE(CONTROL!$C$32, $C$9, 100%, $E$9)</f>
        <v>13.889900000000001</v>
      </c>
      <c r="F839" s="33">
        <f>13.8899 * CHOOSE(CONTROL!$C$32, $C$9, 100%, $E$9)</f>
        <v>13.889900000000001</v>
      </c>
      <c r="G839" s="33">
        <f>13.8935 * CHOOSE(CONTROL!$C$32, $C$9, 100%, $E$9)</f>
        <v>13.8935</v>
      </c>
      <c r="H839" s="33">
        <f>28.6254 * CHOOSE(CONTROL!$C$32, $C$9, 100%, $E$9)</f>
        <v>28.625399999999999</v>
      </c>
      <c r="I839" s="33">
        <f>28.629 * CHOOSE(CONTROL!$C$32, $C$9, 100%, $E$9)</f>
        <v>28.629000000000001</v>
      </c>
      <c r="J839" s="33">
        <f>28.6254 * CHOOSE(CONTROL!$C$32, $C$9, 100%, $E$9)</f>
        <v>28.625399999999999</v>
      </c>
      <c r="K839" s="33">
        <f>28.629 * CHOOSE(CONTROL!$C$32, $C$9, 100%, $E$9)</f>
        <v>28.629000000000001</v>
      </c>
      <c r="L839" s="33">
        <f>13.8899 * CHOOSE(CONTROL!$C$32, $C$9, 100%, $E$9)</f>
        <v>13.889900000000001</v>
      </c>
      <c r="M839" s="33">
        <f>13.8935 * CHOOSE(CONTROL!$C$32, $C$9, 100%, $E$9)</f>
        <v>13.8935</v>
      </c>
      <c r="N839" s="33">
        <f>13.8899 * CHOOSE(CONTROL!$C$32, $C$9, 100%, $E$9)</f>
        <v>13.889900000000001</v>
      </c>
      <c r="O839" s="33">
        <f>13.8935 * CHOOSE(CONTROL!$C$32, $C$9, 100%, $E$9)</f>
        <v>13.8935</v>
      </c>
    </row>
    <row r="840" spans="1:15" ht="15" x14ac:dyDescent="0.2">
      <c r="A840" s="16">
        <v>66416</v>
      </c>
      <c r="B840" s="32">
        <f>12.379 * CHOOSE(CONTROL!$C$32, $C$9, 100%, $E$9)</f>
        <v>12.379</v>
      </c>
      <c r="C840" s="32">
        <f>12.379 * CHOOSE(CONTROL!$C$32, $C$9, 100%, $E$9)</f>
        <v>12.379</v>
      </c>
      <c r="D840" s="32">
        <f>12.3801 * CHOOSE(CONTROL!$C$32, $C$9, 100%, $E$9)</f>
        <v>12.380100000000001</v>
      </c>
      <c r="E840" s="33">
        <f>13.9696 * CHOOSE(CONTROL!$C$32, $C$9, 100%, $E$9)</f>
        <v>13.9696</v>
      </c>
      <c r="F840" s="33">
        <f>13.9696 * CHOOSE(CONTROL!$C$32, $C$9, 100%, $E$9)</f>
        <v>13.9696</v>
      </c>
      <c r="G840" s="33">
        <f>13.9732 * CHOOSE(CONTROL!$C$32, $C$9, 100%, $E$9)</f>
        <v>13.9732</v>
      </c>
      <c r="H840" s="33">
        <f>28.685 * CHOOSE(CONTROL!$C$32, $C$9, 100%, $E$9)</f>
        <v>28.684999999999999</v>
      </c>
      <c r="I840" s="33">
        <f>28.6886 * CHOOSE(CONTROL!$C$32, $C$9, 100%, $E$9)</f>
        <v>28.688600000000001</v>
      </c>
      <c r="J840" s="33">
        <f>28.685 * CHOOSE(CONTROL!$C$32, $C$9, 100%, $E$9)</f>
        <v>28.684999999999999</v>
      </c>
      <c r="K840" s="33">
        <f>28.6886 * CHOOSE(CONTROL!$C$32, $C$9, 100%, $E$9)</f>
        <v>28.688600000000001</v>
      </c>
      <c r="L840" s="33">
        <f>13.9696 * CHOOSE(CONTROL!$C$32, $C$9, 100%, $E$9)</f>
        <v>13.9696</v>
      </c>
      <c r="M840" s="33">
        <f>13.9732 * CHOOSE(CONTROL!$C$32, $C$9, 100%, $E$9)</f>
        <v>13.9732</v>
      </c>
      <c r="N840" s="33">
        <f>13.9696 * CHOOSE(CONTROL!$C$32, $C$9, 100%, $E$9)</f>
        <v>13.9696</v>
      </c>
      <c r="O840" s="33">
        <f>13.9732 * CHOOSE(CONTROL!$C$32, $C$9, 100%, $E$9)</f>
        <v>13.9732</v>
      </c>
    </row>
    <row r="841" spans="1:15" ht="15" x14ac:dyDescent="0.2">
      <c r="A841" s="16">
        <v>66446</v>
      </c>
      <c r="B841" s="32">
        <f>12.379 * CHOOSE(CONTROL!$C$32, $C$9, 100%, $E$9)</f>
        <v>12.379</v>
      </c>
      <c r="C841" s="32">
        <f>12.379 * CHOOSE(CONTROL!$C$32, $C$9, 100%, $E$9)</f>
        <v>12.379</v>
      </c>
      <c r="D841" s="32">
        <f>12.3801 * CHOOSE(CONTROL!$C$32, $C$9, 100%, $E$9)</f>
        <v>12.380100000000001</v>
      </c>
      <c r="E841" s="33">
        <f>13.7755 * CHOOSE(CONTROL!$C$32, $C$9, 100%, $E$9)</f>
        <v>13.775499999999999</v>
      </c>
      <c r="F841" s="33">
        <f>13.7755 * CHOOSE(CONTROL!$C$32, $C$9, 100%, $E$9)</f>
        <v>13.775499999999999</v>
      </c>
      <c r="G841" s="33">
        <f>13.7791 * CHOOSE(CONTROL!$C$32, $C$9, 100%, $E$9)</f>
        <v>13.7791</v>
      </c>
      <c r="H841" s="33">
        <f>28.7448 * CHOOSE(CONTROL!$C$32, $C$9, 100%, $E$9)</f>
        <v>28.744800000000001</v>
      </c>
      <c r="I841" s="33">
        <f>28.7484 * CHOOSE(CONTROL!$C$32, $C$9, 100%, $E$9)</f>
        <v>28.7484</v>
      </c>
      <c r="J841" s="33">
        <f>28.7448 * CHOOSE(CONTROL!$C$32, $C$9, 100%, $E$9)</f>
        <v>28.744800000000001</v>
      </c>
      <c r="K841" s="33">
        <f>28.7484 * CHOOSE(CONTROL!$C$32, $C$9, 100%, $E$9)</f>
        <v>28.7484</v>
      </c>
      <c r="L841" s="33">
        <f>13.7755 * CHOOSE(CONTROL!$C$32, $C$9, 100%, $E$9)</f>
        <v>13.775499999999999</v>
      </c>
      <c r="M841" s="33">
        <f>13.7791 * CHOOSE(CONTROL!$C$32, $C$9, 100%, $E$9)</f>
        <v>13.7791</v>
      </c>
      <c r="N841" s="33">
        <f>13.7755 * CHOOSE(CONTROL!$C$32, $C$9, 100%, $E$9)</f>
        <v>13.775499999999999</v>
      </c>
      <c r="O841" s="33">
        <f>13.7791 * CHOOSE(CONTROL!$C$32, $C$9, 100%, $E$9)</f>
        <v>13.7791</v>
      </c>
    </row>
    <row r="842" spans="1:15" ht="15" x14ac:dyDescent="0.2">
      <c r="A842" s="16">
        <v>66477</v>
      </c>
      <c r="B842" s="32">
        <f>12.3794 * CHOOSE(CONTROL!$C$32, $C$9, 100%, $E$9)</f>
        <v>12.3794</v>
      </c>
      <c r="C842" s="32">
        <f>12.3794 * CHOOSE(CONTROL!$C$32, $C$9, 100%, $E$9)</f>
        <v>12.3794</v>
      </c>
      <c r="D842" s="32">
        <f>12.3804 * CHOOSE(CONTROL!$C$32, $C$9, 100%, $E$9)</f>
        <v>12.3804</v>
      </c>
      <c r="E842" s="33">
        <f>13.9206 * CHOOSE(CONTROL!$C$32, $C$9, 100%, $E$9)</f>
        <v>13.9206</v>
      </c>
      <c r="F842" s="33">
        <f>13.9206 * CHOOSE(CONTROL!$C$32, $C$9, 100%, $E$9)</f>
        <v>13.9206</v>
      </c>
      <c r="G842" s="33">
        <f>13.9242 * CHOOSE(CONTROL!$C$32, $C$9, 100%, $E$9)</f>
        <v>13.924200000000001</v>
      </c>
      <c r="H842" s="33">
        <f>28.5582 * CHOOSE(CONTROL!$C$32, $C$9, 100%, $E$9)</f>
        <v>28.558199999999999</v>
      </c>
      <c r="I842" s="33">
        <f>28.5619 * CHOOSE(CONTROL!$C$32, $C$9, 100%, $E$9)</f>
        <v>28.561900000000001</v>
      </c>
      <c r="J842" s="33">
        <f>28.5582 * CHOOSE(CONTROL!$C$32, $C$9, 100%, $E$9)</f>
        <v>28.558199999999999</v>
      </c>
      <c r="K842" s="33">
        <f>28.5619 * CHOOSE(CONTROL!$C$32, $C$9, 100%, $E$9)</f>
        <v>28.561900000000001</v>
      </c>
      <c r="L842" s="33">
        <f>13.9206 * CHOOSE(CONTROL!$C$32, $C$9, 100%, $E$9)</f>
        <v>13.9206</v>
      </c>
      <c r="M842" s="33">
        <f>13.9242 * CHOOSE(CONTROL!$C$32, $C$9, 100%, $E$9)</f>
        <v>13.924200000000001</v>
      </c>
      <c r="N842" s="33">
        <f>13.9206 * CHOOSE(CONTROL!$C$32, $C$9, 100%, $E$9)</f>
        <v>13.9206</v>
      </c>
      <c r="O842" s="33">
        <f>13.9242 * CHOOSE(CONTROL!$C$32, $C$9, 100%, $E$9)</f>
        <v>13.924200000000001</v>
      </c>
    </row>
    <row r="843" spans="1:15" ht="15" x14ac:dyDescent="0.2">
      <c r="A843" s="16">
        <v>66508</v>
      </c>
      <c r="B843" s="32">
        <f>12.3763 * CHOOSE(CONTROL!$C$32, $C$9, 100%, $E$9)</f>
        <v>12.376300000000001</v>
      </c>
      <c r="C843" s="32">
        <f>12.3763 * CHOOSE(CONTROL!$C$32, $C$9, 100%, $E$9)</f>
        <v>12.376300000000001</v>
      </c>
      <c r="D843" s="32">
        <f>12.3774 * CHOOSE(CONTROL!$C$32, $C$9, 100%, $E$9)</f>
        <v>12.3774</v>
      </c>
      <c r="E843" s="33">
        <f>13.5445 * CHOOSE(CONTROL!$C$32, $C$9, 100%, $E$9)</f>
        <v>13.544499999999999</v>
      </c>
      <c r="F843" s="33">
        <f>13.5445 * CHOOSE(CONTROL!$C$32, $C$9, 100%, $E$9)</f>
        <v>13.544499999999999</v>
      </c>
      <c r="G843" s="33">
        <f>13.5481 * CHOOSE(CONTROL!$C$32, $C$9, 100%, $E$9)</f>
        <v>13.5481</v>
      </c>
      <c r="H843" s="33">
        <f>28.6177 * CHOOSE(CONTROL!$C$32, $C$9, 100%, $E$9)</f>
        <v>28.617699999999999</v>
      </c>
      <c r="I843" s="33">
        <f>28.6213 * CHOOSE(CONTROL!$C$32, $C$9, 100%, $E$9)</f>
        <v>28.621300000000002</v>
      </c>
      <c r="J843" s="33">
        <f>28.6177 * CHOOSE(CONTROL!$C$32, $C$9, 100%, $E$9)</f>
        <v>28.617699999999999</v>
      </c>
      <c r="K843" s="33">
        <f>28.6213 * CHOOSE(CONTROL!$C$32, $C$9, 100%, $E$9)</f>
        <v>28.621300000000002</v>
      </c>
      <c r="L843" s="33">
        <f>13.5445 * CHOOSE(CONTROL!$C$32, $C$9, 100%, $E$9)</f>
        <v>13.544499999999999</v>
      </c>
      <c r="M843" s="33">
        <f>13.5481 * CHOOSE(CONTROL!$C$32, $C$9, 100%, $E$9)</f>
        <v>13.5481</v>
      </c>
      <c r="N843" s="33">
        <f>13.5445 * CHOOSE(CONTROL!$C$32, $C$9, 100%, $E$9)</f>
        <v>13.544499999999999</v>
      </c>
      <c r="O843" s="33">
        <f>13.5481 * CHOOSE(CONTROL!$C$32, $C$9, 100%, $E$9)</f>
        <v>13.5481</v>
      </c>
    </row>
    <row r="844" spans="1:15" ht="15" x14ac:dyDescent="0.2">
      <c r="A844" s="16">
        <v>66536</v>
      </c>
      <c r="B844" s="32">
        <f>12.3733 * CHOOSE(CONTROL!$C$32, $C$9, 100%, $E$9)</f>
        <v>12.3733</v>
      </c>
      <c r="C844" s="32">
        <f>12.3733 * CHOOSE(CONTROL!$C$32, $C$9, 100%, $E$9)</f>
        <v>12.3733</v>
      </c>
      <c r="D844" s="32">
        <f>12.3744 * CHOOSE(CONTROL!$C$32, $C$9, 100%, $E$9)</f>
        <v>12.3744</v>
      </c>
      <c r="E844" s="33">
        <f>13.8372 * CHOOSE(CONTROL!$C$32, $C$9, 100%, $E$9)</f>
        <v>13.837199999999999</v>
      </c>
      <c r="F844" s="33">
        <f>13.8372 * CHOOSE(CONTROL!$C$32, $C$9, 100%, $E$9)</f>
        <v>13.837199999999999</v>
      </c>
      <c r="G844" s="33">
        <f>13.8408 * CHOOSE(CONTROL!$C$32, $C$9, 100%, $E$9)</f>
        <v>13.8408</v>
      </c>
      <c r="H844" s="33">
        <f>28.6774 * CHOOSE(CONTROL!$C$32, $C$9, 100%, $E$9)</f>
        <v>28.677399999999999</v>
      </c>
      <c r="I844" s="33">
        <f>28.681 * CHOOSE(CONTROL!$C$32, $C$9, 100%, $E$9)</f>
        <v>28.681000000000001</v>
      </c>
      <c r="J844" s="33">
        <f>28.6774 * CHOOSE(CONTROL!$C$32, $C$9, 100%, $E$9)</f>
        <v>28.677399999999999</v>
      </c>
      <c r="K844" s="33">
        <f>28.681 * CHOOSE(CONTROL!$C$32, $C$9, 100%, $E$9)</f>
        <v>28.681000000000001</v>
      </c>
      <c r="L844" s="33">
        <f>13.8372 * CHOOSE(CONTROL!$C$32, $C$9, 100%, $E$9)</f>
        <v>13.837199999999999</v>
      </c>
      <c r="M844" s="33">
        <f>13.8408 * CHOOSE(CONTROL!$C$32, $C$9, 100%, $E$9)</f>
        <v>13.8408</v>
      </c>
      <c r="N844" s="33">
        <f>13.8372 * CHOOSE(CONTROL!$C$32, $C$9, 100%, $E$9)</f>
        <v>13.837199999999999</v>
      </c>
      <c r="O844" s="33">
        <f>13.8408 * CHOOSE(CONTROL!$C$32, $C$9, 100%, $E$9)</f>
        <v>13.8408</v>
      </c>
    </row>
    <row r="845" spans="1:15" ht="15" x14ac:dyDescent="0.2">
      <c r="A845" s="16">
        <v>66567</v>
      </c>
      <c r="B845" s="32">
        <f>12.3791 * CHOOSE(CONTROL!$C$32, $C$9, 100%, $E$9)</f>
        <v>12.379099999999999</v>
      </c>
      <c r="C845" s="32">
        <f>12.3791 * CHOOSE(CONTROL!$C$32, $C$9, 100%, $E$9)</f>
        <v>12.379099999999999</v>
      </c>
      <c r="D845" s="32">
        <f>12.3801 * CHOOSE(CONTROL!$C$32, $C$9, 100%, $E$9)</f>
        <v>12.380100000000001</v>
      </c>
      <c r="E845" s="33">
        <f>14.1495 * CHOOSE(CONTROL!$C$32, $C$9, 100%, $E$9)</f>
        <v>14.1495</v>
      </c>
      <c r="F845" s="33">
        <f>14.1495 * CHOOSE(CONTROL!$C$32, $C$9, 100%, $E$9)</f>
        <v>14.1495</v>
      </c>
      <c r="G845" s="33">
        <f>14.1532 * CHOOSE(CONTROL!$C$32, $C$9, 100%, $E$9)</f>
        <v>14.1532</v>
      </c>
      <c r="H845" s="33">
        <f>28.7371 * CHOOSE(CONTROL!$C$32, $C$9, 100%, $E$9)</f>
        <v>28.737100000000002</v>
      </c>
      <c r="I845" s="33">
        <f>28.7407 * CHOOSE(CONTROL!$C$32, $C$9, 100%, $E$9)</f>
        <v>28.7407</v>
      </c>
      <c r="J845" s="33">
        <f>28.7371 * CHOOSE(CONTROL!$C$32, $C$9, 100%, $E$9)</f>
        <v>28.737100000000002</v>
      </c>
      <c r="K845" s="33">
        <f>28.7407 * CHOOSE(CONTROL!$C$32, $C$9, 100%, $E$9)</f>
        <v>28.7407</v>
      </c>
      <c r="L845" s="33">
        <f>14.1495 * CHOOSE(CONTROL!$C$32, $C$9, 100%, $E$9)</f>
        <v>14.1495</v>
      </c>
      <c r="M845" s="33">
        <f>14.1532 * CHOOSE(CONTROL!$C$32, $C$9, 100%, $E$9)</f>
        <v>14.1532</v>
      </c>
      <c r="N845" s="33">
        <f>14.1495 * CHOOSE(CONTROL!$C$32, $C$9, 100%, $E$9)</f>
        <v>14.1495</v>
      </c>
      <c r="O845" s="33">
        <f>14.1532 * CHOOSE(CONTROL!$C$32, $C$9, 100%, $E$9)</f>
        <v>14.1532</v>
      </c>
    </row>
    <row r="846" spans="1:15" ht="15" x14ac:dyDescent="0.2">
      <c r="A846" s="16">
        <v>66597</v>
      </c>
      <c r="B846" s="32">
        <f>12.3791 * CHOOSE(CONTROL!$C$32, $C$9, 100%, $E$9)</f>
        <v>12.379099999999999</v>
      </c>
      <c r="C846" s="32">
        <f>12.3791 * CHOOSE(CONTROL!$C$32, $C$9, 100%, $E$9)</f>
        <v>12.379099999999999</v>
      </c>
      <c r="D846" s="32">
        <f>12.3806 * CHOOSE(CONTROL!$C$32, $C$9, 100%, $E$9)</f>
        <v>12.380599999999999</v>
      </c>
      <c r="E846" s="33">
        <f>14.2683 * CHOOSE(CONTROL!$C$32, $C$9, 100%, $E$9)</f>
        <v>14.2683</v>
      </c>
      <c r="F846" s="33">
        <f>14.2683 * CHOOSE(CONTROL!$C$32, $C$9, 100%, $E$9)</f>
        <v>14.2683</v>
      </c>
      <c r="G846" s="33">
        <f>14.2736 * CHOOSE(CONTROL!$C$32, $C$9, 100%, $E$9)</f>
        <v>14.2736</v>
      </c>
      <c r="H846" s="33">
        <f>28.797 * CHOOSE(CONTROL!$C$32, $C$9, 100%, $E$9)</f>
        <v>28.797000000000001</v>
      </c>
      <c r="I846" s="33">
        <f>28.8023 * CHOOSE(CONTROL!$C$32, $C$9, 100%, $E$9)</f>
        <v>28.802299999999999</v>
      </c>
      <c r="J846" s="33">
        <f>28.797 * CHOOSE(CONTROL!$C$32, $C$9, 100%, $E$9)</f>
        <v>28.797000000000001</v>
      </c>
      <c r="K846" s="33">
        <f>28.8023 * CHOOSE(CONTROL!$C$32, $C$9, 100%, $E$9)</f>
        <v>28.802299999999999</v>
      </c>
      <c r="L846" s="33">
        <f>14.2683 * CHOOSE(CONTROL!$C$32, $C$9, 100%, $E$9)</f>
        <v>14.2683</v>
      </c>
      <c r="M846" s="33">
        <f>14.2736 * CHOOSE(CONTROL!$C$32, $C$9, 100%, $E$9)</f>
        <v>14.2736</v>
      </c>
      <c r="N846" s="33">
        <f>14.2683 * CHOOSE(CONTROL!$C$32, $C$9, 100%, $E$9)</f>
        <v>14.2683</v>
      </c>
      <c r="O846" s="33">
        <f>14.2736 * CHOOSE(CONTROL!$C$32, $C$9, 100%, $E$9)</f>
        <v>14.2736</v>
      </c>
    </row>
    <row r="847" spans="1:15" ht="15" x14ac:dyDescent="0.2">
      <c r="A847" s="16">
        <v>66628</v>
      </c>
      <c r="B847" s="32">
        <f>12.3851 * CHOOSE(CONTROL!$C$32, $C$9, 100%, $E$9)</f>
        <v>12.3851</v>
      </c>
      <c r="C847" s="32">
        <f>12.3851 * CHOOSE(CONTROL!$C$32, $C$9, 100%, $E$9)</f>
        <v>12.3851</v>
      </c>
      <c r="D847" s="32">
        <f>12.3867 * CHOOSE(CONTROL!$C$32, $C$9, 100%, $E$9)</f>
        <v>12.386699999999999</v>
      </c>
      <c r="E847" s="33">
        <f>14.1538 * CHOOSE(CONTROL!$C$32, $C$9, 100%, $E$9)</f>
        <v>14.1538</v>
      </c>
      <c r="F847" s="33">
        <f>14.1538 * CHOOSE(CONTROL!$C$32, $C$9, 100%, $E$9)</f>
        <v>14.1538</v>
      </c>
      <c r="G847" s="33">
        <f>14.1591 * CHOOSE(CONTROL!$C$32, $C$9, 100%, $E$9)</f>
        <v>14.1591</v>
      </c>
      <c r="H847" s="33">
        <f>28.857 * CHOOSE(CONTROL!$C$32, $C$9, 100%, $E$9)</f>
        <v>28.856999999999999</v>
      </c>
      <c r="I847" s="33">
        <f>28.8623 * CHOOSE(CONTROL!$C$32, $C$9, 100%, $E$9)</f>
        <v>28.862300000000001</v>
      </c>
      <c r="J847" s="33">
        <f>28.857 * CHOOSE(CONTROL!$C$32, $C$9, 100%, $E$9)</f>
        <v>28.856999999999999</v>
      </c>
      <c r="K847" s="33">
        <f>28.8623 * CHOOSE(CONTROL!$C$32, $C$9, 100%, $E$9)</f>
        <v>28.862300000000001</v>
      </c>
      <c r="L847" s="33">
        <f>14.1538 * CHOOSE(CONTROL!$C$32, $C$9, 100%, $E$9)</f>
        <v>14.1538</v>
      </c>
      <c r="M847" s="33">
        <f>14.1591 * CHOOSE(CONTROL!$C$32, $C$9, 100%, $E$9)</f>
        <v>14.1591</v>
      </c>
      <c r="N847" s="33">
        <f>14.1538 * CHOOSE(CONTROL!$C$32, $C$9, 100%, $E$9)</f>
        <v>14.1538</v>
      </c>
      <c r="O847" s="33">
        <f>14.1591 * CHOOSE(CONTROL!$C$32, $C$9, 100%, $E$9)</f>
        <v>14.1591</v>
      </c>
    </row>
    <row r="848" spans="1:15" ht="15" x14ac:dyDescent="0.2">
      <c r="A848" s="16">
        <v>66658</v>
      </c>
      <c r="B848" s="32">
        <f>12.5357 * CHOOSE(CONTROL!$C$32, $C$9, 100%, $E$9)</f>
        <v>12.5357</v>
      </c>
      <c r="C848" s="32">
        <f>12.5357 * CHOOSE(CONTROL!$C$32, $C$9, 100%, $E$9)</f>
        <v>12.5357</v>
      </c>
      <c r="D848" s="32">
        <f>12.5373 * CHOOSE(CONTROL!$C$32, $C$9, 100%, $E$9)</f>
        <v>12.5373</v>
      </c>
      <c r="E848" s="33">
        <f>14.3539 * CHOOSE(CONTROL!$C$32, $C$9, 100%, $E$9)</f>
        <v>14.353899999999999</v>
      </c>
      <c r="F848" s="33">
        <f>14.3539 * CHOOSE(CONTROL!$C$32, $C$9, 100%, $E$9)</f>
        <v>14.353899999999999</v>
      </c>
      <c r="G848" s="33">
        <f>14.3591 * CHOOSE(CONTROL!$C$32, $C$9, 100%, $E$9)</f>
        <v>14.3591</v>
      </c>
      <c r="H848" s="33">
        <f>28.9171 * CHOOSE(CONTROL!$C$32, $C$9, 100%, $E$9)</f>
        <v>28.917100000000001</v>
      </c>
      <c r="I848" s="33">
        <f>28.9224 * CHOOSE(CONTROL!$C$32, $C$9, 100%, $E$9)</f>
        <v>28.9224</v>
      </c>
      <c r="J848" s="33">
        <f>28.9171 * CHOOSE(CONTROL!$C$32, $C$9, 100%, $E$9)</f>
        <v>28.917100000000001</v>
      </c>
      <c r="K848" s="33">
        <f>28.9224 * CHOOSE(CONTROL!$C$32, $C$9, 100%, $E$9)</f>
        <v>28.9224</v>
      </c>
      <c r="L848" s="33">
        <f>14.3539 * CHOOSE(CONTROL!$C$32, $C$9, 100%, $E$9)</f>
        <v>14.353899999999999</v>
      </c>
      <c r="M848" s="33">
        <f>14.3591 * CHOOSE(CONTROL!$C$32, $C$9, 100%, $E$9)</f>
        <v>14.3591</v>
      </c>
      <c r="N848" s="33">
        <f>14.3539 * CHOOSE(CONTROL!$C$32, $C$9, 100%, $E$9)</f>
        <v>14.353899999999999</v>
      </c>
      <c r="O848" s="33">
        <f>14.3591 * CHOOSE(CONTROL!$C$32, $C$9, 100%, $E$9)</f>
        <v>14.3591</v>
      </c>
    </row>
    <row r="849" spans="1:15" ht="15" x14ac:dyDescent="0.2">
      <c r="A849" s="16">
        <v>66689</v>
      </c>
      <c r="B849" s="32">
        <f>12.5424 * CHOOSE(CONTROL!$C$32, $C$9, 100%, $E$9)</f>
        <v>12.542400000000001</v>
      </c>
      <c r="C849" s="32">
        <f>12.5424 * CHOOSE(CONTROL!$C$32, $C$9, 100%, $E$9)</f>
        <v>12.542400000000001</v>
      </c>
      <c r="D849" s="32">
        <f>12.544 * CHOOSE(CONTROL!$C$32, $C$9, 100%, $E$9)</f>
        <v>12.544</v>
      </c>
      <c r="E849" s="33">
        <f>14.0024 * CHOOSE(CONTROL!$C$32, $C$9, 100%, $E$9)</f>
        <v>14.0024</v>
      </c>
      <c r="F849" s="33">
        <f>14.0024 * CHOOSE(CONTROL!$C$32, $C$9, 100%, $E$9)</f>
        <v>14.0024</v>
      </c>
      <c r="G849" s="33">
        <f>14.0076 * CHOOSE(CONTROL!$C$32, $C$9, 100%, $E$9)</f>
        <v>14.0076</v>
      </c>
      <c r="H849" s="33">
        <f>28.9773 * CHOOSE(CONTROL!$C$32, $C$9, 100%, $E$9)</f>
        <v>28.9773</v>
      </c>
      <c r="I849" s="33">
        <f>28.9826 * CHOOSE(CONTROL!$C$32, $C$9, 100%, $E$9)</f>
        <v>28.982600000000001</v>
      </c>
      <c r="J849" s="33">
        <f>28.9773 * CHOOSE(CONTROL!$C$32, $C$9, 100%, $E$9)</f>
        <v>28.9773</v>
      </c>
      <c r="K849" s="33">
        <f>28.9826 * CHOOSE(CONTROL!$C$32, $C$9, 100%, $E$9)</f>
        <v>28.982600000000001</v>
      </c>
      <c r="L849" s="33">
        <f>14.0024 * CHOOSE(CONTROL!$C$32, $C$9, 100%, $E$9)</f>
        <v>14.0024</v>
      </c>
      <c r="M849" s="33">
        <f>14.0076 * CHOOSE(CONTROL!$C$32, $C$9, 100%, $E$9)</f>
        <v>14.0076</v>
      </c>
      <c r="N849" s="33">
        <f>14.0024 * CHOOSE(CONTROL!$C$32, $C$9, 100%, $E$9)</f>
        <v>14.0024</v>
      </c>
      <c r="O849" s="33">
        <f>14.0076 * CHOOSE(CONTROL!$C$32, $C$9, 100%, $E$9)</f>
        <v>14.0076</v>
      </c>
    </row>
    <row r="850" spans="1:15" ht="15" x14ac:dyDescent="0.2">
      <c r="A850" s="16">
        <v>66720</v>
      </c>
      <c r="B850" s="32">
        <f>12.5393 * CHOOSE(CONTROL!$C$32, $C$9, 100%, $E$9)</f>
        <v>12.539300000000001</v>
      </c>
      <c r="C850" s="32">
        <f>12.5393 * CHOOSE(CONTROL!$C$32, $C$9, 100%, $E$9)</f>
        <v>12.539300000000001</v>
      </c>
      <c r="D850" s="32">
        <f>12.5409 * CHOOSE(CONTROL!$C$32, $C$9, 100%, $E$9)</f>
        <v>12.540900000000001</v>
      </c>
      <c r="E850" s="33">
        <f>13.9607 * CHOOSE(CONTROL!$C$32, $C$9, 100%, $E$9)</f>
        <v>13.960699999999999</v>
      </c>
      <c r="F850" s="33">
        <f>13.9607 * CHOOSE(CONTROL!$C$32, $C$9, 100%, $E$9)</f>
        <v>13.960699999999999</v>
      </c>
      <c r="G850" s="33">
        <f>13.966 * CHOOSE(CONTROL!$C$32, $C$9, 100%, $E$9)</f>
        <v>13.965999999999999</v>
      </c>
      <c r="H850" s="33">
        <f>29.0377 * CHOOSE(CONTROL!$C$32, $C$9, 100%, $E$9)</f>
        <v>29.037700000000001</v>
      </c>
      <c r="I850" s="33">
        <f>29.043 * CHOOSE(CONTROL!$C$32, $C$9, 100%, $E$9)</f>
        <v>29.042999999999999</v>
      </c>
      <c r="J850" s="33">
        <f>29.0377 * CHOOSE(CONTROL!$C$32, $C$9, 100%, $E$9)</f>
        <v>29.037700000000001</v>
      </c>
      <c r="K850" s="33">
        <f>29.043 * CHOOSE(CONTROL!$C$32, $C$9, 100%, $E$9)</f>
        <v>29.042999999999999</v>
      </c>
      <c r="L850" s="33">
        <f>13.9607 * CHOOSE(CONTROL!$C$32, $C$9, 100%, $E$9)</f>
        <v>13.960699999999999</v>
      </c>
      <c r="M850" s="33">
        <f>13.966 * CHOOSE(CONTROL!$C$32, $C$9, 100%, $E$9)</f>
        <v>13.965999999999999</v>
      </c>
      <c r="N850" s="33">
        <f>13.9607 * CHOOSE(CONTROL!$C$32, $C$9, 100%, $E$9)</f>
        <v>13.960699999999999</v>
      </c>
      <c r="O850" s="33">
        <f>13.966 * CHOOSE(CONTROL!$C$32, $C$9, 100%, $E$9)</f>
        <v>13.965999999999999</v>
      </c>
    </row>
    <row r="851" spans="1:15" ht="15" x14ac:dyDescent="0.2">
      <c r="A851" s="16">
        <v>66750</v>
      </c>
      <c r="B851" s="32">
        <f>12.5663 * CHOOSE(CONTROL!$C$32, $C$9, 100%, $E$9)</f>
        <v>12.5663</v>
      </c>
      <c r="C851" s="32">
        <f>12.5663 * CHOOSE(CONTROL!$C$32, $C$9, 100%, $E$9)</f>
        <v>12.5663</v>
      </c>
      <c r="D851" s="32">
        <f>12.5674 * CHOOSE(CONTROL!$C$32, $C$9, 100%, $E$9)</f>
        <v>12.567399999999999</v>
      </c>
      <c r="E851" s="33">
        <f>14.1055 * CHOOSE(CONTROL!$C$32, $C$9, 100%, $E$9)</f>
        <v>14.105499999999999</v>
      </c>
      <c r="F851" s="33">
        <f>14.1055 * CHOOSE(CONTROL!$C$32, $C$9, 100%, $E$9)</f>
        <v>14.105499999999999</v>
      </c>
      <c r="G851" s="33">
        <f>14.1092 * CHOOSE(CONTROL!$C$32, $C$9, 100%, $E$9)</f>
        <v>14.1092</v>
      </c>
      <c r="H851" s="33">
        <f>29.0982 * CHOOSE(CONTROL!$C$32, $C$9, 100%, $E$9)</f>
        <v>29.098199999999999</v>
      </c>
      <c r="I851" s="33">
        <f>29.1018 * CHOOSE(CONTROL!$C$32, $C$9, 100%, $E$9)</f>
        <v>29.101800000000001</v>
      </c>
      <c r="J851" s="33">
        <f>29.0982 * CHOOSE(CONTROL!$C$32, $C$9, 100%, $E$9)</f>
        <v>29.098199999999999</v>
      </c>
      <c r="K851" s="33">
        <f>29.1018 * CHOOSE(CONTROL!$C$32, $C$9, 100%, $E$9)</f>
        <v>29.101800000000001</v>
      </c>
      <c r="L851" s="33">
        <f>14.1055 * CHOOSE(CONTROL!$C$32, $C$9, 100%, $E$9)</f>
        <v>14.105499999999999</v>
      </c>
      <c r="M851" s="33">
        <f>14.1092 * CHOOSE(CONTROL!$C$32, $C$9, 100%, $E$9)</f>
        <v>14.1092</v>
      </c>
      <c r="N851" s="33">
        <f>14.1055 * CHOOSE(CONTROL!$C$32, $C$9, 100%, $E$9)</f>
        <v>14.105499999999999</v>
      </c>
      <c r="O851" s="33">
        <f>14.1092 * CHOOSE(CONTROL!$C$32, $C$9, 100%, $E$9)</f>
        <v>14.1092</v>
      </c>
    </row>
    <row r="852" spans="1:15" ht="15" x14ac:dyDescent="0.2">
      <c r="A852" s="16">
        <v>66781</v>
      </c>
      <c r="B852" s="32">
        <f>12.5694 * CHOOSE(CONTROL!$C$32, $C$9, 100%, $E$9)</f>
        <v>12.5694</v>
      </c>
      <c r="C852" s="32">
        <f>12.5694 * CHOOSE(CONTROL!$C$32, $C$9, 100%, $E$9)</f>
        <v>12.5694</v>
      </c>
      <c r="D852" s="32">
        <f>12.5704 * CHOOSE(CONTROL!$C$32, $C$9, 100%, $E$9)</f>
        <v>12.570399999999999</v>
      </c>
      <c r="E852" s="33">
        <f>14.1868 * CHOOSE(CONTROL!$C$32, $C$9, 100%, $E$9)</f>
        <v>14.1868</v>
      </c>
      <c r="F852" s="33">
        <f>14.1868 * CHOOSE(CONTROL!$C$32, $C$9, 100%, $E$9)</f>
        <v>14.1868</v>
      </c>
      <c r="G852" s="33">
        <f>14.1904 * CHOOSE(CONTROL!$C$32, $C$9, 100%, $E$9)</f>
        <v>14.1904</v>
      </c>
      <c r="H852" s="33">
        <f>29.1588 * CHOOSE(CONTROL!$C$32, $C$9, 100%, $E$9)</f>
        <v>29.158799999999999</v>
      </c>
      <c r="I852" s="33">
        <f>29.1624 * CHOOSE(CONTROL!$C$32, $C$9, 100%, $E$9)</f>
        <v>29.162400000000002</v>
      </c>
      <c r="J852" s="33">
        <f>29.1588 * CHOOSE(CONTROL!$C$32, $C$9, 100%, $E$9)</f>
        <v>29.158799999999999</v>
      </c>
      <c r="K852" s="33">
        <f>29.1624 * CHOOSE(CONTROL!$C$32, $C$9, 100%, $E$9)</f>
        <v>29.162400000000002</v>
      </c>
      <c r="L852" s="33">
        <f>14.1868 * CHOOSE(CONTROL!$C$32, $C$9, 100%, $E$9)</f>
        <v>14.1868</v>
      </c>
      <c r="M852" s="33">
        <f>14.1904 * CHOOSE(CONTROL!$C$32, $C$9, 100%, $E$9)</f>
        <v>14.1904</v>
      </c>
      <c r="N852" s="33">
        <f>14.1868 * CHOOSE(CONTROL!$C$32, $C$9, 100%, $E$9)</f>
        <v>14.1868</v>
      </c>
      <c r="O852" s="33">
        <f>14.1904 * CHOOSE(CONTROL!$C$32, $C$9, 100%, $E$9)</f>
        <v>14.1904</v>
      </c>
    </row>
    <row r="853" spans="1:15" ht="15" x14ac:dyDescent="0.2">
      <c r="A853" s="16">
        <v>66811</v>
      </c>
      <c r="B853" s="32">
        <f>12.5694 * CHOOSE(CONTROL!$C$32, $C$9, 100%, $E$9)</f>
        <v>12.5694</v>
      </c>
      <c r="C853" s="32">
        <f>12.5694 * CHOOSE(CONTROL!$C$32, $C$9, 100%, $E$9)</f>
        <v>12.5694</v>
      </c>
      <c r="D853" s="32">
        <f>12.5704 * CHOOSE(CONTROL!$C$32, $C$9, 100%, $E$9)</f>
        <v>12.570399999999999</v>
      </c>
      <c r="E853" s="33">
        <f>13.9889 * CHOOSE(CONTROL!$C$32, $C$9, 100%, $E$9)</f>
        <v>13.988899999999999</v>
      </c>
      <c r="F853" s="33">
        <f>13.9889 * CHOOSE(CONTROL!$C$32, $C$9, 100%, $E$9)</f>
        <v>13.988899999999999</v>
      </c>
      <c r="G853" s="33">
        <f>13.9926 * CHOOSE(CONTROL!$C$32, $C$9, 100%, $E$9)</f>
        <v>13.992599999999999</v>
      </c>
      <c r="H853" s="33">
        <f>29.2196 * CHOOSE(CONTROL!$C$32, $C$9, 100%, $E$9)</f>
        <v>29.2196</v>
      </c>
      <c r="I853" s="33">
        <f>29.2232 * CHOOSE(CONTROL!$C$32, $C$9, 100%, $E$9)</f>
        <v>29.223199999999999</v>
      </c>
      <c r="J853" s="33">
        <f>29.2196 * CHOOSE(CONTROL!$C$32, $C$9, 100%, $E$9)</f>
        <v>29.2196</v>
      </c>
      <c r="K853" s="33">
        <f>29.2232 * CHOOSE(CONTROL!$C$32, $C$9, 100%, $E$9)</f>
        <v>29.223199999999999</v>
      </c>
      <c r="L853" s="33">
        <f>13.9889 * CHOOSE(CONTROL!$C$32, $C$9, 100%, $E$9)</f>
        <v>13.988899999999999</v>
      </c>
      <c r="M853" s="33">
        <f>13.9926 * CHOOSE(CONTROL!$C$32, $C$9, 100%, $E$9)</f>
        <v>13.992599999999999</v>
      </c>
      <c r="N853" s="33">
        <f>13.9889 * CHOOSE(CONTROL!$C$32, $C$9, 100%, $E$9)</f>
        <v>13.988899999999999</v>
      </c>
      <c r="O853" s="33">
        <f>13.9926 * CHOOSE(CONTROL!$C$32, $C$9, 100%, $E$9)</f>
        <v>13.992599999999999</v>
      </c>
    </row>
    <row r="854" spans="1:15" ht="15" x14ac:dyDescent="0.2">
      <c r="A854" s="16">
        <v>66842</v>
      </c>
      <c r="B854" s="32">
        <f>12.5667 * CHOOSE(CONTROL!$C$32, $C$9, 100%, $E$9)</f>
        <v>12.566700000000001</v>
      </c>
      <c r="C854" s="32">
        <f>12.5667 * CHOOSE(CONTROL!$C$32, $C$9, 100%, $E$9)</f>
        <v>12.566700000000001</v>
      </c>
      <c r="D854" s="32">
        <f>12.5678 * CHOOSE(CONTROL!$C$32, $C$9, 100%, $E$9)</f>
        <v>12.5678</v>
      </c>
      <c r="E854" s="33">
        <f>14.1331 * CHOOSE(CONTROL!$C$32, $C$9, 100%, $E$9)</f>
        <v>14.133100000000001</v>
      </c>
      <c r="F854" s="33">
        <f>14.1331 * CHOOSE(CONTROL!$C$32, $C$9, 100%, $E$9)</f>
        <v>14.133100000000001</v>
      </c>
      <c r="G854" s="33">
        <f>14.1367 * CHOOSE(CONTROL!$C$32, $C$9, 100%, $E$9)</f>
        <v>14.136699999999999</v>
      </c>
      <c r="H854" s="33">
        <f>29.0223 * CHOOSE(CONTROL!$C$32, $C$9, 100%, $E$9)</f>
        <v>29.022300000000001</v>
      </c>
      <c r="I854" s="33">
        <f>29.0259 * CHOOSE(CONTROL!$C$32, $C$9, 100%, $E$9)</f>
        <v>29.0259</v>
      </c>
      <c r="J854" s="33">
        <f>29.0223 * CHOOSE(CONTROL!$C$32, $C$9, 100%, $E$9)</f>
        <v>29.022300000000001</v>
      </c>
      <c r="K854" s="33">
        <f>29.0259 * CHOOSE(CONTROL!$C$32, $C$9, 100%, $E$9)</f>
        <v>29.0259</v>
      </c>
      <c r="L854" s="33">
        <f>14.1331 * CHOOSE(CONTROL!$C$32, $C$9, 100%, $E$9)</f>
        <v>14.133100000000001</v>
      </c>
      <c r="M854" s="33">
        <f>14.1367 * CHOOSE(CONTROL!$C$32, $C$9, 100%, $E$9)</f>
        <v>14.136699999999999</v>
      </c>
      <c r="N854" s="33">
        <f>14.1331 * CHOOSE(CONTROL!$C$32, $C$9, 100%, $E$9)</f>
        <v>14.133100000000001</v>
      </c>
      <c r="O854" s="33">
        <f>14.1367 * CHOOSE(CONTROL!$C$32, $C$9, 100%, $E$9)</f>
        <v>14.136699999999999</v>
      </c>
    </row>
    <row r="855" spans="1:15" ht="15" x14ac:dyDescent="0.2">
      <c r="A855" s="16">
        <v>66873</v>
      </c>
      <c r="B855" s="32">
        <f>12.5637 * CHOOSE(CONTROL!$C$32, $C$9, 100%, $E$9)</f>
        <v>12.563700000000001</v>
      </c>
      <c r="C855" s="32">
        <f>12.5637 * CHOOSE(CONTROL!$C$32, $C$9, 100%, $E$9)</f>
        <v>12.563700000000001</v>
      </c>
      <c r="D855" s="32">
        <f>12.5648 * CHOOSE(CONTROL!$C$32, $C$9, 100%, $E$9)</f>
        <v>12.5648</v>
      </c>
      <c r="E855" s="33">
        <f>13.7499 * CHOOSE(CONTROL!$C$32, $C$9, 100%, $E$9)</f>
        <v>13.7499</v>
      </c>
      <c r="F855" s="33">
        <f>13.7499 * CHOOSE(CONTROL!$C$32, $C$9, 100%, $E$9)</f>
        <v>13.7499</v>
      </c>
      <c r="G855" s="33">
        <f>13.7535 * CHOOSE(CONTROL!$C$32, $C$9, 100%, $E$9)</f>
        <v>13.753500000000001</v>
      </c>
      <c r="H855" s="33">
        <f>29.0827 * CHOOSE(CONTROL!$C$32, $C$9, 100%, $E$9)</f>
        <v>29.082699999999999</v>
      </c>
      <c r="I855" s="33">
        <f>29.0863 * CHOOSE(CONTROL!$C$32, $C$9, 100%, $E$9)</f>
        <v>29.086300000000001</v>
      </c>
      <c r="J855" s="33">
        <f>29.0827 * CHOOSE(CONTROL!$C$32, $C$9, 100%, $E$9)</f>
        <v>29.082699999999999</v>
      </c>
      <c r="K855" s="33">
        <f>29.0863 * CHOOSE(CONTROL!$C$32, $C$9, 100%, $E$9)</f>
        <v>29.086300000000001</v>
      </c>
      <c r="L855" s="33">
        <f>13.7499 * CHOOSE(CONTROL!$C$32, $C$9, 100%, $E$9)</f>
        <v>13.7499</v>
      </c>
      <c r="M855" s="33">
        <f>13.7535 * CHOOSE(CONTROL!$C$32, $C$9, 100%, $E$9)</f>
        <v>13.753500000000001</v>
      </c>
      <c r="N855" s="33">
        <f>13.7499 * CHOOSE(CONTROL!$C$32, $C$9, 100%, $E$9)</f>
        <v>13.7499</v>
      </c>
      <c r="O855" s="33">
        <f>13.7535 * CHOOSE(CONTROL!$C$32, $C$9, 100%, $E$9)</f>
        <v>13.753500000000001</v>
      </c>
    </row>
    <row r="856" spans="1:15" ht="15" x14ac:dyDescent="0.2">
      <c r="A856" s="16">
        <v>66901</v>
      </c>
      <c r="B856" s="32">
        <f>12.5606 * CHOOSE(CONTROL!$C$32, $C$9, 100%, $E$9)</f>
        <v>12.560600000000001</v>
      </c>
      <c r="C856" s="32">
        <f>12.5606 * CHOOSE(CONTROL!$C$32, $C$9, 100%, $E$9)</f>
        <v>12.560600000000001</v>
      </c>
      <c r="D856" s="32">
        <f>12.5617 * CHOOSE(CONTROL!$C$32, $C$9, 100%, $E$9)</f>
        <v>12.5617</v>
      </c>
      <c r="E856" s="33">
        <f>14.0482 * CHOOSE(CONTROL!$C$32, $C$9, 100%, $E$9)</f>
        <v>14.0482</v>
      </c>
      <c r="F856" s="33">
        <f>14.0482 * CHOOSE(CONTROL!$C$32, $C$9, 100%, $E$9)</f>
        <v>14.0482</v>
      </c>
      <c r="G856" s="33">
        <f>14.0518 * CHOOSE(CONTROL!$C$32, $C$9, 100%, $E$9)</f>
        <v>14.0518</v>
      </c>
      <c r="H856" s="33">
        <f>29.1433 * CHOOSE(CONTROL!$C$32, $C$9, 100%, $E$9)</f>
        <v>29.1433</v>
      </c>
      <c r="I856" s="33">
        <f>29.1469 * CHOOSE(CONTROL!$C$32, $C$9, 100%, $E$9)</f>
        <v>29.146899999999999</v>
      </c>
      <c r="J856" s="33">
        <f>29.1433 * CHOOSE(CONTROL!$C$32, $C$9, 100%, $E$9)</f>
        <v>29.1433</v>
      </c>
      <c r="K856" s="33">
        <f>29.1469 * CHOOSE(CONTROL!$C$32, $C$9, 100%, $E$9)</f>
        <v>29.146899999999999</v>
      </c>
      <c r="L856" s="33">
        <f>14.0482 * CHOOSE(CONTROL!$C$32, $C$9, 100%, $E$9)</f>
        <v>14.0482</v>
      </c>
      <c r="M856" s="33">
        <f>14.0518 * CHOOSE(CONTROL!$C$32, $C$9, 100%, $E$9)</f>
        <v>14.0518</v>
      </c>
      <c r="N856" s="33">
        <f>14.0482 * CHOOSE(CONTROL!$C$32, $C$9, 100%, $E$9)</f>
        <v>14.0482</v>
      </c>
      <c r="O856" s="33">
        <f>14.0518 * CHOOSE(CONTROL!$C$32, $C$9, 100%, $E$9)</f>
        <v>14.0518</v>
      </c>
    </row>
    <row r="857" spans="1:15" ht="15" x14ac:dyDescent="0.2">
      <c r="A857" s="16">
        <v>66932</v>
      </c>
      <c r="B857" s="32">
        <f>12.5666 * CHOOSE(CONTROL!$C$32, $C$9, 100%, $E$9)</f>
        <v>12.566599999999999</v>
      </c>
      <c r="C857" s="32">
        <f>12.5666 * CHOOSE(CONTROL!$C$32, $C$9, 100%, $E$9)</f>
        <v>12.566599999999999</v>
      </c>
      <c r="D857" s="32">
        <f>12.5677 * CHOOSE(CONTROL!$C$32, $C$9, 100%, $E$9)</f>
        <v>12.5677</v>
      </c>
      <c r="E857" s="33">
        <f>14.3665 * CHOOSE(CONTROL!$C$32, $C$9, 100%, $E$9)</f>
        <v>14.3665</v>
      </c>
      <c r="F857" s="33">
        <f>14.3665 * CHOOSE(CONTROL!$C$32, $C$9, 100%, $E$9)</f>
        <v>14.3665</v>
      </c>
      <c r="G857" s="33">
        <f>14.3702 * CHOOSE(CONTROL!$C$32, $C$9, 100%, $E$9)</f>
        <v>14.370200000000001</v>
      </c>
      <c r="H857" s="33">
        <f>29.204 * CHOOSE(CONTROL!$C$32, $C$9, 100%, $E$9)</f>
        <v>29.204000000000001</v>
      </c>
      <c r="I857" s="33">
        <f>29.2077 * CHOOSE(CONTROL!$C$32, $C$9, 100%, $E$9)</f>
        <v>29.207699999999999</v>
      </c>
      <c r="J857" s="33">
        <f>29.204 * CHOOSE(CONTROL!$C$32, $C$9, 100%, $E$9)</f>
        <v>29.204000000000001</v>
      </c>
      <c r="K857" s="33">
        <f>29.2077 * CHOOSE(CONTROL!$C$32, $C$9, 100%, $E$9)</f>
        <v>29.207699999999999</v>
      </c>
      <c r="L857" s="33">
        <f>14.3665 * CHOOSE(CONTROL!$C$32, $C$9, 100%, $E$9)</f>
        <v>14.3665</v>
      </c>
      <c r="M857" s="33">
        <f>14.3702 * CHOOSE(CONTROL!$C$32, $C$9, 100%, $E$9)</f>
        <v>14.370200000000001</v>
      </c>
      <c r="N857" s="33">
        <f>14.3665 * CHOOSE(CONTROL!$C$32, $C$9, 100%, $E$9)</f>
        <v>14.3665</v>
      </c>
      <c r="O857" s="33">
        <f>14.3702 * CHOOSE(CONTROL!$C$32, $C$9, 100%, $E$9)</f>
        <v>14.370200000000001</v>
      </c>
    </row>
    <row r="858" spans="1:15" ht="15" x14ac:dyDescent="0.2">
      <c r="A858" s="16">
        <v>66962</v>
      </c>
      <c r="B858" s="32">
        <f>12.5666 * CHOOSE(CONTROL!$C$32, $C$9, 100%, $E$9)</f>
        <v>12.566599999999999</v>
      </c>
      <c r="C858" s="32">
        <f>12.5666 * CHOOSE(CONTROL!$C$32, $C$9, 100%, $E$9)</f>
        <v>12.566599999999999</v>
      </c>
      <c r="D858" s="32">
        <f>12.5682 * CHOOSE(CONTROL!$C$32, $C$9, 100%, $E$9)</f>
        <v>12.568199999999999</v>
      </c>
      <c r="E858" s="33">
        <f>14.4875 * CHOOSE(CONTROL!$C$32, $C$9, 100%, $E$9)</f>
        <v>14.487500000000001</v>
      </c>
      <c r="F858" s="33">
        <f>14.4875 * CHOOSE(CONTROL!$C$32, $C$9, 100%, $E$9)</f>
        <v>14.487500000000001</v>
      </c>
      <c r="G858" s="33">
        <f>14.4928 * CHOOSE(CONTROL!$C$32, $C$9, 100%, $E$9)</f>
        <v>14.492800000000001</v>
      </c>
      <c r="H858" s="33">
        <f>29.2649 * CHOOSE(CONTROL!$C$32, $C$9, 100%, $E$9)</f>
        <v>29.264900000000001</v>
      </c>
      <c r="I858" s="33">
        <f>29.2702 * CHOOSE(CONTROL!$C$32, $C$9, 100%, $E$9)</f>
        <v>29.270199999999999</v>
      </c>
      <c r="J858" s="33">
        <f>29.2649 * CHOOSE(CONTROL!$C$32, $C$9, 100%, $E$9)</f>
        <v>29.264900000000001</v>
      </c>
      <c r="K858" s="33">
        <f>29.2702 * CHOOSE(CONTROL!$C$32, $C$9, 100%, $E$9)</f>
        <v>29.270199999999999</v>
      </c>
      <c r="L858" s="33">
        <f>14.4875 * CHOOSE(CONTROL!$C$32, $C$9, 100%, $E$9)</f>
        <v>14.487500000000001</v>
      </c>
      <c r="M858" s="33">
        <f>14.4928 * CHOOSE(CONTROL!$C$32, $C$9, 100%, $E$9)</f>
        <v>14.492800000000001</v>
      </c>
      <c r="N858" s="33">
        <f>14.4875 * CHOOSE(CONTROL!$C$32, $C$9, 100%, $E$9)</f>
        <v>14.487500000000001</v>
      </c>
      <c r="O858" s="33">
        <f>14.4928 * CHOOSE(CONTROL!$C$32, $C$9, 100%, $E$9)</f>
        <v>14.492800000000001</v>
      </c>
    </row>
    <row r="859" spans="1:15" ht="15" x14ac:dyDescent="0.2">
      <c r="A859" s="16">
        <v>66993</v>
      </c>
      <c r="B859" s="32">
        <f>12.5727 * CHOOSE(CONTROL!$C$32, $C$9, 100%, $E$9)</f>
        <v>12.572699999999999</v>
      </c>
      <c r="C859" s="32">
        <f>12.5727 * CHOOSE(CONTROL!$C$32, $C$9, 100%, $E$9)</f>
        <v>12.572699999999999</v>
      </c>
      <c r="D859" s="32">
        <f>12.5743 * CHOOSE(CONTROL!$C$32, $C$9, 100%, $E$9)</f>
        <v>12.574299999999999</v>
      </c>
      <c r="E859" s="33">
        <f>14.3708 * CHOOSE(CONTROL!$C$32, $C$9, 100%, $E$9)</f>
        <v>14.370799999999999</v>
      </c>
      <c r="F859" s="33">
        <f>14.3708 * CHOOSE(CONTROL!$C$32, $C$9, 100%, $E$9)</f>
        <v>14.370799999999999</v>
      </c>
      <c r="G859" s="33">
        <f>14.3761 * CHOOSE(CONTROL!$C$32, $C$9, 100%, $E$9)</f>
        <v>14.376099999999999</v>
      </c>
      <c r="H859" s="33">
        <f>29.3258 * CHOOSE(CONTROL!$C$32, $C$9, 100%, $E$9)</f>
        <v>29.325800000000001</v>
      </c>
      <c r="I859" s="33">
        <f>29.3311 * CHOOSE(CONTROL!$C$32, $C$9, 100%, $E$9)</f>
        <v>29.331099999999999</v>
      </c>
      <c r="J859" s="33">
        <f>29.3258 * CHOOSE(CONTROL!$C$32, $C$9, 100%, $E$9)</f>
        <v>29.325800000000001</v>
      </c>
      <c r="K859" s="33">
        <f>29.3311 * CHOOSE(CONTROL!$C$32, $C$9, 100%, $E$9)</f>
        <v>29.331099999999999</v>
      </c>
      <c r="L859" s="33">
        <f>14.3708 * CHOOSE(CONTROL!$C$32, $C$9, 100%, $E$9)</f>
        <v>14.370799999999999</v>
      </c>
      <c r="M859" s="33">
        <f>14.3761 * CHOOSE(CONTROL!$C$32, $C$9, 100%, $E$9)</f>
        <v>14.376099999999999</v>
      </c>
      <c r="N859" s="33">
        <f>14.3708 * CHOOSE(CONTROL!$C$32, $C$9, 100%, $E$9)</f>
        <v>14.370799999999999</v>
      </c>
      <c r="O859" s="33">
        <f>14.3761 * CHOOSE(CONTROL!$C$32, $C$9, 100%, $E$9)</f>
        <v>14.376099999999999</v>
      </c>
    </row>
    <row r="860" spans="1:15" ht="15" x14ac:dyDescent="0.2">
      <c r="A860" s="16">
        <v>67023</v>
      </c>
      <c r="B860" s="32">
        <f>12.7253 * CHOOSE(CONTROL!$C$32, $C$9, 100%, $E$9)</f>
        <v>12.725300000000001</v>
      </c>
      <c r="C860" s="32">
        <f>12.7253 * CHOOSE(CONTROL!$C$32, $C$9, 100%, $E$9)</f>
        <v>12.725300000000001</v>
      </c>
      <c r="D860" s="32">
        <f>12.7269 * CHOOSE(CONTROL!$C$32, $C$9, 100%, $E$9)</f>
        <v>12.726900000000001</v>
      </c>
      <c r="E860" s="33">
        <f>14.574 * CHOOSE(CONTROL!$C$32, $C$9, 100%, $E$9)</f>
        <v>14.574</v>
      </c>
      <c r="F860" s="33">
        <f>14.574 * CHOOSE(CONTROL!$C$32, $C$9, 100%, $E$9)</f>
        <v>14.574</v>
      </c>
      <c r="G860" s="33">
        <f>14.5793 * CHOOSE(CONTROL!$C$32, $C$9, 100%, $E$9)</f>
        <v>14.5793</v>
      </c>
      <c r="H860" s="33">
        <f>29.3869 * CHOOSE(CONTROL!$C$32, $C$9, 100%, $E$9)</f>
        <v>29.386900000000001</v>
      </c>
      <c r="I860" s="33">
        <f>29.3922 * CHOOSE(CONTROL!$C$32, $C$9, 100%, $E$9)</f>
        <v>29.392199999999999</v>
      </c>
      <c r="J860" s="33">
        <f>29.3869 * CHOOSE(CONTROL!$C$32, $C$9, 100%, $E$9)</f>
        <v>29.386900000000001</v>
      </c>
      <c r="K860" s="33">
        <f>29.3922 * CHOOSE(CONTROL!$C$32, $C$9, 100%, $E$9)</f>
        <v>29.392199999999999</v>
      </c>
      <c r="L860" s="33">
        <f>14.574 * CHOOSE(CONTROL!$C$32, $C$9, 100%, $E$9)</f>
        <v>14.574</v>
      </c>
      <c r="M860" s="33">
        <f>14.5793 * CHOOSE(CONTROL!$C$32, $C$9, 100%, $E$9)</f>
        <v>14.5793</v>
      </c>
      <c r="N860" s="33">
        <f>14.574 * CHOOSE(CONTROL!$C$32, $C$9, 100%, $E$9)</f>
        <v>14.574</v>
      </c>
      <c r="O860" s="33">
        <f>14.5793 * CHOOSE(CONTROL!$C$32, $C$9, 100%, $E$9)</f>
        <v>14.5793</v>
      </c>
    </row>
    <row r="861" spans="1:15" ht="15" x14ac:dyDescent="0.2">
      <c r="A861" s="16">
        <v>67054</v>
      </c>
      <c r="B861" s="32">
        <f>12.732 * CHOOSE(CONTROL!$C$32, $C$9, 100%, $E$9)</f>
        <v>12.731999999999999</v>
      </c>
      <c r="C861" s="32">
        <f>12.732 * CHOOSE(CONTROL!$C$32, $C$9, 100%, $E$9)</f>
        <v>12.731999999999999</v>
      </c>
      <c r="D861" s="32">
        <f>12.7336 * CHOOSE(CONTROL!$C$32, $C$9, 100%, $E$9)</f>
        <v>12.733599999999999</v>
      </c>
      <c r="E861" s="33">
        <f>14.2158 * CHOOSE(CONTROL!$C$32, $C$9, 100%, $E$9)</f>
        <v>14.2158</v>
      </c>
      <c r="F861" s="33">
        <f>14.2158 * CHOOSE(CONTROL!$C$32, $C$9, 100%, $E$9)</f>
        <v>14.2158</v>
      </c>
      <c r="G861" s="33">
        <f>14.2211 * CHOOSE(CONTROL!$C$32, $C$9, 100%, $E$9)</f>
        <v>14.2211</v>
      </c>
      <c r="H861" s="33">
        <f>29.4482 * CHOOSE(CONTROL!$C$32, $C$9, 100%, $E$9)</f>
        <v>29.4482</v>
      </c>
      <c r="I861" s="33">
        <f>29.4535 * CHOOSE(CONTROL!$C$32, $C$9, 100%, $E$9)</f>
        <v>29.453499999999998</v>
      </c>
      <c r="J861" s="33">
        <f>29.4482 * CHOOSE(CONTROL!$C$32, $C$9, 100%, $E$9)</f>
        <v>29.4482</v>
      </c>
      <c r="K861" s="33">
        <f>29.4535 * CHOOSE(CONTROL!$C$32, $C$9, 100%, $E$9)</f>
        <v>29.453499999999998</v>
      </c>
      <c r="L861" s="33">
        <f>14.2158 * CHOOSE(CONTROL!$C$32, $C$9, 100%, $E$9)</f>
        <v>14.2158</v>
      </c>
      <c r="M861" s="33">
        <f>14.2211 * CHOOSE(CONTROL!$C$32, $C$9, 100%, $E$9)</f>
        <v>14.2211</v>
      </c>
      <c r="N861" s="33">
        <f>14.2158 * CHOOSE(CONTROL!$C$32, $C$9, 100%, $E$9)</f>
        <v>14.2158</v>
      </c>
      <c r="O861" s="33">
        <f>14.2211 * CHOOSE(CONTROL!$C$32, $C$9, 100%, $E$9)</f>
        <v>14.2211</v>
      </c>
    </row>
    <row r="862" spans="1:15" ht="15" x14ac:dyDescent="0.2">
      <c r="A862" s="16">
        <v>67085</v>
      </c>
      <c r="B862" s="32">
        <f>12.7289 * CHOOSE(CONTROL!$C$32, $C$9, 100%, $E$9)</f>
        <v>12.728899999999999</v>
      </c>
      <c r="C862" s="32">
        <f>12.7289 * CHOOSE(CONTROL!$C$32, $C$9, 100%, $E$9)</f>
        <v>12.728899999999999</v>
      </c>
      <c r="D862" s="32">
        <f>12.7305 * CHOOSE(CONTROL!$C$32, $C$9, 100%, $E$9)</f>
        <v>12.730499999999999</v>
      </c>
      <c r="E862" s="33">
        <f>14.1733 * CHOOSE(CONTROL!$C$32, $C$9, 100%, $E$9)</f>
        <v>14.173299999999999</v>
      </c>
      <c r="F862" s="33">
        <f>14.1733 * CHOOSE(CONTROL!$C$32, $C$9, 100%, $E$9)</f>
        <v>14.173299999999999</v>
      </c>
      <c r="G862" s="33">
        <f>14.1786 * CHOOSE(CONTROL!$C$32, $C$9, 100%, $E$9)</f>
        <v>14.178599999999999</v>
      </c>
      <c r="H862" s="33">
        <f>29.5095 * CHOOSE(CONTROL!$C$32, $C$9, 100%, $E$9)</f>
        <v>29.509499999999999</v>
      </c>
      <c r="I862" s="33">
        <f>29.5148 * CHOOSE(CONTROL!$C$32, $C$9, 100%, $E$9)</f>
        <v>29.514800000000001</v>
      </c>
      <c r="J862" s="33">
        <f>29.5095 * CHOOSE(CONTROL!$C$32, $C$9, 100%, $E$9)</f>
        <v>29.509499999999999</v>
      </c>
      <c r="K862" s="33">
        <f>29.5148 * CHOOSE(CONTROL!$C$32, $C$9, 100%, $E$9)</f>
        <v>29.514800000000001</v>
      </c>
      <c r="L862" s="33">
        <f>14.1733 * CHOOSE(CONTROL!$C$32, $C$9, 100%, $E$9)</f>
        <v>14.173299999999999</v>
      </c>
      <c r="M862" s="33">
        <f>14.1786 * CHOOSE(CONTROL!$C$32, $C$9, 100%, $E$9)</f>
        <v>14.178599999999999</v>
      </c>
      <c r="N862" s="33">
        <f>14.1733 * CHOOSE(CONTROL!$C$32, $C$9, 100%, $E$9)</f>
        <v>14.173299999999999</v>
      </c>
      <c r="O862" s="33">
        <f>14.1786 * CHOOSE(CONTROL!$C$32, $C$9, 100%, $E$9)</f>
        <v>14.178599999999999</v>
      </c>
    </row>
    <row r="863" spans="1:15" ht="15" x14ac:dyDescent="0.2">
      <c r="A863" s="16">
        <v>67115</v>
      </c>
      <c r="B863" s="32">
        <f>12.7566 * CHOOSE(CONTROL!$C$32, $C$9, 100%, $E$9)</f>
        <v>12.756600000000001</v>
      </c>
      <c r="C863" s="32">
        <f>12.7566 * CHOOSE(CONTROL!$C$32, $C$9, 100%, $E$9)</f>
        <v>12.756600000000001</v>
      </c>
      <c r="D863" s="32">
        <f>12.7577 * CHOOSE(CONTROL!$C$32, $C$9, 100%, $E$9)</f>
        <v>12.7577</v>
      </c>
      <c r="E863" s="33">
        <f>14.3212 * CHOOSE(CONTROL!$C$32, $C$9, 100%, $E$9)</f>
        <v>14.321199999999999</v>
      </c>
      <c r="F863" s="33">
        <f>14.3212 * CHOOSE(CONTROL!$C$32, $C$9, 100%, $E$9)</f>
        <v>14.321199999999999</v>
      </c>
      <c r="G863" s="33">
        <f>14.3248 * CHOOSE(CONTROL!$C$32, $C$9, 100%, $E$9)</f>
        <v>14.3248</v>
      </c>
      <c r="H863" s="33">
        <f>29.571 * CHOOSE(CONTROL!$C$32, $C$9, 100%, $E$9)</f>
        <v>29.571000000000002</v>
      </c>
      <c r="I863" s="33">
        <f>29.5746 * CHOOSE(CONTROL!$C$32, $C$9, 100%, $E$9)</f>
        <v>29.5746</v>
      </c>
      <c r="J863" s="33">
        <f>29.571 * CHOOSE(CONTROL!$C$32, $C$9, 100%, $E$9)</f>
        <v>29.571000000000002</v>
      </c>
      <c r="K863" s="33">
        <f>29.5746 * CHOOSE(CONTROL!$C$32, $C$9, 100%, $E$9)</f>
        <v>29.5746</v>
      </c>
      <c r="L863" s="33">
        <f>14.3212 * CHOOSE(CONTROL!$C$32, $C$9, 100%, $E$9)</f>
        <v>14.321199999999999</v>
      </c>
      <c r="M863" s="33">
        <f>14.3248 * CHOOSE(CONTROL!$C$32, $C$9, 100%, $E$9)</f>
        <v>14.3248</v>
      </c>
      <c r="N863" s="33">
        <f>14.3212 * CHOOSE(CONTROL!$C$32, $C$9, 100%, $E$9)</f>
        <v>14.321199999999999</v>
      </c>
      <c r="O863" s="33">
        <f>14.3248 * CHOOSE(CONTROL!$C$32, $C$9, 100%, $E$9)</f>
        <v>14.3248</v>
      </c>
    </row>
    <row r="864" spans="1:15" ht="15" x14ac:dyDescent="0.2">
      <c r="A864" s="16">
        <v>67146</v>
      </c>
      <c r="B864" s="32">
        <f>12.7597 * CHOOSE(CONTROL!$C$32, $C$9, 100%, $E$9)</f>
        <v>12.7597</v>
      </c>
      <c r="C864" s="32">
        <f>12.7597 * CHOOSE(CONTROL!$C$32, $C$9, 100%, $E$9)</f>
        <v>12.7597</v>
      </c>
      <c r="D864" s="32">
        <f>12.7607 * CHOOSE(CONTROL!$C$32, $C$9, 100%, $E$9)</f>
        <v>12.7607</v>
      </c>
      <c r="E864" s="33">
        <f>14.404 * CHOOSE(CONTROL!$C$32, $C$9, 100%, $E$9)</f>
        <v>14.404</v>
      </c>
      <c r="F864" s="33">
        <f>14.404 * CHOOSE(CONTROL!$C$32, $C$9, 100%, $E$9)</f>
        <v>14.404</v>
      </c>
      <c r="G864" s="33">
        <f>14.4076 * CHOOSE(CONTROL!$C$32, $C$9, 100%, $E$9)</f>
        <v>14.4076</v>
      </c>
      <c r="H864" s="33">
        <f>29.6326 * CHOOSE(CONTROL!$C$32, $C$9, 100%, $E$9)</f>
        <v>29.6326</v>
      </c>
      <c r="I864" s="33">
        <f>29.6362 * CHOOSE(CONTROL!$C$32, $C$9, 100%, $E$9)</f>
        <v>29.636199999999999</v>
      </c>
      <c r="J864" s="33">
        <f>29.6326 * CHOOSE(CONTROL!$C$32, $C$9, 100%, $E$9)</f>
        <v>29.6326</v>
      </c>
      <c r="K864" s="33">
        <f>29.6362 * CHOOSE(CONTROL!$C$32, $C$9, 100%, $E$9)</f>
        <v>29.636199999999999</v>
      </c>
      <c r="L864" s="33">
        <f>14.404 * CHOOSE(CONTROL!$C$32, $C$9, 100%, $E$9)</f>
        <v>14.404</v>
      </c>
      <c r="M864" s="33">
        <f>14.4076 * CHOOSE(CONTROL!$C$32, $C$9, 100%, $E$9)</f>
        <v>14.4076</v>
      </c>
      <c r="N864" s="33">
        <f>14.404 * CHOOSE(CONTROL!$C$32, $C$9, 100%, $E$9)</f>
        <v>14.404</v>
      </c>
      <c r="O864" s="33">
        <f>14.4076 * CHOOSE(CONTROL!$C$32, $C$9, 100%, $E$9)</f>
        <v>14.4076</v>
      </c>
    </row>
    <row r="865" spans="1:15" ht="15" x14ac:dyDescent="0.2">
      <c r="A865" s="16">
        <v>67176</v>
      </c>
      <c r="B865" s="32">
        <f>12.7597 * CHOOSE(CONTROL!$C$32, $C$9, 100%, $E$9)</f>
        <v>12.7597</v>
      </c>
      <c r="C865" s="32">
        <f>12.7597 * CHOOSE(CONTROL!$C$32, $C$9, 100%, $E$9)</f>
        <v>12.7597</v>
      </c>
      <c r="D865" s="32">
        <f>12.7607 * CHOOSE(CONTROL!$C$32, $C$9, 100%, $E$9)</f>
        <v>12.7607</v>
      </c>
      <c r="E865" s="33">
        <f>14.2024 * CHOOSE(CONTROL!$C$32, $C$9, 100%, $E$9)</f>
        <v>14.202400000000001</v>
      </c>
      <c r="F865" s="33">
        <f>14.2024 * CHOOSE(CONTROL!$C$32, $C$9, 100%, $E$9)</f>
        <v>14.202400000000001</v>
      </c>
      <c r="G865" s="33">
        <f>14.206 * CHOOSE(CONTROL!$C$32, $C$9, 100%, $E$9)</f>
        <v>14.206</v>
      </c>
      <c r="H865" s="33">
        <f>29.6943 * CHOOSE(CONTROL!$C$32, $C$9, 100%, $E$9)</f>
        <v>29.694299999999998</v>
      </c>
      <c r="I865" s="33">
        <f>29.6979 * CHOOSE(CONTROL!$C$32, $C$9, 100%, $E$9)</f>
        <v>29.697900000000001</v>
      </c>
      <c r="J865" s="33">
        <f>29.6943 * CHOOSE(CONTROL!$C$32, $C$9, 100%, $E$9)</f>
        <v>29.694299999999998</v>
      </c>
      <c r="K865" s="33">
        <f>29.6979 * CHOOSE(CONTROL!$C$32, $C$9, 100%, $E$9)</f>
        <v>29.697900000000001</v>
      </c>
      <c r="L865" s="33">
        <f>14.2024 * CHOOSE(CONTROL!$C$32, $C$9, 100%, $E$9)</f>
        <v>14.202400000000001</v>
      </c>
      <c r="M865" s="33">
        <f>14.206 * CHOOSE(CONTROL!$C$32, $C$9, 100%, $E$9)</f>
        <v>14.206</v>
      </c>
      <c r="N865" s="33">
        <f>14.2024 * CHOOSE(CONTROL!$C$32, $C$9, 100%, $E$9)</f>
        <v>14.202400000000001</v>
      </c>
      <c r="O865" s="33">
        <f>14.206 * CHOOSE(CONTROL!$C$32, $C$9, 100%, $E$9)</f>
        <v>14.206</v>
      </c>
    </row>
    <row r="866" spans="1:15" ht="15" x14ac:dyDescent="0.2">
      <c r="A866" s="16">
        <v>67207</v>
      </c>
      <c r="B866" s="32">
        <f>12.7541 * CHOOSE(CONTROL!$C$32, $C$9, 100%, $E$9)</f>
        <v>12.754099999999999</v>
      </c>
      <c r="C866" s="32">
        <f>12.7541 * CHOOSE(CONTROL!$C$32, $C$9, 100%, $E$9)</f>
        <v>12.754099999999999</v>
      </c>
      <c r="D866" s="32">
        <f>12.7552 * CHOOSE(CONTROL!$C$32, $C$9, 100%, $E$9)</f>
        <v>12.7552</v>
      </c>
      <c r="E866" s="33">
        <f>14.3456 * CHOOSE(CONTROL!$C$32, $C$9, 100%, $E$9)</f>
        <v>14.345599999999999</v>
      </c>
      <c r="F866" s="33">
        <f>14.3456 * CHOOSE(CONTROL!$C$32, $C$9, 100%, $E$9)</f>
        <v>14.345599999999999</v>
      </c>
      <c r="G866" s="33">
        <f>14.3492 * CHOOSE(CONTROL!$C$32, $C$9, 100%, $E$9)</f>
        <v>14.3492</v>
      </c>
      <c r="H866" s="33">
        <f>29.4863 * CHOOSE(CONTROL!$C$32, $C$9, 100%, $E$9)</f>
        <v>29.4863</v>
      </c>
      <c r="I866" s="33">
        <f>29.4899 * CHOOSE(CONTROL!$C$32, $C$9, 100%, $E$9)</f>
        <v>29.489899999999999</v>
      </c>
      <c r="J866" s="33">
        <f>29.4863 * CHOOSE(CONTROL!$C$32, $C$9, 100%, $E$9)</f>
        <v>29.4863</v>
      </c>
      <c r="K866" s="33">
        <f>29.4899 * CHOOSE(CONTROL!$C$32, $C$9, 100%, $E$9)</f>
        <v>29.489899999999999</v>
      </c>
      <c r="L866" s="33">
        <f>14.3456 * CHOOSE(CONTROL!$C$32, $C$9, 100%, $E$9)</f>
        <v>14.345599999999999</v>
      </c>
      <c r="M866" s="33">
        <f>14.3492 * CHOOSE(CONTROL!$C$32, $C$9, 100%, $E$9)</f>
        <v>14.3492</v>
      </c>
      <c r="N866" s="33">
        <f>14.3456 * CHOOSE(CONTROL!$C$32, $C$9, 100%, $E$9)</f>
        <v>14.345599999999999</v>
      </c>
      <c r="O866" s="33">
        <f>14.3492 * CHOOSE(CONTROL!$C$32, $C$9, 100%, $E$9)</f>
        <v>14.3492</v>
      </c>
    </row>
    <row r="867" spans="1:15" ht="15" x14ac:dyDescent="0.2">
      <c r="A867" s="16">
        <v>67238</v>
      </c>
      <c r="B867" s="32">
        <f>12.751 * CHOOSE(CONTROL!$C$32, $C$9, 100%, $E$9)</f>
        <v>12.750999999999999</v>
      </c>
      <c r="C867" s="32">
        <f>12.751 * CHOOSE(CONTROL!$C$32, $C$9, 100%, $E$9)</f>
        <v>12.750999999999999</v>
      </c>
      <c r="D867" s="32">
        <f>12.7521 * CHOOSE(CONTROL!$C$32, $C$9, 100%, $E$9)</f>
        <v>12.7521</v>
      </c>
      <c r="E867" s="33">
        <f>13.9553 * CHOOSE(CONTROL!$C$32, $C$9, 100%, $E$9)</f>
        <v>13.955299999999999</v>
      </c>
      <c r="F867" s="33">
        <f>13.9553 * CHOOSE(CONTROL!$C$32, $C$9, 100%, $E$9)</f>
        <v>13.955299999999999</v>
      </c>
      <c r="G867" s="33">
        <f>13.959 * CHOOSE(CONTROL!$C$32, $C$9, 100%, $E$9)</f>
        <v>13.959</v>
      </c>
      <c r="H867" s="33">
        <f>29.5477 * CHOOSE(CONTROL!$C$32, $C$9, 100%, $E$9)</f>
        <v>29.547699999999999</v>
      </c>
      <c r="I867" s="33">
        <f>29.5513 * CHOOSE(CONTROL!$C$32, $C$9, 100%, $E$9)</f>
        <v>29.551300000000001</v>
      </c>
      <c r="J867" s="33">
        <f>29.5477 * CHOOSE(CONTROL!$C$32, $C$9, 100%, $E$9)</f>
        <v>29.547699999999999</v>
      </c>
      <c r="K867" s="33">
        <f>29.5513 * CHOOSE(CONTROL!$C$32, $C$9, 100%, $E$9)</f>
        <v>29.551300000000001</v>
      </c>
      <c r="L867" s="33">
        <f>13.9553 * CHOOSE(CONTROL!$C$32, $C$9, 100%, $E$9)</f>
        <v>13.955299999999999</v>
      </c>
      <c r="M867" s="33">
        <f>13.959 * CHOOSE(CONTROL!$C$32, $C$9, 100%, $E$9)</f>
        <v>13.959</v>
      </c>
      <c r="N867" s="33">
        <f>13.9553 * CHOOSE(CONTROL!$C$32, $C$9, 100%, $E$9)</f>
        <v>13.955299999999999</v>
      </c>
      <c r="O867" s="33">
        <f>13.959 * CHOOSE(CONTROL!$C$32, $C$9, 100%, $E$9)</f>
        <v>13.959</v>
      </c>
    </row>
    <row r="868" spans="1:15" ht="15" x14ac:dyDescent="0.2">
      <c r="A868" s="16">
        <v>67267</v>
      </c>
      <c r="B868" s="32">
        <f>12.748 * CHOOSE(CONTROL!$C$32, $C$9, 100%, $E$9)</f>
        <v>12.747999999999999</v>
      </c>
      <c r="C868" s="32">
        <f>12.748 * CHOOSE(CONTROL!$C$32, $C$9, 100%, $E$9)</f>
        <v>12.747999999999999</v>
      </c>
      <c r="D868" s="32">
        <f>12.7491 * CHOOSE(CONTROL!$C$32, $C$9, 100%, $E$9)</f>
        <v>12.7491</v>
      </c>
      <c r="E868" s="33">
        <f>14.2592 * CHOOSE(CONTROL!$C$32, $C$9, 100%, $E$9)</f>
        <v>14.2592</v>
      </c>
      <c r="F868" s="33">
        <f>14.2592 * CHOOSE(CONTROL!$C$32, $C$9, 100%, $E$9)</f>
        <v>14.2592</v>
      </c>
      <c r="G868" s="33">
        <f>14.2628 * CHOOSE(CONTROL!$C$32, $C$9, 100%, $E$9)</f>
        <v>14.2628</v>
      </c>
      <c r="H868" s="33">
        <f>29.6093 * CHOOSE(CONTROL!$C$32, $C$9, 100%, $E$9)</f>
        <v>29.609300000000001</v>
      </c>
      <c r="I868" s="33">
        <f>29.6129 * CHOOSE(CONTROL!$C$32, $C$9, 100%, $E$9)</f>
        <v>29.6129</v>
      </c>
      <c r="J868" s="33">
        <f>29.6093 * CHOOSE(CONTROL!$C$32, $C$9, 100%, $E$9)</f>
        <v>29.609300000000001</v>
      </c>
      <c r="K868" s="33">
        <f>29.6129 * CHOOSE(CONTROL!$C$32, $C$9, 100%, $E$9)</f>
        <v>29.6129</v>
      </c>
      <c r="L868" s="33">
        <f>14.2592 * CHOOSE(CONTROL!$C$32, $C$9, 100%, $E$9)</f>
        <v>14.2592</v>
      </c>
      <c r="M868" s="33">
        <f>14.2628 * CHOOSE(CONTROL!$C$32, $C$9, 100%, $E$9)</f>
        <v>14.2628</v>
      </c>
      <c r="N868" s="33">
        <f>14.2592 * CHOOSE(CONTROL!$C$32, $C$9, 100%, $E$9)</f>
        <v>14.2592</v>
      </c>
      <c r="O868" s="33">
        <f>14.2628 * CHOOSE(CONTROL!$C$32, $C$9, 100%, $E$9)</f>
        <v>14.2628</v>
      </c>
    </row>
    <row r="869" spans="1:15" ht="15" x14ac:dyDescent="0.2">
      <c r="A869" s="16">
        <v>67298</v>
      </c>
      <c r="B869" s="32">
        <f>12.7541 * CHOOSE(CONTROL!$C$32, $C$9, 100%, $E$9)</f>
        <v>12.754099999999999</v>
      </c>
      <c r="C869" s="32">
        <f>12.7541 * CHOOSE(CONTROL!$C$32, $C$9, 100%, $E$9)</f>
        <v>12.754099999999999</v>
      </c>
      <c r="D869" s="32">
        <f>12.7552 * CHOOSE(CONTROL!$C$32, $C$9, 100%, $E$9)</f>
        <v>12.7552</v>
      </c>
      <c r="E869" s="33">
        <f>14.5835 * CHOOSE(CONTROL!$C$32, $C$9, 100%, $E$9)</f>
        <v>14.583500000000001</v>
      </c>
      <c r="F869" s="33">
        <f>14.5835 * CHOOSE(CONTROL!$C$32, $C$9, 100%, $E$9)</f>
        <v>14.583500000000001</v>
      </c>
      <c r="G869" s="33">
        <f>14.5872 * CHOOSE(CONTROL!$C$32, $C$9, 100%, $E$9)</f>
        <v>14.587199999999999</v>
      </c>
      <c r="H869" s="33">
        <f>29.671 * CHOOSE(CONTROL!$C$32, $C$9, 100%, $E$9)</f>
        <v>29.670999999999999</v>
      </c>
      <c r="I869" s="33">
        <f>29.6746 * CHOOSE(CONTROL!$C$32, $C$9, 100%, $E$9)</f>
        <v>29.674600000000002</v>
      </c>
      <c r="J869" s="33">
        <f>29.671 * CHOOSE(CONTROL!$C$32, $C$9, 100%, $E$9)</f>
        <v>29.670999999999999</v>
      </c>
      <c r="K869" s="33">
        <f>29.6746 * CHOOSE(CONTROL!$C$32, $C$9, 100%, $E$9)</f>
        <v>29.674600000000002</v>
      </c>
      <c r="L869" s="33">
        <f>14.5835 * CHOOSE(CONTROL!$C$32, $C$9, 100%, $E$9)</f>
        <v>14.583500000000001</v>
      </c>
      <c r="M869" s="33">
        <f>14.5872 * CHOOSE(CONTROL!$C$32, $C$9, 100%, $E$9)</f>
        <v>14.587199999999999</v>
      </c>
      <c r="N869" s="33">
        <f>14.5835 * CHOOSE(CONTROL!$C$32, $C$9, 100%, $E$9)</f>
        <v>14.583500000000001</v>
      </c>
      <c r="O869" s="33">
        <f>14.5872 * CHOOSE(CONTROL!$C$32, $C$9, 100%, $E$9)</f>
        <v>14.587199999999999</v>
      </c>
    </row>
    <row r="870" spans="1:15" ht="15" x14ac:dyDescent="0.2">
      <c r="A870" s="16">
        <v>67328</v>
      </c>
      <c r="B870" s="32">
        <f>12.7541 * CHOOSE(CONTROL!$C$32, $C$9, 100%, $E$9)</f>
        <v>12.754099999999999</v>
      </c>
      <c r="C870" s="32">
        <f>12.7541 * CHOOSE(CONTROL!$C$32, $C$9, 100%, $E$9)</f>
        <v>12.754099999999999</v>
      </c>
      <c r="D870" s="32">
        <f>12.7557 * CHOOSE(CONTROL!$C$32, $C$9, 100%, $E$9)</f>
        <v>12.755699999999999</v>
      </c>
      <c r="E870" s="33">
        <f>14.7068 * CHOOSE(CONTROL!$C$32, $C$9, 100%, $E$9)</f>
        <v>14.706799999999999</v>
      </c>
      <c r="F870" s="33">
        <f>14.7068 * CHOOSE(CONTROL!$C$32, $C$9, 100%, $E$9)</f>
        <v>14.706799999999999</v>
      </c>
      <c r="G870" s="33">
        <f>14.7121 * CHOOSE(CONTROL!$C$32, $C$9, 100%, $E$9)</f>
        <v>14.7121</v>
      </c>
      <c r="H870" s="33">
        <f>29.7328 * CHOOSE(CONTROL!$C$32, $C$9, 100%, $E$9)</f>
        <v>29.732800000000001</v>
      </c>
      <c r="I870" s="33">
        <f>29.7381 * CHOOSE(CONTROL!$C$32, $C$9, 100%, $E$9)</f>
        <v>29.738099999999999</v>
      </c>
      <c r="J870" s="33">
        <f>29.7328 * CHOOSE(CONTROL!$C$32, $C$9, 100%, $E$9)</f>
        <v>29.732800000000001</v>
      </c>
      <c r="K870" s="33">
        <f>29.7381 * CHOOSE(CONTROL!$C$32, $C$9, 100%, $E$9)</f>
        <v>29.738099999999999</v>
      </c>
      <c r="L870" s="33">
        <f>14.7068 * CHOOSE(CONTROL!$C$32, $C$9, 100%, $E$9)</f>
        <v>14.706799999999999</v>
      </c>
      <c r="M870" s="33">
        <f>14.7121 * CHOOSE(CONTROL!$C$32, $C$9, 100%, $E$9)</f>
        <v>14.7121</v>
      </c>
      <c r="N870" s="33">
        <f>14.7068 * CHOOSE(CONTROL!$C$32, $C$9, 100%, $E$9)</f>
        <v>14.706799999999999</v>
      </c>
      <c r="O870" s="33">
        <f>14.7121 * CHOOSE(CONTROL!$C$32, $C$9, 100%, $E$9)</f>
        <v>14.7121</v>
      </c>
    </row>
    <row r="871" spans="1:15" ht="15" x14ac:dyDescent="0.2">
      <c r="A871" s="16">
        <v>67359</v>
      </c>
      <c r="B871" s="32">
        <f>12.7602 * CHOOSE(CONTROL!$C$32, $C$9, 100%, $E$9)</f>
        <v>12.760199999999999</v>
      </c>
      <c r="C871" s="32">
        <f>12.7602 * CHOOSE(CONTROL!$C$32, $C$9, 100%, $E$9)</f>
        <v>12.760199999999999</v>
      </c>
      <c r="D871" s="32">
        <f>12.7618 * CHOOSE(CONTROL!$C$32, $C$9, 100%, $E$9)</f>
        <v>12.761799999999999</v>
      </c>
      <c r="E871" s="33">
        <f>14.5878 * CHOOSE(CONTROL!$C$32, $C$9, 100%, $E$9)</f>
        <v>14.5878</v>
      </c>
      <c r="F871" s="33">
        <f>14.5878 * CHOOSE(CONTROL!$C$32, $C$9, 100%, $E$9)</f>
        <v>14.5878</v>
      </c>
      <c r="G871" s="33">
        <f>14.5931 * CHOOSE(CONTROL!$C$32, $C$9, 100%, $E$9)</f>
        <v>14.5931</v>
      </c>
      <c r="H871" s="33">
        <f>29.7947 * CHOOSE(CONTROL!$C$32, $C$9, 100%, $E$9)</f>
        <v>29.794699999999999</v>
      </c>
      <c r="I871" s="33">
        <f>29.8 * CHOOSE(CONTROL!$C$32, $C$9, 100%, $E$9)</f>
        <v>29.8</v>
      </c>
      <c r="J871" s="33">
        <f>29.7947 * CHOOSE(CONTROL!$C$32, $C$9, 100%, $E$9)</f>
        <v>29.794699999999999</v>
      </c>
      <c r="K871" s="33">
        <f>29.8 * CHOOSE(CONTROL!$C$32, $C$9, 100%, $E$9)</f>
        <v>29.8</v>
      </c>
      <c r="L871" s="33">
        <f>14.5878 * CHOOSE(CONTROL!$C$32, $C$9, 100%, $E$9)</f>
        <v>14.5878</v>
      </c>
      <c r="M871" s="33">
        <f>14.5931 * CHOOSE(CONTROL!$C$32, $C$9, 100%, $E$9)</f>
        <v>14.5931</v>
      </c>
      <c r="N871" s="33">
        <f>14.5878 * CHOOSE(CONTROL!$C$32, $C$9, 100%, $E$9)</f>
        <v>14.5878</v>
      </c>
      <c r="O871" s="33">
        <f>14.5931 * CHOOSE(CONTROL!$C$32, $C$9, 100%, $E$9)</f>
        <v>14.5931</v>
      </c>
    </row>
    <row r="872" spans="1:15" ht="15" x14ac:dyDescent="0.2">
      <c r="A872" s="16">
        <v>67389</v>
      </c>
      <c r="B872" s="32">
        <f>12.9149 * CHOOSE(CONTROL!$C$32, $C$9, 100%, $E$9)</f>
        <v>12.914899999999999</v>
      </c>
      <c r="C872" s="32">
        <f>12.9149 * CHOOSE(CONTROL!$C$32, $C$9, 100%, $E$9)</f>
        <v>12.914899999999999</v>
      </c>
      <c r="D872" s="32">
        <f>12.9165 * CHOOSE(CONTROL!$C$32, $C$9, 100%, $E$9)</f>
        <v>12.916499999999999</v>
      </c>
      <c r="E872" s="33">
        <f>14.7942 * CHOOSE(CONTROL!$C$32, $C$9, 100%, $E$9)</f>
        <v>14.7942</v>
      </c>
      <c r="F872" s="33">
        <f>14.7942 * CHOOSE(CONTROL!$C$32, $C$9, 100%, $E$9)</f>
        <v>14.7942</v>
      </c>
      <c r="G872" s="33">
        <f>14.7995 * CHOOSE(CONTROL!$C$32, $C$9, 100%, $E$9)</f>
        <v>14.7995</v>
      </c>
      <c r="H872" s="33">
        <f>29.8568 * CHOOSE(CONTROL!$C$32, $C$9, 100%, $E$9)</f>
        <v>29.8568</v>
      </c>
      <c r="I872" s="33">
        <f>29.8621 * CHOOSE(CONTROL!$C$32, $C$9, 100%, $E$9)</f>
        <v>29.862100000000002</v>
      </c>
      <c r="J872" s="33">
        <f>29.8568 * CHOOSE(CONTROL!$C$32, $C$9, 100%, $E$9)</f>
        <v>29.8568</v>
      </c>
      <c r="K872" s="33">
        <f>29.8621 * CHOOSE(CONTROL!$C$32, $C$9, 100%, $E$9)</f>
        <v>29.862100000000002</v>
      </c>
      <c r="L872" s="33">
        <f>14.7942 * CHOOSE(CONTROL!$C$32, $C$9, 100%, $E$9)</f>
        <v>14.7942</v>
      </c>
      <c r="M872" s="33">
        <f>14.7995 * CHOOSE(CONTROL!$C$32, $C$9, 100%, $E$9)</f>
        <v>14.7995</v>
      </c>
      <c r="N872" s="33">
        <f>14.7942 * CHOOSE(CONTROL!$C$32, $C$9, 100%, $E$9)</f>
        <v>14.7942</v>
      </c>
      <c r="O872" s="33">
        <f>14.7995 * CHOOSE(CONTROL!$C$32, $C$9, 100%, $E$9)</f>
        <v>14.7995</v>
      </c>
    </row>
    <row r="873" spans="1:15" ht="15" x14ac:dyDescent="0.2">
      <c r="A873" s="16">
        <v>67420</v>
      </c>
      <c r="B873" s="32">
        <f>12.9216 * CHOOSE(CONTROL!$C$32, $C$9, 100%, $E$9)</f>
        <v>12.9216</v>
      </c>
      <c r="C873" s="32">
        <f>12.9216 * CHOOSE(CONTROL!$C$32, $C$9, 100%, $E$9)</f>
        <v>12.9216</v>
      </c>
      <c r="D873" s="32">
        <f>12.9231 * CHOOSE(CONTROL!$C$32, $C$9, 100%, $E$9)</f>
        <v>12.9231</v>
      </c>
      <c r="E873" s="33">
        <f>14.4292 * CHOOSE(CONTROL!$C$32, $C$9, 100%, $E$9)</f>
        <v>14.4292</v>
      </c>
      <c r="F873" s="33">
        <f>14.4292 * CHOOSE(CONTROL!$C$32, $C$9, 100%, $E$9)</f>
        <v>14.4292</v>
      </c>
      <c r="G873" s="33">
        <f>14.4345 * CHOOSE(CONTROL!$C$32, $C$9, 100%, $E$9)</f>
        <v>14.4345</v>
      </c>
      <c r="H873" s="33">
        <f>29.919 * CHOOSE(CONTROL!$C$32, $C$9, 100%, $E$9)</f>
        <v>29.919</v>
      </c>
      <c r="I873" s="33">
        <f>29.9243 * CHOOSE(CONTROL!$C$32, $C$9, 100%, $E$9)</f>
        <v>29.924299999999999</v>
      </c>
      <c r="J873" s="33">
        <f>29.919 * CHOOSE(CONTROL!$C$32, $C$9, 100%, $E$9)</f>
        <v>29.919</v>
      </c>
      <c r="K873" s="33">
        <f>29.9243 * CHOOSE(CONTROL!$C$32, $C$9, 100%, $E$9)</f>
        <v>29.924299999999999</v>
      </c>
      <c r="L873" s="33">
        <f>14.4292 * CHOOSE(CONTROL!$C$32, $C$9, 100%, $E$9)</f>
        <v>14.4292</v>
      </c>
      <c r="M873" s="33">
        <f>14.4345 * CHOOSE(CONTROL!$C$32, $C$9, 100%, $E$9)</f>
        <v>14.4345</v>
      </c>
      <c r="N873" s="33">
        <f>14.4292 * CHOOSE(CONTROL!$C$32, $C$9, 100%, $E$9)</f>
        <v>14.4292</v>
      </c>
      <c r="O873" s="33">
        <f>14.4345 * CHOOSE(CONTROL!$C$32, $C$9, 100%, $E$9)</f>
        <v>14.4345</v>
      </c>
    </row>
    <row r="874" spans="1:15" ht="15" x14ac:dyDescent="0.2">
      <c r="A874" s="16">
        <v>67451</v>
      </c>
      <c r="B874" s="32">
        <f>12.9185 * CHOOSE(CONTROL!$C$32, $C$9, 100%, $E$9)</f>
        <v>12.9185</v>
      </c>
      <c r="C874" s="32">
        <f>12.9185 * CHOOSE(CONTROL!$C$32, $C$9, 100%, $E$9)</f>
        <v>12.9185</v>
      </c>
      <c r="D874" s="32">
        <f>12.9201 * CHOOSE(CONTROL!$C$32, $C$9, 100%, $E$9)</f>
        <v>12.9201</v>
      </c>
      <c r="E874" s="33">
        <f>14.386 * CHOOSE(CONTROL!$C$32, $C$9, 100%, $E$9)</f>
        <v>14.385999999999999</v>
      </c>
      <c r="F874" s="33">
        <f>14.386 * CHOOSE(CONTROL!$C$32, $C$9, 100%, $E$9)</f>
        <v>14.385999999999999</v>
      </c>
      <c r="G874" s="33">
        <f>14.3913 * CHOOSE(CONTROL!$C$32, $C$9, 100%, $E$9)</f>
        <v>14.391299999999999</v>
      </c>
      <c r="H874" s="33">
        <f>29.9813 * CHOOSE(CONTROL!$C$32, $C$9, 100%, $E$9)</f>
        <v>29.981300000000001</v>
      </c>
      <c r="I874" s="33">
        <f>29.9866 * CHOOSE(CONTROL!$C$32, $C$9, 100%, $E$9)</f>
        <v>29.986599999999999</v>
      </c>
      <c r="J874" s="33">
        <f>29.9813 * CHOOSE(CONTROL!$C$32, $C$9, 100%, $E$9)</f>
        <v>29.981300000000001</v>
      </c>
      <c r="K874" s="33">
        <f>29.9866 * CHOOSE(CONTROL!$C$32, $C$9, 100%, $E$9)</f>
        <v>29.986599999999999</v>
      </c>
      <c r="L874" s="33">
        <f>14.386 * CHOOSE(CONTROL!$C$32, $C$9, 100%, $E$9)</f>
        <v>14.385999999999999</v>
      </c>
      <c r="M874" s="33">
        <f>14.3913 * CHOOSE(CONTROL!$C$32, $C$9, 100%, $E$9)</f>
        <v>14.391299999999999</v>
      </c>
      <c r="N874" s="33">
        <f>14.386 * CHOOSE(CONTROL!$C$32, $C$9, 100%, $E$9)</f>
        <v>14.385999999999999</v>
      </c>
      <c r="O874" s="33">
        <f>14.3913 * CHOOSE(CONTROL!$C$32, $C$9, 100%, $E$9)</f>
        <v>14.391299999999999</v>
      </c>
    </row>
    <row r="875" spans="1:15" ht="15" x14ac:dyDescent="0.2">
      <c r="A875" s="16">
        <v>67481</v>
      </c>
      <c r="B875" s="32">
        <f>12.9469 * CHOOSE(CONTROL!$C$32, $C$9, 100%, $E$9)</f>
        <v>12.946899999999999</v>
      </c>
      <c r="C875" s="32">
        <f>12.9469 * CHOOSE(CONTROL!$C$32, $C$9, 100%, $E$9)</f>
        <v>12.946899999999999</v>
      </c>
      <c r="D875" s="32">
        <f>12.948 * CHOOSE(CONTROL!$C$32, $C$9, 100%, $E$9)</f>
        <v>12.948</v>
      </c>
      <c r="E875" s="33">
        <f>14.5369 * CHOOSE(CONTROL!$C$32, $C$9, 100%, $E$9)</f>
        <v>14.536899999999999</v>
      </c>
      <c r="F875" s="33">
        <f>14.5369 * CHOOSE(CONTROL!$C$32, $C$9, 100%, $E$9)</f>
        <v>14.536899999999999</v>
      </c>
      <c r="G875" s="33">
        <f>14.5405 * CHOOSE(CONTROL!$C$32, $C$9, 100%, $E$9)</f>
        <v>14.5405</v>
      </c>
      <c r="H875" s="33">
        <f>30.0438 * CHOOSE(CONTROL!$C$32, $C$9, 100%, $E$9)</f>
        <v>30.043800000000001</v>
      </c>
      <c r="I875" s="33">
        <f>30.0474 * CHOOSE(CONTROL!$C$32, $C$9, 100%, $E$9)</f>
        <v>30.0474</v>
      </c>
      <c r="J875" s="33">
        <f>30.0438 * CHOOSE(CONTROL!$C$32, $C$9, 100%, $E$9)</f>
        <v>30.043800000000001</v>
      </c>
      <c r="K875" s="33">
        <f>30.0474 * CHOOSE(CONTROL!$C$32, $C$9, 100%, $E$9)</f>
        <v>30.0474</v>
      </c>
      <c r="L875" s="33">
        <f>14.5369 * CHOOSE(CONTROL!$C$32, $C$9, 100%, $E$9)</f>
        <v>14.536899999999999</v>
      </c>
      <c r="M875" s="33">
        <f>14.5405 * CHOOSE(CONTROL!$C$32, $C$9, 100%, $E$9)</f>
        <v>14.5405</v>
      </c>
      <c r="N875" s="33">
        <f>14.5369 * CHOOSE(CONTROL!$C$32, $C$9, 100%, $E$9)</f>
        <v>14.536899999999999</v>
      </c>
      <c r="O875" s="33">
        <f>14.5405 * CHOOSE(CONTROL!$C$32, $C$9, 100%, $E$9)</f>
        <v>14.5405</v>
      </c>
    </row>
    <row r="876" spans="1:15" ht="15" x14ac:dyDescent="0.2">
      <c r="A876" s="16">
        <v>67512</v>
      </c>
      <c r="B876" s="32">
        <f>12.95 * CHOOSE(CONTROL!$C$32, $C$9, 100%, $E$9)</f>
        <v>12.95</v>
      </c>
      <c r="C876" s="32">
        <f>12.95 * CHOOSE(CONTROL!$C$32, $C$9, 100%, $E$9)</f>
        <v>12.95</v>
      </c>
      <c r="D876" s="32">
        <f>12.951 * CHOOSE(CONTROL!$C$32, $C$9, 100%, $E$9)</f>
        <v>12.951000000000001</v>
      </c>
      <c r="E876" s="33">
        <f>14.6212 * CHOOSE(CONTROL!$C$32, $C$9, 100%, $E$9)</f>
        <v>14.6212</v>
      </c>
      <c r="F876" s="33">
        <f>14.6212 * CHOOSE(CONTROL!$C$32, $C$9, 100%, $E$9)</f>
        <v>14.6212</v>
      </c>
      <c r="G876" s="33">
        <f>14.6248 * CHOOSE(CONTROL!$C$32, $C$9, 100%, $E$9)</f>
        <v>14.6248</v>
      </c>
      <c r="H876" s="33">
        <f>30.1064 * CHOOSE(CONTROL!$C$32, $C$9, 100%, $E$9)</f>
        <v>30.106400000000001</v>
      </c>
      <c r="I876" s="33">
        <f>30.11 * CHOOSE(CONTROL!$C$32, $C$9, 100%, $E$9)</f>
        <v>30.11</v>
      </c>
      <c r="J876" s="33">
        <f>30.1064 * CHOOSE(CONTROL!$C$32, $C$9, 100%, $E$9)</f>
        <v>30.106400000000001</v>
      </c>
      <c r="K876" s="33">
        <f>30.11 * CHOOSE(CONTROL!$C$32, $C$9, 100%, $E$9)</f>
        <v>30.11</v>
      </c>
      <c r="L876" s="33">
        <f>14.6212 * CHOOSE(CONTROL!$C$32, $C$9, 100%, $E$9)</f>
        <v>14.6212</v>
      </c>
      <c r="M876" s="33">
        <f>14.6248 * CHOOSE(CONTROL!$C$32, $C$9, 100%, $E$9)</f>
        <v>14.6248</v>
      </c>
      <c r="N876" s="33">
        <f>14.6212 * CHOOSE(CONTROL!$C$32, $C$9, 100%, $E$9)</f>
        <v>14.6212</v>
      </c>
      <c r="O876" s="33">
        <f>14.6248 * CHOOSE(CONTROL!$C$32, $C$9, 100%, $E$9)</f>
        <v>14.6248</v>
      </c>
    </row>
    <row r="877" spans="1:15" ht="15" x14ac:dyDescent="0.2">
      <c r="A877" s="16">
        <v>67542</v>
      </c>
      <c r="B877" s="32">
        <f>12.95 * CHOOSE(CONTROL!$C$32, $C$9, 100%, $E$9)</f>
        <v>12.95</v>
      </c>
      <c r="C877" s="32">
        <f>12.95 * CHOOSE(CONTROL!$C$32, $C$9, 100%, $E$9)</f>
        <v>12.95</v>
      </c>
      <c r="D877" s="32">
        <f>12.951 * CHOOSE(CONTROL!$C$32, $C$9, 100%, $E$9)</f>
        <v>12.951000000000001</v>
      </c>
      <c r="E877" s="33">
        <f>14.4158 * CHOOSE(CONTROL!$C$32, $C$9, 100%, $E$9)</f>
        <v>14.415800000000001</v>
      </c>
      <c r="F877" s="33">
        <f>14.4158 * CHOOSE(CONTROL!$C$32, $C$9, 100%, $E$9)</f>
        <v>14.415800000000001</v>
      </c>
      <c r="G877" s="33">
        <f>14.4194 * CHOOSE(CONTROL!$C$32, $C$9, 100%, $E$9)</f>
        <v>14.4194</v>
      </c>
      <c r="H877" s="33">
        <f>30.1691 * CHOOSE(CONTROL!$C$32, $C$9, 100%, $E$9)</f>
        <v>30.1691</v>
      </c>
      <c r="I877" s="33">
        <f>30.1727 * CHOOSE(CONTROL!$C$32, $C$9, 100%, $E$9)</f>
        <v>30.172699999999999</v>
      </c>
      <c r="J877" s="33">
        <f>30.1691 * CHOOSE(CONTROL!$C$32, $C$9, 100%, $E$9)</f>
        <v>30.1691</v>
      </c>
      <c r="K877" s="33">
        <f>30.1727 * CHOOSE(CONTROL!$C$32, $C$9, 100%, $E$9)</f>
        <v>30.172699999999999</v>
      </c>
      <c r="L877" s="33">
        <f>14.4158 * CHOOSE(CONTROL!$C$32, $C$9, 100%, $E$9)</f>
        <v>14.415800000000001</v>
      </c>
      <c r="M877" s="33">
        <f>14.4194 * CHOOSE(CONTROL!$C$32, $C$9, 100%, $E$9)</f>
        <v>14.4194</v>
      </c>
      <c r="N877" s="33">
        <f>14.4158 * CHOOSE(CONTROL!$C$32, $C$9, 100%, $E$9)</f>
        <v>14.415800000000001</v>
      </c>
      <c r="O877" s="33">
        <f>14.4194 * CHOOSE(CONTROL!$C$32, $C$9, 100%, $E$9)</f>
        <v>14.4194</v>
      </c>
    </row>
    <row r="878" spans="1:15" ht="15" x14ac:dyDescent="0.2">
      <c r="A878" s="16">
        <v>67573</v>
      </c>
      <c r="B878" s="32">
        <f>12.9414 * CHOOSE(CONTROL!$C$32, $C$9, 100%, $E$9)</f>
        <v>12.9414</v>
      </c>
      <c r="C878" s="32">
        <f>12.9414 * CHOOSE(CONTROL!$C$32, $C$9, 100%, $E$9)</f>
        <v>12.9414</v>
      </c>
      <c r="D878" s="32">
        <f>12.9425 * CHOOSE(CONTROL!$C$32, $C$9, 100%, $E$9)</f>
        <v>12.942500000000001</v>
      </c>
      <c r="E878" s="33">
        <f>14.5581 * CHOOSE(CONTROL!$C$32, $C$9, 100%, $E$9)</f>
        <v>14.5581</v>
      </c>
      <c r="F878" s="33">
        <f>14.5581 * CHOOSE(CONTROL!$C$32, $C$9, 100%, $E$9)</f>
        <v>14.5581</v>
      </c>
      <c r="G878" s="33">
        <f>14.5617 * CHOOSE(CONTROL!$C$32, $C$9, 100%, $E$9)</f>
        <v>14.5617</v>
      </c>
      <c r="H878" s="33">
        <f>29.9503 * CHOOSE(CONTROL!$C$32, $C$9, 100%, $E$9)</f>
        <v>29.950299999999999</v>
      </c>
      <c r="I878" s="33">
        <f>29.9539 * CHOOSE(CONTROL!$C$32, $C$9, 100%, $E$9)</f>
        <v>29.953900000000001</v>
      </c>
      <c r="J878" s="33">
        <f>29.9503 * CHOOSE(CONTROL!$C$32, $C$9, 100%, $E$9)</f>
        <v>29.950299999999999</v>
      </c>
      <c r="K878" s="33">
        <f>29.9539 * CHOOSE(CONTROL!$C$32, $C$9, 100%, $E$9)</f>
        <v>29.953900000000001</v>
      </c>
      <c r="L878" s="33">
        <f>14.5581 * CHOOSE(CONTROL!$C$32, $C$9, 100%, $E$9)</f>
        <v>14.5581</v>
      </c>
      <c r="M878" s="33">
        <f>14.5617 * CHOOSE(CONTROL!$C$32, $C$9, 100%, $E$9)</f>
        <v>14.5617</v>
      </c>
      <c r="N878" s="33">
        <f>14.5581 * CHOOSE(CONTROL!$C$32, $C$9, 100%, $E$9)</f>
        <v>14.5581</v>
      </c>
      <c r="O878" s="33">
        <f>14.5617 * CHOOSE(CONTROL!$C$32, $C$9, 100%, $E$9)</f>
        <v>14.5617</v>
      </c>
    </row>
    <row r="879" spans="1:15" ht="15" x14ac:dyDescent="0.2">
      <c r="A879" s="16">
        <v>67604</v>
      </c>
      <c r="B879" s="32">
        <f>12.9384 * CHOOSE(CONTROL!$C$32, $C$9, 100%, $E$9)</f>
        <v>12.9384</v>
      </c>
      <c r="C879" s="32">
        <f>12.9384 * CHOOSE(CONTROL!$C$32, $C$9, 100%, $E$9)</f>
        <v>12.9384</v>
      </c>
      <c r="D879" s="32">
        <f>12.9395 * CHOOSE(CONTROL!$C$32, $C$9, 100%, $E$9)</f>
        <v>12.939500000000001</v>
      </c>
      <c r="E879" s="33">
        <f>14.1608 * CHOOSE(CONTROL!$C$32, $C$9, 100%, $E$9)</f>
        <v>14.1608</v>
      </c>
      <c r="F879" s="33">
        <f>14.1608 * CHOOSE(CONTROL!$C$32, $C$9, 100%, $E$9)</f>
        <v>14.1608</v>
      </c>
      <c r="G879" s="33">
        <f>14.1644 * CHOOSE(CONTROL!$C$32, $C$9, 100%, $E$9)</f>
        <v>14.164400000000001</v>
      </c>
      <c r="H879" s="33">
        <f>30.0127 * CHOOSE(CONTROL!$C$32, $C$9, 100%, $E$9)</f>
        <v>30.012699999999999</v>
      </c>
      <c r="I879" s="33">
        <f>30.0163 * CHOOSE(CONTROL!$C$32, $C$9, 100%, $E$9)</f>
        <v>30.016300000000001</v>
      </c>
      <c r="J879" s="33">
        <f>30.0127 * CHOOSE(CONTROL!$C$32, $C$9, 100%, $E$9)</f>
        <v>30.012699999999999</v>
      </c>
      <c r="K879" s="33">
        <f>30.0163 * CHOOSE(CONTROL!$C$32, $C$9, 100%, $E$9)</f>
        <v>30.016300000000001</v>
      </c>
      <c r="L879" s="33">
        <f>14.1608 * CHOOSE(CONTROL!$C$32, $C$9, 100%, $E$9)</f>
        <v>14.1608</v>
      </c>
      <c r="M879" s="33">
        <f>14.1644 * CHOOSE(CONTROL!$C$32, $C$9, 100%, $E$9)</f>
        <v>14.164400000000001</v>
      </c>
      <c r="N879" s="33">
        <f>14.1608 * CHOOSE(CONTROL!$C$32, $C$9, 100%, $E$9)</f>
        <v>14.1608</v>
      </c>
      <c r="O879" s="33">
        <f>14.1644 * CHOOSE(CONTROL!$C$32, $C$9, 100%, $E$9)</f>
        <v>14.164400000000001</v>
      </c>
    </row>
    <row r="880" spans="1:15" ht="15" x14ac:dyDescent="0.2">
      <c r="A880" s="16">
        <v>67632</v>
      </c>
      <c r="B880" s="32">
        <f>12.9354 * CHOOSE(CONTROL!$C$32, $C$9, 100%, $E$9)</f>
        <v>12.9354</v>
      </c>
      <c r="C880" s="32">
        <f>12.9354 * CHOOSE(CONTROL!$C$32, $C$9, 100%, $E$9)</f>
        <v>12.9354</v>
      </c>
      <c r="D880" s="32">
        <f>12.9364 * CHOOSE(CONTROL!$C$32, $C$9, 100%, $E$9)</f>
        <v>12.936400000000001</v>
      </c>
      <c r="E880" s="33">
        <f>14.4702 * CHOOSE(CONTROL!$C$32, $C$9, 100%, $E$9)</f>
        <v>14.4702</v>
      </c>
      <c r="F880" s="33">
        <f>14.4702 * CHOOSE(CONTROL!$C$32, $C$9, 100%, $E$9)</f>
        <v>14.4702</v>
      </c>
      <c r="G880" s="33">
        <f>14.4738 * CHOOSE(CONTROL!$C$32, $C$9, 100%, $E$9)</f>
        <v>14.473800000000001</v>
      </c>
      <c r="H880" s="33">
        <f>30.0753 * CHOOSE(CONTROL!$C$32, $C$9, 100%, $E$9)</f>
        <v>30.075299999999999</v>
      </c>
      <c r="I880" s="33">
        <f>30.0789 * CHOOSE(CONTROL!$C$32, $C$9, 100%, $E$9)</f>
        <v>30.078900000000001</v>
      </c>
      <c r="J880" s="33">
        <f>30.0753 * CHOOSE(CONTROL!$C$32, $C$9, 100%, $E$9)</f>
        <v>30.075299999999999</v>
      </c>
      <c r="K880" s="33">
        <f>30.0789 * CHOOSE(CONTROL!$C$32, $C$9, 100%, $E$9)</f>
        <v>30.078900000000001</v>
      </c>
      <c r="L880" s="33">
        <f>14.4702 * CHOOSE(CONTROL!$C$32, $C$9, 100%, $E$9)</f>
        <v>14.4702</v>
      </c>
      <c r="M880" s="33">
        <f>14.4738 * CHOOSE(CONTROL!$C$32, $C$9, 100%, $E$9)</f>
        <v>14.473800000000001</v>
      </c>
      <c r="N880" s="33">
        <f>14.4702 * CHOOSE(CONTROL!$C$32, $C$9, 100%, $E$9)</f>
        <v>14.4702</v>
      </c>
      <c r="O880" s="33">
        <f>14.4738 * CHOOSE(CONTROL!$C$32, $C$9, 100%, $E$9)</f>
        <v>14.473800000000001</v>
      </c>
    </row>
    <row r="881" spans="1:15" ht="15" x14ac:dyDescent="0.2">
      <c r="A881" s="16">
        <v>67663</v>
      </c>
      <c r="B881" s="32">
        <f>12.9417 * CHOOSE(CONTROL!$C$32, $C$9, 100%, $E$9)</f>
        <v>12.941700000000001</v>
      </c>
      <c r="C881" s="32">
        <f>12.9417 * CHOOSE(CONTROL!$C$32, $C$9, 100%, $E$9)</f>
        <v>12.941700000000001</v>
      </c>
      <c r="D881" s="32">
        <f>12.9428 * CHOOSE(CONTROL!$C$32, $C$9, 100%, $E$9)</f>
        <v>12.9428</v>
      </c>
      <c r="E881" s="33">
        <f>14.8005 * CHOOSE(CONTROL!$C$32, $C$9, 100%, $E$9)</f>
        <v>14.8005</v>
      </c>
      <c r="F881" s="33">
        <f>14.8005 * CHOOSE(CONTROL!$C$32, $C$9, 100%, $E$9)</f>
        <v>14.8005</v>
      </c>
      <c r="G881" s="33">
        <f>14.8042 * CHOOSE(CONTROL!$C$32, $C$9, 100%, $E$9)</f>
        <v>14.8042</v>
      </c>
      <c r="H881" s="33">
        <f>30.1379 * CHOOSE(CONTROL!$C$32, $C$9, 100%, $E$9)</f>
        <v>30.137899999999998</v>
      </c>
      <c r="I881" s="33">
        <f>30.1415 * CHOOSE(CONTROL!$C$32, $C$9, 100%, $E$9)</f>
        <v>30.141500000000001</v>
      </c>
      <c r="J881" s="33">
        <f>30.1379 * CHOOSE(CONTROL!$C$32, $C$9, 100%, $E$9)</f>
        <v>30.137899999999998</v>
      </c>
      <c r="K881" s="33">
        <f>30.1415 * CHOOSE(CONTROL!$C$32, $C$9, 100%, $E$9)</f>
        <v>30.141500000000001</v>
      </c>
      <c r="L881" s="33">
        <f>14.8005 * CHOOSE(CONTROL!$C$32, $C$9, 100%, $E$9)</f>
        <v>14.8005</v>
      </c>
      <c r="M881" s="33">
        <f>14.8042 * CHOOSE(CONTROL!$C$32, $C$9, 100%, $E$9)</f>
        <v>14.8042</v>
      </c>
      <c r="N881" s="33">
        <f>14.8005 * CHOOSE(CONTROL!$C$32, $C$9, 100%, $E$9)</f>
        <v>14.8005</v>
      </c>
      <c r="O881" s="33">
        <f>14.8042 * CHOOSE(CONTROL!$C$32, $C$9, 100%, $E$9)</f>
        <v>14.8042</v>
      </c>
    </row>
    <row r="882" spans="1:15" ht="15" x14ac:dyDescent="0.2">
      <c r="A882" s="16">
        <v>67693</v>
      </c>
      <c r="B882" s="32">
        <f>12.9417 * CHOOSE(CONTROL!$C$32, $C$9, 100%, $E$9)</f>
        <v>12.941700000000001</v>
      </c>
      <c r="C882" s="32">
        <f>12.9417 * CHOOSE(CONTROL!$C$32, $C$9, 100%, $E$9)</f>
        <v>12.941700000000001</v>
      </c>
      <c r="D882" s="32">
        <f>12.9433 * CHOOSE(CONTROL!$C$32, $C$9, 100%, $E$9)</f>
        <v>12.943300000000001</v>
      </c>
      <c r="E882" s="33">
        <f>14.926 * CHOOSE(CONTROL!$C$32, $C$9, 100%, $E$9)</f>
        <v>14.926</v>
      </c>
      <c r="F882" s="33">
        <f>14.926 * CHOOSE(CONTROL!$C$32, $C$9, 100%, $E$9)</f>
        <v>14.926</v>
      </c>
      <c r="G882" s="33">
        <f>14.9313 * CHOOSE(CONTROL!$C$32, $C$9, 100%, $E$9)</f>
        <v>14.9313</v>
      </c>
      <c r="H882" s="33">
        <f>30.2007 * CHOOSE(CONTROL!$C$32, $C$9, 100%, $E$9)</f>
        <v>30.200700000000001</v>
      </c>
      <c r="I882" s="33">
        <f>30.206 * CHOOSE(CONTROL!$C$32, $C$9, 100%, $E$9)</f>
        <v>30.206</v>
      </c>
      <c r="J882" s="33">
        <f>30.2007 * CHOOSE(CONTROL!$C$32, $C$9, 100%, $E$9)</f>
        <v>30.200700000000001</v>
      </c>
      <c r="K882" s="33">
        <f>30.206 * CHOOSE(CONTROL!$C$32, $C$9, 100%, $E$9)</f>
        <v>30.206</v>
      </c>
      <c r="L882" s="33">
        <f>14.926 * CHOOSE(CONTROL!$C$32, $C$9, 100%, $E$9)</f>
        <v>14.926</v>
      </c>
      <c r="M882" s="33">
        <f>14.9313 * CHOOSE(CONTROL!$C$32, $C$9, 100%, $E$9)</f>
        <v>14.9313</v>
      </c>
      <c r="N882" s="33">
        <f>14.926 * CHOOSE(CONTROL!$C$32, $C$9, 100%, $E$9)</f>
        <v>14.926</v>
      </c>
      <c r="O882" s="33">
        <f>14.9313 * CHOOSE(CONTROL!$C$32, $C$9, 100%, $E$9)</f>
        <v>14.9313</v>
      </c>
    </row>
    <row r="883" spans="1:15" ht="15" x14ac:dyDescent="0.2">
      <c r="A883" s="16">
        <v>67724</v>
      </c>
      <c r="B883" s="32">
        <f>12.9478 * CHOOSE(CONTROL!$C$32, $C$9, 100%, $E$9)</f>
        <v>12.947800000000001</v>
      </c>
      <c r="C883" s="32">
        <f>12.9478 * CHOOSE(CONTROL!$C$32, $C$9, 100%, $E$9)</f>
        <v>12.947800000000001</v>
      </c>
      <c r="D883" s="32">
        <f>12.9493 * CHOOSE(CONTROL!$C$32, $C$9, 100%, $E$9)</f>
        <v>12.949299999999999</v>
      </c>
      <c r="E883" s="33">
        <f>14.8048 * CHOOSE(CONTROL!$C$32, $C$9, 100%, $E$9)</f>
        <v>14.8048</v>
      </c>
      <c r="F883" s="33">
        <f>14.8048 * CHOOSE(CONTROL!$C$32, $C$9, 100%, $E$9)</f>
        <v>14.8048</v>
      </c>
      <c r="G883" s="33">
        <f>14.8101 * CHOOSE(CONTROL!$C$32, $C$9, 100%, $E$9)</f>
        <v>14.8101</v>
      </c>
      <c r="H883" s="33">
        <f>30.2636 * CHOOSE(CONTROL!$C$32, $C$9, 100%, $E$9)</f>
        <v>30.2636</v>
      </c>
      <c r="I883" s="33">
        <f>30.2689 * CHOOSE(CONTROL!$C$32, $C$9, 100%, $E$9)</f>
        <v>30.268899999999999</v>
      </c>
      <c r="J883" s="33">
        <f>30.2636 * CHOOSE(CONTROL!$C$32, $C$9, 100%, $E$9)</f>
        <v>30.2636</v>
      </c>
      <c r="K883" s="33">
        <f>30.2689 * CHOOSE(CONTROL!$C$32, $C$9, 100%, $E$9)</f>
        <v>30.268899999999999</v>
      </c>
      <c r="L883" s="33">
        <f>14.8048 * CHOOSE(CONTROL!$C$32, $C$9, 100%, $E$9)</f>
        <v>14.8048</v>
      </c>
      <c r="M883" s="33">
        <f>14.8101 * CHOOSE(CONTROL!$C$32, $C$9, 100%, $E$9)</f>
        <v>14.8101</v>
      </c>
      <c r="N883" s="33">
        <f>14.8048 * CHOOSE(CONTROL!$C$32, $C$9, 100%, $E$9)</f>
        <v>14.8048</v>
      </c>
      <c r="O883" s="33">
        <f>14.8101 * CHOOSE(CONTROL!$C$32, $C$9, 100%, $E$9)</f>
        <v>14.8101</v>
      </c>
    </row>
    <row r="884" spans="1:15" ht="15" x14ac:dyDescent="0.2">
      <c r="A884" s="16">
        <v>67754</v>
      </c>
      <c r="B884" s="32">
        <f>13.1045 * CHOOSE(CONTROL!$C$32, $C$9, 100%, $E$9)</f>
        <v>13.1045</v>
      </c>
      <c r="C884" s="32">
        <f>13.1045 * CHOOSE(CONTROL!$C$32, $C$9, 100%, $E$9)</f>
        <v>13.1045</v>
      </c>
      <c r="D884" s="32">
        <f>13.1061 * CHOOSE(CONTROL!$C$32, $C$9, 100%, $E$9)</f>
        <v>13.1061</v>
      </c>
      <c r="E884" s="33">
        <f>15.0144 * CHOOSE(CONTROL!$C$32, $C$9, 100%, $E$9)</f>
        <v>15.0144</v>
      </c>
      <c r="F884" s="33">
        <f>15.0144 * CHOOSE(CONTROL!$C$32, $C$9, 100%, $E$9)</f>
        <v>15.0144</v>
      </c>
      <c r="G884" s="33">
        <f>15.0197 * CHOOSE(CONTROL!$C$32, $C$9, 100%, $E$9)</f>
        <v>15.0197</v>
      </c>
      <c r="H884" s="33">
        <f>30.3267 * CHOOSE(CONTROL!$C$32, $C$9, 100%, $E$9)</f>
        <v>30.326699999999999</v>
      </c>
      <c r="I884" s="33">
        <f>30.332 * CHOOSE(CONTROL!$C$32, $C$9, 100%, $E$9)</f>
        <v>30.332000000000001</v>
      </c>
      <c r="J884" s="33">
        <f>30.3267 * CHOOSE(CONTROL!$C$32, $C$9, 100%, $E$9)</f>
        <v>30.326699999999999</v>
      </c>
      <c r="K884" s="33">
        <f>30.332 * CHOOSE(CONTROL!$C$32, $C$9, 100%, $E$9)</f>
        <v>30.332000000000001</v>
      </c>
      <c r="L884" s="33">
        <f>15.0144 * CHOOSE(CONTROL!$C$32, $C$9, 100%, $E$9)</f>
        <v>15.0144</v>
      </c>
      <c r="M884" s="33">
        <f>15.0197 * CHOOSE(CONTROL!$C$32, $C$9, 100%, $E$9)</f>
        <v>15.0197</v>
      </c>
      <c r="N884" s="33">
        <f>15.0144 * CHOOSE(CONTROL!$C$32, $C$9, 100%, $E$9)</f>
        <v>15.0144</v>
      </c>
      <c r="O884" s="33">
        <f>15.0197 * CHOOSE(CONTROL!$C$32, $C$9, 100%, $E$9)</f>
        <v>15.0197</v>
      </c>
    </row>
    <row r="885" spans="1:15" ht="15" x14ac:dyDescent="0.2">
      <c r="A885" s="16">
        <v>67785</v>
      </c>
      <c r="B885" s="32">
        <f>13.1112 * CHOOSE(CONTROL!$C$32, $C$9, 100%, $E$9)</f>
        <v>13.1112</v>
      </c>
      <c r="C885" s="32">
        <f>13.1112 * CHOOSE(CONTROL!$C$32, $C$9, 100%, $E$9)</f>
        <v>13.1112</v>
      </c>
      <c r="D885" s="32">
        <f>13.1127 * CHOOSE(CONTROL!$C$32, $C$9, 100%, $E$9)</f>
        <v>13.1127</v>
      </c>
      <c r="E885" s="33">
        <f>14.6427 * CHOOSE(CONTROL!$C$32, $C$9, 100%, $E$9)</f>
        <v>14.6427</v>
      </c>
      <c r="F885" s="33">
        <f>14.6427 * CHOOSE(CONTROL!$C$32, $C$9, 100%, $E$9)</f>
        <v>14.6427</v>
      </c>
      <c r="G885" s="33">
        <f>14.6479 * CHOOSE(CONTROL!$C$32, $C$9, 100%, $E$9)</f>
        <v>14.6479</v>
      </c>
      <c r="H885" s="33">
        <f>30.3898 * CHOOSE(CONTROL!$C$32, $C$9, 100%, $E$9)</f>
        <v>30.389800000000001</v>
      </c>
      <c r="I885" s="33">
        <f>30.3951 * CHOOSE(CONTROL!$C$32, $C$9, 100%, $E$9)</f>
        <v>30.395099999999999</v>
      </c>
      <c r="J885" s="33">
        <f>30.3898 * CHOOSE(CONTROL!$C$32, $C$9, 100%, $E$9)</f>
        <v>30.389800000000001</v>
      </c>
      <c r="K885" s="33">
        <f>30.3951 * CHOOSE(CONTROL!$C$32, $C$9, 100%, $E$9)</f>
        <v>30.395099999999999</v>
      </c>
      <c r="L885" s="33">
        <f>14.6427 * CHOOSE(CONTROL!$C$32, $C$9, 100%, $E$9)</f>
        <v>14.6427</v>
      </c>
      <c r="M885" s="33">
        <f>14.6479 * CHOOSE(CONTROL!$C$32, $C$9, 100%, $E$9)</f>
        <v>14.6479</v>
      </c>
      <c r="N885" s="33">
        <f>14.6427 * CHOOSE(CONTROL!$C$32, $C$9, 100%, $E$9)</f>
        <v>14.6427</v>
      </c>
      <c r="O885" s="33">
        <f>14.6479 * CHOOSE(CONTROL!$C$32, $C$9, 100%, $E$9)</f>
        <v>14.6479</v>
      </c>
    </row>
    <row r="886" spans="1:15" ht="15" x14ac:dyDescent="0.2">
      <c r="A886" s="16">
        <v>67816</v>
      </c>
      <c r="B886" s="32">
        <f>13.1081 * CHOOSE(CONTROL!$C$32, $C$9, 100%, $E$9)</f>
        <v>13.1081</v>
      </c>
      <c r="C886" s="32">
        <f>13.1081 * CHOOSE(CONTROL!$C$32, $C$9, 100%, $E$9)</f>
        <v>13.1081</v>
      </c>
      <c r="D886" s="32">
        <f>13.1097 * CHOOSE(CONTROL!$C$32, $C$9, 100%, $E$9)</f>
        <v>13.1097</v>
      </c>
      <c r="E886" s="33">
        <f>14.5987 * CHOOSE(CONTROL!$C$32, $C$9, 100%, $E$9)</f>
        <v>14.598699999999999</v>
      </c>
      <c r="F886" s="33">
        <f>14.5987 * CHOOSE(CONTROL!$C$32, $C$9, 100%, $E$9)</f>
        <v>14.598699999999999</v>
      </c>
      <c r="G886" s="33">
        <f>14.604 * CHOOSE(CONTROL!$C$32, $C$9, 100%, $E$9)</f>
        <v>14.603999999999999</v>
      </c>
      <c r="H886" s="33">
        <f>30.4532 * CHOOSE(CONTROL!$C$32, $C$9, 100%, $E$9)</f>
        <v>30.453199999999999</v>
      </c>
      <c r="I886" s="33">
        <f>30.4585 * CHOOSE(CONTROL!$C$32, $C$9, 100%, $E$9)</f>
        <v>30.458500000000001</v>
      </c>
      <c r="J886" s="33">
        <f>30.4532 * CHOOSE(CONTROL!$C$32, $C$9, 100%, $E$9)</f>
        <v>30.453199999999999</v>
      </c>
      <c r="K886" s="33">
        <f>30.4585 * CHOOSE(CONTROL!$C$32, $C$9, 100%, $E$9)</f>
        <v>30.458500000000001</v>
      </c>
      <c r="L886" s="33">
        <f>14.5987 * CHOOSE(CONTROL!$C$32, $C$9, 100%, $E$9)</f>
        <v>14.598699999999999</v>
      </c>
      <c r="M886" s="33">
        <f>14.604 * CHOOSE(CONTROL!$C$32, $C$9, 100%, $E$9)</f>
        <v>14.603999999999999</v>
      </c>
      <c r="N886" s="33">
        <f>14.5987 * CHOOSE(CONTROL!$C$32, $C$9, 100%, $E$9)</f>
        <v>14.598699999999999</v>
      </c>
      <c r="O886" s="33">
        <f>14.604 * CHOOSE(CONTROL!$C$32, $C$9, 100%, $E$9)</f>
        <v>14.603999999999999</v>
      </c>
    </row>
    <row r="887" spans="1:15" ht="15" x14ac:dyDescent="0.2">
      <c r="A887" s="16">
        <v>67846</v>
      </c>
      <c r="B887" s="32">
        <f>13.1372 * CHOOSE(CONTROL!$C$32, $C$9, 100%, $E$9)</f>
        <v>13.1372</v>
      </c>
      <c r="C887" s="32">
        <f>13.1372 * CHOOSE(CONTROL!$C$32, $C$9, 100%, $E$9)</f>
        <v>13.1372</v>
      </c>
      <c r="D887" s="32">
        <f>13.1383 * CHOOSE(CONTROL!$C$32, $C$9, 100%, $E$9)</f>
        <v>13.138299999999999</v>
      </c>
      <c r="E887" s="33">
        <f>14.7526 * CHOOSE(CONTROL!$C$32, $C$9, 100%, $E$9)</f>
        <v>14.752599999999999</v>
      </c>
      <c r="F887" s="33">
        <f>14.7526 * CHOOSE(CONTROL!$C$32, $C$9, 100%, $E$9)</f>
        <v>14.752599999999999</v>
      </c>
      <c r="G887" s="33">
        <f>14.7562 * CHOOSE(CONTROL!$C$32, $C$9, 100%, $E$9)</f>
        <v>14.7562</v>
      </c>
      <c r="H887" s="33">
        <f>30.5166 * CHOOSE(CONTROL!$C$32, $C$9, 100%, $E$9)</f>
        <v>30.5166</v>
      </c>
      <c r="I887" s="33">
        <f>30.5202 * CHOOSE(CONTROL!$C$32, $C$9, 100%, $E$9)</f>
        <v>30.520199999999999</v>
      </c>
      <c r="J887" s="33">
        <f>30.5166 * CHOOSE(CONTROL!$C$32, $C$9, 100%, $E$9)</f>
        <v>30.5166</v>
      </c>
      <c r="K887" s="33">
        <f>30.5202 * CHOOSE(CONTROL!$C$32, $C$9, 100%, $E$9)</f>
        <v>30.520199999999999</v>
      </c>
      <c r="L887" s="33">
        <f>14.7526 * CHOOSE(CONTROL!$C$32, $C$9, 100%, $E$9)</f>
        <v>14.752599999999999</v>
      </c>
      <c r="M887" s="33">
        <f>14.7562 * CHOOSE(CONTROL!$C$32, $C$9, 100%, $E$9)</f>
        <v>14.7562</v>
      </c>
      <c r="N887" s="33">
        <f>14.7526 * CHOOSE(CONTROL!$C$32, $C$9, 100%, $E$9)</f>
        <v>14.752599999999999</v>
      </c>
      <c r="O887" s="33">
        <f>14.7562 * CHOOSE(CONTROL!$C$32, $C$9, 100%, $E$9)</f>
        <v>14.7562</v>
      </c>
    </row>
    <row r="888" spans="1:15" ht="15" x14ac:dyDescent="0.2">
      <c r="A888" s="16">
        <v>67877</v>
      </c>
      <c r="B888" s="32">
        <f>13.1403 * CHOOSE(CONTROL!$C$32, $C$9, 100%, $E$9)</f>
        <v>13.1403</v>
      </c>
      <c r="C888" s="32">
        <f>13.1403 * CHOOSE(CONTROL!$C$32, $C$9, 100%, $E$9)</f>
        <v>13.1403</v>
      </c>
      <c r="D888" s="32">
        <f>13.1413 * CHOOSE(CONTROL!$C$32, $C$9, 100%, $E$9)</f>
        <v>13.141299999999999</v>
      </c>
      <c r="E888" s="33">
        <f>14.8383 * CHOOSE(CONTROL!$C$32, $C$9, 100%, $E$9)</f>
        <v>14.8383</v>
      </c>
      <c r="F888" s="33">
        <f>14.8383 * CHOOSE(CONTROL!$C$32, $C$9, 100%, $E$9)</f>
        <v>14.8383</v>
      </c>
      <c r="G888" s="33">
        <f>14.842 * CHOOSE(CONTROL!$C$32, $C$9, 100%, $E$9)</f>
        <v>14.842000000000001</v>
      </c>
      <c r="H888" s="33">
        <f>30.5802 * CHOOSE(CONTROL!$C$32, $C$9, 100%, $E$9)</f>
        <v>30.580200000000001</v>
      </c>
      <c r="I888" s="33">
        <f>30.5838 * CHOOSE(CONTROL!$C$32, $C$9, 100%, $E$9)</f>
        <v>30.5838</v>
      </c>
      <c r="J888" s="33">
        <f>30.5802 * CHOOSE(CONTROL!$C$32, $C$9, 100%, $E$9)</f>
        <v>30.580200000000001</v>
      </c>
      <c r="K888" s="33">
        <f>30.5838 * CHOOSE(CONTROL!$C$32, $C$9, 100%, $E$9)</f>
        <v>30.5838</v>
      </c>
      <c r="L888" s="33">
        <f>14.8383 * CHOOSE(CONTROL!$C$32, $C$9, 100%, $E$9)</f>
        <v>14.8383</v>
      </c>
      <c r="M888" s="33">
        <f>14.842 * CHOOSE(CONTROL!$C$32, $C$9, 100%, $E$9)</f>
        <v>14.842000000000001</v>
      </c>
      <c r="N888" s="33">
        <f>14.8383 * CHOOSE(CONTROL!$C$32, $C$9, 100%, $E$9)</f>
        <v>14.8383</v>
      </c>
      <c r="O888" s="33">
        <f>14.842 * CHOOSE(CONTROL!$C$32, $C$9, 100%, $E$9)</f>
        <v>14.842000000000001</v>
      </c>
    </row>
    <row r="889" spans="1:15" ht="15" x14ac:dyDescent="0.2">
      <c r="A889" s="16">
        <v>67907</v>
      </c>
      <c r="B889" s="32">
        <f>13.1403 * CHOOSE(CONTROL!$C$32, $C$9, 100%, $E$9)</f>
        <v>13.1403</v>
      </c>
      <c r="C889" s="32">
        <f>13.1403 * CHOOSE(CONTROL!$C$32, $C$9, 100%, $E$9)</f>
        <v>13.1403</v>
      </c>
      <c r="D889" s="32">
        <f>13.1413 * CHOOSE(CONTROL!$C$32, $C$9, 100%, $E$9)</f>
        <v>13.141299999999999</v>
      </c>
      <c r="E889" s="33">
        <f>14.6292 * CHOOSE(CONTROL!$C$32, $C$9, 100%, $E$9)</f>
        <v>14.629200000000001</v>
      </c>
      <c r="F889" s="33">
        <f>14.6292 * CHOOSE(CONTROL!$C$32, $C$9, 100%, $E$9)</f>
        <v>14.629200000000001</v>
      </c>
      <c r="G889" s="33">
        <f>14.6328 * CHOOSE(CONTROL!$C$32, $C$9, 100%, $E$9)</f>
        <v>14.6328</v>
      </c>
      <c r="H889" s="33">
        <f>30.6439 * CHOOSE(CONTROL!$C$32, $C$9, 100%, $E$9)</f>
        <v>30.643899999999999</v>
      </c>
      <c r="I889" s="33">
        <f>30.6475 * CHOOSE(CONTROL!$C$32, $C$9, 100%, $E$9)</f>
        <v>30.647500000000001</v>
      </c>
      <c r="J889" s="33">
        <f>30.6439 * CHOOSE(CONTROL!$C$32, $C$9, 100%, $E$9)</f>
        <v>30.643899999999999</v>
      </c>
      <c r="K889" s="33">
        <f>30.6475 * CHOOSE(CONTROL!$C$32, $C$9, 100%, $E$9)</f>
        <v>30.647500000000001</v>
      </c>
      <c r="L889" s="33">
        <f>14.6292 * CHOOSE(CONTROL!$C$32, $C$9, 100%, $E$9)</f>
        <v>14.629200000000001</v>
      </c>
      <c r="M889" s="33">
        <f>14.6328 * CHOOSE(CONTROL!$C$32, $C$9, 100%, $E$9)</f>
        <v>14.6328</v>
      </c>
      <c r="N889" s="33">
        <f>14.6292 * CHOOSE(CONTROL!$C$32, $C$9, 100%, $E$9)</f>
        <v>14.629200000000001</v>
      </c>
      <c r="O889" s="33">
        <f>14.6328 * CHOOSE(CONTROL!$C$32, $C$9, 100%, $E$9)</f>
        <v>14.6328</v>
      </c>
    </row>
    <row r="890" spans="1:15" ht="15" x14ac:dyDescent="0.2">
      <c r="A890" s="16">
        <v>67938</v>
      </c>
      <c r="B890" s="32">
        <f>13.1288 * CHOOSE(CONTROL!$C$32, $C$9, 100%, $E$9)</f>
        <v>13.1288</v>
      </c>
      <c r="C890" s="32">
        <f>13.1288 * CHOOSE(CONTROL!$C$32, $C$9, 100%, $E$9)</f>
        <v>13.1288</v>
      </c>
      <c r="D890" s="32">
        <f>13.1299 * CHOOSE(CONTROL!$C$32, $C$9, 100%, $E$9)</f>
        <v>13.129899999999999</v>
      </c>
      <c r="E890" s="33">
        <f>14.7706 * CHOOSE(CONTROL!$C$32, $C$9, 100%, $E$9)</f>
        <v>14.7706</v>
      </c>
      <c r="F890" s="33">
        <f>14.7706 * CHOOSE(CONTROL!$C$32, $C$9, 100%, $E$9)</f>
        <v>14.7706</v>
      </c>
      <c r="G890" s="33">
        <f>14.7742 * CHOOSE(CONTROL!$C$32, $C$9, 100%, $E$9)</f>
        <v>14.7742</v>
      </c>
      <c r="H890" s="33">
        <f>30.4144 * CHOOSE(CONTROL!$C$32, $C$9, 100%, $E$9)</f>
        <v>30.414400000000001</v>
      </c>
      <c r="I890" s="33">
        <f>30.418 * CHOOSE(CONTROL!$C$32, $C$9, 100%, $E$9)</f>
        <v>30.417999999999999</v>
      </c>
      <c r="J890" s="33">
        <f>30.4144 * CHOOSE(CONTROL!$C$32, $C$9, 100%, $E$9)</f>
        <v>30.414400000000001</v>
      </c>
      <c r="K890" s="33">
        <f>30.418 * CHOOSE(CONTROL!$C$32, $C$9, 100%, $E$9)</f>
        <v>30.417999999999999</v>
      </c>
      <c r="L890" s="33">
        <f>14.7706 * CHOOSE(CONTROL!$C$32, $C$9, 100%, $E$9)</f>
        <v>14.7706</v>
      </c>
      <c r="M890" s="33">
        <f>14.7742 * CHOOSE(CONTROL!$C$32, $C$9, 100%, $E$9)</f>
        <v>14.7742</v>
      </c>
      <c r="N890" s="33">
        <f>14.7706 * CHOOSE(CONTROL!$C$32, $C$9, 100%, $E$9)</f>
        <v>14.7706</v>
      </c>
      <c r="O890" s="33">
        <f>14.7742 * CHOOSE(CONTROL!$C$32, $C$9, 100%, $E$9)</f>
        <v>14.7742</v>
      </c>
    </row>
    <row r="891" spans="1:15" ht="15" x14ac:dyDescent="0.2">
      <c r="A891" s="16">
        <v>67969</v>
      </c>
      <c r="B891" s="32">
        <f>13.1258 * CHOOSE(CONTROL!$C$32, $C$9, 100%, $E$9)</f>
        <v>13.1258</v>
      </c>
      <c r="C891" s="32">
        <f>13.1258 * CHOOSE(CONTROL!$C$32, $C$9, 100%, $E$9)</f>
        <v>13.1258</v>
      </c>
      <c r="D891" s="32">
        <f>13.1268 * CHOOSE(CONTROL!$C$32, $C$9, 100%, $E$9)</f>
        <v>13.126799999999999</v>
      </c>
      <c r="E891" s="33">
        <f>14.3662 * CHOOSE(CONTROL!$C$32, $C$9, 100%, $E$9)</f>
        <v>14.366199999999999</v>
      </c>
      <c r="F891" s="33">
        <f>14.3662 * CHOOSE(CONTROL!$C$32, $C$9, 100%, $E$9)</f>
        <v>14.366199999999999</v>
      </c>
      <c r="G891" s="33">
        <f>14.3698 * CHOOSE(CONTROL!$C$32, $C$9, 100%, $E$9)</f>
        <v>14.3698</v>
      </c>
      <c r="H891" s="33">
        <f>30.4777 * CHOOSE(CONTROL!$C$32, $C$9, 100%, $E$9)</f>
        <v>30.477699999999999</v>
      </c>
      <c r="I891" s="33">
        <f>30.4813 * CHOOSE(CONTROL!$C$32, $C$9, 100%, $E$9)</f>
        <v>30.481300000000001</v>
      </c>
      <c r="J891" s="33">
        <f>30.4777 * CHOOSE(CONTROL!$C$32, $C$9, 100%, $E$9)</f>
        <v>30.477699999999999</v>
      </c>
      <c r="K891" s="33">
        <f>30.4813 * CHOOSE(CONTROL!$C$32, $C$9, 100%, $E$9)</f>
        <v>30.481300000000001</v>
      </c>
      <c r="L891" s="33">
        <f>14.3662 * CHOOSE(CONTROL!$C$32, $C$9, 100%, $E$9)</f>
        <v>14.366199999999999</v>
      </c>
      <c r="M891" s="33">
        <f>14.3698 * CHOOSE(CONTROL!$C$32, $C$9, 100%, $E$9)</f>
        <v>14.3698</v>
      </c>
      <c r="N891" s="33">
        <f>14.3662 * CHOOSE(CONTROL!$C$32, $C$9, 100%, $E$9)</f>
        <v>14.366199999999999</v>
      </c>
      <c r="O891" s="33">
        <f>14.3698 * CHOOSE(CONTROL!$C$32, $C$9, 100%, $E$9)</f>
        <v>14.3698</v>
      </c>
    </row>
    <row r="892" spans="1:15" ht="15" x14ac:dyDescent="0.2">
      <c r="A892" s="16">
        <v>67997</v>
      </c>
      <c r="B892" s="32">
        <f>13.1227 * CHOOSE(CONTROL!$C$32, $C$9, 100%, $E$9)</f>
        <v>13.1227</v>
      </c>
      <c r="C892" s="32">
        <f>13.1227 * CHOOSE(CONTROL!$C$32, $C$9, 100%, $E$9)</f>
        <v>13.1227</v>
      </c>
      <c r="D892" s="32">
        <f>13.1238 * CHOOSE(CONTROL!$C$32, $C$9, 100%, $E$9)</f>
        <v>13.123799999999999</v>
      </c>
      <c r="E892" s="33">
        <f>14.6812 * CHOOSE(CONTROL!$C$32, $C$9, 100%, $E$9)</f>
        <v>14.6812</v>
      </c>
      <c r="F892" s="33">
        <f>14.6812 * CHOOSE(CONTROL!$C$32, $C$9, 100%, $E$9)</f>
        <v>14.6812</v>
      </c>
      <c r="G892" s="33">
        <f>14.6848 * CHOOSE(CONTROL!$C$32, $C$9, 100%, $E$9)</f>
        <v>14.684799999999999</v>
      </c>
      <c r="H892" s="33">
        <f>30.5412 * CHOOSE(CONTROL!$C$32, $C$9, 100%, $E$9)</f>
        <v>30.5412</v>
      </c>
      <c r="I892" s="33">
        <f>30.5448 * CHOOSE(CONTROL!$C$32, $C$9, 100%, $E$9)</f>
        <v>30.544799999999999</v>
      </c>
      <c r="J892" s="33">
        <f>30.5412 * CHOOSE(CONTROL!$C$32, $C$9, 100%, $E$9)</f>
        <v>30.5412</v>
      </c>
      <c r="K892" s="33">
        <f>30.5448 * CHOOSE(CONTROL!$C$32, $C$9, 100%, $E$9)</f>
        <v>30.544799999999999</v>
      </c>
      <c r="L892" s="33">
        <f>14.6812 * CHOOSE(CONTROL!$C$32, $C$9, 100%, $E$9)</f>
        <v>14.6812</v>
      </c>
      <c r="M892" s="33">
        <f>14.6848 * CHOOSE(CONTROL!$C$32, $C$9, 100%, $E$9)</f>
        <v>14.684799999999999</v>
      </c>
      <c r="N892" s="33">
        <f>14.6812 * CHOOSE(CONTROL!$C$32, $C$9, 100%, $E$9)</f>
        <v>14.6812</v>
      </c>
      <c r="O892" s="33">
        <f>14.6848 * CHOOSE(CONTROL!$C$32, $C$9, 100%, $E$9)</f>
        <v>14.684799999999999</v>
      </c>
    </row>
    <row r="893" spans="1:15" ht="15" x14ac:dyDescent="0.2">
      <c r="A893" s="16">
        <v>68028</v>
      </c>
      <c r="B893" s="32">
        <f>13.1292 * CHOOSE(CONTROL!$C$32, $C$9, 100%, $E$9)</f>
        <v>13.129200000000001</v>
      </c>
      <c r="C893" s="32">
        <f>13.1292 * CHOOSE(CONTROL!$C$32, $C$9, 100%, $E$9)</f>
        <v>13.129200000000001</v>
      </c>
      <c r="D893" s="32">
        <f>13.1303 * CHOOSE(CONTROL!$C$32, $C$9, 100%, $E$9)</f>
        <v>13.1303</v>
      </c>
      <c r="E893" s="33">
        <f>15.0175 * CHOOSE(CONTROL!$C$32, $C$9, 100%, $E$9)</f>
        <v>15.0175</v>
      </c>
      <c r="F893" s="33">
        <f>15.0175 * CHOOSE(CONTROL!$C$32, $C$9, 100%, $E$9)</f>
        <v>15.0175</v>
      </c>
      <c r="G893" s="33">
        <f>15.0212 * CHOOSE(CONTROL!$C$32, $C$9, 100%, $E$9)</f>
        <v>15.0212</v>
      </c>
      <c r="H893" s="33">
        <f>30.6048 * CHOOSE(CONTROL!$C$32, $C$9, 100%, $E$9)</f>
        <v>30.604800000000001</v>
      </c>
      <c r="I893" s="33">
        <f>30.6085 * CHOOSE(CONTROL!$C$32, $C$9, 100%, $E$9)</f>
        <v>30.608499999999999</v>
      </c>
      <c r="J893" s="33">
        <f>30.6048 * CHOOSE(CONTROL!$C$32, $C$9, 100%, $E$9)</f>
        <v>30.604800000000001</v>
      </c>
      <c r="K893" s="33">
        <f>30.6085 * CHOOSE(CONTROL!$C$32, $C$9, 100%, $E$9)</f>
        <v>30.608499999999999</v>
      </c>
      <c r="L893" s="33">
        <f>15.0175 * CHOOSE(CONTROL!$C$32, $C$9, 100%, $E$9)</f>
        <v>15.0175</v>
      </c>
      <c r="M893" s="33">
        <f>15.0212 * CHOOSE(CONTROL!$C$32, $C$9, 100%, $E$9)</f>
        <v>15.0212</v>
      </c>
      <c r="N893" s="33">
        <f>15.0175 * CHOOSE(CONTROL!$C$32, $C$9, 100%, $E$9)</f>
        <v>15.0175</v>
      </c>
      <c r="O893" s="33">
        <f>15.0212 * CHOOSE(CONTROL!$C$32, $C$9, 100%, $E$9)</f>
        <v>15.0212</v>
      </c>
    </row>
    <row r="894" spans="1:15" ht="15" x14ac:dyDescent="0.2">
      <c r="A894" s="16">
        <v>68058</v>
      </c>
      <c r="B894" s="32">
        <f>13.1292 * CHOOSE(CONTROL!$C$32, $C$9, 100%, $E$9)</f>
        <v>13.129200000000001</v>
      </c>
      <c r="C894" s="32">
        <f>13.1292 * CHOOSE(CONTROL!$C$32, $C$9, 100%, $E$9)</f>
        <v>13.129200000000001</v>
      </c>
      <c r="D894" s="32">
        <f>13.1308 * CHOOSE(CONTROL!$C$32, $C$9, 100%, $E$9)</f>
        <v>13.130800000000001</v>
      </c>
      <c r="E894" s="33">
        <f>15.1453 * CHOOSE(CONTROL!$C$32, $C$9, 100%, $E$9)</f>
        <v>15.145300000000001</v>
      </c>
      <c r="F894" s="33">
        <f>15.1453 * CHOOSE(CONTROL!$C$32, $C$9, 100%, $E$9)</f>
        <v>15.145300000000001</v>
      </c>
      <c r="G894" s="33">
        <f>15.1506 * CHOOSE(CONTROL!$C$32, $C$9, 100%, $E$9)</f>
        <v>15.150600000000001</v>
      </c>
      <c r="H894" s="33">
        <f>30.6686 * CHOOSE(CONTROL!$C$32, $C$9, 100%, $E$9)</f>
        <v>30.668600000000001</v>
      </c>
      <c r="I894" s="33">
        <f>30.6739 * CHOOSE(CONTROL!$C$32, $C$9, 100%, $E$9)</f>
        <v>30.6739</v>
      </c>
      <c r="J894" s="33">
        <f>30.6686 * CHOOSE(CONTROL!$C$32, $C$9, 100%, $E$9)</f>
        <v>30.668600000000001</v>
      </c>
      <c r="K894" s="33">
        <f>30.6739 * CHOOSE(CONTROL!$C$32, $C$9, 100%, $E$9)</f>
        <v>30.6739</v>
      </c>
      <c r="L894" s="33">
        <f>15.1453 * CHOOSE(CONTROL!$C$32, $C$9, 100%, $E$9)</f>
        <v>15.145300000000001</v>
      </c>
      <c r="M894" s="33">
        <f>15.1506 * CHOOSE(CONTROL!$C$32, $C$9, 100%, $E$9)</f>
        <v>15.150600000000001</v>
      </c>
      <c r="N894" s="33">
        <f>15.1453 * CHOOSE(CONTROL!$C$32, $C$9, 100%, $E$9)</f>
        <v>15.145300000000001</v>
      </c>
      <c r="O894" s="33">
        <f>15.1506 * CHOOSE(CONTROL!$C$32, $C$9, 100%, $E$9)</f>
        <v>15.150600000000001</v>
      </c>
    </row>
    <row r="895" spans="1:15" ht="15" x14ac:dyDescent="0.2">
      <c r="A895" s="16">
        <v>68089</v>
      </c>
      <c r="B895" s="32">
        <f>13.1353 * CHOOSE(CONTROL!$C$32, $C$9, 100%, $E$9)</f>
        <v>13.135300000000001</v>
      </c>
      <c r="C895" s="32">
        <f>13.1353 * CHOOSE(CONTROL!$C$32, $C$9, 100%, $E$9)</f>
        <v>13.135300000000001</v>
      </c>
      <c r="D895" s="32">
        <f>13.1369 * CHOOSE(CONTROL!$C$32, $C$9, 100%, $E$9)</f>
        <v>13.136900000000001</v>
      </c>
      <c r="E895" s="33">
        <f>15.0218 * CHOOSE(CONTROL!$C$32, $C$9, 100%, $E$9)</f>
        <v>15.021800000000001</v>
      </c>
      <c r="F895" s="33">
        <f>15.0218 * CHOOSE(CONTROL!$C$32, $C$9, 100%, $E$9)</f>
        <v>15.021800000000001</v>
      </c>
      <c r="G895" s="33">
        <f>15.0271 * CHOOSE(CONTROL!$C$32, $C$9, 100%, $E$9)</f>
        <v>15.027100000000001</v>
      </c>
      <c r="H895" s="33">
        <f>30.7325 * CHOOSE(CONTROL!$C$32, $C$9, 100%, $E$9)</f>
        <v>30.732500000000002</v>
      </c>
      <c r="I895" s="33">
        <f>30.7378 * CHOOSE(CONTROL!$C$32, $C$9, 100%, $E$9)</f>
        <v>30.7378</v>
      </c>
      <c r="J895" s="33">
        <f>30.7325 * CHOOSE(CONTROL!$C$32, $C$9, 100%, $E$9)</f>
        <v>30.732500000000002</v>
      </c>
      <c r="K895" s="33">
        <f>30.7378 * CHOOSE(CONTROL!$C$32, $C$9, 100%, $E$9)</f>
        <v>30.7378</v>
      </c>
      <c r="L895" s="33">
        <f>15.0218 * CHOOSE(CONTROL!$C$32, $C$9, 100%, $E$9)</f>
        <v>15.021800000000001</v>
      </c>
      <c r="M895" s="33">
        <f>15.0271 * CHOOSE(CONTROL!$C$32, $C$9, 100%, $E$9)</f>
        <v>15.027100000000001</v>
      </c>
      <c r="N895" s="33">
        <f>15.0218 * CHOOSE(CONTROL!$C$32, $C$9, 100%, $E$9)</f>
        <v>15.021800000000001</v>
      </c>
      <c r="O895" s="33">
        <f>15.0271 * CHOOSE(CONTROL!$C$32, $C$9, 100%, $E$9)</f>
        <v>15.027100000000001</v>
      </c>
    </row>
    <row r="896" spans="1:15" ht="15" x14ac:dyDescent="0.2">
      <c r="A896" s="16">
        <v>68119</v>
      </c>
      <c r="B896" s="32">
        <f>13.2941 * CHOOSE(CONTROL!$C$32, $C$9, 100%, $E$9)</f>
        <v>13.2941</v>
      </c>
      <c r="C896" s="32">
        <f>13.2941 * CHOOSE(CONTROL!$C$32, $C$9, 100%, $E$9)</f>
        <v>13.2941</v>
      </c>
      <c r="D896" s="32">
        <f>13.2957 * CHOOSE(CONTROL!$C$32, $C$9, 100%, $E$9)</f>
        <v>13.2957</v>
      </c>
      <c r="E896" s="33">
        <f>15.2346 * CHOOSE(CONTROL!$C$32, $C$9, 100%, $E$9)</f>
        <v>15.2346</v>
      </c>
      <c r="F896" s="33">
        <f>15.2346 * CHOOSE(CONTROL!$C$32, $C$9, 100%, $E$9)</f>
        <v>15.2346</v>
      </c>
      <c r="G896" s="33">
        <f>15.2399 * CHOOSE(CONTROL!$C$32, $C$9, 100%, $E$9)</f>
        <v>15.2399</v>
      </c>
      <c r="H896" s="33">
        <f>30.7965 * CHOOSE(CONTROL!$C$32, $C$9, 100%, $E$9)</f>
        <v>30.796500000000002</v>
      </c>
      <c r="I896" s="33">
        <f>30.8018 * CHOOSE(CONTROL!$C$32, $C$9, 100%, $E$9)</f>
        <v>30.8018</v>
      </c>
      <c r="J896" s="33">
        <f>30.7965 * CHOOSE(CONTROL!$C$32, $C$9, 100%, $E$9)</f>
        <v>30.796500000000002</v>
      </c>
      <c r="K896" s="33">
        <f>30.8018 * CHOOSE(CONTROL!$C$32, $C$9, 100%, $E$9)</f>
        <v>30.8018</v>
      </c>
      <c r="L896" s="33">
        <f>15.2346 * CHOOSE(CONTROL!$C$32, $C$9, 100%, $E$9)</f>
        <v>15.2346</v>
      </c>
      <c r="M896" s="33">
        <f>15.2399 * CHOOSE(CONTROL!$C$32, $C$9, 100%, $E$9)</f>
        <v>15.2399</v>
      </c>
      <c r="N896" s="33">
        <f>15.2346 * CHOOSE(CONTROL!$C$32, $C$9, 100%, $E$9)</f>
        <v>15.2346</v>
      </c>
      <c r="O896" s="33">
        <f>15.2399 * CHOOSE(CONTROL!$C$32, $C$9, 100%, $E$9)</f>
        <v>15.2399</v>
      </c>
    </row>
    <row r="897" spans="1:15" ht="15" x14ac:dyDescent="0.2">
      <c r="A897" s="16">
        <v>68150</v>
      </c>
      <c r="B897" s="32">
        <f>13.3008 * CHOOSE(CONTROL!$C$32, $C$9, 100%, $E$9)</f>
        <v>13.300800000000001</v>
      </c>
      <c r="C897" s="32">
        <f>13.3008 * CHOOSE(CONTROL!$C$32, $C$9, 100%, $E$9)</f>
        <v>13.300800000000001</v>
      </c>
      <c r="D897" s="32">
        <f>13.3023 * CHOOSE(CONTROL!$C$32, $C$9, 100%, $E$9)</f>
        <v>13.302300000000001</v>
      </c>
      <c r="E897" s="33">
        <f>14.8561 * CHOOSE(CONTROL!$C$32, $C$9, 100%, $E$9)</f>
        <v>14.8561</v>
      </c>
      <c r="F897" s="33">
        <f>14.8561 * CHOOSE(CONTROL!$C$32, $C$9, 100%, $E$9)</f>
        <v>14.8561</v>
      </c>
      <c r="G897" s="33">
        <f>14.8614 * CHOOSE(CONTROL!$C$32, $C$9, 100%, $E$9)</f>
        <v>14.8614</v>
      </c>
      <c r="H897" s="33">
        <f>30.8607 * CHOOSE(CONTROL!$C$32, $C$9, 100%, $E$9)</f>
        <v>30.860700000000001</v>
      </c>
      <c r="I897" s="33">
        <f>30.866 * CHOOSE(CONTROL!$C$32, $C$9, 100%, $E$9)</f>
        <v>30.866</v>
      </c>
      <c r="J897" s="33">
        <f>30.8607 * CHOOSE(CONTROL!$C$32, $C$9, 100%, $E$9)</f>
        <v>30.860700000000001</v>
      </c>
      <c r="K897" s="33">
        <f>30.866 * CHOOSE(CONTROL!$C$32, $C$9, 100%, $E$9)</f>
        <v>30.866</v>
      </c>
      <c r="L897" s="33">
        <f>14.8561 * CHOOSE(CONTROL!$C$32, $C$9, 100%, $E$9)</f>
        <v>14.8561</v>
      </c>
      <c r="M897" s="33">
        <f>14.8614 * CHOOSE(CONTROL!$C$32, $C$9, 100%, $E$9)</f>
        <v>14.8614</v>
      </c>
      <c r="N897" s="33">
        <f>14.8561 * CHOOSE(CONTROL!$C$32, $C$9, 100%, $E$9)</f>
        <v>14.8561</v>
      </c>
      <c r="O897" s="33">
        <f>14.8614 * CHOOSE(CONTROL!$C$32, $C$9, 100%, $E$9)</f>
        <v>14.8614</v>
      </c>
    </row>
    <row r="898" spans="1:15" ht="15" x14ac:dyDescent="0.2">
      <c r="A898" s="16">
        <v>68181</v>
      </c>
      <c r="B898" s="32">
        <f>13.2977 * CHOOSE(CONTROL!$C$32, $C$9, 100%, $E$9)</f>
        <v>13.297700000000001</v>
      </c>
      <c r="C898" s="32">
        <f>13.2977 * CHOOSE(CONTROL!$C$32, $C$9, 100%, $E$9)</f>
        <v>13.297700000000001</v>
      </c>
      <c r="D898" s="32">
        <f>13.2993 * CHOOSE(CONTROL!$C$32, $C$9, 100%, $E$9)</f>
        <v>13.299300000000001</v>
      </c>
      <c r="E898" s="33">
        <f>14.8114 * CHOOSE(CONTROL!$C$32, $C$9, 100%, $E$9)</f>
        <v>14.811400000000001</v>
      </c>
      <c r="F898" s="33">
        <f>14.8114 * CHOOSE(CONTROL!$C$32, $C$9, 100%, $E$9)</f>
        <v>14.811400000000001</v>
      </c>
      <c r="G898" s="33">
        <f>14.8167 * CHOOSE(CONTROL!$C$32, $C$9, 100%, $E$9)</f>
        <v>14.816700000000001</v>
      </c>
      <c r="H898" s="33">
        <f>30.925 * CHOOSE(CONTROL!$C$32, $C$9, 100%, $E$9)</f>
        <v>30.925000000000001</v>
      </c>
      <c r="I898" s="33">
        <f>30.9303 * CHOOSE(CONTROL!$C$32, $C$9, 100%, $E$9)</f>
        <v>30.930299999999999</v>
      </c>
      <c r="J898" s="33">
        <f>30.925 * CHOOSE(CONTROL!$C$32, $C$9, 100%, $E$9)</f>
        <v>30.925000000000001</v>
      </c>
      <c r="K898" s="33">
        <f>30.9303 * CHOOSE(CONTROL!$C$32, $C$9, 100%, $E$9)</f>
        <v>30.930299999999999</v>
      </c>
      <c r="L898" s="33">
        <f>14.8114 * CHOOSE(CONTROL!$C$32, $C$9, 100%, $E$9)</f>
        <v>14.811400000000001</v>
      </c>
      <c r="M898" s="33">
        <f>14.8167 * CHOOSE(CONTROL!$C$32, $C$9, 100%, $E$9)</f>
        <v>14.816700000000001</v>
      </c>
      <c r="N898" s="33">
        <f>14.8114 * CHOOSE(CONTROL!$C$32, $C$9, 100%, $E$9)</f>
        <v>14.811400000000001</v>
      </c>
      <c r="O898" s="33">
        <f>14.8167 * CHOOSE(CONTROL!$C$32, $C$9, 100%, $E$9)</f>
        <v>14.816700000000001</v>
      </c>
    </row>
    <row r="899" spans="1:15" ht="15" x14ac:dyDescent="0.2">
      <c r="A899" s="16">
        <v>68211</v>
      </c>
      <c r="B899" s="32">
        <f>13.3275 * CHOOSE(CONTROL!$C$32, $C$9, 100%, $E$9)</f>
        <v>13.327500000000001</v>
      </c>
      <c r="C899" s="32">
        <f>13.3275 * CHOOSE(CONTROL!$C$32, $C$9, 100%, $E$9)</f>
        <v>13.327500000000001</v>
      </c>
      <c r="D899" s="32">
        <f>13.3286 * CHOOSE(CONTROL!$C$32, $C$9, 100%, $E$9)</f>
        <v>13.3286</v>
      </c>
      <c r="E899" s="33">
        <f>14.9683 * CHOOSE(CONTROL!$C$32, $C$9, 100%, $E$9)</f>
        <v>14.968299999999999</v>
      </c>
      <c r="F899" s="33">
        <f>14.9683 * CHOOSE(CONTROL!$C$32, $C$9, 100%, $E$9)</f>
        <v>14.968299999999999</v>
      </c>
      <c r="G899" s="33">
        <f>14.9719 * CHOOSE(CONTROL!$C$32, $C$9, 100%, $E$9)</f>
        <v>14.9719</v>
      </c>
      <c r="H899" s="33">
        <f>30.9894 * CHOOSE(CONTROL!$C$32, $C$9, 100%, $E$9)</f>
        <v>30.9894</v>
      </c>
      <c r="I899" s="33">
        <f>30.993 * CHOOSE(CONTROL!$C$32, $C$9, 100%, $E$9)</f>
        <v>30.992999999999999</v>
      </c>
      <c r="J899" s="33">
        <f>30.9894 * CHOOSE(CONTROL!$C$32, $C$9, 100%, $E$9)</f>
        <v>30.9894</v>
      </c>
      <c r="K899" s="33">
        <f>30.993 * CHOOSE(CONTROL!$C$32, $C$9, 100%, $E$9)</f>
        <v>30.992999999999999</v>
      </c>
      <c r="L899" s="33">
        <f>14.9683 * CHOOSE(CONTROL!$C$32, $C$9, 100%, $E$9)</f>
        <v>14.968299999999999</v>
      </c>
      <c r="M899" s="33">
        <f>14.9719 * CHOOSE(CONTROL!$C$32, $C$9, 100%, $E$9)</f>
        <v>14.9719</v>
      </c>
      <c r="N899" s="33">
        <f>14.9683 * CHOOSE(CONTROL!$C$32, $C$9, 100%, $E$9)</f>
        <v>14.968299999999999</v>
      </c>
      <c r="O899" s="33">
        <f>14.9719 * CHOOSE(CONTROL!$C$32, $C$9, 100%, $E$9)</f>
        <v>14.9719</v>
      </c>
    </row>
    <row r="900" spans="1:15" ht="15" x14ac:dyDescent="0.2">
      <c r="A900" s="16">
        <v>68242</v>
      </c>
      <c r="B900" s="32">
        <f>13.3306 * CHOOSE(CONTROL!$C$32, $C$9, 100%, $E$9)</f>
        <v>13.3306</v>
      </c>
      <c r="C900" s="32">
        <f>13.3306 * CHOOSE(CONTROL!$C$32, $C$9, 100%, $E$9)</f>
        <v>13.3306</v>
      </c>
      <c r="D900" s="32">
        <f>13.3317 * CHOOSE(CONTROL!$C$32, $C$9, 100%, $E$9)</f>
        <v>13.3317</v>
      </c>
      <c r="E900" s="33">
        <f>15.0555 * CHOOSE(CONTROL!$C$32, $C$9, 100%, $E$9)</f>
        <v>15.0555</v>
      </c>
      <c r="F900" s="33">
        <f>15.0555 * CHOOSE(CONTROL!$C$32, $C$9, 100%, $E$9)</f>
        <v>15.0555</v>
      </c>
      <c r="G900" s="33">
        <f>15.0591 * CHOOSE(CONTROL!$C$32, $C$9, 100%, $E$9)</f>
        <v>15.059100000000001</v>
      </c>
      <c r="H900" s="33">
        <f>31.054 * CHOOSE(CONTROL!$C$32, $C$9, 100%, $E$9)</f>
        <v>31.053999999999998</v>
      </c>
      <c r="I900" s="33">
        <f>31.0576 * CHOOSE(CONTROL!$C$32, $C$9, 100%, $E$9)</f>
        <v>31.057600000000001</v>
      </c>
      <c r="J900" s="33">
        <f>31.054 * CHOOSE(CONTROL!$C$32, $C$9, 100%, $E$9)</f>
        <v>31.053999999999998</v>
      </c>
      <c r="K900" s="33">
        <f>31.0576 * CHOOSE(CONTROL!$C$32, $C$9, 100%, $E$9)</f>
        <v>31.057600000000001</v>
      </c>
      <c r="L900" s="33">
        <f>15.0555 * CHOOSE(CONTROL!$C$32, $C$9, 100%, $E$9)</f>
        <v>15.0555</v>
      </c>
      <c r="M900" s="33">
        <f>15.0591 * CHOOSE(CONTROL!$C$32, $C$9, 100%, $E$9)</f>
        <v>15.059100000000001</v>
      </c>
      <c r="N900" s="33">
        <f>15.0555 * CHOOSE(CONTROL!$C$32, $C$9, 100%, $E$9)</f>
        <v>15.0555</v>
      </c>
      <c r="O900" s="33">
        <f>15.0591 * CHOOSE(CONTROL!$C$32, $C$9, 100%, $E$9)</f>
        <v>15.059100000000001</v>
      </c>
    </row>
    <row r="901" spans="1:15" ht="15" x14ac:dyDescent="0.2">
      <c r="A901" s="16">
        <v>68272</v>
      </c>
      <c r="B901" s="32">
        <f>13.3306 * CHOOSE(CONTROL!$C$32, $C$9, 100%, $E$9)</f>
        <v>13.3306</v>
      </c>
      <c r="C901" s="32">
        <f>13.3306 * CHOOSE(CONTROL!$C$32, $C$9, 100%, $E$9)</f>
        <v>13.3306</v>
      </c>
      <c r="D901" s="32">
        <f>13.3317 * CHOOSE(CONTROL!$C$32, $C$9, 100%, $E$9)</f>
        <v>13.3317</v>
      </c>
      <c r="E901" s="33">
        <f>14.8427 * CHOOSE(CONTROL!$C$32, $C$9, 100%, $E$9)</f>
        <v>14.842700000000001</v>
      </c>
      <c r="F901" s="33">
        <f>14.8427 * CHOOSE(CONTROL!$C$32, $C$9, 100%, $E$9)</f>
        <v>14.842700000000001</v>
      </c>
      <c r="G901" s="33">
        <f>14.8463 * CHOOSE(CONTROL!$C$32, $C$9, 100%, $E$9)</f>
        <v>14.846299999999999</v>
      </c>
      <c r="H901" s="33">
        <f>31.1187 * CHOOSE(CONTROL!$C$32, $C$9, 100%, $E$9)</f>
        <v>31.1187</v>
      </c>
      <c r="I901" s="33">
        <f>31.1223 * CHOOSE(CONTROL!$C$32, $C$9, 100%, $E$9)</f>
        <v>31.122299999999999</v>
      </c>
      <c r="J901" s="33">
        <f>31.1187 * CHOOSE(CONTROL!$C$32, $C$9, 100%, $E$9)</f>
        <v>31.1187</v>
      </c>
      <c r="K901" s="33">
        <f>31.1223 * CHOOSE(CONTROL!$C$32, $C$9, 100%, $E$9)</f>
        <v>31.122299999999999</v>
      </c>
      <c r="L901" s="33">
        <f>14.8427 * CHOOSE(CONTROL!$C$32, $C$9, 100%, $E$9)</f>
        <v>14.842700000000001</v>
      </c>
      <c r="M901" s="33">
        <f>14.8463 * CHOOSE(CONTROL!$C$32, $C$9, 100%, $E$9)</f>
        <v>14.846299999999999</v>
      </c>
      <c r="N901" s="33">
        <f>14.8427 * CHOOSE(CONTROL!$C$32, $C$9, 100%, $E$9)</f>
        <v>14.842700000000001</v>
      </c>
      <c r="O901" s="33">
        <f>14.8463 * CHOOSE(CONTROL!$C$32, $C$9, 100%, $E$9)</f>
        <v>14.846299999999999</v>
      </c>
    </row>
    <row r="902" spans="1:15" ht="15" x14ac:dyDescent="0.2">
      <c r="A902" s="16">
        <v>68303</v>
      </c>
      <c r="B902" s="32">
        <f>13.3162 * CHOOSE(CONTROL!$C$32, $C$9, 100%, $E$9)</f>
        <v>13.3162</v>
      </c>
      <c r="C902" s="32">
        <f>13.3162 * CHOOSE(CONTROL!$C$32, $C$9, 100%, $E$9)</f>
        <v>13.3162</v>
      </c>
      <c r="D902" s="32">
        <f>13.3172 * CHOOSE(CONTROL!$C$32, $C$9, 100%, $E$9)</f>
        <v>13.3172</v>
      </c>
      <c r="E902" s="33">
        <f>14.9831 * CHOOSE(CONTROL!$C$32, $C$9, 100%, $E$9)</f>
        <v>14.9831</v>
      </c>
      <c r="F902" s="33">
        <f>14.9831 * CHOOSE(CONTROL!$C$32, $C$9, 100%, $E$9)</f>
        <v>14.9831</v>
      </c>
      <c r="G902" s="33">
        <f>14.9867 * CHOOSE(CONTROL!$C$32, $C$9, 100%, $E$9)</f>
        <v>14.986700000000001</v>
      </c>
      <c r="H902" s="33">
        <f>30.8784 * CHOOSE(CONTROL!$C$32, $C$9, 100%, $E$9)</f>
        <v>30.878399999999999</v>
      </c>
      <c r="I902" s="33">
        <f>30.882 * CHOOSE(CONTROL!$C$32, $C$9, 100%, $E$9)</f>
        <v>30.882000000000001</v>
      </c>
      <c r="J902" s="33">
        <f>30.8784 * CHOOSE(CONTROL!$C$32, $C$9, 100%, $E$9)</f>
        <v>30.878399999999999</v>
      </c>
      <c r="K902" s="33">
        <f>30.882 * CHOOSE(CONTROL!$C$32, $C$9, 100%, $E$9)</f>
        <v>30.882000000000001</v>
      </c>
      <c r="L902" s="33">
        <f>14.9831 * CHOOSE(CONTROL!$C$32, $C$9, 100%, $E$9)</f>
        <v>14.9831</v>
      </c>
      <c r="M902" s="33">
        <f>14.9867 * CHOOSE(CONTROL!$C$32, $C$9, 100%, $E$9)</f>
        <v>14.986700000000001</v>
      </c>
      <c r="N902" s="33">
        <f>14.9831 * CHOOSE(CONTROL!$C$32, $C$9, 100%, $E$9)</f>
        <v>14.9831</v>
      </c>
      <c r="O902" s="33">
        <f>14.9867 * CHOOSE(CONTROL!$C$32, $C$9, 100%, $E$9)</f>
        <v>14.986700000000001</v>
      </c>
    </row>
    <row r="903" spans="1:15" ht="15" x14ac:dyDescent="0.2">
      <c r="A903" s="16">
        <v>68334</v>
      </c>
      <c r="B903" s="32">
        <f>13.3131 * CHOOSE(CONTROL!$C$32, $C$9, 100%, $E$9)</f>
        <v>13.3131</v>
      </c>
      <c r="C903" s="32">
        <f>13.3131 * CHOOSE(CONTROL!$C$32, $C$9, 100%, $E$9)</f>
        <v>13.3131</v>
      </c>
      <c r="D903" s="32">
        <f>13.3142 * CHOOSE(CONTROL!$C$32, $C$9, 100%, $E$9)</f>
        <v>13.3142</v>
      </c>
      <c r="E903" s="33">
        <f>14.5716 * CHOOSE(CONTROL!$C$32, $C$9, 100%, $E$9)</f>
        <v>14.5716</v>
      </c>
      <c r="F903" s="33">
        <f>14.5716 * CHOOSE(CONTROL!$C$32, $C$9, 100%, $E$9)</f>
        <v>14.5716</v>
      </c>
      <c r="G903" s="33">
        <f>14.5752 * CHOOSE(CONTROL!$C$32, $C$9, 100%, $E$9)</f>
        <v>14.575200000000001</v>
      </c>
      <c r="H903" s="33">
        <f>30.9427 * CHOOSE(CONTROL!$C$32, $C$9, 100%, $E$9)</f>
        <v>30.942699999999999</v>
      </c>
      <c r="I903" s="33">
        <f>30.9463 * CHOOSE(CONTROL!$C$32, $C$9, 100%, $E$9)</f>
        <v>30.946300000000001</v>
      </c>
      <c r="J903" s="33">
        <f>30.9427 * CHOOSE(CONTROL!$C$32, $C$9, 100%, $E$9)</f>
        <v>30.942699999999999</v>
      </c>
      <c r="K903" s="33">
        <f>30.9463 * CHOOSE(CONTROL!$C$32, $C$9, 100%, $E$9)</f>
        <v>30.946300000000001</v>
      </c>
      <c r="L903" s="33">
        <f>14.5716 * CHOOSE(CONTROL!$C$32, $C$9, 100%, $E$9)</f>
        <v>14.5716</v>
      </c>
      <c r="M903" s="33">
        <f>14.5752 * CHOOSE(CONTROL!$C$32, $C$9, 100%, $E$9)</f>
        <v>14.575200000000001</v>
      </c>
      <c r="N903" s="33">
        <f>14.5716 * CHOOSE(CONTROL!$C$32, $C$9, 100%, $E$9)</f>
        <v>14.5716</v>
      </c>
      <c r="O903" s="33">
        <f>14.5752 * CHOOSE(CONTROL!$C$32, $C$9, 100%, $E$9)</f>
        <v>14.575200000000001</v>
      </c>
    </row>
    <row r="904" spans="1:15" ht="15" x14ac:dyDescent="0.2">
      <c r="A904" s="16">
        <v>68362</v>
      </c>
      <c r="B904" s="32">
        <f>13.3101 * CHOOSE(CONTROL!$C$32, $C$9, 100%, $E$9)</f>
        <v>13.3101</v>
      </c>
      <c r="C904" s="32">
        <f>13.3101 * CHOOSE(CONTROL!$C$32, $C$9, 100%, $E$9)</f>
        <v>13.3101</v>
      </c>
      <c r="D904" s="32">
        <f>13.3112 * CHOOSE(CONTROL!$C$32, $C$9, 100%, $E$9)</f>
        <v>13.311199999999999</v>
      </c>
      <c r="E904" s="33">
        <f>14.8922 * CHOOSE(CONTROL!$C$32, $C$9, 100%, $E$9)</f>
        <v>14.892200000000001</v>
      </c>
      <c r="F904" s="33">
        <f>14.8922 * CHOOSE(CONTROL!$C$32, $C$9, 100%, $E$9)</f>
        <v>14.892200000000001</v>
      </c>
      <c r="G904" s="33">
        <f>14.8958 * CHOOSE(CONTROL!$C$32, $C$9, 100%, $E$9)</f>
        <v>14.895799999999999</v>
      </c>
      <c r="H904" s="33">
        <f>31.0072 * CHOOSE(CONTROL!$C$32, $C$9, 100%, $E$9)</f>
        <v>31.007200000000001</v>
      </c>
      <c r="I904" s="33">
        <f>31.0108 * CHOOSE(CONTROL!$C$32, $C$9, 100%, $E$9)</f>
        <v>31.0108</v>
      </c>
      <c r="J904" s="33">
        <f>31.0072 * CHOOSE(CONTROL!$C$32, $C$9, 100%, $E$9)</f>
        <v>31.007200000000001</v>
      </c>
      <c r="K904" s="33">
        <f>31.0108 * CHOOSE(CONTROL!$C$32, $C$9, 100%, $E$9)</f>
        <v>31.0108</v>
      </c>
      <c r="L904" s="33">
        <f>14.8922 * CHOOSE(CONTROL!$C$32, $C$9, 100%, $E$9)</f>
        <v>14.892200000000001</v>
      </c>
      <c r="M904" s="33">
        <f>14.8958 * CHOOSE(CONTROL!$C$32, $C$9, 100%, $E$9)</f>
        <v>14.895799999999999</v>
      </c>
      <c r="N904" s="33">
        <f>14.8922 * CHOOSE(CONTROL!$C$32, $C$9, 100%, $E$9)</f>
        <v>14.892200000000001</v>
      </c>
      <c r="O904" s="33">
        <f>14.8958 * CHOOSE(CONTROL!$C$32, $C$9, 100%, $E$9)</f>
        <v>14.895799999999999</v>
      </c>
    </row>
    <row r="905" spans="1:15" ht="15" x14ac:dyDescent="0.2">
      <c r="A905" s="16">
        <v>68393</v>
      </c>
      <c r="B905" s="32">
        <f>13.3168 * CHOOSE(CONTROL!$C$32, $C$9, 100%, $E$9)</f>
        <v>13.316800000000001</v>
      </c>
      <c r="C905" s="32">
        <f>13.3168 * CHOOSE(CONTROL!$C$32, $C$9, 100%, $E$9)</f>
        <v>13.316800000000001</v>
      </c>
      <c r="D905" s="32">
        <f>13.3178 * CHOOSE(CONTROL!$C$32, $C$9, 100%, $E$9)</f>
        <v>13.3178</v>
      </c>
      <c r="E905" s="33">
        <f>15.2346 * CHOOSE(CONTROL!$C$32, $C$9, 100%, $E$9)</f>
        <v>15.2346</v>
      </c>
      <c r="F905" s="33">
        <f>15.2346 * CHOOSE(CONTROL!$C$32, $C$9, 100%, $E$9)</f>
        <v>15.2346</v>
      </c>
      <c r="G905" s="33">
        <f>15.2382 * CHOOSE(CONTROL!$C$32, $C$9, 100%, $E$9)</f>
        <v>15.238200000000001</v>
      </c>
      <c r="H905" s="33">
        <f>31.0718 * CHOOSE(CONTROL!$C$32, $C$9, 100%, $E$9)</f>
        <v>31.0718</v>
      </c>
      <c r="I905" s="33">
        <f>31.0754 * CHOOSE(CONTROL!$C$32, $C$9, 100%, $E$9)</f>
        <v>31.075399999999998</v>
      </c>
      <c r="J905" s="33">
        <f>31.0718 * CHOOSE(CONTROL!$C$32, $C$9, 100%, $E$9)</f>
        <v>31.0718</v>
      </c>
      <c r="K905" s="33">
        <f>31.0754 * CHOOSE(CONTROL!$C$32, $C$9, 100%, $E$9)</f>
        <v>31.075399999999998</v>
      </c>
      <c r="L905" s="33">
        <f>15.2346 * CHOOSE(CONTROL!$C$32, $C$9, 100%, $E$9)</f>
        <v>15.2346</v>
      </c>
      <c r="M905" s="33">
        <f>15.2382 * CHOOSE(CONTROL!$C$32, $C$9, 100%, $E$9)</f>
        <v>15.238200000000001</v>
      </c>
      <c r="N905" s="33">
        <f>15.2346 * CHOOSE(CONTROL!$C$32, $C$9, 100%, $E$9)</f>
        <v>15.2346</v>
      </c>
      <c r="O905" s="33">
        <f>15.2382 * CHOOSE(CONTROL!$C$32, $C$9, 100%, $E$9)</f>
        <v>15.238200000000001</v>
      </c>
    </row>
    <row r="906" spans="1:15" ht="15" x14ac:dyDescent="0.2">
      <c r="A906" s="16">
        <v>68423</v>
      </c>
      <c r="B906" s="32">
        <f>13.3168 * CHOOSE(CONTROL!$C$32, $C$9, 100%, $E$9)</f>
        <v>13.316800000000001</v>
      </c>
      <c r="C906" s="32">
        <f>13.3168 * CHOOSE(CONTROL!$C$32, $C$9, 100%, $E$9)</f>
        <v>13.316800000000001</v>
      </c>
      <c r="D906" s="32">
        <f>13.3183 * CHOOSE(CONTROL!$C$32, $C$9, 100%, $E$9)</f>
        <v>13.318300000000001</v>
      </c>
      <c r="E906" s="33">
        <f>15.3645 * CHOOSE(CONTROL!$C$32, $C$9, 100%, $E$9)</f>
        <v>15.3645</v>
      </c>
      <c r="F906" s="33">
        <f>15.3645 * CHOOSE(CONTROL!$C$32, $C$9, 100%, $E$9)</f>
        <v>15.3645</v>
      </c>
      <c r="G906" s="33">
        <f>15.3698 * CHOOSE(CONTROL!$C$32, $C$9, 100%, $E$9)</f>
        <v>15.3698</v>
      </c>
      <c r="H906" s="33">
        <f>31.1365 * CHOOSE(CONTROL!$C$32, $C$9, 100%, $E$9)</f>
        <v>31.136500000000002</v>
      </c>
      <c r="I906" s="33">
        <f>31.1418 * CHOOSE(CONTROL!$C$32, $C$9, 100%, $E$9)</f>
        <v>31.1418</v>
      </c>
      <c r="J906" s="33">
        <f>31.1365 * CHOOSE(CONTROL!$C$32, $C$9, 100%, $E$9)</f>
        <v>31.136500000000002</v>
      </c>
      <c r="K906" s="33">
        <f>31.1418 * CHOOSE(CONTROL!$C$32, $C$9, 100%, $E$9)</f>
        <v>31.1418</v>
      </c>
      <c r="L906" s="33">
        <f>15.3645 * CHOOSE(CONTROL!$C$32, $C$9, 100%, $E$9)</f>
        <v>15.3645</v>
      </c>
      <c r="M906" s="33">
        <f>15.3698 * CHOOSE(CONTROL!$C$32, $C$9, 100%, $E$9)</f>
        <v>15.3698</v>
      </c>
      <c r="N906" s="33">
        <f>15.3645 * CHOOSE(CONTROL!$C$32, $C$9, 100%, $E$9)</f>
        <v>15.3645</v>
      </c>
      <c r="O906" s="33">
        <f>15.3698 * CHOOSE(CONTROL!$C$32, $C$9, 100%, $E$9)</f>
        <v>15.3698</v>
      </c>
    </row>
    <row r="907" spans="1:15" ht="15" x14ac:dyDescent="0.2">
      <c r="A907" s="16">
        <v>68454</v>
      </c>
      <c r="B907" s="32">
        <f>13.3229 * CHOOSE(CONTROL!$C$32, $C$9, 100%, $E$9)</f>
        <v>13.322900000000001</v>
      </c>
      <c r="C907" s="32">
        <f>13.3229 * CHOOSE(CONTROL!$C$32, $C$9, 100%, $E$9)</f>
        <v>13.322900000000001</v>
      </c>
      <c r="D907" s="32">
        <f>13.3244 * CHOOSE(CONTROL!$C$32, $C$9, 100%, $E$9)</f>
        <v>13.324400000000001</v>
      </c>
      <c r="E907" s="33">
        <f>15.2388 * CHOOSE(CONTROL!$C$32, $C$9, 100%, $E$9)</f>
        <v>15.238799999999999</v>
      </c>
      <c r="F907" s="33">
        <f>15.2388 * CHOOSE(CONTROL!$C$32, $C$9, 100%, $E$9)</f>
        <v>15.238799999999999</v>
      </c>
      <c r="G907" s="33">
        <f>15.2441 * CHOOSE(CONTROL!$C$32, $C$9, 100%, $E$9)</f>
        <v>15.2441</v>
      </c>
      <c r="H907" s="33">
        <f>31.2014 * CHOOSE(CONTROL!$C$32, $C$9, 100%, $E$9)</f>
        <v>31.2014</v>
      </c>
      <c r="I907" s="33">
        <f>31.2067 * CHOOSE(CONTROL!$C$32, $C$9, 100%, $E$9)</f>
        <v>31.206700000000001</v>
      </c>
      <c r="J907" s="33">
        <f>31.2014 * CHOOSE(CONTROL!$C$32, $C$9, 100%, $E$9)</f>
        <v>31.2014</v>
      </c>
      <c r="K907" s="33">
        <f>31.2067 * CHOOSE(CONTROL!$C$32, $C$9, 100%, $E$9)</f>
        <v>31.206700000000001</v>
      </c>
      <c r="L907" s="33">
        <f>15.2388 * CHOOSE(CONTROL!$C$32, $C$9, 100%, $E$9)</f>
        <v>15.238799999999999</v>
      </c>
      <c r="M907" s="33">
        <f>15.2441 * CHOOSE(CONTROL!$C$32, $C$9, 100%, $E$9)</f>
        <v>15.2441</v>
      </c>
      <c r="N907" s="33">
        <f>15.2388 * CHOOSE(CONTROL!$C$32, $C$9, 100%, $E$9)</f>
        <v>15.238799999999999</v>
      </c>
      <c r="O907" s="33">
        <f>15.2441 * CHOOSE(CONTROL!$C$32, $C$9, 100%, $E$9)</f>
        <v>15.2441</v>
      </c>
    </row>
    <row r="908" spans="1:15" ht="15" x14ac:dyDescent="0.2">
      <c r="A908" s="16">
        <v>68484</v>
      </c>
      <c r="B908" s="32">
        <f>13.4837 * CHOOSE(CONTROL!$C$32, $C$9, 100%, $E$9)</f>
        <v>13.483700000000001</v>
      </c>
      <c r="C908" s="32">
        <f>13.4837 * CHOOSE(CONTROL!$C$32, $C$9, 100%, $E$9)</f>
        <v>13.483700000000001</v>
      </c>
      <c r="D908" s="32">
        <f>13.4853 * CHOOSE(CONTROL!$C$32, $C$9, 100%, $E$9)</f>
        <v>13.485300000000001</v>
      </c>
      <c r="E908" s="33">
        <f>15.4548 * CHOOSE(CONTROL!$C$32, $C$9, 100%, $E$9)</f>
        <v>15.454800000000001</v>
      </c>
      <c r="F908" s="33">
        <f>15.4548 * CHOOSE(CONTROL!$C$32, $C$9, 100%, $E$9)</f>
        <v>15.454800000000001</v>
      </c>
      <c r="G908" s="33">
        <f>15.4601 * CHOOSE(CONTROL!$C$32, $C$9, 100%, $E$9)</f>
        <v>15.460100000000001</v>
      </c>
      <c r="H908" s="33">
        <f>31.2664 * CHOOSE(CONTROL!$C$32, $C$9, 100%, $E$9)</f>
        <v>31.266400000000001</v>
      </c>
      <c r="I908" s="33">
        <f>31.2717 * CHOOSE(CONTROL!$C$32, $C$9, 100%, $E$9)</f>
        <v>31.271699999999999</v>
      </c>
      <c r="J908" s="33">
        <f>31.2664 * CHOOSE(CONTROL!$C$32, $C$9, 100%, $E$9)</f>
        <v>31.266400000000001</v>
      </c>
      <c r="K908" s="33">
        <f>31.2717 * CHOOSE(CONTROL!$C$32, $C$9, 100%, $E$9)</f>
        <v>31.271699999999999</v>
      </c>
      <c r="L908" s="33">
        <f>15.4548 * CHOOSE(CONTROL!$C$32, $C$9, 100%, $E$9)</f>
        <v>15.454800000000001</v>
      </c>
      <c r="M908" s="33">
        <f>15.4601 * CHOOSE(CONTROL!$C$32, $C$9, 100%, $E$9)</f>
        <v>15.460100000000001</v>
      </c>
      <c r="N908" s="33">
        <f>15.4548 * CHOOSE(CONTROL!$C$32, $C$9, 100%, $E$9)</f>
        <v>15.454800000000001</v>
      </c>
      <c r="O908" s="33">
        <f>15.4601 * CHOOSE(CONTROL!$C$32, $C$9, 100%, $E$9)</f>
        <v>15.460100000000001</v>
      </c>
    </row>
    <row r="909" spans="1:15" ht="15" x14ac:dyDescent="0.2">
      <c r="A909" s="16">
        <v>68515</v>
      </c>
      <c r="B909" s="32">
        <f>13.4904 * CHOOSE(CONTROL!$C$32, $C$9, 100%, $E$9)</f>
        <v>13.490399999999999</v>
      </c>
      <c r="C909" s="32">
        <f>13.4904 * CHOOSE(CONTROL!$C$32, $C$9, 100%, $E$9)</f>
        <v>13.490399999999999</v>
      </c>
      <c r="D909" s="32">
        <f>13.4919 * CHOOSE(CONTROL!$C$32, $C$9, 100%, $E$9)</f>
        <v>13.491899999999999</v>
      </c>
      <c r="E909" s="33">
        <f>15.0695 * CHOOSE(CONTROL!$C$32, $C$9, 100%, $E$9)</f>
        <v>15.0695</v>
      </c>
      <c r="F909" s="33">
        <f>15.0695 * CHOOSE(CONTROL!$C$32, $C$9, 100%, $E$9)</f>
        <v>15.0695</v>
      </c>
      <c r="G909" s="33">
        <f>15.0748 * CHOOSE(CONTROL!$C$32, $C$9, 100%, $E$9)</f>
        <v>15.0748</v>
      </c>
      <c r="H909" s="33">
        <f>31.3315 * CHOOSE(CONTROL!$C$32, $C$9, 100%, $E$9)</f>
        <v>31.331499999999998</v>
      </c>
      <c r="I909" s="33">
        <f>31.3368 * CHOOSE(CONTROL!$C$32, $C$9, 100%, $E$9)</f>
        <v>31.3368</v>
      </c>
      <c r="J909" s="33">
        <f>31.3315 * CHOOSE(CONTROL!$C$32, $C$9, 100%, $E$9)</f>
        <v>31.331499999999998</v>
      </c>
      <c r="K909" s="33">
        <f>31.3368 * CHOOSE(CONTROL!$C$32, $C$9, 100%, $E$9)</f>
        <v>31.3368</v>
      </c>
      <c r="L909" s="33">
        <f>15.0695 * CHOOSE(CONTROL!$C$32, $C$9, 100%, $E$9)</f>
        <v>15.0695</v>
      </c>
      <c r="M909" s="33">
        <f>15.0748 * CHOOSE(CONTROL!$C$32, $C$9, 100%, $E$9)</f>
        <v>15.0748</v>
      </c>
      <c r="N909" s="33">
        <f>15.0695 * CHOOSE(CONTROL!$C$32, $C$9, 100%, $E$9)</f>
        <v>15.0695</v>
      </c>
      <c r="O909" s="33">
        <f>15.0748 * CHOOSE(CONTROL!$C$32, $C$9, 100%, $E$9)</f>
        <v>15.0748</v>
      </c>
    </row>
    <row r="910" spans="1:15" ht="15" x14ac:dyDescent="0.2">
      <c r="A910" s="16">
        <v>68546</v>
      </c>
      <c r="B910" s="32">
        <f>13.4873 * CHOOSE(CONTROL!$C$32, $C$9, 100%, $E$9)</f>
        <v>13.487299999999999</v>
      </c>
      <c r="C910" s="32">
        <f>13.4873 * CHOOSE(CONTROL!$C$32, $C$9, 100%, $E$9)</f>
        <v>13.487299999999999</v>
      </c>
      <c r="D910" s="32">
        <f>13.4889 * CHOOSE(CONTROL!$C$32, $C$9, 100%, $E$9)</f>
        <v>13.488899999999999</v>
      </c>
      <c r="E910" s="33">
        <f>15.0241 * CHOOSE(CONTROL!$C$32, $C$9, 100%, $E$9)</f>
        <v>15.024100000000001</v>
      </c>
      <c r="F910" s="33">
        <f>15.0241 * CHOOSE(CONTROL!$C$32, $C$9, 100%, $E$9)</f>
        <v>15.024100000000001</v>
      </c>
      <c r="G910" s="33">
        <f>15.0294 * CHOOSE(CONTROL!$C$32, $C$9, 100%, $E$9)</f>
        <v>15.029400000000001</v>
      </c>
      <c r="H910" s="33">
        <f>31.3968 * CHOOSE(CONTROL!$C$32, $C$9, 100%, $E$9)</f>
        <v>31.396799999999999</v>
      </c>
      <c r="I910" s="33">
        <f>31.4021 * CHOOSE(CONTROL!$C$32, $C$9, 100%, $E$9)</f>
        <v>31.402100000000001</v>
      </c>
      <c r="J910" s="33">
        <f>31.3968 * CHOOSE(CONTROL!$C$32, $C$9, 100%, $E$9)</f>
        <v>31.396799999999999</v>
      </c>
      <c r="K910" s="33">
        <f>31.4021 * CHOOSE(CONTROL!$C$32, $C$9, 100%, $E$9)</f>
        <v>31.402100000000001</v>
      </c>
      <c r="L910" s="33">
        <f>15.0241 * CHOOSE(CONTROL!$C$32, $C$9, 100%, $E$9)</f>
        <v>15.024100000000001</v>
      </c>
      <c r="M910" s="33">
        <f>15.0294 * CHOOSE(CONTROL!$C$32, $C$9, 100%, $E$9)</f>
        <v>15.029400000000001</v>
      </c>
      <c r="N910" s="33">
        <f>15.0241 * CHOOSE(CONTROL!$C$32, $C$9, 100%, $E$9)</f>
        <v>15.024100000000001</v>
      </c>
      <c r="O910" s="33">
        <f>15.0294 * CHOOSE(CONTROL!$C$32, $C$9, 100%, $E$9)</f>
        <v>15.029400000000001</v>
      </c>
    </row>
    <row r="911" spans="1:15" ht="15" x14ac:dyDescent="0.2">
      <c r="A911" s="16">
        <v>68576</v>
      </c>
      <c r="B911" s="32">
        <f>13.5179 * CHOOSE(CONTROL!$C$32, $C$9, 100%, $E$9)</f>
        <v>13.517899999999999</v>
      </c>
      <c r="C911" s="32">
        <f>13.5179 * CHOOSE(CONTROL!$C$32, $C$9, 100%, $E$9)</f>
        <v>13.517899999999999</v>
      </c>
      <c r="D911" s="32">
        <f>13.5189 * CHOOSE(CONTROL!$C$32, $C$9, 100%, $E$9)</f>
        <v>13.5189</v>
      </c>
      <c r="E911" s="33">
        <f>15.1839 * CHOOSE(CONTROL!$C$32, $C$9, 100%, $E$9)</f>
        <v>15.1839</v>
      </c>
      <c r="F911" s="33">
        <f>15.1839 * CHOOSE(CONTROL!$C$32, $C$9, 100%, $E$9)</f>
        <v>15.1839</v>
      </c>
      <c r="G911" s="33">
        <f>15.1876 * CHOOSE(CONTROL!$C$32, $C$9, 100%, $E$9)</f>
        <v>15.1876</v>
      </c>
      <c r="H911" s="33">
        <f>31.4622 * CHOOSE(CONTROL!$C$32, $C$9, 100%, $E$9)</f>
        <v>31.462199999999999</v>
      </c>
      <c r="I911" s="33">
        <f>31.4658 * CHOOSE(CONTROL!$C$32, $C$9, 100%, $E$9)</f>
        <v>31.465800000000002</v>
      </c>
      <c r="J911" s="33">
        <f>31.4622 * CHOOSE(CONTROL!$C$32, $C$9, 100%, $E$9)</f>
        <v>31.462199999999999</v>
      </c>
      <c r="K911" s="33">
        <f>31.4658 * CHOOSE(CONTROL!$C$32, $C$9, 100%, $E$9)</f>
        <v>31.465800000000002</v>
      </c>
      <c r="L911" s="33">
        <f>15.1839 * CHOOSE(CONTROL!$C$32, $C$9, 100%, $E$9)</f>
        <v>15.1839</v>
      </c>
      <c r="M911" s="33">
        <f>15.1876 * CHOOSE(CONTROL!$C$32, $C$9, 100%, $E$9)</f>
        <v>15.1876</v>
      </c>
      <c r="N911" s="33">
        <f>15.1839 * CHOOSE(CONTROL!$C$32, $C$9, 100%, $E$9)</f>
        <v>15.1839</v>
      </c>
      <c r="O911" s="33">
        <f>15.1876 * CHOOSE(CONTROL!$C$32, $C$9, 100%, $E$9)</f>
        <v>15.1876</v>
      </c>
    </row>
    <row r="912" spans="1:15" ht="15" x14ac:dyDescent="0.2">
      <c r="A912" s="16">
        <v>68607</v>
      </c>
      <c r="B912" s="32">
        <f>13.5209 * CHOOSE(CONTROL!$C$32, $C$9, 100%, $E$9)</f>
        <v>13.520899999999999</v>
      </c>
      <c r="C912" s="32">
        <f>13.5209 * CHOOSE(CONTROL!$C$32, $C$9, 100%, $E$9)</f>
        <v>13.520899999999999</v>
      </c>
      <c r="D912" s="32">
        <f>13.522 * CHOOSE(CONTROL!$C$32, $C$9, 100%, $E$9)</f>
        <v>13.522</v>
      </c>
      <c r="E912" s="33">
        <f>15.2727 * CHOOSE(CONTROL!$C$32, $C$9, 100%, $E$9)</f>
        <v>15.2727</v>
      </c>
      <c r="F912" s="33">
        <f>15.2727 * CHOOSE(CONTROL!$C$32, $C$9, 100%, $E$9)</f>
        <v>15.2727</v>
      </c>
      <c r="G912" s="33">
        <f>15.2763 * CHOOSE(CONTROL!$C$32, $C$9, 100%, $E$9)</f>
        <v>15.276300000000001</v>
      </c>
      <c r="H912" s="33">
        <f>31.5278 * CHOOSE(CONTROL!$C$32, $C$9, 100%, $E$9)</f>
        <v>31.527799999999999</v>
      </c>
      <c r="I912" s="33">
        <f>31.5314 * CHOOSE(CONTROL!$C$32, $C$9, 100%, $E$9)</f>
        <v>31.531400000000001</v>
      </c>
      <c r="J912" s="33">
        <f>31.5278 * CHOOSE(CONTROL!$C$32, $C$9, 100%, $E$9)</f>
        <v>31.527799999999999</v>
      </c>
      <c r="K912" s="33">
        <f>31.5314 * CHOOSE(CONTROL!$C$32, $C$9, 100%, $E$9)</f>
        <v>31.531400000000001</v>
      </c>
      <c r="L912" s="33">
        <f>15.2727 * CHOOSE(CONTROL!$C$32, $C$9, 100%, $E$9)</f>
        <v>15.2727</v>
      </c>
      <c r="M912" s="33">
        <f>15.2763 * CHOOSE(CONTROL!$C$32, $C$9, 100%, $E$9)</f>
        <v>15.276300000000001</v>
      </c>
      <c r="N912" s="33">
        <f>15.2727 * CHOOSE(CONTROL!$C$32, $C$9, 100%, $E$9)</f>
        <v>15.2727</v>
      </c>
      <c r="O912" s="33">
        <f>15.2763 * CHOOSE(CONTROL!$C$32, $C$9, 100%, $E$9)</f>
        <v>15.276300000000001</v>
      </c>
    </row>
    <row r="913" spans="1:15" ht="15" x14ac:dyDescent="0.2">
      <c r="A913" s="16">
        <v>68637</v>
      </c>
      <c r="B913" s="32">
        <f>13.5209 * CHOOSE(CONTROL!$C$32, $C$9, 100%, $E$9)</f>
        <v>13.520899999999999</v>
      </c>
      <c r="C913" s="32">
        <f>13.5209 * CHOOSE(CONTROL!$C$32, $C$9, 100%, $E$9)</f>
        <v>13.520899999999999</v>
      </c>
      <c r="D913" s="32">
        <f>13.522 * CHOOSE(CONTROL!$C$32, $C$9, 100%, $E$9)</f>
        <v>13.522</v>
      </c>
      <c r="E913" s="33">
        <f>15.0561 * CHOOSE(CONTROL!$C$32, $C$9, 100%, $E$9)</f>
        <v>15.056100000000001</v>
      </c>
      <c r="F913" s="33">
        <f>15.0561 * CHOOSE(CONTROL!$C$32, $C$9, 100%, $E$9)</f>
        <v>15.056100000000001</v>
      </c>
      <c r="G913" s="33">
        <f>15.0597 * CHOOSE(CONTROL!$C$32, $C$9, 100%, $E$9)</f>
        <v>15.059699999999999</v>
      </c>
      <c r="H913" s="33">
        <f>31.5934 * CHOOSE(CONTROL!$C$32, $C$9, 100%, $E$9)</f>
        <v>31.593399999999999</v>
      </c>
      <c r="I913" s="33">
        <f>31.5971 * CHOOSE(CONTROL!$C$32, $C$9, 100%, $E$9)</f>
        <v>31.597100000000001</v>
      </c>
      <c r="J913" s="33">
        <f>31.5934 * CHOOSE(CONTROL!$C$32, $C$9, 100%, $E$9)</f>
        <v>31.593399999999999</v>
      </c>
      <c r="K913" s="33">
        <f>31.5971 * CHOOSE(CONTROL!$C$32, $C$9, 100%, $E$9)</f>
        <v>31.597100000000001</v>
      </c>
      <c r="L913" s="33">
        <f>15.0561 * CHOOSE(CONTROL!$C$32, $C$9, 100%, $E$9)</f>
        <v>15.056100000000001</v>
      </c>
      <c r="M913" s="33">
        <f>15.0597 * CHOOSE(CONTROL!$C$32, $C$9, 100%, $E$9)</f>
        <v>15.059699999999999</v>
      </c>
      <c r="N913" s="33">
        <f>15.0561 * CHOOSE(CONTROL!$C$32, $C$9, 100%, $E$9)</f>
        <v>15.056100000000001</v>
      </c>
      <c r="O913" s="33">
        <f>15.0597 * CHOOSE(CONTROL!$C$32, $C$9, 100%, $E$9)</f>
        <v>15.059699999999999</v>
      </c>
    </row>
    <row r="914" spans="1:15" ht="15" x14ac:dyDescent="0.2">
      <c r="A914" s="16">
        <v>68668</v>
      </c>
      <c r="B914" s="32">
        <f>13.5035 * CHOOSE(CONTROL!$C$32, $C$9, 100%, $E$9)</f>
        <v>13.503500000000001</v>
      </c>
      <c r="C914" s="32">
        <f>13.5035 * CHOOSE(CONTROL!$C$32, $C$9, 100%, $E$9)</f>
        <v>13.503500000000001</v>
      </c>
      <c r="D914" s="32">
        <f>13.5046 * CHOOSE(CONTROL!$C$32, $C$9, 100%, $E$9)</f>
        <v>13.5046</v>
      </c>
      <c r="E914" s="33">
        <f>15.1956 * CHOOSE(CONTROL!$C$32, $C$9, 100%, $E$9)</f>
        <v>15.195600000000001</v>
      </c>
      <c r="F914" s="33">
        <f>15.1956 * CHOOSE(CONTROL!$C$32, $C$9, 100%, $E$9)</f>
        <v>15.195600000000001</v>
      </c>
      <c r="G914" s="33">
        <f>15.1992 * CHOOSE(CONTROL!$C$32, $C$9, 100%, $E$9)</f>
        <v>15.199199999999999</v>
      </c>
      <c r="H914" s="33">
        <f>31.3424 * CHOOSE(CONTROL!$C$32, $C$9, 100%, $E$9)</f>
        <v>31.342400000000001</v>
      </c>
      <c r="I914" s="33">
        <f>31.346 * CHOOSE(CONTROL!$C$32, $C$9, 100%, $E$9)</f>
        <v>31.346</v>
      </c>
      <c r="J914" s="33">
        <f>31.3424 * CHOOSE(CONTROL!$C$32, $C$9, 100%, $E$9)</f>
        <v>31.342400000000001</v>
      </c>
      <c r="K914" s="33">
        <f>31.346 * CHOOSE(CONTROL!$C$32, $C$9, 100%, $E$9)</f>
        <v>31.346</v>
      </c>
      <c r="L914" s="33">
        <f>15.1956 * CHOOSE(CONTROL!$C$32, $C$9, 100%, $E$9)</f>
        <v>15.195600000000001</v>
      </c>
      <c r="M914" s="33">
        <f>15.1992 * CHOOSE(CONTROL!$C$32, $C$9, 100%, $E$9)</f>
        <v>15.199199999999999</v>
      </c>
      <c r="N914" s="33">
        <f>15.1956 * CHOOSE(CONTROL!$C$32, $C$9, 100%, $E$9)</f>
        <v>15.195600000000001</v>
      </c>
      <c r="O914" s="33">
        <f>15.1992 * CHOOSE(CONTROL!$C$32, $C$9, 100%, $E$9)</f>
        <v>15.199199999999999</v>
      </c>
    </row>
    <row r="915" spans="1:15" ht="15" x14ac:dyDescent="0.2">
      <c r="A915" s="16">
        <v>68699</v>
      </c>
      <c r="B915" s="32">
        <f>13.5005 * CHOOSE(CONTROL!$C$32, $C$9, 100%, $E$9)</f>
        <v>13.500500000000001</v>
      </c>
      <c r="C915" s="32">
        <f>13.5005 * CHOOSE(CONTROL!$C$32, $C$9, 100%, $E$9)</f>
        <v>13.500500000000001</v>
      </c>
      <c r="D915" s="32">
        <f>13.5016 * CHOOSE(CONTROL!$C$32, $C$9, 100%, $E$9)</f>
        <v>13.5016</v>
      </c>
      <c r="E915" s="33">
        <f>14.777 * CHOOSE(CONTROL!$C$32, $C$9, 100%, $E$9)</f>
        <v>14.776999999999999</v>
      </c>
      <c r="F915" s="33">
        <f>14.777 * CHOOSE(CONTROL!$C$32, $C$9, 100%, $E$9)</f>
        <v>14.776999999999999</v>
      </c>
      <c r="G915" s="33">
        <f>14.7806 * CHOOSE(CONTROL!$C$32, $C$9, 100%, $E$9)</f>
        <v>14.7806</v>
      </c>
      <c r="H915" s="33">
        <f>31.4077 * CHOOSE(CONTROL!$C$32, $C$9, 100%, $E$9)</f>
        <v>31.407699999999998</v>
      </c>
      <c r="I915" s="33">
        <f>31.4113 * CHOOSE(CONTROL!$C$32, $C$9, 100%, $E$9)</f>
        <v>31.411300000000001</v>
      </c>
      <c r="J915" s="33">
        <f>31.4077 * CHOOSE(CONTROL!$C$32, $C$9, 100%, $E$9)</f>
        <v>31.407699999999998</v>
      </c>
      <c r="K915" s="33">
        <f>31.4113 * CHOOSE(CONTROL!$C$32, $C$9, 100%, $E$9)</f>
        <v>31.411300000000001</v>
      </c>
      <c r="L915" s="33">
        <f>14.777 * CHOOSE(CONTROL!$C$32, $C$9, 100%, $E$9)</f>
        <v>14.776999999999999</v>
      </c>
      <c r="M915" s="33">
        <f>14.7806 * CHOOSE(CONTROL!$C$32, $C$9, 100%, $E$9)</f>
        <v>14.7806</v>
      </c>
      <c r="N915" s="33">
        <f>14.777 * CHOOSE(CONTROL!$C$32, $C$9, 100%, $E$9)</f>
        <v>14.776999999999999</v>
      </c>
      <c r="O915" s="33">
        <f>14.7806 * CHOOSE(CONTROL!$C$32, $C$9, 100%, $E$9)</f>
        <v>14.7806</v>
      </c>
    </row>
    <row r="916" spans="1:15" ht="15" x14ac:dyDescent="0.2">
      <c r="A916" s="16">
        <v>68728</v>
      </c>
      <c r="B916" s="32">
        <f>13.4974 * CHOOSE(CONTROL!$C$32, $C$9, 100%, $E$9)</f>
        <v>13.497400000000001</v>
      </c>
      <c r="C916" s="32">
        <f>13.4974 * CHOOSE(CONTROL!$C$32, $C$9, 100%, $E$9)</f>
        <v>13.497400000000001</v>
      </c>
      <c r="D916" s="32">
        <f>13.4985 * CHOOSE(CONTROL!$C$32, $C$9, 100%, $E$9)</f>
        <v>13.4985</v>
      </c>
      <c r="E916" s="33">
        <f>15.1032 * CHOOSE(CONTROL!$C$32, $C$9, 100%, $E$9)</f>
        <v>15.103199999999999</v>
      </c>
      <c r="F916" s="33">
        <f>15.1032 * CHOOSE(CONTROL!$C$32, $C$9, 100%, $E$9)</f>
        <v>15.103199999999999</v>
      </c>
      <c r="G916" s="33">
        <f>15.1068 * CHOOSE(CONTROL!$C$32, $C$9, 100%, $E$9)</f>
        <v>15.1068</v>
      </c>
      <c r="H916" s="33">
        <f>31.4732 * CHOOSE(CONTROL!$C$32, $C$9, 100%, $E$9)</f>
        <v>31.473199999999999</v>
      </c>
      <c r="I916" s="33">
        <f>31.4768 * CHOOSE(CONTROL!$C$32, $C$9, 100%, $E$9)</f>
        <v>31.476800000000001</v>
      </c>
      <c r="J916" s="33">
        <f>31.4732 * CHOOSE(CONTROL!$C$32, $C$9, 100%, $E$9)</f>
        <v>31.473199999999999</v>
      </c>
      <c r="K916" s="33">
        <f>31.4768 * CHOOSE(CONTROL!$C$32, $C$9, 100%, $E$9)</f>
        <v>31.476800000000001</v>
      </c>
      <c r="L916" s="33">
        <f>15.1032 * CHOOSE(CONTROL!$C$32, $C$9, 100%, $E$9)</f>
        <v>15.103199999999999</v>
      </c>
      <c r="M916" s="33">
        <f>15.1068 * CHOOSE(CONTROL!$C$32, $C$9, 100%, $E$9)</f>
        <v>15.1068</v>
      </c>
      <c r="N916" s="33">
        <f>15.1032 * CHOOSE(CONTROL!$C$32, $C$9, 100%, $E$9)</f>
        <v>15.103199999999999</v>
      </c>
      <c r="O916" s="33">
        <f>15.1068 * CHOOSE(CONTROL!$C$32, $C$9, 100%, $E$9)</f>
        <v>15.1068</v>
      </c>
    </row>
    <row r="917" spans="1:15" ht="15" x14ac:dyDescent="0.2">
      <c r="A917" s="16">
        <v>68759</v>
      </c>
      <c r="B917" s="32">
        <f>13.5043 * CHOOSE(CONTROL!$C$32, $C$9, 100%, $E$9)</f>
        <v>13.504300000000001</v>
      </c>
      <c r="C917" s="32">
        <f>13.5043 * CHOOSE(CONTROL!$C$32, $C$9, 100%, $E$9)</f>
        <v>13.504300000000001</v>
      </c>
      <c r="D917" s="32">
        <f>13.5054 * CHOOSE(CONTROL!$C$32, $C$9, 100%, $E$9)</f>
        <v>13.5054</v>
      </c>
      <c r="E917" s="33">
        <f>15.4516 * CHOOSE(CONTROL!$C$32, $C$9, 100%, $E$9)</f>
        <v>15.451599999999999</v>
      </c>
      <c r="F917" s="33">
        <f>15.4516 * CHOOSE(CONTROL!$C$32, $C$9, 100%, $E$9)</f>
        <v>15.451599999999999</v>
      </c>
      <c r="G917" s="33">
        <f>15.4552 * CHOOSE(CONTROL!$C$32, $C$9, 100%, $E$9)</f>
        <v>15.4552</v>
      </c>
      <c r="H917" s="33">
        <f>31.5387 * CHOOSE(CONTROL!$C$32, $C$9, 100%, $E$9)</f>
        <v>31.538699999999999</v>
      </c>
      <c r="I917" s="33">
        <f>31.5423 * CHOOSE(CONTROL!$C$32, $C$9, 100%, $E$9)</f>
        <v>31.542300000000001</v>
      </c>
      <c r="J917" s="33">
        <f>31.5387 * CHOOSE(CONTROL!$C$32, $C$9, 100%, $E$9)</f>
        <v>31.538699999999999</v>
      </c>
      <c r="K917" s="33">
        <f>31.5423 * CHOOSE(CONTROL!$C$32, $C$9, 100%, $E$9)</f>
        <v>31.542300000000001</v>
      </c>
      <c r="L917" s="33">
        <f>15.4516 * CHOOSE(CONTROL!$C$32, $C$9, 100%, $E$9)</f>
        <v>15.451599999999999</v>
      </c>
      <c r="M917" s="33">
        <f>15.4552 * CHOOSE(CONTROL!$C$32, $C$9, 100%, $E$9)</f>
        <v>15.4552</v>
      </c>
      <c r="N917" s="33">
        <f>15.4516 * CHOOSE(CONTROL!$C$32, $C$9, 100%, $E$9)</f>
        <v>15.451599999999999</v>
      </c>
      <c r="O917" s="33">
        <f>15.4552 * CHOOSE(CONTROL!$C$32, $C$9, 100%, $E$9)</f>
        <v>15.4552</v>
      </c>
    </row>
    <row r="918" spans="1:15" ht="15" x14ac:dyDescent="0.2">
      <c r="A918" s="16">
        <v>68789</v>
      </c>
      <c r="B918" s="32">
        <f>13.5043 * CHOOSE(CONTROL!$C$32, $C$9, 100%, $E$9)</f>
        <v>13.504300000000001</v>
      </c>
      <c r="C918" s="32">
        <f>13.5043 * CHOOSE(CONTROL!$C$32, $C$9, 100%, $E$9)</f>
        <v>13.504300000000001</v>
      </c>
      <c r="D918" s="32">
        <f>13.5059 * CHOOSE(CONTROL!$C$32, $C$9, 100%, $E$9)</f>
        <v>13.5059</v>
      </c>
      <c r="E918" s="33">
        <f>15.5838 * CHOOSE(CONTROL!$C$32, $C$9, 100%, $E$9)</f>
        <v>15.5838</v>
      </c>
      <c r="F918" s="33">
        <f>15.5838 * CHOOSE(CONTROL!$C$32, $C$9, 100%, $E$9)</f>
        <v>15.5838</v>
      </c>
      <c r="G918" s="33">
        <f>15.5891 * CHOOSE(CONTROL!$C$32, $C$9, 100%, $E$9)</f>
        <v>15.5891</v>
      </c>
      <c r="H918" s="33">
        <f>31.6044 * CHOOSE(CONTROL!$C$32, $C$9, 100%, $E$9)</f>
        <v>31.604399999999998</v>
      </c>
      <c r="I918" s="33">
        <f>31.6097 * CHOOSE(CONTROL!$C$32, $C$9, 100%, $E$9)</f>
        <v>31.6097</v>
      </c>
      <c r="J918" s="33">
        <f>31.6044 * CHOOSE(CONTROL!$C$32, $C$9, 100%, $E$9)</f>
        <v>31.604399999999998</v>
      </c>
      <c r="K918" s="33">
        <f>31.6097 * CHOOSE(CONTROL!$C$32, $C$9, 100%, $E$9)</f>
        <v>31.6097</v>
      </c>
      <c r="L918" s="33">
        <f>15.5838 * CHOOSE(CONTROL!$C$32, $C$9, 100%, $E$9)</f>
        <v>15.5838</v>
      </c>
      <c r="M918" s="33">
        <f>15.5891 * CHOOSE(CONTROL!$C$32, $C$9, 100%, $E$9)</f>
        <v>15.5891</v>
      </c>
      <c r="N918" s="33">
        <f>15.5838 * CHOOSE(CONTROL!$C$32, $C$9, 100%, $E$9)</f>
        <v>15.5838</v>
      </c>
      <c r="O918" s="33">
        <f>15.5891 * CHOOSE(CONTROL!$C$32, $C$9, 100%, $E$9)</f>
        <v>15.5891</v>
      </c>
    </row>
    <row r="919" spans="1:15" ht="15" x14ac:dyDescent="0.2">
      <c r="A919" s="16">
        <v>68820</v>
      </c>
      <c r="B919" s="32">
        <f>13.5104 * CHOOSE(CONTROL!$C$32, $C$9, 100%, $E$9)</f>
        <v>13.510400000000001</v>
      </c>
      <c r="C919" s="32">
        <f>13.5104 * CHOOSE(CONTROL!$C$32, $C$9, 100%, $E$9)</f>
        <v>13.510400000000001</v>
      </c>
      <c r="D919" s="32">
        <f>13.512 * CHOOSE(CONTROL!$C$32, $C$9, 100%, $E$9)</f>
        <v>13.512</v>
      </c>
      <c r="E919" s="33">
        <f>15.4558 * CHOOSE(CONTROL!$C$32, $C$9, 100%, $E$9)</f>
        <v>15.4558</v>
      </c>
      <c r="F919" s="33">
        <f>15.4558 * CHOOSE(CONTROL!$C$32, $C$9, 100%, $E$9)</f>
        <v>15.4558</v>
      </c>
      <c r="G919" s="33">
        <f>15.4611 * CHOOSE(CONTROL!$C$32, $C$9, 100%, $E$9)</f>
        <v>15.4611</v>
      </c>
      <c r="H919" s="33">
        <f>31.6703 * CHOOSE(CONTROL!$C$32, $C$9, 100%, $E$9)</f>
        <v>31.670300000000001</v>
      </c>
      <c r="I919" s="33">
        <f>31.6756 * CHOOSE(CONTROL!$C$32, $C$9, 100%, $E$9)</f>
        <v>31.675599999999999</v>
      </c>
      <c r="J919" s="33">
        <f>31.6703 * CHOOSE(CONTROL!$C$32, $C$9, 100%, $E$9)</f>
        <v>31.670300000000001</v>
      </c>
      <c r="K919" s="33">
        <f>31.6756 * CHOOSE(CONTROL!$C$32, $C$9, 100%, $E$9)</f>
        <v>31.675599999999999</v>
      </c>
      <c r="L919" s="33">
        <f>15.4558 * CHOOSE(CONTROL!$C$32, $C$9, 100%, $E$9)</f>
        <v>15.4558</v>
      </c>
      <c r="M919" s="33">
        <f>15.4611 * CHOOSE(CONTROL!$C$32, $C$9, 100%, $E$9)</f>
        <v>15.4611</v>
      </c>
      <c r="N919" s="33">
        <f>15.4558 * CHOOSE(CONTROL!$C$32, $C$9, 100%, $E$9)</f>
        <v>15.4558</v>
      </c>
      <c r="O919" s="33">
        <f>15.4611 * CHOOSE(CONTROL!$C$32, $C$9, 100%, $E$9)</f>
        <v>15.4611</v>
      </c>
    </row>
    <row r="920" spans="1:15" ht="15" x14ac:dyDescent="0.2">
      <c r="A920" s="16">
        <v>68850</v>
      </c>
      <c r="B920" s="32">
        <f>13.6733 * CHOOSE(CONTROL!$C$32, $C$9, 100%, $E$9)</f>
        <v>13.673299999999999</v>
      </c>
      <c r="C920" s="32">
        <f>13.6733 * CHOOSE(CONTROL!$C$32, $C$9, 100%, $E$9)</f>
        <v>13.673299999999999</v>
      </c>
      <c r="D920" s="32">
        <f>13.6749 * CHOOSE(CONTROL!$C$32, $C$9, 100%, $E$9)</f>
        <v>13.674899999999999</v>
      </c>
      <c r="E920" s="33">
        <f>15.6749 * CHOOSE(CONTROL!$C$32, $C$9, 100%, $E$9)</f>
        <v>15.674899999999999</v>
      </c>
      <c r="F920" s="33">
        <f>15.6749 * CHOOSE(CONTROL!$C$32, $C$9, 100%, $E$9)</f>
        <v>15.674899999999999</v>
      </c>
      <c r="G920" s="33">
        <f>15.6802 * CHOOSE(CONTROL!$C$32, $C$9, 100%, $E$9)</f>
        <v>15.680199999999999</v>
      </c>
      <c r="H920" s="33">
        <f>31.7363 * CHOOSE(CONTROL!$C$32, $C$9, 100%, $E$9)</f>
        <v>31.7363</v>
      </c>
      <c r="I920" s="33">
        <f>31.7415 * CHOOSE(CONTROL!$C$32, $C$9, 100%, $E$9)</f>
        <v>31.741499999999998</v>
      </c>
      <c r="J920" s="33">
        <f>31.7363 * CHOOSE(CONTROL!$C$32, $C$9, 100%, $E$9)</f>
        <v>31.7363</v>
      </c>
      <c r="K920" s="33">
        <f>31.7415 * CHOOSE(CONTROL!$C$32, $C$9, 100%, $E$9)</f>
        <v>31.741499999999998</v>
      </c>
      <c r="L920" s="33">
        <f>15.6749 * CHOOSE(CONTROL!$C$32, $C$9, 100%, $E$9)</f>
        <v>15.674899999999999</v>
      </c>
      <c r="M920" s="33">
        <f>15.6802 * CHOOSE(CONTROL!$C$32, $C$9, 100%, $E$9)</f>
        <v>15.680199999999999</v>
      </c>
      <c r="N920" s="33">
        <f>15.6749 * CHOOSE(CONTROL!$C$32, $C$9, 100%, $E$9)</f>
        <v>15.674899999999999</v>
      </c>
      <c r="O920" s="33">
        <f>15.6802 * CHOOSE(CONTROL!$C$32, $C$9, 100%, $E$9)</f>
        <v>15.680199999999999</v>
      </c>
    </row>
    <row r="921" spans="1:15" ht="15" x14ac:dyDescent="0.2">
      <c r="A921" s="16">
        <v>68881</v>
      </c>
      <c r="B921" s="32">
        <f>13.68 * CHOOSE(CONTROL!$C$32, $C$9, 100%, $E$9)</f>
        <v>13.68</v>
      </c>
      <c r="C921" s="32">
        <f>13.68 * CHOOSE(CONTROL!$C$32, $C$9, 100%, $E$9)</f>
        <v>13.68</v>
      </c>
      <c r="D921" s="32">
        <f>13.6815 * CHOOSE(CONTROL!$C$32, $C$9, 100%, $E$9)</f>
        <v>13.6815</v>
      </c>
      <c r="E921" s="33">
        <f>15.2829 * CHOOSE(CONTROL!$C$32, $C$9, 100%, $E$9)</f>
        <v>15.2829</v>
      </c>
      <c r="F921" s="33">
        <f>15.2829 * CHOOSE(CONTROL!$C$32, $C$9, 100%, $E$9)</f>
        <v>15.2829</v>
      </c>
      <c r="G921" s="33">
        <f>15.2882 * CHOOSE(CONTROL!$C$32, $C$9, 100%, $E$9)</f>
        <v>15.2882</v>
      </c>
      <c r="H921" s="33">
        <f>31.8024 * CHOOSE(CONTROL!$C$32, $C$9, 100%, $E$9)</f>
        <v>31.802399999999999</v>
      </c>
      <c r="I921" s="33">
        <f>31.8077 * CHOOSE(CONTROL!$C$32, $C$9, 100%, $E$9)</f>
        <v>31.807700000000001</v>
      </c>
      <c r="J921" s="33">
        <f>31.8024 * CHOOSE(CONTROL!$C$32, $C$9, 100%, $E$9)</f>
        <v>31.802399999999999</v>
      </c>
      <c r="K921" s="33">
        <f>31.8077 * CHOOSE(CONTROL!$C$32, $C$9, 100%, $E$9)</f>
        <v>31.807700000000001</v>
      </c>
      <c r="L921" s="33">
        <f>15.2829 * CHOOSE(CONTROL!$C$32, $C$9, 100%, $E$9)</f>
        <v>15.2829</v>
      </c>
      <c r="M921" s="33">
        <f>15.2882 * CHOOSE(CONTROL!$C$32, $C$9, 100%, $E$9)</f>
        <v>15.2882</v>
      </c>
      <c r="N921" s="33">
        <f>15.2829 * CHOOSE(CONTROL!$C$32, $C$9, 100%, $E$9)</f>
        <v>15.2829</v>
      </c>
      <c r="O921" s="33">
        <f>15.2882 * CHOOSE(CONTROL!$C$32, $C$9, 100%, $E$9)</f>
        <v>15.2882</v>
      </c>
    </row>
    <row r="922" spans="1:15" ht="15" x14ac:dyDescent="0.2">
      <c r="A922" s="16">
        <v>68912</v>
      </c>
      <c r="B922" s="32">
        <f>13.6769 * CHOOSE(CONTROL!$C$32, $C$9, 100%, $E$9)</f>
        <v>13.6769</v>
      </c>
      <c r="C922" s="32">
        <f>13.6769 * CHOOSE(CONTROL!$C$32, $C$9, 100%, $E$9)</f>
        <v>13.6769</v>
      </c>
      <c r="D922" s="32">
        <f>13.6785 * CHOOSE(CONTROL!$C$32, $C$9, 100%, $E$9)</f>
        <v>13.6785</v>
      </c>
      <c r="E922" s="33">
        <f>15.2368 * CHOOSE(CONTROL!$C$32, $C$9, 100%, $E$9)</f>
        <v>15.236800000000001</v>
      </c>
      <c r="F922" s="33">
        <f>15.2368 * CHOOSE(CONTROL!$C$32, $C$9, 100%, $E$9)</f>
        <v>15.236800000000001</v>
      </c>
      <c r="G922" s="33">
        <f>15.2421 * CHOOSE(CONTROL!$C$32, $C$9, 100%, $E$9)</f>
        <v>15.242100000000001</v>
      </c>
      <c r="H922" s="33">
        <f>31.8686 * CHOOSE(CONTROL!$C$32, $C$9, 100%, $E$9)</f>
        <v>31.868600000000001</v>
      </c>
      <c r="I922" s="33">
        <f>31.8739 * CHOOSE(CONTROL!$C$32, $C$9, 100%, $E$9)</f>
        <v>31.873899999999999</v>
      </c>
      <c r="J922" s="33">
        <f>31.8686 * CHOOSE(CONTROL!$C$32, $C$9, 100%, $E$9)</f>
        <v>31.868600000000001</v>
      </c>
      <c r="K922" s="33">
        <f>31.8739 * CHOOSE(CONTROL!$C$32, $C$9, 100%, $E$9)</f>
        <v>31.873899999999999</v>
      </c>
      <c r="L922" s="33">
        <f>15.2368 * CHOOSE(CONTROL!$C$32, $C$9, 100%, $E$9)</f>
        <v>15.236800000000001</v>
      </c>
      <c r="M922" s="33">
        <f>15.2421 * CHOOSE(CONTROL!$C$32, $C$9, 100%, $E$9)</f>
        <v>15.242100000000001</v>
      </c>
      <c r="N922" s="33">
        <f>15.2368 * CHOOSE(CONTROL!$C$32, $C$9, 100%, $E$9)</f>
        <v>15.236800000000001</v>
      </c>
      <c r="O922" s="33">
        <f>15.2421 * CHOOSE(CONTROL!$C$32, $C$9, 100%, $E$9)</f>
        <v>15.242100000000001</v>
      </c>
    </row>
    <row r="923" spans="1:15" ht="15" x14ac:dyDescent="0.2">
      <c r="A923" s="16">
        <v>68942</v>
      </c>
      <c r="B923" s="32">
        <f>13.7082 * CHOOSE(CONTROL!$C$32, $C$9, 100%, $E$9)</f>
        <v>13.7082</v>
      </c>
      <c r="C923" s="32">
        <f>13.7082 * CHOOSE(CONTROL!$C$32, $C$9, 100%, $E$9)</f>
        <v>13.7082</v>
      </c>
      <c r="D923" s="32">
        <f>13.7092 * CHOOSE(CONTROL!$C$32, $C$9, 100%, $E$9)</f>
        <v>13.709199999999999</v>
      </c>
      <c r="E923" s="33">
        <f>15.3996 * CHOOSE(CONTROL!$C$32, $C$9, 100%, $E$9)</f>
        <v>15.3996</v>
      </c>
      <c r="F923" s="33">
        <f>15.3996 * CHOOSE(CONTROL!$C$32, $C$9, 100%, $E$9)</f>
        <v>15.3996</v>
      </c>
      <c r="G923" s="33">
        <f>15.4032 * CHOOSE(CONTROL!$C$32, $C$9, 100%, $E$9)</f>
        <v>15.4032</v>
      </c>
      <c r="H923" s="33">
        <f>31.935 * CHOOSE(CONTROL!$C$32, $C$9, 100%, $E$9)</f>
        <v>31.934999999999999</v>
      </c>
      <c r="I923" s="33">
        <f>31.9386 * CHOOSE(CONTROL!$C$32, $C$9, 100%, $E$9)</f>
        <v>31.938600000000001</v>
      </c>
      <c r="J923" s="33">
        <f>31.935 * CHOOSE(CONTROL!$C$32, $C$9, 100%, $E$9)</f>
        <v>31.934999999999999</v>
      </c>
      <c r="K923" s="33">
        <f>31.9386 * CHOOSE(CONTROL!$C$32, $C$9, 100%, $E$9)</f>
        <v>31.938600000000001</v>
      </c>
      <c r="L923" s="33">
        <f>15.3996 * CHOOSE(CONTROL!$C$32, $C$9, 100%, $E$9)</f>
        <v>15.3996</v>
      </c>
      <c r="M923" s="33">
        <f>15.4032 * CHOOSE(CONTROL!$C$32, $C$9, 100%, $E$9)</f>
        <v>15.4032</v>
      </c>
      <c r="N923" s="33">
        <f>15.3996 * CHOOSE(CONTROL!$C$32, $C$9, 100%, $E$9)</f>
        <v>15.3996</v>
      </c>
      <c r="O923" s="33">
        <f>15.4032 * CHOOSE(CONTROL!$C$32, $C$9, 100%, $E$9)</f>
        <v>15.4032</v>
      </c>
    </row>
    <row r="924" spans="1:15" ht="15" x14ac:dyDescent="0.2">
      <c r="A924" s="16">
        <v>68973</v>
      </c>
      <c r="B924" s="32">
        <f>13.7112 * CHOOSE(CONTROL!$C$32, $C$9, 100%, $E$9)</f>
        <v>13.7112</v>
      </c>
      <c r="C924" s="32">
        <f>13.7112 * CHOOSE(CONTROL!$C$32, $C$9, 100%, $E$9)</f>
        <v>13.7112</v>
      </c>
      <c r="D924" s="32">
        <f>13.7123 * CHOOSE(CONTROL!$C$32, $C$9, 100%, $E$9)</f>
        <v>13.712300000000001</v>
      </c>
      <c r="E924" s="33">
        <f>15.4899 * CHOOSE(CONTROL!$C$32, $C$9, 100%, $E$9)</f>
        <v>15.4899</v>
      </c>
      <c r="F924" s="33">
        <f>15.4899 * CHOOSE(CONTROL!$C$32, $C$9, 100%, $E$9)</f>
        <v>15.4899</v>
      </c>
      <c r="G924" s="33">
        <f>15.4935 * CHOOSE(CONTROL!$C$32, $C$9, 100%, $E$9)</f>
        <v>15.493499999999999</v>
      </c>
      <c r="H924" s="33">
        <f>32.0015 * CHOOSE(CONTROL!$C$32, $C$9, 100%, $E$9)</f>
        <v>32.0015</v>
      </c>
      <c r="I924" s="33">
        <f>32.0052 * CHOOSE(CONTROL!$C$32, $C$9, 100%, $E$9)</f>
        <v>32.005200000000002</v>
      </c>
      <c r="J924" s="33">
        <f>32.0015 * CHOOSE(CONTROL!$C$32, $C$9, 100%, $E$9)</f>
        <v>32.0015</v>
      </c>
      <c r="K924" s="33">
        <f>32.0052 * CHOOSE(CONTROL!$C$32, $C$9, 100%, $E$9)</f>
        <v>32.005200000000002</v>
      </c>
      <c r="L924" s="33">
        <f>15.4899 * CHOOSE(CONTROL!$C$32, $C$9, 100%, $E$9)</f>
        <v>15.4899</v>
      </c>
      <c r="M924" s="33">
        <f>15.4935 * CHOOSE(CONTROL!$C$32, $C$9, 100%, $E$9)</f>
        <v>15.493499999999999</v>
      </c>
      <c r="N924" s="33">
        <f>15.4899 * CHOOSE(CONTROL!$C$32, $C$9, 100%, $E$9)</f>
        <v>15.4899</v>
      </c>
      <c r="O924" s="33">
        <f>15.4935 * CHOOSE(CONTROL!$C$32, $C$9, 100%, $E$9)</f>
        <v>15.493499999999999</v>
      </c>
    </row>
    <row r="925" spans="1:15" ht="15" x14ac:dyDescent="0.2">
      <c r="A925" s="16">
        <v>69003</v>
      </c>
      <c r="B925" s="32">
        <f>13.7112 * CHOOSE(CONTROL!$C$32, $C$9, 100%, $E$9)</f>
        <v>13.7112</v>
      </c>
      <c r="C925" s="32">
        <f>13.7112 * CHOOSE(CONTROL!$C$32, $C$9, 100%, $E$9)</f>
        <v>13.7112</v>
      </c>
      <c r="D925" s="32">
        <f>13.7123 * CHOOSE(CONTROL!$C$32, $C$9, 100%, $E$9)</f>
        <v>13.712300000000001</v>
      </c>
      <c r="E925" s="33">
        <f>15.2695 * CHOOSE(CONTROL!$C$32, $C$9, 100%, $E$9)</f>
        <v>15.269500000000001</v>
      </c>
      <c r="F925" s="33">
        <f>15.2695 * CHOOSE(CONTROL!$C$32, $C$9, 100%, $E$9)</f>
        <v>15.269500000000001</v>
      </c>
      <c r="G925" s="33">
        <f>15.2731 * CHOOSE(CONTROL!$C$32, $C$9, 100%, $E$9)</f>
        <v>15.273099999999999</v>
      </c>
      <c r="H925" s="33">
        <f>32.0682 * CHOOSE(CONTROL!$C$32, $C$9, 100%, $E$9)</f>
        <v>32.068199999999997</v>
      </c>
      <c r="I925" s="33">
        <f>32.0718 * CHOOSE(CONTROL!$C$32, $C$9, 100%, $E$9)</f>
        <v>32.071800000000003</v>
      </c>
      <c r="J925" s="33">
        <f>32.0682 * CHOOSE(CONTROL!$C$32, $C$9, 100%, $E$9)</f>
        <v>32.068199999999997</v>
      </c>
      <c r="K925" s="33">
        <f>32.0718 * CHOOSE(CONTROL!$C$32, $C$9, 100%, $E$9)</f>
        <v>32.071800000000003</v>
      </c>
      <c r="L925" s="33">
        <f>15.2695 * CHOOSE(CONTROL!$C$32, $C$9, 100%, $E$9)</f>
        <v>15.269500000000001</v>
      </c>
      <c r="M925" s="33">
        <f>15.2731 * CHOOSE(CONTROL!$C$32, $C$9, 100%, $E$9)</f>
        <v>15.273099999999999</v>
      </c>
      <c r="N925" s="33">
        <f>15.2695 * CHOOSE(CONTROL!$C$32, $C$9, 100%, $E$9)</f>
        <v>15.269500000000001</v>
      </c>
      <c r="O925" s="33">
        <f>15.2731 * CHOOSE(CONTROL!$C$32, $C$9, 100%, $E$9)</f>
        <v>15.273099999999999</v>
      </c>
    </row>
    <row r="926" spans="1:15" ht="15" x14ac:dyDescent="0.2">
      <c r="A926" s="16">
        <v>69034</v>
      </c>
      <c r="B926" s="32">
        <f>13.6909 * CHOOSE(CONTROL!$C$32, $C$9, 100%, $E$9)</f>
        <v>13.690899999999999</v>
      </c>
      <c r="C926" s="32">
        <f>13.6909 * CHOOSE(CONTROL!$C$32, $C$9, 100%, $E$9)</f>
        <v>13.690899999999999</v>
      </c>
      <c r="D926" s="32">
        <f>13.6919 * CHOOSE(CONTROL!$C$32, $C$9, 100%, $E$9)</f>
        <v>13.6919</v>
      </c>
      <c r="E926" s="33">
        <f>15.4081 * CHOOSE(CONTROL!$C$32, $C$9, 100%, $E$9)</f>
        <v>15.408099999999999</v>
      </c>
      <c r="F926" s="33">
        <f>15.4081 * CHOOSE(CONTROL!$C$32, $C$9, 100%, $E$9)</f>
        <v>15.408099999999999</v>
      </c>
      <c r="G926" s="33">
        <f>15.4117 * CHOOSE(CONTROL!$C$32, $C$9, 100%, $E$9)</f>
        <v>15.4117</v>
      </c>
      <c r="H926" s="33">
        <f>31.8065 * CHOOSE(CONTROL!$C$32, $C$9, 100%, $E$9)</f>
        <v>31.8065</v>
      </c>
      <c r="I926" s="33">
        <f>31.8101 * CHOOSE(CONTROL!$C$32, $C$9, 100%, $E$9)</f>
        <v>31.810099999999998</v>
      </c>
      <c r="J926" s="33">
        <f>31.8065 * CHOOSE(CONTROL!$C$32, $C$9, 100%, $E$9)</f>
        <v>31.8065</v>
      </c>
      <c r="K926" s="33">
        <f>31.8101 * CHOOSE(CONTROL!$C$32, $C$9, 100%, $E$9)</f>
        <v>31.810099999999998</v>
      </c>
      <c r="L926" s="33">
        <f>15.4081 * CHOOSE(CONTROL!$C$32, $C$9, 100%, $E$9)</f>
        <v>15.408099999999999</v>
      </c>
      <c r="M926" s="33">
        <f>15.4117 * CHOOSE(CONTROL!$C$32, $C$9, 100%, $E$9)</f>
        <v>15.4117</v>
      </c>
      <c r="N926" s="33">
        <f>15.4081 * CHOOSE(CONTROL!$C$32, $C$9, 100%, $E$9)</f>
        <v>15.408099999999999</v>
      </c>
      <c r="O926" s="33">
        <f>15.4117 * CHOOSE(CONTROL!$C$32, $C$9, 100%, $E$9)</f>
        <v>15.4117</v>
      </c>
    </row>
    <row r="927" spans="1:15" ht="15" x14ac:dyDescent="0.2">
      <c r="A927" s="16">
        <v>69065</v>
      </c>
      <c r="B927" s="32">
        <f>13.6878 * CHOOSE(CONTROL!$C$32, $C$9, 100%, $E$9)</f>
        <v>13.687799999999999</v>
      </c>
      <c r="C927" s="32">
        <f>13.6878 * CHOOSE(CONTROL!$C$32, $C$9, 100%, $E$9)</f>
        <v>13.687799999999999</v>
      </c>
      <c r="D927" s="32">
        <f>13.6889 * CHOOSE(CONTROL!$C$32, $C$9, 100%, $E$9)</f>
        <v>13.6889</v>
      </c>
      <c r="E927" s="33">
        <f>14.9824 * CHOOSE(CONTROL!$C$32, $C$9, 100%, $E$9)</f>
        <v>14.9824</v>
      </c>
      <c r="F927" s="33">
        <f>14.9824 * CHOOSE(CONTROL!$C$32, $C$9, 100%, $E$9)</f>
        <v>14.9824</v>
      </c>
      <c r="G927" s="33">
        <f>14.9861 * CHOOSE(CONTROL!$C$32, $C$9, 100%, $E$9)</f>
        <v>14.9861</v>
      </c>
      <c r="H927" s="33">
        <f>31.8727 * CHOOSE(CONTROL!$C$32, $C$9, 100%, $E$9)</f>
        <v>31.872699999999998</v>
      </c>
      <c r="I927" s="33">
        <f>31.8763 * CHOOSE(CONTROL!$C$32, $C$9, 100%, $E$9)</f>
        <v>31.876300000000001</v>
      </c>
      <c r="J927" s="33">
        <f>31.8727 * CHOOSE(CONTROL!$C$32, $C$9, 100%, $E$9)</f>
        <v>31.872699999999998</v>
      </c>
      <c r="K927" s="33">
        <f>31.8763 * CHOOSE(CONTROL!$C$32, $C$9, 100%, $E$9)</f>
        <v>31.876300000000001</v>
      </c>
      <c r="L927" s="33">
        <f>14.9824 * CHOOSE(CONTROL!$C$32, $C$9, 100%, $E$9)</f>
        <v>14.9824</v>
      </c>
      <c r="M927" s="33">
        <f>14.9861 * CHOOSE(CONTROL!$C$32, $C$9, 100%, $E$9)</f>
        <v>14.9861</v>
      </c>
      <c r="N927" s="33">
        <f>14.9824 * CHOOSE(CONTROL!$C$32, $C$9, 100%, $E$9)</f>
        <v>14.9824</v>
      </c>
      <c r="O927" s="33">
        <f>14.9861 * CHOOSE(CONTROL!$C$32, $C$9, 100%, $E$9)</f>
        <v>14.9861</v>
      </c>
    </row>
    <row r="928" spans="1:15" ht="15" x14ac:dyDescent="0.2">
      <c r="A928" s="16">
        <v>69093</v>
      </c>
      <c r="B928" s="32">
        <f>13.6848 * CHOOSE(CONTROL!$C$32, $C$9, 100%, $E$9)</f>
        <v>13.684799999999999</v>
      </c>
      <c r="C928" s="32">
        <f>13.6848 * CHOOSE(CONTROL!$C$32, $C$9, 100%, $E$9)</f>
        <v>13.684799999999999</v>
      </c>
      <c r="D928" s="32">
        <f>13.6859 * CHOOSE(CONTROL!$C$32, $C$9, 100%, $E$9)</f>
        <v>13.6859</v>
      </c>
      <c r="E928" s="33">
        <f>15.3142 * CHOOSE(CONTROL!$C$32, $C$9, 100%, $E$9)</f>
        <v>15.3142</v>
      </c>
      <c r="F928" s="33">
        <f>15.3142 * CHOOSE(CONTROL!$C$32, $C$9, 100%, $E$9)</f>
        <v>15.3142</v>
      </c>
      <c r="G928" s="33">
        <f>15.3178 * CHOOSE(CONTROL!$C$32, $C$9, 100%, $E$9)</f>
        <v>15.3178</v>
      </c>
      <c r="H928" s="33">
        <f>31.9391 * CHOOSE(CONTROL!$C$32, $C$9, 100%, $E$9)</f>
        <v>31.9391</v>
      </c>
      <c r="I928" s="33">
        <f>31.9427 * CHOOSE(CONTROL!$C$32, $C$9, 100%, $E$9)</f>
        <v>31.942699999999999</v>
      </c>
      <c r="J928" s="33">
        <f>31.9391 * CHOOSE(CONTROL!$C$32, $C$9, 100%, $E$9)</f>
        <v>31.9391</v>
      </c>
      <c r="K928" s="33">
        <f>31.9427 * CHOOSE(CONTROL!$C$32, $C$9, 100%, $E$9)</f>
        <v>31.942699999999999</v>
      </c>
      <c r="L928" s="33">
        <f>15.3142 * CHOOSE(CONTROL!$C$32, $C$9, 100%, $E$9)</f>
        <v>15.3142</v>
      </c>
      <c r="M928" s="33">
        <f>15.3178 * CHOOSE(CONTROL!$C$32, $C$9, 100%, $E$9)</f>
        <v>15.3178</v>
      </c>
      <c r="N928" s="33">
        <f>15.3142 * CHOOSE(CONTROL!$C$32, $C$9, 100%, $E$9)</f>
        <v>15.3142</v>
      </c>
      <c r="O928" s="33">
        <f>15.3178 * CHOOSE(CONTROL!$C$32, $C$9, 100%, $E$9)</f>
        <v>15.3178</v>
      </c>
    </row>
    <row r="929" spans="1:15" ht="15" x14ac:dyDescent="0.2">
      <c r="A929" s="16">
        <v>69124</v>
      </c>
      <c r="B929" s="32">
        <f>13.6919 * CHOOSE(CONTROL!$C$32, $C$9, 100%, $E$9)</f>
        <v>13.6919</v>
      </c>
      <c r="C929" s="32">
        <f>13.6919 * CHOOSE(CONTROL!$C$32, $C$9, 100%, $E$9)</f>
        <v>13.6919</v>
      </c>
      <c r="D929" s="32">
        <f>13.6929 * CHOOSE(CONTROL!$C$32, $C$9, 100%, $E$9)</f>
        <v>13.6929</v>
      </c>
      <c r="E929" s="33">
        <f>15.6686 * CHOOSE(CONTROL!$C$32, $C$9, 100%, $E$9)</f>
        <v>15.6686</v>
      </c>
      <c r="F929" s="33">
        <f>15.6686 * CHOOSE(CONTROL!$C$32, $C$9, 100%, $E$9)</f>
        <v>15.6686</v>
      </c>
      <c r="G929" s="33">
        <f>15.6722 * CHOOSE(CONTROL!$C$32, $C$9, 100%, $E$9)</f>
        <v>15.6722</v>
      </c>
      <c r="H929" s="33">
        <f>32.0057 * CHOOSE(CONTROL!$C$32, $C$9, 100%, $E$9)</f>
        <v>32.005699999999997</v>
      </c>
      <c r="I929" s="33">
        <f>32.0093 * CHOOSE(CONTROL!$C$32, $C$9, 100%, $E$9)</f>
        <v>32.009300000000003</v>
      </c>
      <c r="J929" s="33">
        <f>32.0057 * CHOOSE(CONTROL!$C$32, $C$9, 100%, $E$9)</f>
        <v>32.005699999999997</v>
      </c>
      <c r="K929" s="33">
        <f>32.0093 * CHOOSE(CONTROL!$C$32, $C$9, 100%, $E$9)</f>
        <v>32.009300000000003</v>
      </c>
      <c r="L929" s="33">
        <f>15.6686 * CHOOSE(CONTROL!$C$32, $C$9, 100%, $E$9)</f>
        <v>15.6686</v>
      </c>
      <c r="M929" s="33">
        <f>15.6722 * CHOOSE(CONTROL!$C$32, $C$9, 100%, $E$9)</f>
        <v>15.6722</v>
      </c>
      <c r="N929" s="33">
        <f>15.6686 * CHOOSE(CONTROL!$C$32, $C$9, 100%, $E$9)</f>
        <v>15.6686</v>
      </c>
      <c r="O929" s="33">
        <f>15.6722 * CHOOSE(CONTROL!$C$32, $C$9, 100%, $E$9)</f>
        <v>15.6722</v>
      </c>
    </row>
    <row r="930" spans="1:15" ht="15" x14ac:dyDescent="0.2">
      <c r="A930" s="16">
        <v>69154</v>
      </c>
      <c r="B930" s="32">
        <f>13.6919 * CHOOSE(CONTROL!$C$32, $C$9, 100%, $E$9)</f>
        <v>13.6919</v>
      </c>
      <c r="C930" s="32">
        <f>13.6919 * CHOOSE(CONTROL!$C$32, $C$9, 100%, $E$9)</f>
        <v>13.6919</v>
      </c>
      <c r="D930" s="32">
        <f>13.6934 * CHOOSE(CONTROL!$C$32, $C$9, 100%, $E$9)</f>
        <v>13.6934</v>
      </c>
      <c r="E930" s="33">
        <f>15.803 * CHOOSE(CONTROL!$C$32, $C$9, 100%, $E$9)</f>
        <v>15.803000000000001</v>
      </c>
      <c r="F930" s="33">
        <f>15.803 * CHOOSE(CONTROL!$C$32, $C$9, 100%, $E$9)</f>
        <v>15.803000000000001</v>
      </c>
      <c r="G930" s="33">
        <f>15.8083 * CHOOSE(CONTROL!$C$32, $C$9, 100%, $E$9)</f>
        <v>15.808299999999999</v>
      </c>
      <c r="H930" s="33">
        <f>32.0723 * CHOOSE(CONTROL!$C$32, $C$9, 100%, $E$9)</f>
        <v>32.072299999999998</v>
      </c>
      <c r="I930" s="33">
        <f>32.0776 * CHOOSE(CONTROL!$C$32, $C$9, 100%, $E$9)</f>
        <v>32.077599999999997</v>
      </c>
      <c r="J930" s="33">
        <f>32.0723 * CHOOSE(CONTROL!$C$32, $C$9, 100%, $E$9)</f>
        <v>32.072299999999998</v>
      </c>
      <c r="K930" s="33">
        <f>32.0776 * CHOOSE(CONTROL!$C$32, $C$9, 100%, $E$9)</f>
        <v>32.077599999999997</v>
      </c>
      <c r="L930" s="33">
        <f>15.803 * CHOOSE(CONTROL!$C$32, $C$9, 100%, $E$9)</f>
        <v>15.803000000000001</v>
      </c>
      <c r="M930" s="33">
        <f>15.8083 * CHOOSE(CONTROL!$C$32, $C$9, 100%, $E$9)</f>
        <v>15.808299999999999</v>
      </c>
      <c r="N930" s="33">
        <f>15.803 * CHOOSE(CONTROL!$C$32, $C$9, 100%, $E$9)</f>
        <v>15.803000000000001</v>
      </c>
      <c r="O930" s="33">
        <f>15.8083 * CHOOSE(CONTROL!$C$32, $C$9, 100%, $E$9)</f>
        <v>15.808299999999999</v>
      </c>
    </row>
    <row r="931" spans="1:15" ht="15" x14ac:dyDescent="0.2">
      <c r="A931" s="16">
        <v>69185</v>
      </c>
      <c r="B931" s="32">
        <f>13.6979 * CHOOSE(CONTROL!$C$32, $C$9, 100%, $E$9)</f>
        <v>13.697900000000001</v>
      </c>
      <c r="C931" s="32">
        <f>13.6979 * CHOOSE(CONTROL!$C$32, $C$9, 100%, $E$9)</f>
        <v>13.697900000000001</v>
      </c>
      <c r="D931" s="32">
        <f>13.6995 * CHOOSE(CONTROL!$C$32, $C$9, 100%, $E$9)</f>
        <v>13.6995</v>
      </c>
      <c r="E931" s="33">
        <f>15.6728 * CHOOSE(CONTROL!$C$32, $C$9, 100%, $E$9)</f>
        <v>15.672800000000001</v>
      </c>
      <c r="F931" s="33">
        <f>15.6728 * CHOOSE(CONTROL!$C$32, $C$9, 100%, $E$9)</f>
        <v>15.672800000000001</v>
      </c>
      <c r="G931" s="33">
        <f>15.6781 * CHOOSE(CONTROL!$C$32, $C$9, 100%, $E$9)</f>
        <v>15.678100000000001</v>
      </c>
      <c r="H931" s="33">
        <f>32.1392 * CHOOSE(CONTROL!$C$32, $C$9, 100%, $E$9)</f>
        <v>32.139200000000002</v>
      </c>
      <c r="I931" s="33">
        <f>32.1445 * CHOOSE(CONTROL!$C$32, $C$9, 100%, $E$9)</f>
        <v>32.144500000000001</v>
      </c>
      <c r="J931" s="33">
        <f>32.1392 * CHOOSE(CONTROL!$C$32, $C$9, 100%, $E$9)</f>
        <v>32.139200000000002</v>
      </c>
      <c r="K931" s="33">
        <f>32.1445 * CHOOSE(CONTROL!$C$32, $C$9, 100%, $E$9)</f>
        <v>32.144500000000001</v>
      </c>
      <c r="L931" s="33">
        <f>15.6728 * CHOOSE(CONTROL!$C$32, $C$9, 100%, $E$9)</f>
        <v>15.672800000000001</v>
      </c>
      <c r="M931" s="33">
        <f>15.6781 * CHOOSE(CONTROL!$C$32, $C$9, 100%, $E$9)</f>
        <v>15.678100000000001</v>
      </c>
      <c r="N931" s="33">
        <f>15.6728 * CHOOSE(CONTROL!$C$32, $C$9, 100%, $E$9)</f>
        <v>15.672800000000001</v>
      </c>
      <c r="O931" s="33">
        <f>15.6781 * CHOOSE(CONTROL!$C$32, $C$9, 100%, $E$9)</f>
        <v>15.678100000000001</v>
      </c>
    </row>
    <row r="932" spans="1:15" ht="15" x14ac:dyDescent="0.2">
      <c r="A932" s="16">
        <v>69215</v>
      </c>
      <c r="B932" s="32">
        <f>13.8629 * CHOOSE(CONTROL!$C$32, $C$9, 100%, $E$9)</f>
        <v>13.8629</v>
      </c>
      <c r="C932" s="32">
        <f>13.8629 * CHOOSE(CONTROL!$C$32, $C$9, 100%, $E$9)</f>
        <v>13.8629</v>
      </c>
      <c r="D932" s="32">
        <f>13.8644 * CHOOSE(CONTROL!$C$32, $C$9, 100%, $E$9)</f>
        <v>13.8644</v>
      </c>
      <c r="E932" s="33">
        <f>15.8951 * CHOOSE(CONTROL!$C$32, $C$9, 100%, $E$9)</f>
        <v>15.895099999999999</v>
      </c>
      <c r="F932" s="33">
        <f>15.8951 * CHOOSE(CONTROL!$C$32, $C$9, 100%, $E$9)</f>
        <v>15.895099999999999</v>
      </c>
      <c r="G932" s="33">
        <f>15.9004 * CHOOSE(CONTROL!$C$32, $C$9, 100%, $E$9)</f>
        <v>15.900399999999999</v>
      </c>
      <c r="H932" s="33">
        <f>32.2061 * CHOOSE(CONTROL!$C$32, $C$9, 100%, $E$9)</f>
        <v>32.206099999999999</v>
      </c>
      <c r="I932" s="33">
        <f>32.2114 * CHOOSE(CONTROL!$C$32, $C$9, 100%, $E$9)</f>
        <v>32.211399999999998</v>
      </c>
      <c r="J932" s="33">
        <f>32.2061 * CHOOSE(CONTROL!$C$32, $C$9, 100%, $E$9)</f>
        <v>32.206099999999999</v>
      </c>
      <c r="K932" s="33">
        <f>32.2114 * CHOOSE(CONTROL!$C$32, $C$9, 100%, $E$9)</f>
        <v>32.211399999999998</v>
      </c>
      <c r="L932" s="33">
        <f>15.8951 * CHOOSE(CONTROL!$C$32, $C$9, 100%, $E$9)</f>
        <v>15.895099999999999</v>
      </c>
      <c r="M932" s="33">
        <f>15.9004 * CHOOSE(CONTROL!$C$32, $C$9, 100%, $E$9)</f>
        <v>15.900399999999999</v>
      </c>
      <c r="N932" s="33">
        <f>15.8951 * CHOOSE(CONTROL!$C$32, $C$9, 100%, $E$9)</f>
        <v>15.895099999999999</v>
      </c>
      <c r="O932" s="33">
        <f>15.9004 * CHOOSE(CONTROL!$C$32, $C$9, 100%, $E$9)</f>
        <v>15.900399999999999</v>
      </c>
    </row>
    <row r="933" spans="1:15" ht="15" x14ac:dyDescent="0.2">
      <c r="A933" s="16">
        <v>69246</v>
      </c>
      <c r="B933" s="32">
        <f>13.8696 * CHOOSE(CONTROL!$C$32, $C$9, 100%, $E$9)</f>
        <v>13.8696</v>
      </c>
      <c r="C933" s="32">
        <f>13.8696 * CHOOSE(CONTROL!$C$32, $C$9, 100%, $E$9)</f>
        <v>13.8696</v>
      </c>
      <c r="D933" s="32">
        <f>13.8711 * CHOOSE(CONTROL!$C$32, $C$9, 100%, $E$9)</f>
        <v>13.8711</v>
      </c>
      <c r="E933" s="33">
        <f>15.4964 * CHOOSE(CONTROL!$C$32, $C$9, 100%, $E$9)</f>
        <v>15.4964</v>
      </c>
      <c r="F933" s="33">
        <f>15.4964 * CHOOSE(CONTROL!$C$32, $C$9, 100%, $E$9)</f>
        <v>15.4964</v>
      </c>
      <c r="G933" s="33">
        <f>15.5017 * CHOOSE(CONTROL!$C$32, $C$9, 100%, $E$9)</f>
        <v>15.5017</v>
      </c>
      <c r="H933" s="33">
        <f>32.2732 * CHOOSE(CONTROL!$C$32, $C$9, 100%, $E$9)</f>
        <v>32.273200000000003</v>
      </c>
      <c r="I933" s="33">
        <f>32.2785 * CHOOSE(CONTROL!$C$32, $C$9, 100%, $E$9)</f>
        <v>32.278500000000001</v>
      </c>
      <c r="J933" s="33">
        <f>32.2732 * CHOOSE(CONTROL!$C$32, $C$9, 100%, $E$9)</f>
        <v>32.273200000000003</v>
      </c>
      <c r="K933" s="33">
        <f>32.2785 * CHOOSE(CONTROL!$C$32, $C$9, 100%, $E$9)</f>
        <v>32.278500000000001</v>
      </c>
      <c r="L933" s="33">
        <f>15.4964 * CHOOSE(CONTROL!$C$32, $C$9, 100%, $E$9)</f>
        <v>15.4964</v>
      </c>
      <c r="M933" s="33">
        <f>15.5017 * CHOOSE(CONTROL!$C$32, $C$9, 100%, $E$9)</f>
        <v>15.5017</v>
      </c>
      <c r="N933" s="33">
        <f>15.4964 * CHOOSE(CONTROL!$C$32, $C$9, 100%, $E$9)</f>
        <v>15.4964</v>
      </c>
      <c r="O933" s="33">
        <f>15.5017 * CHOOSE(CONTROL!$C$32, $C$9, 100%, $E$9)</f>
        <v>15.5017</v>
      </c>
    </row>
    <row r="934" spans="1:15" ht="15" x14ac:dyDescent="0.2">
      <c r="A934" s="16">
        <v>69277</v>
      </c>
      <c r="B934" s="32">
        <f>13.8665 * CHOOSE(CONTROL!$C$32, $C$9, 100%, $E$9)</f>
        <v>13.8665</v>
      </c>
      <c r="C934" s="32">
        <f>13.8665 * CHOOSE(CONTROL!$C$32, $C$9, 100%, $E$9)</f>
        <v>13.8665</v>
      </c>
      <c r="D934" s="32">
        <f>13.8681 * CHOOSE(CONTROL!$C$32, $C$9, 100%, $E$9)</f>
        <v>13.8681</v>
      </c>
      <c r="E934" s="33">
        <f>15.4494 * CHOOSE(CONTROL!$C$32, $C$9, 100%, $E$9)</f>
        <v>15.449400000000001</v>
      </c>
      <c r="F934" s="33">
        <f>15.4494 * CHOOSE(CONTROL!$C$32, $C$9, 100%, $E$9)</f>
        <v>15.449400000000001</v>
      </c>
      <c r="G934" s="33">
        <f>15.4547 * CHOOSE(CONTROL!$C$32, $C$9, 100%, $E$9)</f>
        <v>15.454700000000001</v>
      </c>
      <c r="H934" s="33">
        <f>32.3404 * CHOOSE(CONTROL!$C$32, $C$9, 100%, $E$9)</f>
        <v>32.340400000000002</v>
      </c>
      <c r="I934" s="33">
        <f>32.3457 * CHOOSE(CONTROL!$C$32, $C$9, 100%, $E$9)</f>
        <v>32.345700000000001</v>
      </c>
      <c r="J934" s="33">
        <f>32.3404 * CHOOSE(CONTROL!$C$32, $C$9, 100%, $E$9)</f>
        <v>32.340400000000002</v>
      </c>
      <c r="K934" s="33">
        <f>32.3457 * CHOOSE(CONTROL!$C$32, $C$9, 100%, $E$9)</f>
        <v>32.345700000000001</v>
      </c>
      <c r="L934" s="33">
        <f>15.4494 * CHOOSE(CONTROL!$C$32, $C$9, 100%, $E$9)</f>
        <v>15.449400000000001</v>
      </c>
      <c r="M934" s="33">
        <f>15.4547 * CHOOSE(CONTROL!$C$32, $C$9, 100%, $E$9)</f>
        <v>15.454700000000001</v>
      </c>
      <c r="N934" s="33">
        <f>15.4494 * CHOOSE(CONTROL!$C$32, $C$9, 100%, $E$9)</f>
        <v>15.449400000000001</v>
      </c>
      <c r="O934" s="33">
        <f>15.4547 * CHOOSE(CONTROL!$C$32, $C$9, 100%, $E$9)</f>
        <v>15.454700000000001</v>
      </c>
    </row>
    <row r="935" spans="1:15" ht="15" x14ac:dyDescent="0.2">
      <c r="A935" s="16">
        <v>69307</v>
      </c>
      <c r="B935" s="32">
        <f>13.8985 * CHOOSE(CONTROL!$C$32, $C$9, 100%, $E$9)</f>
        <v>13.8985</v>
      </c>
      <c r="C935" s="32">
        <f>13.8985 * CHOOSE(CONTROL!$C$32, $C$9, 100%, $E$9)</f>
        <v>13.8985</v>
      </c>
      <c r="D935" s="32">
        <f>13.8995 * CHOOSE(CONTROL!$C$32, $C$9, 100%, $E$9)</f>
        <v>13.8995</v>
      </c>
      <c r="E935" s="33">
        <f>15.6153 * CHOOSE(CONTROL!$C$32, $C$9, 100%, $E$9)</f>
        <v>15.6153</v>
      </c>
      <c r="F935" s="33">
        <f>15.6153 * CHOOSE(CONTROL!$C$32, $C$9, 100%, $E$9)</f>
        <v>15.6153</v>
      </c>
      <c r="G935" s="33">
        <f>15.6189 * CHOOSE(CONTROL!$C$32, $C$9, 100%, $E$9)</f>
        <v>15.6189</v>
      </c>
      <c r="H935" s="33">
        <f>32.4078 * CHOOSE(CONTROL!$C$32, $C$9, 100%, $E$9)</f>
        <v>32.407800000000002</v>
      </c>
      <c r="I935" s="33">
        <f>32.4114 * CHOOSE(CONTROL!$C$32, $C$9, 100%, $E$9)</f>
        <v>32.4114</v>
      </c>
      <c r="J935" s="33">
        <f>32.4078 * CHOOSE(CONTROL!$C$32, $C$9, 100%, $E$9)</f>
        <v>32.407800000000002</v>
      </c>
      <c r="K935" s="33">
        <f>32.4114 * CHOOSE(CONTROL!$C$32, $C$9, 100%, $E$9)</f>
        <v>32.4114</v>
      </c>
      <c r="L935" s="33">
        <f>15.6153 * CHOOSE(CONTROL!$C$32, $C$9, 100%, $E$9)</f>
        <v>15.6153</v>
      </c>
      <c r="M935" s="33">
        <f>15.6189 * CHOOSE(CONTROL!$C$32, $C$9, 100%, $E$9)</f>
        <v>15.6189</v>
      </c>
      <c r="N935" s="33">
        <f>15.6153 * CHOOSE(CONTROL!$C$32, $C$9, 100%, $E$9)</f>
        <v>15.6153</v>
      </c>
      <c r="O935" s="33">
        <f>15.6189 * CHOOSE(CONTROL!$C$32, $C$9, 100%, $E$9)</f>
        <v>15.6189</v>
      </c>
    </row>
    <row r="936" spans="1:15" ht="15" x14ac:dyDescent="0.2">
      <c r="A936" s="16">
        <v>69338</v>
      </c>
      <c r="B936" s="32">
        <f>13.9015 * CHOOSE(CONTROL!$C$32, $C$9, 100%, $E$9)</f>
        <v>13.9015</v>
      </c>
      <c r="C936" s="32">
        <f>13.9015 * CHOOSE(CONTROL!$C$32, $C$9, 100%, $E$9)</f>
        <v>13.9015</v>
      </c>
      <c r="D936" s="32">
        <f>13.9026 * CHOOSE(CONTROL!$C$32, $C$9, 100%, $E$9)</f>
        <v>13.9026</v>
      </c>
      <c r="E936" s="33">
        <f>15.7071 * CHOOSE(CONTROL!$C$32, $C$9, 100%, $E$9)</f>
        <v>15.707100000000001</v>
      </c>
      <c r="F936" s="33">
        <f>15.7071 * CHOOSE(CONTROL!$C$32, $C$9, 100%, $E$9)</f>
        <v>15.707100000000001</v>
      </c>
      <c r="G936" s="33">
        <f>15.7107 * CHOOSE(CONTROL!$C$32, $C$9, 100%, $E$9)</f>
        <v>15.710699999999999</v>
      </c>
      <c r="H936" s="33">
        <f>32.4753 * CHOOSE(CONTROL!$C$32, $C$9, 100%, $E$9)</f>
        <v>32.475299999999997</v>
      </c>
      <c r="I936" s="33">
        <f>32.479 * CHOOSE(CONTROL!$C$32, $C$9, 100%, $E$9)</f>
        <v>32.478999999999999</v>
      </c>
      <c r="J936" s="33">
        <f>32.4753 * CHOOSE(CONTROL!$C$32, $C$9, 100%, $E$9)</f>
        <v>32.475299999999997</v>
      </c>
      <c r="K936" s="33">
        <f>32.479 * CHOOSE(CONTROL!$C$32, $C$9, 100%, $E$9)</f>
        <v>32.478999999999999</v>
      </c>
      <c r="L936" s="33">
        <f>15.7071 * CHOOSE(CONTROL!$C$32, $C$9, 100%, $E$9)</f>
        <v>15.707100000000001</v>
      </c>
      <c r="M936" s="33">
        <f>15.7107 * CHOOSE(CONTROL!$C$32, $C$9, 100%, $E$9)</f>
        <v>15.710699999999999</v>
      </c>
      <c r="N936" s="33">
        <f>15.7071 * CHOOSE(CONTROL!$C$32, $C$9, 100%, $E$9)</f>
        <v>15.707100000000001</v>
      </c>
      <c r="O936" s="33">
        <f>15.7107 * CHOOSE(CONTROL!$C$32, $C$9, 100%, $E$9)</f>
        <v>15.710699999999999</v>
      </c>
    </row>
    <row r="937" spans="1:15" ht="15" x14ac:dyDescent="0.2">
      <c r="A937" s="16">
        <v>69368</v>
      </c>
      <c r="B937" s="32">
        <f>13.9015 * CHOOSE(CONTROL!$C$32, $C$9, 100%, $E$9)</f>
        <v>13.9015</v>
      </c>
      <c r="C937" s="32">
        <f>13.9015 * CHOOSE(CONTROL!$C$32, $C$9, 100%, $E$9)</f>
        <v>13.9015</v>
      </c>
      <c r="D937" s="32">
        <f>13.9026 * CHOOSE(CONTROL!$C$32, $C$9, 100%, $E$9)</f>
        <v>13.9026</v>
      </c>
      <c r="E937" s="33">
        <f>15.483 * CHOOSE(CONTROL!$C$32, $C$9, 100%, $E$9)</f>
        <v>15.483000000000001</v>
      </c>
      <c r="F937" s="33">
        <f>15.483 * CHOOSE(CONTROL!$C$32, $C$9, 100%, $E$9)</f>
        <v>15.483000000000001</v>
      </c>
      <c r="G937" s="33">
        <f>15.4866 * CHOOSE(CONTROL!$C$32, $C$9, 100%, $E$9)</f>
        <v>15.486599999999999</v>
      </c>
      <c r="H937" s="33">
        <f>32.543 * CHOOSE(CONTROL!$C$32, $C$9, 100%, $E$9)</f>
        <v>32.542999999999999</v>
      </c>
      <c r="I937" s="33">
        <f>32.5466 * CHOOSE(CONTROL!$C$32, $C$9, 100%, $E$9)</f>
        <v>32.546599999999998</v>
      </c>
      <c r="J937" s="33">
        <f>32.543 * CHOOSE(CONTROL!$C$32, $C$9, 100%, $E$9)</f>
        <v>32.542999999999999</v>
      </c>
      <c r="K937" s="33">
        <f>32.5466 * CHOOSE(CONTROL!$C$32, $C$9, 100%, $E$9)</f>
        <v>32.546599999999998</v>
      </c>
      <c r="L937" s="33">
        <f>15.483 * CHOOSE(CONTROL!$C$32, $C$9, 100%, $E$9)</f>
        <v>15.483000000000001</v>
      </c>
      <c r="M937" s="33">
        <f>15.4866 * CHOOSE(CONTROL!$C$32, $C$9, 100%, $E$9)</f>
        <v>15.486599999999999</v>
      </c>
      <c r="N937" s="33">
        <f>15.483 * CHOOSE(CONTROL!$C$32, $C$9, 100%, $E$9)</f>
        <v>15.483000000000001</v>
      </c>
      <c r="O937" s="33">
        <f>15.4866 * CHOOSE(CONTROL!$C$32, $C$9, 100%, $E$9)</f>
        <v>15.486599999999999</v>
      </c>
    </row>
    <row r="938" spans="1:15" ht="15" x14ac:dyDescent="0.2">
      <c r="A938" s="16">
        <v>69399</v>
      </c>
      <c r="B938" s="32">
        <f>13.8782 * CHOOSE(CONTROL!$C$32, $C$9, 100%, $E$9)</f>
        <v>13.8782</v>
      </c>
      <c r="C938" s="32">
        <f>13.8782 * CHOOSE(CONTROL!$C$32, $C$9, 100%, $E$9)</f>
        <v>13.8782</v>
      </c>
      <c r="D938" s="32">
        <f>13.8793 * CHOOSE(CONTROL!$C$32, $C$9, 100%, $E$9)</f>
        <v>13.879300000000001</v>
      </c>
      <c r="E938" s="33">
        <f>15.6206 * CHOOSE(CONTROL!$C$32, $C$9, 100%, $E$9)</f>
        <v>15.6206</v>
      </c>
      <c r="F938" s="33">
        <f>15.6206 * CHOOSE(CONTROL!$C$32, $C$9, 100%, $E$9)</f>
        <v>15.6206</v>
      </c>
      <c r="G938" s="33">
        <f>15.6242 * CHOOSE(CONTROL!$C$32, $C$9, 100%, $E$9)</f>
        <v>15.6242</v>
      </c>
      <c r="H938" s="33">
        <f>32.2705 * CHOOSE(CONTROL!$C$32, $C$9, 100%, $E$9)</f>
        <v>32.270499999999998</v>
      </c>
      <c r="I938" s="33">
        <f>32.2741 * CHOOSE(CONTROL!$C$32, $C$9, 100%, $E$9)</f>
        <v>32.274099999999997</v>
      </c>
      <c r="J938" s="33">
        <f>32.2705 * CHOOSE(CONTROL!$C$32, $C$9, 100%, $E$9)</f>
        <v>32.270499999999998</v>
      </c>
      <c r="K938" s="33">
        <f>32.2741 * CHOOSE(CONTROL!$C$32, $C$9, 100%, $E$9)</f>
        <v>32.274099999999997</v>
      </c>
      <c r="L938" s="33">
        <f>15.6206 * CHOOSE(CONTROL!$C$32, $C$9, 100%, $E$9)</f>
        <v>15.6206</v>
      </c>
      <c r="M938" s="33">
        <f>15.6242 * CHOOSE(CONTROL!$C$32, $C$9, 100%, $E$9)</f>
        <v>15.6242</v>
      </c>
      <c r="N938" s="33">
        <f>15.6206 * CHOOSE(CONTROL!$C$32, $C$9, 100%, $E$9)</f>
        <v>15.6206</v>
      </c>
      <c r="O938" s="33">
        <f>15.6242 * CHOOSE(CONTROL!$C$32, $C$9, 100%, $E$9)</f>
        <v>15.6242</v>
      </c>
    </row>
    <row r="939" spans="1:15" ht="15" x14ac:dyDescent="0.2">
      <c r="A939" s="16">
        <v>69430</v>
      </c>
      <c r="B939" s="32">
        <f>13.8752 * CHOOSE(CONTROL!$C$32, $C$9, 100%, $E$9)</f>
        <v>13.8752</v>
      </c>
      <c r="C939" s="32">
        <f>13.8752 * CHOOSE(CONTROL!$C$32, $C$9, 100%, $E$9)</f>
        <v>13.8752</v>
      </c>
      <c r="D939" s="32">
        <f>13.8763 * CHOOSE(CONTROL!$C$32, $C$9, 100%, $E$9)</f>
        <v>13.876300000000001</v>
      </c>
      <c r="E939" s="33">
        <f>15.1879 * CHOOSE(CONTROL!$C$32, $C$9, 100%, $E$9)</f>
        <v>15.187900000000001</v>
      </c>
      <c r="F939" s="33">
        <f>15.1879 * CHOOSE(CONTROL!$C$32, $C$9, 100%, $E$9)</f>
        <v>15.187900000000001</v>
      </c>
      <c r="G939" s="33">
        <f>15.1915 * CHOOSE(CONTROL!$C$32, $C$9, 100%, $E$9)</f>
        <v>15.1915</v>
      </c>
      <c r="H939" s="33">
        <f>32.3377 * CHOOSE(CONTROL!$C$32, $C$9, 100%, $E$9)</f>
        <v>32.337699999999998</v>
      </c>
      <c r="I939" s="33">
        <f>32.3413 * CHOOSE(CONTROL!$C$32, $C$9, 100%, $E$9)</f>
        <v>32.341299999999997</v>
      </c>
      <c r="J939" s="33">
        <f>32.3377 * CHOOSE(CONTROL!$C$32, $C$9, 100%, $E$9)</f>
        <v>32.337699999999998</v>
      </c>
      <c r="K939" s="33">
        <f>32.3413 * CHOOSE(CONTROL!$C$32, $C$9, 100%, $E$9)</f>
        <v>32.341299999999997</v>
      </c>
      <c r="L939" s="33">
        <f>15.1879 * CHOOSE(CONTROL!$C$32, $C$9, 100%, $E$9)</f>
        <v>15.187900000000001</v>
      </c>
      <c r="M939" s="33">
        <f>15.1915 * CHOOSE(CONTROL!$C$32, $C$9, 100%, $E$9)</f>
        <v>15.1915</v>
      </c>
      <c r="N939" s="33">
        <f>15.1879 * CHOOSE(CONTROL!$C$32, $C$9, 100%, $E$9)</f>
        <v>15.187900000000001</v>
      </c>
      <c r="O939" s="33">
        <f>15.1915 * CHOOSE(CONTROL!$C$32, $C$9, 100%, $E$9)</f>
        <v>15.1915</v>
      </c>
    </row>
    <row r="940" spans="1:15" ht="15" x14ac:dyDescent="0.2">
      <c r="A940" s="16">
        <v>69458</v>
      </c>
      <c r="B940" s="32">
        <f>13.8722 * CHOOSE(CONTROL!$C$32, $C$9, 100%, $E$9)</f>
        <v>13.872199999999999</v>
      </c>
      <c r="C940" s="32">
        <f>13.8722 * CHOOSE(CONTROL!$C$32, $C$9, 100%, $E$9)</f>
        <v>13.872199999999999</v>
      </c>
      <c r="D940" s="32">
        <f>13.8732 * CHOOSE(CONTROL!$C$32, $C$9, 100%, $E$9)</f>
        <v>13.873200000000001</v>
      </c>
      <c r="E940" s="33">
        <f>15.5252 * CHOOSE(CONTROL!$C$32, $C$9, 100%, $E$9)</f>
        <v>15.5252</v>
      </c>
      <c r="F940" s="33">
        <f>15.5252 * CHOOSE(CONTROL!$C$32, $C$9, 100%, $E$9)</f>
        <v>15.5252</v>
      </c>
      <c r="G940" s="33">
        <f>15.5288 * CHOOSE(CONTROL!$C$32, $C$9, 100%, $E$9)</f>
        <v>15.5288</v>
      </c>
      <c r="H940" s="33">
        <f>32.4051 * CHOOSE(CONTROL!$C$32, $C$9, 100%, $E$9)</f>
        <v>32.405099999999997</v>
      </c>
      <c r="I940" s="33">
        <f>32.4087 * CHOOSE(CONTROL!$C$32, $C$9, 100%, $E$9)</f>
        <v>32.408700000000003</v>
      </c>
      <c r="J940" s="33">
        <f>32.4051 * CHOOSE(CONTROL!$C$32, $C$9, 100%, $E$9)</f>
        <v>32.405099999999997</v>
      </c>
      <c r="K940" s="33">
        <f>32.4087 * CHOOSE(CONTROL!$C$32, $C$9, 100%, $E$9)</f>
        <v>32.408700000000003</v>
      </c>
      <c r="L940" s="33">
        <f>15.5252 * CHOOSE(CONTROL!$C$32, $C$9, 100%, $E$9)</f>
        <v>15.5252</v>
      </c>
      <c r="M940" s="33">
        <f>15.5288 * CHOOSE(CONTROL!$C$32, $C$9, 100%, $E$9)</f>
        <v>15.5288</v>
      </c>
      <c r="N940" s="33">
        <f>15.5252 * CHOOSE(CONTROL!$C$32, $C$9, 100%, $E$9)</f>
        <v>15.5252</v>
      </c>
      <c r="O940" s="33">
        <f>15.5288 * CHOOSE(CONTROL!$C$32, $C$9, 100%, $E$9)</f>
        <v>15.5288</v>
      </c>
    </row>
    <row r="941" spans="1:15" ht="15" x14ac:dyDescent="0.2">
      <c r="A941" s="16">
        <v>69489</v>
      </c>
      <c r="B941" s="32">
        <f>13.8794 * CHOOSE(CONTROL!$C$32, $C$9, 100%, $E$9)</f>
        <v>13.8794</v>
      </c>
      <c r="C941" s="32">
        <f>13.8794 * CHOOSE(CONTROL!$C$32, $C$9, 100%, $E$9)</f>
        <v>13.8794</v>
      </c>
      <c r="D941" s="32">
        <f>13.8805 * CHOOSE(CONTROL!$C$32, $C$9, 100%, $E$9)</f>
        <v>13.8805</v>
      </c>
      <c r="E941" s="33">
        <f>15.8856 * CHOOSE(CONTROL!$C$32, $C$9, 100%, $E$9)</f>
        <v>15.8856</v>
      </c>
      <c r="F941" s="33">
        <f>15.8856 * CHOOSE(CONTROL!$C$32, $C$9, 100%, $E$9)</f>
        <v>15.8856</v>
      </c>
      <c r="G941" s="33">
        <f>15.8892 * CHOOSE(CONTROL!$C$32, $C$9, 100%, $E$9)</f>
        <v>15.889200000000001</v>
      </c>
      <c r="H941" s="33">
        <f>32.4726 * CHOOSE(CONTROL!$C$32, $C$9, 100%, $E$9)</f>
        <v>32.4726</v>
      </c>
      <c r="I941" s="33">
        <f>32.4762 * CHOOSE(CONTROL!$C$32, $C$9, 100%, $E$9)</f>
        <v>32.476199999999999</v>
      </c>
      <c r="J941" s="33">
        <f>32.4726 * CHOOSE(CONTROL!$C$32, $C$9, 100%, $E$9)</f>
        <v>32.4726</v>
      </c>
      <c r="K941" s="33">
        <f>32.4762 * CHOOSE(CONTROL!$C$32, $C$9, 100%, $E$9)</f>
        <v>32.476199999999999</v>
      </c>
      <c r="L941" s="33">
        <f>15.8856 * CHOOSE(CONTROL!$C$32, $C$9, 100%, $E$9)</f>
        <v>15.8856</v>
      </c>
      <c r="M941" s="33">
        <f>15.8892 * CHOOSE(CONTROL!$C$32, $C$9, 100%, $E$9)</f>
        <v>15.889200000000001</v>
      </c>
      <c r="N941" s="33">
        <f>15.8856 * CHOOSE(CONTROL!$C$32, $C$9, 100%, $E$9)</f>
        <v>15.8856</v>
      </c>
      <c r="O941" s="33">
        <f>15.8892 * CHOOSE(CONTROL!$C$32, $C$9, 100%, $E$9)</f>
        <v>15.889200000000001</v>
      </c>
    </row>
    <row r="942" spans="1:15" ht="15" x14ac:dyDescent="0.2">
      <c r="A942" s="16">
        <v>69519</v>
      </c>
      <c r="B942" s="32">
        <f>13.8794 * CHOOSE(CONTROL!$C$32, $C$9, 100%, $E$9)</f>
        <v>13.8794</v>
      </c>
      <c r="C942" s="32">
        <f>13.8794 * CHOOSE(CONTROL!$C$32, $C$9, 100%, $E$9)</f>
        <v>13.8794</v>
      </c>
      <c r="D942" s="32">
        <f>13.881 * CHOOSE(CONTROL!$C$32, $C$9, 100%, $E$9)</f>
        <v>13.881</v>
      </c>
      <c r="E942" s="33">
        <f>16.0223 * CHOOSE(CONTROL!$C$32, $C$9, 100%, $E$9)</f>
        <v>16.022300000000001</v>
      </c>
      <c r="F942" s="33">
        <f>16.0223 * CHOOSE(CONTROL!$C$32, $C$9, 100%, $E$9)</f>
        <v>16.022300000000001</v>
      </c>
      <c r="G942" s="33">
        <f>16.0276 * CHOOSE(CONTROL!$C$32, $C$9, 100%, $E$9)</f>
        <v>16.0276</v>
      </c>
      <c r="H942" s="33">
        <f>32.5402 * CHOOSE(CONTROL!$C$32, $C$9, 100%, $E$9)</f>
        <v>32.540199999999999</v>
      </c>
      <c r="I942" s="33">
        <f>32.5455 * CHOOSE(CONTROL!$C$32, $C$9, 100%, $E$9)</f>
        <v>32.545499999999997</v>
      </c>
      <c r="J942" s="33">
        <f>32.5402 * CHOOSE(CONTROL!$C$32, $C$9, 100%, $E$9)</f>
        <v>32.540199999999999</v>
      </c>
      <c r="K942" s="33">
        <f>32.5455 * CHOOSE(CONTROL!$C$32, $C$9, 100%, $E$9)</f>
        <v>32.545499999999997</v>
      </c>
      <c r="L942" s="33">
        <f>16.0223 * CHOOSE(CONTROL!$C$32, $C$9, 100%, $E$9)</f>
        <v>16.022300000000001</v>
      </c>
      <c r="M942" s="33">
        <f>16.0276 * CHOOSE(CONTROL!$C$32, $C$9, 100%, $E$9)</f>
        <v>16.0276</v>
      </c>
      <c r="N942" s="33">
        <f>16.0223 * CHOOSE(CONTROL!$C$32, $C$9, 100%, $E$9)</f>
        <v>16.022300000000001</v>
      </c>
      <c r="O942" s="33">
        <f>16.0276 * CHOOSE(CONTROL!$C$32, $C$9, 100%, $E$9)</f>
        <v>16.0276</v>
      </c>
    </row>
    <row r="943" spans="1:15" ht="15" x14ac:dyDescent="0.2">
      <c r="A943" s="16">
        <v>69550</v>
      </c>
      <c r="B943" s="32">
        <f>13.8855 * CHOOSE(CONTROL!$C$32, $C$9, 100%, $E$9)</f>
        <v>13.8855</v>
      </c>
      <c r="C943" s="32">
        <f>13.8855 * CHOOSE(CONTROL!$C$32, $C$9, 100%, $E$9)</f>
        <v>13.8855</v>
      </c>
      <c r="D943" s="32">
        <f>13.8871 * CHOOSE(CONTROL!$C$32, $C$9, 100%, $E$9)</f>
        <v>13.8871</v>
      </c>
      <c r="E943" s="33">
        <f>15.8898 * CHOOSE(CONTROL!$C$32, $C$9, 100%, $E$9)</f>
        <v>15.889799999999999</v>
      </c>
      <c r="F943" s="33">
        <f>15.8898 * CHOOSE(CONTROL!$C$32, $C$9, 100%, $E$9)</f>
        <v>15.889799999999999</v>
      </c>
      <c r="G943" s="33">
        <f>15.8951 * CHOOSE(CONTROL!$C$32, $C$9, 100%, $E$9)</f>
        <v>15.895099999999999</v>
      </c>
      <c r="H943" s="33">
        <f>32.608 * CHOOSE(CONTROL!$C$32, $C$9, 100%, $E$9)</f>
        <v>32.607999999999997</v>
      </c>
      <c r="I943" s="33">
        <f>32.6133 * CHOOSE(CONTROL!$C$32, $C$9, 100%, $E$9)</f>
        <v>32.613300000000002</v>
      </c>
      <c r="J943" s="33">
        <f>32.608 * CHOOSE(CONTROL!$C$32, $C$9, 100%, $E$9)</f>
        <v>32.607999999999997</v>
      </c>
      <c r="K943" s="33">
        <f>32.6133 * CHOOSE(CONTROL!$C$32, $C$9, 100%, $E$9)</f>
        <v>32.613300000000002</v>
      </c>
      <c r="L943" s="33">
        <f>15.8898 * CHOOSE(CONTROL!$C$32, $C$9, 100%, $E$9)</f>
        <v>15.889799999999999</v>
      </c>
      <c r="M943" s="33">
        <f>15.8951 * CHOOSE(CONTROL!$C$32, $C$9, 100%, $E$9)</f>
        <v>15.895099999999999</v>
      </c>
      <c r="N943" s="33">
        <f>15.8898 * CHOOSE(CONTROL!$C$32, $C$9, 100%, $E$9)</f>
        <v>15.889799999999999</v>
      </c>
      <c r="O943" s="33">
        <f>15.8951 * CHOOSE(CONTROL!$C$32, $C$9, 100%, $E$9)</f>
        <v>15.895099999999999</v>
      </c>
    </row>
    <row r="944" spans="1:15" ht="15" x14ac:dyDescent="0.2">
      <c r="A944" s="16">
        <v>69580</v>
      </c>
      <c r="B944" s="32">
        <f>14.0525 * CHOOSE(CONTROL!$C$32, $C$9, 100%, $E$9)</f>
        <v>14.0525</v>
      </c>
      <c r="C944" s="32">
        <f>14.0525 * CHOOSE(CONTROL!$C$32, $C$9, 100%, $E$9)</f>
        <v>14.0525</v>
      </c>
      <c r="D944" s="32">
        <f>14.054 * CHOOSE(CONTROL!$C$32, $C$9, 100%, $E$9)</f>
        <v>14.054</v>
      </c>
      <c r="E944" s="33">
        <f>16.1153 * CHOOSE(CONTROL!$C$32, $C$9, 100%, $E$9)</f>
        <v>16.115300000000001</v>
      </c>
      <c r="F944" s="33">
        <f>16.1153 * CHOOSE(CONTROL!$C$32, $C$9, 100%, $E$9)</f>
        <v>16.115300000000001</v>
      </c>
      <c r="G944" s="33">
        <f>16.1206 * CHOOSE(CONTROL!$C$32, $C$9, 100%, $E$9)</f>
        <v>16.1206</v>
      </c>
      <c r="H944" s="33">
        <f>32.676 * CHOOSE(CONTROL!$C$32, $C$9, 100%, $E$9)</f>
        <v>32.676000000000002</v>
      </c>
      <c r="I944" s="33">
        <f>32.6813 * CHOOSE(CONTROL!$C$32, $C$9, 100%, $E$9)</f>
        <v>32.6813</v>
      </c>
      <c r="J944" s="33">
        <f>32.676 * CHOOSE(CONTROL!$C$32, $C$9, 100%, $E$9)</f>
        <v>32.676000000000002</v>
      </c>
      <c r="K944" s="33">
        <f>32.6813 * CHOOSE(CONTROL!$C$32, $C$9, 100%, $E$9)</f>
        <v>32.6813</v>
      </c>
      <c r="L944" s="33">
        <f>16.1153 * CHOOSE(CONTROL!$C$32, $C$9, 100%, $E$9)</f>
        <v>16.115300000000001</v>
      </c>
      <c r="M944" s="33">
        <f>16.1206 * CHOOSE(CONTROL!$C$32, $C$9, 100%, $E$9)</f>
        <v>16.1206</v>
      </c>
      <c r="N944" s="33">
        <f>16.1153 * CHOOSE(CONTROL!$C$32, $C$9, 100%, $E$9)</f>
        <v>16.115300000000001</v>
      </c>
      <c r="O944" s="33">
        <f>16.1206 * CHOOSE(CONTROL!$C$32, $C$9, 100%, $E$9)</f>
        <v>16.1206</v>
      </c>
    </row>
    <row r="945" spans="1:15" ht="15" x14ac:dyDescent="0.2">
      <c r="A945" s="16">
        <v>69611</v>
      </c>
      <c r="B945" s="32">
        <f>14.0592 * CHOOSE(CONTROL!$C$32, $C$9, 100%, $E$9)</f>
        <v>14.059200000000001</v>
      </c>
      <c r="C945" s="32">
        <f>14.0592 * CHOOSE(CONTROL!$C$32, $C$9, 100%, $E$9)</f>
        <v>14.059200000000001</v>
      </c>
      <c r="D945" s="32">
        <f>14.0607 * CHOOSE(CONTROL!$C$32, $C$9, 100%, $E$9)</f>
        <v>14.060700000000001</v>
      </c>
      <c r="E945" s="33">
        <f>15.7098 * CHOOSE(CONTROL!$C$32, $C$9, 100%, $E$9)</f>
        <v>15.7098</v>
      </c>
      <c r="F945" s="33">
        <f>15.7098 * CHOOSE(CONTROL!$C$32, $C$9, 100%, $E$9)</f>
        <v>15.7098</v>
      </c>
      <c r="G945" s="33">
        <f>15.7151 * CHOOSE(CONTROL!$C$32, $C$9, 100%, $E$9)</f>
        <v>15.7151</v>
      </c>
      <c r="H945" s="33">
        <f>32.7441 * CHOOSE(CONTROL!$C$32, $C$9, 100%, $E$9)</f>
        <v>32.744100000000003</v>
      </c>
      <c r="I945" s="33">
        <f>32.7493 * CHOOSE(CONTROL!$C$32, $C$9, 100%, $E$9)</f>
        <v>32.749299999999998</v>
      </c>
      <c r="J945" s="33">
        <f>32.7441 * CHOOSE(CONTROL!$C$32, $C$9, 100%, $E$9)</f>
        <v>32.744100000000003</v>
      </c>
      <c r="K945" s="33">
        <f>32.7493 * CHOOSE(CONTROL!$C$32, $C$9, 100%, $E$9)</f>
        <v>32.749299999999998</v>
      </c>
      <c r="L945" s="33">
        <f>15.7098 * CHOOSE(CONTROL!$C$32, $C$9, 100%, $E$9)</f>
        <v>15.7098</v>
      </c>
      <c r="M945" s="33">
        <f>15.7151 * CHOOSE(CONTROL!$C$32, $C$9, 100%, $E$9)</f>
        <v>15.7151</v>
      </c>
      <c r="N945" s="33">
        <f>15.7098 * CHOOSE(CONTROL!$C$32, $C$9, 100%, $E$9)</f>
        <v>15.7098</v>
      </c>
      <c r="O945" s="33">
        <f>15.7151 * CHOOSE(CONTROL!$C$32, $C$9, 100%, $E$9)</f>
        <v>15.7151</v>
      </c>
    </row>
    <row r="946" spans="1:15" ht="15" x14ac:dyDescent="0.2">
      <c r="A946" s="16">
        <v>69642</v>
      </c>
      <c r="B946" s="32">
        <f>14.0561 * CHOOSE(CONTROL!$C$32, $C$9, 100%, $E$9)</f>
        <v>14.056100000000001</v>
      </c>
      <c r="C946" s="32">
        <f>14.0561 * CHOOSE(CONTROL!$C$32, $C$9, 100%, $E$9)</f>
        <v>14.056100000000001</v>
      </c>
      <c r="D946" s="32">
        <f>14.0577 * CHOOSE(CONTROL!$C$32, $C$9, 100%, $E$9)</f>
        <v>14.057700000000001</v>
      </c>
      <c r="E946" s="33">
        <f>15.6621 * CHOOSE(CONTROL!$C$32, $C$9, 100%, $E$9)</f>
        <v>15.662100000000001</v>
      </c>
      <c r="F946" s="33">
        <f>15.6621 * CHOOSE(CONTROL!$C$32, $C$9, 100%, $E$9)</f>
        <v>15.662100000000001</v>
      </c>
      <c r="G946" s="33">
        <f>15.6674 * CHOOSE(CONTROL!$C$32, $C$9, 100%, $E$9)</f>
        <v>15.667400000000001</v>
      </c>
      <c r="H946" s="33">
        <f>32.8123 * CHOOSE(CONTROL!$C$32, $C$9, 100%, $E$9)</f>
        <v>32.8123</v>
      </c>
      <c r="I946" s="33">
        <f>32.8176 * CHOOSE(CONTROL!$C$32, $C$9, 100%, $E$9)</f>
        <v>32.817599999999999</v>
      </c>
      <c r="J946" s="33">
        <f>32.8123 * CHOOSE(CONTROL!$C$32, $C$9, 100%, $E$9)</f>
        <v>32.8123</v>
      </c>
      <c r="K946" s="33">
        <f>32.8176 * CHOOSE(CONTROL!$C$32, $C$9, 100%, $E$9)</f>
        <v>32.817599999999999</v>
      </c>
      <c r="L946" s="33">
        <f>15.6621 * CHOOSE(CONTROL!$C$32, $C$9, 100%, $E$9)</f>
        <v>15.662100000000001</v>
      </c>
      <c r="M946" s="33">
        <f>15.6674 * CHOOSE(CONTROL!$C$32, $C$9, 100%, $E$9)</f>
        <v>15.667400000000001</v>
      </c>
      <c r="N946" s="33">
        <f>15.6621 * CHOOSE(CONTROL!$C$32, $C$9, 100%, $E$9)</f>
        <v>15.662100000000001</v>
      </c>
      <c r="O946" s="33">
        <f>15.6674 * CHOOSE(CONTROL!$C$32, $C$9, 100%, $E$9)</f>
        <v>15.667400000000001</v>
      </c>
    </row>
    <row r="947" spans="1:15" ht="15" x14ac:dyDescent="0.2">
      <c r="A947" s="16">
        <v>69672</v>
      </c>
      <c r="B947" s="32">
        <f>14.0888 * CHOOSE(CONTROL!$C$32, $C$9, 100%, $E$9)</f>
        <v>14.088800000000001</v>
      </c>
      <c r="C947" s="32">
        <f>14.0888 * CHOOSE(CONTROL!$C$32, $C$9, 100%, $E$9)</f>
        <v>14.088800000000001</v>
      </c>
      <c r="D947" s="32">
        <f>14.0899 * CHOOSE(CONTROL!$C$32, $C$9, 100%, $E$9)</f>
        <v>14.0899</v>
      </c>
      <c r="E947" s="33">
        <f>15.831 * CHOOSE(CONTROL!$C$32, $C$9, 100%, $E$9)</f>
        <v>15.831</v>
      </c>
      <c r="F947" s="33">
        <f>15.831 * CHOOSE(CONTROL!$C$32, $C$9, 100%, $E$9)</f>
        <v>15.831</v>
      </c>
      <c r="G947" s="33">
        <f>15.8346 * CHOOSE(CONTROL!$C$32, $C$9, 100%, $E$9)</f>
        <v>15.8346</v>
      </c>
      <c r="H947" s="33">
        <f>32.8806 * CHOOSE(CONTROL!$C$32, $C$9, 100%, $E$9)</f>
        <v>32.880600000000001</v>
      </c>
      <c r="I947" s="33">
        <f>32.8842 * CHOOSE(CONTROL!$C$32, $C$9, 100%, $E$9)</f>
        <v>32.8842</v>
      </c>
      <c r="J947" s="33">
        <f>32.8806 * CHOOSE(CONTROL!$C$32, $C$9, 100%, $E$9)</f>
        <v>32.880600000000001</v>
      </c>
      <c r="K947" s="33">
        <f>32.8842 * CHOOSE(CONTROL!$C$32, $C$9, 100%, $E$9)</f>
        <v>32.8842</v>
      </c>
      <c r="L947" s="33">
        <f>15.831 * CHOOSE(CONTROL!$C$32, $C$9, 100%, $E$9)</f>
        <v>15.831</v>
      </c>
      <c r="M947" s="33">
        <f>15.8346 * CHOOSE(CONTROL!$C$32, $C$9, 100%, $E$9)</f>
        <v>15.8346</v>
      </c>
      <c r="N947" s="33">
        <f>15.831 * CHOOSE(CONTROL!$C$32, $C$9, 100%, $E$9)</f>
        <v>15.831</v>
      </c>
      <c r="O947" s="33">
        <f>15.8346 * CHOOSE(CONTROL!$C$32, $C$9, 100%, $E$9)</f>
        <v>15.8346</v>
      </c>
    </row>
    <row r="948" spans="1:15" ht="15" x14ac:dyDescent="0.2">
      <c r="A948" s="16">
        <v>69703</v>
      </c>
      <c r="B948" s="32">
        <f>14.0918 * CHOOSE(CONTROL!$C$32, $C$9, 100%, $E$9)</f>
        <v>14.091799999999999</v>
      </c>
      <c r="C948" s="32">
        <f>14.0918 * CHOOSE(CONTROL!$C$32, $C$9, 100%, $E$9)</f>
        <v>14.091799999999999</v>
      </c>
      <c r="D948" s="32">
        <f>14.0929 * CHOOSE(CONTROL!$C$32, $C$9, 100%, $E$9)</f>
        <v>14.0929</v>
      </c>
      <c r="E948" s="33">
        <f>15.9243 * CHOOSE(CONTROL!$C$32, $C$9, 100%, $E$9)</f>
        <v>15.924300000000001</v>
      </c>
      <c r="F948" s="33">
        <f>15.9243 * CHOOSE(CONTROL!$C$32, $C$9, 100%, $E$9)</f>
        <v>15.924300000000001</v>
      </c>
      <c r="G948" s="33">
        <f>15.9279 * CHOOSE(CONTROL!$C$32, $C$9, 100%, $E$9)</f>
        <v>15.927899999999999</v>
      </c>
      <c r="H948" s="33">
        <f>32.9491 * CHOOSE(CONTROL!$C$32, $C$9, 100%, $E$9)</f>
        <v>32.949100000000001</v>
      </c>
      <c r="I948" s="33">
        <f>32.9527 * CHOOSE(CONTROL!$C$32, $C$9, 100%, $E$9)</f>
        <v>32.9527</v>
      </c>
      <c r="J948" s="33">
        <f>32.9491 * CHOOSE(CONTROL!$C$32, $C$9, 100%, $E$9)</f>
        <v>32.949100000000001</v>
      </c>
      <c r="K948" s="33">
        <f>32.9527 * CHOOSE(CONTROL!$C$32, $C$9, 100%, $E$9)</f>
        <v>32.9527</v>
      </c>
      <c r="L948" s="33">
        <f>15.9243 * CHOOSE(CONTROL!$C$32, $C$9, 100%, $E$9)</f>
        <v>15.924300000000001</v>
      </c>
      <c r="M948" s="33">
        <f>15.9279 * CHOOSE(CONTROL!$C$32, $C$9, 100%, $E$9)</f>
        <v>15.927899999999999</v>
      </c>
      <c r="N948" s="33">
        <f>15.9243 * CHOOSE(CONTROL!$C$32, $C$9, 100%, $E$9)</f>
        <v>15.924300000000001</v>
      </c>
      <c r="O948" s="33">
        <f>15.9279 * CHOOSE(CONTROL!$C$32, $C$9, 100%, $E$9)</f>
        <v>15.927899999999999</v>
      </c>
    </row>
    <row r="949" spans="1:15" ht="15" x14ac:dyDescent="0.2">
      <c r="A949" s="16">
        <v>69733</v>
      </c>
      <c r="B949" s="32">
        <f>14.0918 * CHOOSE(CONTROL!$C$32, $C$9, 100%, $E$9)</f>
        <v>14.091799999999999</v>
      </c>
      <c r="C949" s="32">
        <f>14.0918 * CHOOSE(CONTROL!$C$32, $C$9, 100%, $E$9)</f>
        <v>14.091799999999999</v>
      </c>
      <c r="D949" s="32">
        <f>14.0929 * CHOOSE(CONTROL!$C$32, $C$9, 100%, $E$9)</f>
        <v>14.0929</v>
      </c>
      <c r="E949" s="33">
        <f>15.6964 * CHOOSE(CONTROL!$C$32, $C$9, 100%, $E$9)</f>
        <v>15.696400000000001</v>
      </c>
      <c r="F949" s="33">
        <f>15.6964 * CHOOSE(CONTROL!$C$32, $C$9, 100%, $E$9)</f>
        <v>15.696400000000001</v>
      </c>
      <c r="G949" s="33">
        <f>15.7 * CHOOSE(CONTROL!$C$32, $C$9, 100%, $E$9)</f>
        <v>15.7</v>
      </c>
      <c r="H949" s="33">
        <f>33.0178 * CHOOSE(CONTROL!$C$32, $C$9, 100%, $E$9)</f>
        <v>33.017800000000001</v>
      </c>
      <c r="I949" s="33">
        <f>33.0214 * CHOOSE(CONTROL!$C$32, $C$9, 100%, $E$9)</f>
        <v>33.0214</v>
      </c>
      <c r="J949" s="33">
        <f>33.0178 * CHOOSE(CONTROL!$C$32, $C$9, 100%, $E$9)</f>
        <v>33.017800000000001</v>
      </c>
      <c r="K949" s="33">
        <f>33.0214 * CHOOSE(CONTROL!$C$32, $C$9, 100%, $E$9)</f>
        <v>33.0214</v>
      </c>
      <c r="L949" s="33">
        <f>15.6964 * CHOOSE(CONTROL!$C$32, $C$9, 100%, $E$9)</f>
        <v>15.696400000000001</v>
      </c>
      <c r="M949" s="33">
        <f>15.7 * CHOOSE(CONTROL!$C$32, $C$9, 100%, $E$9)</f>
        <v>15.7</v>
      </c>
      <c r="N949" s="33">
        <f>15.6964 * CHOOSE(CONTROL!$C$32, $C$9, 100%, $E$9)</f>
        <v>15.696400000000001</v>
      </c>
      <c r="O949" s="33">
        <f>15.7 * CHOOSE(CONTROL!$C$32, $C$9, 100%, $E$9)</f>
        <v>15.7</v>
      </c>
    </row>
    <row r="950" spans="1:15" ht="15" x14ac:dyDescent="0.2">
      <c r="A950" s="16">
        <v>69764</v>
      </c>
      <c r="B950" s="32">
        <f>14.0656 * CHOOSE(CONTROL!$C$32, $C$9, 100%, $E$9)</f>
        <v>14.0656</v>
      </c>
      <c r="C950" s="32">
        <f>14.0656 * CHOOSE(CONTROL!$C$32, $C$9, 100%, $E$9)</f>
        <v>14.0656</v>
      </c>
      <c r="D950" s="32">
        <f>14.0667 * CHOOSE(CONTROL!$C$32, $C$9, 100%, $E$9)</f>
        <v>14.066700000000001</v>
      </c>
      <c r="E950" s="33">
        <f>15.8331 * CHOOSE(CONTROL!$C$32, $C$9, 100%, $E$9)</f>
        <v>15.8331</v>
      </c>
      <c r="F950" s="33">
        <f>15.8331 * CHOOSE(CONTROL!$C$32, $C$9, 100%, $E$9)</f>
        <v>15.8331</v>
      </c>
      <c r="G950" s="33">
        <f>15.8367 * CHOOSE(CONTROL!$C$32, $C$9, 100%, $E$9)</f>
        <v>15.8367</v>
      </c>
      <c r="H950" s="33">
        <f>32.7345 * CHOOSE(CONTROL!$C$32, $C$9, 100%, $E$9)</f>
        <v>32.734499999999997</v>
      </c>
      <c r="I950" s="33">
        <f>32.7381 * CHOOSE(CONTROL!$C$32, $C$9, 100%, $E$9)</f>
        <v>32.738100000000003</v>
      </c>
      <c r="J950" s="33">
        <f>32.7345 * CHOOSE(CONTROL!$C$32, $C$9, 100%, $E$9)</f>
        <v>32.734499999999997</v>
      </c>
      <c r="K950" s="33">
        <f>32.7381 * CHOOSE(CONTROL!$C$32, $C$9, 100%, $E$9)</f>
        <v>32.738100000000003</v>
      </c>
      <c r="L950" s="33">
        <f>15.8331 * CHOOSE(CONTROL!$C$32, $C$9, 100%, $E$9)</f>
        <v>15.8331</v>
      </c>
      <c r="M950" s="33">
        <f>15.8367 * CHOOSE(CONTROL!$C$32, $C$9, 100%, $E$9)</f>
        <v>15.8367</v>
      </c>
      <c r="N950" s="33">
        <f>15.8331 * CHOOSE(CONTROL!$C$32, $C$9, 100%, $E$9)</f>
        <v>15.8331</v>
      </c>
      <c r="O950" s="33">
        <f>15.8367 * CHOOSE(CONTROL!$C$32, $C$9, 100%, $E$9)</f>
        <v>15.8367</v>
      </c>
    </row>
    <row r="951" spans="1:15" ht="15" x14ac:dyDescent="0.2">
      <c r="A951" s="16">
        <v>69795</v>
      </c>
      <c r="B951" s="32">
        <f>14.0626 * CHOOSE(CONTROL!$C$32, $C$9, 100%, $E$9)</f>
        <v>14.0626</v>
      </c>
      <c r="C951" s="32">
        <f>14.0626 * CHOOSE(CONTROL!$C$32, $C$9, 100%, $E$9)</f>
        <v>14.0626</v>
      </c>
      <c r="D951" s="32">
        <f>14.0636 * CHOOSE(CONTROL!$C$32, $C$9, 100%, $E$9)</f>
        <v>14.063599999999999</v>
      </c>
      <c r="E951" s="33">
        <f>15.3933 * CHOOSE(CONTROL!$C$32, $C$9, 100%, $E$9)</f>
        <v>15.3933</v>
      </c>
      <c r="F951" s="33">
        <f>15.3933 * CHOOSE(CONTROL!$C$32, $C$9, 100%, $E$9)</f>
        <v>15.3933</v>
      </c>
      <c r="G951" s="33">
        <f>15.3969 * CHOOSE(CONTROL!$C$32, $C$9, 100%, $E$9)</f>
        <v>15.3969</v>
      </c>
      <c r="H951" s="33">
        <f>32.8027 * CHOOSE(CONTROL!$C$32, $C$9, 100%, $E$9)</f>
        <v>32.802700000000002</v>
      </c>
      <c r="I951" s="33">
        <f>32.8063 * CHOOSE(CONTROL!$C$32, $C$9, 100%, $E$9)</f>
        <v>32.8063</v>
      </c>
      <c r="J951" s="33">
        <f>32.8027 * CHOOSE(CONTROL!$C$32, $C$9, 100%, $E$9)</f>
        <v>32.802700000000002</v>
      </c>
      <c r="K951" s="33">
        <f>32.8063 * CHOOSE(CONTROL!$C$32, $C$9, 100%, $E$9)</f>
        <v>32.8063</v>
      </c>
      <c r="L951" s="33">
        <f>15.3933 * CHOOSE(CONTROL!$C$32, $C$9, 100%, $E$9)</f>
        <v>15.3933</v>
      </c>
      <c r="M951" s="33">
        <f>15.3969 * CHOOSE(CONTROL!$C$32, $C$9, 100%, $E$9)</f>
        <v>15.3969</v>
      </c>
      <c r="N951" s="33">
        <f>15.3933 * CHOOSE(CONTROL!$C$32, $C$9, 100%, $E$9)</f>
        <v>15.3933</v>
      </c>
      <c r="O951" s="33">
        <f>15.3969 * CHOOSE(CONTROL!$C$32, $C$9, 100%, $E$9)</f>
        <v>15.3969</v>
      </c>
    </row>
    <row r="952" spans="1:15" ht="15" x14ac:dyDescent="0.2">
      <c r="A952" s="16">
        <v>69823</v>
      </c>
      <c r="B952" s="32">
        <f>14.0595 * CHOOSE(CONTROL!$C$32, $C$9, 100%, $E$9)</f>
        <v>14.0595</v>
      </c>
      <c r="C952" s="32">
        <f>14.0595 * CHOOSE(CONTROL!$C$32, $C$9, 100%, $E$9)</f>
        <v>14.0595</v>
      </c>
      <c r="D952" s="32">
        <f>14.0606 * CHOOSE(CONTROL!$C$32, $C$9, 100%, $E$9)</f>
        <v>14.060600000000001</v>
      </c>
      <c r="E952" s="33">
        <f>15.7362 * CHOOSE(CONTROL!$C$32, $C$9, 100%, $E$9)</f>
        <v>15.7362</v>
      </c>
      <c r="F952" s="33">
        <f>15.7362 * CHOOSE(CONTROL!$C$32, $C$9, 100%, $E$9)</f>
        <v>15.7362</v>
      </c>
      <c r="G952" s="33">
        <f>15.7398 * CHOOSE(CONTROL!$C$32, $C$9, 100%, $E$9)</f>
        <v>15.739800000000001</v>
      </c>
      <c r="H952" s="33">
        <f>32.8711 * CHOOSE(CONTROL!$C$32, $C$9, 100%, $E$9)</f>
        <v>32.871099999999998</v>
      </c>
      <c r="I952" s="33">
        <f>32.8747 * CHOOSE(CONTROL!$C$32, $C$9, 100%, $E$9)</f>
        <v>32.874699999999997</v>
      </c>
      <c r="J952" s="33">
        <f>32.8711 * CHOOSE(CONTROL!$C$32, $C$9, 100%, $E$9)</f>
        <v>32.871099999999998</v>
      </c>
      <c r="K952" s="33">
        <f>32.8747 * CHOOSE(CONTROL!$C$32, $C$9, 100%, $E$9)</f>
        <v>32.874699999999997</v>
      </c>
      <c r="L952" s="33">
        <f>15.7362 * CHOOSE(CONTROL!$C$32, $C$9, 100%, $E$9)</f>
        <v>15.7362</v>
      </c>
      <c r="M952" s="33">
        <f>15.7398 * CHOOSE(CONTROL!$C$32, $C$9, 100%, $E$9)</f>
        <v>15.739800000000001</v>
      </c>
      <c r="N952" s="33">
        <f>15.7362 * CHOOSE(CONTROL!$C$32, $C$9, 100%, $E$9)</f>
        <v>15.7362</v>
      </c>
      <c r="O952" s="33">
        <f>15.7398 * CHOOSE(CONTROL!$C$32, $C$9, 100%, $E$9)</f>
        <v>15.739800000000001</v>
      </c>
    </row>
    <row r="953" spans="1:15" ht="15" x14ac:dyDescent="0.2">
      <c r="A953" s="16">
        <v>69854</v>
      </c>
      <c r="B953" s="32">
        <f>14.0669 * CHOOSE(CONTROL!$C$32, $C$9, 100%, $E$9)</f>
        <v>14.0669</v>
      </c>
      <c r="C953" s="32">
        <f>14.0669 * CHOOSE(CONTROL!$C$32, $C$9, 100%, $E$9)</f>
        <v>14.0669</v>
      </c>
      <c r="D953" s="32">
        <f>14.068 * CHOOSE(CONTROL!$C$32, $C$9, 100%, $E$9)</f>
        <v>14.068</v>
      </c>
      <c r="E953" s="33">
        <f>16.1026 * CHOOSE(CONTROL!$C$32, $C$9, 100%, $E$9)</f>
        <v>16.102599999999999</v>
      </c>
      <c r="F953" s="33">
        <f>16.1026 * CHOOSE(CONTROL!$C$32, $C$9, 100%, $E$9)</f>
        <v>16.102599999999999</v>
      </c>
      <c r="G953" s="33">
        <f>16.1062 * CHOOSE(CONTROL!$C$32, $C$9, 100%, $E$9)</f>
        <v>16.106200000000001</v>
      </c>
      <c r="H953" s="33">
        <f>32.9395 * CHOOSE(CONTROL!$C$32, $C$9, 100%, $E$9)</f>
        <v>32.939500000000002</v>
      </c>
      <c r="I953" s="33">
        <f>32.9432 * CHOOSE(CONTROL!$C$32, $C$9, 100%, $E$9)</f>
        <v>32.943199999999997</v>
      </c>
      <c r="J953" s="33">
        <f>32.9395 * CHOOSE(CONTROL!$C$32, $C$9, 100%, $E$9)</f>
        <v>32.939500000000002</v>
      </c>
      <c r="K953" s="33">
        <f>32.9432 * CHOOSE(CONTROL!$C$32, $C$9, 100%, $E$9)</f>
        <v>32.943199999999997</v>
      </c>
      <c r="L953" s="33">
        <f>16.1026 * CHOOSE(CONTROL!$C$32, $C$9, 100%, $E$9)</f>
        <v>16.102599999999999</v>
      </c>
      <c r="M953" s="33">
        <f>16.1062 * CHOOSE(CONTROL!$C$32, $C$9, 100%, $E$9)</f>
        <v>16.106200000000001</v>
      </c>
      <c r="N953" s="33">
        <f>16.1026 * CHOOSE(CONTROL!$C$32, $C$9, 100%, $E$9)</f>
        <v>16.102599999999999</v>
      </c>
      <c r="O953" s="33">
        <f>16.1062 * CHOOSE(CONTROL!$C$32, $C$9, 100%, $E$9)</f>
        <v>16.106200000000001</v>
      </c>
    </row>
    <row r="954" spans="1:15" ht="15" x14ac:dyDescent="0.2">
      <c r="A954" s="16">
        <v>69884</v>
      </c>
      <c r="B954" s="32">
        <f>14.0669 * CHOOSE(CONTROL!$C$32, $C$9, 100%, $E$9)</f>
        <v>14.0669</v>
      </c>
      <c r="C954" s="32">
        <f>14.0669 * CHOOSE(CONTROL!$C$32, $C$9, 100%, $E$9)</f>
        <v>14.0669</v>
      </c>
      <c r="D954" s="32">
        <f>14.0685 * CHOOSE(CONTROL!$C$32, $C$9, 100%, $E$9)</f>
        <v>14.0685</v>
      </c>
      <c r="E954" s="33">
        <f>16.2415 * CHOOSE(CONTROL!$C$32, $C$9, 100%, $E$9)</f>
        <v>16.241499999999998</v>
      </c>
      <c r="F954" s="33">
        <f>16.2415 * CHOOSE(CONTROL!$C$32, $C$9, 100%, $E$9)</f>
        <v>16.241499999999998</v>
      </c>
      <c r="G954" s="33">
        <f>16.2468 * CHOOSE(CONTROL!$C$32, $C$9, 100%, $E$9)</f>
        <v>16.2468</v>
      </c>
      <c r="H954" s="33">
        <f>33.0082 * CHOOSE(CONTROL!$C$32, $C$9, 100%, $E$9)</f>
        <v>33.008200000000002</v>
      </c>
      <c r="I954" s="33">
        <f>33.0135 * CHOOSE(CONTROL!$C$32, $C$9, 100%, $E$9)</f>
        <v>33.013500000000001</v>
      </c>
      <c r="J954" s="33">
        <f>33.0082 * CHOOSE(CONTROL!$C$32, $C$9, 100%, $E$9)</f>
        <v>33.008200000000002</v>
      </c>
      <c r="K954" s="33">
        <f>33.0135 * CHOOSE(CONTROL!$C$32, $C$9, 100%, $E$9)</f>
        <v>33.013500000000001</v>
      </c>
      <c r="L954" s="33">
        <f>16.2415 * CHOOSE(CONTROL!$C$32, $C$9, 100%, $E$9)</f>
        <v>16.241499999999998</v>
      </c>
      <c r="M954" s="33">
        <f>16.2468 * CHOOSE(CONTROL!$C$32, $C$9, 100%, $E$9)</f>
        <v>16.2468</v>
      </c>
      <c r="N954" s="33">
        <f>16.2415 * CHOOSE(CONTROL!$C$32, $C$9, 100%, $E$9)</f>
        <v>16.241499999999998</v>
      </c>
      <c r="O954" s="33">
        <f>16.2468 * CHOOSE(CONTROL!$C$32, $C$9, 100%, $E$9)</f>
        <v>16.2468</v>
      </c>
    </row>
    <row r="955" spans="1:15" ht="15" x14ac:dyDescent="0.2">
      <c r="A955" s="16">
        <v>69915</v>
      </c>
      <c r="B955" s="32">
        <f>14.073 * CHOOSE(CONTROL!$C$32, $C$9, 100%, $E$9)</f>
        <v>14.073</v>
      </c>
      <c r="C955" s="32">
        <f>14.073 * CHOOSE(CONTROL!$C$32, $C$9, 100%, $E$9)</f>
        <v>14.073</v>
      </c>
      <c r="D955" s="32">
        <f>14.0746 * CHOOSE(CONTROL!$C$32, $C$9, 100%, $E$9)</f>
        <v>14.0746</v>
      </c>
      <c r="E955" s="33">
        <f>16.1068 * CHOOSE(CONTROL!$C$32, $C$9, 100%, $E$9)</f>
        <v>16.1068</v>
      </c>
      <c r="F955" s="33">
        <f>16.1068 * CHOOSE(CONTROL!$C$32, $C$9, 100%, $E$9)</f>
        <v>16.1068</v>
      </c>
      <c r="G955" s="33">
        <f>16.1121 * CHOOSE(CONTROL!$C$32, $C$9, 100%, $E$9)</f>
        <v>16.112100000000002</v>
      </c>
      <c r="H955" s="33">
        <f>33.0769 * CHOOSE(CONTROL!$C$32, $C$9, 100%, $E$9)</f>
        <v>33.076900000000002</v>
      </c>
      <c r="I955" s="33">
        <f>33.0822 * CHOOSE(CONTROL!$C$32, $C$9, 100%, $E$9)</f>
        <v>33.0822</v>
      </c>
      <c r="J955" s="33">
        <f>33.0769 * CHOOSE(CONTROL!$C$32, $C$9, 100%, $E$9)</f>
        <v>33.076900000000002</v>
      </c>
      <c r="K955" s="33">
        <f>33.0822 * CHOOSE(CONTROL!$C$32, $C$9, 100%, $E$9)</f>
        <v>33.0822</v>
      </c>
      <c r="L955" s="33">
        <f>16.1068 * CHOOSE(CONTROL!$C$32, $C$9, 100%, $E$9)</f>
        <v>16.1068</v>
      </c>
      <c r="M955" s="33">
        <f>16.1121 * CHOOSE(CONTROL!$C$32, $C$9, 100%, $E$9)</f>
        <v>16.112100000000002</v>
      </c>
      <c r="N955" s="33">
        <f>16.1068 * CHOOSE(CONTROL!$C$32, $C$9, 100%, $E$9)</f>
        <v>16.1068</v>
      </c>
      <c r="O955" s="33">
        <f>16.1121 * CHOOSE(CONTROL!$C$32, $C$9, 100%, $E$9)</f>
        <v>16.112100000000002</v>
      </c>
    </row>
    <row r="956" spans="1:15" ht="15" x14ac:dyDescent="0.2">
      <c r="A956" s="16">
        <v>69945</v>
      </c>
      <c r="B956" s="32">
        <f>14.2421 * CHOOSE(CONTROL!$C$32, $C$9, 100%, $E$9)</f>
        <v>14.242100000000001</v>
      </c>
      <c r="C956" s="32">
        <f>14.2421 * CHOOSE(CONTROL!$C$32, $C$9, 100%, $E$9)</f>
        <v>14.242100000000001</v>
      </c>
      <c r="D956" s="32">
        <f>14.2436 * CHOOSE(CONTROL!$C$32, $C$9, 100%, $E$9)</f>
        <v>14.243600000000001</v>
      </c>
      <c r="E956" s="33">
        <f>16.3355 * CHOOSE(CONTROL!$C$32, $C$9, 100%, $E$9)</f>
        <v>16.3355</v>
      </c>
      <c r="F956" s="33">
        <f>16.3355 * CHOOSE(CONTROL!$C$32, $C$9, 100%, $E$9)</f>
        <v>16.3355</v>
      </c>
      <c r="G956" s="33">
        <f>16.3408 * CHOOSE(CONTROL!$C$32, $C$9, 100%, $E$9)</f>
        <v>16.340800000000002</v>
      </c>
      <c r="H956" s="33">
        <f>33.1458 * CHOOSE(CONTROL!$C$32, $C$9, 100%, $E$9)</f>
        <v>33.145800000000001</v>
      </c>
      <c r="I956" s="33">
        <f>33.1511 * CHOOSE(CONTROL!$C$32, $C$9, 100%, $E$9)</f>
        <v>33.1511</v>
      </c>
      <c r="J956" s="33">
        <f>33.1458 * CHOOSE(CONTROL!$C$32, $C$9, 100%, $E$9)</f>
        <v>33.145800000000001</v>
      </c>
      <c r="K956" s="33">
        <f>33.1511 * CHOOSE(CONTROL!$C$32, $C$9, 100%, $E$9)</f>
        <v>33.1511</v>
      </c>
      <c r="L956" s="33">
        <f>16.3355 * CHOOSE(CONTROL!$C$32, $C$9, 100%, $E$9)</f>
        <v>16.3355</v>
      </c>
      <c r="M956" s="33">
        <f>16.3408 * CHOOSE(CONTROL!$C$32, $C$9, 100%, $E$9)</f>
        <v>16.340800000000002</v>
      </c>
      <c r="N956" s="33">
        <f>16.3355 * CHOOSE(CONTROL!$C$32, $C$9, 100%, $E$9)</f>
        <v>16.3355</v>
      </c>
      <c r="O956" s="33">
        <f>16.3408 * CHOOSE(CONTROL!$C$32, $C$9, 100%, $E$9)</f>
        <v>16.340800000000002</v>
      </c>
    </row>
    <row r="957" spans="1:15" ht="15" x14ac:dyDescent="0.2">
      <c r="A957" s="16">
        <v>69976</v>
      </c>
      <c r="B957" s="32">
        <f>14.2488 * CHOOSE(CONTROL!$C$32, $C$9, 100%, $E$9)</f>
        <v>14.248799999999999</v>
      </c>
      <c r="C957" s="32">
        <f>14.2488 * CHOOSE(CONTROL!$C$32, $C$9, 100%, $E$9)</f>
        <v>14.248799999999999</v>
      </c>
      <c r="D957" s="32">
        <f>14.2503 * CHOOSE(CONTROL!$C$32, $C$9, 100%, $E$9)</f>
        <v>14.250299999999999</v>
      </c>
      <c r="E957" s="33">
        <f>15.9232 * CHOOSE(CONTROL!$C$32, $C$9, 100%, $E$9)</f>
        <v>15.9232</v>
      </c>
      <c r="F957" s="33">
        <f>15.9232 * CHOOSE(CONTROL!$C$32, $C$9, 100%, $E$9)</f>
        <v>15.9232</v>
      </c>
      <c r="G957" s="33">
        <f>15.9285 * CHOOSE(CONTROL!$C$32, $C$9, 100%, $E$9)</f>
        <v>15.9285</v>
      </c>
      <c r="H957" s="33">
        <f>33.2149 * CHOOSE(CONTROL!$C$32, $C$9, 100%, $E$9)</f>
        <v>33.2149</v>
      </c>
      <c r="I957" s="33">
        <f>33.2202 * CHOOSE(CONTROL!$C$32, $C$9, 100%, $E$9)</f>
        <v>33.220199999999998</v>
      </c>
      <c r="J957" s="33">
        <f>33.2149 * CHOOSE(CONTROL!$C$32, $C$9, 100%, $E$9)</f>
        <v>33.2149</v>
      </c>
      <c r="K957" s="33">
        <f>33.2202 * CHOOSE(CONTROL!$C$32, $C$9, 100%, $E$9)</f>
        <v>33.220199999999998</v>
      </c>
      <c r="L957" s="33">
        <f>15.9232 * CHOOSE(CONTROL!$C$32, $C$9, 100%, $E$9)</f>
        <v>15.9232</v>
      </c>
      <c r="M957" s="33">
        <f>15.9285 * CHOOSE(CONTROL!$C$32, $C$9, 100%, $E$9)</f>
        <v>15.9285</v>
      </c>
      <c r="N957" s="33">
        <f>15.9232 * CHOOSE(CONTROL!$C$32, $C$9, 100%, $E$9)</f>
        <v>15.9232</v>
      </c>
      <c r="O957" s="33">
        <f>15.9285 * CHOOSE(CONTROL!$C$32, $C$9, 100%, $E$9)</f>
        <v>15.9285</v>
      </c>
    </row>
    <row r="958" spans="1:15" ht="15" x14ac:dyDescent="0.2">
      <c r="A958" s="16">
        <v>70007</v>
      </c>
      <c r="B958" s="32">
        <f>14.2457 * CHOOSE(CONTROL!$C$32, $C$9, 100%, $E$9)</f>
        <v>14.245699999999999</v>
      </c>
      <c r="C958" s="32">
        <f>14.2457 * CHOOSE(CONTROL!$C$32, $C$9, 100%, $E$9)</f>
        <v>14.245699999999999</v>
      </c>
      <c r="D958" s="32">
        <f>14.2473 * CHOOSE(CONTROL!$C$32, $C$9, 100%, $E$9)</f>
        <v>14.247299999999999</v>
      </c>
      <c r="E958" s="33">
        <f>15.8748 * CHOOSE(CONTROL!$C$32, $C$9, 100%, $E$9)</f>
        <v>15.8748</v>
      </c>
      <c r="F958" s="33">
        <f>15.8748 * CHOOSE(CONTROL!$C$32, $C$9, 100%, $E$9)</f>
        <v>15.8748</v>
      </c>
      <c r="G958" s="33">
        <f>15.8801 * CHOOSE(CONTROL!$C$32, $C$9, 100%, $E$9)</f>
        <v>15.880100000000001</v>
      </c>
      <c r="H958" s="33">
        <f>33.2841 * CHOOSE(CONTROL!$C$32, $C$9, 100%, $E$9)</f>
        <v>33.284100000000002</v>
      </c>
      <c r="I958" s="33">
        <f>33.2894 * CHOOSE(CONTROL!$C$32, $C$9, 100%, $E$9)</f>
        <v>33.289400000000001</v>
      </c>
      <c r="J958" s="33">
        <f>33.2841 * CHOOSE(CONTROL!$C$32, $C$9, 100%, $E$9)</f>
        <v>33.284100000000002</v>
      </c>
      <c r="K958" s="33">
        <f>33.2894 * CHOOSE(CONTROL!$C$32, $C$9, 100%, $E$9)</f>
        <v>33.289400000000001</v>
      </c>
      <c r="L958" s="33">
        <f>15.8748 * CHOOSE(CONTROL!$C$32, $C$9, 100%, $E$9)</f>
        <v>15.8748</v>
      </c>
      <c r="M958" s="33">
        <f>15.8801 * CHOOSE(CONTROL!$C$32, $C$9, 100%, $E$9)</f>
        <v>15.880100000000001</v>
      </c>
      <c r="N958" s="33">
        <f>15.8748 * CHOOSE(CONTROL!$C$32, $C$9, 100%, $E$9)</f>
        <v>15.8748</v>
      </c>
      <c r="O958" s="33">
        <f>15.8801 * CHOOSE(CONTROL!$C$32, $C$9, 100%, $E$9)</f>
        <v>15.880100000000001</v>
      </c>
    </row>
    <row r="959" spans="1:15" ht="15" x14ac:dyDescent="0.2">
      <c r="A959" s="16">
        <v>70037</v>
      </c>
      <c r="B959" s="32">
        <f>14.2791 * CHOOSE(CONTROL!$C$32, $C$9, 100%, $E$9)</f>
        <v>14.2791</v>
      </c>
      <c r="C959" s="32">
        <f>14.2791 * CHOOSE(CONTROL!$C$32, $C$9, 100%, $E$9)</f>
        <v>14.2791</v>
      </c>
      <c r="D959" s="32">
        <f>14.2802 * CHOOSE(CONTROL!$C$32, $C$9, 100%, $E$9)</f>
        <v>14.280200000000001</v>
      </c>
      <c r="E959" s="33">
        <f>16.0467 * CHOOSE(CONTROL!$C$32, $C$9, 100%, $E$9)</f>
        <v>16.046700000000001</v>
      </c>
      <c r="F959" s="33">
        <f>16.0467 * CHOOSE(CONTROL!$C$32, $C$9, 100%, $E$9)</f>
        <v>16.046700000000001</v>
      </c>
      <c r="G959" s="33">
        <f>16.0503 * CHOOSE(CONTROL!$C$32, $C$9, 100%, $E$9)</f>
        <v>16.0503</v>
      </c>
      <c r="H959" s="33">
        <f>33.3534 * CHOOSE(CONTROL!$C$32, $C$9, 100%, $E$9)</f>
        <v>33.353400000000001</v>
      </c>
      <c r="I959" s="33">
        <f>33.357 * CHOOSE(CONTROL!$C$32, $C$9, 100%, $E$9)</f>
        <v>33.356999999999999</v>
      </c>
      <c r="J959" s="33">
        <f>33.3534 * CHOOSE(CONTROL!$C$32, $C$9, 100%, $E$9)</f>
        <v>33.353400000000001</v>
      </c>
      <c r="K959" s="33">
        <f>33.357 * CHOOSE(CONTROL!$C$32, $C$9, 100%, $E$9)</f>
        <v>33.356999999999999</v>
      </c>
      <c r="L959" s="33">
        <f>16.0467 * CHOOSE(CONTROL!$C$32, $C$9, 100%, $E$9)</f>
        <v>16.046700000000001</v>
      </c>
      <c r="M959" s="33">
        <f>16.0503 * CHOOSE(CONTROL!$C$32, $C$9, 100%, $E$9)</f>
        <v>16.0503</v>
      </c>
      <c r="N959" s="33">
        <f>16.0467 * CHOOSE(CONTROL!$C$32, $C$9, 100%, $E$9)</f>
        <v>16.046700000000001</v>
      </c>
      <c r="O959" s="33">
        <f>16.0503 * CHOOSE(CONTROL!$C$32, $C$9, 100%, $E$9)</f>
        <v>16.0503</v>
      </c>
    </row>
    <row r="960" spans="1:15" ht="15" x14ac:dyDescent="0.2">
      <c r="A960" s="16">
        <v>70068</v>
      </c>
      <c r="B960" s="32">
        <f>14.2821 * CHOOSE(CONTROL!$C$32, $C$9, 100%, $E$9)</f>
        <v>14.2821</v>
      </c>
      <c r="C960" s="32">
        <f>14.2821 * CHOOSE(CONTROL!$C$32, $C$9, 100%, $E$9)</f>
        <v>14.2821</v>
      </c>
      <c r="D960" s="32">
        <f>14.2832 * CHOOSE(CONTROL!$C$32, $C$9, 100%, $E$9)</f>
        <v>14.283200000000001</v>
      </c>
      <c r="E960" s="33">
        <f>16.1414 * CHOOSE(CONTROL!$C$32, $C$9, 100%, $E$9)</f>
        <v>16.141400000000001</v>
      </c>
      <c r="F960" s="33">
        <f>16.1414 * CHOOSE(CONTROL!$C$32, $C$9, 100%, $E$9)</f>
        <v>16.141400000000001</v>
      </c>
      <c r="G960" s="33">
        <f>16.1451 * CHOOSE(CONTROL!$C$32, $C$9, 100%, $E$9)</f>
        <v>16.145099999999999</v>
      </c>
      <c r="H960" s="33">
        <f>33.4229 * CHOOSE(CONTROL!$C$32, $C$9, 100%, $E$9)</f>
        <v>33.422899999999998</v>
      </c>
      <c r="I960" s="33">
        <f>33.4265 * CHOOSE(CONTROL!$C$32, $C$9, 100%, $E$9)</f>
        <v>33.426499999999997</v>
      </c>
      <c r="J960" s="33">
        <f>33.4229 * CHOOSE(CONTROL!$C$32, $C$9, 100%, $E$9)</f>
        <v>33.422899999999998</v>
      </c>
      <c r="K960" s="33">
        <f>33.4265 * CHOOSE(CONTROL!$C$32, $C$9, 100%, $E$9)</f>
        <v>33.426499999999997</v>
      </c>
      <c r="L960" s="33">
        <f>16.1414 * CHOOSE(CONTROL!$C$32, $C$9, 100%, $E$9)</f>
        <v>16.141400000000001</v>
      </c>
      <c r="M960" s="33">
        <f>16.1451 * CHOOSE(CONTROL!$C$32, $C$9, 100%, $E$9)</f>
        <v>16.145099999999999</v>
      </c>
      <c r="N960" s="33">
        <f>16.1414 * CHOOSE(CONTROL!$C$32, $C$9, 100%, $E$9)</f>
        <v>16.141400000000001</v>
      </c>
      <c r="O960" s="33">
        <f>16.1451 * CHOOSE(CONTROL!$C$32, $C$9, 100%, $E$9)</f>
        <v>16.145099999999999</v>
      </c>
    </row>
    <row r="961" spans="1:15" ht="15" x14ac:dyDescent="0.2">
      <c r="A961" s="16">
        <v>70098</v>
      </c>
      <c r="B961" s="32">
        <f>14.2821 * CHOOSE(CONTROL!$C$32, $C$9, 100%, $E$9)</f>
        <v>14.2821</v>
      </c>
      <c r="C961" s="32">
        <f>14.2821 * CHOOSE(CONTROL!$C$32, $C$9, 100%, $E$9)</f>
        <v>14.2821</v>
      </c>
      <c r="D961" s="32">
        <f>14.2832 * CHOOSE(CONTROL!$C$32, $C$9, 100%, $E$9)</f>
        <v>14.283200000000001</v>
      </c>
      <c r="E961" s="33">
        <f>15.9098 * CHOOSE(CONTROL!$C$32, $C$9, 100%, $E$9)</f>
        <v>15.909800000000001</v>
      </c>
      <c r="F961" s="33">
        <f>15.9098 * CHOOSE(CONTROL!$C$32, $C$9, 100%, $E$9)</f>
        <v>15.909800000000001</v>
      </c>
      <c r="G961" s="33">
        <f>15.9134 * CHOOSE(CONTROL!$C$32, $C$9, 100%, $E$9)</f>
        <v>15.913399999999999</v>
      </c>
      <c r="H961" s="33">
        <f>33.4925 * CHOOSE(CONTROL!$C$32, $C$9, 100%, $E$9)</f>
        <v>33.4925</v>
      </c>
      <c r="I961" s="33">
        <f>33.4962 * CHOOSE(CONTROL!$C$32, $C$9, 100%, $E$9)</f>
        <v>33.496200000000002</v>
      </c>
      <c r="J961" s="33">
        <f>33.4925 * CHOOSE(CONTROL!$C$32, $C$9, 100%, $E$9)</f>
        <v>33.4925</v>
      </c>
      <c r="K961" s="33">
        <f>33.4962 * CHOOSE(CONTROL!$C$32, $C$9, 100%, $E$9)</f>
        <v>33.496200000000002</v>
      </c>
      <c r="L961" s="33">
        <f>15.9098 * CHOOSE(CONTROL!$C$32, $C$9, 100%, $E$9)</f>
        <v>15.909800000000001</v>
      </c>
      <c r="M961" s="33">
        <f>15.9134 * CHOOSE(CONTROL!$C$32, $C$9, 100%, $E$9)</f>
        <v>15.913399999999999</v>
      </c>
      <c r="N961" s="33">
        <f>15.9098 * CHOOSE(CONTROL!$C$32, $C$9, 100%, $E$9)</f>
        <v>15.909800000000001</v>
      </c>
      <c r="O961" s="33">
        <f>15.9134 * CHOOSE(CONTROL!$C$32, $C$9, 100%, $E$9)</f>
        <v>15.913399999999999</v>
      </c>
    </row>
    <row r="962" spans="1:15" ht="15" x14ac:dyDescent="0.2">
      <c r="A962" s="16">
        <v>70129</v>
      </c>
      <c r="B962" s="32">
        <f>14.253 * CHOOSE(CONTROL!$C$32, $C$9, 100%, $E$9)</f>
        <v>14.253</v>
      </c>
      <c r="C962" s="32">
        <f>14.253 * CHOOSE(CONTROL!$C$32, $C$9, 100%, $E$9)</f>
        <v>14.253</v>
      </c>
      <c r="D962" s="32">
        <f>14.254 * CHOOSE(CONTROL!$C$32, $C$9, 100%, $E$9)</f>
        <v>14.254</v>
      </c>
      <c r="E962" s="33">
        <f>16.0456 * CHOOSE(CONTROL!$C$32, $C$9, 100%, $E$9)</f>
        <v>16.0456</v>
      </c>
      <c r="F962" s="33">
        <f>16.0456 * CHOOSE(CONTROL!$C$32, $C$9, 100%, $E$9)</f>
        <v>16.0456</v>
      </c>
      <c r="G962" s="33">
        <f>16.0492 * CHOOSE(CONTROL!$C$32, $C$9, 100%, $E$9)</f>
        <v>16.049199999999999</v>
      </c>
      <c r="H962" s="33">
        <f>33.1986 * CHOOSE(CONTROL!$C$32, $C$9, 100%, $E$9)</f>
        <v>33.198599999999999</v>
      </c>
      <c r="I962" s="33">
        <f>33.2022 * CHOOSE(CONTROL!$C$32, $C$9, 100%, $E$9)</f>
        <v>33.202199999999998</v>
      </c>
      <c r="J962" s="33">
        <f>33.1986 * CHOOSE(CONTROL!$C$32, $C$9, 100%, $E$9)</f>
        <v>33.198599999999999</v>
      </c>
      <c r="K962" s="33">
        <f>33.2022 * CHOOSE(CONTROL!$C$32, $C$9, 100%, $E$9)</f>
        <v>33.202199999999998</v>
      </c>
      <c r="L962" s="33">
        <f>16.0456 * CHOOSE(CONTROL!$C$32, $C$9, 100%, $E$9)</f>
        <v>16.0456</v>
      </c>
      <c r="M962" s="33">
        <f>16.0492 * CHOOSE(CONTROL!$C$32, $C$9, 100%, $E$9)</f>
        <v>16.049199999999999</v>
      </c>
      <c r="N962" s="33">
        <f>16.0456 * CHOOSE(CONTROL!$C$32, $C$9, 100%, $E$9)</f>
        <v>16.0456</v>
      </c>
      <c r="O962" s="33">
        <f>16.0492 * CHOOSE(CONTROL!$C$32, $C$9, 100%, $E$9)</f>
        <v>16.049199999999999</v>
      </c>
    </row>
    <row r="963" spans="1:15" ht="15" x14ac:dyDescent="0.2">
      <c r="A963" s="16">
        <v>70160</v>
      </c>
      <c r="B963" s="32">
        <f>14.2499 * CHOOSE(CONTROL!$C$32, $C$9, 100%, $E$9)</f>
        <v>14.2499</v>
      </c>
      <c r="C963" s="32">
        <f>14.2499 * CHOOSE(CONTROL!$C$32, $C$9, 100%, $E$9)</f>
        <v>14.2499</v>
      </c>
      <c r="D963" s="32">
        <f>14.251 * CHOOSE(CONTROL!$C$32, $C$9, 100%, $E$9)</f>
        <v>14.250999999999999</v>
      </c>
      <c r="E963" s="33">
        <f>15.5987 * CHOOSE(CONTROL!$C$32, $C$9, 100%, $E$9)</f>
        <v>15.598699999999999</v>
      </c>
      <c r="F963" s="33">
        <f>15.5987 * CHOOSE(CONTROL!$C$32, $C$9, 100%, $E$9)</f>
        <v>15.598699999999999</v>
      </c>
      <c r="G963" s="33">
        <f>15.6023 * CHOOSE(CONTROL!$C$32, $C$9, 100%, $E$9)</f>
        <v>15.6023</v>
      </c>
      <c r="H963" s="33">
        <f>33.2677 * CHOOSE(CONTROL!$C$32, $C$9, 100%, $E$9)</f>
        <v>33.267699999999998</v>
      </c>
      <c r="I963" s="33">
        <f>33.2713 * CHOOSE(CONTROL!$C$32, $C$9, 100%, $E$9)</f>
        <v>33.271299999999997</v>
      </c>
      <c r="J963" s="33">
        <f>33.2677 * CHOOSE(CONTROL!$C$32, $C$9, 100%, $E$9)</f>
        <v>33.267699999999998</v>
      </c>
      <c r="K963" s="33">
        <f>33.2713 * CHOOSE(CONTROL!$C$32, $C$9, 100%, $E$9)</f>
        <v>33.271299999999997</v>
      </c>
      <c r="L963" s="33">
        <f>15.5987 * CHOOSE(CONTROL!$C$32, $C$9, 100%, $E$9)</f>
        <v>15.598699999999999</v>
      </c>
      <c r="M963" s="33">
        <f>15.6023 * CHOOSE(CONTROL!$C$32, $C$9, 100%, $E$9)</f>
        <v>15.6023</v>
      </c>
      <c r="N963" s="33">
        <f>15.5987 * CHOOSE(CONTROL!$C$32, $C$9, 100%, $E$9)</f>
        <v>15.598699999999999</v>
      </c>
      <c r="O963" s="33">
        <f>15.6023 * CHOOSE(CONTROL!$C$32, $C$9, 100%, $E$9)</f>
        <v>15.6023</v>
      </c>
    </row>
    <row r="964" spans="1:15" ht="15" x14ac:dyDescent="0.2">
      <c r="A964" s="16">
        <v>70189</v>
      </c>
      <c r="B964" s="32">
        <f>14.2469 * CHOOSE(CONTROL!$C$32, $C$9, 100%, $E$9)</f>
        <v>14.2469</v>
      </c>
      <c r="C964" s="32">
        <f>14.2469 * CHOOSE(CONTROL!$C$32, $C$9, 100%, $E$9)</f>
        <v>14.2469</v>
      </c>
      <c r="D964" s="32">
        <f>14.2479 * CHOOSE(CONTROL!$C$32, $C$9, 100%, $E$9)</f>
        <v>14.2479</v>
      </c>
      <c r="E964" s="33">
        <f>15.9472 * CHOOSE(CONTROL!$C$32, $C$9, 100%, $E$9)</f>
        <v>15.9472</v>
      </c>
      <c r="F964" s="33">
        <f>15.9472 * CHOOSE(CONTROL!$C$32, $C$9, 100%, $E$9)</f>
        <v>15.9472</v>
      </c>
      <c r="G964" s="33">
        <f>15.9508 * CHOOSE(CONTROL!$C$32, $C$9, 100%, $E$9)</f>
        <v>15.950799999999999</v>
      </c>
      <c r="H964" s="33">
        <f>33.337 * CHOOSE(CONTROL!$C$32, $C$9, 100%, $E$9)</f>
        <v>33.337000000000003</v>
      </c>
      <c r="I964" s="33">
        <f>33.3406 * CHOOSE(CONTROL!$C$32, $C$9, 100%, $E$9)</f>
        <v>33.340600000000002</v>
      </c>
      <c r="J964" s="33">
        <f>33.337 * CHOOSE(CONTROL!$C$32, $C$9, 100%, $E$9)</f>
        <v>33.337000000000003</v>
      </c>
      <c r="K964" s="33">
        <f>33.3406 * CHOOSE(CONTROL!$C$32, $C$9, 100%, $E$9)</f>
        <v>33.340600000000002</v>
      </c>
      <c r="L964" s="33">
        <f>15.9472 * CHOOSE(CONTROL!$C$32, $C$9, 100%, $E$9)</f>
        <v>15.9472</v>
      </c>
      <c r="M964" s="33">
        <f>15.9508 * CHOOSE(CONTROL!$C$32, $C$9, 100%, $E$9)</f>
        <v>15.950799999999999</v>
      </c>
      <c r="N964" s="33">
        <f>15.9472 * CHOOSE(CONTROL!$C$32, $C$9, 100%, $E$9)</f>
        <v>15.9472</v>
      </c>
      <c r="O964" s="33">
        <f>15.9508 * CHOOSE(CONTROL!$C$32, $C$9, 100%, $E$9)</f>
        <v>15.950799999999999</v>
      </c>
    </row>
    <row r="965" spans="1:15" ht="15" x14ac:dyDescent="0.2">
      <c r="A965" s="16">
        <v>70220</v>
      </c>
      <c r="B965" s="32">
        <f>14.2545 * CHOOSE(CONTROL!$C$32, $C$9, 100%, $E$9)</f>
        <v>14.2545</v>
      </c>
      <c r="C965" s="32">
        <f>14.2545 * CHOOSE(CONTROL!$C$32, $C$9, 100%, $E$9)</f>
        <v>14.2545</v>
      </c>
      <c r="D965" s="32">
        <f>14.2555 * CHOOSE(CONTROL!$C$32, $C$9, 100%, $E$9)</f>
        <v>14.2555</v>
      </c>
      <c r="E965" s="33">
        <f>16.3196 * CHOOSE(CONTROL!$C$32, $C$9, 100%, $E$9)</f>
        <v>16.319600000000001</v>
      </c>
      <c r="F965" s="33">
        <f>16.3196 * CHOOSE(CONTROL!$C$32, $C$9, 100%, $E$9)</f>
        <v>16.319600000000001</v>
      </c>
      <c r="G965" s="33">
        <f>16.3232 * CHOOSE(CONTROL!$C$32, $C$9, 100%, $E$9)</f>
        <v>16.3232</v>
      </c>
      <c r="H965" s="33">
        <f>33.4065 * CHOOSE(CONTROL!$C$32, $C$9, 100%, $E$9)</f>
        <v>33.406500000000001</v>
      </c>
      <c r="I965" s="33">
        <f>33.4101 * CHOOSE(CONTROL!$C$32, $C$9, 100%, $E$9)</f>
        <v>33.4101</v>
      </c>
      <c r="J965" s="33">
        <f>33.4065 * CHOOSE(CONTROL!$C$32, $C$9, 100%, $E$9)</f>
        <v>33.406500000000001</v>
      </c>
      <c r="K965" s="33">
        <f>33.4101 * CHOOSE(CONTROL!$C$32, $C$9, 100%, $E$9)</f>
        <v>33.4101</v>
      </c>
      <c r="L965" s="33">
        <f>16.3196 * CHOOSE(CONTROL!$C$32, $C$9, 100%, $E$9)</f>
        <v>16.319600000000001</v>
      </c>
      <c r="M965" s="33">
        <f>16.3232 * CHOOSE(CONTROL!$C$32, $C$9, 100%, $E$9)</f>
        <v>16.3232</v>
      </c>
      <c r="N965" s="33">
        <f>16.3196 * CHOOSE(CONTROL!$C$32, $C$9, 100%, $E$9)</f>
        <v>16.319600000000001</v>
      </c>
      <c r="O965" s="33">
        <f>16.3232 * CHOOSE(CONTROL!$C$32, $C$9, 100%, $E$9)</f>
        <v>16.3232</v>
      </c>
    </row>
    <row r="966" spans="1:15" ht="15" x14ac:dyDescent="0.2">
      <c r="A966" s="16">
        <v>70250</v>
      </c>
      <c r="B966" s="32">
        <f>14.2545 * CHOOSE(CONTROL!$C$32, $C$9, 100%, $E$9)</f>
        <v>14.2545</v>
      </c>
      <c r="C966" s="32">
        <f>14.2545 * CHOOSE(CONTROL!$C$32, $C$9, 100%, $E$9)</f>
        <v>14.2545</v>
      </c>
      <c r="D966" s="32">
        <f>14.2561 * CHOOSE(CONTROL!$C$32, $C$9, 100%, $E$9)</f>
        <v>14.2561</v>
      </c>
      <c r="E966" s="33">
        <f>16.4608 * CHOOSE(CONTROL!$C$32, $C$9, 100%, $E$9)</f>
        <v>16.460799999999999</v>
      </c>
      <c r="F966" s="33">
        <f>16.4608 * CHOOSE(CONTROL!$C$32, $C$9, 100%, $E$9)</f>
        <v>16.460799999999999</v>
      </c>
      <c r="G966" s="33">
        <f>16.4661 * CHOOSE(CONTROL!$C$32, $C$9, 100%, $E$9)</f>
        <v>16.466100000000001</v>
      </c>
      <c r="H966" s="33">
        <f>33.4761 * CHOOSE(CONTROL!$C$32, $C$9, 100%, $E$9)</f>
        <v>33.476100000000002</v>
      </c>
      <c r="I966" s="33">
        <f>33.4814 * CHOOSE(CONTROL!$C$32, $C$9, 100%, $E$9)</f>
        <v>33.481400000000001</v>
      </c>
      <c r="J966" s="33">
        <f>33.4761 * CHOOSE(CONTROL!$C$32, $C$9, 100%, $E$9)</f>
        <v>33.476100000000002</v>
      </c>
      <c r="K966" s="33">
        <f>33.4814 * CHOOSE(CONTROL!$C$32, $C$9, 100%, $E$9)</f>
        <v>33.481400000000001</v>
      </c>
      <c r="L966" s="33">
        <f>16.4608 * CHOOSE(CONTROL!$C$32, $C$9, 100%, $E$9)</f>
        <v>16.460799999999999</v>
      </c>
      <c r="M966" s="33">
        <f>16.4661 * CHOOSE(CONTROL!$C$32, $C$9, 100%, $E$9)</f>
        <v>16.466100000000001</v>
      </c>
      <c r="N966" s="33">
        <f>16.4608 * CHOOSE(CONTROL!$C$32, $C$9, 100%, $E$9)</f>
        <v>16.460799999999999</v>
      </c>
      <c r="O966" s="33">
        <f>16.4661 * CHOOSE(CONTROL!$C$32, $C$9, 100%, $E$9)</f>
        <v>16.466100000000001</v>
      </c>
    </row>
    <row r="967" spans="1:15" ht="15" x14ac:dyDescent="0.2">
      <c r="A967" s="16">
        <v>70281</v>
      </c>
      <c r="B967" s="32">
        <f>14.2606 * CHOOSE(CONTROL!$C$32, $C$9, 100%, $E$9)</f>
        <v>14.2606</v>
      </c>
      <c r="C967" s="32">
        <f>14.2606 * CHOOSE(CONTROL!$C$32, $C$9, 100%, $E$9)</f>
        <v>14.2606</v>
      </c>
      <c r="D967" s="32">
        <f>14.2621 * CHOOSE(CONTROL!$C$32, $C$9, 100%, $E$9)</f>
        <v>14.2621</v>
      </c>
      <c r="E967" s="33">
        <f>16.3238 * CHOOSE(CONTROL!$C$32, $C$9, 100%, $E$9)</f>
        <v>16.323799999999999</v>
      </c>
      <c r="F967" s="33">
        <f>16.3238 * CHOOSE(CONTROL!$C$32, $C$9, 100%, $E$9)</f>
        <v>16.323799999999999</v>
      </c>
      <c r="G967" s="33">
        <f>16.3291 * CHOOSE(CONTROL!$C$32, $C$9, 100%, $E$9)</f>
        <v>16.3291</v>
      </c>
      <c r="H967" s="33">
        <f>33.5458 * CHOOSE(CONTROL!$C$32, $C$9, 100%, $E$9)</f>
        <v>33.5458</v>
      </c>
      <c r="I967" s="33">
        <f>33.5511 * CHOOSE(CONTROL!$C$32, $C$9, 100%, $E$9)</f>
        <v>33.551099999999998</v>
      </c>
      <c r="J967" s="33">
        <f>33.5458 * CHOOSE(CONTROL!$C$32, $C$9, 100%, $E$9)</f>
        <v>33.5458</v>
      </c>
      <c r="K967" s="33">
        <f>33.5511 * CHOOSE(CONTROL!$C$32, $C$9, 100%, $E$9)</f>
        <v>33.551099999999998</v>
      </c>
      <c r="L967" s="33">
        <f>16.3238 * CHOOSE(CONTROL!$C$32, $C$9, 100%, $E$9)</f>
        <v>16.323799999999999</v>
      </c>
      <c r="M967" s="33">
        <f>16.3291 * CHOOSE(CONTROL!$C$32, $C$9, 100%, $E$9)</f>
        <v>16.3291</v>
      </c>
      <c r="N967" s="33">
        <f>16.3238 * CHOOSE(CONTROL!$C$32, $C$9, 100%, $E$9)</f>
        <v>16.323799999999999</v>
      </c>
      <c r="O967" s="33">
        <f>16.3291 * CHOOSE(CONTROL!$C$32, $C$9, 100%, $E$9)</f>
        <v>16.3291</v>
      </c>
    </row>
    <row r="968" spans="1:15" ht="15" x14ac:dyDescent="0.2">
      <c r="A968" s="16">
        <v>70311</v>
      </c>
      <c r="B968" s="32">
        <f>14.4317 * CHOOSE(CONTROL!$C$32, $C$9, 100%, $E$9)</f>
        <v>14.431699999999999</v>
      </c>
      <c r="C968" s="32">
        <f>14.4317 * CHOOSE(CONTROL!$C$32, $C$9, 100%, $E$9)</f>
        <v>14.431699999999999</v>
      </c>
      <c r="D968" s="32">
        <f>14.4332 * CHOOSE(CONTROL!$C$32, $C$9, 100%, $E$9)</f>
        <v>14.433199999999999</v>
      </c>
      <c r="E968" s="33">
        <f>16.5557 * CHOOSE(CONTROL!$C$32, $C$9, 100%, $E$9)</f>
        <v>16.555700000000002</v>
      </c>
      <c r="F968" s="33">
        <f>16.5557 * CHOOSE(CONTROL!$C$32, $C$9, 100%, $E$9)</f>
        <v>16.555700000000002</v>
      </c>
      <c r="G968" s="33">
        <f>16.561 * CHOOSE(CONTROL!$C$32, $C$9, 100%, $E$9)</f>
        <v>16.561</v>
      </c>
      <c r="H968" s="33">
        <f>33.6157 * CHOOSE(CONTROL!$C$32, $C$9, 100%, $E$9)</f>
        <v>33.615699999999997</v>
      </c>
      <c r="I968" s="33">
        <f>33.621 * CHOOSE(CONTROL!$C$32, $C$9, 100%, $E$9)</f>
        <v>33.621000000000002</v>
      </c>
      <c r="J968" s="33">
        <f>33.6157 * CHOOSE(CONTROL!$C$32, $C$9, 100%, $E$9)</f>
        <v>33.615699999999997</v>
      </c>
      <c r="K968" s="33">
        <f>33.621 * CHOOSE(CONTROL!$C$32, $C$9, 100%, $E$9)</f>
        <v>33.621000000000002</v>
      </c>
      <c r="L968" s="33">
        <f>16.5557 * CHOOSE(CONTROL!$C$32, $C$9, 100%, $E$9)</f>
        <v>16.555700000000002</v>
      </c>
      <c r="M968" s="33">
        <f>16.561 * CHOOSE(CONTROL!$C$32, $C$9, 100%, $E$9)</f>
        <v>16.561</v>
      </c>
      <c r="N968" s="33">
        <f>16.5557 * CHOOSE(CONTROL!$C$32, $C$9, 100%, $E$9)</f>
        <v>16.555700000000002</v>
      </c>
      <c r="O968" s="33">
        <f>16.561 * CHOOSE(CONTROL!$C$32, $C$9, 100%, $E$9)</f>
        <v>16.561</v>
      </c>
    </row>
    <row r="969" spans="1:15" ht="15" x14ac:dyDescent="0.2">
      <c r="A969" s="16">
        <v>70342</v>
      </c>
      <c r="B969" s="32">
        <f>14.4384 * CHOOSE(CONTROL!$C$32, $C$9, 100%, $E$9)</f>
        <v>14.4384</v>
      </c>
      <c r="C969" s="32">
        <f>14.4384 * CHOOSE(CONTROL!$C$32, $C$9, 100%, $E$9)</f>
        <v>14.4384</v>
      </c>
      <c r="D969" s="32">
        <f>14.4399 * CHOOSE(CONTROL!$C$32, $C$9, 100%, $E$9)</f>
        <v>14.4399</v>
      </c>
      <c r="E969" s="33">
        <f>16.1367 * CHOOSE(CONTROL!$C$32, $C$9, 100%, $E$9)</f>
        <v>16.136700000000001</v>
      </c>
      <c r="F969" s="33">
        <f>16.1367 * CHOOSE(CONTROL!$C$32, $C$9, 100%, $E$9)</f>
        <v>16.136700000000001</v>
      </c>
      <c r="G969" s="33">
        <f>16.142 * CHOOSE(CONTROL!$C$32, $C$9, 100%, $E$9)</f>
        <v>16.141999999999999</v>
      </c>
      <c r="H969" s="33">
        <f>33.6857 * CHOOSE(CONTROL!$C$32, $C$9, 100%, $E$9)</f>
        <v>33.685699999999997</v>
      </c>
      <c r="I969" s="33">
        <f>33.691 * CHOOSE(CONTROL!$C$32, $C$9, 100%, $E$9)</f>
        <v>33.691000000000003</v>
      </c>
      <c r="J969" s="33">
        <f>33.6857 * CHOOSE(CONTROL!$C$32, $C$9, 100%, $E$9)</f>
        <v>33.685699999999997</v>
      </c>
      <c r="K969" s="33">
        <f>33.691 * CHOOSE(CONTROL!$C$32, $C$9, 100%, $E$9)</f>
        <v>33.691000000000003</v>
      </c>
      <c r="L969" s="33">
        <f>16.1367 * CHOOSE(CONTROL!$C$32, $C$9, 100%, $E$9)</f>
        <v>16.136700000000001</v>
      </c>
      <c r="M969" s="33">
        <f>16.142 * CHOOSE(CONTROL!$C$32, $C$9, 100%, $E$9)</f>
        <v>16.141999999999999</v>
      </c>
      <c r="N969" s="33">
        <f>16.1367 * CHOOSE(CONTROL!$C$32, $C$9, 100%, $E$9)</f>
        <v>16.136700000000001</v>
      </c>
      <c r="O969" s="33">
        <f>16.142 * CHOOSE(CONTROL!$C$32, $C$9, 100%, $E$9)</f>
        <v>16.141999999999999</v>
      </c>
    </row>
    <row r="970" spans="1:15" ht="15" x14ac:dyDescent="0.2">
      <c r="A970" s="16">
        <v>70373</v>
      </c>
      <c r="B970" s="32">
        <f>14.4353 * CHOOSE(CONTROL!$C$32, $C$9, 100%, $E$9)</f>
        <v>14.4353</v>
      </c>
      <c r="C970" s="32">
        <f>14.4353 * CHOOSE(CONTROL!$C$32, $C$9, 100%, $E$9)</f>
        <v>14.4353</v>
      </c>
      <c r="D970" s="32">
        <f>14.4369 * CHOOSE(CONTROL!$C$32, $C$9, 100%, $E$9)</f>
        <v>14.4369</v>
      </c>
      <c r="E970" s="33">
        <f>16.0875 * CHOOSE(CONTROL!$C$32, $C$9, 100%, $E$9)</f>
        <v>16.087499999999999</v>
      </c>
      <c r="F970" s="33">
        <f>16.0875 * CHOOSE(CONTROL!$C$32, $C$9, 100%, $E$9)</f>
        <v>16.087499999999999</v>
      </c>
      <c r="G970" s="33">
        <f>16.0928 * CHOOSE(CONTROL!$C$32, $C$9, 100%, $E$9)</f>
        <v>16.0928</v>
      </c>
      <c r="H970" s="33">
        <f>33.7559 * CHOOSE(CONTROL!$C$32, $C$9, 100%, $E$9)</f>
        <v>33.755899999999997</v>
      </c>
      <c r="I970" s="33">
        <f>33.7612 * CHOOSE(CONTROL!$C$32, $C$9, 100%, $E$9)</f>
        <v>33.761200000000002</v>
      </c>
      <c r="J970" s="33">
        <f>33.7559 * CHOOSE(CONTROL!$C$32, $C$9, 100%, $E$9)</f>
        <v>33.755899999999997</v>
      </c>
      <c r="K970" s="33">
        <f>33.7612 * CHOOSE(CONTROL!$C$32, $C$9, 100%, $E$9)</f>
        <v>33.761200000000002</v>
      </c>
      <c r="L970" s="33">
        <f>16.0875 * CHOOSE(CONTROL!$C$32, $C$9, 100%, $E$9)</f>
        <v>16.087499999999999</v>
      </c>
      <c r="M970" s="33">
        <f>16.0928 * CHOOSE(CONTROL!$C$32, $C$9, 100%, $E$9)</f>
        <v>16.0928</v>
      </c>
      <c r="N970" s="33">
        <f>16.0875 * CHOOSE(CONTROL!$C$32, $C$9, 100%, $E$9)</f>
        <v>16.087499999999999</v>
      </c>
      <c r="O970" s="33">
        <f>16.0928 * CHOOSE(CONTROL!$C$32, $C$9, 100%, $E$9)</f>
        <v>16.0928</v>
      </c>
    </row>
    <row r="971" spans="1:15" ht="15" x14ac:dyDescent="0.2">
      <c r="A971" s="16">
        <v>70403</v>
      </c>
      <c r="B971" s="32">
        <f>14.4694 * CHOOSE(CONTROL!$C$32, $C$9, 100%, $E$9)</f>
        <v>14.4694</v>
      </c>
      <c r="C971" s="32">
        <f>14.4694 * CHOOSE(CONTROL!$C$32, $C$9, 100%, $E$9)</f>
        <v>14.4694</v>
      </c>
      <c r="D971" s="32">
        <f>14.4705 * CHOOSE(CONTROL!$C$32, $C$9, 100%, $E$9)</f>
        <v>14.470499999999999</v>
      </c>
      <c r="E971" s="33">
        <f>16.2624 * CHOOSE(CONTROL!$C$32, $C$9, 100%, $E$9)</f>
        <v>16.2624</v>
      </c>
      <c r="F971" s="33">
        <f>16.2624 * CHOOSE(CONTROL!$C$32, $C$9, 100%, $E$9)</f>
        <v>16.2624</v>
      </c>
      <c r="G971" s="33">
        <f>16.266 * CHOOSE(CONTROL!$C$32, $C$9, 100%, $E$9)</f>
        <v>16.265999999999998</v>
      </c>
      <c r="H971" s="33">
        <f>33.8262 * CHOOSE(CONTROL!$C$32, $C$9, 100%, $E$9)</f>
        <v>33.8262</v>
      </c>
      <c r="I971" s="33">
        <f>33.8299 * CHOOSE(CONTROL!$C$32, $C$9, 100%, $E$9)</f>
        <v>33.829900000000002</v>
      </c>
      <c r="J971" s="33">
        <f>33.8262 * CHOOSE(CONTROL!$C$32, $C$9, 100%, $E$9)</f>
        <v>33.8262</v>
      </c>
      <c r="K971" s="33">
        <f>33.8299 * CHOOSE(CONTROL!$C$32, $C$9, 100%, $E$9)</f>
        <v>33.829900000000002</v>
      </c>
      <c r="L971" s="33">
        <f>16.2624 * CHOOSE(CONTROL!$C$32, $C$9, 100%, $E$9)</f>
        <v>16.2624</v>
      </c>
      <c r="M971" s="33">
        <f>16.266 * CHOOSE(CONTROL!$C$32, $C$9, 100%, $E$9)</f>
        <v>16.265999999999998</v>
      </c>
      <c r="N971" s="33">
        <f>16.2624 * CHOOSE(CONTROL!$C$32, $C$9, 100%, $E$9)</f>
        <v>16.2624</v>
      </c>
      <c r="O971" s="33">
        <f>16.266 * CHOOSE(CONTROL!$C$32, $C$9, 100%, $E$9)</f>
        <v>16.265999999999998</v>
      </c>
    </row>
    <row r="972" spans="1:15" ht="15" x14ac:dyDescent="0.2">
      <c r="A972" s="16">
        <v>70434</v>
      </c>
      <c r="B972" s="32">
        <f>14.4724 * CHOOSE(CONTROL!$C$32, $C$9, 100%, $E$9)</f>
        <v>14.4724</v>
      </c>
      <c r="C972" s="32">
        <f>14.4724 * CHOOSE(CONTROL!$C$32, $C$9, 100%, $E$9)</f>
        <v>14.4724</v>
      </c>
      <c r="D972" s="32">
        <f>14.4735 * CHOOSE(CONTROL!$C$32, $C$9, 100%, $E$9)</f>
        <v>14.4735</v>
      </c>
      <c r="E972" s="33">
        <f>16.3586 * CHOOSE(CONTROL!$C$32, $C$9, 100%, $E$9)</f>
        <v>16.358599999999999</v>
      </c>
      <c r="F972" s="33">
        <f>16.3586 * CHOOSE(CONTROL!$C$32, $C$9, 100%, $E$9)</f>
        <v>16.358599999999999</v>
      </c>
      <c r="G972" s="33">
        <f>16.3622 * CHOOSE(CONTROL!$C$32, $C$9, 100%, $E$9)</f>
        <v>16.362200000000001</v>
      </c>
      <c r="H972" s="33">
        <f>33.8967 * CHOOSE(CONTROL!$C$32, $C$9, 100%, $E$9)</f>
        <v>33.896700000000003</v>
      </c>
      <c r="I972" s="33">
        <f>33.9003 * CHOOSE(CONTROL!$C$32, $C$9, 100%, $E$9)</f>
        <v>33.900300000000001</v>
      </c>
      <c r="J972" s="33">
        <f>33.8967 * CHOOSE(CONTROL!$C$32, $C$9, 100%, $E$9)</f>
        <v>33.896700000000003</v>
      </c>
      <c r="K972" s="33">
        <f>33.9003 * CHOOSE(CONTROL!$C$32, $C$9, 100%, $E$9)</f>
        <v>33.900300000000001</v>
      </c>
      <c r="L972" s="33">
        <f>16.3586 * CHOOSE(CONTROL!$C$32, $C$9, 100%, $E$9)</f>
        <v>16.358599999999999</v>
      </c>
      <c r="M972" s="33">
        <f>16.3622 * CHOOSE(CONTROL!$C$32, $C$9, 100%, $E$9)</f>
        <v>16.362200000000001</v>
      </c>
      <c r="N972" s="33">
        <f>16.3586 * CHOOSE(CONTROL!$C$32, $C$9, 100%, $E$9)</f>
        <v>16.358599999999999</v>
      </c>
      <c r="O972" s="33">
        <f>16.3622 * CHOOSE(CONTROL!$C$32, $C$9, 100%, $E$9)</f>
        <v>16.362200000000001</v>
      </c>
    </row>
    <row r="973" spans="1:15" ht="15" x14ac:dyDescent="0.2">
      <c r="A973" s="16">
        <v>70464</v>
      </c>
      <c r="B973" s="32">
        <f>14.4724 * CHOOSE(CONTROL!$C$32, $C$9, 100%, $E$9)</f>
        <v>14.4724</v>
      </c>
      <c r="C973" s="32">
        <f>14.4724 * CHOOSE(CONTROL!$C$32, $C$9, 100%, $E$9)</f>
        <v>14.4724</v>
      </c>
      <c r="D973" s="32">
        <f>14.4735 * CHOOSE(CONTROL!$C$32, $C$9, 100%, $E$9)</f>
        <v>14.4735</v>
      </c>
      <c r="E973" s="33">
        <f>16.1233 * CHOOSE(CONTROL!$C$32, $C$9, 100%, $E$9)</f>
        <v>16.1233</v>
      </c>
      <c r="F973" s="33">
        <f>16.1233 * CHOOSE(CONTROL!$C$32, $C$9, 100%, $E$9)</f>
        <v>16.1233</v>
      </c>
      <c r="G973" s="33">
        <f>16.1269 * CHOOSE(CONTROL!$C$32, $C$9, 100%, $E$9)</f>
        <v>16.126899999999999</v>
      </c>
      <c r="H973" s="33">
        <f>33.9673 * CHOOSE(CONTROL!$C$32, $C$9, 100%, $E$9)</f>
        <v>33.967300000000002</v>
      </c>
      <c r="I973" s="33">
        <f>33.9709 * CHOOSE(CONTROL!$C$32, $C$9, 100%, $E$9)</f>
        <v>33.9709</v>
      </c>
      <c r="J973" s="33">
        <f>33.9673 * CHOOSE(CONTROL!$C$32, $C$9, 100%, $E$9)</f>
        <v>33.967300000000002</v>
      </c>
      <c r="K973" s="33">
        <f>33.9709 * CHOOSE(CONTROL!$C$32, $C$9, 100%, $E$9)</f>
        <v>33.9709</v>
      </c>
      <c r="L973" s="33">
        <f>16.1233 * CHOOSE(CONTROL!$C$32, $C$9, 100%, $E$9)</f>
        <v>16.1233</v>
      </c>
      <c r="M973" s="33">
        <f>16.1269 * CHOOSE(CONTROL!$C$32, $C$9, 100%, $E$9)</f>
        <v>16.126899999999999</v>
      </c>
      <c r="N973" s="33">
        <f>16.1233 * CHOOSE(CONTROL!$C$32, $C$9, 100%, $E$9)</f>
        <v>16.1233</v>
      </c>
      <c r="O973" s="33">
        <f>16.1269 * CHOOSE(CONTROL!$C$32, $C$9, 100%, $E$9)</f>
        <v>16.126899999999999</v>
      </c>
    </row>
    <row r="974" spans="1:15" ht="15" x14ac:dyDescent="0.2">
      <c r="A974" s="16">
        <v>70495</v>
      </c>
      <c r="B974" s="32">
        <f>14.4403 * CHOOSE(CONTROL!$C$32, $C$9, 100%, $E$9)</f>
        <v>14.440300000000001</v>
      </c>
      <c r="C974" s="32">
        <f>14.4403 * CHOOSE(CONTROL!$C$32, $C$9, 100%, $E$9)</f>
        <v>14.440300000000001</v>
      </c>
      <c r="D974" s="32">
        <f>14.4414 * CHOOSE(CONTROL!$C$32, $C$9, 100%, $E$9)</f>
        <v>14.4414</v>
      </c>
      <c r="E974" s="33">
        <f>16.2581 * CHOOSE(CONTROL!$C$32, $C$9, 100%, $E$9)</f>
        <v>16.258099999999999</v>
      </c>
      <c r="F974" s="33">
        <f>16.2581 * CHOOSE(CONTROL!$C$32, $C$9, 100%, $E$9)</f>
        <v>16.258099999999999</v>
      </c>
      <c r="G974" s="33">
        <f>16.2617 * CHOOSE(CONTROL!$C$32, $C$9, 100%, $E$9)</f>
        <v>16.261700000000001</v>
      </c>
      <c r="H974" s="33">
        <f>33.6626 * CHOOSE(CONTROL!$C$32, $C$9, 100%, $E$9)</f>
        <v>33.662599999999998</v>
      </c>
      <c r="I974" s="33">
        <f>33.6662 * CHOOSE(CONTROL!$C$32, $C$9, 100%, $E$9)</f>
        <v>33.666200000000003</v>
      </c>
      <c r="J974" s="33">
        <f>33.6626 * CHOOSE(CONTROL!$C$32, $C$9, 100%, $E$9)</f>
        <v>33.662599999999998</v>
      </c>
      <c r="K974" s="33">
        <f>33.6662 * CHOOSE(CONTROL!$C$32, $C$9, 100%, $E$9)</f>
        <v>33.666200000000003</v>
      </c>
      <c r="L974" s="33">
        <f>16.2581 * CHOOSE(CONTROL!$C$32, $C$9, 100%, $E$9)</f>
        <v>16.258099999999999</v>
      </c>
      <c r="M974" s="33">
        <f>16.2617 * CHOOSE(CONTROL!$C$32, $C$9, 100%, $E$9)</f>
        <v>16.261700000000001</v>
      </c>
      <c r="N974" s="33">
        <f>16.2581 * CHOOSE(CONTROL!$C$32, $C$9, 100%, $E$9)</f>
        <v>16.258099999999999</v>
      </c>
      <c r="O974" s="33">
        <f>16.2617 * CHOOSE(CONTROL!$C$32, $C$9, 100%, $E$9)</f>
        <v>16.261700000000001</v>
      </c>
    </row>
    <row r="975" spans="1:15" ht="15" x14ac:dyDescent="0.2">
      <c r="A975" s="16">
        <v>70526</v>
      </c>
      <c r="B975" s="32">
        <f>14.4373 * CHOOSE(CONTROL!$C$32, $C$9, 100%, $E$9)</f>
        <v>14.4373</v>
      </c>
      <c r="C975" s="32">
        <f>14.4373 * CHOOSE(CONTROL!$C$32, $C$9, 100%, $E$9)</f>
        <v>14.4373</v>
      </c>
      <c r="D975" s="32">
        <f>14.4383 * CHOOSE(CONTROL!$C$32, $C$9, 100%, $E$9)</f>
        <v>14.4383</v>
      </c>
      <c r="E975" s="33">
        <f>15.8041 * CHOOSE(CONTROL!$C$32, $C$9, 100%, $E$9)</f>
        <v>15.8041</v>
      </c>
      <c r="F975" s="33">
        <f>15.8041 * CHOOSE(CONTROL!$C$32, $C$9, 100%, $E$9)</f>
        <v>15.8041</v>
      </c>
      <c r="G975" s="33">
        <f>15.8077 * CHOOSE(CONTROL!$C$32, $C$9, 100%, $E$9)</f>
        <v>15.807700000000001</v>
      </c>
      <c r="H975" s="33">
        <f>33.7327 * CHOOSE(CONTROL!$C$32, $C$9, 100%, $E$9)</f>
        <v>33.732700000000001</v>
      </c>
      <c r="I975" s="33">
        <f>33.7363 * CHOOSE(CONTROL!$C$32, $C$9, 100%, $E$9)</f>
        <v>33.7363</v>
      </c>
      <c r="J975" s="33">
        <f>33.7327 * CHOOSE(CONTROL!$C$32, $C$9, 100%, $E$9)</f>
        <v>33.732700000000001</v>
      </c>
      <c r="K975" s="33">
        <f>33.7363 * CHOOSE(CONTROL!$C$32, $C$9, 100%, $E$9)</f>
        <v>33.7363</v>
      </c>
      <c r="L975" s="33">
        <f>15.8041 * CHOOSE(CONTROL!$C$32, $C$9, 100%, $E$9)</f>
        <v>15.8041</v>
      </c>
      <c r="M975" s="33">
        <f>15.8077 * CHOOSE(CONTROL!$C$32, $C$9, 100%, $E$9)</f>
        <v>15.807700000000001</v>
      </c>
      <c r="N975" s="33">
        <f>15.8041 * CHOOSE(CONTROL!$C$32, $C$9, 100%, $E$9)</f>
        <v>15.8041</v>
      </c>
      <c r="O975" s="33">
        <f>15.8077 * CHOOSE(CONTROL!$C$32, $C$9, 100%, $E$9)</f>
        <v>15.807700000000001</v>
      </c>
    </row>
    <row r="976" spans="1:15" ht="15" x14ac:dyDescent="0.2">
      <c r="A976" s="16">
        <v>70554</v>
      </c>
      <c r="B976" s="32">
        <f>14.4342 * CHOOSE(CONTROL!$C$32, $C$9, 100%, $E$9)</f>
        <v>14.434200000000001</v>
      </c>
      <c r="C976" s="32">
        <f>14.4342 * CHOOSE(CONTROL!$C$32, $C$9, 100%, $E$9)</f>
        <v>14.434200000000001</v>
      </c>
      <c r="D976" s="32">
        <f>14.4353 * CHOOSE(CONTROL!$C$32, $C$9, 100%, $E$9)</f>
        <v>14.4353</v>
      </c>
      <c r="E976" s="33">
        <f>16.1582 * CHOOSE(CONTROL!$C$32, $C$9, 100%, $E$9)</f>
        <v>16.158200000000001</v>
      </c>
      <c r="F976" s="33">
        <f>16.1582 * CHOOSE(CONTROL!$C$32, $C$9, 100%, $E$9)</f>
        <v>16.158200000000001</v>
      </c>
      <c r="G976" s="33">
        <f>16.1618 * CHOOSE(CONTROL!$C$32, $C$9, 100%, $E$9)</f>
        <v>16.161799999999999</v>
      </c>
      <c r="H976" s="33">
        <f>33.803 * CHOOSE(CONTROL!$C$32, $C$9, 100%, $E$9)</f>
        <v>33.802999999999997</v>
      </c>
      <c r="I976" s="33">
        <f>33.8066 * CHOOSE(CONTROL!$C$32, $C$9, 100%, $E$9)</f>
        <v>33.806600000000003</v>
      </c>
      <c r="J976" s="33">
        <f>33.803 * CHOOSE(CONTROL!$C$32, $C$9, 100%, $E$9)</f>
        <v>33.802999999999997</v>
      </c>
      <c r="K976" s="33">
        <f>33.8066 * CHOOSE(CONTROL!$C$32, $C$9, 100%, $E$9)</f>
        <v>33.806600000000003</v>
      </c>
      <c r="L976" s="33">
        <f>16.1582 * CHOOSE(CONTROL!$C$32, $C$9, 100%, $E$9)</f>
        <v>16.158200000000001</v>
      </c>
      <c r="M976" s="33">
        <f>16.1618 * CHOOSE(CONTROL!$C$32, $C$9, 100%, $E$9)</f>
        <v>16.161799999999999</v>
      </c>
      <c r="N976" s="33">
        <f>16.1582 * CHOOSE(CONTROL!$C$32, $C$9, 100%, $E$9)</f>
        <v>16.158200000000001</v>
      </c>
      <c r="O976" s="33">
        <f>16.1618 * CHOOSE(CONTROL!$C$32, $C$9, 100%, $E$9)</f>
        <v>16.161799999999999</v>
      </c>
    </row>
    <row r="977" spans="1:15" ht="15" x14ac:dyDescent="0.2">
      <c r="A977" s="16">
        <v>70585</v>
      </c>
      <c r="B977" s="32">
        <f>14.442 * CHOOSE(CONTROL!$C$32, $C$9, 100%, $E$9)</f>
        <v>14.442</v>
      </c>
      <c r="C977" s="32">
        <f>14.442 * CHOOSE(CONTROL!$C$32, $C$9, 100%, $E$9)</f>
        <v>14.442</v>
      </c>
      <c r="D977" s="32">
        <f>14.4431 * CHOOSE(CONTROL!$C$32, $C$9, 100%, $E$9)</f>
        <v>14.443099999999999</v>
      </c>
      <c r="E977" s="33">
        <f>16.5366 * CHOOSE(CONTROL!$C$32, $C$9, 100%, $E$9)</f>
        <v>16.5366</v>
      </c>
      <c r="F977" s="33">
        <f>16.5366 * CHOOSE(CONTROL!$C$32, $C$9, 100%, $E$9)</f>
        <v>16.5366</v>
      </c>
      <c r="G977" s="33">
        <f>16.5402 * CHOOSE(CONTROL!$C$32, $C$9, 100%, $E$9)</f>
        <v>16.540199999999999</v>
      </c>
      <c r="H977" s="33">
        <f>33.8734 * CHOOSE(CONTROL!$C$32, $C$9, 100%, $E$9)</f>
        <v>33.873399999999997</v>
      </c>
      <c r="I977" s="33">
        <f>33.877 * CHOOSE(CONTROL!$C$32, $C$9, 100%, $E$9)</f>
        <v>33.877000000000002</v>
      </c>
      <c r="J977" s="33">
        <f>33.8734 * CHOOSE(CONTROL!$C$32, $C$9, 100%, $E$9)</f>
        <v>33.873399999999997</v>
      </c>
      <c r="K977" s="33">
        <f>33.877 * CHOOSE(CONTROL!$C$32, $C$9, 100%, $E$9)</f>
        <v>33.877000000000002</v>
      </c>
      <c r="L977" s="33">
        <f>16.5366 * CHOOSE(CONTROL!$C$32, $C$9, 100%, $E$9)</f>
        <v>16.5366</v>
      </c>
      <c r="M977" s="33">
        <f>16.5402 * CHOOSE(CONTROL!$C$32, $C$9, 100%, $E$9)</f>
        <v>16.540199999999999</v>
      </c>
      <c r="N977" s="33">
        <f>16.5366 * CHOOSE(CONTROL!$C$32, $C$9, 100%, $E$9)</f>
        <v>16.5366</v>
      </c>
      <c r="O977" s="33">
        <f>16.5402 * CHOOSE(CONTROL!$C$32, $C$9, 100%, $E$9)</f>
        <v>16.540199999999999</v>
      </c>
    </row>
    <row r="978" spans="1:15" ht="15" x14ac:dyDescent="0.2">
      <c r="A978" s="16">
        <v>70615</v>
      </c>
      <c r="B978" s="32">
        <f>14.442 * CHOOSE(CONTROL!$C$32, $C$9, 100%, $E$9)</f>
        <v>14.442</v>
      </c>
      <c r="C978" s="32">
        <f>14.442 * CHOOSE(CONTROL!$C$32, $C$9, 100%, $E$9)</f>
        <v>14.442</v>
      </c>
      <c r="D978" s="32">
        <f>14.4436 * CHOOSE(CONTROL!$C$32, $C$9, 100%, $E$9)</f>
        <v>14.4436</v>
      </c>
      <c r="E978" s="33">
        <f>16.68 * CHOOSE(CONTROL!$C$32, $C$9, 100%, $E$9)</f>
        <v>16.68</v>
      </c>
      <c r="F978" s="33">
        <f>16.68 * CHOOSE(CONTROL!$C$32, $C$9, 100%, $E$9)</f>
        <v>16.68</v>
      </c>
      <c r="G978" s="33">
        <f>16.6853 * CHOOSE(CONTROL!$C$32, $C$9, 100%, $E$9)</f>
        <v>16.685300000000002</v>
      </c>
      <c r="H978" s="33">
        <f>33.944 * CHOOSE(CONTROL!$C$32, $C$9, 100%, $E$9)</f>
        <v>33.944000000000003</v>
      </c>
      <c r="I978" s="33">
        <f>33.9493 * CHOOSE(CONTROL!$C$32, $C$9, 100%, $E$9)</f>
        <v>33.949300000000001</v>
      </c>
      <c r="J978" s="33">
        <f>33.944 * CHOOSE(CONTROL!$C$32, $C$9, 100%, $E$9)</f>
        <v>33.944000000000003</v>
      </c>
      <c r="K978" s="33">
        <f>33.9493 * CHOOSE(CONTROL!$C$32, $C$9, 100%, $E$9)</f>
        <v>33.949300000000001</v>
      </c>
      <c r="L978" s="33">
        <f>16.68 * CHOOSE(CONTROL!$C$32, $C$9, 100%, $E$9)</f>
        <v>16.68</v>
      </c>
      <c r="M978" s="33">
        <f>16.6853 * CHOOSE(CONTROL!$C$32, $C$9, 100%, $E$9)</f>
        <v>16.685300000000002</v>
      </c>
      <c r="N978" s="33">
        <f>16.68 * CHOOSE(CONTROL!$C$32, $C$9, 100%, $E$9)</f>
        <v>16.68</v>
      </c>
      <c r="O978" s="33">
        <f>16.6853 * CHOOSE(CONTROL!$C$32, $C$9, 100%, $E$9)</f>
        <v>16.685300000000002</v>
      </c>
    </row>
    <row r="979" spans="1:15" ht="15" x14ac:dyDescent="0.2">
      <c r="A979" s="16">
        <v>70646</v>
      </c>
      <c r="B979" s="32">
        <f>14.4481 * CHOOSE(CONTROL!$C$32, $C$9, 100%, $E$9)</f>
        <v>14.4481</v>
      </c>
      <c r="C979" s="32">
        <f>14.4481 * CHOOSE(CONTROL!$C$32, $C$9, 100%, $E$9)</f>
        <v>14.4481</v>
      </c>
      <c r="D979" s="32">
        <f>14.4497 * CHOOSE(CONTROL!$C$32, $C$9, 100%, $E$9)</f>
        <v>14.4497</v>
      </c>
      <c r="E979" s="33">
        <f>16.5408 * CHOOSE(CONTROL!$C$32, $C$9, 100%, $E$9)</f>
        <v>16.540800000000001</v>
      </c>
      <c r="F979" s="33">
        <f>16.5408 * CHOOSE(CONTROL!$C$32, $C$9, 100%, $E$9)</f>
        <v>16.540800000000001</v>
      </c>
      <c r="G979" s="33">
        <f>16.5461 * CHOOSE(CONTROL!$C$32, $C$9, 100%, $E$9)</f>
        <v>16.546099999999999</v>
      </c>
      <c r="H979" s="33">
        <f>34.0147 * CHOOSE(CONTROL!$C$32, $C$9, 100%, $E$9)</f>
        <v>34.014699999999998</v>
      </c>
      <c r="I979" s="33">
        <f>34.02 * CHOOSE(CONTROL!$C$32, $C$9, 100%, $E$9)</f>
        <v>34.020000000000003</v>
      </c>
      <c r="J979" s="33">
        <f>34.0147 * CHOOSE(CONTROL!$C$32, $C$9, 100%, $E$9)</f>
        <v>34.014699999999998</v>
      </c>
      <c r="K979" s="33">
        <f>34.02 * CHOOSE(CONTROL!$C$32, $C$9, 100%, $E$9)</f>
        <v>34.020000000000003</v>
      </c>
      <c r="L979" s="33">
        <f>16.5408 * CHOOSE(CONTROL!$C$32, $C$9, 100%, $E$9)</f>
        <v>16.540800000000001</v>
      </c>
      <c r="M979" s="33">
        <f>16.5461 * CHOOSE(CONTROL!$C$32, $C$9, 100%, $E$9)</f>
        <v>16.546099999999999</v>
      </c>
      <c r="N979" s="33">
        <f>16.5408 * CHOOSE(CONTROL!$C$32, $C$9, 100%, $E$9)</f>
        <v>16.540800000000001</v>
      </c>
      <c r="O979" s="33">
        <f>16.5461 * CHOOSE(CONTROL!$C$32, $C$9, 100%, $E$9)</f>
        <v>16.546099999999999</v>
      </c>
    </row>
    <row r="980" spans="1:15" ht="15" x14ac:dyDescent="0.2">
      <c r="A980" s="16">
        <v>70676</v>
      </c>
      <c r="B980" s="32">
        <f>14.6213 * CHOOSE(CONTROL!$C$32, $C$9, 100%, $E$9)</f>
        <v>14.6213</v>
      </c>
      <c r="C980" s="32">
        <f>14.6213 * CHOOSE(CONTROL!$C$32, $C$9, 100%, $E$9)</f>
        <v>14.6213</v>
      </c>
      <c r="D980" s="32">
        <f>14.6228 * CHOOSE(CONTROL!$C$32, $C$9, 100%, $E$9)</f>
        <v>14.6228</v>
      </c>
      <c r="E980" s="33">
        <f>16.7759 * CHOOSE(CONTROL!$C$32, $C$9, 100%, $E$9)</f>
        <v>16.7759</v>
      </c>
      <c r="F980" s="33">
        <f>16.7759 * CHOOSE(CONTROL!$C$32, $C$9, 100%, $E$9)</f>
        <v>16.7759</v>
      </c>
      <c r="G980" s="33">
        <f>16.7811 * CHOOSE(CONTROL!$C$32, $C$9, 100%, $E$9)</f>
        <v>16.781099999999999</v>
      </c>
      <c r="H980" s="33">
        <f>34.0856 * CHOOSE(CONTROL!$C$32, $C$9, 100%, $E$9)</f>
        <v>34.085599999999999</v>
      </c>
      <c r="I980" s="33">
        <f>34.0909 * CHOOSE(CONTROL!$C$32, $C$9, 100%, $E$9)</f>
        <v>34.090899999999998</v>
      </c>
      <c r="J980" s="33">
        <f>34.0856 * CHOOSE(CONTROL!$C$32, $C$9, 100%, $E$9)</f>
        <v>34.085599999999999</v>
      </c>
      <c r="K980" s="33">
        <f>34.0909 * CHOOSE(CONTROL!$C$32, $C$9, 100%, $E$9)</f>
        <v>34.090899999999998</v>
      </c>
      <c r="L980" s="33">
        <f>16.7759 * CHOOSE(CONTROL!$C$32, $C$9, 100%, $E$9)</f>
        <v>16.7759</v>
      </c>
      <c r="M980" s="33">
        <f>16.7811 * CHOOSE(CONTROL!$C$32, $C$9, 100%, $E$9)</f>
        <v>16.781099999999999</v>
      </c>
      <c r="N980" s="33">
        <f>16.7759 * CHOOSE(CONTROL!$C$32, $C$9, 100%, $E$9)</f>
        <v>16.7759</v>
      </c>
      <c r="O980" s="33">
        <f>16.7811 * CHOOSE(CONTROL!$C$32, $C$9, 100%, $E$9)</f>
        <v>16.781099999999999</v>
      </c>
    </row>
    <row r="981" spans="1:15" ht="15" x14ac:dyDescent="0.2">
      <c r="A981" s="16">
        <v>70707</v>
      </c>
      <c r="B981" s="32">
        <f>14.6279 * CHOOSE(CONTROL!$C$32, $C$9, 100%, $E$9)</f>
        <v>14.6279</v>
      </c>
      <c r="C981" s="32">
        <f>14.6279 * CHOOSE(CONTROL!$C$32, $C$9, 100%, $E$9)</f>
        <v>14.6279</v>
      </c>
      <c r="D981" s="32">
        <f>14.6295 * CHOOSE(CONTROL!$C$32, $C$9, 100%, $E$9)</f>
        <v>14.6295</v>
      </c>
      <c r="E981" s="33">
        <f>16.3501 * CHOOSE(CONTROL!$C$32, $C$9, 100%, $E$9)</f>
        <v>16.350100000000001</v>
      </c>
      <c r="F981" s="33">
        <f>16.3501 * CHOOSE(CONTROL!$C$32, $C$9, 100%, $E$9)</f>
        <v>16.350100000000001</v>
      </c>
      <c r="G981" s="33">
        <f>16.3554 * CHOOSE(CONTROL!$C$32, $C$9, 100%, $E$9)</f>
        <v>16.355399999999999</v>
      </c>
      <c r="H981" s="33">
        <f>34.1566 * CHOOSE(CONTROL!$C$32, $C$9, 100%, $E$9)</f>
        <v>34.156599999999997</v>
      </c>
      <c r="I981" s="33">
        <f>34.1619 * CHOOSE(CONTROL!$C$32, $C$9, 100%, $E$9)</f>
        <v>34.161900000000003</v>
      </c>
      <c r="J981" s="33">
        <f>34.1566 * CHOOSE(CONTROL!$C$32, $C$9, 100%, $E$9)</f>
        <v>34.156599999999997</v>
      </c>
      <c r="K981" s="33">
        <f>34.1619 * CHOOSE(CONTROL!$C$32, $C$9, 100%, $E$9)</f>
        <v>34.161900000000003</v>
      </c>
      <c r="L981" s="33">
        <f>16.3501 * CHOOSE(CONTROL!$C$32, $C$9, 100%, $E$9)</f>
        <v>16.350100000000001</v>
      </c>
      <c r="M981" s="33">
        <f>16.3554 * CHOOSE(CONTROL!$C$32, $C$9, 100%, $E$9)</f>
        <v>16.355399999999999</v>
      </c>
      <c r="N981" s="33">
        <f>16.3501 * CHOOSE(CONTROL!$C$32, $C$9, 100%, $E$9)</f>
        <v>16.350100000000001</v>
      </c>
      <c r="O981" s="33">
        <f>16.3554 * CHOOSE(CONTROL!$C$32, $C$9, 100%, $E$9)</f>
        <v>16.355399999999999</v>
      </c>
    </row>
    <row r="982" spans="1:15" ht="15" x14ac:dyDescent="0.2">
      <c r="A982" s="16">
        <v>70738</v>
      </c>
      <c r="B982" s="32">
        <f>14.6249 * CHOOSE(CONTROL!$C$32, $C$9, 100%, $E$9)</f>
        <v>14.6249</v>
      </c>
      <c r="C982" s="32">
        <f>14.6249 * CHOOSE(CONTROL!$C$32, $C$9, 100%, $E$9)</f>
        <v>14.6249</v>
      </c>
      <c r="D982" s="32">
        <f>14.6265 * CHOOSE(CONTROL!$C$32, $C$9, 100%, $E$9)</f>
        <v>14.6265</v>
      </c>
      <c r="E982" s="33">
        <f>16.3002 * CHOOSE(CONTROL!$C$32, $C$9, 100%, $E$9)</f>
        <v>16.3002</v>
      </c>
      <c r="F982" s="33">
        <f>16.3002 * CHOOSE(CONTROL!$C$32, $C$9, 100%, $E$9)</f>
        <v>16.3002</v>
      </c>
      <c r="G982" s="33">
        <f>16.3055 * CHOOSE(CONTROL!$C$32, $C$9, 100%, $E$9)</f>
        <v>16.305499999999999</v>
      </c>
      <c r="H982" s="33">
        <f>34.2277 * CHOOSE(CONTROL!$C$32, $C$9, 100%, $E$9)</f>
        <v>34.227699999999999</v>
      </c>
      <c r="I982" s="33">
        <f>34.233 * CHOOSE(CONTROL!$C$32, $C$9, 100%, $E$9)</f>
        <v>34.232999999999997</v>
      </c>
      <c r="J982" s="33">
        <f>34.2277 * CHOOSE(CONTROL!$C$32, $C$9, 100%, $E$9)</f>
        <v>34.227699999999999</v>
      </c>
      <c r="K982" s="33">
        <f>34.233 * CHOOSE(CONTROL!$C$32, $C$9, 100%, $E$9)</f>
        <v>34.232999999999997</v>
      </c>
      <c r="L982" s="33">
        <f>16.3002 * CHOOSE(CONTROL!$C$32, $C$9, 100%, $E$9)</f>
        <v>16.3002</v>
      </c>
      <c r="M982" s="33">
        <f>16.3055 * CHOOSE(CONTROL!$C$32, $C$9, 100%, $E$9)</f>
        <v>16.305499999999999</v>
      </c>
      <c r="N982" s="33">
        <f>16.3002 * CHOOSE(CONTROL!$C$32, $C$9, 100%, $E$9)</f>
        <v>16.3002</v>
      </c>
      <c r="O982" s="33">
        <f>16.3055 * CHOOSE(CONTROL!$C$32, $C$9, 100%, $E$9)</f>
        <v>16.305499999999999</v>
      </c>
    </row>
    <row r="983" spans="1:15" ht="15" x14ac:dyDescent="0.2">
      <c r="A983" s="16">
        <v>70768</v>
      </c>
      <c r="B983" s="32">
        <f>14.6597 * CHOOSE(CONTROL!$C$32, $C$9, 100%, $E$9)</f>
        <v>14.659700000000001</v>
      </c>
      <c r="C983" s="32">
        <f>14.6597 * CHOOSE(CONTROL!$C$32, $C$9, 100%, $E$9)</f>
        <v>14.659700000000001</v>
      </c>
      <c r="D983" s="32">
        <f>14.6608 * CHOOSE(CONTROL!$C$32, $C$9, 100%, $E$9)</f>
        <v>14.6608</v>
      </c>
      <c r="E983" s="33">
        <f>16.478 * CHOOSE(CONTROL!$C$32, $C$9, 100%, $E$9)</f>
        <v>16.478000000000002</v>
      </c>
      <c r="F983" s="33">
        <f>16.478 * CHOOSE(CONTROL!$C$32, $C$9, 100%, $E$9)</f>
        <v>16.478000000000002</v>
      </c>
      <c r="G983" s="33">
        <f>16.4817 * CHOOSE(CONTROL!$C$32, $C$9, 100%, $E$9)</f>
        <v>16.4817</v>
      </c>
      <c r="H983" s="33">
        <f>34.299 * CHOOSE(CONTROL!$C$32, $C$9, 100%, $E$9)</f>
        <v>34.298999999999999</v>
      </c>
      <c r="I983" s="33">
        <f>34.3027 * CHOOSE(CONTROL!$C$32, $C$9, 100%, $E$9)</f>
        <v>34.302700000000002</v>
      </c>
      <c r="J983" s="33">
        <f>34.299 * CHOOSE(CONTROL!$C$32, $C$9, 100%, $E$9)</f>
        <v>34.298999999999999</v>
      </c>
      <c r="K983" s="33">
        <f>34.3027 * CHOOSE(CONTROL!$C$32, $C$9, 100%, $E$9)</f>
        <v>34.302700000000002</v>
      </c>
      <c r="L983" s="33">
        <f>16.478 * CHOOSE(CONTROL!$C$32, $C$9, 100%, $E$9)</f>
        <v>16.478000000000002</v>
      </c>
      <c r="M983" s="33">
        <f>16.4817 * CHOOSE(CONTROL!$C$32, $C$9, 100%, $E$9)</f>
        <v>16.4817</v>
      </c>
      <c r="N983" s="33">
        <f>16.478 * CHOOSE(CONTROL!$C$32, $C$9, 100%, $E$9)</f>
        <v>16.478000000000002</v>
      </c>
      <c r="O983" s="33">
        <f>16.4817 * CHOOSE(CONTROL!$C$32, $C$9, 100%, $E$9)</f>
        <v>16.4817</v>
      </c>
    </row>
    <row r="984" spans="1:15" ht="15" x14ac:dyDescent="0.2">
      <c r="A984" s="16">
        <v>70799</v>
      </c>
      <c r="B984" s="32">
        <f>14.6627 * CHOOSE(CONTROL!$C$32, $C$9, 100%, $E$9)</f>
        <v>14.662699999999999</v>
      </c>
      <c r="C984" s="32">
        <f>14.6627 * CHOOSE(CONTROL!$C$32, $C$9, 100%, $E$9)</f>
        <v>14.662699999999999</v>
      </c>
      <c r="D984" s="32">
        <f>14.6638 * CHOOSE(CONTROL!$C$32, $C$9, 100%, $E$9)</f>
        <v>14.6638</v>
      </c>
      <c r="E984" s="33">
        <f>16.5758 * CHOOSE(CONTROL!$C$32, $C$9, 100%, $E$9)</f>
        <v>16.575800000000001</v>
      </c>
      <c r="F984" s="33">
        <f>16.5758 * CHOOSE(CONTROL!$C$32, $C$9, 100%, $E$9)</f>
        <v>16.575800000000001</v>
      </c>
      <c r="G984" s="33">
        <f>16.5794 * CHOOSE(CONTROL!$C$32, $C$9, 100%, $E$9)</f>
        <v>16.5794</v>
      </c>
      <c r="H984" s="33">
        <f>34.3705 * CHOOSE(CONTROL!$C$32, $C$9, 100%, $E$9)</f>
        <v>34.3705</v>
      </c>
      <c r="I984" s="33">
        <f>34.3741 * CHOOSE(CONTROL!$C$32, $C$9, 100%, $E$9)</f>
        <v>34.374099999999999</v>
      </c>
      <c r="J984" s="33">
        <f>34.3705 * CHOOSE(CONTROL!$C$32, $C$9, 100%, $E$9)</f>
        <v>34.3705</v>
      </c>
      <c r="K984" s="33">
        <f>34.3741 * CHOOSE(CONTROL!$C$32, $C$9, 100%, $E$9)</f>
        <v>34.374099999999999</v>
      </c>
      <c r="L984" s="33">
        <f>16.5758 * CHOOSE(CONTROL!$C$32, $C$9, 100%, $E$9)</f>
        <v>16.575800000000001</v>
      </c>
      <c r="M984" s="33">
        <f>16.5794 * CHOOSE(CONTROL!$C$32, $C$9, 100%, $E$9)</f>
        <v>16.5794</v>
      </c>
      <c r="N984" s="33">
        <f>16.5758 * CHOOSE(CONTROL!$C$32, $C$9, 100%, $E$9)</f>
        <v>16.575800000000001</v>
      </c>
      <c r="O984" s="33">
        <f>16.5794 * CHOOSE(CONTROL!$C$32, $C$9, 100%, $E$9)</f>
        <v>16.5794</v>
      </c>
    </row>
    <row r="985" spans="1:15" ht="15" x14ac:dyDescent="0.2">
      <c r="A985" s="16">
        <v>70829</v>
      </c>
      <c r="B985" s="32">
        <f>14.6627 * CHOOSE(CONTROL!$C$32, $C$9, 100%, $E$9)</f>
        <v>14.662699999999999</v>
      </c>
      <c r="C985" s="32">
        <f>14.6627 * CHOOSE(CONTROL!$C$32, $C$9, 100%, $E$9)</f>
        <v>14.662699999999999</v>
      </c>
      <c r="D985" s="32">
        <f>14.6638 * CHOOSE(CONTROL!$C$32, $C$9, 100%, $E$9)</f>
        <v>14.6638</v>
      </c>
      <c r="E985" s="33">
        <f>16.3367 * CHOOSE(CONTROL!$C$32, $C$9, 100%, $E$9)</f>
        <v>16.3367</v>
      </c>
      <c r="F985" s="33">
        <f>16.3367 * CHOOSE(CONTROL!$C$32, $C$9, 100%, $E$9)</f>
        <v>16.3367</v>
      </c>
      <c r="G985" s="33">
        <f>16.3403 * CHOOSE(CONTROL!$C$32, $C$9, 100%, $E$9)</f>
        <v>16.340299999999999</v>
      </c>
      <c r="H985" s="33">
        <f>34.4421 * CHOOSE(CONTROL!$C$32, $C$9, 100%, $E$9)</f>
        <v>34.442100000000003</v>
      </c>
      <c r="I985" s="33">
        <f>34.4457 * CHOOSE(CONTROL!$C$32, $C$9, 100%, $E$9)</f>
        <v>34.445700000000002</v>
      </c>
      <c r="J985" s="33">
        <f>34.4421 * CHOOSE(CONTROL!$C$32, $C$9, 100%, $E$9)</f>
        <v>34.442100000000003</v>
      </c>
      <c r="K985" s="33">
        <f>34.4457 * CHOOSE(CONTROL!$C$32, $C$9, 100%, $E$9)</f>
        <v>34.445700000000002</v>
      </c>
      <c r="L985" s="33">
        <f>16.3367 * CHOOSE(CONTROL!$C$32, $C$9, 100%, $E$9)</f>
        <v>16.3367</v>
      </c>
      <c r="M985" s="33">
        <f>16.3403 * CHOOSE(CONTROL!$C$32, $C$9, 100%, $E$9)</f>
        <v>16.340299999999999</v>
      </c>
      <c r="N985" s="33">
        <f>16.3367 * CHOOSE(CONTROL!$C$32, $C$9, 100%, $E$9)</f>
        <v>16.3367</v>
      </c>
      <c r="O985" s="33">
        <f>16.3403 * CHOOSE(CONTROL!$C$32, $C$9, 100%, $E$9)</f>
        <v>16.340299999999999</v>
      </c>
    </row>
    <row r="986" spans="1:15" ht="15" x14ac:dyDescent="0.2">
      <c r="A986" s="16">
        <v>70860</v>
      </c>
      <c r="B986" s="32">
        <f>14.6277 * CHOOSE(CONTROL!$C$32, $C$9, 100%, $E$9)</f>
        <v>14.627700000000001</v>
      </c>
      <c r="C986" s="32">
        <f>14.6277 * CHOOSE(CONTROL!$C$32, $C$9, 100%, $E$9)</f>
        <v>14.627700000000001</v>
      </c>
      <c r="D986" s="32">
        <f>14.6287 * CHOOSE(CONTROL!$C$32, $C$9, 100%, $E$9)</f>
        <v>14.6287</v>
      </c>
      <c r="E986" s="33">
        <f>16.4706 * CHOOSE(CONTROL!$C$32, $C$9, 100%, $E$9)</f>
        <v>16.470600000000001</v>
      </c>
      <c r="F986" s="33">
        <f>16.4706 * CHOOSE(CONTROL!$C$32, $C$9, 100%, $E$9)</f>
        <v>16.470600000000001</v>
      </c>
      <c r="G986" s="33">
        <f>16.4742 * CHOOSE(CONTROL!$C$32, $C$9, 100%, $E$9)</f>
        <v>16.4742</v>
      </c>
      <c r="H986" s="33">
        <f>34.1266 * CHOOSE(CONTROL!$C$32, $C$9, 100%, $E$9)</f>
        <v>34.126600000000003</v>
      </c>
      <c r="I986" s="33">
        <f>34.1302 * CHOOSE(CONTROL!$C$32, $C$9, 100%, $E$9)</f>
        <v>34.130200000000002</v>
      </c>
      <c r="J986" s="33">
        <f>34.1266 * CHOOSE(CONTROL!$C$32, $C$9, 100%, $E$9)</f>
        <v>34.126600000000003</v>
      </c>
      <c r="K986" s="33">
        <f>34.1302 * CHOOSE(CONTROL!$C$32, $C$9, 100%, $E$9)</f>
        <v>34.130200000000002</v>
      </c>
      <c r="L986" s="33">
        <f>16.4706 * CHOOSE(CONTROL!$C$32, $C$9, 100%, $E$9)</f>
        <v>16.470600000000001</v>
      </c>
      <c r="M986" s="33">
        <f>16.4742 * CHOOSE(CONTROL!$C$32, $C$9, 100%, $E$9)</f>
        <v>16.4742</v>
      </c>
      <c r="N986" s="33">
        <f>16.4706 * CHOOSE(CONTROL!$C$32, $C$9, 100%, $E$9)</f>
        <v>16.470600000000001</v>
      </c>
      <c r="O986" s="33">
        <f>16.4742 * CHOOSE(CONTROL!$C$32, $C$9, 100%, $E$9)</f>
        <v>16.4742</v>
      </c>
    </row>
    <row r="987" spans="1:15" ht="15" x14ac:dyDescent="0.2">
      <c r="A987" s="16">
        <v>70891</v>
      </c>
      <c r="B987" s="32">
        <f>14.6246 * CHOOSE(CONTROL!$C$32, $C$9, 100%, $E$9)</f>
        <v>14.624599999999999</v>
      </c>
      <c r="C987" s="32">
        <f>14.6246 * CHOOSE(CONTROL!$C$32, $C$9, 100%, $E$9)</f>
        <v>14.624599999999999</v>
      </c>
      <c r="D987" s="32">
        <f>14.6257 * CHOOSE(CONTROL!$C$32, $C$9, 100%, $E$9)</f>
        <v>14.6257</v>
      </c>
      <c r="E987" s="33">
        <f>16.0095 * CHOOSE(CONTROL!$C$32, $C$9, 100%, $E$9)</f>
        <v>16.009499999999999</v>
      </c>
      <c r="F987" s="33">
        <f>16.0095 * CHOOSE(CONTROL!$C$32, $C$9, 100%, $E$9)</f>
        <v>16.009499999999999</v>
      </c>
      <c r="G987" s="33">
        <f>16.0132 * CHOOSE(CONTROL!$C$32, $C$9, 100%, $E$9)</f>
        <v>16.013200000000001</v>
      </c>
      <c r="H987" s="33">
        <f>34.1977 * CHOOSE(CONTROL!$C$32, $C$9, 100%, $E$9)</f>
        <v>34.197699999999998</v>
      </c>
      <c r="I987" s="33">
        <f>34.2013 * CHOOSE(CONTROL!$C$32, $C$9, 100%, $E$9)</f>
        <v>34.201300000000003</v>
      </c>
      <c r="J987" s="33">
        <f>34.1977 * CHOOSE(CONTROL!$C$32, $C$9, 100%, $E$9)</f>
        <v>34.197699999999998</v>
      </c>
      <c r="K987" s="33">
        <f>34.2013 * CHOOSE(CONTROL!$C$32, $C$9, 100%, $E$9)</f>
        <v>34.201300000000003</v>
      </c>
      <c r="L987" s="33">
        <f>16.0095 * CHOOSE(CONTROL!$C$32, $C$9, 100%, $E$9)</f>
        <v>16.009499999999999</v>
      </c>
      <c r="M987" s="33">
        <f>16.0132 * CHOOSE(CONTROL!$C$32, $C$9, 100%, $E$9)</f>
        <v>16.013200000000001</v>
      </c>
      <c r="N987" s="33">
        <f>16.0095 * CHOOSE(CONTROL!$C$32, $C$9, 100%, $E$9)</f>
        <v>16.009499999999999</v>
      </c>
      <c r="O987" s="33">
        <f>16.0132 * CHOOSE(CONTROL!$C$32, $C$9, 100%, $E$9)</f>
        <v>16.013200000000001</v>
      </c>
    </row>
    <row r="988" spans="1:15" ht="15" x14ac:dyDescent="0.2">
      <c r="A988" s="16">
        <v>70919</v>
      </c>
      <c r="B988" s="32">
        <f>14.6216 * CHOOSE(CONTROL!$C$32, $C$9, 100%, $E$9)</f>
        <v>14.621600000000001</v>
      </c>
      <c r="C988" s="32">
        <f>14.6216 * CHOOSE(CONTROL!$C$32, $C$9, 100%, $E$9)</f>
        <v>14.621600000000001</v>
      </c>
      <c r="D988" s="32">
        <f>14.6227 * CHOOSE(CONTROL!$C$32, $C$9, 100%, $E$9)</f>
        <v>14.6227</v>
      </c>
      <c r="E988" s="33">
        <f>16.3692 * CHOOSE(CONTROL!$C$32, $C$9, 100%, $E$9)</f>
        <v>16.369199999999999</v>
      </c>
      <c r="F988" s="33">
        <f>16.3692 * CHOOSE(CONTROL!$C$32, $C$9, 100%, $E$9)</f>
        <v>16.369199999999999</v>
      </c>
      <c r="G988" s="33">
        <f>16.3729 * CHOOSE(CONTROL!$C$32, $C$9, 100%, $E$9)</f>
        <v>16.372900000000001</v>
      </c>
      <c r="H988" s="33">
        <f>34.269 * CHOOSE(CONTROL!$C$32, $C$9, 100%, $E$9)</f>
        <v>34.268999999999998</v>
      </c>
      <c r="I988" s="33">
        <f>34.2726 * CHOOSE(CONTROL!$C$32, $C$9, 100%, $E$9)</f>
        <v>34.272599999999997</v>
      </c>
      <c r="J988" s="33">
        <f>34.269 * CHOOSE(CONTROL!$C$32, $C$9, 100%, $E$9)</f>
        <v>34.268999999999998</v>
      </c>
      <c r="K988" s="33">
        <f>34.2726 * CHOOSE(CONTROL!$C$32, $C$9, 100%, $E$9)</f>
        <v>34.272599999999997</v>
      </c>
      <c r="L988" s="33">
        <f>16.3692 * CHOOSE(CONTROL!$C$32, $C$9, 100%, $E$9)</f>
        <v>16.369199999999999</v>
      </c>
      <c r="M988" s="33">
        <f>16.3729 * CHOOSE(CONTROL!$C$32, $C$9, 100%, $E$9)</f>
        <v>16.372900000000001</v>
      </c>
      <c r="N988" s="33">
        <f>16.3692 * CHOOSE(CONTROL!$C$32, $C$9, 100%, $E$9)</f>
        <v>16.369199999999999</v>
      </c>
      <c r="O988" s="33">
        <f>16.3729 * CHOOSE(CONTROL!$C$32, $C$9, 100%, $E$9)</f>
        <v>16.372900000000001</v>
      </c>
    </row>
    <row r="989" spans="1:15" ht="15" x14ac:dyDescent="0.2">
      <c r="A989" s="16">
        <v>70950</v>
      </c>
      <c r="B989" s="32">
        <f>14.6296 * CHOOSE(CONTROL!$C$32, $C$9, 100%, $E$9)</f>
        <v>14.6296</v>
      </c>
      <c r="C989" s="32">
        <f>14.6296 * CHOOSE(CONTROL!$C$32, $C$9, 100%, $E$9)</f>
        <v>14.6296</v>
      </c>
      <c r="D989" s="32">
        <f>14.6306 * CHOOSE(CONTROL!$C$32, $C$9, 100%, $E$9)</f>
        <v>14.630599999999999</v>
      </c>
      <c r="E989" s="33">
        <f>16.7536 * CHOOSE(CONTROL!$C$32, $C$9, 100%, $E$9)</f>
        <v>16.753599999999999</v>
      </c>
      <c r="F989" s="33">
        <f>16.7536 * CHOOSE(CONTROL!$C$32, $C$9, 100%, $E$9)</f>
        <v>16.753599999999999</v>
      </c>
      <c r="G989" s="33">
        <f>16.7572 * CHOOSE(CONTROL!$C$32, $C$9, 100%, $E$9)</f>
        <v>16.757200000000001</v>
      </c>
      <c r="H989" s="33">
        <f>34.3403 * CHOOSE(CONTROL!$C$32, $C$9, 100%, $E$9)</f>
        <v>34.340299999999999</v>
      </c>
      <c r="I989" s="33">
        <f>34.344 * CHOOSE(CONTROL!$C$32, $C$9, 100%, $E$9)</f>
        <v>34.344000000000001</v>
      </c>
      <c r="J989" s="33">
        <f>34.3403 * CHOOSE(CONTROL!$C$32, $C$9, 100%, $E$9)</f>
        <v>34.340299999999999</v>
      </c>
      <c r="K989" s="33">
        <f>34.344 * CHOOSE(CONTROL!$C$32, $C$9, 100%, $E$9)</f>
        <v>34.344000000000001</v>
      </c>
      <c r="L989" s="33">
        <f>16.7536 * CHOOSE(CONTROL!$C$32, $C$9, 100%, $E$9)</f>
        <v>16.753599999999999</v>
      </c>
      <c r="M989" s="33">
        <f>16.7572 * CHOOSE(CONTROL!$C$32, $C$9, 100%, $E$9)</f>
        <v>16.757200000000001</v>
      </c>
      <c r="N989" s="33">
        <f>16.7536 * CHOOSE(CONTROL!$C$32, $C$9, 100%, $E$9)</f>
        <v>16.753599999999999</v>
      </c>
      <c r="O989" s="33">
        <f>16.7572 * CHOOSE(CONTROL!$C$32, $C$9, 100%, $E$9)</f>
        <v>16.757200000000001</v>
      </c>
    </row>
    <row r="990" spans="1:15" ht="15" x14ac:dyDescent="0.2">
      <c r="A990" s="16">
        <v>70980</v>
      </c>
      <c r="B990" s="32">
        <f>14.6296 * CHOOSE(CONTROL!$C$32, $C$9, 100%, $E$9)</f>
        <v>14.6296</v>
      </c>
      <c r="C990" s="32">
        <f>14.6296 * CHOOSE(CONTROL!$C$32, $C$9, 100%, $E$9)</f>
        <v>14.6296</v>
      </c>
      <c r="D990" s="32">
        <f>14.6311 * CHOOSE(CONTROL!$C$32, $C$9, 100%, $E$9)</f>
        <v>14.6311</v>
      </c>
      <c r="E990" s="33">
        <f>16.8993 * CHOOSE(CONTROL!$C$32, $C$9, 100%, $E$9)</f>
        <v>16.8993</v>
      </c>
      <c r="F990" s="33">
        <f>16.8993 * CHOOSE(CONTROL!$C$32, $C$9, 100%, $E$9)</f>
        <v>16.8993</v>
      </c>
      <c r="G990" s="33">
        <f>16.9046 * CHOOSE(CONTROL!$C$32, $C$9, 100%, $E$9)</f>
        <v>16.904599999999999</v>
      </c>
      <c r="H990" s="33">
        <f>34.4119 * CHOOSE(CONTROL!$C$32, $C$9, 100%, $E$9)</f>
        <v>34.411900000000003</v>
      </c>
      <c r="I990" s="33">
        <f>34.4172 * CHOOSE(CONTROL!$C$32, $C$9, 100%, $E$9)</f>
        <v>34.417200000000001</v>
      </c>
      <c r="J990" s="33">
        <f>34.4119 * CHOOSE(CONTROL!$C$32, $C$9, 100%, $E$9)</f>
        <v>34.411900000000003</v>
      </c>
      <c r="K990" s="33">
        <f>34.4172 * CHOOSE(CONTROL!$C$32, $C$9, 100%, $E$9)</f>
        <v>34.417200000000001</v>
      </c>
      <c r="L990" s="33">
        <f>16.8993 * CHOOSE(CONTROL!$C$32, $C$9, 100%, $E$9)</f>
        <v>16.8993</v>
      </c>
      <c r="M990" s="33">
        <f>16.9046 * CHOOSE(CONTROL!$C$32, $C$9, 100%, $E$9)</f>
        <v>16.904599999999999</v>
      </c>
      <c r="N990" s="33">
        <f>16.8993 * CHOOSE(CONTROL!$C$32, $C$9, 100%, $E$9)</f>
        <v>16.8993</v>
      </c>
      <c r="O990" s="33">
        <f>16.9046 * CHOOSE(CONTROL!$C$32, $C$9, 100%, $E$9)</f>
        <v>16.904599999999999</v>
      </c>
    </row>
    <row r="991" spans="1:15" ht="15" x14ac:dyDescent="0.2">
      <c r="A991" s="16">
        <v>71011</v>
      </c>
      <c r="B991" s="32">
        <f>14.6356 * CHOOSE(CONTROL!$C$32, $C$9, 100%, $E$9)</f>
        <v>14.6356</v>
      </c>
      <c r="C991" s="32">
        <f>14.6356 * CHOOSE(CONTROL!$C$32, $C$9, 100%, $E$9)</f>
        <v>14.6356</v>
      </c>
      <c r="D991" s="32">
        <f>14.6372 * CHOOSE(CONTROL!$C$32, $C$9, 100%, $E$9)</f>
        <v>14.6372</v>
      </c>
      <c r="E991" s="33">
        <f>16.7578 * CHOOSE(CONTROL!$C$32, $C$9, 100%, $E$9)</f>
        <v>16.7578</v>
      </c>
      <c r="F991" s="33">
        <f>16.7578 * CHOOSE(CONTROL!$C$32, $C$9, 100%, $E$9)</f>
        <v>16.7578</v>
      </c>
      <c r="G991" s="33">
        <f>16.7631 * CHOOSE(CONTROL!$C$32, $C$9, 100%, $E$9)</f>
        <v>16.763100000000001</v>
      </c>
      <c r="H991" s="33">
        <f>34.4836 * CHOOSE(CONTROL!$C$32, $C$9, 100%, $E$9)</f>
        <v>34.483600000000003</v>
      </c>
      <c r="I991" s="33">
        <f>34.4889 * CHOOSE(CONTROL!$C$32, $C$9, 100%, $E$9)</f>
        <v>34.488900000000001</v>
      </c>
      <c r="J991" s="33">
        <f>34.4836 * CHOOSE(CONTROL!$C$32, $C$9, 100%, $E$9)</f>
        <v>34.483600000000003</v>
      </c>
      <c r="K991" s="33">
        <f>34.4889 * CHOOSE(CONTROL!$C$32, $C$9, 100%, $E$9)</f>
        <v>34.488900000000001</v>
      </c>
      <c r="L991" s="33">
        <f>16.7578 * CHOOSE(CONTROL!$C$32, $C$9, 100%, $E$9)</f>
        <v>16.7578</v>
      </c>
      <c r="M991" s="33">
        <f>16.7631 * CHOOSE(CONTROL!$C$32, $C$9, 100%, $E$9)</f>
        <v>16.763100000000001</v>
      </c>
      <c r="N991" s="33">
        <f>16.7578 * CHOOSE(CONTROL!$C$32, $C$9, 100%, $E$9)</f>
        <v>16.7578</v>
      </c>
      <c r="O991" s="33">
        <f>16.7631 * CHOOSE(CONTROL!$C$32, $C$9, 100%, $E$9)</f>
        <v>16.763100000000001</v>
      </c>
    </row>
    <row r="992" spans="1:15" ht="15" x14ac:dyDescent="0.2">
      <c r="A992" s="16">
        <v>71041</v>
      </c>
      <c r="B992" s="32">
        <f>14.8109 * CHOOSE(CONTROL!$C$32, $C$9, 100%, $E$9)</f>
        <v>14.8109</v>
      </c>
      <c r="C992" s="32">
        <f>14.8109 * CHOOSE(CONTROL!$C$32, $C$9, 100%, $E$9)</f>
        <v>14.8109</v>
      </c>
      <c r="D992" s="32">
        <f>14.8124 * CHOOSE(CONTROL!$C$32, $C$9, 100%, $E$9)</f>
        <v>14.8124</v>
      </c>
      <c r="E992" s="33">
        <f>16.996 * CHOOSE(CONTROL!$C$32, $C$9, 100%, $E$9)</f>
        <v>16.995999999999999</v>
      </c>
      <c r="F992" s="33">
        <f>16.996 * CHOOSE(CONTROL!$C$32, $C$9, 100%, $E$9)</f>
        <v>16.995999999999999</v>
      </c>
      <c r="G992" s="33">
        <f>17.0013 * CHOOSE(CONTROL!$C$32, $C$9, 100%, $E$9)</f>
        <v>17.001300000000001</v>
      </c>
      <c r="H992" s="33">
        <f>34.5554 * CHOOSE(CONTROL!$C$32, $C$9, 100%, $E$9)</f>
        <v>34.555399999999999</v>
      </c>
      <c r="I992" s="33">
        <f>34.5607 * CHOOSE(CONTROL!$C$32, $C$9, 100%, $E$9)</f>
        <v>34.560699999999997</v>
      </c>
      <c r="J992" s="33">
        <f>34.5554 * CHOOSE(CONTROL!$C$32, $C$9, 100%, $E$9)</f>
        <v>34.555399999999999</v>
      </c>
      <c r="K992" s="33">
        <f>34.5607 * CHOOSE(CONTROL!$C$32, $C$9, 100%, $E$9)</f>
        <v>34.560699999999997</v>
      </c>
      <c r="L992" s="33">
        <f>16.996 * CHOOSE(CONTROL!$C$32, $C$9, 100%, $E$9)</f>
        <v>16.995999999999999</v>
      </c>
      <c r="M992" s="33">
        <f>17.0013 * CHOOSE(CONTROL!$C$32, $C$9, 100%, $E$9)</f>
        <v>17.001300000000001</v>
      </c>
      <c r="N992" s="33">
        <f>16.996 * CHOOSE(CONTROL!$C$32, $C$9, 100%, $E$9)</f>
        <v>16.995999999999999</v>
      </c>
      <c r="O992" s="33">
        <f>17.0013 * CHOOSE(CONTROL!$C$32, $C$9, 100%, $E$9)</f>
        <v>17.001300000000001</v>
      </c>
    </row>
    <row r="993" spans="1:15" ht="15" x14ac:dyDescent="0.2">
      <c r="A993" s="16">
        <v>71072</v>
      </c>
      <c r="B993" s="32">
        <f>14.8175 * CHOOSE(CONTROL!$C$32, $C$9, 100%, $E$9)</f>
        <v>14.817500000000001</v>
      </c>
      <c r="C993" s="32">
        <f>14.8175 * CHOOSE(CONTROL!$C$32, $C$9, 100%, $E$9)</f>
        <v>14.817500000000001</v>
      </c>
      <c r="D993" s="32">
        <f>14.8191 * CHOOSE(CONTROL!$C$32, $C$9, 100%, $E$9)</f>
        <v>14.819100000000001</v>
      </c>
      <c r="E993" s="33">
        <f>16.5635 * CHOOSE(CONTROL!$C$32, $C$9, 100%, $E$9)</f>
        <v>16.563500000000001</v>
      </c>
      <c r="F993" s="33">
        <f>16.5635 * CHOOSE(CONTROL!$C$32, $C$9, 100%, $E$9)</f>
        <v>16.563500000000001</v>
      </c>
      <c r="G993" s="33">
        <f>16.5688 * CHOOSE(CONTROL!$C$32, $C$9, 100%, $E$9)</f>
        <v>16.5688</v>
      </c>
      <c r="H993" s="33">
        <f>34.6274 * CHOOSE(CONTROL!$C$32, $C$9, 100%, $E$9)</f>
        <v>34.627400000000002</v>
      </c>
      <c r="I993" s="33">
        <f>34.6327 * CHOOSE(CONTROL!$C$32, $C$9, 100%, $E$9)</f>
        <v>34.6327</v>
      </c>
      <c r="J993" s="33">
        <f>34.6274 * CHOOSE(CONTROL!$C$32, $C$9, 100%, $E$9)</f>
        <v>34.627400000000002</v>
      </c>
      <c r="K993" s="33">
        <f>34.6327 * CHOOSE(CONTROL!$C$32, $C$9, 100%, $E$9)</f>
        <v>34.6327</v>
      </c>
      <c r="L993" s="33">
        <f>16.5635 * CHOOSE(CONTROL!$C$32, $C$9, 100%, $E$9)</f>
        <v>16.563500000000001</v>
      </c>
      <c r="M993" s="33">
        <f>16.5688 * CHOOSE(CONTROL!$C$32, $C$9, 100%, $E$9)</f>
        <v>16.5688</v>
      </c>
      <c r="N993" s="33">
        <f>16.5635 * CHOOSE(CONTROL!$C$32, $C$9, 100%, $E$9)</f>
        <v>16.563500000000001</v>
      </c>
      <c r="O993" s="33">
        <f>16.5688 * CHOOSE(CONTROL!$C$32, $C$9, 100%, $E$9)</f>
        <v>16.5688</v>
      </c>
    </row>
    <row r="994" spans="1:15" ht="15" x14ac:dyDescent="0.2">
      <c r="A994" s="16">
        <v>71103</v>
      </c>
      <c r="B994" s="32">
        <f>14.8145 * CHOOSE(CONTROL!$C$32, $C$9, 100%, $E$9)</f>
        <v>14.814500000000001</v>
      </c>
      <c r="C994" s="32">
        <f>14.8145 * CHOOSE(CONTROL!$C$32, $C$9, 100%, $E$9)</f>
        <v>14.814500000000001</v>
      </c>
      <c r="D994" s="32">
        <f>14.8161 * CHOOSE(CONTROL!$C$32, $C$9, 100%, $E$9)</f>
        <v>14.8161</v>
      </c>
      <c r="E994" s="33">
        <f>16.5129 * CHOOSE(CONTROL!$C$32, $C$9, 100%, $E$9)</f>
        <v>16.512899999999998</v>
      </c>
      <c r="F994" s="33">
        <f>16.5129 * CHOOSE(CONTROL!$C$32, $C$9, 100%, $E$9)</f>
        <v>16.512899999999998</v>
      </c>
      <c r="G994" s="33">
        <f>16.5181 * CHOOSE(CONTROL!$C$32, $C$9, 100%, $E$9)</f>
        <v>16.5181</v>
      </c>
      <c r="H994" s="33">
        <f>34.6996 * CHOOSE(CONTROL!$C$32, $C$9, 100%, $E$9)</f>
        <v>34.699599999999997</v>
      </c>
      <c r="I994" s="33">
        <f>34.7048 * CHOOSE(CONTROL!$C$32, $C$9, 100%, $E$9)</f>
        <v>34.704799999999999</v>
      </c>
      <c r="J994" s="33">
        <f>34.6996 * CHOOSE(CONTROL!$C$32, $C$9, 100%, $E$9)</f>
        <v>34.699599999999997</v>
      </c>
      <c r="K994" s="33">
        <f>34.7048 * CHOOSE(CONTROL!$C$32, $C$9, 100%, $E$9)</f>
        <v>34.704799999999999</v>
      </c>
      <c r="L994" s="33">
        <f>16.5129 * CHOOSE(CONTROL!$C$32, $C$9, 100%, $E$9)</f>
        <v>16.512899999999998</v>
      </c>
      <c r="M994" s="33">
        <f>16.5181 * CHOOSE(CONTROL!$C$32, $C$9, 100%, $E$9)</f>
        <v>16.5181</v>
      </c>
      <c r="N994" s="33">
        <f>16.5129 * CHOOSE(CONTROL!$C$32, $C$9, 100%, $E$9)</f>
        <v>16.512899999999998</v>
      </c>
      <c r="O994" s="33">
        <f>16.5181 * CHOOSE(CONTROL!$C$32, $C$9, 100%, $E$9)</f>
        <v>16.5181</v>
      </c>
    </row>
    <row r="995" spans="1:15" ht="15" x14ac:dyDescent="0.2">
      <c r="A995" s="16">
        <v>71133</v>
      </c>
      <c r="B995" s="32">
        <f>14.85 * CHOOSE(CONTROL!$C$32, $C$9, 100%, $E$9)</f>
        <v>14.85</v>
      </c>
      <c r="C995" s="32">
        <f>14.85 * CHOOSE(CONTROL!$C$32, $C$9, 100%, $E$9)</f>
        <v>14.85</v>
      </c>
      <c r="D995" s="32">
        <f>14.8511 * CHOOSE(CONTROL!$C$32, $C$9, 100%, $E$9)</f>
        <v>14.851100000000001</v>
      </c>
      <c r="E995" s="33">
        <f>16.6937 * CHOOSE(CONTROL!$C$32, $C$9, 100%, $E$9)</f>
        <v>16.6937</v>
      </c>
      <c r="F995" s="33">
        <f>16.6937 * CHOOSE(CONTROL!$C$32, $C$9, 100%, $E$9)</f>
        <v>16.6937</v>
      </c>
      <c r="G995" s="33">
        <f>16.6973 * CHOOSE(CONTROL!$C$32, $C$9, 100%, $E$9)</f>
        <v>16.697299999999998</v>
      </c>
      <c r="H995" s="33">
        <f>34.7718 * CHOOSE(CONTROL!$C$32, $C$9, 100%, $E$9)</f>
        <v>34.771799999999999</v>
      </c>
      <c r="I995" s="33">
        <f>34.7755 * CHOOSE(CONTROL!$C$32, $C$9, 100%, $E$9)</f>
        <v>34.775500000000001</v>
      </c>
      <c r="J995" s="33">
        <f>34.7718 * CHOOSE(CONTROL!$C$32, $C$9, 100%, $E$9)</f>
        <v>34.771799999999999</v>
      </c>
      <c r="K995" s="33">
        <f>34.7755 * CHOOSE(CONTROL!$C$32, $C$9, 100%, $E$9)</f>
        <v>34.775500000000001</v>
      </c>
      <c r="L995" s="33">
        <f>16.6937 * CHOOSE(CONTROL!$C$32, $C$9, 100%, $E$9)</f>
        <v>16.6937</v>
      </c>
      <c r="M995" s="33">
        <f>16.6973 * CHOOSE(CONTROL!$C$32, $C$9, 100%, $E$9)</f>
        <v>16.697299999999998</v>
      </c>
      <c r="N995" s="33">
        <f>16.6937 * CHOOSE(CONTROL!$C$32, $C$9, 100%, $E$9)</f>
        <v>16.6937</v>
      </c>
      <c r="O995" s="33">
        <f>16.6973 * CHOOSE(CONTROL!$C$32, $C$9, 100%, $E$9)</f>
        <v>16.697299999999998</v>
      </c>
    </row>
    <row r="996" spans="1:15" ht="15" x14ac:dyDescent="0.2">
      <c r="A996" s="16">
        <v>71164</v>
      </c>
      <c r="B996" s="32">
        <f>14.8531 * CHOOSE(CONTROL!$C$32, $C$9, 100%, $E$9)</f>
        <v>14.8531</v>
      </c>
      <c r="C996" s="32">
        <f>14.8531 * CHOOSE(CONTROL!$C$32, $C$9, 100%, $E$9)</f>
        <v>14.8531</v>
      </c>
      <c r="D996" s="32">
        <f>14.8541 * CHOOSE(CONTROL!$C$32, $C$9, 100%, $E$9)</f>
        <v>14.854100000000001</v>
      </c>
      <c r="E996" s="33">
        <f>16.793 * CHOOSE(CONTROL!$C$32, $C$9, 100%, $E$9)</f>
        <v>16.792999999999999</v>
      </c>
      <c r="F996" s="33">
        <f>16.793 * CHOOSE(CONTROL!$C$32, $C$9, 100%, $E$9)</f>
        <v>16.792999999999999</v>
      </c>
      <c r="G996" s="33">
        <f>16.7966 * CHOOSE(CONTROL!$C$32, $C$9, 100%, $E$9)</f>
        <v>16.796600000000002</v>
      </c>
      <c r="H996" s="33">
        <f>34.8443 * CHOOSE(CONTROL!$C$32, $C$9, 100%, $E$9)</f>
        <v>34.844299999999997</v>
      </c>
      <c r="I996" s="33">
        <f>34.8479 * CHOOSE(CONTROL!$C$32, $C$9, 100%, $E$9)</f>
        <v>34.847900000000003</v>
      </c>
      <c r="J996" s="33">
        <f>34.8443 * CHOOSE(CONTROL!$C$32, $C$9, 100%, $E$9)</f>
        <v>34.844299999999997</v>
      </c>
      <c r="K996" s="33">
        <f>34.8479 * CHOOSE(CONTROL!$C$32, $C$9, 100%, $E$9)</f>
        <v>34.847900000000003</v>
      </c>
      <c r="L996" s="33">
        <f>16.793 * CHOOSE(CONTROL!$C$32, $C$9, 100%, $E$9)</f>
        <v>16.792999999999999</v>
      </c>
      <c r="M996" s="33">
        <f>16.7966 * CHOOSE(CONTROL!$C$32, $C$9, 100%, $E$9)</f>
        <v>16.796600000000002</v>
      </c>
      <c r="N996" s="33">
        <f>16.793 * CHOOSE(CONTROL!$C$32, $C$9, 100%, $E$9)</f>
        <v>16.792999999999999</v>
      </c>
      <c r="O996" s="33">
        <f>16.7966 * CHOOSE(CONTROL!$C$32, $C$9, 100%, $E$9)</f>
        <v>16.796600000000002</v>
      </c>
    </row>
    <row r="997" spans="1:15" ht="15" x14ac:dyDescent="0.2">
      <c r="A997" s="16">
        <v>71194</v>
      </c>
      <c r="B997" s="32">
        <f>14.8531 * CHOOSE(CONTROL!$C$32, $C$9, 100%, $E$9)</f>
        <v>14.8531</v>
      </c>
      <c r="C997" s="32">
        <f>14.8531 * CHOOSE(CONTROL!$C$32, $C$9, 100%, $E$9)</f>
        <v>14.8531</v>
      </c>
      <c r="D997" s="32">
        <f>14.8541 * CHOOSE(CONTROL!$C$32, $C$9, 100%, $E$9)</f>
        <v>14.854100000000001</v>
      </c>
      <c r="E997" s="33">
        <f>16.5501 * CHOOSE(CONTROL!$C$32, $C$9, 100%, $E$9)</f>
        <v>16.5501</v>
      </c>
      <c r="F997" s="33">
        <f>16.5501 * CHOOSE(CONTROL!$C$32, $C$9, 100%, $E$9)</f>
        <v>16.5501</v>
      </c>
      <c r="G997" s="33">
        <f>16.5537 * CHOOSE(CONTROL!$C$32, $C$9, 100%, $E$9)</f>
        <v>16.553699999999999</v>
      </c>
      <c r="H997" s="33">
        <f>34.9169 * CHOOSE(CONTROL!$C$32, $C$9, 100%, $E$9)</f>
        <v>34.916899999999998</v>
      </c>
      <c r="I997" s="33">
        <f>34.9205 * CHOOSE(CONTROL!$C$32, $C$9, 100%, $E$9)</f>
        <v>34.920499999999997</v>
      </c>
      <c r="J997" s="33">
        <f>34.9169 * CHOOSE(CONTROL!$C$32, $C$9, 100%, $E$9)</f>
        <v>34.916899999999998</v>
      </c>
      <c r="K997" s="33">
        <f>34.9205 * CHOOSE(CONTROL!$C$32, $C$9, 100%, $E$9)</f>
        <v>34.920499999999997</v>
      </c>
      <c r="L997" s="33">
        <f>16.5501 * CHOOSE(CONTROL!$C$32, $C$9, 100%, $E$9)</f>
        <v>16.5501</v>
      </c>
      <c r="M997" s="33">
        <f>16.5537 * CHOOSE(CONTROL!$C$32, $C$9, 100%, $E$9)</f>
        <v>16.553699999999999</v>
      </c>
      <c r="N997" s="33">
        <f>16.5501 * CHOOSE(CONTROL!$C$32, $C$9, 100%, $E$9)</f>
        <v>16.5501</v>
      </c>
      <c r="O997" s="33">
        <f>16.5537 * CHOOSE(CONTROL!$C$32, $C$9, 100%, $E$9)</f>
        <v>16.553699999999999</v>
      </c>
    </row>
    <row r="998" spans="1:15" ht="15" x14ac:dyDescent="0.2">
      <c r="A998" s="16">
        <v>71225</v>
      </c>
      <c r="B998" s="32">
        <f>14.815 * CHOOSE(CONTROL!$C$32, $C$9, 100%, $E$9)</f>
        <v>14.815</v>
      </c>
      <c r="C998" s="32">
        <f>14.815 * CHOOSE(CONTROL!$C$32, $C$9, 100%, $E$9)</f>
        <v>14.815</v>
      </c>
      <c r="D998" s="32">
        <f>14.8161 * CHOOSE(CONTROL!$C$32, $C$9, 100%, $E$9)</f>
        <v>14.8161</v>
      </c>
      <c r="E998" s="33">
        <f>16.6831 * CHOOSE(CONTROL!$C$32, $C$9, 100%, $E$9)</f>
        <v>16.6831</v>
      </c>
      <c r="F998" s="33">
        <f>16.6831 * CHOOSE(CONTROL!$C$32, $C$9, 100%, $E$9)</f>
        <v>16.6831</v>
      </c>
      <c r="G998" s="33">
        <f>16.6867 * CHOOSE(CONTROL!$C$32, $C$9, 100%, $E$9)</f>
        <v>16.686699999999998</v>
      </c>
      <c r="H998" s="33">
        <f>34.5906 * CHOOSE(CONTROL!$C$32, $C$9, 100%, $E$9)</f>
        <v>34.590600000000002</v>
      </c>
      <c r="I998" s="33">
        <f>34.5943 * CHOOSE(CONTROL!$C$32, $C$9, 100%, $E$9)</f>
        <v>34.594299999999997</v>
      </c>
      <c r="J998" s="33">
        <f>34.5906 * CHOOSE(CONTROL!$C$32, $C$9, 100%, $E$9)</f>
        <v>34.590600000000002</v>
      </c>
      <c r="K998" s="33">
        <f>34.5943 * CHOOSE(CONTROL!$C$32, $C$9, 100%, $E$9)</f>
        <v>34.594299999999997</v>
      </c>
      <c r="L998" s="33">
        <f>16.6831 * CHOOSE(CONTROL!$C$32, $C$9, 100%, $E$9)</f>
        <v>16.6831</v>
      </c>
      <c r="M998" s="33">
        <f>16.6867 * CHOOSE(CONTROL!$C$32, $C$9, 100%, $E$9)</f>
        <v>16.686699999999998</v>
      </c>
      <c r="N998" s="33">
        <f>16.6831 * CHOOSE(CONTROL!$C$32, $C$9, 100%, $E$9)</f>
        <v>16.6831</v>
      </c>
      <c r="O998" s="33">
        <f>16.6867 * CHOOSE(CONTROL!$C$32, $C$9, 100%, $E$9)</f>
        <v>16.686699999999998</v>
      </c>
    </row>
    <row r="999" spans="1:15" ht="15" x14ac:dyDescent="0.2">
      <c r="A999" s="16">
        <v>71256</v>
      </c>
      <c r="B999" s="32">
        <f>14.812 * CHOOSE(CONTROL!$C$32, $C$9, 100%, $E$9)</f>
        <v>14.811999999999999</v>
      </c>
      <c r="C999" s="32">
        <f>14.812 * CHOOSE(CONTROL!$C$32, $C$9, 100%, $E$9)</f>
        <v>14.811999999999999</v>
      </c>
      <c r="D999" s="32">
        <f>14.8131 * CHOOSE(CONTROL!$C$32, $C$9, 100%, $E$9)</f>
        <v>14.8131</v>
      </c>
      <c r="E999" s="33">
        <f>16.215 * CHOOSE(CONTROL!$C$32, $C$9, 100%, $E$9)</f>
        <v>16.215</v>
      </c>
      <c r="F999" s="33">
        <f>16.215 * CHOOSE(CONTROL!$C$32, $C$9, 100%, $E$9)</f>
        <v>16.215</v>
      </c>
      <c r="G999" s="33">
        <f>16.2186 * CHOOSE(CONTROL!$C$32, $C$9, 100%, $E$9)</f>
        <v>16.218599999999999</v>
      </c>
      <c r="H999" s="33">
        <f>34.6627 * CHOOSE(CONTROL!$C$32, $C$9, 100%, $E$9)</f>
        <v>34.662700000000001</v>
      </c>
      <c r="I999" s="33">
        <f>34.6663 * CHOOSE(CONTROL!$C$32, $C$9, 100%, $E$9)</f>
        <v>34.6663</v>
      </c>
      <c r="J999" s="33">
        <f>34.6627 * CHOOSE(CONTROL!$C$32, $C$9, 100%, $E$9)</f>
        <v>34.662700000000001</v>
      </c>
      <c r="K999" s="33">
        <f>34.6663 * CHOOSE(CONTROL!$C$32, $C$9, 100%, $E$9)</f>
        <v>34.6663</v>
      </c>
      <c r="L999" s="33">
        <f>16.215 * CHOOSE(CONTROL!$C$32, $C$9, 100%, $E$9)</f>
        <v>16.215</v>
      </c>
      <c r="M999" s="33">
        <f>16.2186 * CHOOSE(CONTROL!$C$32, $C$9, 100%, $E$9)</f>
        <v>16.218599999999999</v>
      </c>
      <c r="N999" s="33">
        <f>16.215 * CHOOSE(CONTROL!$C$32, $C$9, 100%, $E$9)</f>
        <v>16.215</v>
      </c>
      <c r="O999" s="33">
        <f>16.2186 * CHOOSE(CONTROL!$C$32, $C$9, 100%, $E$9)</f>
        <v>16.218599999999999</v>
      </c>
    </row>
    <row r="1000" spans="1:15" ht="15" x14ac:dyDescent="0.2">
      <c r="A1000" s="16">
        <v>71284</v>
      </c>
      <c r="B1000" s="32">
        <f>14.8089 * CHOOSE(CONTROL!$C$32, $C$9, 100%, $E$9)</f>
        <v>14.8089</v>
      </c>
      <c r="C1000" s="32">
        <f>14.8089 * CHOOSE(CONTROL!$C$32, $C$9, 100%, $E$9)</f>
        <v>14.8089</v>
      </c>
      <c r="D1000" s="32">
        <f>14.81 * CHOOSE(CONTROL!$C$32, $C$9, 100%, $E$9)</f>
        <v>14.81</v>
      </c>
      <c r="E1000" s="33">
        <f>16.5802 * CHOOSE(CONTROL!$C$32, $C$9, 100%, $E$9)</f>
        <v>16.580200000000001</v>
      </c>
      <c r="F1000" s="33">
        <f>16.5802 * CHOOSE(CONTROL!$C$32, $C$9, 100%, $E$9)</f>
        <v>16.580200000000001</v>
      </c>
      <c r="G1000" s="33">
        <f>16.5839 * CHOOSE(CONTROL!$C$32, $C$9, 100%, $E$9)</f>
        <v>16.5839</v>
      </c>
      <c r="H1000" s="33">
        <f>34.7349 * CHOOSE(CONTROL!$C$32, $C$9, 100%, $E$9)</f>
        <v>34.734900000000003</v>
      </c>
      <c r="I1000" s="33">
        <f>34.7385 * CHOOSE(CONTROL!$C$32, $C$9, 100%, $E$9)</f>
        <v>34.738500000000002</v>
      </c>
      <c r="J1000" s="33">
        <f>34.7349 * CHOOSE(CONTROL!$C$32, $C$9, 100%, $E$9)</f>
        <v>34.734900000000003</v>
      </c>
      <c r="K1000" s="33">
        <f>34.7385 * CHOOSE(CONTROL!$C$32, $C$9, 100%, $E$9)</f>
        <v>34.738500000000002</v>
      </c>
      <c r="L1000" s="33">
        <f>16.5802 * CHOOSE(CONTROL!$C$32, $C$9, 100%, $E$9)</f>
        <v>16.580200000000001</v>
      </c>
      <c r="M1000" s="33">
        <f>16.5839 * CHOOSE(CONTROL!$C$32, $C$9, 100%, $E$9)</f>
        <v>16.5839</v>
      </c>
      <c r="N1000" s="33">
        <f>16.5802 * CHOOSE(CONTROL!$C$32, $C$9, 100%, $E$9)</f>
        <v>16.580200000000001</v>
      </c>
      <c r="O1000" s="33">
        <f>16.5839 * CHOOSE(CONTROL!$C$32, $C$9, 100%, $E$9)</f>
        <v>16.5839</v>
      </c>
    </row>
    <row r="1001" spans="1:15" ht="15" x14ac:dyDescent="0.2">
      <c r="A1001" s="16">
        <v>71315</v>
      </c>
      <c r="B1001" s="32">
        <f>14.8171 * CHOOSE(CONTROL!$C$32, $C$9, 100%, $E$9)</f>
        <v>14.8171</v>
      </c>
      <c r="C1001" s="32">
        <f>14.8171 * CHOOSE(CONTROL!$C$32, $C$9, 100%, $E$9)</f>
        <v>14.8171</v>
      </c>
      <c r="D1001" s="32">
        <f>14.8182 * CHOOSE(CONTROL!$C$32, $C$9, 100%, $E$9)</f>
        <v>14.818199999999999</v>
      </c>
      <c r="E1001" s="33">
        <f>16.9706 * CHOOSE(CONTROL!$C$32, $C$9, 100%, $E$9)</f>
        <v>16.970600000000001</v>
      </c>
      <c r="F1001" s="33">
        <f>16.9706 * CHOOSE(CONTROL!$C$32, $C$9, 100%, $E$9)</f>
        <v>16.970600000000001</v>
      </c>
      <c r="G1001" s="33">
        <f>16.9742 * CHOOSE(CONTROL!$C$32, $C$9, 100%, $E$9)</f>
        <v>16.9742</v>
      </c>
      <c r="H1001" s="33">
        <f>34.8073 * CHOOSE(CONTROL!$C$32, $C$9, 100%, $E$9)</f>
        <v>34.807299999999998</v>
      </c>
      <c r="I1001" s="33">
        <f>34.8109 * CHOOSE(CONTROL!$C$32, $C$9, 100%, $E$9)</f>
        <v>34.810899999999997</v>
      </c>
      <c r="J1001" s="33">
        <f>34.8073 * CHOOSE(CONTROL!$C$32, $C$9, 100%, $E$9)</f>
        <v>34.807299999999998</v>
      </c>
      <c r="K1001" s="33">
        <f>34.8109 * CHOOSE(CONTROL!$C$32, $C$9, 100%, $E$9)</f>
        <v>34.810899999999997</v>
      </c>
      <c r="L1001" s="33">
        <f>16.9706 * CHOOSE(CONTROL!$C$32, $C$9, 100%, $E$9)</f>
        <v>16.970600000000001</v>
      </c>
      <c r="M1001" s="33">
        <f>16.9742 * CHOOSE(CONTROL!$C$32, $C$9, 100%, $E$9)</f>
        <v>16.9742</v>
      </c>
      <c r="N1001" s="33">
        <f>16.9706 * CHOOSE(CONTROL!$C$32, $C$9, 100%, $E$9)</f>
        <v>16.970600000000001</v>
      </c>
      <c r="O1001" s="33">
        <f>16.9742 * CHOOSE(CONTROL!$C$32, $C$9, 100%, $E$9)</f>
        <v>16.9742</v>
      </c>
    </row>
    <row r="1002" spans="1:15" ht="15" x14ac:dyDescent="0.2">
      <c r="A1002" s="16">
        <v>71345</v>
      </c>
      <c r="B1002" s="32">
        <f>14.8171 * CHOOSE(CONTROL!$C$32, $C$9, 100%, $E$9)</f>
        <v>14.8171</v>
      </c>
      <c r="C1002" s="32">
        <f>14.8171 * CHOOSE(CONTROL!$C$32, $C$9, 100%, $E$9)</f>
        <v>14.8171</v>
      </c>
      <c r="D1002" s="32">
        <f>14.8187 * CHOOSE(CONTROL!$C$32, $C$9, 100%, $E$9)</f>
        <v>14.8187</v>
      </c>
      <c r="E1002" s="33">
        <f>17.1185 * CHOOSE(CONTROL!$C$32, $C$9, 100%, $E$9)</f>
        <v>17.118500000000001</v>
      </c>
      <c r="F1002" s="33">
        <f>17.1185 * CHOOSE(CONTROL!$C$32, $C$9, 100%, $E$9)</f>
        <v>17.118500000000001</v>
      </c>
      <c r="G1002" s="33">
        <f>17.1238 * CHOOSE(CONTROL!$C$32, $C$9, 100%, $E$9)</f>
        <v>17.123799999999999</v>
      </c>
      <c r="H1002" s="33">
        <f>34.8798 * CHOOSE(CONTROL!$C$32, $C$9, 100%, $E$9)</f>
        <v>34.879800000000003</v>
      </c>
      <c r="I1002" s="33">
        <f>34.8851 * CHOOSE(CONTROL!$C$32, $C$9, 100%, $E$9)</f>
        <v>34.885100000000001</v>
      </c>
      <c r="J1002" s="33">
        <f>34.8798 * CHOOSE(CONTROL!$C$32, $C$9, 100%, $E$9)</f>
        <v>34.879800000000003</v>
      </c>
      <c r="K1002" s="33">
        <f>34.8851 * CHOOSE(CONTROL!$C$32, $C$9, 100%, $E$9)</f>
        <v>34.885100000000001</v>
      </c>
      <c r="L1002" s="33">
        <f>17.1185 * CHOOSE(CONTROL!$C$32, $C$9, 100%, $E$9)</f>
        <v>17.118500000000001</v>
      </c>
      <c r="M1002" s="33">
        <f>17.1238 * CHOOSE(CONTROL!$C$32, $C$9, 100%, $E$9)</f>
        <v>17.123799999999999</v>
      </c>
      <c r="N1002" s="33">
        <f>17.1185 * CHOOSE(CONTROL!$C$32, $C$9, 100%, $E$9)</f>
        <v>17.118500000000001</v>
      </c>
      <c r="O1002" s="33">
        <f>17.1238 * CHOOSE(CONTROL!$C$32, $C$9, 100%, $E$9)</f>
        <v>17.123799999999999</v>
      </c>
    </row>
    <row r="1003" spans="1:15" ht="15" x14ac:dyDescent="0.2">
      <c r="A1003" s="16">
        <v>71376</v>
      </c>
      <c r="B1003" s="32">
        <f>14.8232 * CHOOSE(CONTROL!$C$32, $C$9, 100%, $E$9)</f>
        <v>14.8232</v>
      </c>
      <c r="C1003" s="32">
        <f>14.8232 * CHOOSE(CONTROL!$C$32, $C$9, 100%, $E$9)</f>
        <v>14.8232</v>
      </c>
      <c r="D1003" s="32">
        <f>14.8248 * CHOOSE(CONTROL!$C$32, $C$9, 100%, $E$9)</f>
        <v>14.8248</v>
      </c>
      <c r="E1003" s="33">
        <f>16.9748 * CHOOSE(CONTROL!$C$32, $C$9, 100%, $E$9)</f>
        <v>16.974799999999998</v>
      </c>
      <c r="F1003" s="33">
        <f>16.9748 * CHOOSE(CONTROL!$C$32, $C$9, 100%, $E$9)</f>
        <v>16.974799999999998</v>
      </c>
      <c r="G1003" s="33">
        <f>16.9801 * CHOOSE(CONTROL!$C$32, $C$9, 100%, $E$9)</f>
        <v>16.9801</v>
      </c>
      <c r="H1003" s="33">
        <f>34.9525 * CHOOSE(CONTROL!$C$32, $C$9, 100%, $E$9)</f>
        <v>34.952500000000001</v>
      </c>
      <c r="I1003" s="33">
        <f>34.9578 * CHOOSE(CONTROL!$C$32, $C$9, 100%, $E$9)</f>
        <v>34.957799999999999</v>
      </c>
      <c r="J1003" s="33">
        <f>34.9525 * CHOOSE(CONTROL!$C$32, $C$9, 100%, $E$9)</f>
        <v>34.952500000000001</v>
      </c>
      <c r="K1003" s="33">
        <f>34.9578 * CHOOSE(CONTROL!$C$32, $C$9, 100%, $E$9)</f>
        <v>34.957799999999999</v>
      </c>
      <c r="L1003" s="33">
        <f>16.9748 * CHOOSE(CONTROL!$C$32, $C$9, 100%, $E$9)</f>
        <v>16.974799999999998</v>
      </c>
      <c r="M1003" s="33">
        <f>16.9801 * CHOOSE(CONTROL!$C$32, $C$9, 100%, $E$9)</f>
        <v>16.9801</v>
      </c>
      <c r="N1003" s="33">
        <f>16.9748 * CHOOSE(CONTROL!$C$32, $C$9, 100%, $E$9)</f>
        <v>16.974799999999998</v>
      </c>
      <c r="O1003" s="33">
        <f>16.9801 * CHOOSE(CONTROL!$C$32, $C$9, 100%, $E$9)</f>
        <v>16.9801</v>
      </c>
    </row>
    <row r="1004" spans="1:15" ht="15" x14ac:dyDescent="0.2">
      <c r="A1004" s="16">
        <v>71406</v>
      </c>
      <c r="B1004" s="32">
        <f>15.0005 * CHOOSE(CONTROL!$C$32, $C$9, 100%, $E$9)</f>
        <v>15.000500000000001</v>
      </c>
      <c r="C1004" s="32">
        <f>15.0005 * CHOOSE(CONTROL!$C$32, $C$9, 100%, $E$9)</f>
        <v>15.000500000000001</v>
      </c>
      <c r="D1004" s="32">
        <f>15.002 * CHOOSE(CONTROL!$C$32, $C$9, 100%, $E$9)</f>
        <v>15.002000000000001</v>
      </c>
      <c r="E1004" s="33">
        <f>17.2162 * CHOOSE(CONTROL!$C$32, $C$9, 100%, $E$9)</f>
        <v>17.216200000000001</v>
      </c>
      <c r="F1004" s="33">
        <f>17.2162 * CHOOSE(CONTROL!$C$32, $C$9, 100%, $E$9)</f>
        <v>17.216200000000001</v>
      </c>
      <c r="G1004" s="33">
        <f>17.2215 * CHOOSE(CONTROL!$C$32, $C$9, 100%, $E$9)</f>
        <v>17.221499999999999</v>
      </c>
      <c r="H1004" s="33">
        <f>35.0253 * CHOOSE(CONTROL!$C$32, $C$9, 100%, $E$9)</f>
        <v>35.025300000000001</v>
      </c>
      <c r="I1004" s="33">
        <f>35.0306 * CHOOSE(CONTROL!$C$32, $C$9, 100%, $E$9)</f>
        <v>35.0306</v>
      </c>
      <c r="J1004" s="33">
        <f>35.0253 * CHOOSE(CONTROL!$C$32, $C$9, 100%, $E$9)</f>
        <v>35.025300000000001</v>
      </c>
      <c r="K1004" s="33">
        <f>35.0306 * CHOOSE(CONTROL!$C$32, $C$9, 100%, $E$9)</f>
        <v>35.0306</v>
      </c>
      <c r="L1004" s="33">
        <f>17.2162 * CHOOSE(CONTROL!$C$32, $C$9, 100%, $E$9)</f>
        <v>17.216200000000001</v>
      </c>
      <c r="M1004" s="33">
        <f>17.2215 * CHOOSE(CONTROL!$C$32, $C$9, 100%, $E$9)</f>
        <v>17.221499999999999</v>
      </c>
      <c r="N1004" s="33">
        <f>17.2162 * CHOOSE(CONTROL!$C$32, $C$9, 100%, $E$9)</f>
        <v>17.216200000000001</v>
      </c>
      <c r="O1004" s="33">
        <f>17.2215 * CHOOSE(CONTROL!$C$32, $C$9, 100%, $E$9)</f>
        <v>17.221499999999999</v>
      </c>
    </row>
    <row r="1005" spans="1:15" ht="15" x14ac:dyDescent="0.2">
      <c r="A1005" s="16">
        <v>71437</v>
      </c>
      <c r="B1005" s="32">
        <f>15.0071 * CHOOSE(CONTROL!$C$32, $C$9, 100%, $E$9)</f>
        <v>15.007099999999999</v>
      </c>
      <c r="C1005" s="32">
        <f>15.0071 * CHOOSE(CONTROL!$C$32, $C$9, 100%, $E$9)</f>
        <v>15.007099999999999</v>
      </c>
      <c r="D1005" s="32">
        <f>15.0087 * CHOOSE(CONTROL!$C$32, $C$9, 100%, $E$9)</f>
        <v>15.008699999999999</v>
      </c>
      <c r="E1005" s="33">
        <f>16.777 * CHOOSE(CONTROL!$C$32, $C$9, 100%, $E$9)</f>
        <v>16.777000000000001</v>
      </c>
      <c r="F1005" s="33">
        <f>16.777 * CHOOSE(CONTROL!$C$32, $C$9, 100%, $E$9)</f>
        <v>16.777000000000001</v>
      </c>
      <c r="G1005" s="33">
        <f>16.7823 * CHOOSE(CONTROL!$C$32, $C$9, 100%, $E$9)</f>
        <v>16.782299999999999</v>
      </c>
      <c r="H1005" s="33">
        <f>35.0983 * CHOOSE(CONTROL!$C$32, $C$9, 100%, $E$9)</f>
        <v>35.098300000000002</v>
      </c>
      <c r="I1005" s="33">
        <f>35.1035 * CHOOSE(CONTROL!$C$32, $C$9, 100%, $E$9)</f>
        <v>35.103499999999997</v>
      </c>
      <c r="J1005" s="33">
        <f>35.0983 * CHOOSE(CONTROL!$C$32, $C$9, 100%, $E$9)</f>
        <v>35.098300000000002</v>
      </c>
      <c r="K1005" s="33">
        <f>35.1035 * CHOOSE(CONTROL!$C$32, $C$9, 100%, $E$9)</f>
        <v>35.103499999999997</v>
      </c>
      <c r="L1005" s="33">
        <f>16.777 * CHOOSE(CONTROL!$C$32, $C$9, 100%, $E$9)</f>
        <v>16.777000000000001</v>
      </c>
      <c r="M1005" s="33">
        <f>16.7823 * CHOOSE(CONTROL!$C$32, $C$9, 100%, $E$9)</f>
        <v>16.782299999999999</v>
      </c>
      <c r="N1005" s="33">
        <f>16.777 * CHOOSE(CONTROL!$C$32, $C$9, 100%, $E$9)</f>
        <v>16.777000000000001</v>
      </c>
      <c r="O1005" s="33">
        <f>16.7823 * CHOOSE(CONTROL!$C$32, $C$9, 100%, $E$9)</f>
        <v>16.782299999999999</v>
      </c>
    </row>
    <row r="1006" spans="1:15" ht="15" x14ac:dyDescent="0.2">
      <c r="A1006" s="16">
        <v>71468</v>
      </c>
      <c r="B1006" s="32">
        <f>15.0041 * CHOOSE(CONTROL!$C$32, $C$9, 100%, $E$9)</f>
        <v>15.004099999999999</v>
      </c>
      <c r="C1006" s="32">
        <f>15.0041 * CHOOSE(CONTROL!$C$32, $C$9, 100%, $E$9)</f>
        <v>15.004099999999999</v>
      </c>
      <c r="D1006" s="32">
        <f>15.0057 * CHOOSE(CONTROL!$C$32, $C$9, 100%, $E$9)</f>
        <v>15.005699999999999</v>
      </c>
      <c r="E1006" s="33">
        <f>16.7255 * CHOOSE(CONTROL!$C$32, $C$9, 100%, $E$9)</f>
        <v>16.7255</v>
      </c>
      <c r="F1006" s="33">
        <f>16.7255 * CHOOSE(CONTROL!$C$32, $C$9, 100%, $E$9)</f>
        <v>16.7255</v>
      </c>
      <c r="G1006" s="33">
        <f>16.7308 * CHOOSE(CONTROL!$C$32, $C$9, 100%, $E$9)</f>
        <v>16.730799999999999</v>
      </c>
      <c r="H1006" s="33">
        <f>35.1714 * CHOOSE(CONTROL!$C$32, $C$9, 100%, $E$9)</f>
        <v>35.171399999999998</v>
      </c>
      <c r="I1006" s="33">
        <f>35.1767 * CHOOSE(CONTROL!$C$32, $C$9, 100%, $E$9)</f>
        <v>35.176699999999997</v>
      </c>
      <c r="J1006" s="33">
        <f>35.1714 * CHOOSE(CONTROL!$C$32, $C$9, 100%, $E$9)</f>
        <v>35.171399999999998</v>
      </c>
      <c r="K1006" s="33">
        <f>35.1767 * CHOOSE(CONTROL!$C$32, $C$9, 100%, $E$9)</f>
        <v>35.176699999999997</v>
      </c>
      <c r="L1006" s="33">
        <f>16.7255 * CHOOSE(CONTROL!$C$32, $C$9, 100%, $E$9)</f>
        <v>16.7255</v>
      </c>
      <c r="M1006" s="33">
        <f>16.7308 * CHOOSE(CONTROL!$C$32, $C$9, 100%, $E$9)</f>
        <v>16.730799999999999</v>
      </c>
      <c r="N1006" s="33">
        <f>16.7255 * CHOOSE(CONTROL!$C$32, $C$9, 100%, $E$9)</f>
        <v>16.7255</v>
      </c>
      <c r="O1006" s="33">
        <f>16.7308 * CHOOSE(CONTROL!$C$32, $C$9, 100%, $E$9)</f>
        <v>16.730799999999999</v>
      </c>
    </row>
    <row r="1007" spans="1:15" ht="15" x14ac:dyDescent="0.2">
      <c r="A1007" s="16">
        <v>71498</v>
      </c>
      <c r="B1007" s="32">
        <f>15.0403 * CHOOSE(CONTROL!$C$32, $C$9, 100%, $E$9)</f>
        <v>15.0403</v>
      </c>
      <c r="C1007" s="32">
        <f>15.0403 * CHOOSE(CONTROL!$C$32, $C$9, 100%, $E$9)</f>
        <v>15.0403</v>
      </c>
      <c r="D1007" s="32">
        <f>15.0414 * CHOOSE(CONTROL!$C$32, $C$9, 100%, $E$9)</f>
        <v>15.041399999999999</v>
      </c>
      <c r="E1007" s="33">
        <f>16.9094 * CHOOSE(CONTROL!$C$32, $C$9, 100%, $E$9)</f>
        <v>16.909400000000002</v>
      </c>
      <c r="F1007" s="33">
        <f>16.9094 * CHOOSE(CONTROL!$C$32, $C$9, 100%, $E$9)</f>
        <v>16.909400000000002</v>
      </c>
      <c r="G1007" s="33">
        <f>16.913 * CHOOSE(CONTROL!$C$32, $C$9, 100%, $E$9)</f>
        <v>16.913</v>
      </c>
      <c r="H1007" s="33">
        <f>35.2447 * CHOOSE(CONTROL!$C$32, $C$9, 100%, $E$9)</f>
        <v>35.244700000000002</v>
      </c>
      <c r="I1007" s="33">
        <f>35.2483 * CHOOSE(CONTROL!$C$32, $C$9, 100%, $E$9)</f>
        <v>35.2483</v>
      </c>
      <c r="J1007" s="33">
        <f>35.2447 * CHOOSE(CONTROL!$C$32, $C$9, 100%, $E$9)</f>
        <v>35.244700000000002</v>
      </c>
      <c r="K1007" s="33">
        <f>35.2483 * CHOOSE(CONTROL!$C$32, $C$9, 100%, $E$9)</f>
        <v>35.2483</v>
      </c>
      <c r="L1007" s="33">
        <f>16.9094 * CHOOSE(CONTROL!$C$32, $C$9, 100%, $E$9)</f>
        <v>16.909400000000002</v>
      </c>
      <c r="M1007" s="33">
        <f>16.913 * CHOOSE(CONTROL!$C$32, $C$9, 100%, $E$9)</f>
        <v>16.913</v>
      </c>
      <c r="N1007" s="33">
        <f>16.9094 * CHOOSE(CONTROL!$C$32, $C$9, 100%, $E$9)</f>
        <v>16.909400000000002</v>
      </c>
      <c r="O1007" s="33">
        <f>16.913 * CHOOSE(CONTROL!$C$32, $C$9, 100%, $E$9)</f>
        <v>16.913</v>
      </c>
    </row>
    <row r="1008" spans="1:15" ht="15" x14ac:dyDescent="0.2">
      <c r="A1008" s="16">
        <v>71529</v>
      </c>
      <c r="B1008" s="32">
        <f>15.0434 * CHOOSE(CONTROL!$C$32, $C$9, 100%, $E$9)</f>
        <v>15.0434</v>
      </c>
      <c r="C1008" s="32">
        <f>15.0434 * CHOOSE(CONTROL!$C$32, $C$9, 100%, $E$9)</f>
        <v>15.0434</v>
      </c>
      <c r="D1008" s="32">
        <f>15.0444 * CHOOSE(CONTROL!$C$32, $C$9, 100%, $E$9)</f>
        <v>15.0444</v>
      </c>
      <c r="E1008" s="33">
        <f>17.0102 * CHOOSE(CONTROL!$C$32, $C$9, 100%, $E$9)</f>
        <v>17.010200000000001</v>
      </c>
      <c r="F1008" s="33">
        <f>17.0102 * CHOOSE(CONTROL!$C$32, $C$9, 100%, $E$9)</f>
        <v>17.010200000000001</v>
      </c>
      <c r="G1008" s="33">
        <f>17.0138 * CHOOSE(CONTROL!$C$32, $C$9, 100%, $E$9)</f>
        <v>17.0138</v>
      </c>
      <c r="H1008" s="33">
        <f>35.3181 * CHOOSE(CONTROL!$C$32, $C$9, 100%, $E$9)</f>
        <v>35.318100000000001</v>
      </c>
      <c r="I1008" s="33">
        <f>35.3217 * CHOOSE(CONTROL!$C$32, $C$9, 100%, $E$9)</f>
        <v>35.3217</v>
      </c>
      <c r="J1008" s="33">
        <f>35.3181 * CHOOSE(CONTROL!$C$32, $C$9, 100%, $E$9)</f>
        <v>35.318100000000001</v>
      </c>
      <c r="K1008" s="33">
        <f>35.3217 * CHOOSE(CONTROL!$C$32, $C$9, 100%, $E$9)</f>
        <v>35.3217</v>
      </c>
      <c r="L1008" s="33">
        <f>17.0102 * CHOOSE(CONTROL!$C$32, $C$9, 100%, $E$9)</f>
        <v>17.010200000000001</v>
      </c>
      <c r="M1008" s="33">
        <f>17.0138 * CHOOSE(CONTROL!$C$32, $C$9, 100%, $E$9)</f>
        <v>17.0138</v>
      </c>
      <c r="N1008" s="33">
        <f>17.0102 * CHOOSE(CONTROL!$C$32, $C$9, 100%, $E$9)</f>
        <v>17.010200000000001</v>
      </c>
      <c r="O1008" s="33">
        <f>17.0138 * CHOOSE(CONTROL!$C$32, $C$9, 100%, $E$9)</f>
        <v>17.0138</v>
      </c>
    </row>
    <row r="1009" spans="1:15" ht="15" x14ac:dyDescent="0.2">
      <c r="A1009" s="16">
        <v>71559</v>
      </c>
      <c r="B1009" s="32">
        <f>15.0434 * CHOOSE(CONTROL!$C$32, $C$9, 100%, $E$9)</f>
        <v>15.0434</v>
      </c>
      <c r="C1009" s="32">
        <f>15.0434 * CHOOSE(CONTROL!$C$32, $C$9, 100%, $E$9)</f>
        <v>15.0434</v>
      </c>
      <c r="D1009" s="32">
        <f>15.0444 * CHOOSE(CONTROL!$C$32, $C$9, 100%, $E$9)</f>
        <v>15.0444</v>
      </c>
      <c r="E1009" s="33">
        <f>16.7636 * CHOOSE(CONTROL!$C$32, $C$9, 100%, $E$9)</f>
        <v>16.7636</v>
      </c>
      <c r="F1009" s="33">
        <f>16.7636 * CHOOSE(CONTROL!$C$32, $C$9, 100%, $E$9)</f>
        <v>16.7636</v>
      </c>
      <c r="G1009" s="33">
        <f>16.7672 * CHOOSE(CONTROL!$C$32, $C$9, 100%, $E$9)</f>
        <v>16.767199999999999</v>
      </c>
      <c r="H1009" s="33">
        <f>35.3917 * CHOOSE(CONTROL!$C$32, $C$9, 100%, $E$9)</f>
        <v>35.3917</v>
      </c>
      <c r="I1009" s="33">
        <f>35.3953 * CHOOSE(CONTROL!$C$32, $C$9, 100%, $E$9)</f>
        <v>35.395299999999999</v>
      </c>
      <c r="J1009" s="33">
        <f>35.3917 * CHOOSE(CONTROL!$C$32, $C$9, 100%, $E$9)</f>
        <v>35.3917</v>
      </c>
      <c r="K1009" s="33">
        <f>35.3953 * CHOOSE(CONTROL!$C$32, $C$9, 100%, $E$9)</f>
        <v>35.395299999999999</v>
      </c>
      <c r="L1009" s="33">
        <f>16.7636 * CHOOSE(CONTROL!$C$32, $C$9, 100%, $E$9)</f>
        <v>16.7636</v>
      </c>
      <c r="M1009" s="33">
        <f>16.7672 * CHOOSE(CONTROL!$C$32, $C$9, 100%, $E$9)</f>
        <v>16.767199999999999</v>
      </c>
      <c r="N1009" s="33">
        <f>16.7636 * CHOOSE(CONTROL!$C$32, $C$9, 100%, $E$9)</f>
        <v>16.7636</v>
      </c>
      <c r="O1009" s="33">
        <f>16.7672 * CHOOSE(CONTROL!$C$32, $C$9, 100%, $E$9)</f>
        <v>16.767199999999999</v>
      </c>
    </row>
    <row r="1010" spans="1:15" ht="15" x14ac:dyDescent="0.2">
      <c r="A1010" s="16">
        <v>71590</v>
      </c>
      <c r="B1010" s="32">
        <f>15.0024 * CHOOSE(CONTROL!$C$32, $C$9, 100%, $E$9)</f>
        <v>15.0024</v>
      </c>
      <c r="C1010" s="32">
        <f>15.0024 * CHOOSE(CONTROL!$C$32, $C$9, 100%, $E$9)</f>
        <v>15.0024</v>
      </c>
      <c r="D1010" s="32">
        <f>15.0035 * CHOOSE(CONTROL!$C$32, $C$9, 100%, $E$9)</f>
        <v>15.003500000000001</v>
      </c>
      <c r="E1010" s="33">
        <f>16.8956 * CHOOSE(CONTROL!$C$32, $C$9, 100%, $E$9)</f>
        <v>16.895600000000002</v>
      </c>
      <c r="F1010" s="33">
        <f>16.8956 * CHOOSE(CONTROL!$C$32, $C$9, 100%, $E$9)</f>
        <v>16.895600000000002</v>
      </c>
      <c r="G1010" s="33">
        <f>16.8992 * CHOOSE(CONTROL!$C$32, $C$9, 100%, $E$9)</f>
        <v>16.8992</v>
      </c>
      <c r="H1010" s="33">
        <f>35.0547 * CHOOSE(CONTROL!$C$32, $C$9, 100%, $E$9)</f>
        <v>35.054699999999997</v>
      </c>
      <c r="I1010" s="33">
        <f>35.0583 * CHOOSE(CONTROL!$C$32, $C$9, 100%, $E$9)</f>
        <v>35.058300000000003</v>
      </c>
      <c r="J1010" s="33">
        <f>35.0547 * CHOOSE(CONTROL!$C$32, $C$9, 100%, $E$9)</f>
        <v>35.054699999999997</v>
      </c>
      <c r="K1010" s="33">
        <f>35.0583 * CHOOSE(CONTROL!$C$32, $C$9, 100%, $E$9)</f>
        <v>35.058300000000003</v>
      </c>
      <c r="L1010" s="33">
        <f>16.8956 * CHOOSE(CONTROL!$C$32, $C$9, 100%, $E$9)</f>
        <v>16.895600000000002</v>
      </c>
      <c r="M1010" s="33">
        <f>16.8992 * CHOOSE(CONTROL!$C$32, $C$9, 100%, $E$9)</f>
        <v>16.8992</v>
      </c>
      <c r="N1010" s="33">
        <f>16.8956 * CHOOSE(CONTROL!$C$32, $C$9, 100%, $E$9)</f>
        <v>16.895600000000002</v>
      </c>
      <c r="O1010" s="33">
        <f>16.8992 * CHOOSE(CONTROL!$C$32, $C$9, 100%, $E$9)</f>
        <v>16.8992</v>
      </c>
    </row>
    <row r="1011" spans="1:15" ht="15" x14ac:dyDescent="0.2">
      <c r="A1011" s="16">
        <v>71621</v>
      </c>
      <c r="B1011" s="32">
        <f>14.9993 * CHOOSE(CONTROL!$C$32, $C$9, 100%, $E$9)</f>
        <v>14.9993</v>
      </c>
      <c r="C1011" s="32">
        <f>14.9993 * CHOOSE(CONTROL!$C$32, $C$9, 100%, $E$9)</f>
        <v>14.9993</v>
      </c>
      <c r="D1011" s="32">
        <f>15.0004 * CHOOSE(CONTROL!$C$32, $C$9, 100%, $E$9)</f>
        <v>15.000400000000001</v>
      </c>
      <c r="E1011" s="33">
        <f>16.4204 * CHOOSE(CONTROL!$C$32, $C$9, 100%, $E$9)</f>
        <v>16.420400000000001</v>
      </c>
      <c r="F1011" s="33">
        <f>16.4204 * CHOOSE(CONTROL!$C$32, $C$9, 100%, $E$9)</f>
        <v>16.420400000000001</v>
      </c>
      <c r="G1011" s="33">
        <f>16.424 * CHOOSE(CONTROL!$C$32, $C$9, 100%, $E$9)</f>
        <v>16.423999999999999</v>
      </c>
      <c r="H1011" s="33">
        <f>35.1277 * CHOOSE(CONTROL!$C$32, $C$9, 100%, $E$9)</f>
        <v>35.127699999999997</v>
      </c>
      <c r="I1011" s="33">
        <f>35.1313 * CHOOSE(CONTROL!$C$32, $C$9, 100%, $E$9)</f>
        <v>35.131300000000003</v>
      </c>
      <c r="J1011" s="33">
        <f>35.1277 * CHOOSE(CONTROL!$C$32, $C$9, 100%, $E$9)</f>
        <v>35.127699999999997</v>
      </c>
      <c r="K1011" s="33">
        <f>35.1313 * CHOOSE(CONTROL!$C$32, $C$9, 100%, $E$9)</f>
        <v>35.131300000000003</v>
      </c>
      <c r="L1011" s="33">
        <f>16.4204 * CHOOSE(CONTROL!$C$32, $C$9, 100%, $E$9)</f>
        <v>16.420400000000001</v>
      </c>
      <c r="M1011" s="33">
        <f>16.424 * CHOOSE(CONTROL!$C$32, $C$9, 100%, $E$9)</f>
        <v>16.423999999999999</v>
      </c>
      <c r="N1011" s="33">
        <f>16.4204 * CHOOSE(CONTROL!$C$32, $C$9, 100%, $E$9)</f>
        <v>16.420400000000001</v>
      </c>
      <c r="O1011" s="33">
        <f>16.424 * CHOOSE(CONTROL!$C$32, $C$9, 100%, $E$9)</f>
        <v>16.423999999999999</v>
      </c>
    </row>
    <row r="1012" spans="1:15" ht="15" x14ac:dyDescent="0.2">
      <c r="A1012" s="16">
        <v>71650</v>
      </c>
      <c r="B1012" s="32">
        <f>14.9963 * CHOOSE(CONTROL!$C$32, $C$9, 100%, $E$9)</f>
        <v>14.9963</v>
      </c>
      <c r="C1012" s="32">
        <f>14.9963 * CHOOSE(CONTROL!$C$32, $C$9, 100%, $E$9)</f>
        <v>14.9963</v>
      </c>
      <c r="D1012" s="32">
        <f>14.9974 * CHOOSE(CONTROL!$C$32, $C$9, 100%, $E$9)</f>
        <v>14.997400000000001</v>
      </c>
      <c r="E1012" s="33">
        <f>16.7912 * CHOOSE(CONTROL!$C$32, $C$9, 100%, $E$9)</f>
        <v>16.7912</v>
      </c>
      <c r="F1012" s="33">
        <f>16.7912 * CHOOSE(CONTROL!$C$32, $C$9, 100%, $E$9)</f>
        <v>16.7912</v>
      </c>
      <c r="G1012" s="33">
        <f>16.7949 * CHOOSE(CONTROL!$C$32, $C$9, 100%, $E$9)</f>
        <v>16.794899999999998</v>
      </c>
      <c r="H1012" s="33">
        <f>35.2009 * CHOOSE(CONTROL!$C$32, $C$9, 100%, $E$9)</f>
        <v>35.200899999999997</v>
      </c>
      <c r="I1012" s="33">
        <f>35.2045 * CHOOSE(CONTROL!$C$32, $C$9, 100%, $E$9)</f>
        <v>35.204500000000003</v>
      </c>
      <c r="J1012" s="33">
        <f>35.2009 * CHOOSE(CONTROL!$C$32, $C$9, 100%, $E$9)</f>
        <v>35.200899999999997</v>
      </c>
      <c r="K1012" s="33">
        <f>35.2045 * CHOOSE(CONTROL!$C$32, $C$9, 100%, $E$9)</f>
        <v>35.204500000000003</v>
      </c>
      <c r="L1012" s="33">
        <f>16.7912 * CHOOSE(CONTROL!$C$32, $C$9, 100%, $E$9)</f>
        <v>16.7912</v>
      </c>
      <c r="M1012" s="33">
        <f>16.7949 * CHOOSE(CONTROL!$C$32, $C$9, 100%, $E$9)</f>
        <v>16.794899999999998</v>
      </c>
      <c r="N1012" s="33">
        <f>16.7912 * CHOOSE(CONTROL!$C$32, $C$9, 100%, $E$9)</f>
        <v>16.7912</v>
      </c>
      <c r="O1012" s="33">
        <f>16.7949 * CHOOSE(CONTROL!$C$32, $C$9, 100%, $E$9)</f>
        <v>16.794899999999998</v>
      </c>
    </row>
    <row r="1013" spans="1:15" ht="15" x14ac:dyDescent="0.2">
      <c r="A1013" s="16">
        <v>71681</v>
      </c>
      <c r="B1013" s="32">
        <f>15.0046 * CHOOSE(CONTROL!$C$32, $C$9, 100%, $E$9)</f>
        <v>15.0046</v>
      </c>
      <c r="C1013" s="32">
        <f>15.0046 * CHOOSE(CONTROL!$C$32, $C$9, 100%, $E$9)</f>
        <v>15.0046</v>
      </c>
      <c r="D1013" s="32">
        <f>15.0057 * CHOOSE(CONTROL!$C$32, $C$9, 100%, $E$9)</f>
        <v>15.005699999999999</v>
      </c>
      <c r="E1013" s="33">
        <f>17.1876 * CHOOSE(CONTROL!$C$32, $C$9, 100%, $E$9)</f>
        <v>17.1876</v>
      </c>
      <c r="F1013" s="33">
        <f>17.1876 * CHOOSE(CONTROL!$C$32, $C$9, 100%, $E$9)</f>
        <v>17.1876</v>
      </c>
      <c r="G1013" s="33">
        <f>17.1912 * CHOOSE(CONTROL!$C$32, $C$9, 100%, $E$9)</f>
        <v>17.191199999999998</v>
      </c>
      <c r="H1013" s="33">
        <f>35.2742 * CHOOSE(CONTROL!$C$32, $C$9, 100%, $E$9)</f>
        <v>35.2742</v>
      </c>
      <c r="I1013" s="33">
        <f>35.2778 * CHOOSE(CONTROL!$C$32, $C$9, 100%, $E$9)</f>
        <v>35.277799999999999</v>
      </c>
      <c r="J1013" s="33">
        <f>35.2742 * CHOOSE(CONTROL!$C$32, $C$9, 100%, $E$9)</f>
        <v>35.2742</v>
      </c>
      <c r="K1013" s="33">
        <f>35.2778 * CHOOSE(CONTROL!$C$32, $C$9, 100%, $E$9)</f>
        <v>35.277799999999999</v>
      </c>
      <c r="L1013" s="33">
        <f>17.1876 * CHOOSE(CONTROL!$C$32, $C$9, 100%, $E$9)</f>
        <v>17.1876</v>
      </c>
      <c r="M1013" s="33">
        <f>17.1912 * CHOOSE(CONTROL!$C$32, $C$9, 100%, $E$9)</f>
        <v>17.191199999999998</v>
      </c>
      <c r="N1013" s="33">
        <f>17.1876 * CHOOSE(CONTROL!$C$32, $C$9, 100%, $E$9)</f>
        <v>17.1876</v>
      </c>
      <c r="O1013" s="33">
        <f>17.1912 * CHOOSE(CONTROL!$C$32, $C$9, 100%, $E$9)</f>
        <v>17.191199999999998</v>
      </c>
    </row>
    <row r="1014" spans="1:15" ht="15" x14ac:dyDescent="0.2">
      <c r="A1014" s="16">
        <v>71711</v>
      </c>
      <c r="B1014" s="32">
        <f>15.0046 * CHOOSE(CONTROL!$C$32, $C$9, 100%, $E$9)</f>
        <v>15.0046</v>
      </c>
      <c r="C1014" s="32">
        <f>15.0046 * CHOOSE(CONTROL!$C$32, $C$9, 100%, $E$9)</f>
        <v>15.0046</v>
      </c>
      <c r="D1014" s="32">
        <f>15.0062 * CHOOSE(CONTROL!$C$32, $C$9, 100%, $E$9)</f>
        <v>15.0062</v>
      </c>
      <c r="E1014" s="33">
        <f>17.3378 * CHOOSE(CONTROL!$C$32, $C$9, 100%, $E$9)</f>
        <v>17.337800000000001</v>
      </c>
      <c r="F1014" s="33">
        <f>17.3378 * CHOOSE(CONTROL!$C$32, $C$9, 100%, $E$9)</f>
        <v>17.337800000000001</v>
      </c>
      <c r="G1014" s="33">
        <f>17.3431 * CHOOSE(CONTROL!$C$32, $C$9, 100%, $E$9)</f>
        <v>17.3431</v>
      </c>
      <c r="H1014" s="33">
        <f>35.3477 * CHOOSE(CONTROL!$C$32, $C$9, 100%, $E$9)</f>
        <v>35.347700000000003</v>
      </c>
      <c r="I1014" s="33">
        <f>35.353 * CHOOSE(CONTROL!$C$32, $C$9, 100%, $E$9)</f>
        <v>35.353000000000002</v>
      </c>
      <c r="J1014" s="33">
        <f>35.3477 * CHOOSE(CONTROL!$C$32, $C$9, 100%, $E$9)</f>
        <v>35.347700000000003</v>
      </c>
      <c r="K1014" s="33">
        <f>35.353 * CHOOSE(CONTROL!$C$32, $C$9, 100%, $E$9)</f>
        <v>35.353000000000002</v>
      </c>
      <c r="L1014" s="33">
        <f>17.3378 * CHOOSE(CONTROL!$C$32, $C$9, 100%, $E$9)</f>
        <v>17.337800000000001</v>
      </c>
      <c r="M1014" s="33">
        <f>17.3431 * CHOOSE(CONTROL!$C$32, $C$9, 100%, $E$9)</f>
        <v>17.3431</v>
      </c>
      <c r="N1014" s="33">
        <f>17.3378 * CHOOSE(CONTROL!$C$32, $C$9, 100%, $E$9)</f>
        <v>17.337800000000001</v>
      </c>
      <c r="O1014" s="33">
        <f>17.3431 * CHOOSE(CONTROL!$C$32, $C$9, 100%, $E$9)</f>
        <v>17.3431</v>
      </c>
    </row>
    <row r="1015" spans="1:15" ht="15" x14ac:dyDescent="0.2">
      <c r="A1015" s="16">
        <v>71742</v>
      </c>
      <c r="B1015" s="32">
        <f>15.0107 * CHOOSE(CONTROL!$C$32, $C$9, 100%, $E$9)</f>
        <v>15.0107</v>
      </c>
      <c r="C1015" s="32">
        <f>15.0107 * CHOOSE(CONTROL!$C$32, $C$9, 100%, $E$9)</f>
        <v>15.0107</v>
      </c>
      <c r="D1015" s="32">
        <f>15.0123 * CHOOSE(CONTROL!$C$32, $C$9, 100%, $E$9)</f>
        <v>15.0123</v>
      </c>
      <c r="E1015" s="33">
        <f>17.1918 * CHOOSE(CONTROL!$C$32, $C$9, 100%, $E$9)</f>
        <v>17.191800000000001</v>
      </c>
      <c r="F1015" s="33">
        <f>17.1918 * CHOOSE(CONTROL!$C$32, $C$9, 100%, $E$9)</f>
        <v>17.191800000000001</v>
      </c>
      <c r="G1015" s="33">
        <f>17.1971 * CHOOSE(CONTROL!$C$32, $C$9, 100%, $E$9)</f>
        <v>17.197099999999999</v>
      </c>
      <c r="H1015" s="33">
        <f>35.4214 * CHOOSE(CONTROL!$C$32, $C$9, 100%, $E$9)</f>
        <v>35.421399999999998</v>
      </c>
      <c r="I1015" s="33">
        <f>35.4266 * CHOOSE(CONTROL!$C$32, $C$9, 100%, $E$9)</f>
        <v>35.426600000000001</v>
      </c>
      <c r="J1015" s="33">
        <f>35.4214 * CHOOSE(CONTROL!$C$32, $C$9, 100%, $E$9)</f>
        <v>35.421399999999998</v>
      </c>
      <c r="K1015" s="33">
        <f>35.4266 * CHOOSE(CONTROL!$C$32, $C$9, 100%, $E$9)</f>
        <v>35.426600000000001</v>
      </c>
      <c r="L1015" s="33">
        <f>17.1918 * CHOOSE(CONTROL!$C$32, $C$9, 100%, $E$9)</f>
        <v>17.191800000000001</v>
      </c>
      <c r="M1015" s="33">
        <f>17.1971 * CHOOSE(CONTROL!$C$32, $C$9, 100%, $E$9)</f>
        <v>17.197099999999999</v>
      </c>
      <c r="N1015" s="33">
        <f>17.1918 * CHOOSE(CONTROL!$C$32, $C$9, 100%, $E$9)</f>
        <v>17.191800000000001</v>
      </c>
      <c r="O1015" s="33">
        <f>17.1971 * CHOOSE(CONTROL!$C$32, $C$9, 100%, $E$9)</f>
        <v>17.197099999999999</v>
      </c>
    </row>
    <row r="1016" spans="1:15" ht="15" x14ac:dyDescent="0.2">
      <c r="A1016" s="16">
        <v>71772</v>
      </c>
      <c r="B1016" s="32">
        <f>15.1901 * CHOOSE(CONTROL!$C$32, $C$9, 100%, $E$9)</f>
        <v>15.190099999999999</v>
      </c>
      <c r="C1016" s="32">
        <f>15.1901 * CHOOSE(CONTROL!$C$32, $C$9, 100%, $E$9)</f>
        <v>15.190099999999999</v>
      </c>
      <c r="D1016" s="32">
        <f>15.1916 * CHOOSE(CONTROL!$C$32, $C$9, 100%, $E$9)</f>
        <v>15.191599999999999</v>
      </c>
      <c r="E1016" s="33">
        <f>17.4364 * CHOOSE(CONTROL!$C$32, $C$9, 100%, $E$9)</f>
        <v>17.436399999999999</v>
      </c>
      <c r="F1016" s="33">
        <f>17.4364 * CHOOSE(CONTROL!$C$32, $C$9, 100%, $E$9)</f>
        <v>17.436399999999999</v>
      </c>
      <c r="G1016" s="33">
        <f>17.4417 * CHOOSE(CONTROL!$C$32, $C$9, 100%, $E$9)</f>
        <v>17.441700000000001</v>
      </c>
      <c r="H1016" s="33">
        <f>35.4951 * CHOOSE(CONTROL!$C$32, $C$9, 100%, $E$9)</f>
        <v>35.495100000000001</v>
      </c>
      <c r="I1016" s="33">
        <f>35.5004 * CHOOSE(CONTROL!$C$32, $C$9, 100%, $E$9)</f>
        <v>35.500399999999999</v>
      </c>
      <c r="J1016" s="33">
        <f>35.4951 * CHOOSE(CONTROL!$C$32, $C$9, 100%, $E$9)</f>
        <v>35.495100000000001</v>
      </c>
      <c r="K1016" s="33">
        <f>35.5004 * CHOOSE(CONTROL!$C$32, $C$9, 100%, $E$9)</f>
        <v>35.500399999999999</v>
      </c>
      <c r="L1016" s="33">
        <f>17.4364 * CHOOSE(CONTROL!$C$32, $C$9, 100%, $E$9)</f>
        <v>17.436399999999999</v>
      </c>
      <c r="M1016" s="33">
        <f>17.4417 * CHOOSE(CONTROL!$C$32, $C$9, 100%, $E$9)</f>
        <v>17.441700000000001</v>
      </c>
      <c r="N1016" s="33">
        <f>17.4364 * CHOOSE(CONTROL!$C$32, $C$9, 100%, $E$9)</f>
        <v>17.436399999999999</v>
      </c>
      <c r="O1016" s="33">
        <f>17.4417 * CHOOSE(CONTROL!$C$32, $C$9, 100%, $E$9)</f>
        <v>17.441700000000001</v>
      </c>
    </row>
    <row r="1017" spans="1:15" ht="15" x14ac:dyDescent="0.2">
      <c r="A1017" s="16">
        <v>71803</v>
      </c>
      <c r="B1017" s="32">
        <f>15.1967 * CHOOSE(CONTROL!$C$32, $C$9, 100%, $E$9)</f>
        <v>15.1967</v>
      </c>
      <c r="C1017" s="32">
        <f>15.1967 * CHOOSE(CONTROL!$C$32, $C$9, 100%, $E$9)</f>
        <v>15.1967</v>
      </c>
      <c r="D1017" s="32">
        <f>15.1983 * CHOOSE(CONTROL!$C$32, $C$9, 100%, $E$9)</f>
        <v>15.1983</v>
      </c>
      <c r="E1017" s="33">
        <f>16.9904 * CHOOSE(CONTROL!$C$32, $C$9, 100%, $E$9)</f>
        <v>16.990400000000001</v>
      </c>
      <c r="F1017" s="33">
        <f>16.9904 * CHOOSE(CONTROL!$C$32, $C$9, 100%, $E$9)</f>
        <v>16.990400000000001</v>
      </c>
      <c r="G1017" s="33">
        <f>16.9957 * CHOOSE(CONTROL!$C$32, $C$9, 100%, $E$9)</f>
        <v>16.995699999999999</v>
      </c>
      <c r="H1017" s="33">
        <f>35.5691 * CHOOSE(CONTROL!$C$32, $C$9, 100%, $E$9)</f>
        <v>35.569099999999999</v>
      </c>
      <c r="I1017" s="33">
        <f>35.5744 * CHOOSE(CONTROL!$C$32, $C$9, 100%, $E$9)</f>
        <v>35.574399999999997</v>
      </c>
      <c r="J1017" s="33">
        <f>35.5691 * CHOOSE(CONTROL!$C$32, $C$9, 100%, $E$9)</f>
        <v>35.569099999999999</v>
      </c>
      <c r="K1017" s="33">
        <f>35.5744 * CHOOSE(CONTROL!$C$32, $C$9, 100%, $E$9)</f>
        <v>35.574399999999997</v>
      </c>
      <c r="L1017" s="33">
        <f>16.9904 * CHOOSE(CONTROL!$C$32, $C$9, 100%, $E$9)</f>
        <v>16.990400000000001</v>
      </c>
      <c r="M1017" s="33">
        <f>16.9957 * CHOOSE(CONTROL!$C$32, $C$9, 100%, $E$9)</f>
        <v>16.995699999999999</v>
      </c>
      <c r="N1017" s="33">
        <f>16.9904 * CHOOSE(CONTROL!$C$32, $C$9, 100%, $E$9)</f>
        <v>16.990400000000001</v>
      </c>
      <c r="O1017" s="33">
        <f>16.9957 * CHOOSE(CONTROL!$C$32, $C$9, 100%, $E$9)</f>
        <v>16.995699999999999</v>
      </c>
    </row>
    <row r="1018" spans="1:15" ht="15" x14ac:dyDescent="0.2">
      <c r="A1018" s="16">
        <v>71834</v>
      </c>
      <c r="B1018" s="32">
        <f>15.1937 * CHOOSE(CONTROL!$C$32, $C$9, 100%, $E$9)</f>
        <v>15.1937</v>
      </c>
      <c r="C1018" s="32">
        <f>15.1937 * CHOOSE(CONTROL!$C$32, $C$9, 100%, $E$9)</f>
        <v>15.1937</v>
      </c>
      <c r="D1018" s="32">
        <f>15.1953 * CHOOSE(CONTROL!$C$32, $C$9, 100%, $E$9)</f>
        <v>15.1953</v>
      </c>
      <c r="E1018" s="33">
        <f>16.9382 * CHOOSE(CONTROL!$C$32, $C$9, 100%, $E$9)</f>
        <v>16.938199999999998</v>
      </c>
      <c r="F1018" s="33">
        <f>16.9382 * CHOOSE(CONTROL!$C$32, $C$9, 100%, $E$9)</f>
        <v>16.938199999999998</v>
      </c>
      <c r="G1018" s="33">
        <f>16.9435 * CHOOSE(CONTROL!$C$32, $C$9, 100%, $E$9)</f>
        <v>16.9435</v>
      </c>
      <c r="H1018" s="33">
        <f>35.6432 * CHOOSE(CONTROL!$C$32, $C$9, 100%, $E$9)</f>
        <v>35.6432</v>
      </c>
      <c r="I1018" s="33">
        <f>35.6485 * CHOOSE(CONTROL!$C$32, $C$9, 100%, $E$9)</f>
        <v>35.648499999999999</v>
      </c>
      <c r="J1018" s="33">
        <f>35.6432 * CHOOSE(CONTROL!$C$32, $C$9, 100%, $E$9)</f>
        <v>35.6432</v>
      </c>
      <c r="K1018" s="33">
        <f>35.6485 * CHOOSE(CONTROL!$C$32, $C$9, 100%, $E$9)</f>
        <v>35.648499999999999</v>
      </c>
      <c r="L1018" s="33">
        <f>16.9382 * CHOOSE(CONTROL!$C$32, $C$9, 100%, $E$9)</f>
        <v>16.938199999999998</v>
      </c>
      <c r="M1018" s="33">
        <f>16.9435 * CHOOSE(CONTROL!$C$32, $C$9, 100%, $E$9)</f>
        <v>16.9435</v>
      </c>
      <c r="N1018" s="33">
        <f>16.9382 * CHOOSE(CONTROL!$C$32, $C$9, 100%, $E$9)</f>
        <v>16.938199999999998</v>
      </c>
      <c r="O1018" s="33">
        <f>16.9435 * CHOOSE(CONTROL!$C$32, $C$9, 100%, $E$9)</f>
        <v>16.9435</v>
      </c>
    </row>
    <row r="1019" spans="1:15" ht="15" x14ac:dyDescent="0.2">
      <c r="A1019" s="16">
        <v>71864</v>
      </c>
      <c r="B1019" s="32">
        <f>15.2306 * CHOOSE(CONTROL!$C$32, $C$9, 100%, $E$9)</f>
        <v>15.230600000000001</v>
      </c>
      <c r="C1019" s="32">
        <f>15.2306 * CHOOSE(CONTROL!$C$32, $C$9, 100%, $E$9)</f>
        <v>15.230600000000001</v>
      </c>
      <c r="D1019" s="32">
        <f>15.2317 * CHOOSE(CONTROL!$C$32, $C$9, 100%, $E$9)</f>
        <v>15.2317</v>
      </c>
      <c r="E1019" s="33">
        <f>17.1251 * CHOOSE(CONTROL!$C$32, $C$9, 100%, $E$9)</f>
        <v>17.1251</v>
      </c>
      <c r="F1019" s="33">
        <f>17.1251 * CHOOSE(CONTROL!$C$32, $C$9, 100%, $E$9)</f>
        <v>17.1251</v>
      </c>
      <c r="G1019" s="33">
        <f>17.1287 * CHOOSE(CONTROL!$C$32, $C$9, 100%, $E$9)</f>
        <v>17.128699999999998</v>
      </c>
      <c r="H1019" s="33">
        <f>35.7175 * CHOOSE(CONTROL!$C$32, $C$9, 100%, $E$9)</f>
        <v>35.717500000000001</v>
      </c>
      <c r="I1019" s="33">
        <f>35.7211 * CHOOSE(CONTROL!$C$32, $C$9, 100%, $E$9)</f>
        <v>35.7211</v>
      </c>
      <c r="J1019" s="33">
        <f>35.7175 * CHOOSE(CONTROL!$C$32, $C$9, 100%, $E$9)</f>
        <v>35.717500000000001</v>
      </c>
      <c r="K1019" s="33">
        <f>35.7211 * CHOOSE(CONTROL!$C$32, $C$9, 100%, $E$9)</f>
        <v>35.7211</v>
      </c>
      <c r="L1019" s="33">
        <f>17.1251 * CHOOSE(CONTROL!$C$32, $C$9, 100%, $E$9)</f>
        <v>17.1251</v>
      </c>
      <c r="M1019" s="33">
        <f>17.1287 * CHOOSE(CONTROL!$C$32, $C$9, 100%, $E$9)</f>
        <v>17.128699999999998</v>
      </c>
      <c r="N1019" s="33">
        <f>17.1251 * CHOOSE(CONTROL!$C$32, $C$9, 100%, $E$9)</f>
        <v>17.1251</v>
      </c>
      <c r="O1019" s="33">
        <f>17.1287 * CHOOSE(CONTROL!$C$32, $C$9, 100%, $E$9)</f>
        <v>17.128699999999998</v>
      </c>
    </row>
    <row r="1020" spans="1:15" ht="15" x14ac:dyDescent="0.2">
      <c r="A1020" s="16">
        <v>71895</v>
      </c>
      <c r="B1020" s="32">
        <f>15.2337 * CHOOSE(CONTROL!$C$32, $C$9, 100%, $E$9)</f>
        <v>15.233700000000001</v>
      </c>
      <c r="C1020" s="32">
        <f>15.2337 * CHOOSE(CONTROL!$C$32, $C$9, 100%, $E$9)</f>
        <v>15.233700000000001</v>
      </c>
      <c r="D1020" s="32">
        <f>15.2347 * CHOOSE(CONTROL!$C$32, $C$9, 100%, $E$9)</f>
        <v>15.2347</v>
      </c>
      <c r="E1020" s="33">
        <f>17.2274 * CHOOSE(CONTROL!$C$32, $C$9, 100%, $E$9)</f>
        <v>17.227399999999999</v>
      </c>
      <c r="F1020" s="33">
        <f>17.2274 * CHOOSE(CONTROL!$C$32, $C$9, 100%, $E$9)</f>
        <v>17.227399999999999</v>
      </c>
      <c r="G1020" s="33">
        <f>17.231 * CHOOSE(CONTROL!$C$32, $C$9, 100%, $E$9)</f>
        <v>17.231000000000002</v>
      </c>
      <c r="H1020" s="33">
        <f>35.7919 * CHOOSE(CONTROL!$C$32, $C$9, 100%, $E$9)</f>
        <v>35.791899999999998</v>
      </c>
      <c r="I1020" s="33">
        <f>35.7955 * CHOOSE(CONTROL!$C$32, $C$9, 100%, $E$9)</f>
        <v>35.795499999999997</v>
      </c>
      <c r="J1020" s="33">
        <f>35.7919 * CHOOSE(CONTROL!$C$32, $C$9, 100%, $E$9)</f>
        <v>35.791899999999998</v>
      </c>
      <c r="K1020" s="33">
        <f>35.7955 * CHOOSE(CONTROL!$C$32, $C$9, 100%, $E$9)</f>
        <v>35.795499999999997</v>
      </c>
      <c r="L1020" s="33">
        <f>17.2274 * CHOOSE(CONTROL!$C$32, $C$9, 100%, $E$9)</f>
        <v>17.227399999999999</v>
      </c>
      <c r="M1020" s="33">
        <f>17.231 * CHOOSE(CONTROL!$C$32, $C$9, 100%, $E$9)</f>
        <v>17.231000000000002</v>
      </c>
      <c r="N1020" s="33">
        <f>17.2274 * CHOOSE(CONTROL!$C$32, $C$9, 100%, $E$9)</f>
        <v>17.227399999999999</v>
      </c>
      <c r="O1020" s="33">
        <f>17.231 * CHOOSE(CONTROL!$C$32, $C$9, 100%, $E$9)</f>
        <v>17.231000000000002</v>
      </c>
    </row>
    <row r="1021" spans="1:15" ht="15" x14ac:dyDescent="0.2">
      <c r="A1021" s="16">
        <v>71925</v>
      </c>
      <c r="B1021" s="32">
        <f>15.2337 * CHOOSE(CONTROL!$C$32, $C$9, 100%, $E$9)</f>
        <v>15.233700000000001</v>
      </c>
      <c r="C1021" s="32">
        <f>15.2337 * CHOOSE(CONTROL!$C$32, $C$9, 100%, $E$9)</f>
        <v>15.233700000000001</v>
      </c>
      <c r="D1021" s="32">
        <f>15.2347 * CHOOSE(CONTROL!$C$32, $C$9, 100%, $E$9)</f>
        <v>15.2347</v>
      </c>
      <c r="E1021" s="33">
        <f>16.977 * CHOOSE(CONTROL!$C$32, $C$9, 100%, $E$9)</f>
        <v>16.977</v>
      </c>
      <c r="F1021" s="33">
        <f>16.977 * CHOOSE(CONTROL!$C$32, $C$9, 100%, $E$9)</f>
        <v>16.977</v>
      </c>
      <c r="G1021" s="33">
        <f>16.9806 * CHOOSE(CONTROL!$C$32, $C$9, 100%, $E$9)</f>
        <v>16.980599999999999</v>
      </c>
      <c r="H1021" s="33">
        <f>35.8664 * CHOOSE(CONTROL!$C$32, $C$9, 100%, $E$9)</f>
        <v>35.866399999999999</v>
      </c>
      <c r="I1021" s="33">
        <f>35.8701 * CHOOSE(CONTROL!$C$32, $C$9, 100%, $E$9)</f>
        <v>35.870100000000001</v>
      </c>
      <c r="J1021" s="33">
        <f>35.8664 * CHOOSE(CONTROL!$C$32, $C$9, 100%, $E$9)</f>
        <v>35.866399999999999</v>
      </c>
      <c r="K1021" s="33">
        <f>35.8701 * CHOOSE(CONTROL!$C$32, $C$9, 100%, $E$9)</f>
        <v>35.870100000000001</v>
      </c>
      <c r="L1021" s="33">
        <f>16.977 * CHOOSE(CONTROL!$C$32, $C$9, 100%, $E$9)</f>
        <v>16.977</v>
      </c>
      <c r="M1021" s="33">
        <f>16.9806 * CHOOSE(CONTROL!$C$32, $C$9, 100%, $E$9)</f>
        <v>16.980599999999999</v>
      </c>
      <c r="N1021" s="33">
        <f>16.977 * CHOOSE(CONTROL!$C$32, $C$9, 100%, $E$9)</f>
        <v>16.977</v>
      </c>
      <c r="O1021" s="33">
        <f>16.9806 * CHOOSE(CONTROL!$C$32, $C$9, 100%, $E$9)</f>
        <v>16.980599999999999</v>
      </c>
    </row>
    <row r="1022" spans="1:15" ht="15" x14ac:dyDescent="0.2">
      <c r="A1022" s="16">
        <v>71956</v>
      </c>
      <c r="B1022" s="32">
        <f>15.1897 * CHOOSE(CONTROL!$C$32, $C$9, 100%, $E$9)</f>
        <v>15.1897</v>
      </c>
      <c r="C1022" s="32">
        <f>15.1897 * CHOOSE(CONTROL!$C$32, $C$9, 100%, $E$9)</f>
        <v>15.1897</v>
      </c>
      <c r="D1022" s="32">
        <f>15.1908 * CHOOSE(CONTROL!$C$32, $C$9, 100%, $E$9)</f>
        <v>15.190799999999999</v>
      </c>
      <c r="E1022" s="33">
        <f>17.1081 * CHOOSE(CONTROL!$C$32, $C$9, 100%, $E$9)</f>
        <v>17.1081</v>
      </c>
      <c r="F1022" s="33">
        <f>17.1081 * CHOOSE(CONTROL!$C$32, $C$9, 100%, $E$9)</f>
        <v>17.1081</v>
      </c>
      <c r="G1022" s="33">
        <f>17.1117 * CHOOSE(CONTROL!$C$32, $C$9, 100%, $E$9)</f>
        <v>17.111699999999999</v>
      </c>
      <c r="H1022" s="33">
        <f>35.5187 * CHOOSE(CONTROL!$C$32, $C$9, 100%, $E$9)</f>
        <v>35.518700000000003</v>
      </c>
      <c r="I1022" s="33">
        <f>35.5223 * CHOOSE(CONTROL!$C$32, $C$9, 100%, $E$9)</f>
        <v>35.522300000000001</v>
      </c>
      <c r="J1022" s="33">
        <f>35.5187 * CHOOSE(CONTROL!$C$32, $C$9, 100%, $E$9)</f>
        <v>35.518700000000003</v>
      </c>
      <c r="K1022" s="33">
        <f>35.5223 * CHOOSE(CONTROL!$C$32, $C$9, 100%, $E$9)</f>
        <v>35.522300000000001</v>
      </c>
      <c r="L1022" s="33">
        <f>17.1081 * CHOOSE(CONTROL!$C$32, $C$9, 100%, $E$9)</f>
        <v>17.1081</v>
      </c>
      <c r="M1022" s="33">
        <f>17.1117 * CHOOSE(CONTROL!$C$32, $C$9, 100%, $E$9)</f>
        <v>17.111699999999999</v>
      </c>
      <c r="N1022" s="33">
        <f>17.1081 * CHOOSE(CONTROL!$C$32, $C$9, 100%, $E$9)</f>
        <v>17.1081</v>
      </c>
      <c r="O1022" s="33">
        <f>17.1117 * CHOOSE(CONTROL!$C$32, $C$9, 100%, $E$9)</f>
        <v>17.111699999999999</v>
      </c>
    </row>
    <row r="1023" spans="1:15" ht="15" x14ac:dyDescent="0.2">
      <c r="A1023" s="16">
        <v>71987</v>
      </c>
      <c r="B1023" s="32">
        <f>15.1867 * CHOOSE(CONTROL!$C$32, $C$9, 100%, $E$9)</f>
        <v>15.1867</v>
      </c>
      <c r="C1023" s="32">
        <f>15.1867 * CHOOSE(CONTROL!$C$32, $C$9, 100%, $E$9)</f>
        <v>15.1867</v>
      </c>
      <c r="D1023" s="32">
        <f>15.1878 * CHOOSE(CONTROL!$C$32, $C$9, 100%, $E$9)</f>
        <v>15.187799999999999</v>
      </c>
      <c r="E1023" s="33">
        <f>16.6258 * CHOOSE(CONTROL!$C$32, $C$9, 100%, $E$9)</f>
        <v>16.625800000000002</v>
      </c>
      <c r="F1023" s="33">
        <f>16.6258 * CHOOSE(CONTROL!$C$32, $C$9, 100%, $E$9)</f>
        <v>16.625800000000002</v>
      </c>
      <c r="G1023" s="33">
        <f>16.6294 * CHOOSE(CONTROL!$C$32, $C$9, 100%, $E$9)</f>
        <v>16.6294</v>
      </c>
      <c r="H1023" s="33">
        <f>35.5927 * CHOOSE(CONTROL!$C$32, $C$9, 100%, $E$9)</f>
        <v>35.592700000000001</v>
      </c>
      <c r="I1023" s="33">
        <f>35.5963 * CHOOSE(CONTROL!$C$32, $C$9, 100%, $E$9)</f>
        <v>35.596299999999999</v>
      </c>
      <c r="J1023" s="33">
        <f>35.5927 * CHOOSE(CONTROL!$C$32, $C$9, 100%, $E$9)</f>
        <v>35.592700000000001</v>
      </c>
      <c r="K1023" s="33">
        <f>35.5963 * CHOOSE(CONTROL!$C$32, $C$9, 100%, $E$9)</f>
        <v>35.596299999999999</v>
      </c>
      <c r="L1023" s="33">
        <f>16.6258 * CHOOSE(CONTROL!$C$32, $C$9, 100%, $E$9)</f>
        <v>16.625800000000002</v>
      </c>
      <c r="M1023" s="33">
        <f>16.6294 * CHOOSE(CONTROL!$C$32, $C$9, 100%, $E$9)</f>
        <v>16.6294</v>
      </c>
      <c r="N1023" s="33">
        <f>16.6258 * CHOOSE(CONTROL!$C$32, $C$9, 100%, $E$9)</f>
        <v>16.625800000000002</v>
      </c>
      <c r="O1023" s="33">
        <f>16.6294 * CHOOSE(CONTROL!$C$32, $C$9, 100%, $E$9)</f>
        <v>16.6294</v>
      </c>
    </row>
    <row r="1024" spans="1:15" ht="15" x14ac:dyDescent="0.2">
      <c r="A1024" s="16">
        <v>72015</v>
      </c>
      <c r="B1024" s="32">
        <f>15.1837 * CHOOSE(CONTROL!$C$32, $C$9, 100%, $E$9)</f>
        <v>15.1837</v>
      </c>
      <c r="C1024" s="32">
        <f>15.1837 * CHOOSE(CONTROL!$C$32, $C$9, 100%, $E$9)</f>
        <v>15.1837</v>
      </c>
      <c r="D1024" s="32">
        <f>15.1847 * CHOOSE(CONTROL!$C$32, $C$9, 100%, $E$9)</f>
        <v>15.184699999999999</v>
      </c>
      <c r="E1024" s="33">
        <f>17.0022 * CHOOSE(CONTROL!$C$32, $C$9, 100%, $E$9)</f>
        <v>17.002199999999998</v>
      </c>
      <c r="F1024" s="33">
        <f>17.0022 * CHOOSE(CONTROL!$C$32, $C$9, 100%, $E$9)</f>
        <v>17.002199999999998</v>
      </c>
      <c r="G1024" s="33">
        <f>17.0059 * CHOOSE(CONTROL!$C$32, $C$9, 100%, $E$9)</f>
        <v>17.0059</v>
      </c>
      <c r="H1024" s="33">
        <f>35.6669 * CHOOSE(CONTROL!$C$32, $C$9, 100%, $E$9)</f>
        <v>35.666899999999998</v>
      </c>
      <c r="I1024" s="33">
        <f>35.6705 * CHOOSE(CONTROL!$C$32, $C$9, 100%, $E$9)</f>
        <v>35.670499999999997</v>
      </c>
      <c r="J1024" s="33">
        <f>35.6669 * CHOOSE(CONTROL!$C$32, $C$9, 100%, $E$9)</f>
        <v>35.666899999999998</v>
      </c>
      <c r="K1024" s="33">
        <f>35.6705 * CHOOSE(CONTROL!$C$32, $C$9, 100%, $E$9)</f>
        <v>35.670499999999997</v>
      </c>
      <c r="L1024" s="33">
        <f>17.0022 * CHOOSE(CONTROL!$C$32, $C$9, 100%, $E$9)</f>
        <v>17.002199999999998</v>
      </c>
      <c r="M1024" s="33">
        <f>17.0059 * CHOOSE(CONTROL!$C$32, $C$9, 100%, $E$9)</f>
        <v>17.0059</v>
      </c>
      <c r="N1024" s="33">
        <f>17.0022 * CHOOSE(CONTROL!$C$32, $C$9, 100%, $E$9)</f>
        <v>17.002199999999998</v>
      </c>
      <c r="O1024" s="33">
        <f>17.0059 * CHOOSE(CONTROL!$C$32, $C$9, 100%, $E$9)</f>
        <v>17.0059</v>
      </c>
    </row>
    <row r="1025" spans="1:15" ht="15" x14ac:dyDescent="0.2">
      <c r="A1025" s="16">
        <v>72046</v>
      </c>
      <c r="B1025" s="32">
        <f>15.1922 * CHOOSE(CONTROL!$C$32, $C$9, 100%, $E$9)</f>
        <v>15.1922</v>
      </c>
      <c r="C1025" s="32">
        <f>15.1922 * CHOOSE(CONTROL!$C$32, $C$9, 100%, $E$9)</f>
        <v>15.1922</v>
      </c>
      <c r="D1025" s="32">
        <f>15.1932 * CHOOSE(CONTROL!$C$32, $C$9, 100%, $E$9)</f>
        <v>15.193199999999999</v>
      </c>
      <c r="E1025" s="33">
        <f>17.4046 * CHOOSE(CONTROL!$C$32, $C$9, 100%, $E$9)</f>
        <v>17.404599999999999</v>
      </c>
      <c r="F1025" s="33">
        <f>17.4046 * CHOOSE(CONTROL!$C$32, $C$9, 100%, $E$9)</f>
        <v>17.404599999999999</v>
      </c>
      <c r="G1025" s="33">
        <f>17.4082 * CHOOSE(CONTROL!$C$32, $C$9, 100%, $E$9)</f>
        <v>17.408200000000001</v>
      </c>
      <c r="H1025" s="33">
        <f>35.7412 * CHOOSE(CONTROL!$C$32, $C$9, 100%, $E$9)</f>
        <v>35.741199999999999</v>
      </c>
      <c r="I1025" s="33">
        <f>35.7448 * CHOOSE(CONTROL!$C$32, $C$9, 100%, $E$9)</f>
        <v>35.744799999999998</v>
      </c>
      <c r="J1025" s="33">
        <f>35.7412 * CHOOSE(CONTROL!$C$32, $C$9, 100%, $E$9)</f>
        <v>35.741199999999999</v>
      </c>
      <c r="K1025" s="33">
        <f>35.7448 * CHOOSE(CONTROL!$C$32, $C$9, 100%, $E$9)</f>
        <v>35.744799999999998</v>
      </c>
      <c r="L1025" s="33">
        <f>17.4046 * CHOOSE(CONTROL!$C$32, $C$9, 100%, $E$9)</f>
        <v>17.404599999999999</v>
      </c>
      <c r="M1025" s="33">
        <f>17.4082 * CHOOSE(CONTROL!$C$32, $C$9, 100%, $E$9)</f>
        <v>17.408200000000001</v>
      </c>
      <c r="N1025" s="33">
        <f>17.4046 * CHOOSE(CONTROL!$C$32, $C$9, 100%, $E$9)</f>
        <v>17.404599999999999</v>
      </c>
      <c r="O1025" s="33">
        <f>17.4082 * CHOOSE(CONTROL!$C$32, $C$9, 100%, $E$9)</f>
        <v>17.408200000000001</v>
      </c>
    </row>
    <row r="1026" spans="1:15" ht="15" x14ac:dyDescent="0.2">
      <c r="A1026" s="16">
        <v>72076</v>
      </c>
      <c r="B1026" s="32">
        <f>15.1922 * CHOOSE(CONTROL!$C$32, $C$9, 100%, $E$9)</f>
        <v>15.1922</v>
      </c>
      <c r="C1026" s="32">
        <f>15.1922 * CHOOSE(CONTROL!$C$32, $C$9, 100%, $E$9)</f>
        <v>15.1922</v>
      </c>
      <c r="D1026" s="32">
        <f>15.1938 * CHOOSE(CONTROL!$C$32, $C$9, 100%, $E$9)</f>
        <v>15.1938</v>
      </c>
      <c r="E1026" s="33">
        <f>17.5571 * CHOOSE(CONTROL!$C$32, $C$9, 100%, $E$9)</f>
        <v>17.557099999999998</v>
      </c>
      <c r="F1026" s="33">
        <f>17.5571 * CHOOSE(CONTROL!$C$32, $C$9, 100%, $E$9)</f>
        <v>17.557099999999998</v>
      </c>
      <c r="G1026" s="33">
        <f>17.5623 * CHOOSE(CONTROL!$C$32, $C$9, 100%, $E$9)</f>
        <v>17.5623</v>
      </c>
      <c r="H1026" s="33">
        <f>35.8156 * CHOOSE(CONTROL!$C$32, $C$9, 100%, $E$9)</f>
        <v>35.815600000000003</v>
      </c>
      <c r="I1026" s="33">
        <f>35.8209 * CHOOSE(CONTROL!$C$32, $C$9, 100%, $E$9)</f>
        <v>35.820900000000002</v>
      </c>
      <c r="J1026" s="33">
        <f>35.8156 * CHOOSE(CONTROL!$C$32, $C$9, 100%, $E$9)</f>
        <v>35.815600000000003</v>
      </c>
      <c r="K1026" s="33">
        <f>35.8209 * CHOOSE(CONTROL!$C$32, $C$9, 100%, $E$9)</f>
        <v>35.820900000000002</v>
      </c>
      <c r="L1026" s="33">
        <f>17.5571 * CHOOSE(CONTROL!$C$32, $C$9, 100%, $E$9)</f>
        <v>17.557099999999998</v>
      </c>
      <c r="M1026" s="33">
        <f>17.5623 * CHOOSE(CONTROL!$C$32, $C$9, 100%, $E$9)</f>
        <v>17.5623</v>
      </c>
      <c r="N1026" s="33">
        <f>17.5571 * CHOOSE(CONTROL!$C$32, $C$9, 100%, $E$9)</f>
        <v>17.557099999999998</v>
      </c>
      <c r="O1026" s="33">
        <f>17.5623 * CHOOSE(CONTROL!$C$32, $C$9, 100%, $E$9)</f>
        <v>17.5623</v>
      </c>
    </row>
    <row r="1027" spans="1:15" ht="15" x14ac:dyDescent="0.2">
      <c r="A1027" s="16">
        <v>72107</v>
      </c>
      <c r="B1027" s="32">
        <f>15.1983 * CHOOSE(CONTROL!$C$32, $C$9, 100%, $E$9)</f>
        <v>15.1983</v>
      </c>
      <c r="C1027" s="32">
        <f>15.1983 * CHOOSE(CONTROL!$C$32, $C$9, 100%, $E$9)</f>
        <v>15.1983</v>
      </c>
      <c r="D1027" s="32">
        <f>15.1998 * CHOOSE(CONTROL!$C$32, $C$9, 100%, $E$9)</f>
        <v>15.1998</v>
      </c>
      <c r="E1027" s="33">
        <f>17.4088 * CHOOSE(CONTROL!$C$32, $C$9, 100%, $E$9)</f>
        <v>17.408799999999999</v>
      </c>
      <c r="F1027" s="33">
        <f>17.4088 * CHOOSE(CONTROL!$C$32, $C$9, 100%, $E$9)</f>
        <v>17.408799999999999</v>
      </c>
      <c r="G1027" s="33">
        <f>17.4141 * CHOOSE(CONTROL!$C$32, $C$9, 100%, $E$9)</f>
        <v>17.414100000000001</v>
      </c>
      <c r="H1027" s="33">
        <f>35.8902 * CHOOSE(CONTROL!$C$32, $C$9, 100%, $E$9)</f>
        <v>35.8902</v>
      </c>
      <c r="I1027" s="33">
        <f>35.8955 * CHOOSE(CONTROL!$C$32, $C$9, 100%, $E$9)</f>
        <v>35.895499999999998</v>
      </c>
      <c r="J1027" s="33">
        <f>35.8902 * CHOOSE(CONTROL!$C$32, $C$9, 100%, $E$9)</f>
        <v>35.8902</v>
      </c>
      <c r="K1027" s="33">
        <f>35.8955 * CHOOSE(CONTROL!$C$32, $C$9, 100%, $E$9)</f>
        <v>35.895499999999998</v>
      </c>
      <c r="L1027" s="33">
        <f>17.4088 * CHOOSE(CONTROL!$C$32, $C$9, 100%, $E$9)</f>
        <v>17.408799999999999</v>
      </c>
      <c r="M1027" s="33">
        <f>17.4141 * CHOOSE(CONTROL!$C$32, $C$9, 100%, $E$9)</f>
        <v>17.414100000000001</v>
      </c>
      <c r="N1027" s="33">
        <f>17.4088 * CHOOSE(CONTROL!$C$32, $C$9, 100%, $E$9)</f>
        <v>17.408799999999999</v>
      </c>
      <c r="O1027" s="33">
        <f>17.4141 * CHOOSE(CONTROL!$C$32, $C$9, 100%, $E$9)</f>
        <v>17.414100000000001</v>
      </c>
    </row>
    <row r="1028" spans="1:15" ht="15" x14ac:dyDescent="0.2">
      <c r="A1028" s="16">
        <v>72137</v>
      </c>
      <c r="B1028" s="32">
        <f>15.3797 * CHOOSE(CONTROL!$C$32, $C$9, 100%, $E$9)</f>
        <v>15.3797</v>
      </c>
      <c r="C1028" s="32">
        <f>15.3797 * CHOOSE(CONTROL!$C$32, $C$9, 100%, $E$9)</f>
        <v>15.3797</v>
      </c>
      <c r="D1028" s="32">
        <f>15.3812 * CHOOSE(CONTROL!$C$32, $C$9, 100%, $E$9)</f>
        <v>15.3812</v>
      </c>
      <c r="E1028" s="33">
        <f>17.6566 * CHOOSE(CONTROL!$C$32, $C$9, 100%, $E$9)</f>
        <v>17.656600000000001</v>
      </c>
      <c r="F1028" s="33">
        <f>17.6566 * CHOOSE(CONTROL!$C$32, $C$9, 100%, $E$9)</f>
        <v>17.656600000000001</v>
      </c>
      <c r="G1028" s="33">
        <f>17.6619 * CHOOSE(CONTROL!$C$32, $C$9, 100%, $E$9)</f>
        <v>17.661899999999999</v>
      </c>
      <c r="H1028" s="33">
        <f>35.965 * CHOOSE(CONTROL!$C$32, $C$9, 100%, $E$9)</f>
        <v>35.965000000000003</v>
      </c>
      <c r="I1028" s="33">
        <f>35.9703 * CHOOSE(CONTROL!$C$32, $C$9, 100%, $E$9)</f>
        <v>35.970300000000002</v>
      </c>
      <c r="J1028" s="33">
        <f>35.965 * CHOOSE(CONTROL!$C$32, $C$9, 100%, $E$9)</f>
        <v>35.965000000000003</v>
      </c>
      <c r="K1028" s="33">
        <f>35.9703 * CHOOSE(CONTROL!$C$32, $C$9, 100%, $E$9)</f>
        <v>35.970300000000002</v>
      </c>
      <c r="L1028" s="33">
        <f>17.6566 * CHOOSE(CONTROL!$C$32, $C$9, 100%, $E$9)</f>
        <v>17.656600000000001</v>
      </c>
      <c r="M1028" s="33">
        <f>17.6619 * CHOOSE(CONTROL!$C$32, $C$9, 100%, $E$9)</f>
        <v>17.661899999999999</v>
      </c>
      <c r="N1028" s="33">
        <f>17.6566 * CHOOSE(CONTROL!$C$32, $C$9, 100%, $E$9)</f>
        <v>17.656600000000001</v>
      </c>
      <c r="O1028" s="33">
        <f>17.6619 * CHOOSE(CONTROL!$C$32, $C$9, 100%, $E$9)</f>
        <v>17.661899999999999</v>
      </c>
    </row>
    <row r="1029" spans="1:15" ht="15" x14ac:dyDescent="0.2">
      <c r="A1029" s="16">
        <v>72168</v>
      </c>
      <c r="B1029" s="32">
        <f>15.3863 * CHOOSE(CONTROL!$C$32, $C$9, 100%, $E$9)</f>
        <v>15.3863</v>
      </c>
      <c r="C1029" s="32">
        <f>15.3863 * CHOOSE(CONTROL!$C$32, $C$9, 100%, $E$9)</f>
        <v>15.3863</v>
      </c>
      <c r="D1029" s="32">
        <f>15.3879 * CHOOSE(CONTROL!$C$32, $C$9, 100%, $E$9)</f>
        <v>15.3879</v>
      </c>
      <c r="E1029" s="33">
        <f>17.2038 * CHOOSE(CONTROL!$C$32, $C$9, 100%, $E$9)</f>
        <v>17.203800000000001</v>
      </c>
      <c r="F1029" s="33">
        <f>17.2038 * CHOOSE(CONTROL!$C$32, $C$9, 100%, $E$9)</f>
        <v>17.203800000000001</v>
      </c>
      <c r="G1029" s="33">
        <f>17.2091 * CHOOSE(CONTROL!$C$32, $C$9, 100%, $E$9)</f>
        <v>17.209099999999999</v>
      </c>
      <c r="H1029" s="33">
        <f>36.0399 * CHOOSE(CONTROL!$C$32, $C$9, 100%, $E$9)</f>
        <v>36.039900000000003</v>
      </c>
      <c r="I1029" s="33">
        <f>36.0452 * CHOOSE(CONTROL!$C$32, $C$9, 100%, $E$9)</f>
        <v>36.045200000000001</v>
      </c>
      <c r="J1029" s="33">
        <f>36.0399 * CHOOSE(CONTROL!$C$32, $C$9, 100%, $E$9)</f>
        <v>36.039900000000003</v>
      </c>
      <c r="K1029" s="33">
        <f>36.0452 * CHOOSE(CONTROL!$C$32, $C$9, 100%, $E$9)</f>
        <v>36.045200000000001</v>
      </c>
      <c r="L1029" s="33">
        <f>17.2038 * CHOOSE(CONTROL!$C$32, $C$9, 100%, $E$9)</f>
        <v>17.203800000000001</v>
      </c>
      <c r="M1029" s="33">
        <f>17.2091 * CHOOSE(CONTROL!$C$32, $C$9, 100%, $E$9)</f>
        <v>17.209099999999999</v>
      </c>
      <c r="N1029" s="33">
        <f>17.2038 * CHOOSE(CONTROL!$C$32, $C$9, 100%, $E$9)</f>
        <v>17.203800000000001</v>
      </c>
      <c r="O1029" s="33">
        <f>17.2091 * CHOOSE(CONTROL!$C$32, $C$9, 100%, $E$9)</f>
        <v>17.209099999999999</v>
      </c>
    </row>
    <row r="1030" spans="1:15" ht="15" x14ac:dyDescent="0.2">
      <c r="A1030" s="16">
        <v>72199</v>
      </c>
      <c r="B1030" s="32">
        <f>15.3833 * CHOOSE(CONTROL!$C$32, $C$9, 100%, $E$9)</f>
        <v>15.3833</v>
      </c>
      <c r="C1030" s="32">
        <f>15.3833 * CHOOSE(CONTROL!$C$32, $C$9, 100%, $E$9)</f>
        <v>15.3833</v>
      </c>
      <c r="D1030" s="32">
        <f>15.3849 * CHOOSE(CONTROL!$C$32, $C$9, 100%, $E$9)</f>
        <v>15.3849</v>
      </c>
      <c r="E1030" s="33">
        <f>17.1509 * CHOOSE(CONTROL!$C$32, $C$9, 100%, $E$9)</f>
        <v>17.1509</v>
      </c>
      <c r="F1030" s="33">
        <f>17.1509 * CHOOSE(CONTROL!$C$32, $C$9, 100%, $E$9)</f>
        <v>17.1509</v>
      </c>
      <c r="G1030" s="33">
        <f>17.1562 * CHOOSE(CONTROL!$C$32, $C$9, 100%, $E$9)</f>
        <v>17.156199999999998</v>
      </c>
      <c r="H1030" s="33">
        <f>36.115 * CHOOSE(CONTROL!$C$32, $C$9, 100%, $E$9)</f>
        <v>36.115000000000002</v>
      </c>
      <c r="I1030" s="33">
        <f>36.1203 * CHOOSE(CONTROL!$C$32, $C$9, 100%, $E$9)</f>
        <v>36.1203</v>
      </c>
      <c r="J1030" s="33">
        <f>36.115 * CHOOSE(CONTROL!$C$32, $C$9, 100%, $E$9)</f>
        <v>36.115000000000002</v>
      </c>
      <c r="K1030" s="33">
        <f>36.1203 * CHOOSE(CONTROL!$C$32, $C$9, 100%, $E$9)</f>
        <v>36.1203</v>
      </c>
      <c r="L1030" s="33">
        <f>17.1509 * CHOOSE(CONTROL!$C$32, $C$9, 100%, $E$9)</f>
        <v>17.1509</v>
      </c>
      <c r="M1030" s="33">
        <f>17.1562 * CHOOSE(CONTROL!$C$32, $C$9, 100%, $E$9)</f>
        <v>17.156199999999998</v>
      </c>
      <c r="N1030" s="33">
        <f>17.1509 * CHOOSE(CONTROL!$C$32, $C$9, 100%, $E$9)</f>
        <v>17.1509</v>
      </c>
      <c r="O1030" s="33">
        <f>17.1562 * CHOOSE(CONTROL!$C$32, $C$9, 100%, $E$9)</f>
        <v>17.156199999999998</v>
      </c>
    </row>
    <row r="1031" spans="1:15" ht="15" x14ac:dyDescent="0.2">
      <c r="A1031" s="16">
        <v>72229</v>
      </c>
      <c r="B1031" s="32">
        <f>15.4209 * CHOOSE(CONTROL!$C$32, $C$9, 100%, $E$9)</f>
        <v>15.4209</v>
      </c>
      <c r="C1031" s="32">
        <f>15.4209 * CHOOSE(CONTROL!$C$32, $C$9, 100%, $E$9)</f>
        <v>15.4209</v>
      </c>
      <c r="D1031" s="32">
        <f>15.422 * CHOOSE(CONTROL!$C$32, $C$9, 100%, $E$9)</f>
        <v>15.422000000000001</v>
      </c>
      <c r="E1031" s="33">
        <f>17.3408 * CHOOSE(CONTROL!$C$32, $C$9, 100%, $E$9)</f>
        <v>17.340800000000002</v>
      </c>
      <c r="F1031" s="33">
        <f>17.3408 * CHOOSE(CONTROL!$C$32, $C$9, 100%, $E$9)</f>
        <v>17.340800000000002</v>
      </c>
      <c r="G1031" s="33">
        <f>17.3444 * CHOOSE(CONTROL!$C$32, $C$9, 100%, $E$9)</f>
        <v>17.3444</v>
      </c>
      <c r="H1031" s="33">
        <f>36.1903 * CHOOSE(CONTROL!$C$32, $C$9, 100%, $E$9)</f>
        <v>36.190300000000001</v>
      </c>
      <c r="I1031" s="33">
        <f>36.1939 * CHOOSE(CONTROL!$C$32, $C$9, 100%, $E$9)</f>
        <v>36.193899999999999</v>
      </c>
      <c r="J1031" s="33">
        <f>36.1903 * CHOOSE(CONTROL!$C$32, $C$9, 100%, $E$9)</f>
        <v>36.190300000000001</v>
      </c>
      <c r="K1031" s="33">
        <f>36.1939 * CHOOSE(CONTROL!$C$32, $C$9, 100%, $E$9)</f>
        <v>36.193899999999999</v>
      </c>
      <c r="L1031" s="33">
        <f>17.3408 * CHOOSE(CONTROL!$C$32, $C$9, 100%, $E$9)</f>
        <v>17.340800000000002</v>
      </c>
      <c r="M1031" s="33">
        <f>17.3444 * CHOOSE(CONTROL!$C$32, $C$9, 100%, $E$9)</f>
        <v>17.3444</v>
      </c>
      <c r="N1031" s="33">
        <f>17.3408 * CHOOSE(CONTROL!$C$32, $C$9, 100%, $E$9)</f>
        <v>17.340800000000002</v>
      </c>
      <c r="O1031" s="33">
        <f>17.3444 * CHOOSE(CONTROL!$C$32, $C$9, 100%, $E$9)</f>
        <v>17.3444</v>
      </c>
    </row>
    <row r="1032" spans="1:15" ht="15" x14ac:dyDescent="0.2">
      <c r="A1032" s="16">
        <v>72260</v>
      </c>
      <c r="B1032" s="32">
        <f>15.424 * CHOOSE(CONTROL!$C$32, $C$9, 100%, $E$9)</f>
        <v>15.423999999999999</v>
      </c>
      <c r="C1032" s="32">
        <f>15.424 * CHOOSE(CONTROL!$C$32, $C$9, 100%, $E$9)</f>
        <v>15.423999999999999</v>
      </c>
      <c r="D1032" s="32">
        <f>15.425 * CHOOSE(CONTROL!$C$32, $C$9, 100%, $E$9)</f>
        <v>15.425000000000001</v>
      </c>
      <c r="E1032" s="33">
        <f>17.4445 * CHOOSE(CONTROL!$C$32, $C$9, 100%, $E$9)</f>
        <v>17.444500000000001</v>
      </c>
      <c r="F1032" s="33">
        <f>17.4445 * CHOOSE(CONTROL!$C$32, $C$9, 100%, $E$9)</f>
        <v>17.444500000000001</v>
      </c>
      <c r="G1032" s="33">
        <f>17.4482 * CHOOSE(CONTROL!$C$32, $C$9, 100%, $E$9)</f>
        <v>17.4482</v>
      </c>
      <c r="H1032" s="33">
        <f>36.2657 * CHOOSE(CONTROL!$C$32, $C$9, 100%, $E$9)</f>
        <v>36.265700000000002</v>
      </c>
      <c r="I1032" s="33">
        <f>36.2693 * CHOOSE(CONTROL!$C$32, $C$9, 100%, $E$9)</f>
        <v>36.269300000000001</v>
      </c>
      <c r="J1032" s="33">
        <f>36.2657 * CHOOSE(CONTROL!$C$32, $C$9, 100%, $E$9)</f>
        <v>36.265700000000002</v>
      </c>
      <c r="K1032" s="33">
        <f>36.2693 * CHOOSE(CONTROL!$C$32, $C$9, 100%, $E$9)</f>
        <v>36.269300000000001</v>
      </c>
      <c r="L1032" s="33">
        <f>17.4445 * CHOOSE(CONTROL!$C$32, $C$9, 100%, $E$9)</f>
        <v>17.444500000000001</v>
      </c>
      <c r="M1032" s="33">
        <f>17.4482 * CHOOSE(CONTROL!$C$32, $C$9, 100%, $E$9)</f>
        <v>17.4482</v>
      </c>
      <c r="N1032" s="33">
        <f>17.4445 * CHOOSE(CONTROL!$C$32, $C$9, 100%, $E$9)</f>
        <v>17.444500000000001</v>
      </c>
      <c r="O1032" s="33">
        <f>17.4482 * CHOOSE(CONTROL!$C$32, $C$9, 100%, $E$9)</f>
        <v>17.4482</v>
      </c>
    </row>
    <row r="1033" spans="1:15" ht="15" x14ac:dyDescent="0.2">
      <c r="A1033" s="16">
        <v>72290</v>
      </c>
      <c r="B1033" s="32">
        <f>15.424 * CHOOSE(CONTROL!$C$32, $C$9, 100%, $E$9)</f>
        <v>15.423999999999999</v>
      </c>
      <c r="C1033" s="32">
        <f>15.424 * CHOOSE(CONTROL!$C$32, $C$9, 100%, $E$9)</f>
        <v>15.423999999999999</v>
      </c>
      <c r="D1033" s="32">
        <f>15.425 * CHOOSE(CONTROL!$C$32, $C$9, 100%, $E$9)</f>
        <v>15.425000000000001</v>
      </c>
      <c r="E1033" s="33">
        <f>17.1904 * CHOOSE(CONTROL!$C$32, $C$9, 100%, $E$9)</f>
        <v>17.1904</v>
      </c>
      <c r="F1033" s="33">
        <f>17.1904 * CHOOSE(CONTROL!$C$32, $C$9, 100%, $E$9)</f>
        <v>17.1904</v>
      </c>
      <c r="G1033" s="33">
        <f>17.194 * CHOOSE(CONTROL!$C$32, $C$9, 100%, $E$9)</f>
        <v>17.193999999999999</v>
      </c>
      <c r="H1033" s="33">
        <f>36.3412 * CHOOSE(CONTROL!$C$32, $C$9, 100%, $E$9)</f>
        <v>36.341200000000001</v>
      </c>
      <c r="I1033" s="33">
        <f>36.3448 * CHOOSE(CONTROL!$C$32, $C$9, 100%, $E$9)</f>
        <v>36.344799999999999</v>
      </c>
      <c r="J1033" s="33">
        <f>36.3412 * CHOOSE(CONTROL!$C$32, $C$9, 100%, $E$9)</f>
        <v>36.341200000000001</v>
      </c>
      <c r="K1033" s="33">
        <f>36.3448 * CHOOSE(CONTROL!$C$32, $C$9, 100%, $E$9)</f>
        <v>36.344799999999999</v>
      </c>
      <c r="L1033" s="33">
        <f>17.1904 * CHOOSE(CONTROL!$C$32, $C$9, 100%, $E$9)</f>
        <v>17.1904</v>
      </c>
      <c r="M1033" s="33">
        <f>17.194 * CHOOSE(CONTROL!$C$32, $C$9, 100%, $E$9)</f>
        <v>17.193999999999999</v>
      </c>
      <c r="N1033" s="33">
        <f>17.1904 * CHOOSE(CONTROL!$C$32, $C$9, 100%, $E$9)</f>
        <v>17.1904</v>
      </c>
      <c r="O1033" s="33">
        <f>17.194 * CHOOSE(CONTROL!$C$32, $C$9, 100%, $E$9)</f>
        <v>17.193999999999999</v>
      </c>
    </row>
    <row r="1034" spans="1:15" ht="15" x14ac:dyDescent="0.2">
      <c r="A1034" s="16">
        <v>72321</v>
      </c>
      <c r="B1034" s="32">
        <f>15.3771 * CHOOSE(CONTROL!$C$32, $C$9, 100%, $E$9)</f>
        <v>15.3771</v>
      </c>
      <c r="C1034" s="32">
        <f>15.3771 * CHOOSE(CONTROL!$C$32, $C$9, 100%, $E$9)</f>
        <v>15.3771</v>
      </c>
      <c r="D1034" s="32">
        <f>15.3782 * CHOOSE(CONTROL!$C$32, $C$9, 100%, $E$9)</f>
        <v>15.3782</v>
      </c>
      <c r="E1034" s="33">
        <f>17.3206 * CHOOSE(CONTROL!$C$32, $C$9, 100%, $E$9)</f>
        <v>17.320599999999999</v>
      </c>
      <c r="F1034" s="33">
        <f>17.3206 * CHOOSE(CONTROL!$C$32, $C$9, 100%, $E$9)</f>
        <v>17.320599999999999</v>
      </c>
      <c r="G1034" s="33">
        <f>17.3243 * CHOOSE(CONTROL!$C$32, $C$9, 100%, $E$9)</f>
        <v>17.324300000000001</v>
      </c>
      <c r="H1034" s="33">
        <f>35.9827 * CHOOSE(CONTROL!$C$32, $C$9, 100%, $E$9)</f>
        <v>35.982700000000001</v>
      </c>
      <c r="I1034" s="33">
        <f>35.9864 * CHOOSE(CONTROL!$C$32, $C$9, 100%, $E$9)</f>
        <v>35.986400000000003</v>
      </c>
      <c r="J1034" s="33">
        <f>35.9827 * CHOOSE(CONTROL!$C$32, $C$9, 100%, $E$9)</f>
        <v>35.982700000000001</v>
      </c>
      <c r="K1034" s="33">
        <f>35.9864 * CHOOSE(CONTROL!$C$32, $C$9, 100%, $E$9)</f>
        <v>35.986400000000003</v>
      </c>
      <c r="L1034" s="33">
        <f>17.3206 * CHOOSE(CONTROL!$C$32, $C$9, 100%, $E$9)</f>
        <v>17.320599999999999</v>
      </c>
      <c r="M1034" s="33">
        <f>17.3243 * CHOOSE(CONTROL!$C$32, $C$9, 100%, $E$9)</f>
        <v>17.324300000000001</v>
      </c>
      <c r="N1034" s="33">
        <f>17.3206 * CHOOSE(CONTROL!$C$32, $C$9, 100%, $E$9)</f>
        <v>17.320599999999999</v>
      </c>
      <c r="O1034" s="33">
        <f>17.3243 * CHOOSE(CONTROL!$C$32, $C$9, 100%, $E$9)</f>
        <v>17.324300000000001</v>
      </c>
    </row>
    <row r="1035" spans="1:15" ht="15" x14ac:dyDescent="0.2">
      <c r="A1035" s="16">
        <v>72352</v>
      </c>
      <c r="B1035" s="32">
        <f>15.3741 * CHOOSE(CONTROL!$C$32, $C$9, 100%, $E$9)</f>
        <v>15.3741</v>
      </c>
      <c r="C1035" s="32">
        <f>15.3741 * CHOOSE(CONTROL!$C$32, $C$9, 100%, $E$9)</f>
        <v>15.3741</v>
      </c>
      <c r="D1035" s="32">
        <f>15.3751 * CHOOSE(CONTROL!$C$32, $C$9, 100%, $E$9)</f>
        <v>15.3751</v>
      </c>
      <c r="E1035" s="33">
        <f>16.8312 * CHOOSE(CONTROL!$C$32, $C$9, 100%, $E$9)</f>
        <v>16.831199999999999</v>
      </c>
      <c r="F1035" s="33">
        <f>16.8312 * CHOOSE(CONTROL!$C$32, $C$9, 100%, $E$9)</f>
        <v>16.831199999999999</v>
      </c>
      <c r="G1035" s="33">
        <f>16.8348 * CHOOSE(CONTROL!$C$32, $C$9, 100%, $E$9)</f>
        <v>16.834800000000001</v>
      </c>
      <c r="H1035" s="33">
        <f>36.0577 * CHOOSE(CONTROL!$C$32, $C$9, 100%, $E$9)</f>
        <v>36.057699999999997</v>
      </c>
      <c r="I1035" s="33">
        <f>36.0613 * CHOOSE(CONTROL!$C$32, $C$9, 100%, $E$9)</f>
        <v>36.061300000000003</v>
      </c>
      <c r="J1035" s="33">
        <f>36.0577 * CHOOSE(CONTROL!$C$32, $C$9, 100%, $E$9)</f>
        <v>36.057699999999997</v>
      </c>
      <c r="K1035" s="33">
        <f>36.0613 * CHOOSE(CONTROL!$C$32, $C$9, 100%, $E$9)</f>
        <v>36.061300000000003</v>
      </c>
      <c r="L1035" s="33">
        <f>16.8312 * CHOOSE(CONTROL!$C$32, $C$9, 100%, $E$9)</f>
        <v>16.831199999999999</v>
      </c>
      <c r="M1035" s="33">
        <f>16.8348 * CHOOSE(CONTROL!$C$32, $C$9, 100%, $E$9)</f>
        <v>16.834800000000001</v>
      </c>
      <c r="N1035" s="33">
        <f>16.8312 * CHOOSE(CONTROL!$C$32, $C$9, 100%, $E$9)</f>
        <v>16.831199999999999</v>
      </c>
      <c r="O1035" s="33">
        <f>16.8348 * CHOOSE(CONTROL!$C$32, $C$9, 100%, $E$9)</f>
        <v>16.834800000000001</v>
      </c>
    </row>
    <row r="1036" spans="1:15" ht="15" x14ac:dyDescent="0.2">
      <c r="A1036" s="16">
        <v>72380</v>
      </c>
      <c r="B1036" s="32">
        <f>15.371 * CHOOSE(CONTROL!$C$32, $C$9, 100%, $E$9)</f>
        <v>15.371</v>
      </c>
      <c r="C1036" s="32">
        <f>15.371 * CHOOSE(CONTROL!$C$32, $C$9, 100%, $E$9)</f>
        <v>15.371</v>
      </c>
      <c r="D1036" s="32">
        <f>15.3721 * CHOOSE(CONTROL!$C$32, $C$9, 100%, $E$9)</f>
        <v>15.3721</v>
      </c>
      <c r="E1036" s="33">
        <f>17.2133 * CHOOSE(CONTROL!$C$32, $C$9, 100%, $E$9)</f>
        <v>17.2133</v>
      </c>
      <c r="F1036" s="33">
        <f>17.2133 * CHOOSE(CONTROL!$C$32, $C$9, 100%, $E$9)</f>
        <v>17.2133</v>
      </c>
      <c r="G1036" s="33">
        <f>17.2169 * CHOOSE(CONTROL!$C$32, $C$9, 100%, $E$9)</f>
        <v>17.216899999999999</v>
      </c>
      <c r="H1036" s="33">
        <f>36.1328 * CHOOSE(CONTROL!$C$32, $C$9, 100%, $E$9)</f>
        <v>36.132800000000003</v>
      </c>
      <c r="I1036" s="33">
        <f>36.1364 * CHOOSE(CONTROL!$C$32, $C$9, 100%, $E$9)</f>
        <v>36.136400000000002</v>
      </c>
      <c r="J1036" s="33">
        <f>36.1328 * CHOOSE(CONTROL!$C$32, $C$9, 100%, $E$9)</f>
        <v>36.132800000000003</v>
      </c>
      <c r="K1036" s="33">
        <f>36.1364 * CHOOSE(CONTROL!$C$32, $C$9, 100%, $E$9)</f>
        <v>36.136400000000002</v>
      </c>
      <c r="L1036" s="33">
        <f>17.2133 * CHOOSE(CONTROL!$C$32, $C$9, 100%, $E$9)</f>
        <v>17.2133</v>
      </c>
      <c r="M1036" s="33">
        <f>17.2169 * CHOOSE(CONTROL!$C$32, $C$9, 100%, $E$9)</f>
        <v>17.216899999999999</v>
      </c>
      <c r="N1036" s="33">
        <f>17.2133 * CHOOSE(CONTROL!$C$32, $C$9, 100%, $E$9)</f>
        <v>17.2133</v>
      </c>
      <c r="O1036" s="33">
        <f>17.2169 * CHOOSE(CONTROL!$C$32, $C$9, 100%, $E$9)</f>
        <v>17.216899999999999</v>
      </c>
    </row>
    <row r="1037" spans="1:15" ht="15" x14ac:dyDescent="0.2">
      <c r="A1037" s="16">
        <v>72411</v>
      </c>
      <c r="B1037" s="32">
        <f>15.3797 * CHOOSE(CONTROL!$C$32, $C$9, 100%, $E$9)</f>
        <v>15.3797</v>
      </c>
      <c r="C1037" s="32">
        <f>15.3797 * CHOOSE(CONTROL!$C$32, $C$9, 100%, $E$9)</f>
        <v>15.3797</v>
      </c>
      <c r="D1037" s="32">
        <f>15.3808 * CHOOSE(CONTROL!$C$32, $C$9, 100%, $E$9)</f>
        <v>15.380800000000001</v>
      </c>
      <c r="E1037" s="33">
        <f>17.6216 * CHOOSE(CONTROL!$C$32, $C$9, 100%, $E$9)</f>
        <v>17.621600000000001</v>
      </c>
      <c r="F1037" s="33">
        <f>17.6216 * CHOOSE(CONTROL!$C$32, $C$9, 100%, $E$9)</f>
        <v>17.621600000000001</v>
      </c>
      <c r="G1037" s="33">
        <f>17.6252 * CHOOSE(CONTROL!$C$32, $C$9, 100%, $E$9)</f>
        <v>17.6252</v>
      </c>
      <c r="H1037" s="33">
        <f>36.2081 * CHOOSE(CONTROL!$C$32, $C$9, 100%, $E$9)</f>
        <v>36.208100000000002</v>
      </c>
      <c r="I1037" s="33">
        <f>36.2117 * CHOOSE(CONTROL!$C$32, $C$9, 100%, $E$9)</f>
        <v>36.2117</v>
      </c>
      <c r="J1037" s="33">
        <f>36.2081 * CHOOSE(CONTROL!$C$32, $C$9, 100%, $E$9)</f>
        <v>36.208100000000002</v>
      </c>
      <c r="K1037" s="33">
        <f>36.2117 * CHOOSE(CONTROL!$C$32, $C$9, 100%, $E$9)</f>
        <v>36.2117</v>
      </c>
      <c r="L1037" s="33">
        <f>17.6216 * CHOOSE(CONTROL!$C$32, $C$9, 100%, $E$9)</f>
        <v>17.621600000000001</v>
      </c>
      <c r="M1037" s="33">
        <f>17.6252 * CHOOSE(CONTROL!$C$32, $C$9, 100%, $E$9)</f>
        <v>17.6252</v>
      </c>
      <c r="N1037" s="33">
        <f>17.6216 * CHOOSE(CONTROL!$C$32, $C$9, 100%, $E$9)</f>
        <v>17.621600000000001</v>
      </c>
      <c r="O1037" s="33">
        <f>17.6252 * CHOOSE(CONTROL!$C$32, $C$9, 100%, $E$9)</f>
        <v>17.6252</v>
      </c>
    </row>
    <row r="1038" spans="1:15" ht="15" x14ac:dyDescent="0.2">
      <c r="A1038" s="16">
        <v>72441</v>
      </c>
      <c r="B1038" s="32">
        <f>15.3797 * CHOOSE(CONTROL!$C$32, $C$9, 100%, $E$9)</f>
        <v>15.3797</v>
      </c>
      <c r="C1038" s="32">
        <f>15.3797 * CHOOSE(CONTROL!$C$32, $C$9, 100%, $E$9)</f>
        <v>15.3797</v>
      </c>
      <c r="D1038" s="32">
        <f>15.3813 * CHOOSE(CONTROL!$C$32, $C$9, 100%, $E$9)</f>
        <v>15.3813</v>
      </c>
      <c r="E1038" s="33">
        <f>17.7763 * CHOOSE(CONTROL!$C$32, $C$9, 100%, $E$9)</f>
        <v>17.776299999999999</v>
      </c>
      <c r="F1038" s="33">
        <f>17.7763 * CHOOSE(CONTROL!$C$32, $C$9, 100%, $E$9)</f>
        <v>17.776299999999999</v>
      </c>
      <c r="G1038" s="33">
        <f>17.7816 * CHOOSE(CONTROL!$C$32, $C$9, 100%, $E$9)</f>
        <v>17.781600000000001</v>
      </c>
      <c r="H1038" s="33">
        <f>36.2835 * CHOOSE(CONTROL!$C$32, $C$9, 100%, $E$9)</f>
        <v>36.283499999999997</v>
      </c>
      <c r="I1038" s="33">
        <f>36.2888 * CHOOSE(CONTROL!$C$32, $C$9, 100%, $E$9)</f>
        <v>36.288800000000002</v>
      </c>
      <c r="J1038" s="33">
        <f>36.2835 * CHOOSE(CONTROL!$C$32, $C$9, 100%, $E$9)</f>
        <v>36.283499999999997</v>
      </c>
      <c r="K1038" s="33">
        <f>36.2888 * CHOOSE(CONTROL!$C$32, $C$9, 100%, $E$9)</f>
        <v>36.288800000000002</v>
      </c>
      <c r="L1038" s="33">
        <f>17.7763 * CHOOSE(CONTROL!$C$32, $C$9, 100%, $E$9)</f>
        <v>17.776299999999999</v>
      </c>
      <c r="M1038" s="33">
        <f>17.7816 * CHOOSE(CONTROL!$C$32, $C$9, 100%, $E$9)</f>
        <v>17.781600000000001</v>
      </c>
      <c r="N1038" s="33">
        <f>17.7763 * CHOOSE(CONTROL!$C$32, $C$9, 100%, $E$9)</f>
        <v>17.776299999999999</v>
      </c>
      <c r="O1038" s="33">
        <f>17.7816 * CHOOSE(CONTROL!$C$32, $C$9, 100%, $E$9)</f>
        <v>17.781600000000001</v>
      </c>
    </row>
    <row r="1039" spans="1:15" ht="15" x14ac:dyDescent="0.2">
      <c r="A1039" s="16">
        <v>72472</v>
      </c>
      <c r="B1039" s="32">
        <f>15.3858 * CHOOSE(CONTROL!$C$32, $C$9, 100%, $E$9)</f>
        <v>15.3858</v>
      </c>
      <c r="C1039" s="32">
        <f>15.3858 * CHOOSE(CONTROL!$C$32, $C$9, 100%, $E$9)</f>
        <v>15.3858</v>
      </c>
      <c r="D1039" s="32">
        <f>15.3874 * CHOOSE(CONTROL!$C$32, $C$9, 100%, $E$9)</f>
        <v>15.3874</v>
      </c>
      <c r="E1039" s="33">
        <f>17.6258 * CHOOSE(CONTROL!$C$32, $C$9, 100%, $E$9)</f>
        <v>17.625800000000002</v>
      </c>
      <c r="F1039" s="33">
        <f>17.6258 * CHOOSE(CONTROL!$C$32, $C$9, 100%, $E$9)</f>
        <v>17.625800000000002</v>
      </c>
      <c r="G1039" s="33">
        <f>17.6311 * CHOOSE(CONTROL!$C$32, $C$9, 100%, $E$9)</f>
        <v>17.6311</v>
      </c>
      <c r="H1039" s="33">
        <f>36.3591 * CHOOSE(CONTROL!$C$32, $C$9, 100%, $E$9)</f>
        <v>36.359099999999998</v>
      </c>
      <c r="I1039" s="33">
        <f>36.3644 * CHOOSE(CONTROL!$C$32, $C$9, 100%, $E$9)</f>
        <v>36.364400000000003</v>
      </c>
      <c r="J1039" s="33">
        <f>36.3591 * CHOOSE(CONTROL!$C$32, $C$9, 100%, $E$9)</f>
        <v>36.359099999999998</v>
      </c>
      <c r="K1039" s="33">
        <f>36.3644 * CHOOSE(CONTROL!$C$32, $C$9, 100%, $E$9)</f>
        <v>36.364400000000003</v>
      </c>
      <c r="L1039" s="33">
        <f>17.6258 * CHOOSE(CONTROL!$C$32, $C$9, 100%, $E$9)</f>
        <v>17.625800000000002</v>
      </c>
      <c r="M1039" s="33">
        <f>17.6311 * CHOOSE(CONTROL!$C$32, $C$9, 100%, $E$9)</f>
        <v>17.6311</v>
      </c>
      <c r="N1039" s="33">
        <f>17.6258 * CHOOSE(CONTROL!$C$32, $C$9, 100%, $E$9)</f>
        <v>17.625800000000002</v>
      </c>
      <c r="O1039" s="33">
        <f>17.6311 * CHOOSE(CONTROL!$C$32, $C$9, 100%, $E$9)</f>
        <v>17.6311</v>
      </c>
    </row>
    <row r="1040" spans="1:15" ht="15" x14ac:dyDescent="0.2">
      <c r="A1040" s="16">
        <v>72502</v>
      </c>
      <c r="B1040" s="32">
        <f>15.5692 * CHOOSE(CONTROL!$C$32, $C$9, 100%, $E$9)</f>
        <v>15.5692</v>
      </c>
      <c r="C1040" s="32">
        <f>15.5692 * CHOOSE(CONTROL!$C$32, $C$9, 100%, $E$9)</f>
        <v>15.5692</v>
      </c>
      <c r="D1040" s="32">
        <f>15.5708 * CHOOSE(CONTROL!$C$32, $C$9, 100%, $E$9)</f>
        <v>15.5708</v>
      </c>
      <c r="E1040" s="33">
        <f>17.8768 * CHOOSE(CONTROL!$C$32, $C$9, 100%, $E$9)</f>
        <v>17.876799999999999</v>
      </c>
      <c r="F1040" s="33">
        <f>17.8768 * CHOOSE(CONTROL!$C$32, $C$9, 100%, $E$9)</f>
        <v>17.876799999999999</v>
      </c>
      <c r="G1040" s="33">
        <f>17.8821 * CHOOSE(CONTROL!$C$32, $C$9, 100%, $E$9)</f>
        <v>17.882100000000001</v>
      </c>
      <c r="H1040" s="33">
        <f>36.4349 * CHOOSE(CONTROL!$C$32, $C$9, 100%, $E$9)</f>
        <v>36.434899999999999</v>
      </c>
      <c r="I1040" s="33">
        <f>36.4402 * CHOOSE(CONTROL!$C$32, $C$9, 100%, $E$9)</f>
        <v>36.440199999999997</v>
      </c>
      <c r="J1040" s="33">
        <f>36.4349 * CHOOSE(CONTROL!$C$32, $C$9, 100%, $E$9)</f>
        <v>36.434899999999999</v>
      </c>
      <c r="K1040" s="33">
        <f>36.4402 * CHOOSE(CONTROL!$C$32, $C$9, 100%, $E$9)</f>
        <v>36.440199999999997</v>
      </c>
      <c r="L1040" s="33">
        <f>17.8768 * CHOOSE(CONTROL!$C$32, $C$9, 100%, $E$9)</f>
        <v>17.876799999999999</v>
      </c>
      <c r="M1040" s="33">
        <f>17.8821 * CHOOSE(CONTROL!$C$32, $C$9, 100%, $E$9)</f>
        <v>17.882100000000001</v>
      </c>
      <c r="N1040" s="33">
        <f>17.8768 * CHOOSE(CONTROL!$C$32, $C$9, 100%, $E$9)</f>
        <v>17.876799999999999</v>
      </c>
      <c r="O1040" s="33">
        <f>17.8821 * CHOOSE(CONTROL!$C$32, $C$9, 100%, $E$9)</f>
        <v>17.882100000000001</v>
      </c>
    </row>
    <row r="1041" spans="1:15" ht="15" x14ac:dyDescent="0.2">
      <c r="A1041" s="16">
        <v>72533</v>
      </c>
      <c r="B1041" s="32">
        <f>15.5759 * CHOOSE(CONTROL!$C$32, $C$9, 100%, $E$9)</f>
        <v>15.575900000000001</v>
      </c>
      <c r="C1041" s="32">
        <f>15.5759 * CHOOSE(CONTROL!$C$32, $C$9, 100%, $E$9)</f>
        <v>15.575900000000001</v>
      </c>
      <c r="D1041" s="32">
        <f>15.5775 * CHOOSE(CONTROL!$C$32, $C$9, 100%, $E$9)</f>
        <v>15.577500000000001</v>
      </c>
      <c r="E1041" s="33">
        <f>17.4173 * CHOOSE(CONTROL!$C$32, $C$9, 100%, $E$9)</f>
        <v>17.417300000000001</v>
      </c>
      <c r="F1041" s="33">
        <f>17.4173 * CHOOSE(CONTROL!$C$32, $C$9, 100%, $E$9)</f>
        <v>17.417300000000001</v>
      </c>
      <c r="G1041" s="33">
        <f>17.4226 * CHOOSE(CONTROL!$C$32, $C$9, 100%, $E$9)</f>
        <v>17.422599999999999</v>
      </c>
      <c r="H1041" s="33">
        <f>36.5108 * CHOOSE(CONTROL!$C$32, $C$9, 100%, $E$9)</f>
        <v>36.510800000000003</v>
      </c>
      <c r="I1041" s="33">
        <f>36.5161 * CHOOSE(CONTROL!$C$32, $C$9, 100%, $E$9)</f>
        <v>36.516100000000002</v>
      </c>
      <c r="J1041" s="33">
        <f>36.5108 * CHOOSE(CONTROL!$C$32, $C$9, 100%, $E$9)</f>
        <v>36.510800000000003</v>
      </c>
      <c r="K1041" s="33">
        <f>36.5161 * CHOOSE(CONTROL!$C$32, $C$9, 100%, $E$9)</f>
        <v>36.516100000000002</v>
      </c>
      <c r="L1041" s="33">
        <f>17.4173 * CHOOSE(CONTROL!$C$32, $C$9, 100%, $E$9)</f>
        <v>17.417300000000001</v>
      </c>
      <c r="M1041" s="33">
        <f>17.4226 * CHOOSE(CONTROL!$C$32, $C$9, 100%, $E$9)</f>
        <v>17.422599999999999</v>
      </c>
      <c r="N1041" s="33">
        <f>17.4173 * CHOOSE(CONTROL!$C$32, $C$9, 100%, $E$9)</f>
        <v>17.417300000000001</v>
      </c>
      <c r="O1041" s="33">
        <f>17.4226 * CHOOSE(CONTROL!$C$32, $C$9, 100%, $E$9)</f>
        <v>17.422599999999999</v>
      </c>
    </row>
    <row r="1042" spans="1:15" ht="15" x14ac:dyDescent="0.2">
      <c r="A1042" s="16">
        <v>72564</v>
      </c>
      <c r="B1042" s="32">
        <f>15.5729 * CHOOSE(CONTROL!$C$32, $C$9, 100%, $E$9)</f>
        <v>15.572900000000001</v>
      </c>
      <c r="C1042" s="32">
        <f>15.5729 * CHOOSE(CONTROL!$C$32, $C$9, 100%, $E$9)</f>
        <v>15.572900000000001</v>
      </c>
      <c r="D1042" s="32">
        <f>15.5745 * CHOOSE(CONTROL!$C$32, $C$9, 100%, $E$9)</f>
        <v>15.5745</v>
      </c>
      <c r="E1042" s="33">
        <f>17.3636 * CHOOSE(CONTROL!$C$32, $C$9, 100%, $E$9)</f>
        <v>17.363600000000002</v>
      </c>
      <c r="F1042" s="33">
        <f>17.3636 * CHOOSE(CONTROL!$C$32, $C$9, 100%, $E$9)</f>
        <v>17.363600000000002</v>
      </c>
      <c r="G1042" s="33">
        <f>17.3689 * CHOOSE(CONTROL!$C$32, $C$9, 100%, $E$9)</f>
        <v>17.3689</v>
      </c>
      <c r="H1042" s="33">
        <f>36.5868 * CHOOSE(CONTROL!$C$32, $C$9, 100%, $E$9)</f>
        <v>36.586799999999997</v>
      </c>
      <c r="I1042" s="33">
        <f>36.5921 * CHOOSE(CONTROL!$C$32, $C$9, 100%, $E$9)</f>
        <v>36.592100000000002</v>
      </c>
      <c r="J1042" s="33">
        <f>36.5868 * CHOOSE(CONTROL!$C$32, $C$9, 100%, $E$9)</f>
        <v>36.586799999999997</v>
      </c>
      <c r="K1042" s="33">
        <f>36.5921 * CHOOSE(CONTROL!$C$32, $C$9, 100%, $E$9)</f>
        <v>36.592100000000002</v>
      </c>
      <c r="L1042" s="33">
        <f>17.3636 * CHOOSE(CONTROL!$C$32, $C$9, 100%, $E$9)</f>
        <v>17.363600000000002</v>
      </c>
      <c r="M1042" s="33">
        <f>17.3689 * CHOOSE(CONTROL!$C$32, $C$9, 100%, $E$9)</f>
        <v>17.3689</v>
      </c>
      <c r="N1042" s="33">
        <f>17.3636 * CHOOSE(CONTROL!$C$32, $C$9, 100%, $E$9)</f>
        <v>17.363600000000002</v>
      </c>
      <c r="O1042" s="33">
        <f>17.3689 * CHOOSE(CONTROL!$C$32, $C$9, 100%, $E$9)</f>
        <v>17.3689</v>
      </c>
    </row>
    <row r="1043" spans="1:15" ht="15" x14ac:dyDescent="0.2">
      <c r="A1043" s="16">
        <v>72594</v>
      </c>
      <c r="B1043" s="32">
        <f>15.6112 * CHOOSE(CONTROL!$C$32, $C$9, 100%, $E$9)</f>
        <v>15.6112</v>
      </c>
      <c r="C1043" s="32">
        <f>15.6112 * CHOOSE(CONTROL!$C$32, $C$9, 100%, $E$9)</f>
        <v>15.6112</v>
      </c>
      <c r="D1043" s="32">
        <f>15.6123 * CHOOSE(CONTROL!$C$32, $C$9, 100%, $E$9)</f>
        <v>15.612299999999999</v>
      </c>
      <c r="E1043" s="33">
        <f>17.5565 * CHOOSE(CONTROL!$C$32, $C$9, 100%, $E$9)</f>
        <v>17.5565</v>
      </c>
      <c r="F1043" s="33">
        <f>17.5565 * CHOOSE(CONTROL!$C$32, $C$9, 100%, $E$9)</f>
        <v>17.5565</v>
      </c>
      <c r="G1043" s="33">
        <f>17.5601 * CHOOSE(CONTROL!$C$32, $C$9, 100%, $E$9)</f>
        <v>17.560099999999998</v>
      </c>
      <c r="H1043" s="33">
        <f>36.6631 * CHOOSE(CONTROL!$C$32, $C$9, 100%, $E$9)</f>
        <v>36.6631</v>
      </c>
      <c r="I1043" s="33">
        <f>36.6667 * CHOOSE(CONTROL!$C$32, $C$9, 100%, $E$9)</f>
        <v>36.666699999999999</v>
      </c>
      <c r="J1043" s="33">
        <f>36.6631 * CHOOSE(CONTROL!$C$32, $C$9, 100%, $E$9)</f>
        <v>36.6631</v>
      </c>
      <c r="K1043" s="33">
        <f>36.6667 * CHOOSE(CONTROL!$C$32, $C$9, 100%, $E$9)</f>
        <v>36.666699999999999</v>
      </c>
      <c r="L1043" s="33">
        <f>17.5565 * CHOOSE(CONTROL!$C$32, $C$9, 100%, $E$9)</f>
        <v>17.5565</v>
      </c>
      <c r="M1043" s="33">
        <f>17.5601 * CHOOSE(CONTROL!$C$32, $C$9, 100%, $E$9)</f>
        <v>17.560099999999998</v>
      </c>
      <c r="N1043" s="33">
        <f>17.5565 * CHOOSE(CONTROL!$C$32, $C$9, 100%, $E$9)</f>
        <v>17.5565</v>
      </c>
      <c r="O1043" s="33">
        <f>17.5601 * CHOOSE(CONTROL!$C$32, $C$9, 100%, $E$9)</f>
        <v>17.560099999999998</v>
      </c>
    </row>
    <row r="1044" spans="1:15" ht="15" x14ac:dyDescent="0.2">
      <c r="A1044" s="16">
        <v>72625</v>
      </c>
      <c r="B1044" s="32">
        <f>15.6143 * CHOOSE(CONTROL!$C$32, $C$9, 100%, $E$9)</f>
        <v>15.6143</v>
      </c>
      <c r="C1044" s="32">
        <f>15.6143 * CHOOSE(CONTROL!$C$32, $C$9, 100%, $E$9)</f>
        <v>15.6143</v>
      </c>
      <c r="D1044" s="32">
        <f>15.6154 * CHOOSE(CONTROL!$C$32, $C$9, 100%, $E$9)</f>
        <v>15.615399999999999</v>
      </c>
      <c r="E1044" s="33">
        <f>17.6617 * CHOOSE(CONTROL!$C$32, $C$9, 100%, $E$9)</f>
        <v>17.6617</v>
      </c>
      <c r="F1044" s="33">
        <f>17.6617 * CHOOSE(CONTROL!$C$32, $C$9, 100%, $E$9)</f>
        <v>17.6617</v>
      </c>
      <c r="G1044" s="33">
        <f>17.6653 * CHOOSE(CONTROL!$C$32, $C$9, 100%, $E$9)</f>
        <v>17.665299999999998</v>
      </c>
      <c r="H1044" s="33">
        <f>36.7394 * CHOOSE(CONTROL!$C$32, $C$9, 100%, $E$9)</f>
        <v>36.739400000000003</v>
      </c>
      <c r="I1044" s="33">
        <f>36.7431 * CHOOSE(CONTROL!$C$32, $C$9, 100%, $E$9)</f>
        <v>36.743099999999998</v>
      </c>
      <c r="J1044" s="33">
        <f>36.7394 * CHOOSE(CONTROL!$C$32, $C$9, 100%, $E$9)</f>
        <v>36.739400000000003</v>
      </c>
      <c r="K1044" s="33">
        <f>36.7431 * CHOOSE(CONTROL!$C$32, $C$9, 100%, $E$9)</f>
        <v>36.743099999999998</v>
      </c>
      <c r="L1044" s="33">
        <f>17.6617 * CHOOSE(CONTROL!$C$32, $C$9, 100%, $E$9)</f>
        <v>17.6617</v>
      </c>
      <c r="M1044" s="33">
        <f>17.6653 * CHOOSE(CONTROL!$C$32, $C$9, 100%, $E$9)</f>
        <v>17.665299999999998</v>
      </c>
      <c r="N1044" s="33">
        <f>17.6617 * CHOOSE(CONTROL!$C$32, $C$9, 100%, $E$9)</f>
        <v>17.6617</v>
      </c>
      <c r="O1044" s="33">
        <f>17.6653 * CHOOSE(CONTROL!$C$32, $C$9, 100%, $E$9)</f>
        <v>17.665299999999998</v>
      </c>
    </row>
    <row r="1045" spans="1:15" ht="15" x14ac:dyDescent="0.2">
      <c r="A1045" s="16">
        <v>72655</v>
      </c>
      <c r="B1045" s="32">
        <f>15.6143 * CHOOSE(CONTROL!$C$32, $C$9, 100%, $E$9)</f>
        <v>15.6143</v>
      </c>
      <c r="C1045" s="32">
        <f>15.6143 * CHOOSE(CONTROL!$C$32, $C$9, 100%, $E$9)</f>
        <v>15.6143</v>
      </c>
      <c r="D1045" s="32">
        <f>15.6154 * CHOOSE(CONTROL!$C$32, $C$9, 100%, $E$9)</f>
        <v>15.615399999999999</v>
      </c>
      <c r="E1045" s="33">
        <f>17.4039 * CHOOSE(CONTROL!$C$32, $C$9, 100%, $E$9)</f>
        <v>17.4039</v>
      </c>
      <c r="F1045" s="33">
        <f>17.4039 * CHOOSE(CONTROL!$C$32, $C$9, 100%, $E$9)</f>
        <v>17.4039</v>
      </c>
      <c r="G1045" s="33">
        <f>17.4075 * CHOOSE(CONTROL!$C$32, $C$9, 100%, $E$9)</f>
        <v>17.407499999999999</v>
      </c>
      <c r="H1045" s="33">
        <f>36.816 * CHOOSE(CONTROL!$C$32, $C$9, 100%, $E$9)</f>
        <v>36.816000000000003</v>
      </c>
      <c r="I1045" s="33">
        <f>36.8196 * CHOOSE(CONTROL!$C$32, $C$9, 100%, $E$9)</f>
        <v>36.819600000000001</v>
      </c>
      <c r="J1045" s="33">
        <f>36.816 * CHOOSE(CONTROL!$C$32, $C$9, 100%, $E$9)</f>
        <v>36.816000000000003</v>
      </c>
      <c r="K1045" s="33">
        <f>36.8196 * CHOOSE(CONTROL!$C$32, $C$9, 100%, $E$9)</f>
        <v>36.819600000000001</v>
      </c>
      <c r="L1045" s="33">
        <f>17.4039 * CHOOSE(CONTROL!$C$32, $C$9, 100%, $E$9)</f>
        <v>17.4039</v>
      </c>
      <c r="M1045" s="33">
        <f>17.4075 * CHOOSE(CONTROL!$C$32, $C$9, 100%, $E$9)</f>
        <v>17.407499999999999</v>
      </c>
      <c r="N1045" s="33">
        <f>17.4039 * CHOOSE(CONTROL!$C$32, $C$9, 100%, $E$9)</f>
        <v>17.4039</v>
      </c>
      <c r="O1045" s="33">
        <f>17.4075 * CHOOSE(CONTROL!$C$32, $C$9, 100%, $E$9)</f>
        <v>17.407499999999999</v>
      </c>
    </row>
    <row r="1046" spans="1:15" ht="15" x14ac:dyDescent="0.2">
      <c r="A1046" s="16">
        <v>72686</v>
      </c>
      <c r="B1046" s="32">
        <f>15.5645 * CHOOSE(CONTROL!$C$32, $C$9, 100%, $E$9)</f>
        <v>15.564500000000001</v>
      </c>
      <c r="C1046" s="32">
        <f>15.5645 * CHOOSE(CONTROL!$C$32, $C$9, 100%, $E$9)</f>
        <v>15.564500000000001</v>
      </c>
      <c r="D1046" s="32">
        <f>15.5655 * CHOOSE(CONTROL!$C$32, $C$9, 100%, $E$9)</f>
        <v>15.5655</v>
      </c>
      <c r="E1046" s="33">
        <f>17.5331 * CHOOSE(CONTROL!$C$32, $C$9, 100%, $E$9)</f>
        <v>17.533100000000001</v>
      </c>
      <c r="F1046" s="33">
        <f>17.5331 * CHOOSE(CONTROL!$C$32, $C$9, 100%, $E$9)</f>
        <v>17.533100000000001</v>
      </c>
      <c r="G1046" s="33">
        <f>17.5368 * CHOOSE(CONTROL!$C$32, $C$9, 100%, $E$9)</f>
        <v>17.536799999999999</v>
      </c>
      <c r="H1046" s="33">
        <f>36.4468 * CHOOSE(CONTROL!$C$32, $C$9, 100%, $E$9)</f>
        <v>36.446800000000003</v>
      </c>
      <c r="I1046" s="33">
        <f>36.4504 * CHOOSE(CONTROL!$C$32, $C$9, 100%, $E$9)</f>
        <v>36.450400000000002</v>
      </c>
      <c r="J1046" s="33">
        <f>36.4468 * CHOOSE(CONTROL!$C$32, $C$9, 100%, $E$9)</f>
        <v>36.446800000000003</v>
      </c>
      <c r="K1046" s="33">
        <f>36.4504 * CHOOSE(CONTROL!$C$32, $C$9, 100%, $E$9)</f>
        <v>36.450400000000002</v>
      </c>
      <c r="L1046" s="33">
        <f>17.5331 * CHOOSE(CONTROL!$C$32, $C$9, 100%, $E$9)</f>
        <v>17.533100000000001</v>
      </c>
      <c r="M1046" s="33">
        <f>17.5368 * CHOOSE(CONTROL!$C$32, $C$9, 100%, $E$9)</f>
        <v>17.536799999999999</v>
      </c>
      <c r="N1046" s="33">
        <f>17.5331 * CHOOSE(CONTROL!$C$32, $C$9, 100%, $E$9)</f>
        <v>17.533100000000001</v>
      </c>
      <c r="O1046" s="33">
        <f>17.5368 * CHOOSE(CONTROL!$C$32, $C$9, 100%, $E$9)</f>
        <v>17.536799999999999</v>
      </c>
    </row>
    <row r="1047" spans="1:15" ht="15" x14ac:dyDescent="0.2">
      <c r="A1047" s="16">
        <v>72717</v>
      </c>
      <c r="B1047" s="32">
        <f>15.5614 * CHOOSE(CONTROL!$C$32, $C$9, 100%, $E$9)</f>
        <v>15.561400000000001</v>
      </c>
      <c r="C1047" s="32">
        <f>15.5614 * CHOOSE(CONTROL!$C$32, $C$9, 100%, $E$9)</f>
        <v>15.561400000000001</v>
      </c>
      <c r="D1047" s="32">
        <f>15.5625 * CHOOSE(CONTROL!$C$32, $C$9, 100%, $E$9)</f>
        <v>15.5625</v>
      </c>
      <c r="E1047" s="33">
        <f>17.0366 * CHOOSE(CONTROL!$C$32, $C$9, 100%, $E$9)</f>
        <v>17.0366</v>
      </c>
      <c r="F1047" s="33">
        <f>17.0366 * CHOOSE(CONTROL!$C$32, $C$9, 100%, $E$9)</f>
        <v>17.0366</v>
      </c>
      <c r="G1047" s="33">
        <f>17.0402 * CHOOSE(CONTROL!$C$32, $C$9, 100%, $E$9)</f>
        <v>17.040199999999999</v>
      </c>
      <c r="H1047" s="33">
        <f>36.5227 * CHOOSE(CONTROL!$C$32, $C$9, 100%, $E$9)</f>
        <v>36.5227</v>
      </c>
      <c r="I1047" s="33">
        <f>36.5263 * CHOOSE(CONTROL!$C$32, $C$9, 100%, $E$9)</f>
        <v>36.526299999999999</v>
      </c>
      <c r="J1047" s="33">
        <f>36.5227 * CHOOSE(CONTROL!$C$32, $C$9, 100%, $E$9)</f>
        <v>36.5227</v>
      </c>
      <c r="K1047" s="33">
        <f>36.5263 * CHOOSE(CONTROL!$C$32, $C$9, 100%, $E$9)</f>
        <v>36.526299999999999</v>
      </c>
      <c r="L1047" s="33">
        <f>17.0366 * CHOOSE(CONTROL!$C$32, $C$9, 100%, $E$9)</f>
        <v>17.0366</v>
      </c>
      <c r="M1047" s="33">
        <f>17.0402 * CHOOSE(CONTROL!$C$32, $C$9, 100%, $E$9)</f>
        <v>17.040199999999999</v>
      </c>
      <c r="N1047" s="33">
        <f>17.0366 * CHOOSE(CONTROL!$C$32, $C$9, 100%, $E$9)</f>
        <v>17.0366</v>
      </c>
      <c r="O1047" s="33">
        <f>17.0402 * CHOOSE(CONTROL!$C$32, $C$9, 100%, $E$9)</f>
        <v>17.040199999999999</v>
      </c>
    </row>
    <row r="1048" spans="1:15" ht="15" x14ac:dyDescent="0.2">
      <c r="A1048" s="16">
        <v>72745</v>
      </c>
      <c r="B1048" s="32">
        <f>15.5584 * CHOOSE(CONTROL!$C$32, $C$9, 100%, $E$9)</f>
        <v>15.558400000000001</v>
      </c>
      <c r="C1048" s="32">
        <f>15.5584 * CHOOSE(CONTROL!$C$32, $C$9, 100%, $E$9)</f>
        <v>15.558400000000001</v>
      </c>
      <c r="D1048" s="32">
        <f>15.5595 * CHOOSE(CONTROL!$C$32, $C$9, 100%, $E$9)</f>
        <v>15.5595</v>
      </c>
      <c r="E1048" s="33">
        <f>17.4243 * CHOOSE(CONTROL!$C$32, $C$9, 100%, $E$9)</f>
        <v>17.424299999999999</v>
      </c>
      <c r="F1048" s="33">
        <f>17.4243 * CHOOSE(CONTROL!$C$32, $C$9, 100%, $E$9)</f>
        <v>17.424299999999999</v>
      </c>
      <c r="G1048" s="33">
        <f>17.4279 * CHOOSE(CONTROL!$C$32, $C$9, 100%, $E$9)</f>
        <v>17.427900000000001</v>
      </c>
      <c r="H1048" s="33">
        <f>36.5988 * CHOOSE(CONTROL!$C$32, $C$9, 100%, $E$9)</f>
        <v>36.598799999999997</v>
      </c>
      <c r="I1048" s="33">
        <f>36.6024 * CHOOSE(CONTROL!$C$32, $C$9, 100%, $E$9)</f>
        <v>36.602400000000003</v>
      </c>
      <c r="J1048" s="33">
        <f>36.5988 * CHOOSE(CONTROL!$C$32, $C$9, 100%, $E$9)</f>
        <v>36.598799999999997</v>
      </c>
      <c r="K1048" s="33">
        <f>36.6024 * CHOOSE(CONTROL!$C$32, $C$9, 100%, $E$9)</f>
        <v>36.602400000000003</v>
      </c>
      <c r="L1048" s="33">
        <f>17.4243 * CHOOSE(CONTROL!$C$32, $C$9, 100%, $E$9)</f>
        <v>17.424299999999999</v>
      </c>
      <c r="M1048" s="33">
        <f>17.4279 * CHOOSE(CONTROL!$C$32, $C$9, 100%, $E$9)</f>
        <v>17.427900000000001</v>
      </c>
      <c r="N1048" s="33">
        <f>17.4243 * CHOOSE(CONTROL!$C$32, $C$9, 100%, $E$9)</f>
        <v>17.424299999999999</v>
      </c>
      <c r="O1048" s="33">
        <f>17.4279 * CHOOSE(CONTROL!$C$32, $C$9, 100%, $E$9)</f>
        <v>17.427900000000001</v>
      </c>
    </row>
    <row r="1049" spans="1:15" ht="15" x14ac:dyDescent="0.2">
      <c r="A1049" s="16">
        <v>72776</v>
      </c>
      <c r="B1049" s="32">
        <f>15.5673 * CHOOSE(CONTROL!$C$32, $C$9, 100%, $E$9)</f>
        <v>15.567299999999999</v>
      </c>
      <c r="C1049" s="32">
        <f>15.5673 * CHOOSE(CONTROL!$C$32, $C$9, 100%, $E$9)</f>
        <v>15.567299999999999</v>
      </c>
      <c r="D1049" s="32">
        <f>15.5683 * CHOOSE(CONTROL!$C$32, $C$9, 100%, $E$9)</f>
        <v>15.568300000000001</v>
      </c>
      <c r="E1049" s="33">
        <f>17.8386 * CHOOSE(CONTROL!$C$32, $C$9, 100%, $E$9)</f>
        <v>17.8386</v>
      </c>
      <c r="F1049" s="33">
        <f>17.8386 * CHOOSE(CONTROL!$C$32, $C$9, 100%, $E$9)</f>
        <v>17.8386</v>
      </c>
      <c r="G1049" s="33">
        <f>17.8422 * CHOOSE(CONTROL!$C$32, $C$9, 100%, $E$9)</f>
        <v>17.842199999999998</v>
      </c>
      <c r="H1049" s="33">
        <f>36.675 * CHOOSE(CONTROL!$C$32, $C$9, 100%, $E$9)</f>
        <v>36.674999999999997</v>
      </c>
      <c r="I1049" s="33">
        <f>36.6787 * CHOOSE(CONTROL!$C$32, $C$9, 100%, $E$9)</f>
        <v>36.678699999999999</v>
      </c>
      <c r="J1049" s="33">
        <f>36.675 * CHOOSE(CONTROL!$C$32, $C$9, 100%, $E$9)</f>
        <v>36.674999999999997</v>
      </c>
      <c r="K1049" s="33">
        <f>36.6787 * CHOOSE(CONTROL!$C$32, $C$9, 100%, $E$9)</f>
        <v>36.678699999999999</v>
      </c>
      <c r="L1049" s="33">
        <f>17.8386 * CHOOSE(CONTROL!$C$32, $C$9, 100%, $E$9)</f>
        <v>17.8386</v>
      </c>
      <c r="M1049" s="33">
        <f>17.8422 * CHOOSE(CONTROL!$C$32, $C$9, 100%, $E$9)</f>
        <v>17.842199999999998</v>
      </c>
      <c r="N1049" s="33">
        <f>17.8386 * CHOOSE(CONTROL!$C$32, $C$9, 100%, $E$9)</f>
        <v>17.8386</v>
      </c>
      <c r="O1049" s="33">
        <f>17.8422 * CHOOSE(CONTROL!$C$32, $C$9, 100%, $E$9)</f>
        <v>17.842199999999998</v>
      </c>
    </row>
    <row r="1050" spans="1:15" ht="15" x14ac:dyDescent="0.2">
      <c r="A1050" s="16">
        <v>72806</v>
      </c>
      <c r="B1050" s="32">
        <f>15.5673 * CHOOSE(CONTROL!$C$32, $C$9, 100%, $E$9)</f>
        <v>15.567299999999999</v>
      </c>
      <c r="C1050" s="32">
        <f>15.5673 * CHOOSE(CONTROL!$C$32, $C$9, 100%, $E$9)</f>
        <v>15.567299999999999</v>
      </c>
      <c r="D1050" s="32">
        <f>15.5688 * CHOOSE(CONTROL!$C$32, $C$9, 100%, $E$9)</f>
        <v>15.5688</v>
      </c>
      <c r="E1050" s="33">
        <f>17.9956 * CHOOSE(CONTROL!$C$32, $C$9, 100%, $E$9)</f>
        <v>17.9956</v>
      </c>
      <c r="F1050" s="33">
        <f>17.9956 * CHOOSE(CONTROL!$C$32, $C$9, 100%, $E$9)</f>
        <v>17.9956</v>
      </c>
      <c r="G1050" s="33">
        <f>18.0009 * CHOOSE(CONTROL!$C$32, $C$9, 100%, $E$9)</f>
        <v>18.000900000000001</v>
      </c>
      <c r="H1050" s="33">
        <f>36.7514 * CHOOSE(CONTROL!$C$32, $C$9, 100%, $E$9)</f>
        <v>36.751399999999997</v>
      </c>
      <c r="I1050" s="33">
        <f>36.7567 * CHOOSE(CONTROL!$C$32, $C$9, 100%, $E$9)</f>
        <v>36.756700000000002</v>
      </c>
      <c r="J1050" s="33">
        <f>36.7514 * CHOOSE(CONTROL!$C$32, $C$9, 100%, $E$9)</f>
        <v>36.751399999999997</v>
      </c>
      <c r="K1050" s="33">
        <f>36.7567 * CHOOSE(CONTROL!$C$32, $C$9, 100%, $E$9)</f>
        <v>36.756700000000002</v>
      </c>
      <c r="L1050" s="33">
        <f>17.9956 * CHOOSE(CONTROL!$C$32, $C$9, 100%, $E$9)</f>
        <v>17.9956</v>
      </c>
      <c r="M1050" s="33">
        <f>18.0009 * CHOOSE(CONTROL!$C$32, $C$9, 100%, $E$9)</f>
        <v>18.000900000000001</v>
      </c>
      <c r="N1050" s="33">
        <f>17.9956 * CHOOSE(CONTROL!$C$32, $C$9, 100%, $E$9)</f>
        <v>17.9956</v>
      </c>
      <c r="O1050" s="33">
        <f>18.0009 * CHOOSE(CONTROL!$C$32, $C$9, 100%, $E$9)</f>
        <v>18.000900000000001</v>
      </c>
    </row>
    <row r="1051" spans="1:15" ht="15" x14ac:dyDescent="0.2">
      <c r="A1051" s="16">
        <v>72837</v>
      </c>
      <c r="B1051" s="32">
        <f>15.5733 * CHOOSE(CONTROL!$C$32, $C$9, 100%, $E$9)</f>
        <v>15.5733</v>
      </c>
      <c r="C1051" s="32">
        <f>15.5733 * CHOOSE(CONTROL!$C$32, $C$9, 100%, $E$9)</f>
        <v>15.5733</v>
      </c>
      <c r="D1051" s="32">
        <f>15.5749 * CHOOSE(CONTROL!$C$32, $C$9, 100%, $E$9)</f>
        <v>15.5749</v>
      </c>
      <c r="E1051" s="33">
        <f>17.8428 * CHOOSE(CONTROL!$C$32, $C$9, 100%, $E$9)</f>
        <v>17.8428</v>
      </c>
      <c r="F1051" s="33">
        <f>17.8428 * CHOOSE(CONTROL!$C$32, $C$9, 100%, $E$9)</f>
        <v>17.8428</v>
      </c>
      <c r="G1051" s="33">
        <f>17.8481 * CHOOSE(CONTROL!$C$32, $C$9, 100%, $E$9)</f>
        <v>17.848099999999999</v>
      </c>
      <c r="H1051" s="33">
        <f>36.828 * CHOOSE(CONTROL!$C$32, $C$9, 100%, $E$9)</f>
        <v>36.828000000000003</v>
      </c>
      <c r="I1051" s="33">
        <f>36.8333 * CHOOSE(CONTROL!$C$32, $C$9, 100%, $E$9)</f>
        <v>36.833300000000001</v>
      </c>
      <c r="J1051" s="33">
        <f>36.828 * CHOOSE(CONTROL!$C$32, $C$9, 100%, $E$9)</f>
        <v>36.828000000000003</v>
      </c>
      <c r="K1051" s="33">
        <f>36.8333 * CHOOSE(CONTROL!$C$32, $C$9, 100%, $E$9)</f>
        <v>36.833300000000001</v>
      </c>
      <c r="L1051" s="33">
        <f>17.8428 * CHOOSE(CONTROL!$C$32, $C$9, 100%, $E$9)</f>
        <v>17.8428</v>
      </c>
      <c r="M1051" s="33">
        <f>17.8481 * CHOOSE(CONTROL!$C$32, $C$9, 100%, $E$9)</f>
        <v>17.848099999999999</v>
      </c>
      <c r="N1051" s="33">
        <f>17.8428 * CHOOSE(CONTROL!$C$32, $C$9, 100%, $E$9)</f>
        <v>17.8428</v>
      </c>
      <c r="O1051" s="33">
        <f>17.8481 * CHOOSE(CONTROL!$C$32, $C$9, 100%, $E$9)</f>
        <v>17.848099999999999</v>
      </c>
    </row>
    <row r="1052" spans="1:15" ht="15" x14ac:dyDescent="0.2">
      <c r="A1052" s="16">
        <v>72867</v>
      </c>
      <c r="B1052" s="32">
        <f>15.7588 * CHOOSE(CONTROL!$C$32, $C$9, 100%, $E$9)</f>
        <v>15.758800000000001</v>
      </c>
      <c r="C1052" s="32">
        <f>15.7588 * CHOOSE(CONTROL!$C$32, $C$9, 100%, $E$9)</f>
        <v>15.758800000000001</v>
      </c>
      <c r="D1052" s="32">
        <f>15.7604 * CHOOSE(CONTROL!$C$32, $C$9, 100%, $E$9)</f>
        <v>15.760400000000001</v>
      </c>
      <c r="E1052" s="33">
        <f>18.0969 * CHOOSE(CONTROL!$C$32, $C$9, 100%, $E$9)</f>
        <v>18.096900000000002</v>
      </c>
      <c r="F1052" s="33">
        <f>18.0969 * CHOOSE(CONTROL!$C$32, $C$9, 100%, $E$9)</f>
        <v>18.096900000000002</v>
      </c>
      <c r="G1052" s="33">
        <f>18.1022 * CHOOSE(CONTROL!$C$32, $C$9, 100%, $E$9)</f>
        <v>18.1022</v>
      </c>
      <c r="H1052" s="33">
        <f>36.9047 * CHOOSE(CONTROL!$C$32, $C$9, 100%, $E$9)</f>
        <v>36.904699999999998</v>
      </c>
      <c r="I1052" s="33">
        <f>36.91 * CHOOSE(CONTROL!$C$32, $C$9, 100%, $E$9)</f>
        <v>36.909999999999997</v>
      </c>
      <c r="J1052" s="33">
        <f>36.9047 * CHOOSE(CONTROL!$C$32, $C$9, 100%, $E$9)</f>
        <v>36.904699999999998</v>
      </c>
      <c r="K1052" s="33">
        <f>36.91 * CHOOSE(CONTROL!$C$32, $C$9, 100%, $E$9)</f>
        <v>36.909999999999997</v>
      </c>
      <c r="L1052" s="33">
        <f>18.0969 * CHOOSE(CONTROL!$C$32, $C$9, 100%, $E$9)</f>
        <v>18.096900000000002</v>
      </c>
      <c r="M1052" s="33">
        <f>18.1022 * CHOOSE(CONTROL!$C$32, $C$9, 100%, $E$9)</f>
        <v>18.1022</v>
      </c>
      <c r="N1052" s="33">
        <f>18.0969 * CHOOSE(CONTROL!$C$32, $C$9, 100%, $E$9)</f>
        <v>18.096900000000002</v>
      </c>
      <c r="O1052" s="33">
        <f>18.1022 * CHOOSE(CONTROL!$C$32, $C$9, 100%, $E$9)</f>
        <v>18.1022</v>
      </c>
    </row>
    <row r="1053" spans="1:15" ht="15" x14ac:dyDescent="0.2">
      <c r="A1053" s="16">
        <v>72898</v>
      </c>
      <c r="B1053" s="32">
        <f>15.7655 * CHOOSE(CONTROL!$C$32, $C$9, 100%, $E$9)</f>
        <v>15.765499999999999</v>
      </c>
      <c r="C1053" s="32">
        <f>15.7655 * CHOOSE(CONTROL!$C$32, $C$9, 100%, $E$9)</f>
        <v>15.765499999999999</v>
      </c>
      <c r="D1053" s="32">
        <f>15.7671 * CHOOSE(CONTROL!$C$32, $C$9, 100%, $E$9)</f>
        <v>15.767099999999999</v>
      </c>
      <c r="E1053" s="33">
        <f>17.6307 * CHOOSE(CONTROL!$C$32, $C$9, 100%, $E$9)</f>
        <v>17.630700000000001</v>
      </c>
      <c r="F1053" s="33">
        <f>17.6307 * CHOOSE(CONTROL!$C$32, $C$9, 100%, $E$9)</f>
        <v>17.630700000000001</v>
      </c>
      <c r="G1053" s="33">
        <f>17.636 * CHOOSE(CONTROL!$C$32, $C$9, 100%, $E$9)</f>
        <v>17.635999999999999</v>
      </c>
      <c r="H1053" s="33">
        <f>36.9816 * CHOOSE(CONTROL!$C$32, $C$9, 100%, $E$9)</f>
        <v>36.9816</v>
      </c>
      <c r="I1053" s="33">
        <f>36.9869 * CHOOSE(CONTROL!$C$32, $C$9, 100%, $E$9)</f>
        <v>36.986899999999999</v>
      </c>
      <c r="J1053" s="33">
        <f>36.9816 * CHOOSE(CONTROL!$C$32, $C$9, 100%, $E$9)</f>
        <v>36.9816</v>
      </c>
      <c r="K1053" s="33">
        <f>36.9869 * CHOOSE(CONTROL!$C$32, $C$9, 100%, $E$9)</f>
        <v>36.986899999999999</v>
      </c>
      <c r="L1053" s="33">
        <f>17.6307 * CHOOSE(CONTROL!$C$32, $C$9, 100%, $E$9)</f>
        <v>17.630700000000001</v>
      </c>
      <c r="M1053" s="33">
        <f>17.636 * CHOOSE(CONTROL!$C$32, $C$9, 100%, $E$9)</f>
        <v>17.635999999999999</v>
      </c>
      <c r="N1053" s="33">
        <f>17.6307 * CHOOSE(CONTROL!$C$32, $C$9, 100%, $E$9)</f>
        <v>17.630700000000001</v>
      </c>
      <c r="O1053" s="33">
        <f>17.636 * CHOOSE(CONTROL!$C$32, $C$9, 100%, $E$9)</f>
        <v>17.635999999999999</v>
      </c>
    </row>
    <row r="1054" spans="1:15" ht="15" x14ac:dyDescent="0.2">
      <c r="A1054" s="16">
        <v>72929</v>
      </c>
      <c r="B1054" s="32">
        <f>15.7625 * CHOOSE(CONTROL!$C$32, $C$9, 100%, $E$9)</f>
        <v>15.762499999999999</v>
      </c>
      <c r="C1054" s="32">
        <f>15.7625 * CHOOSE(CONTROL!$C$32, $C$9, 100%, $E$9)</f>
        <v>15.762499999999999</v>
      </c>
      <c r="D1054" s="32">
        <f>15.7641 * CHOOSE(CONTROL!$C$32, $C$9, 100%, $E$9)</f>
        <v>15.764099999999999</v>
      </c>
      <c r="E1054" s="33">
        <f>17.5763 * CHOOSE(CONTROL!$C$32, $C$9, 100%, $E$9)</f>
        <v>17.5763</v>
      </c>
      <c r="F1054" s="33">
        <f>17.5763 * CHOOSE(CONTROL!$C$32, $C$9, 100%, $E$9)</f>
        <v>17.5763</v>
      </c>
      <c r="G1054" s="33">
        <f>17.5816 * CHOOSE(CONTROL!$C$32, $C$9, 100%, $E$9)</f>
        <v>17.581600000000002</v>
      </c>
      <c r="H1054" s="33">
        <f>37.0587 * CHOOSE(CONTROL!$C$32, $C$9, 100%, $E$9)</f>
        <v>37.058700000000002</v>
      </c>
      <c r="I1054" s="33">
        <f>37.064 * CHOOSE(CONTROL!$C$32, $C$9, 100%, $E$9)</f>
        <v>37.064</v>
      </c>
      <c r="J1054" s="33">
        <f>37.0587 * CHOOSE(CONTROL!$C$32, $C$9, 100%, $E$9)</f>
        <v>37.058700000000002</v>
      </c>
      <c r="K1054" s="33">
        <f>37.064 * CHOOSE(CONTROL!$C$32, $C$9, 100%, $E$9)</f>
        <v>37.064</v>
      </c>
      <c r="L1054" s="33">
        <f>17.5763 * CHOOSE(CONTROL!$C$32, $C$9, 100%, $E$9)</f>
        <v>17.5763</v>
      </c>
      <c r="M1054" s="33">
        <f>17.5816 * CHOOSE(CONTROL!$C$32, $C$9, 100%, $E$9)</f>
        <v>17.581600000000002</v>
      </c>
      <c r="N1054" s="33">
        <f>17.5763 * CHOOSE(CONTROL!$C$32, $C$9, 100%, $E$9)</f>
        <v>17.5763</v>
      </c>
      <c r="O1054" s="33">
        <f>17.5816 * CHOOSE(CONTROL!$C$32, $C$9, 100%, $E$9)</f>
        <v>17.581600000000002</v>
      </c>
    </row>
    <row r="1055" spans="1:15" ht="15" x14ac:dyDescent="0.2">
      <c r="A1055" s="16">
        <v>72959</v>
      </c>
      <c r="B1055" s="32">
        <f>15.8016 * CHOOSE(CONTROL!$C$32, $C$9, 100%, $E$9)</f>
        <v>15.801600000000001</v>
      </c>
      <c r="C1055" s="32">
        <f>15.8016 * CHOOSE(CONTROL!$C$32, $C$9, 100%, $E$9)</f>
        <v>15.801600000000001</v>
      </c>
      <c r="D1055" s="32">
        <f>15.8026 * CHOOSE(CONTROL!$C$32, $C$9, 100%, $E$9)</f>
        <v>15.8026</v>
      </c>
      <c r="E1055" s="33">
        <f>17.7721 * CHOOSE(CONTROL!$C$32, $C$9, 100%, $E$9)</f>
        <v>17.772099999999998</v>
      </c>
      <c r="F1055" s="33">
        <f>17.7721 * CHOOSE(CONTROL!$C$32, $C$9, 100%, $E$9)</f>
        <v>17.772099999999998</v>
      </c>
      <c r="G1055" s="33">
        <f>17.7758 * CHOOSE(CONTROL!$C$32, $C$9, 100%, $E$9)</f>
        <v>17.7758</v>
      </c>
      <c r="H1055" s="33">
        <f>37.1359 * CHOOSE(CONTROL!$C$32, $C$9, 100%, $E$9)</f>
        <v>37.135899999999999</v>
      </c>
      <c r="I1055" s="33">
        <f>37.1395 * CHOOSE(CONTROL!$C$32, $C$9, 100%, $E$9)</f>
        <v>37.139499999999998</v>
      </c>
      <c r="J1055" s="33">
        <f>37.1359 * CHOOSE(CONTROL!$C$32, $C$9, 100%, $E$9)</f>
        <v>37.135899999999999</v>
      </c>
      <c r="K1055" s="33">
        <f>37.1395 * CHOOSE(CONTROL!$C$32, $C$9, 100%, $E$9)</f>
        <v>37.139499999999998</v>
      </c>
      <c r="L1055" s="33">
        <f>17.7721 * CHOOSE(CONTROL!$C$32, $C$9, 100%, $E$9)</f>
        <v>17.772099999999998</v>
      </c>
      <c r="M1055" s="33">
        <f>17.7758 * CHOOSE(CONTROL!$C$32, $C$9, 100%, $E$9)</f>
        <v>17.7758</v>
      </c>
      <c r="N1055" s="33">
        <f>17.7721 * CHOOSE(CONTROL!$C$32, $C$9, 100%, $E$9)</f>
        <v>17.772099999999998</v>
      </c>
      <c r="O1055" s="33">
        <f>17.7758 * CHOOSE(CONTROL!$C$32, $C$9, 100%, $E$9)</f>
        <v>17.7758</v>
      </c>
    </row>
    <row r="1056" spans="1:15" ht="15" x14ac:dyDescent="0.2">
      <c r="A1056" s="16">
        <v>72990</v>
      </c>
      <c r="B1056" s="32">
        <f>15.8046 * CHOOSE(CONTROL!$C$32, $C$9, 100%, $E$9)</f>
        <v>15.804600000000001</v>
      </c>
      <c r="C1056" s="32">
        <f>15.8046 * CHOOSE(CONTROL!$C$32, $C$9, 100%, $E$9)</f>
        <v>15.804600000000001</v>
      </c>
      <c r="D1056" s="32">
        <f>15.8057 * CHOOSE(CONTROL!$C$32, $C$9, 100%, $E$9)</f>
        <v>15.8057</v>
      </c>
      <c r="E1056" s="33">
        <f>17.8789 * CHOOSE(CONTROL!$C$32, $C$9, 100%, $E$9)</f>
        <v>17.878900000000002</v>
      </c>
      <c r="F1056" s="33">
        <f>17.8789 * CHOOSE(CONTROL!$C$32, $C$9, 100%, $E$9)</f>
        <v>17.878900000000002</v>
      </c>
      <c r="G1056" s="33">
        <f>17.8825 * CHOOSE(CONTROL!$C$32, $C$9, 100%, $E$9)</f>
        <v>17.8825</v>
      </c>
      <c r="H1056" s="33">
        <f>37.2132 * CHOOSE(CONTROL!$C$32, $C$9, 100%, $E$9)</f>
        <v>37.213200000000001</v>
      </c>
      <c r="I1056" s="33">
        <f>37.2169 * CHOOSE(CONTROL!$C$32, $C$9, 100%, $E$9)</f>
        <v>37.216900000000003</v>
      </c>
      <c r="J1056" s="33">
        <f>37.2132 * CHOOSE(CONTROL!$C$32, $C$9, 100%, $E$9)</f>
        <v>37.213200000000001</v>
      </c>
      <c r="K1056" s="33">
        <f>37.2169 * CHOOSE(CONTROL!$C$32, $C$9, 100%, $E$9)</f>
        <v>37.216900000000003</v>
      </c>
      <c r="L1056" s="33">
        <f>17.8789 * CHOOSE(CONTROL!$C$32, $C$9, 100%, $E$9)</f>
        <v>17.878900000000002</v>
      </c>
      <c r="M1056" s="33">
        <f>17.8825 * CHOOSE(CONTROL!$C$32, $C$9, 100%, $E$9)</f>
        <v>17.8825</v>
      </c>
      <c r="N1056" s="33">
        <f>17.8789 * CHOOSE(CONTROL!$C$32, $C$9, 100%, $E$9)</f>
        <v>17.878900000000002</v>
      </c>
      <c r="O1056" s="33">
        <f>17.8825 * CHOOSE(CONTROL!$C$32, $C$9, 100%, $E$9)</f>
        <v>17.8825</v>
      </c>
    </row>
    <row r="1057" spans="1:15" ht="15" x14ac:dyDescent="0.2">
      <c r="A1057" s="16">
        <v>73020</v>
      </c>
      <c r="B1057" s="32">
        <f>15.8046 * CHOOSE(CONTROL!$C$32, $C$9, 100%, $E$9)</f>
        <v>15.804600000000001</v>
      </c>
      <c r="C1057" s="32">
        <f>15.8046 * CHOOSE(CONTROL!$C$32, $C$9, 100%, $E$9)</f>
        <v>15.804600000000001</v>
      </c>
      <c r="D1057" s="32">
        <f>15.8057 * CHOOSE(CONTROL!$C$32, $C$9, 100%, $E$9)</f>
        <v>15.8057</v>
      </c>
      <c r="E1057" s="33">
        <f>17.6173 * CHOOSE(CONTROL!$C$32, $C$9, 100%, $E$9)</f>
        <v>17.6173</v>
      </c>
      <c r="F1057" s="33">
        <f>17.6173 * CHOOSE(CONTROL!$C$32, $C$9, 100%, $E$9)</f>
        <v>17.6173</v>
      </c>
      <c r="G1057" s="33">
        <f>17.6209 * CHOOSE(CONTROL!$C$32, $C$9, 100%, $E$9)</f>
        <v>17.620899999999999</v>
      </c>
      <c r="H1057" s="33">
        <f>37.2908 * CHOOSE(CONTROL!$C$32, $C$9, 100%, $E$9)</f>
        <v>37.290799999999997</v>
      </c>
      <c r="I1057" s="33">
        <f>37.2944 * CHOOSE(CONTROL!$C$32, $C$9, 100%, $E$9)</f>
        <v>37.294400000000003</v>
      </c>
      <c r="J1057" s="33">
        <f>37.2908 * CHOOSE(CONTROL!$C$32, $C$9, 100%, $E$9)</f>
        <v>37.290799999999997</v>
      </c>
      <c r="K1057" s="33">
        <f>37.2944 * CHOOSE(CONTROL!$C$32, $C$9, 100%, $E$9)</f>
        <v>37.294400000000003</v>
      </c>
      <c r="L1057" s="33">
        <f>17.6173 * CHOOSE(CONTROL!$C$32, $C$9, 100%, $E$9)</f>
        <v>17.6173</v>
      </c>
      <c r="M1057" s="33">
        <f>17.6209 * CHOOSE(CONTROL!$C$32, $C$9, 100%, $E$9)</f>
        <v>17.620899999999999</v>
      </c>
      <c r="N1057" s="33">
        <f>17.6173 * CHOOSE(CONTROL!$C$32, $C$9, 100%, $E$9)</f>
        <v>17.6173</v>
      </c>
      <c r="O1057" s="33">
        <f>17.6209 * CHOOSE(CONTROL!$C$32, $C$9, 100%, $E$9)</f>
        <v>17.620899999999999</v>
      </c>
    </row>
    <row r="1058" spans="1:15" ht="15" x14ac:dyDescent="0.2">
      <c r="A1058" s="16">
        <v>73051</v>
      </c>
      <c r="B1058" s="32">
        <f>15.7518 * CHOOSE(CONTROL!$C$32, $C$9, 100%, $E$9)</f>
        <v>15.751799999999999</v>
      </c>
      <c r="C1058" s="32">
        <f>15.7518 * CHOOSE(CONTROL!$C$32, $C$9, 100%, $E$9)</f>
        <v>15.751799999999999</v>
      </c>
      <c r="D1058" s="32">
        <f>15.7529 * CHOOSE(CONTROL!$C$32, $C$9, 100%, $E$9)</f>
        <v>15.7529</v>
      </c>
      <c r="E1058" s="33">
        <f>17.7456 * CHOOSE(CONTROL!$C$32, $C$9, 100%, $E$9)</f>
        <v>17.7456</v>
      </c>
      <c r="F1058" s="33">
        <f>17.7456 * CHOOSE(CONTROL!$C$32, $C$9, 100%, $E$9)</f>
        <v>17.7456</v>
      </c>
      <c r="G1058" s="33">
        <f>17.7493 * CHOOSE(CONTROL!$C$32, $C$9, 100%, $E$9)</f>
        <v>17.749300000000002</v>
      </c>
      <c r="H1058" s="33">
        <f>36.9108 * CHOOSE(CONTROL!$C$32, $C$9, 100%, $E$9)</f>
        <v>36.910800000000002</v>
      </c>
      <c r="I1058" s="33">
        <f>36.9144 * CHOOSE(CONTROL!$C$32, $C$9, 100%, $E$9)</f>
        <v>36.914400000000001</v>
      </c>
      <c r="J1058" s="33">
        <f>36.9108 * CHOOSE(CONTROL!$C$32, $C$9, 100%, $E$9)</f>
        <v>36.910800000000002</v>
      </c>
      <c r="K1058" s="33">
        <f>36.9144 * CHOOSE(CONTROL!$C$32, $C$9, 100%, $E$9)</f>
        <v>36.914400000000001</v>
      </c>
      <c r="L1058" s="33">
        <f>17.7456 * CHOOSE(CONTROL!$C$32, $C$9, 100%, $E$9)</f>
        <v>17.7456</v>
      </c>
      <c r="M1058" s="33">
        <f>17.7493 * CHOOSE(CONTROL!$C$32, $C$9, 100%, $E$9)</f>
        <v>17.749300000000002</v>
      </c>
      <c r="N1058" s="33">
        <f>17.7456 * CHOOSE(CONTROL!$C$32, $C$9, 100%, $E$9)</f>
        <v>17.7456</v>
      </c>
      <c r="O1058" s="33">
        <f>17.7493 * CHOOSE(CONTROL!$C$32, $C$9, 100%, $E$9)</f>
        <v>17.749300000000002</v>
      </c>
    </row>
    <row r="1059" spans="1:15" ht="15" x14ac:dyDescent="0.2">
      <c r="A1059" s="16">
        <v>73082</v>
      </c>
      <c r="B1059" s="32">
        <f>15.7488 * CHOOSE(CONTROL!$C$32, $C$9, 100%, $E$9)</f>
        <v>15.748799999999999</v>
      </c>
      <c r="C1059" s="32">
        <f>15.7488 * CHOOSE(CONTROL!$C$32, $C$9, 100%, $E$9)</f>
        <v>15.748799999999999</v>
      </c>
      <c r="D1059" s="32">
        <f>15.7498 * CHOOSE(CONTROL!$C$32, $C$9, 100%, $E$9)</f>
        <v>15.7498</v>
      </c>
      <c r="E1059" s="33">
        <f>17.242 * CHOOSE(CONTROL!$C$32, $C$9, 100%, $E$9)</f>
        <v>17.242000000000001</v>
      </c>
      <c r="F1059" s="33">
        <f>17.242 * CHOOSE(CONTROL!$C$32, $C$9, 100%, $E$9)</f>
        <v>17.242000000000001</v>
      </c>
      <c r="G1059" s="33">
        <f>17.2457 * CHOOSE(CONTROL!$C$32, $C$9, 100%, $E$9)</f>
        <v>17.245699999999999</v>
      </c>
      <c r="H1059" s="33">
        <f>36.9877 * CHOOSE(CONTROL!$C$32, $C$9, 100%, $E$9)</f>
        <v>36.987699999999997</v>
      </c>
      <c r="I1059" s="33">
        <f>36.9913 * CHOOSE(CONTROL!$C$32, $C$9, 100%, $E$9)</f>
        <v>36.991300000000003</v>
      </c>
      <c r="J1059" s="33">
        <f>36.9877 * CHOOSE(CONTROL!$C$32, $C$9, 100%, $E$9)</f>
        <v>36.987699999999997</v>
      </c>
      <c r="K1059" s="33">
        <f>36.9913 * CHOOSE(CONTROL!$C$32, $C$9, 100%, $E$9)</f>
        <v>36.991300000000003</v>
      </c>
      <c r="L1059" s="33">
        <f>17.242 * CHOOSE(CONTROL!$C$32, $C$9, 100%, $E$9)</f>
        <v>17.242000000000001</v>
      </c>
      <c r="M1059" s="33">
        <f>17.2457 * CHOOSE(CONTROL!$C$32, $C$9, 100%, $E$9)</f>
        <v>17.245699999999999</v>
      </c>
      <c r="N1059" s="33">
        <f>17.242 * CHOOSE(CONTROL!$C$32, $C$9, 100%, $E$9)</f>
        <v>17.242000000000001</v>
      </c>
      <c r="O1059" s="33">
        <f>17.2457 * CHOOSE(CONTROL!$C$32, $C$9, 100%, $E$9)</f>
        <v>17.245699999999999</v>
      </c>
    </row>
    <row r="1060" spans="1:15" ht="15" x14ac:dyDescent="0.2">
      <c r="A1060" s="16">
        <v>73110</v>
      </c>
      <c r="B1060" s="32">
        <f>15.7457 * CHOOSE(CONTROL!$C$32, $C$9, 100%, $E$9)</f>
        <v>15.745699999999999</v>
      </c>
      <c r="C1060" s="32">
        <f>15.7457 * CHOOSE(CONTROL!$C$32, $C$9, 100%, $E$9)</f>
        <v>15.745699999999999</v>
      </c>
      <c r="D1060" s="32">
        <f>15.7468 * CHOOSE(CONTROL!$C$32, $C$9, 100%, $E$9)</f>
        <v>15.7468</v>
      </c>
      <c r="E1060" s="33">
        <f>17.6353 * CHOOSE(CONTROL!$C$32, $C$9, 100%, $E$9)</f>
        <v>17.635300000000001</v>
      </c>
      <c r="F1060" s="33">
        <f>17.6353 * CHOOSE(CONTROL!$C$32, $C$9, 100%, $E$9)</f>
        <v>17.635300000000001</v>
      </c>
      <c r="G1060" s="33">
        <f>17.6389 * CHOOSE(CONTROL!$C$32, $C$9, 100%, $E$9)</f>
        <v>17.6389</v>
      </c>
      <c r="H1060" s="33">
        <f>37.0648 * CHOOSE(CONTROL!$C$32, $C$9, 100%, $E$9)</f>
        <v>37.064799999999998</v>
      </c>
      <c r="I1060" s="33">
        <f>37.0684 * CHOOSE(CONTROL!$C$32, $C$9, 100%, $E$9)</f>
        <v>37.068399999999997</v>
      </c>
      <c r="J1060" s="33">
        <f>37.0648 * CHOOSE(CONTROL!$C$32, $C$9, 100%, $E$9)</f>
        <v>37.064799999999998</v>
      </c>
      <c r="K1060" s="33">
        <f>37.0684 * CHOOSE(CONTROL!$C$32, $C$9, 100%, $E$9)</f>
        <v>37.068399999999997</v>
      </c>
      <c r="L1060" s="33">
        <f>17.6353 * CHOOSE(CONTROL!$C$32, $C$9, 100%, $E$9)</f>
        <v>17.635300000000001</v>
      </c>
      <c r="M1060" s="33">
        <f>17.6389 * CHOOSE(CONTROL!$C$32, $C$9, 100%, $E$9)</f>
        <v>17.6389</v>
      </c>
      <c r="N1060" s="33">
        <f>17.6353 * CHOOSE(CONTROL!$C$32, $C$9, 100%, $E$9)</f>
        <v>17.635300000000001</v>
      </c>
      <c r="O1060" s="33">
        <f>17.6389 * CHOOSE(CONTROL!$C$32, $C$9, 100%, $E$9)</f>
        <v>17.6389</v>
      </c>
    </row>
    <row r="1061" spans="1:15" ht="15" x14ac:dyDescent="0.2">
      <c r="A1061" s="16">
        <v>73141</v>
      </c>
      <c r="B1061" s="32">
        <f>15.7548 * CHOOSE(CONTROL!$C$32, $C$9, 100%, $E$9)</f>
        <v>15.754799999999999</v>
      </c>
      <c r="C1061" s="32">
        <f>15.7548 * CHOOSE(CONTROL!$C$32, $C$9, 100%, $E$9)</f>
        <v>15.754799999999999</v>
      </c>
      <c r="D1061" s="32">
        <f>15.7559 * CHOOSE(CONTROL!$C$32, $C$9, 100%, $E$9)</f>
        <v>15.7559</v>
      </c>
      <c r="E1061" s="33">
        <f>18.0556 * CHOOSE(CONTROL!$C$32, $C$9, 100%, $E$9)</f>
        <v>18.055599999999998</v>
      </c>
      <c r="F1061" s="33">
        <f>18.0556 * CHOOSE(CONTROL!$C$32, $C$9, 100%, $E$9)</f>
        <v>18.055599999999998</v>
      </c>
      <c r="G1061" s="33">
        <f>18.0592 * CHOOSE(CONTROL!$C$32, $C$9, 100%, $E$9)</f>
        <v>18.059200000000001</v>
      </c>
      <c r="H1061" s="33">
        <f>37.142 * CHOOSE(CONTROL!$C$32, $C$9, 100%, $E$9)</f>
        <v>37.142000000000003</v>
      </c>
      <c r="I1061" s="33">
        <f>37.1456 * CHOOSE(CONTROL!$C$32, $C$9, 100%, $E$9)</f>
        <v>37.145600000000002</v>
      </c>
      <c r="J1061" s="33">
        <f>37.142 * CHOOSE(CONTROL!$C$32, $C$9, 100%, $E$9)</f>
        <v>37.142000000000003</v>
      </c>
      <c r="K1061" s="33">
        <f>37.1456 * CHOOSE(CONTROL!$C$32, $C$9, 100%, $E$9)</f>
        <v>37.145600000000002</v>
      </c>
      <c r="L1061" s="33">
        <f>18.0556 * CHOOSE(CONTROL!$C$32, $C$9, 100%, $E$9)</f>
        <v>18.055599999999998</v>
      </c>
      <c r="M1061" s="33">
        <f>18.0592 * CHOOSE(CONTROL!$C$32, $C$9, 100%, $E$9)</f>
        <v>18.059200000000001</v>
      </c>
      <c r="N1061" s="33">
        <f>18.0556 * CHOOSE(CONTROL!$C$32, $C$9, 100%, $E$9)</f>
        <v>18.055599999999998</v>
      </c>
      <c r="O1061" s="33">
        <f>18.0592 * CHOOSE(CONTROL!$C$32, $C$9, 100%, $E$9)</f>
        <v>18.059200000000001</v>
      </c>
    </row>
    <row r="1062" spans="1:15" ht="15" x14ac:dyDescent="0.2">
      <c r="A1062" s="16">
        <v>73171</v>
      </c>
      <c r="B1062" s="32">
        <f>15.7548 * CHOOSE(CONTROL!$C$32, $C$9, 100%, $E$9)</f>
        <v>15.754799999999999</v>
      </c>
      <c r="C1062" s="32">
        <f>15.7548 * CHOOSE(CONTROL!$C$32, $C$9, 100%, $E$9)</f>
        <v>15.754799999999999</v>
      </c>
      <c r="D1062" s="32">
        <f>15.7564 * CHOOSE(CONTROL!$C$32, $C$9, 100%, $E$9)</f>
        <v>15.756399999999999</v>
      </c>
      <c r="E1062" s="33">
        <f>18.2148 * CHOOSE(CONTROL!$C$32, $C$9, 100%, $E$9)</f>
        <v>18.2148</v>
      </c>
      <c r="F1062" s="33">
        <f>18.2148 * CHOOSE(CONTROL!$C$32, $C$9, 100%, $E$9)</f>
        <v>18.2148</v>
      </c>
      <c r="G1062" s="33">
        <f>18.2201 * CHOOSE(CONTROL!$C$32, $C$9, 100%, $E$9)</f>
        <v>18.220099999999999</v>
      </c>
      <c r="H1062" s="33">
        <f>37.2194 * CHOOSE(CONTROL!$C$32, $C$9, 100%, $E$9)</f>
        <v>37.2194</v>
      </c>
      <c r="I1062" s="33">
        <f>37.2246 * CHOOSE(CONTROL!$C$32, $C$9, 100%, $E$9)</f>
        <v>37.224600000000002</v>
      </c>
      <c r="J1062" s="33">
        <f>37.2194 * CHOOSE(CONTROL!$C$32, $C$9, 100%, $E$9)</f>
        <v>37.2194</v>
      </c>
      <c r="K1062" s="33">
        <f>37.2246 * CHOOSE(CONTROL!$C$32, $C$9, 100%, $E$9)</f>
        <v>37.224600000000002</v>
      </c>
      <c r="L1062" s="33">
        <f>18.2148 * CHOOSE(CONTROL!$C$32, $C$9, 100%, $E$9)</f>
        <v>18.2148</v>
      </c>
      <c r="M1062" s="33">
        <f>18.2201 * CHOOSE(CONTROL!$C$32, $C$9, 100%, $E$9)</f>
        <v>18.220099999999999</v>
      </c>
      <c r="N1062" s="33">
        <f>18.2148 * CHOOSE(CONTROL!$C$32, $C$9, 100%, $E$9)</f>
        <v>18.2148</v>
      </c>
      <c r="O1062" s="33">
        <f>18.2201 * CHOOSE(CONTROL!$C$32, $C$9, 100%, $E$9)</f>
        <v>18.220099999999999</v>
      </c>
    </row>
    <row r="1063" spans="1:15" ht="15" x14ac:dyDescent="0.2">
      <c r="A1063" s="16">
        <v>73202</v>
      </c>
      <c r="B1063" s="32">
        <f>15.7609 * CHOOSE(CONTROL!$C$32, $C$9, 100%, $E$9)</f>
        <v>15.760899999999999</v>
      </c>
      <c r="C1063" s="32">
        <f>15.7609 * CHOOSE(CONTROL!$C$32, $C$9, 100%, $E$9)</f>
        <v>15.760899999999999</v>
      </c>
      <c r="D1063" s="32">
        <f>15.7625 * CHOOSE(CONTROL!$C$32, $C$9, 100%, $E$9)</f>
        <v>15.762499999999999</v>
      </c>
      <c r="E1063" s="33">
        <f>18.0598 * CHOOSE(CONTROL!$C$32, $C$9, 100%, $E$9)</f>
        <v>18.059799999999999</v>
      </c>
      <c r="F1063" s="33">
        <f>18.0598 * CHOOSE(CONTROL!$C$32, $C$9, 100%, $E$9)</f>
        <v>18.059799999999999</v>
      </c>
      <c r="G1063" s="33">
        <f>18.0651 * CHOOSE(CONTROL!$C$32, $C$9, 100%, $E$9)</f>
        <v>18.065100000000001</v>
      </c>
      <c r="H1063" s="33">
        <f>37.2969 * CHOOSE(CONTROL!$C$32, $C$9, 100%, $E$9)</f>
        <v>37.296900000000001</v>
      </c>
      <c r="I1063" s="33">
        <f>37.3022 * CHOOSE(CONTROL!$C$32, $C$9, 100%, $E$9)</f>
        <v>37.302199999999999</v>
      </c>
      <c r="J1063" s="33">
        <f>37.2969 * CHOOSE(CONTROL!$C$32, $C$9, 100%, $E$9)</f>
        <v>37.296900000000001</v>
      </c>
      <c r="K1063" s="33">
        <f>37.3022 * CHOOSE(CONTROL!$C$32, $C$9, 100%, $E$9)</f>
        <v>37.302199999999999</v>
      </c>
      <c r="L1063" s="33">
        <f>18.0598 * CHOOSE(CONTROL!$C$32, $C$9, 100%, $E$9)</f>
        <v>18.059799999999999</v>
      </c>
      <c r="M1063" s="33">
        <f>18.0651 * CHOOSE(CONTROL!$C$32, $C$9, 100%, $E$9)</f>
        <v>18.065100000000001</v>
      </c>
      <c r="N1063" s="33">
        <f>18.0598 * CHOOSE(CONTROL!$C$32, $C$9, 100%, $E$9)</f>
        <v>18.059799999999999</v>
      </c>
      <c r="O1063" s="33">
        <f>18.0651 * CHOOSE(CONTROL!$C$32, $C$9, 100%, $E$9)</f>
        <v>18.065100000000001</v>
      </c>
    </row>
    <row r="1064" spans="1:15" ht="15" x14ac:dyDescent="0.2">
      <c r="A1064" s="16">
        <v>73232</v>
      </c>
      <c r="B1064" s="32">
        <f>15.9484 * CHOOSE(CONTROL!$C$32, $C$9, 100%, $E$9)</f>
        <v>15.948399999999999</v>
      </c>
      <c r="C1064" s="32">
        <f>15.9484 * CHOOSE(CONTROL!$C$32, $C$9, 100%, $E$9)</f>
        <v>15.948399999999999</v>
      </c>
      <c r="D1064" s="32">
        <f>15.95 * CHOOSE(CONTROL!$C$32, $C$9, 100%, $E$9)</f>
        <v>15.95</v>
      </c>
      <c r="E1064" s="33">
        <f>18.3171 * CHOOSE(CONTROL!$C$32, $C$9, 100%, $E$9)</f>
        <v>18.3171</v>
      </c>
      <c r="F1064" s="33">
        <f>18.3171 * CHOOSE(CONTROL!$C$32, $C$9, 100%, $E$9)</f>
        <v>18.3171</v>
      </c>
      <c r="G1064" s="33">
        <f>18.3224 * CHOOSE(CONTROL!$C$32, $C$9, 100%, $E$9)</f>
        <v>18.322399999999998</v>
      </c>
      <c r="H1064" s="33">
        <f>37.3746 * CHOOSE(CONTROL!$C$32, $C$9, 100%, $E$9)</f>
        <v>37.374600000000001</v>
      </c>
      <c r="I1064" s="33">
        <f>37.3799 * CHOOSE(CONTROL!$C$32, $C$9, 100%, $E$9)</f>
        <v>37.379899999999999</v>
      </c>
      <c r="J1064" s="33">
        <f>37.3746 * CHOOSE(CONTROL!$C$32, $C$9, 100%, $E$9)</f>
        <v>37.374600000000001</v>
      </c>
      <c r="K1064" s="33">
        <f>37.3799 * CHOOSE(CONTROL!$C$32, $C$9, 100%, $E$9)</f>
        <v>37.379899999999999</v>
      </c>
      <c r="L1064" s="33">
        <f>18.3171 * CHOOSE(CONTROL!$C$32, $C$9, 100%, $E$9)</f>
        <v>18.3171</v>
      </c>
      <c r="M1064" s="33">
        <f>18.3224 * CHOOSE(CONTROL!$C$32, $C$9, 100%, $E$9)</f>
        <v>18.322399999999998</v>
      </c>
      <c r="N1064" s="33">
        <f>18.3171 * CHOOSE(CONTROL!$C$32, $C$9, 100%, $E$9)</f>
        <v>18.3171</v>
      </c>
      <c r="O1064" s="33">
        <f>18.3224 * CHOOSE(CONTROL!$C$32, $C$9, 100%, $E$9)</f>
        <v>18.322399999999998</v>
      </c>
    </row>
    <row r="1065" spans="1:15" ht="15" x14ac:dyDescent="0.2">
      <c r="A1065" s="16">
        <v>73263</v>
      </c>
      <c r="B1065" s="32">
        <f>15.9551 * CHOOSE(CONTROL!$C$32, $C$9, 100%, $E$9)</f>
        <v>15.9551</v>
      </c>
      <c r="C1065" s="32">
        <f>15.9551 * CHOOSE(CONTROL!$C$32, $C$9, 100%, $E$9)</f>
        <v>15.9551</v>
      </c>
      <c r="D1065" s="32">
        <f>15.9567 * CHOOSE(CONTROL!$C$32, $C$9, 100%, $E$9)</f>
        <v>15.9567</v>
      </c>
      <c r="E1065" s="33">
        <f>17.8441 * CHOOSE(CONTROL!$C$32, $C$9, 100%, $E$9)</f>
        <v>17.844100000000001</v>
      </c>
      <c r="F1065" s="33">
        <f>17.8441 * CHOOSE(CONTROL!$C$32, $C$9, 100%, $E$9)</f>
        <v>17.844100000000001</v>
      </c>
      <c r="G1065" s="33">
        <f>17.8494 * CHOOSE(CONTROL!$C$32, $C$9, 100%, $E$9)</f>
        <v>17.849399999999999</v>
      </c>
      <c r="H1065" s="33">
        <f>37.4525 * CHOOSE(CONTROL!$C$32, $C$9, 100%, $E$9)</f>
        <v>37.452500000000001</v>
      </c>
      <c r="I1065" s="33">
        <f>37.4578 * CHOOSE(CONTROL!$C$32, $C$9, 100%, $E$9)</f>
        <v>37.457799999999999</v>
      </c>
      <c r="J1065" s="33">
        <f>37.4525 * CHOOSE(CONTROL!$C$32, $C$9, 100%, $E$9)</f>
        <v>37.452500000000001</v>
      </c>
      <c r="K1065" s="33">
        <f>37.4578 * CHOOSE(CONTROL!$C$32, $C$9, 100%, $E$9)</f>
        <v>37.457799999999999</v>
      </c>
      <c r="L1065" s="33">
        <f>17.8441 * CHOOSE(CONTROL!$C$32, $C$9, 100%, $E$9)</f>
        <v>17.844100000000001</v>
      </c>
      <c r="M1065" s="33">
        <f>17.8494 * CHOOSE(CONTROL!$C$32, $C$9, 100%, $E$9)</f>
        <v>17.849399999999999</v>
      </c>
      <c r="N1065" s="33">
        <f>17.8441 * CHOOSE(CONTROL!$C$32, $C$9, 100%, $E$9)</f>
        <v>17.844100000000001</v>
      </c>
      <c r="O1065" s="33">
        <f>17.8494 * CHOOSE(CONTROL!$C$32, $C$9, 100%, $E$9)</f>
        <v>17.849399999999999</v>
      </c>
    </row>
    <row r="1066" spans="1:15" ht="15" x14ac:dyDescent="0.2">
      <c r="A1066" s="16">
        <v>73294</v>
      </c>
      <c r="B1066" s="32">
        <f>15.9521 * CHOOSE(CONTROL!$C$32, $C$9, 100%, $E$9)</f>
        <v>15.9521</v>
      </c>
      <c r="C1066" s="32">
        <f>15.9521 * CHOOSE(CONTROL!$C$32, $C$9, 100%, $E$9)</f>
        <v>15.9521</v>
      </c>
      <c r="D1066" s="32">
        <f>15.9537 * CHOOSE(CONTROL!$C$32, $C$9, 100%, $E$9)</f>
        <v>15.9537</v>
      </c>
      <c r="E1066" s="33">
        <f>17.789 * CHOOSE(CONTROL!$C$32, $C$9, 100%, $E$9)</f>
        <v>17.789000000000001</v>
      </c>
      <c r="F1066" s="33">
        <f>17.789 * CHOOSE(CONTROL!$C$32, $C$9, 100%, $E$9)</f>
        <v>17.789000000000001</v>
      </c>
      <c r="G1066" s="33">
        <f>17.7942 * CHOOSE(CONTROL!$C$32, $C$9, 100%, $E$9)</f>
        <v>17.7942</v>
      </c>
      <c r="H1066" s="33">
        <f>37.5305 * CHOOSE(CONTROL!$C$32, $C$9, 100%, $E$9)</f>
        <v>37.530500000000004</v>
      </c>
      <c r="I1066" s="33">
        <f>37.5358 * CHOOSE(CONTROL!$C$32, $C$9, 100%, $E$9)</f>
        <v>37.535800000000002</v>
      </c>
      <c r="J1066" s="33">
        <f>37.5305 * CHOOSE(CONTROL!$C$32, $C$9, 100%, $E$9)</f>
        <v>37.530500000000004</v>
      </c>
      <c r="K1066" s="33">
        <f>37.5358 * CHOOSE(CONTROL!$C$32, $C$9, 100%, $E$9)</f>
        <v>37.535800000000002</v>
      </c>
      <c r="L1066" s="33">
        <f>17.789 * CHOOSE(CONTROL!$C$32, $C$9, 100%, $E$9)</f>
        <v>17.789000000000001</v>
      </c>
      <c r="M1066" s="33">
        <f>17.7942 * CHOOSE(CONTROL!$C$32, $C$9, 100%, $E$9)</f>
        <v>17.7942</v>
      </c>
      <c r="N1066" s="33">
        <f>17.789 * CHOOSE(CONTROL!$C$32, $C$9, 100%, $E$9)</f>
        <v>17.789000000000001</v>
      </c>
      <c r="O1066" s="33">
        <f>17.7942 * CHOOSE(CONTROL!$C$32, $C$9, 100%, $E$9)</f>
        <v>17.7942</v>
      </c>
    </row>
    <row r="1067" spans="1:15" ht="15" x14ac:dyDescent="0.2">
      <c r="A1067" s="16">
        <v>73324</v>
      </c>
      <c r="B1067" s="32">
        <f>15.9919 * CHOOSE(CONTROL!$C$32, $C$9, 100%, $E$9)</f>
        <v>15.991899999999999</v>
      </c>
      <c r="C1067" s="32">
        <f>15.9919 * CHOOSE(CONTROL!$C$32, $C$9, 100%, $E$9)</f>
        <v>15.991899999999999</v>
      </c>
      <c r="D1067" s="32">
        <f>15.9929 * CHOOSE(CONTROL!$C$32, $C$9, 100%, $E$9)</f>
        <v>15.992900000000001</v>
      </c>
      <c r="E1067" s="33">
        <f>17.9878 * CHOOSE(CONTROL!$C$32, $C$9, 100%, $E$9)</f>
        <v>17.9878</v>
      </c>
      <c r="F1067" s="33">
        <f>17.9878 * CHOOSE(CONTROL!$C$32, $C$9, 100%, $E$9)</f>
        <v>17.9878</v>
      </c>
      <c r="G1067" s="33">
        <f>17.9914 * CHOOSE(CONTROL!$C$32, $C$9, 100%, $E$9)</f>
        <v>17.991399999999999</v>
      </c>
      <c r="H1067" s="33">
        <f>37.6087 * CHOOSE(CONTROL!$C$32, $C$9, 100%, $E$9)</f>
        <v>37.608699999999999</v>
      </c>
      <c r="I1067" s="33">
        <f>37.6123 * CHOOSE(CONTROL!$C$32, $C$9, 100%, $E$9)</f>
        <v>37.612299999999998</v>
      </c>
      <c r="J1067" s="33">
        <f>37.6087 * CHOOSE(CONTROL!$C$32, $C$9, 100%, $E$9)</f>
        <v>37.608699999999999</v>
      </c>
      <c r="K1067" s="33">
        <f>37.6123 * CHOOSE(CONTROL!$C$32, $C$9, 100%, $E$9)</f>
        <v>37.612299999999998</v>
      </c>
      <c r="L1067" s="33">
        <f>17.9878 * CHOOSE(CONTROL!$C$32, $C$9, 100%, $E$9)</f>
        <v>17.9878</v>
      </c>
      <c r="M1067" s="33">
        <f>17.9914 * CHOOSE(CONTROL!$C$32, $C$9, 100%, $E$9)</f>
        <v>17.991399999999999</v>
      </c>
      <c r="N1067" s="33">
        <f>17.9878 * CHOOSE(CONTROL!$C$32, $C$9, 100%, $E$9)</f>
        <v>17.9878</v>
      </c>
      <c r="O1067" s="33">
        <f>17.9914 * CHOOSE(CONTROL!$C$32, $C$9, 100%, $E$9)</f>
        <v>17.991399999999999</v>
      </c>
    </row>
    <row r="1068" spans="1:15" ht="15" x14ac:dyDescent="0.2">
      <c r="A1068" s="16">
        <v>73355</v>
      </c>
      <c r="B1068" s="32">
        <f>15.9949 * CHOOSE(CONTROL!$C$32, $C$9, 100%, $E$9)</f>
        <v>15.994899999999999</v>
      </c>
      <c r="C1068" s="32">
        <f>15.9949 * CHOOSE(CONTROL!$C$32, $C$9, 100%, $E$9)</f>
        <v>15.994899999999999</v>
      </c>
      <c r="D1068" s="32">
        <f>15.996 * CHOOSE(CONTROL!$C$32, $C$9, 100%, $E$9)</f>
        <v>15.996</v>
      </c>
      <c r="E1068" s="33">
        <f>18.0961 * CHOOSE(CONTROL!$C$32, $C$9, 100%, $E$9)</f>
        <v>18.0961</v>
      </c>
      <c r="F1068" s="33">
        <f>18.0961 * CHOOSE(CONTROL!$C$32, $C$9, 100%, $E$9)</f>
        <v>18.0961</v>
      </c>
      <c r="G1068" s="33">
        <f>18.0997 * CHOOSE(CONTROL!$C$32, $C$9, 100%, $E$9)</f>
        <v>18.099699999999999</v>
      </c>
      <c r="H1068" s="33">
        <f>37.687 * CHOOSE(CONTROL!$C$32, $C$9, 100%, $E$9)</f>
        <v>37.686999999999998</v>
      </c>
      <c r="I1068" s="33">
        <f>37.6906 * CHOOSE(CONTROL!$C$32, $C$9, 100%, $E$9)</f>
        <v>37.690600000000003</v>
      </c>
      <c r="J1068" s="33">
        <f>37.687 * CHOOSE(CONTROL!$C$32, $C$9, 100%, $E$9)</f>
        <v>37.686999999999998</v>
      </c>
      <c r="K1068" s="33">
        <f>37.6906 * CHOOSE(CONTROL!$C$32, $C$9, 100%, $E$9)</f>
        <v>37.690600000000003</v>
      </c>
      <c r="L1068" s="33">
        <f>18.0961 * CHOOSE(CONTROL!$C$32, $C$9, 100%, $E$9)</f>
        <v>18.0961</v>
      </c>
      <c r="M1068" s="33">
        <f>18.0997 * CHOOSE(CONTROL!$C$32, $C$9, 100%, $E$9)</f>
        <v>18.099699999999999</v>
      </c>
      <c r="N1068" s="33">
        <f>18.0961 * CHOOSE(CONTROL!$C$32, $C$9, 100%, $E$9)</f>
        <v>18.0961</v>
      </c>
      <c r="O1068" s="33">
        <f>18.0997 * CHOOSE(CONTROL!$C$32, $C$9, 100%, $E$9)</f>
        <v>18.099699999999999</v>
      </c>
    </row>
    <row r="1069" spans="1:15" ht="15" x14ac:dyDescent="0.2">
      <c r="A1069" s="16">
        <v>73385</v>
      </c>
      <c r="B1069" s="32">
        <f>15.9949 * CHOOSE(CONTROL!$C$32, $C$9, 100%, $E$9)</f>
        <v>15.994899999999999</v>
      </c>
      <c r="C1069" s="32">
        <f>15.9949 * CHOOSE(CONTROL!$C$32, $C$9, 100%, $E$9)</f>
        <v>15.994899999999999</v>
      </c>
      <c r="D1069" s="32">
        <f>15.996 * CHOOSE(CONTROL!$C$32, $C$9, 100%, $E$9)</f>
        <v>15.996</v>
      </c>
      <c r="E1069" s="33">
        <f>17.8307 * CHOOSE(CONTROL!$C$32, $C$9, 100%, $E$9)</f>
        <v>17.8307</v>
      </c>
      <c r="F1069" s="33">
        <f>17.8307 * CHOOSE(CONTROL!$C$32, $C$9, 100%, $E$9)</f>
        <v>17.8307</v>
      </c>
      <c r="G1069" s="33">
        <f>17.8343 * CHOOSE(CONTROL!$C$32, $C$9, 100%, $E$9)</f>
        <v>17.834299999999999</v>
      </c>
      <c r="H1069" s="33">
        <f>37.7655 * CHOOSE(CONTROL!$C$32, $C$9, 100%, $E$9)</f>
        <v>37.765500000000003</v>
      </c>
      <c r="I1069" s="33">
        <f>37.7692 * CHOOSE(CONTROL!$C$32, $C$9, 100%, $E$9)</f>
        <v>37.769199999999998</v>
      </c>
      <c r="J1069" s="33">
        <f>37.7655 * CHOOSE(CONTROL!$C$32, $C$9, 100%, $E$9)</f>
        <v>37.765500000000003</v>
      </c>
      <c r="K1069" s="33">
        <f>37.7692 * CHOOSE(CONTROL!$C$32, $C$9, 100%, $E$9)</f>
        <v>37.769199999999998</v>
      </c>
      <c r="L1069" s="33">
        <f>17.8307 * CHOOSE(CONTROL!$C$32, $C$9, 100%, $E$9)</f>
        <v>17.8307</v>
      </c>
      <c r="M1069" s="33">
        <f>17.8343 * CHOOSE(CONTROL!$C$32, $C$9, 100%, $E$9)</f>
        <v>17.834299999999999</v>
      </c>
      <c r="N1069" s="33">
        <f>17.8307 * CHOOSE(CONTROL!$C$32, $C$9, 100%, $E$9)</f>
        <v>17.8307</v>
      </c>
      <c r="O1069" s="33">
        <f>17.8343 * CHOOSE(CONTROL!$C$32, $C$9, 100%, $E$9)</f>
        <v>17.834299999999999</v>
      </c>
    </row>
    <row r="1070" spans="1:15" ht="15" x14ac:dyDescent="0.2">
      <c r="A1070" s="12"/>
      <c r="B1070" s="32"/>
      <c r="C1070" s="32"/>
      <c r="D1070" s="32"/>
      <c r="E1070" s="33"/>
      <c r="F1070" s="33"/>
      <c r="G1070" s="33"/>
      <c r="H1070" s="33"/>
      <c r="I1070" s="33"/>
      <c r="J1070" s="33"/>
      <c r="K1070" s="33"/>
      <c r="L1070" s="33"/>
      <c r="M1070" s="33"/>
      <c r="N1070" s="33"/>
      <c r="O1070" s="33"/>
    </row>
    <row r="1071" spans="1:15" ht="15" x14ac:dyDescent="0.2">
      <c r="A1071" s="11">
        <v>2013</v>
      </c>
      <c r="B1071" s="32">
        <f t="shared" ref="B1071:O1071" si="0">AVERAGE(B14:B25)</f>
        <v>2.2966500000000001</v>
      </c>
      <c r="C1071" s="32">
        <f t="shared" si="0"/>
        <v>2.2232833333333333</v>
      </c>
      <c r="D1071" s="32">
        <f t="shared" si="0"/>
        <v>2.2699416666666665</v>
      </c>
      <c r="E1071" s="32">
        <f t="shared" si="0"/>
        <v>3.4876333333333331</v>
      </c>
      <c r="F1071" s="32">
        <f t="shared" si="0"/>
        <v>3.1494</v>
      </c>
      <c r="G1071" s="32">
        <f t="shared" si="0"/>
        <v>3.164908333333333</v>
      </c>
      <c r="H1071" s="32">
        <f t="shared" si="0"/>
        <v>5.7654999999999994</v>
      </c>
      <c r="I1071" s="32">
        <f t="shared" si="0"/>
        <v>5.7809833333333325</v>
      </c>
      <c r="J1071" s="32">
        <f t="shared" si="0"/>
        <v>5.7654999999999994</v>
      </c>
      <c r="K1071" s="32">
        <f t="shared" si="0"/>
        <v>5.7809833333333325</v>
      </c>
      <c r="L1071" s="32">
        <f t="shared" si="0"/>
        <v>3.4876333333333331</v>
      </c>
      <c r="M1071" s="32">
        <f t="shared" si="0"/>
        <v>3.5031166666666671</v>
      </c>
      <c r="N1071" s="32">
        <f t="shared" si="0"/>
        <v>3.4876333333333331</v>
      </c>
      <c r="O1071" s="32">
        <f t="shared" si="0"/>
        <v>3.5031166666666671</v>
      </c>
    </row>
    <row r="1072" spans="1:15" ht="15" x14ac:dyDescent="0.2">
      <c r="A1072" s="11">
        <v>2014</v>
      </c>
      <c r="B1072" s="32">
        <f t="shared" ref="B1072:O1072" si="1">AVERAGE(B26:B37)</f>
        <v>2.365497721063452</v>
      </c>
      <c r="C1072" s="32">
        <f t="shared" si="1"/>
        <v>2.3576910984848483</v>
      </c>
      <c r="D1072" s="32">
        <f t="shared" si="1"/>
        <v>2.4043505151515152</v>
      </c>
      <c r="E1072" s="32">
        <f t="shared" si="1"/>
        <v>3.4605737242062751</v>
      </c>
      <c r="F1072" s="32">
        <f t="shared" si="1"/>
        <v>3.3780690677966105</v>
      </c>
      <c r="G1072" s="32">
        <f t="shared" si="1"/>
        <v>3.3935644844632775</v>
      </c>
      <c r="H1072" s="32">
        <f t="shared" si="1"/>
        <v>5.8732191966897451</v>
      </c>
      <c r="I1072" s="32">
        <f t="shared" si="1"/>
        <v>5.8887062800230767</v>
      </c>
      <c r="J1072" s="32">
        <f t="shared" si="1"/>
        <v>5.8732191966897451</v>
      </c>
      <c r="K1072" s="32">
        <f t="shared" si="1"/>
        <v>5.8887062800230767</v>
      </c>
      <c r="L1072" s="32">
        <f t="shared" si="1"/>
        <v>3.4605737242062751</v>
      </c>
      <c r="M1072" s="32">
        <f t="shared" si="1"/>
        <v>3.4760524742062753</v>
      </c>
      <c r="N1072" s="32">
        <f t="shared" si="1"/>
        <v>3.4605737242062751</v>
      </c>
      <c r="O1072" s="32">
        <f t="shared" si="1"/>
        <v>3.4760524742062753</v>
      </c>
    </row>
    <row r="1073" spans="1:15" ht="15" x14ac:dyDescent="0.2">
      <c r="A1073" s="11">
        <v>2015</v>
      </c>
      <c r="B1073" s="32">
        <f t="shared" ref="B1073:O1073" si="2">AVERAGE(B38:B49)</f>
        <v>2.483975</v>
      </c>
      <c r="C1073" s="32">
        <f t="shared" si="2"/>
        <v>2.483975</v>
      </c>
      <c r="D1073" s="32">
        <f t="shared" si="2"/>
        <v>2.485233333333333</v>
      </c>
      <c r="E1073" s="32">
        <f t="shared" si="2"/>
        <v>3.8020250000000004</v>
      </c>
      <c r="F1073" s="32">
        <f t="shared" si="2"/>
        <v>3.5835999999999992</v>
      </c>
      <c r="G1073" s="32">
        <f t="shared" si="2"/>
        <v>3.5879083333333335</v>
      </c>
      <c r="H1073" s="32">
        <f t="shared" si="2"/>
        <v>6.0330166666666676</v>
      </c>
      <c r="I1073" s="32">
        <f t="shared" si="2"/>
        <v>6.0373250000000018</v>
      </c>
      <c r="J1073" s="32">
        <f t="shared" si="2"/>
        <v>6.0330166666666676</v>
      </c>
      <c r="K1073" s="32">
        <f t="shared" si="2"/>
        <v>6.0373250000000018</v>
      </c>
      <c r="L1073" s="32">
        <f t="shared" si="2"/>
        <v>3.8020250000000004</v>
      </c>
      <c r="M1073" s="32">
        <f t="shared" si="2"/>
        <v>3.8063333333333329</v>
      </c>
      <c r="N1073" s="32">
        <f t="shared" si="2"/>
        <v>3.8020250000000004</v>
      </c>
      <c r="O1073" s="32">
        <f t="shared" si="2"/>
        <v>3.8063333333333329</v>
      </c>
    </row>
    <row r="1074" spans="1:15" ht="15" x14ac:dyDescent="0.2">
      <c r="A1074" s="11">
        <v>2016</v>
      </c>
      <c r="B1074" s="32">
        <f t="shared" ref="B1074:O1074" si="3">AVERAGE(B50:B61)</f>
        <v>3.2759166666666668</v>
      </c>
      <c r="C1074" s="32">
        <f t="shared" si="3"/>
        <v>3.2759166666666668</v>
      </c>
      <c r="D1074" s="32">
        <f t="shared" si="3"/>
        <v>3.2771833333333338</v>
      </c>
      <c r="E1074" s="32">
        <f t="shared" si="3"/>
        <v>3.9337</v>
      </c>
      <c r="F1074" s="32">
        <f t="shared" si="3"/>
        <v>3.6856000000000004</v>
      </c>
      <c r="G1074" s="32">
        <f t="shared" si="3"/>
        <v>3.6899083333333333</v>
      </c>
      <c r="H1074" s="32">
        <f t="shared" si="3"/>
        <v>6.185575</v>
      </c>
      <c r="I1074" s="32">
        <f t="shared" si="3"/>
        <v>6.189891666666667</v>
      </c>
      <c r="J1074" s="32">
        <f t="shared" si="3"/>
        <v>6.185575</v>
      </c>
      <c r="K1074" s="32">
        <f t="shared" si="3"/>
        <v>6.189891666666667</v>
      </c>
      <c r="L1074" s="32">
        <f t="shared" si="3"/>
        <v>3.9337</v>
      </c>
      <c r="M1074" s="32">
        <f t="shared" si="3"/>
        <v>3.9380083333333329</v>
      </c>
      <c r="N1074" s="32">
        <f t="shared" si="3"/>
        <v>3.9337</v>
      </c>
      <c r="O1074" s="32">
        <f t="shared" si="3"/>
        <v>3.9380083333333329</v>
      </c>
    </row>
    <row r="1075" spans="1:15" ht="15" x14ac:dyDescent="0.2">
      <c r="A1075" s="11">
        <v>2017</v>
      </c>
      <c r="B1075" s="32">
        <f t="shared" ref="B1075:O1075" si="4">AVERAGE(B62:B73)</f>
        <v>3.3130666666666659</v>
      </c>
      <c r="C1075" s="32">
        <f t="shared" si="4"/>
        <v>3.3130666666666659</v>
      </c>
      <c r="D1075" s="32">
        <f t="shared" si="4"/>
        <v>3.3143583333333329</v>
      </c>
      <c r="E1075" s="32">
        <f t="shared" si="4"/>
        <v>3.8792333333333331</v>
      </c>
      <c r="F1075" s="32">
        <f t="shared" si="4"/>
        <v>3.8792333333333331</v>
      </c>
      <c r="G1075" s="32">
        <f t="shared" si="4"/>
        <v>3.8835499999999996</v>
      </c>
      <c r="H1075" s="32">
        <f t="shared" si="4"/>
        <v>6.341991666666666</v>
      </c>
      <c r="I1075" s="32">
        <f t="shared" si="4"/>
        <v>6.346308333333333</v>
      </c>
      <c r="J1075" s="32">
        <f t="shared" si="4"/>
        <v>6.341991666666666</v>
      </c>
      <c r="K1075" s="32">
        <f t="shared" si="4"/>
        <v>6.346308333333333</v>
      </c>
      <c r="L1075" s="32">
        <f t="shared" si="4"/>
        <v>3.8792333333333331</v>
      </c>
      <c r="M1075" s="32">
        <f t="shared" si="4"/>
        <v>3.8835499999999996</v>
      </c>
      <c r="N1075" s="32">
        <f t="shared" si="4"/>
        <v>3.8792333333333331</v>
      </c>
      <c r="O1075" s="32">
        <f t="shared" si="4"/>
        <v>3.8835499999999996</v>
      </c>
    </row>
    <row r="1076" spans="1:15" ht="15" x14ac:dyDescent="0.2">
      <c r="A1076" s="11">
        <v>2018</v>
      </c>
      <c r="B1076" s="32">
        <f t="shared" ref="B1076:O1076" si="5">AVERAGE(B74:B85)</f>
        <v>3.4019250000000003</v>
      </c>
      <c r="C1076" s="32">
        <f t="shared" si="5"/>
        <v>3.4019250000000003</v>
      </c>
      <c r="D1076" s="32">
        <f t="shared" si="5"/>
        <v>3.4032166666666659</v>
      </c>
      <c r="E1076" s="32">
        <f t="shared" si="5"/>
        <v>3.9989833333333333</v>
      </c>
      <c r="F1076" s="32">
        <f t="shared" si="5"/>
        <v>3.9989833333333333</v>
      </c>
      <c r="G1076" s="32">
        <f t="shared" si="5"/>
        <v>4.0033166666666666</v>
      </c>
      <c r="H1076" s="32">
        <f t="shared" si="5"/>
        <v>6.502391666666667</v>
      </c>
      <c r="I1076" s="32">
        <f t="shared" si="5"/>
        <v>6.5066833333333349</v>
      </c>
      <c r="J1076" s="32">
        <f t="shared" si="5"/>
        <v>6.502391666666667</v>
      </c>
      <c r="K1076" s="32">
        <f t="shared" si="5"/>
        <v>6.5066833333333349</v>
      </c>
      <c r="L1076" s="32">
        <f t="shared" si="5"/>
        <v>3.9989833333333333</v>
      </c>
      <c r="M1076" s="32">
        <f t="shared" si="5"/>
        <v>4.0033166666666666</v>
      </c>
      <c r="N1076" s="32">
        <f t="shared" si="5"/>
        <v>3.9989833333333333</v>
      </c>
      <c r="O1076" s="32">
        <f t="shared" si="5"/>
        <v>4.0033166666666666</v>
      </c>
    </row>
    <row r="1077" spans="1:15" ht="15" x14ac:dyDescent="0.2">
      <c r="A1077" s="11">
        <v>2019</v>
      </c>
      <c r="B1077" s="32">
        <f t="shared" ref="B1077:O1077" si="6">AVERAGE(B86:B97)</f>
        <v>3.2222999999999993</v>
      </c>
      <c r="C1077" s="32">
        <f t="shared" si="6"/>
        <v>3.2222999999999993</v>
      </c>
      <c r="D1077" s="32">
        <f t="shared" si="6"/>
        <v>3.2235916666666671</v>
      </c>
      <c r="E1077" s="32">
        <f t="shared" si="6"/>
        <v>4.0889833333333341</v>
      </c>
      <c r="F1077" s="32">
        <f t="shared" si="6"/>
        <v>4.0889833333333341</v>
      </c>
      <c r="G1077" s="32">
        <f t="shared" si="6"/>
        <v>4.0932916666666666</v>
      </c>
      <c r="H1077" s="32">
        <f t="shared" si="6"/>
        <v>6.6668333333333329</v>
      </c>
      <c r="I1077" s="32">
        <f t="shared" si="6"/>
        <v>6.6711416666666663</v>
      </c>
      <c r="J1077" s="32">
        <f t="shared" si="6"/>
        <v>6.6668333333333329</v>
      </c>
      <c r="K1077" s="32">
        <f t="shared" si="6"/>
        <v>6.6711416666666663</v>
      </c>
      <c r="L1077" s="32">
        <f t="shared" si="6"/>
        <v>4.0889833333333341</v>
      </c>
      <c r="M1077" s="32">
        <f t="shared" si="6"/>
        <v>4.0932916666666666</v>
      </c>
      <c r="N1077" s="32">
        <f t="shared" si="6"/>
        <v>4.0889833333333341</v>
      </c>
      <c r="O1077" s="32">
        <f t="shared" si="6"/>
        <v>4.0932916666666666</v>
      </c>
    </row>
    <row r="1078" spans="1:15" ht="15" x14ac:dyDescent="0.2">
      <c r="A1078" s="11">
        <v>2020</v>
      </c>
      <c r="B1078" s="32">
        <f t="shared" ref="B1078:O1078" si="7">AVERAGE(B98:B109)</f>
        <v>3.286566666666666</v>
      </c>
      <c r="C1078" s="32">
        <f t="shared" si="7"/>
        <v>3.286566666666666</v>
      </c>
      <c r="D1078" s="32">
        <f t="shared" si="7"/>
        <v>3.2878583333333329</v>
      </c>
      <c r="E1078" s="32">
        <f t="shared" si="7"/>
        <v>4.1808833333333331</v>
      </c>
      <c r="F1078" s="32">
        <f t="shared" si="7"/>
        <v>4.1808833333333331</v>
      </c>
      <c r="G1078" s="32">
        <f t="shared" si="7"/>
        <v>4.1851916666666664</v>
      </c>
      <c r="H1078" s="32">
        <f t="shared" si="7"/>
        <v>6.8354083333333335</v>
      </c>
      <c r="I1078" s="32">
        <f t="shared" si="7"/>
        <v>6.8397166666666669</v>
      </c>
      <c r="J1078" s="32">
        <f t="shared" si="7"/>
        <v>6.8354083333333335</v>
      </c>
      <c r="K1078" s="32">
        <f t="shared" si="7"/>
        <v>6.8397166666666669</v>
      </c>
      <c r="L1078" s="32">
        <f t="shared" si="7"/>
        <v>4.1808833333333331</v>
      </c>
      <c r="M1078" s="32">
        <f t="shared" si="7"/>
        <v>4.1851916666666664</v>
      </c>
      <c r="N1078" s="32">
        <f t="shared" si="7"/>
        <v>4.1808833333333331</v>
      </c>
      <c r="O1078" s="32">
        <f t="shared" si="7"/>
        <v>4.1851916666666664</v>
      </c>
    </row>
    <row r="1079" spans="1:15" ht="15" x14ac:dyDescent="0.2">
      <c r="A1079" s="11">
        <v>2021</v>
      </c>
      <c r="B1079" s="32">
        <f t="shared" ref="B1079:O1079" si="8">AVERAGE(B110:B121)</f>
        <v>3.3671249999999993</v>
      </c>
      <c r="C1079" s="32">
        <f t="shared" si="8"/>
        <v>3.3671249999999993</v>
      </c>
      <c r="D1079" s="32">
        <f t="shared" si="8"/>
        <v>3.3684250000000002</v>
      </c>
      <c r="E1079" s="32">
        <f t="shared" si="8"/>
        <v>4.2754583333333338</v>
      </c>
      <c r="F1079" s="32">
        <f t="shared" si="8"/>
        <v>4.2754583333333338</v>
      </c>
      <c r="G1079" s="32">
        <f t="shared" si="8"/>
        <v>4.2797916666666671</v>
      </c>
      <c r="H1079" s="32">
        <f t="shared" si="8"/>
        <v>7.008258333333333</v>
      </c>
      <c r="I1079" s="32">
        <f t="shared" si="8"/>
        <v>7.0125666666666673</v>
      </c>
      <c r="J1079" s="32">
        <f t="shared" si="8"/>
        <v>7.008258333333333</v>
      </c>
      <c r="K1079" s="32">
        <f t="shared" si="8"/>
        <v>7.0125666666666673</v>
      </c>
      <c r="L1079" s="32">
        <f t="shared" si="8"/>
        <v>4.2754583333333338</v>
      </c>
      <c r="M1079" s="32">
        <f t="shared" si="8"/>
        <v>4.2797916666666671</v>
      </c>
      <c r="N1079" s="32">
        <f t="shared" si="8"/>
        <v>4.2754583333333338</v>
      </c>
      <c r="O1079" s="32">
        <f t="shared" si="8"/>
        <v>4.2797916666666671</v>
      </c>
    </row>
    <row r="1080" spans="1:15" ht="15" x14ac:dyDescent="0.2">
      <c r="A1080" s="11">
        <v>2022</v>
      </c>
      <c r="B1080" s="32">
        <f t="shared" ref="B1080:O1080" si="9">AVERAGE(B122:B133)</f>
        <v>3.4470750000000003</v>
      </c>
      <c r="C1080" s="32">
        <f t="shared" si="9"/>
        <v>3.4470750000000003</v>
      </c>
      <c r="D1080" s="32">
        <f t="shared" si="9"/>
        <v>3.4483666666666668</v>
      </c>
      <c r="E1080" s="32">
        <f t="shared" si="9"/>
        <v>4.3818083333333337</v>
      </c>
      <c r="F1080" s="32">
        <f t="shared" si="9"/>
        <v>4.3818083333333337</v>
      </c>
      <c r="G1080" s="32">
        <f t="shared" si="9"/>
        <v>4.3861166666666671</v>
      </c>
      <c r="H1080" s="32">
        <f t="shared" si="9"/>
        <v>7.1854833333333339</v>
      </c>
      <c r="I1080" s="32">
        <f t="shared" si="9"/>
        <v>7.1898166666666663</v>
      </c>
      <c r="J1080" s="32">
        <f t="shared" si="9"/>
        <v>7.1854833333333339</v>
      </c>
      <c r="K1080" s="32">
        <f t="shared" si="9"/>
        <v>7.1898166666666663</v>
      </c>
      <c r="L1080" s="32">
        <f t="shared" si="9"/>
        <v>4.3818083333333337</v>
      </c>
      <c r="M1080" s="32">
        <f t="shared" si="9"/>
        <v>4.3861166666666671</v>
      </c>
      <c r="N1080" s="32">
        <f t="shared" si="9"/>
        <v>4.3818083333333337</v>
      </c>
      <c r="O1080" s="32">
        <f t="shared" si="9"/>
        <v>4.3861166666666671</v>
      </c>
    </row>
    <row r="1081" spans="1:15" ht="15" x14ac:dyDescent="0.2">
      <c r="A1081" s="11">
        <v>2023</v>
      </c>
      <c r="B1081" s="32">
        <f t="shared" ref="B1081:O1081" si="10">AVERAGE(B134:B145)</f>
        <v>3.5408249999999994</v>
      </c>
      <c r="C1081" s="32">
        <f t="shared" si="10"/>
        <v>3.5408249999999994</v>
      </c>
      <c r="D1081" s="32">
        <f t="shared" si="10"/>
        <v>3.5421166666666668</v>
      </c>
      <c r="E1081" s="32">
        <f t="shared" si="10"/>
        <v>4.490308333333334</v>
      </c>
      <c r="F1081" s="32">
        <f t="shared" si="10"/>
        <v>4.490308333333334</v>
      </c>
      <c r="G1081" s="32">
        <f t="shared" si="10"/>
        <v>4.4946166666666665</v>
      </c>
      <c r="H1081" s="32">
        <f t="shared" si="10"/>
        <v>7.3672166666666676</v>
      </c>
      <c r="I1081" s="32">
        <f t="shared" si="10"/>
        <v>7.3715333333333328</v>
      </c>
      <c r="J1081" s="32">
        <f t="shared" si="10"/>
        <v>7.3672166666666676</v>
      </c>
      <c r="K1081" s="32">
        <f t="shared" si="10"/>
        <v>7.3715333333333328</v>
      </c>
      <c r="L1081" s="32">
        <f t="shared" si="10"/>
        <v>4.490308333333334</v>
      </c>
      <c r="M1081" s="32">
        <f t="shared" si="10"/>
        <v>4.4946166666666665</v>
      </c>
      <c r="N1081" s="32">
        <f t="shared" si="10"/>
        <v>4.490308333333334</v>
      </c>
      <c r="O1081" s="32">
        <f t="shared" si="10"/>
        <v>4.4946166666666665</v>
      </c>
    </row>
    <row r="1082" spans="1:15" ht="15" x14ac:dyDescent="0.2">
      <c r="A1082" s="11">
        <v>2024</v>
      </c>
      <c r="B1082" s="32">
        <f t="shared" ref="B1082:O1082" si="11">AVERAGE(B146:B157)</f>
        <v>3.6291499999999997</v>
      </c>
      <c r="C1082" s="32">
        <f t="shared" si="11"/>
        <v>3.6291499999999997</v>
      </c>
      <c r="D1082" s="32">
        <f t="shared" si="11"/>
        <v>3.6304500000000002</v>
      </c>
      <c r="E1082" s="32">
        <f t="shared" si="11"/>
        <v>4.6075583333333325</v>
      </c>
      <c r="F1082" s="32">
        <f t="shared" si="11"/>
        <v>4.6075583333333325</v>
      </c>
      <c r="G1082" s="32">
        <f t="shared" si="11"/>
        <v>4.6118500000000004</v>
      </c>
      <c r="H1082" s="32">
        <f t="shared" si="11"/>
        <v>7.553516666666666</v>
      </c>
      <c r="I1082" s="32">
        <f t="shared" si="11"/>
        <v>7.5578333333333338</v>
      </c>
      <c r="J1082" s="32">
        <f t="shared" si="11"/>
        <v>7.553516666666666</v>
      </c>
      <c r="K1082" s="32">
        <f t="shared" si="11"/>
        <v>7.5578333333333338</v>
      </c>
      <c r="L1082" s="32">
        <f t="shared" si="11"/>
        <v>4.6075583333333325</v>
      </c>
      <c r="M1082" s="32">
        <f t="shared" si="11"/>
        <v>4.6118500000000004</v>
      </c>
      <c r="N1082" s="32">
        <f t="shared" si="11"/>
        <v>4.6075583333333325</v>
      </c>
      <c r="O1082" s="32">
        <f t="shared" si="11"/>
        <v>4.6118500000000004</v>
      </c>
    </row>
    <row r="1083" spans="1:15" ht="15" x14ac:dyDescent="0.2">
      <c r="A1083" s="11">
        <v>2025</v>
      </c>
      <c r="B1083" s="32">
        <f t="shared" ref="B1083:O1083" si="12">AVERAGE(B158:B169)</f>
        <v>3.7209500000000002</v>
      </c>
      <c r="C1083" s="32">
        <f t="shared" si="12"/>
        <v>3.7209500000000002</v>
      </c>
      <c r="D1083" s="32">
        <f t="shared" si="12"/>
        <v>3.7222416666666676</v>
      </c>
      <c r="E1083" s="32">
        <f t="shared" si="12"/>
        <v>4.7325583333333325</v>
      </c>
      <c r="F1083" s="32">
        <f t="shared" si="12"/>
        <v>4.7325583333333325</v>
      </c>
      <c r="G1083" s="32">
        <f t="shared" si="12"/>
        <v>4.7368916666666667</v>
      </c>
      <c r="H1083" s="32">
        <f t="shared" si="12"/>
        <v>7.7445166666666667</v>
      </c>
      <c r="I1083" s="32">
        <f t="shared" si="12"/>
        <v>7.7488500000000009</v>
      </c>
      <c r="J1083" s="32">
        <f t="shared" si="12"/>
        <v>7.7445166666666667</v>
      </c>
      <c r="K1083" s="32">
        <f t="shared" si="12"/>
        <v>7.7488500000000009</v>
      </c>
      <c r="L1083" s="32">
        <f t="shared" si="12"/>
        <v>4.7325583333333325</v>
      </c>
      <c r="M1083" s="32">
        <f t="shared" si="12"/>
        <v>4.7368916666666667</v>
      </c>
      <c r="N1083" s="32">
        <f t="shared" si="12"/>
        <v>4.7325583333333325</v>
      </c>
      <c r="O1083" s="32">
        <f t="shared" si="12"/>
        <v>4.7368916666666667</v>
      </c>
    </row>
    <row r="1084" spans="1:15" ht="15" x14ac:dyDescent="0.2">
      <c r="A1084" s="11">
        <v>2026</v>
      </c>
      <c r="B1084" s="32">
        <f t="shared" ref="B1084:O1084" si="13">AVERAGE(B170:B181)</f>
        <v>3.8184083333333336</v>
      </c>
      <c r="C1084" s="32">
        <f t="shared" si="13"/>
        <v>3.8184083333333336</v>
      </c>
      <c r="D1084" s="32">
        <f t="shared" si="13"/>
        <v>3.8196916666666669</v>
      </c>
      <c r="E1084" s="32">
        <f t="shared" si="13"/>
        <v>4.8625583333333324</v>
      </c>
      <c r="F1084" s="32">
        <f t="shared" si="13"/>
        <v>4.8625583333333324</v>
      </c>
      <c r="G1084" s="32">
        <f t="shared" si="13"/>
        <v>4.8668749999999994</v>
      </c>
      <c r="H1084" s="32">
        <f t="shared" si="13"/>
        <v>7.9403749999999995</v>
      </c>
      <c r="I1084" s="32">
        <f t="shared" si="13"/>
        <v>7.9446916666666674</v>
      </c>
      <c r="J1084" s="32">
        <f t="shared" si="13"/>
        <v>7.9403749999999995</v>
      </c>
      <c r="K1084" s="32">
        <f t="shared" si="13"/>
        <v>7.9446916666666674</v>
      </c>
      <c r="L1084" s="32">
        <f t="shared" si="13"/>
        <v>4.8625583333333324</v>
      </c>
      <c r="M1084" s="32">
        <f t="shared" si="13"/>
        <v>4.8668749999999994</v>
      </c>
      <c r="N1084" s="32">
        <f t="shared" si="13"/>
        <v>4.8625583333333324</v>
      </c>
      <c r="O1084" s="32">
        <f t="shared" si="13"/>
        <v>4.8668749999999994</v>
      </c>
    </row>
    <row r="1085" spans="1:15" ht="15" x14ac:dyDescent="0.2">
      <c r="A1085" s="11">
        <v>2027</v>
      </c>
      <c r="B1085" s="32">
        <f t="shared" ref="B1085:O1085" si="14">AVERAGE(B182:B193)</f>
        <v>3.9176666666666669</v>
      </c>
      <c r="C1085" s="32">
        <f t="shared" si="14"/>
        <v>3.9176666666666669</v>
      </c>
      <c r="D1085" s="32">
        <f t="shared" si="14"/>
        <v>3.9189416666666665</v>
      </c>
      <c r="E1085" s="32">
        <f t="shared" si="14"/>
        <v>4.9883083333333325</v>
      </c>
      <c r="F1085" s="32">
        <f t="shared" si="14"/>
        <v>4.9883083333333325</v>
      </c>
      <c r="G1085" s="32">
        <f t="shared" si="14"/>
        <v>4.9926166666666658</v>
      </c>
      <c r="H1085" s="32">
        <f t="shared" si="14"/>
        <v>8.1411750000000023</v>
      </c>
      <c r="I1085" s="32">
        <f t="shared" si="14"/>
        <v>8.1454833333333312</v>
      </c>
      <c r="J1085" s="32">
        <f t="shared" si="14"/>
        <v>8.1411750000000023</v>
      </c>
      <c r="K1085" s="32">
        <f t="shared" si="14"/>
        <v>8.1454833333333312</v>
      </c>
      <c r="L1085" s="32">
        <f t="shared" si="14"/>
        <v>4.9883083333333325</v>
      </c>
      <c r="M1085" s="32">
        <f t="shared" si="14"/>
        <v>4.9926166666666658</v>
      </c>
      <c r="N1085" s="32">
        <f t="shared" si="14"/>
        <v>4.9883083333333325</v>
      </c>
      <c r="O1085" s="32">
        <f t="shared" si="14"/>
        <v>4.9926166666666658</v>
      </c>
    </row>
    <row r="1086" spans="1:15" ht="15" x14ac:dyDescent="0.2">
      <c r="A1086" s="11">
        <v>2028</v>
      </c>
      <c r="B1086" s="32">
        <f t="shared" ref="B1086:O1086" si="15">AVERAGE(B194:B205)</f>
        <v>4.0231749999999984</v>
      </c>
      <c r="C1086" s="32">
        <f t="shared" si="15"/>
        <v>4.0231749999999984</v>
      </c>
      <c r="D1086" s="32">
        <f t="shared" si="15"/>
        <v>4.0244666666666662</v>
      </c>
      <c r="E1086" s="32">
        <f t="shared" si="15"/>
        <v>5.121858333333333</v>
      </c>
      <c r="F1086" s="32">
        <f t="shared" si="15"/>
        <v>5.121858333333333</v>
      </c>
      <c r="G1086" s="32">
        <f t="shared" si="15"/>
        <v>5.1261666666666663</v>
      </c>
      <c r="H1086" s="32">
        <f t="shared" si="15"/>
        <v>8.3470499999999994</v>
      </c>
      <c r="I1086" s="32">
        <f t="shared" si="15"/>
        <v>8.3513750000000009</v>
      </c>
      <c r="J1086" s="32">
        <f t="shared" si="15"/>
        <v>8.3470499999999994</v>
      </c>
      <c r="K1086" s="32">
        <f t="shared" si="15"/>
        <v>8.3513750000000009</v>
      </c>
      <c r="L1086" s="32">
        <f t="shared" si="15"/>
        <v>5.121858333333333</v>
      </c>
      <c r="M1086" s="32">
        <f t="shared" si="15"/>
        <v>5.1261666666666663</v>
      </c>
      <c r="N1086" s="32">
        <f t="shared" si="15"/>
        <v>5.121858333333333</v>
      </c>
      <c r="O1086" s="32">
        <f t="shared" si="15"/>
        <v>5.1261666666666663</v>
      </c>
    </row>
    <row r="1087" spans="1:15" ht="15" x14ac:dyDescent="0.2">
      <c r="A1087" s="11">
        <v>2029</v>
      </c>
      <c r="B1087" s="32">
        <f t="shared" ref="B1087:O1087" si="16">AVERAGE(B206:B217)</f>
        <v>4.1202916666666676</v>
      </c>
      <c r="C1087" s="32">
        <f t="shared" si="16"/>
        <v>4.1202916666666676</v>
      </c>
      <c r="D1087" s="32">
        <f t="shared" si="16"/>
        <v>4.1215583333333337</v>
      </c>
      <c r="E1087" s="32">
        <f t="shared" si="16"/>
        <v>5.2511833333333335</v>
      </c>
      <c r="F1087" s="32">
        <f t="shared" si="16"/>
        <v>5.2511833333333335</v>
      </c>
      <c r="G1087" s="32">
        <f t="shared" si="16"/>
        <v>5.2554916666666669</v>
      </c>
      <c r="H1087" s="32">
        <f t="shared" si="16"/>
        <v>8.5581250000000022</v>
      </c>
      <c r="I1087" s="32">
        <f t="shared" si="16"/>
        <v>8.5624583333333337</v>
      </c>
      <c r="J1087" s="32">
        <f t="shared" si="16"/>
        <v>8.5581250000000022</v>
      </c>
      <c r="K1087" s="32">
        <f t="shared" si="16"/>
        <v>8.5624583333333337</v>
      </c>
      <c r="L1087" s="32">
        <f t="shared" si="16"/>
        <v>5.2511833333333335</v>
      </c>
      <c r="M1087" s="32">
        <f t="shared" si="16"/>
        <v>5.2554916666666669</v>
      </c>
      <c r="N1087" s="32">
        <f t="shared" si="16"/>
        <v>5.2511833333333335</v>
      </c>
      <c r="O1087" s="32">
        <f t="shared" si="16"/>
        <v>5.2554916666666669</v>
      </c>
    </row>
    <row r="1088" spans="1:15" ht="15" x14ac:dyDescent="0.2">
      <c r="A1088" s="11">
        <v>2030</v>
      </c>
      <c r="B1088" s="32">
        <f t="shared" ref="B1088:O1088" si="17">AVERAGE(B218:B229)</f>
        <v>4.2197500000000003</v>
      </c>
      <c r="C1088" s="32">
        <f t="shared" si="17"/>
        <v>4.2197500000000003</v>
      </c>
      <c r="D1088" s="32">
        <f t="shared" si="17"/>
        <v>4.2210416666666664</v>
      </c>
      <c r="E1088" s="32">
        <f t="shared" si="17"/>
        <v>5.3853833333333334</v>
      </c>
      <c r="F1088" s="32">
        <f t="shared" si="17"/>
        <v>5.3853833333333334</v>
      </c>
      <c r="G1088" s="32">
        <f t="shared" si="17"/>
        <v>5.3897166666666676</v>
      </c>
      <c r="H1088" s="32">
        <f t="shared" si="17"/>
        <v>8.7745666666666651</v>
      </c>
      <c r="I1088" s="32">
        <f t="shared" si="17"/>
        <v>8.7788916666666683</v>
      </c>
      <c r="J1088" s="32">
        <f t="shared" si="17"/>
        <v>8.7745666666666651</v>
      </c>
      <c r="K1088" s="32">
        <f t="shared" si="17"/>
        <v>8.7788916666666683</v>
      </c>
      <c r="L1088" s="32">
        <f t="shared" si="17"/>
        <v>5.3853833333333334</v>
      </c>
      <c r="M1088" s="32">
        <f t="shared" si="17"/>
        <v>5.3897166666666676</v>
      </c>
      <c r="N1088" s="32">
        <f t="shared" si="17"/>
        <v>5.3853833333333334</v>
      </c>
      <c r="O1088" s="32">
        <f t="shared" si="17"/>
        <v>5.3897166666666676</v>
      </c>
    </row>
    <row r="1089" spans="1:15" ht="15" x14ac:dyDescent="0.2">
      <c r="A1089" s="11">
        <v>2031</v>
      </c>
      <c r="B1089" s="32">
        <f t="shared" ref="B1089:O1089" si="18">AVERAGE(B230:B241)</f>
        <v>4.319983333333334</v>
      </c>
      <c r="C1089" s="32">
        <f t="shared" si="18"/>
        <v>4.319983333333334</v>
      </c>
      <c r="D1089" s="32">
        <f t="shared" si="18"/>
        <v>4.321275</v>
      </c>
      <c r="E1089" s="32">
        <f t="shared" si="18"/>
        <v>5.5212583333333329</v>
      </c>
      <c r="F1089" s="32">
        <f t="shared" si="18"/>
        <v>5.5212583333333329</v>
      </c>
      <c r="G1089" s="32">
        <f t="shared" si="18"/>
        <v>5.5255916666666671</v>
      </c>
      <c r="H1089" s="32">
        <f t="shared" si="18"/>
        <v>8.9964666666666648</v>
      </c>
      <c r="I1089" s="32">
        <f t="shared" si="18"/>
        <v>9.0007833333333327</v>
      </c>
      <c r="J1089" s="32">
        <f t="shared" si="18"/>
        <v>8.9964666666666648</v>
      </c>
      <c r="K1089" s="32">
        <f t="shared" si="18"/>
        <v>9.0007833333333327</v>
      </c>
      <c r="L1089" s="32">
        <f t="shared" si="18"/>
        <v>5.5212583333333329</v>
      </c>
      <c r="M1089" s="32">
        <f t="shared" si="18"/>
        <v>5.5255916666666671</v>
      </c>
      <c r="N1089" s="32">
        <f t="shared" si="18"/>
        <v>5.5212583333333329</v>
      </c>
      <c r="O1089" s="32">
        <f t="shared" si="18"/>
        <v>5.5255916666666671</v>
      </c>
    </row>
    <row r="1090" spans="1:15" ht="15" x14ac:dyDescent="0.2">
      <c r="A1090" s="11">
        <v>2032</v>
      </c>
      <c r="B1090" s="32">
        <f t="shared" ref="B1090:O1090" si="19">AVERAGE(B242:B253)</f>
        <v>4.4233666666666664</v>
      </c>
      <c r="C1090" s="32">
        <f t="shared" si="19"/>
        <v>4.4233666666666664</v>
      </c>
      <c r="D1090" s="32">
        <f t="shared" si="19"/>
        <v>4.4246499999999997</v>
      </c>
      <c r="E1090" s="32">
        <f t="shared" si="19"/>
        <v>5.6636583333333341</v>
      </c>
      <c r="F1090" s="32">
        <f t="shared" si="19"/>
        <v>5.6636583333333341</v>
      </c>
      <c r="G1090" s="32">
        <f t="shared" si="19"/>
        <v>5.6679666666666675</v>
      </c>
      <c r="H1090" s="32">
        <f t="shared" si="19"/>
        <v>9.2239583333333339</v>
      </c>
      <c r="I1090" s="32">
        <f t="shared" si="19"/>
        <v>9.2282833333333336</v>
      </c>
      <c r="J1090" s="32">
        <f t="shared" si="19"/>
        <v>9.2239583333333339</v>
      </c>
      <c r="K1090" s="32">
        <f t="shared" si="19"/>
        <v>9.2282833333333336</v>
      </c>
      <c r="L1090" s="32">
        <f t="shared" si="19"/>
        <v>5.6636583333333341</v>
      </c>
      <c r="M1090" s="32">
        <f t="shared" si="19"/>
        <v>5.6679666666666675</v>
      </c>
      <c r="N1090" s="32">
        <f t="shared" si="19"/>
        <v>5.6636583333333341</v>
      </c>
      <c r="O1090" s="32">
        <f t="shared" si="19"/>
        <v>5.6679666666666675</v>
      </c>
    </row>
    <row r="1091" spans="1:15" ht="15" x14ac:dyDescent="0.2">
      <c r="A1091" s="11">
        <v>2033</v>
      </c>
      <c r="B1091" s="32">
        <f t="shared" ref="B1091:O1091" si="20">AVERAGE(B254:B265)</f>
        <v>4.5277250000000011</v>
      </c>
      <c r="C1091" s="32">
        <f t="shared" si="20"/>
        <v>4.5277250000000011</v>
      </c>
      <c r="D1091" s="32">
        <f t="shared" si="20"/>
        <v>4.5290083333333335</v>
      </c>
      <c r="E1091" s="32">
        <f t="shared" si="20"/>
        <v>5.8086833333333336</v>
      </c>
      <c r="F1091" s="32">
        <f t="shared" si="20"/>
        <v>5.8086833333333336</v>
      </c>
      <c r="G1091" s="32">
        <f t="shared" si="20"/>
        <v>5.8129750000000016</v>
      </c>
      <c r="H1091" s="32">
        <f t="shared" si="20"/>
        <v>9.4572083333333321</v>
      </c>
      <c r="I1091" s="32">
        <f t="shared" si="20"/>
        <v>9.4615333333333336</v>
      </c>
      <c r="J1091" s="32">
        <f t="shared" si="20"/>
        <v>9.4572083333333321</v>
      </c>
      <c r="K1091" s="32">
        <f t="shared" si="20"/>
        <v>9.4615333333333336</v>
      </c>
      <c r="L1091" s="32">
        <f t="shared" si="20"/>
        <v>5.8086833333333336</v>
      </c>
      <c r="M1091" s="32">
        <f t="shared" si="20"/>
        <v>5.8129750000000016</v>
      </c>
      <c r="N1091" s="32">
        <f t="shared" si="20"/>
        <v>5.8086833333333336</v>
      </c>
      <c r="O1091" s="32">
        <f t="shared" si="20"/>
        <v>5.8129750000000016</v>
      </c>
    </row>
    <row r="1092" spans="1:15" ht="15" x14ac:dyDescent="0.2">
      <c r="A1092" s="11">
        <v>2034</v>
      </c>
      <c r="B1092" s="32">
        <f t="shared" ref="B1092:O1092" si="21">AVERAGE(B266:B277)</f>
        <v>4.6365749999999997</v>
      </c>
      <c r="C1092" s="32">
        <f t="shared" si="21"/>
        <v>4.6365749999999997</v>
      </c>
      <c r="D1092" s="32">
        <f t="shared" si="21"/>
        <v>4.6378583333333339</v>
      </c>
      <c r="E1092" s="32">
        <f t="shared" si="21"/>
        <v>5.9626083333333346</v>
      </c>
      <c r="F1092" s="32">
        <f t="shared" si="21"/>
        <v>5.9626083333333346</v>
      </c>
      <c r="G1092" s="32">
        <f t="shared" si="21"/>
        <v>5.966941666666667</v>
      </c>
      <c r="H1092" s="32">
        <f t="shared" si="21"/>
        <v>9.6963750000000015</v>
      </c>
      <c r="I1092" s="32">
        <f t="shared" si="21"/>
        <v>9.7006916666666658</v>
      </c>
      <c r="J1092" s="32">
        <f t="shared" si="21"/>
        <v>9.6963750000000015</v>
      </c>
      <c r="K1092" s="32">
        <f t="shared" si="21"/>
        <v>9.7006916666666658</v>
      </c>
      <c r="L1092" s="32">
        <f t="shared" si="21"/>
        <v>5.9626083333333346</v>
      </c>
      <c r="M1092" s="32">
        <f t="shared" si="21"/>
        <v>5.966941666666667</v>
      </c>
      <c r="N1092" s="32">
        <f t="shared" si="21"/>
        <v>5.9626083333333346</v>
      </c>
      <c r="O1092" s="32">
        <f t="shared" si="21"/>
        <v>5.966941666666667</v>
      </c>
    </row>
    <row r="1093" spans="1:15" ht="15" x14ac:dyDescent="0.2">
      <c r="A1093" s="11">
        <v>2035</v>
      </c>
      <c r="B1093" s="32">
        <f t="shared" ref="B1093:O1093" si="22">AVERAGE(B278:B289)</f>
        <v>4.7452499999999995</v>
      </c>
      <c r="C1093" s="32">
        <f t="shared" si="22"/>
        <v>4.7452499999999995</v>
      </c>
      <c r="D1093" s="32">
        <f t="shared" si="22"/>
        <v>4.7465333333333337</v>
      </c>
      <c r="E1093" s="32">
        <f t="shared" si="22"/>
        <v>6.2283083333333344</v>
      </c>
      <c r="F1093" s="32">
        <f t="shared" si="22"/>
        <v>6.2283083333333344</v>
      </c>
      <c r="G1093" s="32">
        <f t="shared" si="22"/>
        <v>6.2326249999999996</v>
      </c>
      <c r="H1093" s="32">
        <f t="shared" si="22"/>
        <v>9.9415916666666675</v>
      </c>
      <c r="I1093" s="32">
        <f t="shared" si="22"/>
        <v>9.9459083333333336</v>
      </c>
      <c r="J1093" s="32">
        <f t="shared" si="22"/>
        <v>9.9415916666666675</v>
      </c>
      <c r="K1093" s="32">
        <f t="shared" si="22"/>
        <v>9.9459083333333336</v>
      </c>
      <c r="L1093" s="32">
        <f t="shared" si="22"/>
        <v>6.2283083333333344</v>
      </c>
      <c r="M1093" s="32">
        <f t="shared" si="22"/>
        <v>6.2326249999999996</v>
      </c>
      <c r="N1093" s="32">
        <f t="shared" si="22"/>
        <v>6.2283083333333344</v>
      </c>
      <c r="O1093" s="32">
        <f t="shared" si="22"/>
        <v>6.2326249999999996</v>
      </c>
    </row>
    <row r="1094" spans="1:15" ht="15" x14ac:dyDescent="0.2">
      <c r="A1094" s="11">
        <v>2036</v>
      </c>
      <c r="B1094" s="32">
        <f t="shared" ref="B1094:O1094" si="23">AVERAGE(B290:B301)</f>
        <v>4.8552916666666661</v>
      </c>
      <c r="C1094" s="32">
        <f t="shared" si="23"/>
        <v>4.8552916666666661</v>
      </c>
      <c r="D1094" s="32">
        <f t="shared" si="23"/>
        <v>4.8565666666666667</v>
      </c>
      <c r="E1094" s="32">
        <f t="shared" si="23"/>
        <v>6.4622250000000001</v>
      </c>
      <c r="F1094" s="32">
        <f t="shared" si="23"/>
        <v>6.4622250000000001</v>
      </c>
      <c r="G1094" s="32">
        <f t="shared" si="23"/>
        <v>6.4665333333333317</v>
      </c>
      <c r="H1094" s="32">
        <f t="shared" si="23"/>
        <v>10.192983333333334</v>
      </c>
      <c r="I1094" s="32">
        <f t="shared" si="23"/>
        <v>10.197316666666667</v>
      </c>
      <c r="J1094" s="32">
        <f t="shared" si="23"/>
        <v>10.192983333333334</v>
      </c>
      <c r="K1094" s="32">
        <f t="shared" si="23"/>
        <v>10.197316666666667</v>
      </c>
      <c r="L1094" s="32">
        <f t="shared" si="23"/>
        <v>6.4622250000000001</v>
      </c>
      <c r="M1094" s="32">
        <f t="shared" si="23"/>
        <v>6.4665333333333317</v>
      </c>
      <c r="N1094" s="32">
        <f t="shared" si="23"/>
        <v>6.4622250000000001</v>
      </c>
      <c r="O1094" s="32">
        <f t="shared" si="23"/>
        <v>6.4665333333333317</v>
      </c>
    </row>
    <row r="1095" spans="1:15" ht="15" x14ac:dyDescent="0.2">
      <c r="A1095" s="11">
        <v>2037</v>
      </c>
      <c r="B1095" s="32">
        <f t="shared" ref="B1095:O1095" si="24">AVERAGE(B302:B313)</f>
        <v>4.964783333333334</v>
      </c>
      <c r="C1095" s="32">
        <f t="shared" si="24"/>
        <v>4.964783333333334</v>
      </c>
      <c r="D1095" s="32">
        <f t="shared" si="24"/>
        <v>4.9660833333333327</v>
      </c>
      <c r="E1095" s="32">
        <f t="shared" si="24"/>
        <v>6.5224749999999991</v>
      </c>
      <c r="F1095" s="32">
        <f t="shared" si="24"/>
        <v>6.5224749999999991</v>
      </c>
      <c r="G1095" s="32">
        <f t="shared" si="24"/>
        <v>6.5267833333333343</v>
      </c>
      <c r="H1095" s="32">
        <f t="shared" si="24"/>
        <v>10.450766666666667</v>
      </c>
      <c r="I1095" s="32">
        <f t="shared" si="24"/>
        <v>10.455083333333334</v>
      </c>
      <c r="J1095" s="32">
        <f t="shared" si="24"/>
        <v>10.450766666666667</v>
      </c>
      <c r="K1095" s="32">
        <f t="shared" si="24"/>
        <v>10.455083333333334</v>
      </c>
      <c r="L1095" s="32">
        <f t="shared" si="24"/>
        <v>6.5224749999999991</v>
      </c>
      <c r="M1095" s="32">
        <f t="shared" si="24"/>
        <v>6.5267833333333343</v>
      </c>
      <c r="N1095" s="32">
        <f t="shared" si="24"/>
        <v>6.5224749999999991</v>
      </c>
      <c r="O1095" s="32">
        <f t="shared" si="24"/>
        <v>6.5267833333333343</v>
      </c>
    </row>
    <row r="1096" spans="1:15" ht="15" x14ac:dyDescent="0.2">
      <c r="A1096" s="11">
        <v>2038</v>
      </c>
      <c r="B1096" s="32">
        <f t="shared" ref="B1096:O1096" si="25">AVERAGE(B314:B325)</f>
        <v>5.078008333333333</v>
      </c>
      <c r="C1096" s="32">
        <f t="shared" si="25"/>
        <v>5.078008333333333</v>
      </c>
      <c r="D1096" s="32">
        <f t="shared" si="25"/>
        <v>5.0792916666666663</v>
      </c>
      <c r="E1096" s="32">
        <f t="shared" si="25"/>
        <v>6.5534166666666671</v>
      </c>
      <c r="F1096" s="32">
        <f t="shared" si="25"/>
        <v>6.5534166666666671</v>
      </c>
      <c r="G1096" s="32">
        <f t="shared" si="25"/>
        <v>6.5577499999999995</v>
      </c>
      <c r="H1096" s="32">
        <f t="shared" si="25"/>
        <v>10.71505</v>
      </c>
      <c r="I1096" s="32">
        <f t="shared" si="25"/>
        <v>10.719358333333332</v>
      </c>
      <c r="J1096" s="32">
        <f t="shared" si="25"/>
        <v>10.71505</v>
      </c>
      <c r="K1096" s="32">
        <f t="shared" si="25"/>
        <v>10.719358333333332</v>
      </c>
      <c r="L1096" s="32">
        <f t="shared" si="25"/>
        <v>6.5534166666666671</v>
      </c>
      <c r="M1096" s="32">
        <f t="shared" si="25"/>
        <v>6.5577499999999995</v>
      </c>
      <c r="N1096" s="32">
        <f t="shared" si="25"/>
        <v>6.5534166666666671</v>
      </c>
      <c r="O1096" s="32">
        <f t="shared" si="25"/>
        <v>6.5577499999999995</v>
      </c>
    </row>
    <row r="1097" spans="1:15" ht="15" x14ac:dyDescent="0.2">
      <c r="A1097" s="11">
        <v>2039</v>
      </c>
      <c r="B1097" s="32">
        <f t="shared" ref="B1097:O1097" si="26">AVERAGE(B326:B337)</f>
        <v>5.1910833333333333</v>
      </c>
      <c r="C1097" s="32">
        <f t="shared" si="26"/>
        <v>5.1910833333333333</v>
      </c>
      <c r="D1097" s="32">
        <f t="shared" si="26"/>
        <v>5.1923583333333339</v>
      </c>
      <c r="E1097" s="32">
        <f t="shared" si="26"/>
        <v>6.5795250000000003</v>
      </c>
      <c r="F1097" s="32">
        <f t="shared" si="26"/>
        <v>6.5795250000000003</v>
      </c>
      <c r="G1097" s="32">
        <f t="shared" si="26"/>
        <v>6.5838416666666655</v>
      </c>
      <c r="H1097" s="32">
        <f t="shared" si="26"/>
        <v>10.986008333333332</v>
      </c>
      <c r="I1097" s="32">
        <f t="shared" si="26"/>
        <v>10.990325</v>
      </c>
      <c r="J1097" s="32">
        <f t="shared" si="26"/>
        <v>10.986008333333332</v>
      </c>
      <c r="K1097" s="32">
        <f t="shared" si="26"/>
        <v>10.990325</v>
      </c>
      <c r="L1097" s="32">
        <f t="shared" si="26"/>
        <v>6.5795250000000003</v>
      </c>
      <c r="M1097" s="32">
        <f t="shared" si="26"/>
        <v>6.5838416666666655</v>
      </c>
      <c r="N1097" s="32">
        <f t="shared" si="26"/>
        <v>6.5795250000000003</v>
      </c>
      <c r="O1097" s="32">
        <f t="shared" si="26"/>
        <v>6.5838416666666655</v>
      </c>
    </row>
    <row r="1098" spans="1:15" ht="15" x14ac:dyDescent="0.2">
      <c r="A1098" s="11">
        <v>2040</v>
      </c>
      <c r="B1098" s="32">
        <f t="shared" ref="B1098:O1098" si="27">AVERAGE(B338:B349)</f>
        <v>5.3088083333333334</v>
      </c>
      <c r="C1098" s="32">
        <f t="shared" si="27"/>
        <v>5.3088083333333334</v>
      </c>
      <c r="D1098" s="32">
        <f t="shared" si="27"/>
        <v>5.3100916666666675</v>
      </c>
      <c r="E1098" s="32">
        <f t="shared" si="27"/>
        <v>6.6098166666666671</v>
      </c>
      <c r="F1098" s="32">
        <f t="shared" si="27"/>
        <v>6.6098166666666671</v>
      </c>
      <c r="G1098" s="32">
        <f t="shared" si="27"/>
        <v>6.6141166666666669</v>
      </c>
      <c r="H1098" s="32">
        <f t="shared" si="27"/>
        <v>11.263824999999999</v>
      </c>
      <c r="I1098" s="32">
        <f t="shared" si="27"/>
        <v>11.268150000000004</v>
      </c>
      <c r="J1098" s="32">
        <f t="shared" si="27"/>
        <v>11.263824999999999</v>
      </c>
      <c r="K1098" s="32">
        <f t="shared" si="27"/>
        <v>11.268150000000004</v>
      </c>
      <c r="L1098" s="32">
        <f t="shared" si="27"/>
        <v>6.6098166666666671</v>
      </c>
      <c r="M1098" s="32">
        <f t="shared" si="27"/>
        <v>6.6141166666666669</v>
      </c>
      <c r="N1098" s="32">
        <f t="shared" si="27"/>
        <v>6.6098166666666671</v>
      </c>
      <c r="O1098" s="32">
        <f t="shared" si="27"/>
        <v>6.6141166666666669</v>
      </c>
    </row>
    <row r="1099" spans="1:15" ht="15" x14ac:dyDescent="0.2">
      <c r="A1099" s="11">
        <v>2041</v>
      </c>
      <c r="B1099" s="32">
        <f t="shared" ref="B1099:O1099" si="28">AVERAGE(B350:B361)</f>
        <v>5.4292249999999989</v>
      </c>
      <c r="C1099" s="32">
        <f t="shared" si="28"/>
        <v>5.4292249999999989</v>
      </c>
      <c r="D1099" s="32">
        <f t="shared" si="28"/>
        <v>5.430483333333334</v>
      </c>
      <c r="E1099" s="32">
        <f t="shared" si="28"/>
        <v>6.6440333333333328</v>
      </c>
      <c r="F1099" s="32">
        <f t="shared" si="28"/>
        <v>6.6440333333333328</v>
      </c>
      <c r="G1099" s="32">
        <f t="shared" si="28"/>
        <v>6.6483583333333343</v>
      </c>
      <c r="H1099" s="32">
        <f t="shared" si="28"/>
        <v>11.548666666666668</v>
      </c>
      <c r="I1099" s="32">
        <f t="shared" si="28"/>
        <v>11.552999999999999</v>
      </c>
      <c r="J1099" s="32">
        <f t="shared" si="28"/>
        <v>11.548666666666668</v>
      </c>
      <c r="K1099" s="32">
        <f t="shared" si="28"/>
        <v>11.552999999999999</v>
      </c>
      <c r="L1099" s="32">
        <f t="shared" si="28"/>
        <v>6.6440333333333328</v>
      </c>
      <c r="M1099" s="32">
        <f t="shared" si="28"/>
        <v>6.6483583333333343</v>
      </c>
      <c r="N1099" s="32">
        <f t="shared" si="28"/>
        <v>6.6440333333333328</v>
      </c>
      <c r="O1099" s="32">
        <f t="shared" si="28"/>
        <v>6.6483583333333343</v>
      </c>
    </row>
    <row r="1100" spans="1:15" ht="15" x14ac:dyDescent="0.2">
      <c r="A1100" s="11">
        <v>2042</v>
      </c>
      <c r="B1100" s="32">
        <f t="shared" ref="B1100:O1100" si="29">AVERAGE(B362:B373)</f>
        <v>5.5523500000000006</v>
      </c>
      <c r="C1100" s="32">
        <f t="shared" si="29"/>
        <v>5.5523500000000006</v>
      </c>
      <c r="D1100" s="32">
        <f t="shared" si="29"/>
        <v>5.5536416666666675</v>
      </c>
      <c r="E1100" s="32">
        <f t="shared" si="29"/>
        <v>6.6822333333333335</v>
      </c>
      <c r="F1100" s="32">
        <f t="shared" si="29"/>
        <v>6.6822333333333335</v>
      </c>
      <c r="G1100" s="32">
        <f t="shared" si="29"/>
        <v>6.6865499999999995</v>
      </c>
      <c r="H1100" s="32">
        <f t="shared" si="29"/>
        <v>11.840716666666664</v>
      </c>
      <c r="I1100" s="32">
        <f t="shared" si="29"/>
        <v>11.845033333333333</v>
      </c>
      <c r="J1100" s="32">
        <f t="shared" si="29"/>
        <v>11.840716666666664</v>
      </c>
      <c r="K1100" s="32">
        <f t="shared" si="29"/>
        <v>11.845033333333333</v>
      </c>
      <c r="L1100" s="32">
        <f t="shared" si="29"/>
        <v>6.6822333333333335</v>
      </c>
      <c r="M1100" s="32">
        <f t="shared" si="29"/>
        <v>6.6865499999999995</v>
      </c>
      <c r="N1100" s="32">
        <f t="shared" si="29"/>
        <v>6.6822333333333335</v>
      </c>
      <c r="O1100" s="32">
        <f t="shared" si="29"/>
        <v>6.6865499999999995</v>
      </c>
    </row>
    <row r="1101" spans="1:15" ht="15" x14ac:dyDescent="0.2">
      <c r="A1101" s="11">
        <v>2043</v>
      </c>
      <c r="B1101" s="32">
        <f t="shared" ref="B1101:O1101" si="30">AVERAGE(B374:B385)</f>
        <v>5.6783000000000001</v>
      </c>
      <c r="C1101" s="32">
        <f t="shared" si="30"/>
        <v>5.6783000000000001</v>
      </c>
      <c r="D1101" s="32">
        <f t="shared" si="30"/>
        <v>5.6795749999999998</v>
      </c>
      <c r="E1101" s="32">
        <f t="shared" si="30"/>
        <v>6.72445</v>
      </c>
      <c r="F1101" s="32">
        <f t="shared" si="30"/>
        <v>6.72445</v>
      </c>
      <c r="G1101" s="32">
        <f t="shared" si="30"/>
        <v>6.7287666666666661</v>
      </c>
      <c r="H1101" s="32">
        <f t="shared" si="30"/>
        <v>12.140158333333332</v>
      </c>
      <c r="I1101" s="32">
        <f t="shared" si="30"/>
        <v>12.144483333333334</v>
      </c>
      <c r="J1101" s="32">
        <f t="shared" si="30"/>
        <v>12.140158333333332</v>
      </c>
      <c r="K1101" s="32">
        <f t="shared" si="30"/>
        <v>12.144483333333334</v>
      </c>
      <c r="L1101" s="32">
        <f t="shared" si="30"/>
        <v>6.72445</v>
      </c>
      <c r="M1101" s="32">
        <f t="shared" si="30"/>
        <v>6.7287666666666661</v>
      </c>
      <c r="N1101" s="32">
        <f t="shared" si="30"/>
        <v>6.72445</v>
      </c>
      <c r="O1101" s="32">
        <f t="shared" si="30"/>
        <v>6.7287666666666661</v>
      </c>
    </row>
    <row r="1102" spans="1:15" ht="15" x14ac:dyDescent="0.2">
      <c r="A1102" s="11">
        <v>2044</v>
      </c>
      <c r="B1102" s="32">
        <f t="shared" ref="B1102:O1102" si="31">AVERAGE(B386:B397)</f>
        <v>5.807083333333332</v>
      </c>
      <c r="C1102" s="32">
        <f t="shared" si="31"/>
        <v>5.807083333333332</v>
      </c>
      <c r="D1102" s="32">
        <f t="shared" si="31"/>
        <v>5.8083583333333335</v>
      </c>
      <c r="E1102" s="32">
        <f t="shared" si="31"/>
        <v>6.774516666666667</v>
      </c>
      <c r="F1102" s="32">
        <f t="shared" si="31"/>
        <v>6.774516666666667</v>
      </c>
      <c r="G1102" s="32">
        <f t="shared" si="31"/>
        <v>6.7788249999999985</v>
      </c>
      <c r="H1102" s="32">
        <f t="shared" si="31"/>
        <v>12.447166666666668</v>
      </c>
      <c r="I1102" s="32">
        <f t="shared" si="31"/>
        <v>12.451491666666664</v>
      </c>
      <c r="J1102" s="32">
        <f t="shared" si="31"/>
        <v>12.447166666666668</v>
      </c>
      <c r="K1102" s="32">
        <f t="shared" si="31"/>
        <v>12.451491666666664</v>
      </c>
      <c r="L1102" s="32">
        <f t="shared" si="31"/>
        <v>6.774516666666667</v>
      </c>
      <c r="M1102" s="32">
        <f t="shared" si="31"/>
        <v>6.7788249999999985</v>
      </c>
      <c r="N1102" s="32">
        <f t="shared" si="31"/>
        <v>6.774516666666667</v>
      </c>
      <c r="O1102" s="32">
        <f t="shared" si="31"/>
        <v>6.7788249999999985</v>
      </c>
    </row>
    <row r="1103" spans="1:15" ht="15" x14ac:dyDescent="0.2">
      <c r="A1103" s="11">
        <v>2045</v>
      </c>
      <c r="B1103" s="32">
        <f t="shared" ref="B1103:O1103" si="32">AVERAGE(B398:B409)</f>
        <v>5.9387999999999996</v>
      </c>
      <c r="C1103" s="32">
        <f t="shared" si="32"/>
        <v>5.9387999999999996</v>
      </c>
      <c r="D1103" s="32">
        <f t="shared" si="32"/>
        <v>5.9400916666666665</v>
      </c>
      <c r="E1103" s="32">
        <f t="shared" si="32"/>
        <v>6.8389249999999997</v>
      </c>
      <c r="F1103" s="32">
        <f t="shared" si="32"/>
        <v>6.8389249999999997</v>
      </c>
      <c r="G1103" s="32">
        <f t="shared" si="32"/>
        <v>6.8432416666666676</v>
      </c>
      <c r="H1103" s="32">
        <f t="shared" si="32"/>
        <v>12.761933333333333</v>
      </c>
      <c r="I1103" s="32">
        <f t="shared" si="32"/>
        <v>12.766249999999999</v>
      </c>
      <c r="J1103" s="32">
        <f t="shared" si="32"/>
        <v>12.761933333333333</v>
      </c>
      <c r="K1103" s="32">
        <f t="shared" si="32"/>
        <v>12.766249999999999</v>
      </c>
      <c r="L1103" s="32">
        <f t="shared" si="32"/>
        <v>6.8389249999999997</v>
      </c>
      <c r="M1103" s="32">
        <f t="shared" si="32"/>
        <v>6.8432416666666676</v>
      </c>
      <c r="N1103" s="32">
        <f t="shared" si="32"/>
        <v>6.8389249999999997</v>
      </c>
      <c r="O1103" s="32">
        <f t="shared" si="32"/>
        <v>6.8432416666666676</v>
      </c>
    </row>
    <row r="1104" spans="1:15" ht="15" x14ac:dyDescent="0.2">
      <c r="A1104" s="11">
        <v>2046</v>
      </c>
      <c r="B1104" s="32">
        <f t="shared" ref="B1104:O1104" si="33">AVERAGE(B410:B421)</f>
        <v>6.073525000000001</v>
      </c>
      <c r="C1104" s="32">
        <f t="shared" si="33"/>
        <v>6.073525000000001</v>
      </c>
      <c r="D1104" s="32">
        <f t="shared" si="33"/>
        <v>6.0748083333333343</v>
      </c>
      <c r="E1104" s="32">
        <f t="shared" si="33"/>
        <v>6.9243500000000004</v>
      </c>
      <c r="F1104" s="32">
        <f t="shared" si="33"/>
        <v>6.9243500000000004</v>
      </c>
      <c r="G1104" s="32">
        <f t="shared" si="33"/>
        <v>6.9286583333333338</v>
      </c>
      <c r="H1104" s="32">
        <f t="shared" si="33"/>
        <v>13.084658333333332</v>
      </c>
      <c r="I1104" s="32">
        <f t="shared" si="33"/>
        <v>13.088974999999998</v>
      </c>
      <c r="J1104" s="32">
        <f t="shared" si="33"/>
        <v>13.084658333333332</v>
      </c>
      <c r="K1104" s="32">
        <f t="shared" si="33"/>
        <v>13.088974999999998</v>
      </c>
      <c r="L1104" s="32">
        <f t="shared" si="33"/>
        <v>6.9243500000000004</v>
      </c>
      <c r="M1104" s="32">
        <f t="shared" si="33"/>
        <v>6.9286583333333338</v>
      </c>
      <c r="N1104" s="32">
        <f t="shared" si="33"/>
        <v>6.9243500000000004</v>
      </c>
      <c r="O1104" s="32">
        <f t="shared" si="33"/>
        <v>6.9286583333333338</v>
      </c>
    </row>
    <row r="1105" spans="1:15" ht="15" x14ac:dyDescent="0.2">
      <c r="A1105" s="11">
        <v>2047</v>
      </c>
      <c r="B1105" s="32">
        <f t="shared" ref="B1105:O1105" si="34">AVERAGE(B422:B433)</f>
        <v>6.2112833333333333</v>
      </c>
      <c r="C1105" s="32">
        <f t="shared" si="34"/>
        <v>6.2112833333333333</v>
      </c>
      <c r="D1105" s="32">
        <f t="shared" si="34"/>
        <v>6.2125750000000011</v>
      </c>
      <c r="E1105" s="32">
        <f t="shared" si="34"/>
        <v>7.0300916666666664</v>
      </c>
      <c r="F1105" s="32">
        <f t="shared" si="34"/>
        <v>7.0300916666666664</v>
      </c>
      <c r="G1105" s="32">
        <f t="shared" si="34"/>
        <v>7.0343999999999989</v>
      </c>
      <c r="H1105" s="32">
        <f t="shared" si="34"/>
        <v>13.415558333333335</v>
      </c>
      <c r="I1105" s="32">
        <f t="shared" si="34"/>
        <v>13.419874999999998</v>
      </c>
      <c r="J1105" s="32">
        <f t="shared" si="34"/>
        <v>13.415558333333335</v>
      </c>
      <c r="K1105" s="32">
        <f t="shared" si="34"/>
        <v>13.419874999999998</v>
      </c>
      <c r="L1105" s="32">
        <f t="shared" si="34"/>
        <v>7.0300916666666664</v>
      </c>
      <c r="M1105" s="32">
        <f t="shared" si="34"/>
        <v>7.0343999999999989</v>
      </c>
      <c r="N1105" s="32">
        <f t="shared" si="34"/>
        <v>7.0300916666666664</v>
      </c>
      <c r="O1105" s="32">
        <f t="shared" si="34"/>
        <v>7.0343999999999989</v>
      </c>
    </row>
    <row r="1106" spans="1:15" ht="15" x14ac:dyDescent="0.2">
      <c r="A1106" s="11">
        <v>2048</v>
      </c>
      <c r="B1106" s="32">
        <f t="shared" ref="B1106:O1106" si="35">AVERAGE(B434:B445)</f>
        <v>6.3522166666666671</v>
      </c>
      <c r="C1106" s="32">
        <f t="shared" si="35"/>
        <v>6.3522166666666671</v>
      </c>
      <c r="D1106" s="32">
        <f t="shared" si="35"/>
        <v>6.3534666666666668</v>
      </c>
      <c r="E1106" s="32">
        <f t="shared" si="35"/>
        <v>7.1572916666666666</v>
      </c>
      <c r="F1106" s="32">
        <f t="shared" si="35"/>
        <v>7.1572916666666666</v>
      </c>
      <c r="G1106" s="32">
        <f t="shared" si="35"/>
        <v>7.1615916666666672</v>
      </c>
      <c r="H1106" s="32">
        <f t="shared" si="35"/>
        <v>13.754816666666668</v>
      </c>
      <c r="I1106" s="32">
        <f t="shared" si="35"/>
        <v>13.759133333333336</v>
      </c>
      <c r="J1106" s="32">
        <f t="shared" si="35"/>
        <v>13.754816666666668</v>
      </c>
      <c r="K1106" s="32">
        <f t="shared" si="35"/>
        <v>13.759133333333336</v>
      </c>
      <c r="L1106" s="32">
        <f t="shared" si="35"/>
        <v>7.1572916666666666</v>
      </c>
      <c r="M1106" s="32">
        <f t="shared" si="35"/>
        <v>7.1615916666666672</v>
      </c>
      <c r="N1106" s="32">
        <f t="shared" si="35"/>
        <v>7.1572916666666666</v>
      </c>
      <c r="O1106" s="32">
        <f t="shared" si="35"/>
        <v>7.1615916666666672</v>
      </c>
    </row>
    <row r="1107" spans="1:15" ht="15" x14ac:dyDescent="0.2">
      <c r="A1107" s="11">
        <v>2049</v>
      </c>
      <c r="B1107" s="32">
        <f t="shared" ref="B1107:O1107" si="36">AVERAGE(B446:B457)</f>
        <v>6.4963166666666652</v>
      </c>
      <c r="C1107" s="32">
        <f t="shared" si="36"/>
        <v>6.4963166666666652</v>
      </c>
      <c r="D1107" s="32">
        <f t="shared" si="36"/>
        <v>6.4976000000000012</v>
      </c>
      <c r="E1107" s="32">
        <f t="shared" si="36"/>
        <v>7.3044833333333328</v>
      </c>
      <c r="F1107" s="32">
        <f t="shared" si="36"/>
        <v>7.3044833333333328</v>
      </c>
      <c r="G1107" s="32">
        <f t="shared" si="36"/>
        <v>7.3087833333333334</v>
      </c>
      <c r="H1107" s="32">
        <f t="shared" si="36"/>
        <v>14.102649999999999</v>
      </c>
      <c r="I1107" s="32">
        <f t="shared" si="36"/>
        <v>14.106966666666667</v>
      </c>
      <c r="J1107" s="32">
        <f t="shared" si="36"/>
        <v>14.102649999999999</v>
      </c>
      <c r="K1107" s="32">
        <f t="shared" si="36"/>
        <v>14.106966666666667</v>
      </c>
      <c r="L1107" s="32">
        <f t="shared" si="36"/>
        <v>7.3044833333333328</v>
      </c>
      <c r="M1107" s="32">
        <f t="shared" si="36"/>
        <v>7.3087833333333334</v>
      </c>
      <c r="N1107" s="32">
        <f t="shared" si="36"/>
        <v>7.3044833333333328</v>
      </c>
      <c r="O1107" s="32">
        <f t="shared" si="36"/>
        <v>7.3087833333333334</v>
      </c>
    </row>
    <row r="1108" spans="1:15" ht="15" x14ac:dyDescent="0.2">
      <c r="A1108" s="11">
        <v>2050</v>
      </c>
      <c r="B1108" s="32">
        <f t="shared" ref="B1108:O1108" si="37">AVERAGE(B458:B469)</f>
        <v>6.6436749999999982</v>
      </c>
      <c r="C1108" s="32">
        <f t="shared" si="37"/>
        <v>6.6436749999999982</v>
      </c>
      <c r="D1108" s="32">
        <f t="shared" si="37"/>
        <v>6.6449666666666678</v>
      </c>
      <c r="E1108" s="32">
        <f t="shared" si="37"/>
        <v>7.4640833333333338</v>
      </c>
      <c r="F1108" s="32">
        <f t="shared" si="37"/>
        <v>7.4640833333333338</v>
      </c>
      <c r="G1108" s="32">
        <f t="shared" si="37"/>
        <v>7.4683916666666663</v>
      </c>
      <c r="H1108" s="32">
        <f t="shared" si="37"/>
        <v>14.459291666666667</v>
      </c>
      <c r="I1108" s="32">
        <f t="shared" si="37"/>
        <v>14.463608333333331</v>
      </c>
      <c r="J1108" s="32">
        <f t="shared" si="37"/>
        <v>14.459291666666667</v>
      </c>
      <c r="K1108" s="32">
        <f t="shared" si="37"/>
        <v>14.463608333333331</v>
      </c>
      <c r="L1108" s="32">
        <f t="shared" si="37"/>
        <v>7.4640833333333338</v>
      </c>
      <c r="M1108" s="32">
        <f t="shared" si="37"/>
        <v>7.4683916666666663</v>
      </c>
      <c r="N1108" s="32">
        <f t="shared" si="37"/>
        <v>7.4640833333333338</v>
      </c>
      <c r="O1108" s="32">
        <f t="shared" si="37"/>
        <v>7.4683916666666663</v>
      </c>
    </row>
    <row r="1109" spans="1:15" ht="15" x14ac:dyDescent="0.2">
      <c r="A1109" s="11">
        <v>2051</v>
      </c>
      <c r="B1109" s="32">
        <f t="shared" ref="B1109:O1109" si="38">AVERAGE(B470:B481)</f>
        <v>6.7943916666666659</v>
      </c>
      <c r="C1109" s="32">
        <f t="shared" si="38"/>
        <v>6.7943916666666659</v>
      </c>
      <c r="D1109" s="32">
        <f t="shared" si="38"/>
        <v>6.7957000000000001</v>
      </c>
      <c r="E1109" s="32">
        <f t="shared" si="38"/>
        <v>7.627958333333333</v>
      </c>
      <c r="F1109" s="32">
        <f t="shared" si="38"/>
        <v>7.627958333333333</v>
      </c>
      <c r="G1109" s="32">
        <f t="shared" si="38"/>
        <v>7.6322916666666671</v>
      </c>
      <c r="H1109" s="32">
        <f t="shared" si="38"/>
        <v>14.824925</v>
      </c>
      <c r="I1109" s="32">
        <f t="shared" si="38"/>
        <v>14.82925833333333</v>
      </c>
      <c r="J1109" s="32">
        <f t="shared" si="38"/>
        <v>14.824925</v>
      </c>
      <c r="K1109" s="32">
        <f t="shared" si="38"/>
        <v>14.82925833333333</v>
      </c>
      <c r="L1109" s="32">
        <f t="shared" si="38"/>
        <v>7.627958333333333</v>
      </c>
      <c r="M1109" s="32">
        <f t="shared" si="38"/>
        <v>7.6322916666666671</v>
      </c>
      <c r="N1109" s="32">
        <f t="shared" si="38"/>
        <v>7.627958333333333</v>
      </c>
      <c r="O1109" s="32">
        <f t="shared" si="38"/>
        <v>7.6322916666666671</v>
      </c>
    </row>
    <row r="1110" spans="1:15" ht="15" x14ac:dyDescent="0.2">
      <c r="A1110" s="11">
        <v>2052</v>
      </c>
      <c r="B1110" s="32">
        <f t="shared" ref="B1110:O1110" si="39">AVERAGE(B482:B493)</f>
        <v>6.9485583333333336</v>
      </c>
      <c r="C1110" s="32">
        <f t="shared" si="39"/>
        <v>6.9485583333333336</v>
      </c>
      <c r="D1110" s="32">
        <f t="shared" si="39"/>
        <v>6.9498499999999988</v>
      </c>
      <c r="E1110" s="32">
        <f t="shared" si="39"/>
        <v>7.7962999999999996</v>
      </c>
      <c r="F1110" s="32">
        <f t="shared" si="39"/>
        <v>7.7962999999999996</v>
      </c>
      <c r="G1110" s="32">
        <f t="shared" si="39"/>
        <v>7.8006083333333338</v>
      </c>
      <c r="H1110" s="32">
        <f t="shared" si="39"/>
        <v>15.19985</v>
      </c>
      <c r="I1110" s="32">
        <f t="shared" si="39"/>
        <v>15.204166666666671</v>
      </c>
      <c r="J1110" s="32">
        <f t="shared" si="39"/>
        <v>15.19985</v>
      </c>
      <c r="K1110" s="32">
        <f t="shared" si="39"/>
        <v>15.204166666666671</v>
      </c>
      <c r="L1110" s="32">
        <f t="shared" si="39"/>
        <v>7.7962999999999996</v>
      </c>
      <c r="M1110" s="32">
        <f t="shared" si="39"/>
        <v>7.8006083333333338</v>
      </c>
      <c r="N1110" s="32">
        <f t="shared" si="39"/>
        <v>7.7962999999999996</v>
      </c>
      <c r="O1110" s="32">
        <f t="shared" si="39"/>
        <v>7.8006083333333338</v>
      </c>
    </row>
    <row r="1111" spans="1:15" ht="15" x14ac:dyDescent="0.2">
      <c r="A1111" s="11">
        <v>2053</v>
      </c>
      <c r="B1111" s="32">
        <f t="shared" ref="B1111:O1111" si="40">AVERAGE(B494:B505)</f>
        <v>7.1062166666666675</v>
      </c>
      <c r="C1111" s="32">
        <f t="shared" si="40"/>
        <v>7.1062166666666675</v>
      </c>
      <c r="D1111" s="32">
        <f t="shared" si="40"/>
        <v>7.1075000000000008</v>
      </c>
      <c r="E1111" s="32">
        <f t="shared" si="40"/>
        <v>7.9691916666666662</v>
      </c>
      <c r="F1111" s="32">
        <f t="shared" si="40"/>
        <v>7.9691916666666662</v>
      </c>
      <c r="G1111" s="32">
        <f t="shared" si="40"/>
        <v>7.9735166666666659</v>
      </c>
      <c r="H1111" s="32">
        <f t="shared" si="40"/>
        <v>15.584200000000001</v>
      </c>
      <c r="I1111" s="32">
        <f t="shared" si="40"/>
        <v>15.588533333333332</v>
      </c>
      <c r="J1111" s="32">
        <f t="shared" si="40"/>
        <v>15.584200000000001</v>
      </c>
      <c r="K1111" s="32">
        <f t="shared" si="40"/>
        <v>15.588533333333332</v>
      </c>
      <c r="L1111" s="32">
        <f t="shared" si="40"/>
        <v>7.9691916666666662</v>
      </c>
      <c r="M1111" s="32">
        <f t="shared" si="40"/>
        <v>7.9735166666666659</v>
      </c>
      <c r="N1111" s="32">
        <f t="shared" si="40"/>
        <v>7.9691916666666662</v>
      </c>
      <c r="O1111" s="32">
        <f t="shared" si="40"/>
        <v>7.9735166666666659</v>
      </c>
    </row>
    <row r="1112" spans="1:15" ht="15" x14ac:dyDescent="0.2">
      <c r="A1112" s="11">
        <v>2054</v>
      </c>
      <c r="B1112" s="32">
        <f t="shared" ref="B1112:O1112" si="41">AVERAGE(B506:B517)</f>
        <v>7.2674666666666674</v>
      </c>
      <c r="C1112" s="32">
        <f t="shared" si="41"/>
        <v>7.2674666666666674</v>
      </c>
      <c r="D1112" s="32">
        <f t="shared" si="41"/>
        <v>7.2687416666666671</v>
      </c>
      <c r="E1112" s="32">
        <f t="shared" si="41"/>
        <v>8.1467749999999999</v>
      </c>
      <c r="F1112" s="32">
        <f t="shared" si="41"/>
        <v>8.1467749999999999</v>
      </c>
      <c r="G1112" s="32">
        <f t="shared" si="41"/>
        <v>8.151091666666666</v>
      </c>
      <c r="H1112" s="32">
        <f t="shared" si="41"/>
        <v>15.978316666666665</v>
      </c>
      <c r="I1112" s="32">
        <f t="shared" si="41"/>
        <v>15.982641666666666</v>
      </c>
      <c r="J1112" s="32">
        <f t="shared" si="41"/>
        <v>15.978316666666665</v>
      </c>
      <c r="K1112" s="32">
        <f t="shared" si="41"/>
        <v>15.982641666666666</v>
      </c>
      <c r="L1112" s="32">
        <f t="shared" si="41"/>
        <v>8.1467749999999999</v>
      </c>
      <c r="M1112" s="32">
        <f t="shared" si="41"/>
        <v>8.151091666666666</v>
      </c>
      <c r="N1112" s="32">
        <f t="shared" si="41"/>
        <v>8.1467749999999999</v>
      </c>
      <c r="O1112" s="32">
        <f t="shared" si="41"/>
        <v>8.151091666666666</v>
      </c>
    </row>
    <row r="1113" spans="1:15" ht="15" x14ac:dyDescent="0.2">
      <c r="A1113" s="11">
        <v>2055</v>
      </c>
      <c r="B1113" s="32">
        <f t="shared" ref="B1113:O1113" si="42">AVERAGE(B18:B529)</f>
        <v>4.792328852837425</v>
      </c>
      <c r="C1113" s="32">
        <f t="shared" si="42"/>
        <v>4.7910062366832378</v>
      </c>
      <c r="D1113" s="32">
        <f t="shared" si="42"/>
        <v>4.7941232542613639</v>
      </c>
      <c r="E1113" s="32">
        <f t="shared" si="42"/>
        <v>5.8382347357235842</v>
      </c>
      <c r="F1113" s="32">
        <f t="shared" si="42"/>
        <v>5.8204393140889827</v>
      </c>
      <c r="G1113" s="32">
        <f t="shared" si="42"/>
        <v>5.825210886354613</v>
      </c>
      <c r="H1113" s="32">
        <f t="shared" si="42"/>
        <v>10.203293028047415</v>
      </c>
      <c r="I1113" s="32">
        <f t="shared" si="42"/>
        <v>10.208068506563032</v>
      </c>
      <c r="J1113" s="32">
        <f t="shared" si="42"/>
        <v>10.203293028047415</v>
      </c>
      <c r="K1113" s="32">
        <f t="shared" si="42"/>
        <v>10.208068506563032</v>
      </c>
      <c r="L1113" s="32">
        <f t="shared" si="42"/>
        <v>5.8382347357235842</v>
      </c>
      <c r="M1113" s="32">
        <f t="shared" si="42"/>
        <v>5.8430047454892149</v>
      </c>
      <c r="N1113" s="32">
        <f t="shared" si="42"/>
        <v>5.8382347357235842</v>
      </c>
      <c r="O1113" s="32">
        <f t="shared" si="42"/>
        <v>5.8430047454892149</v>
      </c>
    </row>
    <row r="1114" spans="1:15" ht="15" x14ac:dyDescent="0.2">
      <c r="A1114" s="11">
        <v>2056</v>
      </c>
      <c r="B1114" s="32">
        <f t="shared" ref="B1114:O1114" si="43">AVERAGE(B530:B541)</f>
        <v>7.6010166666666663</v>
      </c>
      <c r="C1114" s="32">
        <f t="shared" si="43"/>
        <v>7.6010166666666663</v>
      </c>
      <c r="D1114" s="32">
        <f t="shared" si="43"/>
        <v>7.6022833333333333</v>
      </c>
      <c r="E1114" s="32">
        <f t="shared" si="43"/>
        <v>8.5165749999999996</v>
      </c>
      <c r="F1114" s="32">
        <f t="shared" si="43"/>
        <v>8.5165749999999996</v>
      </c>
      <c r="G1114" s="32">
        <f t="shared" si="43"/>
        <v>8.5208916666666674</v>
      </c>
      <c r="H1114" s="32">
        <f t="shared" si="43"/>
        <v>16.796683333333334</v>
      </c>
      <c r="I1114" s="32">
        <f t="shared" si="43"/>
        <v>16.800983333333331</v>
      </c>
      <c r="J1114" s="32">
        <f t="shared" si="43"/>
        <v>16.796683333333334</v>
      </c>
      <c r="K1114" s="32">
        <f t="shared" si="43"/>
        <v>16.800983333333331</v>
      </c>
      <c r="L1114" s="32">
        <f t="shared" si="43"/>
        <v>8.5165749999999996</v>
      </c>
      <c r="M1114" s="32">
        <f t="shared" si="43"/>
        <v>8.5208916666666674</v>
      </c>
      <c r="N1114" s="32">
        <f t="shared" si="43"/>
        <v>8.5165749999999996</v>
      </c>
      <c r="O1114" s="32">
        <f t="shared" si="43"/>
        <v>8.5208916666666674</v>
      </c>
    </row>
    <row r="1115" spans="1:15" ht="15" x14ac:dyDescent="0.2">
      <c r="A1115" s="11">
        <v>2057</v>
      </c>
      <c r="B1115" s="32">
        <f t="shared" ref="B1115:O1115" si="44">AVERAGE(B542:B553)</f>
        <v>7.7734750000000012</v>
      </c>
      <c r="C1115" s="32">
        <f t="shared" si="44"/>
        <v>7.7734750000000012</v>
      </c>
      <c r="D1115" s="32">
        <f t="shared" si="44"/>
        <v>7.7747666666666655</v>
      </c>
      <c r="E1115" s="32">
        <f t="shared" si="44"/>
        <v>8.7090916666666676</v>
      </c>
      <c r="F1115" s="32">
        <f t="shared" si="44"/>
        <v>8.7090916666666676</v>
      </c>
      <c r="G1115" s="32">
        <f t="shared" si="44"/>
        <v>8.7134166666666655</v>
      </c>
      <c r="H1115" s="32">
        <f t="shared" si="44"/>
        <v>17.221425</v>
      </c>
      <c r="I1115" s="32">
        <f t="shared" si="44"/>
        <v>17.225741666666668</v>
      </c>
      <c r="J1115" s="32">
        <f t="shared" si="44"/>
        <v>17.221425</v>
      </c>
      <c r="K1115" s="32">
        <f t="shared" si="44"/>
        <v>17.225741666666668</v>
      </c>
      <c r="L1115" s="32">
        <f t="shared" si="44"/>
        <v>8.7090916666666676</v>
      </c>
      <c r="M1115" s="32">
        <f t="shared" si="44"/>
        <v>8.7134166666666655</v>
      </c>
      <c r="N1115" s="32">
        <f t="shared" si="44"/>
        <v>8.7090916666666676</v>
      </c>
      <c r="O1115" s="32">
        <f t="shared" si="44"/>
        <v>8.7134166666666655</v>
      </c>
    </row>
    <row r="1116" spans="1:15" ht="15" x14ac:dyDescent="0.2">
      <c r="A1116" s="11">
        <v>2058</v>
      </c>
      <c r="B1116" s="32">
        <f t="shared" ref="B1116:O1116" si="45">AVERAGE(B554:B565)</f>
        <v>7.9498749999999996</v>
      </c>
      <c r="C1116" s="32">
        <f t="shared" si="45"/>
        <v>7.9498749999999996</v>
      </c>
      <c r="D1116" s="32">
        <f t="shared" si="45"/>
        <v>7.9511750000000019</v>
      </c>
      <c r="E1116" s="32">
        <f t="shared" si="45"/>
        <v>8.9068749999999994</v>
      </c>
      <c r="F1116" s="32">
        <f t="shared" si="45"/>
        <v>8.9068749999999994</v>
      </c>
      <c r="G1116" s="32">
        <f t="shared" si="45"/>
        <v>8.9111916666666673</v>
      </c>
      <c r="H1116" s="32">
        <f t="shared" si="45"/>
        <v>17.656933333333335</v>
      </c>
      <c r="I1116" s="32">
        <f t="shared" si="45"/>
        <v>17.661258333333333</v>
      </c>
      <c r="J1116" s="32">
        <f t="shared" si="45"/>
        <v>17.656933333333335</v>
      </c>
      <c r="K1116" s="32">
        <f t="shared" si="45"/>
        <v>17.661258333333333</v>
      </c>
      <c r="L1116" s="32">
        <f t="shared" si="45"/>
        <v>8.9068749999999994</v>
      </c>
      <c r="M1116" s="32">
        <f t="shared" si="45"/>
        <v>8.9111916666666673</v>
      </c>
      <c r="N1116" s="32">
        <f t="shared" si="45"/>
        <v>8.9068749999999994</v>
      </c>
      <c r="O1116" s="32">
        <f t="shared" si="45"/>
        <v>8.9111916666666673</v>
      </c>
    </row>
    <row r="1117" spans="1:15" ht="15" x14ac:dyDescent="0.2">
      <c r="A1117" s="11">
        <v>2059</v>
      </c>
      <c r="B1117" s="32">
        <f t="shared" ref="B1117:O1117" si="46">AVERAGE(B566:B577)</f>
        <v>8.1302916666666665</v>
      </c>
      <c r="C1117" s="32">
        <f t="shared" si="46"/>
        <v>8.1302916666666665</v>
      </c>
      <c r="D1117" s="32">
        <f t="shared" si="46"/>
        <v>8.1315833333333334</v>
      </c>
      <c r="E1117" s="32">
        <f t="shared" si="46"/>
        <v>9.1100750000000001</v>
      </c>
      <c r="F1117" s="32">
        <f t="shared" si="46"/>
        <v>9.1100750000000001</v>
      </c>
      <c r="G1117" s="32">
        <f t="shared" si="46"/>
        <v>9.1143999999999981</v>
      </c>
      <c r="H1117" s="32">
        <f t="shared" si="46"/>
        <v>18.103449999999999</v>
      </c>
      <c r="I1117" s="32">
        <f t="shared" si="46"/>
        <v>18.107775</v>
      </c>
      <c r="J1117" s="32">
        <f t="shared" si="46"/>
        <v>18.103449999999999</v>
      </c>
      <c r="K1117" s="32">
        <f t="shared" si="46"/>
        <v>18.107775</v>
      </c>
      <c r="L1117" s="32">
        <f t="shared" si="46"/>
        <v>9.1100750000000001</v>
      </c>
      <c r="M1117" s="32">
        <f t="shared" si="46"/>
        <v>9.1143999999999981</v>
      </c>
      <c r="N1117" s="32">
        <f t="shared" si="46"/>
        <v>9.1100750000000001</v>
      </c>
      <c r="O1117" s="32">
        <f t="shared" si="46"/>
        <v>9.1143999999999981</v>
      </c>
    </row>
    <row r="1118" spans="1:15" ht="15" x14ac:dyDescent="0.2">
      <c r="A1118" s="11">
        <v>2060</v>
      </c>
      <c r="B1118" s="32">
        <f t="shared" ref="B1118:O1118" si="47">AVERAGE(B578:B589)</f>
        <v>8.3147999999999982</v>
      </c>
      <c r="C1118" s="32">
        <f t="shared" si="47"/>
        <v>8.3147999999999982</v>
      </c>
      <c r="D1118" s="32">
        <f t="shared" si="47"/>
        <v>8.3160749999999997</v>
      </c>
      <c r="E1118" s="32">
        <f t="shared" si="47"/>
        <v>9.3188999999999993</v>
      </c>
      <c r="F1118" s="32">
        <f t="shared" si="47"/>
        <v>9.3188999999999993</v>
      </c>
      <c r="G1118" s="32">
        <f t="shared" si="47"/>
        <v>9.3232000000000017</v>
      </c>
      <c r="H1118" s="32">
        <f t="shared" si="47"/>
        <v>18.561266666666665</v>
      </c>
      <c r="I1118" s="32">
        <f t="shared" si="47"/>
        <v>18.565583333333333</v>
      </c>
      <c r="J1118" s="32">
        <f t="shared" si="47"/>
        <v>18.561266666666665</v>
      </c>
      <c r="K1118" s="32">
        <f t="shared" si="47"/>
        <v>18.565583333333333</v>
      </c>
      <c r="L1118" s="32">
        <f t="shared" si="47"/>
        <v>9.3188999999999993</v>
      </c>
      <c r="M1118" s="32">
        <f t="shared" si="47"/>
        <v>9.3232000000000017</v>
      </c>
      <c r="N1118" s="32">
        <f t="shared" si="47"/>
        <v>9.3188999999999993</v>
      </c>
      <c r="O1118" s="32">
        <f t="shared" si="47"/>
        <v>9.3232000000000017</v>
      </c>
    </row>
    <row r="1119" spans="1:15" ht="15" x14ac:dyDescent="0.2">
      <c r="A1119" s="11">
        <v>2061</v>
      </c>
      <c r="B1119" s="32">
        <f t="shared" ref="B1119:O1119" si="48">AVERAGE(B590:B601)</f>
        <v>8.5034916666666671</v>
      </c>
      <c r="C1119" s="32">
        <f t="shared" si="48"/>
        <v>8.5034916666666671</v>
      </c>
      <c r="D1119" s="32">
        <f t="shared" si="48"/>
        <v>8.5047749999999986</v>
      </c>
      <c r="E1119" s="32">
        <f t="shared" si="48"/>
        <v>9.5334583333333338</v>
      </c>
      <c r="F1119" s="32">
        <f t="shared" si="48"/>
        <v>9.5334583333333338</v>
      </c>
      <c r="G1119" s="32">
        <f t="shared" si="48"/>
        <v>9.5377750000000017</v>
      </c>
      <c r="H1119" s="32">
        <f t="shared" si="48"/>
        <v>19.030649999999998</v>
      </c>
      <c r="I1119" s="32">
        <f t="shared" si="48"/>
        <v>19.034975000000003</v>
      </c>
      <c r="J1119" s="32">
        <f t="shared" si="48"/>
        <v>19.030649999999998</v>
      </c>
      <c r="K1119" s="32">
        <f t="shared" si="48"/>
        <v>19.034975000000003</v>
      </c>
      <c r="L1119" s="32">
        <f t="shared" si="48"/>
        <v>9.5334583333333338</v>
      </c>
      <c r="M1119" s="32">
        <f t="shared" si="48"/>
        <v>9.5377750000000017</v>
      </c>
      <c r="N1119" s="32">
        <f t="shared" si="48"/>
        <v>9.5334583333333338</v>
      </c>
      <c r="O1119" s="32">
        <f t="shared" si="48"/>
        <v>9.5377750000000017</v>
      </c>
    </row>
    <row r="1120" spans="1:15" ht="15" x14ac:dyDescent="0.2">
      <c r="A1120" s="11">
        <v>2062</v>
      </c>
      <c r="B1120" s="32">
        <f t="shared" ref="B1120:O1129" ca="1" si="49">AVERAGE(OFFSET(B$602,($A1120-$A$1120)*12,0,12,1))</f>
        <v>8.6921999999999979</v>
      </c>
      <c r="C1120" s="32">
        <f t="shared" ca="1" si="49"/>
        <v>8.6921999999999979</v>
      </c>
      <c r="D1120" s="32">
        <f t="shared" ca="1" si="49"/>
        <v>8.6934833333333348</v>
      </c>
      <c r="E1120" s="32">
        <f t="shared" ca="1" si="49"/>
        <v>9.7480333333333338</v>
      </c>
      <c r="F1120" s="32">
        <f t="shared" ca="1" si="49"/>
        <v>9.7480333333333338</v>
      </c>
      <c r="G1120" s="32">
        <f t="shared" ca="1" si="49"/>
        <v>9.7523500000000016</v>
      </c>
      <c r="H1120" s="32">
        <f t="shared" ca="1" si="49"/>
        <v>19.500033333333331</v>
      </c>
      <c r="I1120" s="32">
        <f t="shared" ca="1" si="49"/>
        <v>19.504333333333332</v>
      </c>
      <c r="J1120" s="32">
        <f t="shared" ca="1" si="49"/>
        <v>19.500033333333331</v>
      </c>
      <c r="K1120" s="32">
        <f t="shared" ca="1" si="49"/>
        <v>19.504333333333332</v>
      </c>
      <c r="L1120" s="32">
        <f t="shared" ca="1" si="49"/>
        <v>9.7480333333333338</v>
      </c>
      <c r="M1120" s="32">
        <f t="shared" ca="1" si="49"/>
        <v>9.7523500000000016</v>
      </c>
      <c r="N1120" s="32">
        <f t="shared" ca="1" si="49"/>
        <v>9.7480333333333338</v>
      </c>
      <c r="O1120" s="32">
        <f t="shared" ca="1" si="49"/>
        <v>9.7523500000000016</v>
      </c>
    </row>
    <row r="1121" spans="1:15" ht="15" x14ac:dyDescent="0.2">
      <c r="A1121" s="11">
        <v>2063</v>
      </c>
      <c r="B1121" s="32">
        <f t="shared" ca="1" si="49"/>
        <v>8.8809083333333341</v>
      </c>
      <c r="C1121" s="32">
        <f t="shared" ca="1" si="49"/>
        <v>8.8809083333333341</v>
      </c>
      <c r="D1121" s="32">
        <f t="shared" ca="1" si="49"/>
        <v>8.8821999999999992</v>
      </c>
      <c r="E1121" s="32">
        <f t="shared" ca="1" si="49"/>
        <v>9.9625916666666665</v>
      </c>
      <c r="F1121" s="32">
        <f t="shared" ca="1" si="49"/>
        <v>9.9625916666666665</v>
      </c>
      <c r="G1121" s="32">
        <f t="shared" ca="1" si="49"/>
        <v>9.9669083333333344</v>
      </c>
      <c r="H1121" s="32">
        <f t="shared" ca="1" si="49"/>
        <v>19.969425000000001</v>
      </c>
      <c r="I1121" s="32">
        <f t="shared" ca="1" si="49"/>
        <v>19.973741666666665</v>
      </c>
      <c r="J1121" s="32">
        <f t="shared" ca="1" si="49"/>
        <v>19.969425000000001</v>
      </c>
      <c r="K1121" s="32">
        <f t="shared" ca="1" si="49"/>
        <v>19.973741666666665</v>
      </c>
      <c r="L1121" s="32">
        <f t="shared" ca="1" si="49"/>
        <v>9.9625916666666665</v>
      </c>
      <c r="M1121" s="32">
        <f t="shared" ca="1" si="49"/>
        <v>9.9669083333333344</v>
      </c>
      <c r="N1121" s="32">
        <f t="shared" ca="1" si="49"/>
        <v>9.9625916666666665</v>
      </c>
      <c r="O1121" s="32">
        <f t="shared" ca="1" si="49"/>
        <v>9.9669083333333344</v>
      </c>
    </row>
    <row r="1122" spans="1:15" ht="15" x14ac:dyDescent="0.2">
      <c r="A1122" s="11">
        <v>2064</v>
      </c>
      <c r="B1122" s="32">
        <f t="shared" ca="1" si="49"/>
        <v>9.0695916666666658</v>
      </c>
      <c r="C1122" s="32">
        <f t="shared" ca="1" si="49"/>
        <v>9.0695916666666658</v>
      </c>
      <c r="D1122" s="32">
        <f t="shared" ca="1" si="49"/>
        <v>9.0708916666666664</v>
      </c>
      <c r="E1122" s="32">
        <f t="shared" ca="1" si="49"/>
        <v>10.177166666666666</v>
      </c>
      <c r="F1122" s="32">
        <f t="shared" ca="1" si="49"/>
        <v>10.177166666666666</v>
      </c>
      <c r="G1122" s="32">
        <f t="shared" ca="1" si="49"/>
        <v>10.181483333333334</v>
      </c>
      <c r="H1122" s="32">
        <f t="shared" ca="1" si="49"/>
        <v>20.438816666666664</v>
      </c>
      <c r="I1122" s="32">
        <f t="shared" ca="1" si="49"/>
        <v>20.443133333333332</v>
      </c>
      <c r="J1122" s="32">
        <f t="shared" ca="1" si="49"/>
        <v>20.438816666666664</v>
      </c>
      <c r="K1122" s="32">
        <f t="shared" ca="1" si="49"/>
        <v>20.443133333333332</v>
      </c>
      <c r="L1122" s="32">
        <f t="shared" ca="1" si="49"/>
        <v>10.177166666666666</v>
      </c>
      <c r="M1122" s="32">
        <f t="shared" ca="1" si="49"/>
        <v>10.181483333333334</v>
      </c>
      <c r="N1122" s="32">
        <f t="shared" ca="1" si="49"/>
        <v>10.177166666666666</v>
      </c>
      <c r="O1122" s="32">
        <f t="shared" ca="1" si="49"/>
        <v>10.181483333333334</v>
      </c>
    </row>
    <row r="1123" spans="1:15" ht="15" x14ac:dyDescent="0.2">
      <c r="A1123" s="11">
        <v>2065</v>
      </c>
      <c r="B1123" s="32">
        <f t="shared" ca="1" si="49"/>
        <v>9.2583083333333338</v>
      </c>
      <c r="C1123" s="32">
        <f t="shared" ca="1" si="49"/>
        <v>9.2583083333333338</v>
      </c>
      <c r="D1123" s="32">
        <f t="shared" ca="1" si="49"/>
        <v>9.2596000000000007</v>
      </c>
      <c r="E1123" s="32">
        <f t="shared" ca="1" si="49"/>
        <v>10.391724999999999</v>
      </c>
      <c r="F1123" s="32">
        <f t="shared" ca="1" si="49"/>
        <v>10.391724999999999</v>
      </c>
      <c r="G1123" s="32">
        <f t="shared" ca="1" si="49"/>
        <v>10.396033333333333</v>
      </c>
      <c r="H1123" s="32">
        <f t="shared" ca="1" si="49"/>
        <v>20.908191666666667</v>
      </c>
      <c r="I1123" s="32">
        <f t="shared" ca="1" si="49"/>
        <v>20.912508333333331</v>
      </c>
      <c r="J1123" s="32">
        <f t="shared" ca="1" si="49"/>
        <v>20.908191666666667</v>
      </c>
      <c r="K1123" s="32">
        <f t="shared" ca="1" si="49"/>
        <v>20.912508333333331</v>
      </c>
      <c r="L1123" s="32">
        <f t="shared" ca="1" si="49"/>
        <v>10.391724999999999</v>
      </c>
      <c r="M1123" s="32">
        <f t="shared" ca="1" si="49"/>
        <v>10.396033333333333</v>
      </c>
      <c r="N1123" s="32">
        <f t="shared" ca="1" si="49"/>
        <v>10.391724999999999</v>
      </c>
      <c r="O1123" s="32">
        <f t="shared" ca="1" si="49"/>
        <v>10.396033333333333</v>
      </c>
    </row>
    <row r="1124" spans="1:15" ht="15" x14ac:dyDescent="0.2">
      <c r="A1124" s="11">
        <v>2066</v>
      </c>
      <c r="B1124" s="32">
        <f t="shared" ca="1" si="49"/>
        <v>9.447000000000001</v>
      </c>
      <c r="C1124" s="32">
        <f t="shared" ca="1" si="49"/>
        <v>9.447000000000001</v>
      </c>
      <c r="D1124" s="32">
        <f t="shared" ca="1" si="49"/>
        <v>9.4483000000000015</v>
      </c>
      <c r="E1124" s="32">
        <f t="shared" ca="1" si="49"/>
        <v>10.606275</v>
      </c>
      <c r="F1124" s="32">
        <f t="shared" ca="1" si="49"/>
        <v>10.606275</v>
      </c>
      <c r="G1124" s="32">
        <f t="shared" ca="1" si="49"/>
        <v>10.610583333333336</v>
      </c>
      <c r="H1124" s="32">
        <f t="shared" ca="1" si="49"/>
        <v>21.377583333333334</v>
      </c>
      <c r="I1124" s="32">
        <f t="shared" ca="1" si="49"/>
        <v>21.381891666666672</v>
      </c>
      <c r="J1124" s="32">
        <f t="shared" ca="1" si="49"/>
        <v>21.377583333333334</v>
      </c>
      <c r="K1124" s="32">
        <f t="shared" ca="1" si="49"/>
        <v>21.381891666666672</v>
      </c>
      <c r="L1124" s="32">
        <f t="shared" ca="1" si="49"/>
        <v>10.606275</v>
      </c>
      <c r="M1124" s="32">
        <f t="shared" ca="1" si="49"/>
        <v>10.610583333333336</v>
      </c>
      <c r="N1124" s="32">
        <f t="shared" ca="1" si="49"/>
        <v>10.606275</v>
      </c>
      <c r="O1124" s="32">
        <f t="shared" ca="1" si="49"/>
        <v>10.610583333333336</v>
      </c>
    </row>
    <row r="1125" spans="1:15" ht="15" x14ac:dyDescent="0.2">
      <c r="A1125" s="11">
        <v>2067</v>
      </c>
      <c r="B1125" s="32">
        <f t="shared" ca="1" si="49"/>
        <v>9.6357083333333335</v>
      </c>
      <c r="C1125" s="32">
        <f t="shared" ca="1" si="49"/>
        <v>9.6357083333333335</v>
      </c>
      <c r="D1125" s="32">
        <f t="shared" ca="1" si="49"/>
        <v>9.6369916666666686</v>
      </c>
      <c r="E1125" s="32">
        <f t="shared" ca="1" si="49"/>
        <v>10.82085</v>
      </c>
      <c r="F1125" s="32">
        <f t="shared" ca="1" si="49"/>
        <v>10.82085</v>
      </c>
      <c r="G1125" s="32">
        <f t="shared" ca="1" si="49"/>
        <v>10.825175000000002</v>
      </c>
      <c r="H1125" s="32">
        <f t="shared" ca="1" si="49"/>
        <v>21.846966666666663</v>
      </c>
      <c r="I1125" s="32">
        <f t="shared" ca="1" si="49"/>
        <v>21.851283333333331</v>
      </c>
      <c r="J1125" s="32">
        <f t="shared" ca="1" si="49"/>
        <v>21.846966666666663</v>
      </c>
      <c r="K1125" s="32">
        <f t="shared" ca="1" si="49"/>
        <v>21.851283333333331</v>
      </c>
      <c r="L1125" s="32">
        <f t="shared" ca="1" si="49"/>
        <v>10.82085</v>
      </c>
      <c r="M1125" s="32">
        <f t="shared" ca="1" si="49"/>
        <v>10.825175000000002</v>
      </c>
      <c r="N1125" s="32">
        <f t="shared" ca="1" si="49"/>
        <v>10.82085</v>
      </c>
      <c r="O1125" s="32">
        <f t="shared" ca="1" si="49"/>
        <v>10.825175000000002</v>
      </c>
    </row>
    <row r="1126" spans="1:15" ht="15" x14ac:dyDescent="0.2">
      <c r="A1126" s="11">
        <v>2068</v>
      </c>
      <c r="B1126" s="32">
        <f t="shared" ca="1" si="49"/>
        <v>9.8244083333333343</v>
      </c>
      <c r="C1126" s="32">
        <f t="shared" ca="1" si="49"/>
        <v>9.8244083333333343</v>
      </c>
      <c r="D1126" s="32">
        <f t="shared" ca="1" si="49"/>
        <v>9.8256916666666658</v>
      </c>
      <c r="E1126" s="32">
        <f t="shared" ca="1" si="49"/>
        <v>11.035424999999998</v>
      </c>
      <c r="F1126" s="32">
        <f t="shared" ca="1" si="49"/>
        <v>11.035424999999998</v>
      </c>
      <c r="G1126" s="32">
        <f t="shared" ca="1" si="49"/>
        <v>11.039733333333333</v>
      </c>
      <c r="H1126" s="32">
        <f t="shared" ca="1" si="49"/>
        <v>22.316350000000003</v>
      </c>
      <c r="I1126" s="32">
        <f t="shared" ca="1" si="49"/>
        <v>22.320666666666668</v>
      </c>
      <c r="J1126" s="32">
        <f t="shared" ca="1" si="49"/>
        <v>22.316350000000003</v>
      </c>
      <c r="K1126" s="32">
        <f t="shared" ca="1" si="49"/>
        <v>22.320666666666668</v>
      </c>
      <c r="L1126" s="32">
        <f t="shared" ca="1" si="49"/>
        <v>11.035424999999998</v>
      </c>
      <c r="M1126" s="32">
        <f t="shared" ca="1" si="49"/>
        <v>11.039733333333333</v>
      </c>
      <c r="N1126" s="32">
        <f t="shared" ca="1" si="49"/>
        <v>11.035424999999998</v>
      </c>
      <c r="O1126" s="32">
        <f t="shared" ca="1" si="49"/>
        <v>11.039733333333333</v>
      </c>
    </row>
    <row r="1127" spans="1:15" ht="15" x14ac:dyDescent="0.2">
      <c r="A1127" s="11">
        <v>2069</v>
      </c>
      <c r="B1127" s="32">
        <f t="shared" ca="1" si="49"/>
        <v>10.013091666666666</v>
      </c>
      <c r="C1127" s="32">
        <f t="shared" ca="1" si="49"/>
        <v>10.013091666666666</v>
      </c>
      <c r="D1127" s="32">
        <f t="shared" ca="1" si="49"/>
        <v>10.014383333333335</v>
      </c>
      <c r="E1127" s="32">
        <f t="shared" ca="1" si="49"/>
        <v>11.249983333333333</v>
      </c>
      <c r="F1127" s="32">
        <f t="shared" ca="1" si="49"/>
        <v>11.249983333333333</v>
      </c>
      <c r="G1127" s="32">
        <f t="shared" ca="1" si="49"/>
        <v>11.254300000000001</v>
      </c>
      <c r="H1127" s="32">
        <f t="shared" ca="1" si="49"/>
        <v>22.785733333333337</v>
      </c>
      <c r="I1127" s="32">
        <f t="shared" ca="1" si="49"/>
        <v>22.790050000000004</v>
      </c>
      <c r="J1127" s="32">
        <f t="shared" ca="1" si="49"/>
        <v>22.785733333333337</v>
      </c>
      <c r="K1127" s="32">
        <f t="shared" ca="1" si="49"/>
        <v>22.790050000000004</v>
      </c>
      <c r="L1127" s="32">
        <f t="shared" ca="1" si="49"/>
        <v>11.249983333333333</v>
      </c>
      <c r="M1127" s="32">
        <f t="shared" ca="1" si="49"/>
        <v>11.254300000000001</v>
      </c>
      <c r="N1127" s="32">
        <f t="shared" ca="1" si="49"/>
        <v>11.249983333333333</v>
      </c>
      <c r="O1127" s="32">
        <f t="shared" ca="1" si="49"/>
        <v>11.254300000000001</v>
      </c>
    </row>
    <row r="1128" spans="1:15" ht="15" x14ac:dyDescent="0.2">
      <c r="A1128" s="11">
        <v>2070</v>
      </c>
      <c r="B1128" s="32">
        <f t="shared" ca="1" si="49"/>
        <v>10.201825000000001</v>
      </c>
      <c r="C1128" s="32">
        <f t="shared" ca="1" si="49"/>
        <v>10.201825000000001</v>
      </c>
      <c r="D1128" s="32">
        <f t="shared" ca="1" si="49"/>
        <v>10.203091666666666</v>
      </c>
      <c r="E1128" s="32">
        <f t="shared" ca="1" si="49"/>
        <v>11.464541666666667</v>
      </c>
      <c r="F1128" s="32">
        <f t="shared" ca="1" si="49"/>
        <v>11.464541666666667</v>
      </c>
      <c r="G1128" s="32">
        <f t="shared" ca="1" si="49"/>
        <v>11.468866666666665</v>
      </c>
      <c r="H1128" s="32">
        <f t="shared" ca="1" si="49"/>
        <v>23.255099999999999</v>
      </c>
      <c r="I1128" s="32">
        <f t="shared" ca="1" si="49"/>
        <v>23.259425000000004</v>
      </c>
      <c r="J1128" s="32">
        <f t="shared" ca="1" si="49"/>
        <v>23.255099999999999</v>
      </c>
      <c r="K1128" s="32">
        <f t="shared" ca="1" si="49"/>
        <v>23.259425000000004</v>
      </c>
      <c r="L1128" s="32">
        <f t="shared" ca="1" si="49"/>
        <v>11.464541666666667</v>
      </c>
      <c r="M1128" s="32">
        <f t="shared" ca="1" si="49"/>
        <v>11.468866666666665</v>
      </c>
      <c r="N1128" s="32">
        <f t="shared" ca="1" si="49"/>
        <v>11.464541666666667</v>
      </c>
      <c r="O1128" s="32">
        <f t="shared" ca="1" si="49"/>
        <v>11.468866666666665</v>
      </c>
    </row>
    <row r="1129" spans="1:15" ht="15" x14ac:dyDescent="0.2">
      <c r="A1129" s="11">
        <v>2071</v>
      </c>
      <c r="B1129" s="32">
        <f t="shared" ca="1" si="49"/>
        <v>10.390508333333333</v>
      </c>
      <c r="C1129" s="32">
        <f t="shared" ca="1" si="49"/>
        <v>10.390508333333333</v>
      </c>
      <c r="D1129" s="32">
        <f t="shared" ca="1" si="49"/>
        <v>10.391791666666666</v>
      </c>
      <c r="E1129" s="32">
        <f t="shared" ca="1" si="49"/>
        <v>11.679108333333334</v>
      </c>
      <c r="F1129" s="32">
        <f t="shared" ca="1" si="49"/>
        <v>11.679108333333334</v>
      </c>
      <c r="G1129" s="32">
        <f t="shared" ca="1" si="49"/>
        <v>11.683416666666668</v>
      </c>
      <c r="H1129" s="32">
        <f t="shared" ca="1" si="49"/>
        <v>23.724491666666669</v>
      </c>
      <c r="I1129" s="32">
        <f t="shared" ca="1" si="49"/>
        <v>23.728808333333333</v>
      </c>
      <c r="J1129" s="32">
        <f t="shared" ca="1" si="49"/>
        <v>23.724491666666669</v>
      </c>
      <c r="K1129" s="32">
        <f t="shared" ca="1" si="49"/>
        <v>23.728808333333333</v>
      </c>
      <c r="L1129" s="32">
        <f t="shared" ca="1" si="49"/>
        <v>11.679108333333334</v>
      </c>
      <c r="M1129" s="32">
        <f t="shared" ca="1" si="49"/>
        <v>11.683416666666668</v>
      </c>
      <c r="N1129" s="32">
        <f t="shared" ca="1" si="49"/>
        <v>11.679108333333334</v>
      </c>
      <c r="O1129" s="32">
        <f t="shared" ca="1" si="49"/>
        <v>11.683416666666668</v>
      </c>
    </row>
    <row r="1130" spans="1:15" ht="15" x14ac:dyDescent="0.2">
      <c r="A1130" s="11">
        <v>2072</v>
      </c>
      <c r="B1130" s="32">
        <f t="shared" ref="B1130:O1139" ca="1" si="50">AVERAGE(OFFSET(B$602,($A1130-$A$1120)*12,0,12,1))</f>
        <v>10.579216666666667</v>
      </c>
      <c r="C1130" s="32">
        <f t="shared" ca="1" si="50"/>
        <v>10.579216666666667</v>
      </c>
      <c r="D1130" s="32">
        <f t="shared" ca="1" si="50"/>
        <v>10.580483333333332</v>
      </c>
      <c r="E1130" s="32">
        <f t="shared" ca="1" si="50"/>
        <v>11.893658333333335</v>
      </c>
      <c r="F1130" s="32">
        <f t="shared" ca="1" si="50"/>
        <v>11.893658333333335</v>
      </c>
      <c r="G1130" s="32">
        <f t="shared" ca="1" si="50"/>
        <v>11.897975000000002</v>
      </c>
      <c r="H1130" s="32">
        <f t="shared" ca="1" si="50"/>
        <v>24.193891666666673</v>
      </c>
      <c r="I1130" s="32">
        <f t="shared" ca="1" si="50"/>
        <v>24.198208333333337</v>
      </c>
      <c r="J1130" s="32">
        <f t="shared" ca="1" si="50"/>
        <v>24.193891666666673</v>
      </c>
      <c r="K1130" s="32">
        <f t="shared" ca="1" si="50"/>
        <v>24.198208333333337</v>
      </c>
      <c r="L1130" s="32">
        <f t="shared" ca="1" si="50"/>
        <v>11.893658333333335</v>
      </c>
      <c r="M1130" s="32">
        <f t="shared" ca="1" si="50"/>
        <v>11.897975000000002</v>
      </c>
      <c r="N1130" s="32">
        <f t="shared" ca="1" si="50"/>
        <v>11.893658333333335</v>
      </c>
      <c r="O1130" s="32">
        <f t="shared" ca="1" si="50"/>
        <v>11.897975000000002</v>
      </c>
    </row>
    <row r="1131" spans="1:15" ht="15" x14ac:dyDescent="0.2">
      <c r="A1131" s="11">
        <v>2073</v>
      </c>
      <c r="B1131" s="32">
        <f t="shared" ca="1" si="50"/>
        <v>10.767916666666666</v>
      </c>
      <c r="C1131" s="32">
        <f t="shared" ca="1" si="50"/>
        <v>10.767916666666666</v>
      </c>
      <c r="D1131" s="32">
        <f t="shared" ca="1" si="50"/>
        <v>10.769191666666666</v>
      </c>
      <c r="E1131" s="32">
        <f t="shared" ca="1" si="50"/>
        <v>12.108233333333333</v>
      </c>
      <c r="F1131" s="32">
        <f t="shared" ca="1" si="50"/>
        <v>12.108233333333333</v>
      </c>
      <c r="G1131" s="32">
        <f t="shared" ca="1" si="50"/>
        <v>12.112566666666666</v>
      </c>
      <c r="H1131" s="32">
        <f t="shared" ca="1" si="50"/>
        <v>24.663283333333336</v>
      </c>
      <c r="I1131" s="32">
        <f t="shared" ca="1" si="50"/>
        <v>24.667608333333334</v>
      </c>
      <c r="J1131" s="32">
        <f t="shared" ca="1" si="50"/>
        <v>24.663283333333336</v>
      </c>
      <c r="K1131" s="32">
        <f t="shared" ca="1" si="50"/>
        <v>24.667608333333334</v>
      </c>
      <c r="L1131" s="32">
        <f t="shared" ca="1" si="50"/>
        <v>12.108233333333333</v>
      </c>
      <c r="M1131" s="32">
        <f t="shared" ca="1" si="50"/>
        <v>12.112566666666666</v>
      </c>
      <c r="N1131" s="32">
        <f t="shared" ca="1" si="50"/>
        <v>12.108233333333333</v>
      </c>
      <c r="O1131" s="32">
        <f t="shared" ca="1" si="50"/>
        <v>12.112566666666666</v>
      </c>
    </row>
    <row r="1132" spans="1:15" ht="15" x14ac:dyDescent="0.2">
      <c r="A1132" s="11">
        <v>2074</v>
      </c>
      <c r="B1132" s="32">
        <f t="shared" ca="1" si="50"/>
        <v>10.956608333333334</v>
      </c>
      <c r="C1132" s="32">
        <f t="shared" ca="1" si="50"/>
        <v>10.956608333333334</v>
      </c>
      <c r="D1132" s="32">
        <f t="shared" ca="1" si="50"/>
        <v>10.9579</v>
      </c>
      <c r="E1132" s="32">
        <f t="shared" ca="1" si="50"/>
        <v>12.322799999999999</v>
      </c>
      <c r="F1132" s="32">
        <f t="shared" ca="1" si="50"/>
        <v>12.322799999999999</v>
      </c>
      <c r="G1132" s="32">
        <f t="shared" ca="1" si="50"/>
        <v>12.327133333333334</v>
      </c>
      <c r="H1132" s="32">
        <f t="shared" ca="1" si="50"/>
        <v>25.132658333333328</v>
      </c>
      <c r="I1132" s="32">
        <f t="shared" ca="1" si="50"/>
        <v>25.13699166666667</v>
      </c>
      <c r="J1132" s="32">
        <f t="shared" ca="1" si="50"/>
        <v>25.132658333333328</v>
      </c>
      <c r="K1132" s="32">
        <f t="shared" ca="1" si="50"/>
        <v>25.13699166666667</v>
      </c>
      <c r="L1132" s="32">
        <f t="shared" ca="1" si="50"/>
        <v>12.322799999999999</v>
      </c>
      <c r="M1132" s="32">
        <f t="shared" ca="1" si="50"/>
        <v>12.327133333333334</v>
      </c>
      <c r="N1132" s="32">
        <f t="shared" ca="1" si="50"/>
        <v>12.322799999999999</v>
      </c>
      <c r="O1132" s="32">
        <f t="shared" ca="1" si="50"/>
        <v>12.327133333333334</v>
      </c>
    </row>
    <row r="1133" spans="1:15" ht="15" x14ac:dyDescent="0.2">
      <c r="A1133" s="11">
        <v>2075</v>
      </c>
      <c r="B1133" s="32">
        <f t="shared" ca="1" si="50"/>
        <v>11.145333333333332</v>
      </c>
      <c r="C1133" s="32">
        <f t="shared" ca="1" si="50"/>
        <v>11.145333333333332</v>
      </c>
      <c r="D1133" s="32">
        <f t="shared" ca="1" si="50"/>
        <v>11.146608333333333</v>
      </c>
      <c r="E1133" s="32">
        <f t="shared" ca="1" si="50"/>
        <v>12.537374999999999</v>
      </c>
      <c r="F1133" s="32">
        <f t="shared" ca="1" si="50"/>
        <v>12.537374999999999</v>
      </c>
      <c r="G1133" s="32">
        <f t="shared" ca="1" si="50"/>
        <v>12.541691666666665</v>
      </c>
      <c r="H1133" s="32">
        <f t="shared" ca="1" si="50"/>
        <v>25.602041666666668</v>
      </c>
      <c r="I1133" s="32">
        <f t="shared" ca="1" si="50"/>
        <v>25.606358333333333</v>
      </c>
      <c r="J1133" s="32">
        <f t="shared" ca="1" si="50"/>
        <v>25.602041666666668</v>
      </c>
      <c r="K1133" s="32">
        <f t="shared" ca="1" si="50"/>
        <v>25.606358333333333</v>
      </c>
      <c r="L1133" s="32">
        <f t="shared" ca="1" si="50"/>
        <v>12.537374999999999</v>
      </c>
      <c r="M1133" s="32">
        <f t="shared" ca="1" si="50"/>
        <v>12.541691666666665</v>
      </c>
      <c r="N1133" s="32">
        <f t="shared" ca="1" si="50"/>
        <v>12.537374999999999</v>
      </c>
      <c r="O1133" s="32">
        <f t="shared" ca="1" si="50"/>
        <v>12.541691666666665</v>
      </c>
    </row>
    <row r="1134" spans="1:15" ht="15" x14ac:dyDescent="0.2">
      <c r="A1134" s="11">
        <v>2076</v>
      </c>
      <c r="B1134" s="32">
        <f t="shared" ca="1" si="50"/>
        <v>11.334016666666665</v>
      </c>
      <c r="C1134" s="32">
        <f t="shared" ca="1" si="50"/>
        <v>11.334016666666665</v>
      </c>
      <c r="D1134" s="32">
        <f t="shared" ca="1" si="50"/>
        <v>11.335308333333332</v>
      </c>
      <c r="E1134" s="32">
        <f t="shared" ca="1" si="50"/>
        <v>12.751941666666667</v>
      </c>
      <c r="F1134" s="32">
        <f t="shared" ca="1" si="50"/>
        <v>12.751941666666667</v>
      </c>
      <c r="G1134" s="32">
        <f t="shared" ca="1" si="50"/>
        <v>12.756258333333333</v>
      </c>
      <c r="H1134" s="32">
        <f t="shared" ca="1" si="50"/>
        <v>26.071433333333331</v>
      </c>
      <c r="I1134" s="32">
        <f t="shared" ca="1" si="50"/>
        <v>26.07576666666667</v>
      </c>
      <c r="J1134" s="32">
        <f t="shared" ca="1" si="50"/>
        <v>26.071433333333331</v>
      </c>
      <c r="K1134" s="32">
        <f t="shared" ca="1" si="50"/>
        <v>26.07576666666667</v>
      </c>
      <c r="L1134" s="32">
        <f t="shared" ca="1" si="50"/>
        <v>12.751941666666667</v>
      </c>
      <c r="M1134" s="32">
        <f t="shared" ca="1" si="50"/>
        <v>12.756258333333333</v>
      </c>
      <c r="N1134" s="32">
        <f t="shared" ca="1" si="50"/>
        <v>12.751941666666667</v>
      </c>
      <c r="O1134" s="32">
        <f t="shared" ca="1" si="50"/>
        <v>12.756258333333333</v>
      </c>
    </row>
    <row r="1135" spans="1:15" ht="15" x14ac:dyDescent="0.2">
      <c r="A1135" s="11">
        <v>2077</v>
      </c>
      <c r="B1135" s="32">
        <f t="shared" ca="1" si="50"/>
        <v>11.522716666666668</v>
      </c>
      <c r="C1135" s="32">
        <f t="shared" ca="1" si="50"/>
        <v>11.522716666666668</v>
      </c>
      <c r="D1135" s="32">
        <f t="shared" ca="1" si="50"/>
        <v>11.523991666666666</v>
      </c>
      <c r="E1135" s="32">
        <f t="shared" ca="1" si="50"/>
        <v>12.966499999999998</v>
      </c>
      <c r="F1135" s="32">
        <f t="shared" ca="1" si="50"/>
        <v>12.966499999999998</v>
      </c>
      <c r="G1135" s="32">
        <f t="shared" ca="1" si="50"/>
        <v>12.970808333333332</v>
      </c>
      <c r="H1135" s="32">
        <f t="shared" ca="1" si="50"/>
        <v>26.540824999999998</v>
      </c>
      <c r="I1135" s="32">
        <f t="shared" ca="1" si="50"/>
        <v>26.545141666666666</v>
      </c>
      <c r="J1135" s="32">
        <f t="shared" ca="1" si="50"/>
        <v>26.540824999999998</v>
      </c>
      <c r="K1135" s="32">
        <f t="shared" ca="1" si="50"/>
        <v>26.545141666666666</v>
      </c>
      <c r="L1135" s="32">
        <f t="shared" ca="1" si="50"/>
        <v>12.966499999999998</v>
      </c>
      <c r="M1135" s="32">
        <f t="shared" ca="1" si="50"/>
        <v>12.970808333333332</v>
      </c>
      <c r="N1135" s="32">
        <f t="shared" ca="1" si="50"/>
        <v>12.966499999999998</v>
      </c>
      <c r="O1135" s="32">
        <f t="shared" ca="1" si="50"/>
        <v>12.970808333333332</v>
      </c>
    </row>
    <row r="1136" spans="1:15" ht="15" x14ac:dyDescent="0.2">
      <c r="A1136" s="11">
        <v>2078</v>
      </c>
      <c r="B1136" s="32">
        <f t="shared" ca="1" si="50"/>
        <v>11.711416666666667</v>
      </c>
      <c r="C1136" s="32">
        <f t="shared" ca="1" si="50"/>
        <v>11.711416666666667</v>
      </c>
      <c r="D1136" s="32">
        <f t="shared" ca="1" si="50"/>
        <v>11.712716666666667</v>
      </c>
      <c r="E1136" s="32">
        <f t="shared" ca="1" si="50"/>
        <v>13.181066666666664</v>
      </c>
      <c r="F1136" s="32">
        <f t="shared" ca="1" si="50"/>
        <v>13.181066666666664</v>
      </c>
      <c r="G1136" s="32">
        <f t="shared" ca="1" si="50"/>
        <v>13.185383333333334</v>
      </c>
      <c r="H1136" s="32">
        <f t="shared" ca="1" si="50"/>
        <v>27.010191666666667</v>
      </c>
      <c r="I1136" s="32">
        <f t="shared" ca="1" si="50"/>
        <v>27.014533333333329</v>
      </c>
      <c r="J1136" s="32">
        <f t="shared" ca="1" si="50"/>
        <v>27.010191666666667</v>
      </c>
      <c r="K1136" s="32">
        <f t="shared" ca="1" si="50"/>
        <v>27.014533333333329</v>
      </c>
      <c r="L1136" s="32">
        <f t="shared" ca="1" si="50"/>
        <v>13.181066666666664</v>
      </c>
      <c r="M1136" s="32">
        <f t="shared" ca="1" si="50"/>
        <v>13.185383333333334</v>
      </c>
      <c r="N1136" s="32">
        <f t="shared" ca="1" si="50"/>
        <v>13.181066666666664</v>
      </c>
      <c r="O1136" s="32">
        <f t="shared" ca="1" si="50"/>
        <v>13.185383333333334</v>
      </c>
    </row>
    <row r="1137" spans="1:15" ht="15" x14ac:dyDescent="0.2">
      <c r="A1137" s="11">
        <v>2079</v>
      </c>
      <c r="B1137" s="32">
        <f t="shared" ca="1" si="50"/>
        <v>11.900108333333334</v>
      </c>
      <c r="C1137" s="32">
        <f t="shared" ca="1" si="50"/>
        <v>11.900108333333334</v>
      </c>
      <c r="D1137" s="32">
        <f t="shared" ca="1" si="50"/>
        <v>11.901408333333334</v>
      </c>
      <c r="E1137" s="32">
        <f t="shared" ca="1" si="50"/>
        <v>13.395650000000002</v>
      </c>
      <c r="F1137" s="32">
        <f t="shared" ca="1" si="50"/>
        <v>13.395650000000002</v>
      </c>
      <c r="G1137" s="32">
        <f t="shared" ca="1" si="50"/>
        <v>13.399958333333336</v>
      </c>
      <c r="H1137" s="32">
        <f t="shared" ca="1" si="50"/>
        <v>27.479583333333334</v>
      </c>
      <c r="I1137" s="32">
        <f t="shared" ca="1" si="50"/>
        <v>27.483916666666669</v>
      </c>
      <c r="J1137" s="32">
        <f t="shared" ca="1" si="50"/>
        <v>27.479583333333334</v>
      </c>
      <c r="K1137" s="32">
        <f t="shared" ca="1" si="50"/>
        <v>27.483916666666669</v>
      </c>
      <c r="L1137" s="32">
        <f t="shared" ca="1" si="50"/>
        <v>13.395650000000002</v>
      </c>
      <c r="M1137" s="32">
        <f t="shared" ca="1" si="50"/>
        <v>13.399958333333336</v>
      </c>
      <c r="N1137" s="32">
        <f t="shared" ca="1" si="50"/>
        <v>13.395650000000002</v>
      </c>
      <c r="O1137" s="32">
        <f t="shared" ca="1" si="50"/>
        <v>13.399958333333336</v>
      </c>
    </row>
    <row r="1138" spans="1:15" ht="15" x14ac:dyDescent="0.2">
      <c r="A1138" s="11">
        <v>2080</v>
      </c>
      <c r="B1138" s="32">
        <f t="shared" ca="1" si="50"/>
        <v>12.088825</v>
      </c>
      <c r="C1138" s="32">
        <f t="shared" ca="1" si="50"/>
        <v>12.088825</v>
      </c>
      <c r="D1138" s="32">
        <f t="shared" ca="1" si="50"/>
        <v>12.090108333333333</v>
      </c>
      <c r="E1138" s="32">
        <f t="shared" ca="1" si="50"/>
        <v>13.610216666666666</v>
      </c>
      <c r="F1138" s="32">
        <f t="shared" ca="1" si="50"/>
        <v>13.610216666666666</v>
      </c>
      <c r="G1138" s="32">
        <f t="shared" ca="1" si="50"/>
        <v>13.614524999999999</v>
      </c>
      <c r="H1138" s="32">
        <f t="shared" ca="1" si="50"/>
        <v>27.948966666666664</v>
      </c>
      <c r="I1138" s="32">
        <f t="shared" ca="1" si="50"/>
        <v>27.953275000000001</v>
      </c>
      <c r="J1138" s="32">
        <f t="shared" ca="1" si="50"/>
        <v>27.948966666666664</v>
      </c>
      <c r="K1138" s="32">
        <f t="shared" ca="1" si="50"/>
        <v>27.953275000000001</v>
      </c>
      <c r="L1138" s="32">
        <f t="shared" ca="1" si="50"/>
        <v>13.610216666666666</v>
      </c>
      <c r="M1138" s="32">
        <f t="shared" ca="1" si="50"/>
        <v>13.614524999999999</v>
      </c>
      <c r="N1138" s="32">
        <f t="shared" ca="1" si="50"/>
        <v>13.610216666666666</v>
      </c>
      <c r="O1138" s="32">
        <f t="shared" ca="1" si="50"/>
        <v>13.614524999999999</v>
      </c>
    </row>
    <row r="1139" spans="1:15" ht="15" x14ac:dyDescent="0.2">
      <c r="A1139" s="11">
        <v>2081</v>
      </c>
      <c r="B1139" s="32">
        <f t="shared" ca="1" si="50"/>
        <v>12.277508333333332</v>
      </c>
      <c r="C1139" s="32">
        <f t="shared" ca="1" si="50"/>
        <v>12.277508333333332</v>
      </c>
      <c r="D1139" s="32">
        <f t="shared" ca="1" si="50"/>
        <v>12.278808333333332</v>
      </c>
      <c r="E1139" s="32">
        <f t="shared" ca="1" si="50"/>
        <v>13.824775000000001</v>
      </c>
      <c r="F1139" s="32">
        <f t="shared" ca="1" si="50"/>
        <v>13.824775000000001</v>
      </c>
      <c r="G1139" s="32">
        <f t="shared" ca="1" si="50"/>
        <v>13.829083333333331</v>
      </c>
      <c r="H1139" s="32">
        <f t="shared" ca="1" si="50"/>
        <v>28.418375000000001</v>
      </c>
      <c r="I1139" s="32">
        <f t="shared" ca="1" si="50"/>
        <v>28.422674999999998</v>
      </c>
      <c r="J1139" s="32">
        <f t="shared" ca="1" si="50"/>
        <v>28.418375000000001</v>
      </c>
      <c r="K1139" s="32">
        <f t="shared" ca="1" si="50"/>
        <v>28.422674999999998</v>
      </c>
      <c r="L1139" s="32">
        <f t="shared" ca="1" si="50"/>
        <v>13.824775000000001</v>
      </c>
      <c r="M1139" s="32">
        <f t="shared" ca="1" si="50"/>
        <v>13.829083333333331</v>
      </c>
      <c r="N1139" s="32">
        <f t="shared" ca="1" si="50"/>
        <v>13.824775000000001</v>
      </c>
      <c r="O1139" s="32">
        <f t="shared" ca="1" si="50"/>
        <v>13.829083333333331</v>
      </c>
    </row>
    <row r="1140" spans="1:15" ht="15" x14ac:dyDescent="0.2">
      <c r="A1140" s="11">
        <v>2082</v>
      </c>
      <c r="B1140" s="32">
        <f t="shared" ref="B1140:O1149" ca="1" si="51">AVERAGE(OFFSET(B$602,($A1140-$A$1120)*12,0,12,1))</f>
        <v>12.466233333333333</v>
      </c>
      <c r="C1140" s="32">
        <f t="shared" ca="1" si="51"/>
        <v>12.466233333333333</v>
      </c>
      <c r="D1140" s="32">
        <f t="shared" ca="1" si="51"/>
        <v>12.467500000000001</v>
      </c>
      <c r="E1140" s="32">
        <f t="shared" ca="1" si="51"/>
        <v>14.039341666666667</v>
      </c>
      <c r="F1140" s="32">
        <f t="shared" ca="1" si="51"/>
        <v>14.039341666666667</v>
      </c>
      <c r="G1140" s="32">
        <f t="shared" ca="1" si="51"/>
        <v>14.043658333333333</v>
      </c>
      <c r="H1140" s="32">
        <f t="shared" ca="1" si="51"/>
        <v>28.887758333333338</v>
      </c>
      <c r="I1140" s="32">
        <f t="shared" ca="1" si="51"/>
        <v>28.892075000000002</v>
      </c>
      <c r="J1140" s="32">
        <f t="shared" ca="1" si="51"/>
        <v>28.887758333333338</v>
      </c>
      <c r="K1140" s="32">
        <f t="shared" ca="1" si="51"/>
        <v>28.892075000000002</v>
      </c>
      <c r="L1140" s="32">
        <f t="shared" ca="1" si="51"/>
        <v>14.039341666666667</v>
      </c>
      <c r="M1140" s="32">
        <f t="shared" ca="1" si="51"/>
        <v>14.043658333333333</v>
      </c>
      <c r="N1140" s="32">
        <f t="shared" ca="1" si="51"/>
        <v>14.039341666666667</v>
      </c>
      <c r="O1140" s="32">
        <f t="shared" ca="1" si="51"/>
        <v>14.043658333333333</v>
      </c>
    </row>
    <row r="1141" spans="1:15" ht="15" x14ac:dyDescent="0.2">
      <c r="A1141" s="11">
        <v>2083</v>
      </c>
      <c r="B1141" s="32">
        <f t="shared" ca="1" si="51"/>
        <v>12.654925</v>
      </c>
      <c r="C1141" s="32">
        <f t="shared" ca="1" si="51"/>
        <v>12.654925</v>
      </c>
      <c r="D1141" s="32">
        <f t="shared" ca="1" si="51"/>
        <v>12.656216666666666</v>
      </c>
      <c r="E1141" s="32">
        <f t="shared" ca="1" si="51"/>
        <v>14.253891666666668</v>
      </c>
      <c r="F1141" s="32">
        <f t="shared" ca="1" si="51"/>
        <v>14.253891666666668</v>
      </c>
      <c r="G1141" s="32">
        <f t="shared" ca="1" si="51"/>
        <v>14.258208333333334</v>
      </c>
      <c r="H1141" s="32">
        <f t="shared" ca="1" si="51"/>
        <v>29.357125000000007</v>
      </c>
      <c r="I1141" s="32">
        <f t="shared" ca="1" si="51"/>
        <v>29.361441666666661</v>
      </c>
      <c r="J1141" s="32">
        <f t="shared" ca="1" si="51"/>
        <v>29.357125000000007</v>
      </c>
      <c r="K1141" s="32">
        <f t="shared" ca="1" si="51"/>
        <v>29.361441666666661</v>
      </c>
      <c r="L1141" s="32">
        <f t="shared" ca="1" si="51"/>
        <v>14.253891666666668</v>
      </c>
      <c r="M1141" s="32">
        <f t="shared" ca="1" si="51"/>
        <v>14.258208333333334</v>
      </c>
      <c r="N1141" s="32">
        <f t="shared" ca="1" si="51"/>
        <v>14.253891666666668</v>
      </c>
      <c r="O1141" s="32">
        <f t="shared" ca="1" si="51"/>
        <v>14.258208333333334</v>
      </c>
    </row>
    <row r="1142" spans="1:15" ht="15" x14ac:dyDescent="0.2">
      <c r="A1142" s="11">
        <v>2084</v>
      </c>
      <c r="B1142" s="32">
        <f t="shared" ca="1" si="51"/>
        <v>12.843616666666664</v>
      </c>
      <c r="C1142" s="32">
        <f t="shared" ca="1" si="51"/>
        <v>12.843616666666664</v>
      </c>
      <c r="D1142" s="32">
        <f t="shared" ca="1" si="51"/>
        <v>12.844900000000001</v>
      </c>
      <c r="E1142" s="32">
        <f t="shared" ca="1" si="51"/>
        <v>14.468458333333331</v>
      </c>
      <c r="F1142" s="32">
        <f t="shared" ca="1" si="51"/>
        <v>14.468458333333331</v>
      </c>
      <c r="G1142" s="32">
        <f t="shared" ca="1" si="51"/>
        <v>14.47278333333333</v>
      </c>
      <c r="H1142" s="32">
        <f t="shared" ca="1" si="51"/>
        <v>29.826516666666667</v>
      </c>
      <c r="I1142" s="32">
        <f t="shared" ca="1" si="51"/>
        <v>29.830825000000001</v>
      </c>
      <c r="J1142" s="32">
        <f t="shared" ca="1" si="51"/>
        <v>29.826516666666667</v>
      </c>
      <c r="K1142" s="32">
        <f t="shared" ca="1" si="51"/>
        <v>29.830825000000001</v>
      </c>
      <c r="L1142" s="32">
        <f t="shared" ca="1" si="51"/>
        <v>14.468458333333331</v>
      </c>
      <c r="M1142" s="32">
        <f t="shared" ca="1" si="51"/>
        <v>14.47278333333333</v>
      </c>
      <c r="N1142" s="32">
        <f t="shared" ca="1" si="51"/>
        <v>14.468458333333331</v>
      </c>
      <c r="O1142" s="32">
        <f t="shared" ca="1" si="51"/>
        <v>14.47278333333333</v>
      </c>
    </row>
    <row r="1143" spans="1:15" ht="15" x14ac:dyDescent="0.2">
      <c r="A1143" s="11">
        <v>2085</v>
      </c>
      <c r="B1143" s="32">
        <f t="shared" ca="1" si="51"/>
        <v>13.032333333333334</v>
      </c>
      <c r="C1143" s="32">
        <f t="shared" ca="1" si="51"/>
        <v>13.032333333333334</v>
      </c>
      <c r="D1143" s="32">
        <f t="shared" ca="1" si="51"/>
        <v>13.0336</v>
      </c>
      <c r="E1143" s="32">
        <f t="shared" ca="1" si="51"/>
        <v>14.683025000000001</v>
      </c>
      <c r="F1143" s="32">
        <f t="shared" ca="1" si="51"/>
        <v>14.683025000000001</v>
      </c>
      <c r="G1143" s="32">
        <f t="shared" ca="1" si="51"/>
        <v>14.68734166666667</v>
      </c>
      <c r="H1143" s="32">
        <f t="shared" ca="1" si="51"/>
        <v>30.29590833333333</v>
      </c>
      <c r="I1143" s="32">
        <f t="shared" ca="1" si="51"/>
        <v>30.300216666666667</v>
      </c>
      <c r="J1143" s="32">
        <f t="shared" ca="1" si="51"/>
        <v>30.29590833333333</v>
      </c>
      <c r="K1143" s="32">
        <f t="shared" ca="1" si="51"/>
        <v>30.300216666666667</v>
      </c>
      <c r="L1143" s="32">
        <f t="shared" ca="1" si="51"/>
        <v>14.683025000000001</v>
      </c>
      <c r="M1143" s="32">
        <f t="shared" ca="1" si="51"/>
        <v>14.68734166666667</v>
      </c>
      <c r="N1143" s="32">
        <f t="shared" ca="1" si="51"/>
        <v>14.683025000000001</v>
      </c>
      <c r="O1143" s="32">
        <f t="shared" ca="1" si="51"/>
        <v>14.68734166666667</v>
      </c>
    </row>
    <row r="1144" spans="1:15" ht="15" x14ac:dyDescent="0.2">
      <c r="A1144" s="11">
        <v>2086</v>
      </c>
      <c r="B1144" s="32">
        <f t="shared" ca="1" si="51"/>
        <v>13.221025000000003</v>
      </c>
      <c r="C1144" s="32">
        <f t="shared" ca="1" si="51"/>
        <v>13.221025000000003</v>
      </c>
      <c r="D1144" s="32">
        <f t="shared" ca="1" si="51"/>
        <v>13.22231666666667</v>
      </c>
      <c r="E1144" s="32">
        <f t="shared" ca="1" si="51"/>
        <v>14.897599999999999</v>
      </c>
      <c r="F1144" s="32">
        <f t="shared" ca="1" si="51"/>
        <v>14.897599999999999</v>
      </c>
      <c r="G1144" s="32">
        <f t="shared" ca="1" si="51"/>
        <v>14.90191666666667</v>
      </c>
      <c r="H1144" s="32">
        <f t="shared" ca="1" si="51"/>
        <v>30.765291666666666</v>
      </c>
      <c r="I1144" s="32">
        <f t="shared" ca="1" si="51"/>
        <v>30.769608333333327</v>
      </c>
      <c r="J1144" s="32">
        <f t="shared" ca="1" si="51"/>
        <v>30.765291666666666</v>
      </c>
      <c r="K1144" s="32">
        <f t="shared" ca="1" si="51"/>
        <v>30.769608333333327</v>
      </c>
      <c r="L1144" s="32">
        <f t="shared" ca="1" si="51"/>
        <v>14.897599999999999</v>
      </c>
      <c r="M1144" s="32">
        <f t="shared" ca="1" si="51"/>
        <v>14.90191666666667</v>
      </c>
      <c r="N1144" s="32">
        <f t="shared" ca="1" si="51"/>
        <v>14.897599999999999</v>
      </c>
      <c r="O1144" s="32">
        <f t="shared" ca="1" si="51"/>
        <v>14.90191666666667</v>
      </c>
    </row>
    <row r="1145" spans="1:15" ht="15" x14ac:dyDescent="0.2">
      <c r="A1145" s="11">
        <v>2087</v>
      </c>
      <c r="B1145" s="32">
        <f t="shared" ca="1" si="51"/>
        <v>13.409750000000003</v>
      </c>
      <c r="C1145" s="32">
        <f t="shared" ca="1" si="51"/>
        <v>13.409750000000003</v>
      </c>
      <c r="D1145" s="32">
        <f t="shared" ca="1" si="51"/>
        <v>13.41100833333333</v>
      </c>
      <c r="E1145" s="32">
        <f t="shared" ca="1" si="51"/>
        <v>15.112158333333335</v>
      </c>
      <c r="F1145" s="32">
        <f t="shared" ca="1" si="51"/>
        <v>15.112158333333335</v>
      </c>
      <c r="G1145" s="32">
        <f t="shared" ca="1" si="51"/>
        <v>15.116474999999999</v>
      </c>
      <c r="H1145" s="32">
        <f t="shared" ca="1" si="51"/>
        <v>31.234674999999999</v>
      </c>
      <c r="I1145" s="32">
        <f t="shared" ca="1" si="51"/>
        <v>31.238991666666674</v>
      </c>
      <c r="J1145" s="32">
        <f t="shared" ca="1" si="51"/>
        <v>31.234674999999999</v>
      </c>
      <c r="K1145" s="32">
        <f t="shared" ca="1" si="51"/>
        <v>31.238991666666674</v>
      </c>
      <c r="L1145" s="32">
        <f t="shared" ca="1" si="51"/>
        <v>15.112158333333335</v>
      </c>
      <c r="M1145" s="32">
        <f t="shared" ca="1" si="51"/>
        <v>15.116474999999999</v>
      </c>
      <c r="N1145" s="32">
        <f t="shared" ca="1" si="51"/>
        <v>15.112158333333335</v>
      </c>
      <c r="O1145" s="32">
        <f t="shared" ca="1" si="51"/>
        <v>15.116474999999999</v>
      </c>
    </row>
    <row r="1146" spans="1:15" ht="15" x14ac:dyDescent="0.2">
      <c r="A1146" s="11">
        <v>2088</v>
      </c>
      <c r="B1146" s="32">
        <f t="shared" ca="1" si="51"/>
        <v>13.598433333333332</v>
      </c>
      <c r="C1146" s="32">
        <f t="shared" ca="1" si="51"/>
        <v>13.598433333333332</v>
      </c>
      <c r="D1146" s="32">
        <f t="shared" ca="1" si="51"/>
        <v>13.599724999999999</v>
      </c>
      <c r="E1146" s="32">
        <f t="shared" ca="1" si="51"/>
        <v>15.326716666666664</v>
      </c>
      <c r="F1146" s="32">
        <f t="shared" ca="1" si="51"/>
        <v>15.326716666666664</v>
      </c>
      <c r="G1146" s="32">
        <f t="shared" ca="1" si="51"/>
        <v>15.331025000000002</v>
      </c>
      <c r="H1146" s="32">
        <f t="shared" ca="1" si="51"/>
        <v>31.704058333333336</v>
      </c>
      <c r="I1146" s="32">
        <f t="shared" ca="1" si="51"/>
        <v>31.708366666666667</v>
      </c>
      <c r="J1146" s="32">
        <f t="shared" ca="1" si="51"/>
        <v>31.704058333333336</v>
      </c>
      <c r="K1146" s="32">
        <f t="shared" ca="1" si="51"/>
        <v>31.708366666666667</v>
      </c>
      <c r="L1146" s="32">
        <f t="shared" ca="1" si="51"/>
        <v>15.326716666666664</v>
      </c>
      <c r="M1146" s="32">
        <f t="shared" ca="1" si="51"/>
        <v>15.331025000000002</v>
      </c>
      <c r="N1146" s="32">
        <f t="shared" ca="1" si="51"/>
        <v>15.326716666666664</v>
      </c>
      <c r="O1146" s="32">
        <f t="shared" ca="1" si="51"/>
        <v>15.331025000000002</v>
      </c>
    </row>
    <row r="1147" spans="1:15" ht="15" x14ac:dyDescent="0.2">
      <c r="A1147" s="11">
        <v>2089</v>
      </c>
      <c r="B1147" s="32">
        <f t="shared" ca="1" si="51"/>
        <v>13.787141666666669</v>
      </c>
      <c r="C1147" s="32">
        <f t="shared" ca="1" si="51"/>
        <v>13.787141666666669</v>
      </c>
      <c r="D1147" s="32">
        <f t="shared" ca="1" si="51"/>
        <v>13.788400000000001</v>
      </c>
      <c r="E1147" s="32">
        <f t="shared" ca="1" si="51"/>
        <v>15.541283333333332</v>
      </c>
      <c r="F1147" s="32">
        <f t="shared" ca="1" si="51"/>
        <v>15.541283333333332</v>
      </c>
      <c r="G1147" s="32">
        <f t="shared" ca="1" si="51"/>
        <v>15.5456</v>
      </c>
      <c r="H1147" s="32">
        <f t="shared" ca="1" si="51"/>
        <v>32.173441666666669</v>
      </c>
      <c r="I1147" s="32">
        <f t="shared" ca="1" si="51"/>
        <v>32.177758333333337</v>
      </c>
      <c r="J1147" s="32">
        <f t="shared" ca="1" si="51"/>
        <v>32.173441666666669</v>
      </c>
      <c r="K1147" s="32">
        <f t="shared" ca="1" si="51"/>
        <v>32.177758333333337</v>
      </c>
      <c r="L1147" s="32">
        <f t="shared" ca="1" si="51"/>
        <v>15.541283333333332</v>
      </c>
      <c r="M1147" s="32">
        <f t="shared" ca="1" si="51"/>
        <v>15.5456</v>
      </c>
      <c r="N1147" s="32">
        <f t="shared" ca="1" si="51"/>
        <v>15.541283333333332</v>
      </c>
      <c r="O1147" s="32">
        <f t="shared" ca="1" si="51"/>
        <v>15.5456</v>
      </c>
    </row>
    <row r="1148" spans="1:15" ht="15" x14ac:dyDescent="0.2">
      <c r="A1148" s="11">
        <v>2090</v>
      </c>
      <c r="B1148" s="32">
        <f t="shared" ca="1" si="51"/>
        <v>13.975841666666668</v>
      </c>
      <c r="C1148" s="32">
        <f t="shared" ca="1" si="51"/>
        <v>13.975841666666668</v>
      </c>
      <c r="D1148" s="32">
        <f t="shared" ca="1" si="51"/>
        <v>13.977124999999996</v>
      </c>
      <c r="E1148" s="32">
        <f t="shared" ca="1" si="51"/>
        <v>15.755858333333334</v>
      </c>
      <c r="F1148" s="32">
        <f t="shared" ca="1" si="51"/>
        <v>15.755858333333334</v>
      </c>
      <c r="G1148" s="32">
        <f t="shared" ca="1" si="51"/>
        <v>15.760166666666663</v>
      </c>
      <c r="H1148" s="32">
        <f t="shared" ca="1" si="51"/>
        <v>32.642833333333336</v>
      </c>
      <c r="I1148" s="32">
        <f t="shared" ca="1" si="51"/>
        <v>32.647133333333329</v>
      </c>
      <c r="J1148" s="32">
        <f t="shared" ca="1" si="51"/>
        <v>32.642833333333336</v>
      </c>
      <c r="K1148" s="32">
        <f t="shared" ca="1" si="51"/>
        <v>32.647133333333329</v>
      </c>
      <c r="L1148" s="32">
        <f t="shared" ca="1" si="51"/>
        <v>15.755858333333334</v>
      </c>
      <c r="M1148" s="32">
        <f t="shared" ca="1" si="51"/>
        <v>15.760166666666663</v>
      </c>
      <c r="N1148" s="32">
        <f t="shared" ca="1" si="51"/>
        <v>15.755858333333334</v>
      </c>
      <c r="O1148" s="32">
        <f t="shared" ca="1" si="51"/>
        <v>15.760166666666663</v>
      </c>
    </row>
    <row r="1149" spans="1:15" ht="15" x14ac:dyDescent="0.2">
      <c r="A1149" s="11">
        <v>2091</v>
      </c>
      <c r="B1149" s="32">
        <f t="shared" ca="1" si="51"/>
        <v>14.164533333333333</v>
      </c>
      <c r="C1149" s="32">
        <f t="shared" ca="1" si="51"/>
        <v>14.164533333333333</v>
      </c>
      <c r="D1149" s="32">
        <f t="shared" ca="1" si="51"/>
        <v>14.165816666666665</v>
      </c>
      <c r="E1149" s="32">
        <f t="shared" ca="1" si="51"/>
        <v>15.970408333333333</v>
      </c>
      <c r="F1149" s="32">
        <f t="shared" ca="1" si="51"/>
        <v>15.970408333333333</v>
      </c>
      <c r="G1149" s="32">
        <f t="shared" ca="1" si="51"/>
        <v>15.974724999999999</v>
      </c>
      <c r="H1149" s="32">
        <f t="shared" ca="1" si="51"/>
        <v>33.112208333333335</v>
      </c>
      <c r="I1149" s="32">
        <f t="shared" ca="1" si="51"/>
        <v>33.116533333333329</v>
      </c>
      <c r="J1149" s="32">
        <f t="shared" ca="1" si="51"/>
        <v>33.112208333333335</v>
      </c>
      <c r="K1149" s="32">
        <f t="shared" ca="1" si="51"/>
        <v>33.116533333333329</v>
      </c>
      <c r="L1149" s="32">
        <f t="shared" ca="1" si="51"/>
        <v>15.970408333333333</v>
      </c>
      <c r="M1149" s="32">
        <f t="shared" ca="1" si="51"/>
        <v>15.974724999999999</v>
      </c>
      <c r="N1149" s="32">
        <f t="shared" ca="1" si="51"/>
        <v>15.970408333333333</v>
      </c>
      <c r="O1149" s="32">
        <f t="shared" ca="1" si="51"/>
        <v>15.974724999999999</v>
      </c>
    </row>
    <row r="1150" spans="1:15" ht="15" x14ac:dyDescent="0.2">
      <c r="A1150" s="11">
        <v>2092</v>
      </c>
      <c r="B1150" s="32">
        <f t="shared" ref="B1150:O1158" ca="1" si="52">AVERAGE(OFFSET(B$602,($A1150-$A$1120)*12,0,12,1))</f>
        <v>14.353250000000001</v>
      </c>
      <c r="C1150" s="32">
        <f t="shared" ca="1" si="52"/>
        <v>14.353250000000001</v>
      </c>
      <c r="D1150" s="32">
        <f t="shared" ca="1" si="52"/>
        <v>14.354508333333333</v>
      </c>
      <c r="E1150" s="32">
        <f t="shared" ca="1" si="52"/>
        <v>16.184991666666665</v>
      </c>
      <c r="F1150" s="32">
        <f t="shared" ca="1" si="52"/>
        <v>16.184991666666665</v>
      </c>
      <c r="G1150" s="32">
        <f t="shared" ca="1" si="52"/>
        <v>16.189299999999999</v>
      </c>
      <c r="H1150" s="32">
        <f t="shared" ca="1" si="52"/>
        <v>33.581600000000002</v>
      </c>
      <c r="I1150" s="32">
        <f t="shared" ca="1" si="52"/>
        <v>33.58591666666667</v>
      </c>
      <c r="J1150" s="32">
        <f t="shared" ca="1" si="52"/>
        <v>33.581600000000002</v>
      </c>
      <c r="K1150" s="32">
        <f t="shared" ca="1" si="52"/>
        <v>33.58591666666667</v>
      </c>
      <c r="L1150" s="32">
        <f t="shared" ca="1" si="52"/>
        <v>16.184991666666665</v>
      </c>
      <c r="M1150" s="32">
        <f t="shared" ca="1" si="52"/>
        <v>16.189299999999999</v>
      </c>
      <c r="N1150" s="32">
        <f t="shared" ca="1" si="52"/>
        <v>16.184991666666665</v>
      </c>
      <c r="O1150" s="32">
        <f t="shared" ca="1" si="52"/>
        <v>16.189299999999999</v>
      </c>
    </row>
    <row r="1151" spans="1:15" ht="15" x14ac:dyDescent="0.2">
      <c r="A1151" s="11">
        <v>2093</v>
      </c>
      <c r="B1151" s="32">
        <f t="shared" ca="1" si="52"/>
        <v>14.541925000000001</v>
      </c>
      <c r="C1151" s="32">
        <f t="shared" ca="1" si="52"/>
        <v>14.541925000000001</v>
      </c>
      <c r="D1151" s="32">
        <f t="shared" ca="1" si="52"/>
        <v>14.543216666666666</v>
      </c>
      <c r="E1151" s="32">
        <f t="shared" ca="1" si="52"/>
        <v>16.399541666666668</v>
      </c>
      <c r="F1151" s="32">
        <f t="shared" ca="1" si="52"/>
        <v>16.399541666666668</v>
      </c>
      <c r="G1151" s="32">
        <f t="shared" ca="1" si="52"/>
        <v>16.403849999999995</v>
      </c>
      <c r="H1151" s="32">
        <f t="shared" ca="1" si="52"/>
        <v>34.050991666666668</v>
      </c>
      <c r="I1151" s="32">
        <f t="shared" ca="1" si="52"/>
        <v>34.055308333333336</v>
      </c>
      <c r="J1151" s="32">
        <f t="shared" ca="1" si="52"/>
        <v>34.050991666666668</v>
      </c>
      <c r="K1151" s="32">
        <f t="shared" ca="1" si="52"/>
        <v>34.055308333333336</v>
      </c>
      <c r="L1151" s="32">
        <f t="shared" ca="1" si="52"/>
        <v>16.399541666666668</v>
      </c>
      <c r="M1151" s="32">
        <f t="shared" ca="1" si="52"/>
        <v>16.403849999999995</v>
      </c>
      <c r="N1151" s="32">
        <f t="shared" ca="1" si="52"/>
        <v>16.399541666666668</v>
      </c>
      <c r="O1151" s="32">
        <f t="shared" ca="1" si="52"/>
        <v>16.403849999999995</v>
      </c>
    </row>
    <row r="1152" spans="1:15" ht="15" x14ac:dyDescent="0.2">
      <c r="A1152" s="11">
        <v>2094</v>
      </c>
      <c r="B1152" s="32">
        <f t="shared" ca="1" si="52"/>
        <v>14.730650000000002</v>
      </c>
      <c r="C1152" s="32">
        <f t="shared" ca="1" si="52"/>
        <v>14.730650000000002</v>
      </c>
      <c r="D1152" s="32">
        <f t="shared" ca="1" si="52"/>
        <v>14.731908333333331</v>
      </c>
      <c r="E1152" s="32">
        <f t="shared" ca="1" si="52"/>
        <v>16.614100000000004</v>
      </c>
      <c r="F1152" s="32">
        <f t="shared" ca="1" si="52"/>
        <v>16.614100000000004</v>
      </c>
      <c r="G1152" s="32">
        <f t="shared" ca="1" si="52"/>
        <v>16.618416666666665</v>
      </c>
      <c r="H1152" s="32">
        <f t="shared" ca="1" si="52"/>
        <v>34.520374999999994</v>
      </c>
      <c r="I1152" s="32">
        <f t="shared" ca="1" si="52"/>
        <v>34.524691666666662</v>
      </c>
      <c r="J1152" s="32">
        <f t="shared" ca="1" si="52"/>
        <v>34.520374999999994</v>
      </c>
      <c r="K1152" s="32">
        <f t="shared" ca="1" si="52"/>
        <v>34.524691666666662</v>
      </c>
      <c r="L1152" s="32">
        <f t="shared" ca="1" si="52"/>
        <v>16.614100000000004</v>
      </c>
      <c r="M1152" s="32">
        <f t="shared" ca="1" si="52"/>
        <v>16.618416666666665</v>
      </c>
      <c r="N1152" s="32">
        <f t="shared" ca="1" si="52"/>
        <v>16.614100000000004</v>
      </c>
      <c r="O1152" s="32">
        <f t="shared" ca="1" si="52"/>
        <v>16.618416666666665</v>
      </c>
    </row>
    <row r="1153" spans="1:15" ht="15" x14ac:dyDescent="0.2">
      <c r="A1153" s="11">
        <v>2095</v>
      </c>
      <c r="B1153" s="32">
        <f t="shared" ca="1" si="52"/>
        <v>14.919341666666666</v>
      </c>
      <c r="C1153" s="32">
        <f t="shared" ca="1" si="52"/>
        <v>14.919341666666666</v>
      </c>
      <c r="D1153" s="32">
        <f t="shared" ca="1" si="52"/>
        <v>14.920624999999999</v>
      </c>
      <c r="E1153" s="32">
        <f t="shared" ca="1" si="52"/>
        <v>16.828675</v>
      </c>
      <c r="F1153" s="32">
        <f t="shared" ca="1" si="52"/>
        <v>16.828675</v>
      </c>
      <c r="G1153" s="32">
        <f t="shared" ca="1" si="52"/>
        <v>16.832991666666665</v>
      </c>
      <c r="H1153" s="32">
        <f t="shared" ca="1" si="52"/>
        <v>34.989775000000002</v>
      </c>
      <c r="I1153" s="32">
        <f t="shared" ca="1" si="52"/>
        <v>34.994083333333336</v>
      </c>
      <c r="J1153" s="32">
        <f t="shared" ca="1" si="52"/>
        <v>34.989775000000002</v>
      </c>
      <c r="K1153" s="32">
        <f t="shared" ca="1" si="52"/>
        <v>34.994083333333336</v>
      </c>
      <c r="L1153" s="32">
        <f t="shared" ca="1" si="52"/>
        <v>16.828675</v>
      </c>
      <c r="M1153" s="32">
        <f t="shared" ca="1" si="52"/>
        <v>16.832991666666665</v>
      </c>
      <c r="N1153" s="32">
        <f t="shared" ca="1" si="52"/>
        <v>16.828675</v>
      </c>
      <c r="O1153" s="32">
        <f t="shared" ca="1" si="52"/>
        <v>16.832991666666665</v>
      </c>
    </row>
    <row r="1154" spans="1:15" ht="15" x14ac:dyDescent="0.2">
      <c r="A1154" s="11">
        <v>2096</v>
      </c>
      <c r="B1154" s="32">
        <f t="shared" ca="1" si="52"/>
        <v>15.108033333333333</v>
      </c>
      <c r="C1154" s="32">
        <f t="shared" ca="1" si="52"/>
        <v>15.108033333333333</v>
      </c>
      <c r="D1154" s="32">
        <f t="shared" ca="1" si="52"/>
        <v>15.109316666666665</v>
      </c>
      <c r="E1154" s="32">
        <f t="shared" ca="1" si="52"/>
        <v>17.043241666666667</v>
      </c>
      <c r="F1154" s="32">
        <f t="shared" ca="1" si="52"/>
        <v>17.043241666666667</v>
      </c>
      <c r="G1154" s="32">
        <f t="shared" ca="1" si="52"/>
        <v>17.047558333333335</v>
      </c>
      <c r="H1154" s="32">
        <f t="shared" ca="1" si="52"/>
        <v>35.459150000000001</v>
      </c>
      <c r="I1154" s="32">
        <f t="shared" ca="1" si="52"/>
        <v>35.463458333333328</v>
      </c>
      <c r="J1154" s="32">
        <f t="shared" ca="1" si="52"/>
        <v>35.459150000000001</v>
      </c>
      <c r="K1154" s="32">
        <f t="shared" ca="1" si="52"/>
        <v>35.463458333333328</v>
      </c>
      <c r="L1154" s="32">
        <f t="shared" ca="1" si="52"/>
        <v>17.043241666666667</v>
      </c>
      <c r="M1154" s="32">
        <f t="shared" ca="1" si="52"/>
        <v>17.047558333333335</v>
      </c>
      <c r="N1154" s="32">
        <f t="shared" ca="1" si="52"/>
        <v>17.043241666666667</v>
      </c>
      <c r="O1154" s="32">
        <f t="shared" ca="1" si="52"/>
        <v>17.047558333333335</v>
      </c>
    </row>
    <row r="1155" spans="1:15" ht="15" x14ac:dyDescent="0.2">
      <c r="A1155" s="11">
        <v>2097</v>
      </c>
      <c r="B1155" s="32">
        <f t="shared" ca="1" si="52"/>
        <v>15.296750000000001</v>
      </c>
      <c r="C1155" s="32">
        <f t="shared" ca="1" si="52"/>
        <v>15.296750000000001</v>
      </c>
      <c r="D1155" s="32">
        <f t="shared" ca="1" si="52"/>
        <v>15.298008333333334</v>
      </c>
      <c r="E1155" s="32">
        <f t="shared" ca="1" si="52"/>
        <v>17.2578</v>
      </c>
      <c r="F1155" s="32">
        <f t="shared" ca="1" si="52"/>
        <v>17.2578</v>
      </c>
      <c r="G1155" s="32">
        <f t="shared" ca="1" si="52"/>
        <v>17.262116666666664</v>
      </c>
      <c r="H1155" s="32">
        <f t="shared" ca="1" si="52"/>
        <v>35.928533333333334</v>
      </c>
      <c r="I1155" s="32">
        <f t="shared" ca="1" si="52"/>
        <v>35.932841666666668</v>
      </c>
      <c r="J1155" s="32">
        <f t="shared" ca="1" si="52"/>
        <v>35.928533333333334</v>
      </c>
      <c r="K1155" s="32">
        <f t="shared" ca="1" si="52"/>
        <v>35.932841666666668</v>
      </c>
      <c r="L1155" s="32">
        <f t="shared" ca="1" si="52"/>
        <v>17.2578</v>
      </c>
      <c r="M1155" s="32">
        <f t="shared" ca="1" si="52"/>
        <v>17.262116666666664</v>
      </c>
      <c r="N1155" s="32">
        <f t="shared" ca="1" si="52"/>
        <v>17.2578</v>
      </c>
      <c r="O1155" s="32">
        <f t="shared" ca="1" si="52"/>
        <v>17.262116666666664</v>
      </c>
    </row>
    <row r="1156" spans="1:15" ht="15" x14ac:dyDescent="0.2">
      <c r="A1156" s="11">
        <v>2098</v>
      </c>
      <c r="B1156" s="32">
        <f t="shared" ca="1" si="52"/>
        <v>15.485433333333333</v>
      </c>
      <c r="C1156" s="32">
        <f t="shared" ca="1" si="52"/>
        <v>15.485433333333333</v>
      </c>
      <c r="D1156" s="32">
        <f t="shared" ca="1" si="52"/>
        <v>15.486733333333333</v>
      </c>
      <c r="E1156" s="32">
        <f t="shared" ca="1" si="52"/>
        <v>17.472383333333333</v>
      </c>
      <c r="F1156" s="32">
        <f t="shared" ca="1" si="52"/>
        <v>17.472383333333333</v>
      </c>
      <c r="G1156" s="32">
        <f t="shared" ca="1" si="52"/>
        <v>17.476700000000001</v>
      </c>
      <c r="H1156" s="32">
        <f t="shared" ca="1" si="52"/>
        <v>36.397908333333334</v>
      </c>
      <c r="I1156" s="32">
        <f t="shared" ca="1" si="52"/>
        <v>36.402233333333335</v>
      </c>
      <c r="J1156" s="32">
        <f t="shared" ca="1" si="52"/>
        <v>36.397908333333334</v>
      </c>
      <c r="K1156" s="32">
        <f t="shared" ca="1" si="52"/>
        <v>36.402233333333335</v>
      </c>
      <c r="L1156" s="32">
        <f t="shared" ca="1" si="52"/>
        <v>17.472383333333333</v>
      </c>
      <c r="M1156" s="32">
        <f t="shared" ca="1" si="52"/>
        <v>17.476700000000001</v>
      </c>
      <c r="N1156" s="32">
        <f t="shared" ca="1" si="52"/>
        <v>17.472383333333333</v>
      </c>
      <c r="O1156" s="32">
        <f t="shared" ca="1" si="52"/>
        <v>17.476700000000001</v>
      </c>
    </row>
    <row r="1157" spans="1:15" ht="15" x14ac:dyDescent="0.2">
      <c r="A1157" s="11">
        <v>2099</v>
      </c>
      <c r="B1157" s="32">
        <f t="shared" ca="1" si="52"/>
        <v>15.674149999999999</v>
      </c>
      <c r="C1157" s="32">
        <f t="shared" ca="1" si="52"/>
        <v>15.674149999999999</v>
      </c>
      <c r="D1157" s="32">
        <f t="shared" ca="1" si="52"/>
        <v>15.675425000000002</v>
      </c>
      <c r="E1157" s="32">
        <f t="shared" ca="1" si="52"/>
        <v>17.686933333333332</v>
      </c>
      <c r="F1157" s="32">
        <f t="shared" ca="1" si="52"/>
        <v>17.686933333333332</v>
      </c>
      <c r="G1157" s="32">
        <f t="shared" ca="1" si="52"/>
        <v>17.691258333333334</v>
      </c>
      <c r="H1157" s="32">
        <f t="shared" ca="1" si="52"/>
        <v>36.8673</v>
      </c>
      <c r="I1157" s="32">
        <f t="shared" ca="1" si="52"/>
        <v>36.871625000000002</v>
      </c>
      <c r="J1157" s="32">
        <f t="shared" ca="1" si="52"/>
        <v>36.8673</v>
      </c>
      <c r="K1157" s="32">
        <f t="shared" ca="1" si="52"/>
        <v>36.871625000000002</v>
      </c>
      <c r="L1157" s="32">
        <f t="shared" ca="1" si="52"/>
        <v>17.686933333333332</v>
      </c>
      <c r="M1157" s="32">
        <f t="shared" ca="1" si="52"/>
        <v>17.691258333333334</v>
      </c>
      <c r="N1157" s="32">
        <f t="shared" ca="1" si="52"/>
        <v>17.686933333333332</v>
      </c>
      <c r="O1157" s="32">
        <f t="shared" ca="1" si="52"/>
        <v>17.691258333333334</v>
      </c>
    </row>
    <row r="1158" spans="1:15" ht="15" x14ac:dyDescent="0.2">
      <c r="A1158" s="11">
        <v>2100</v>
      </c>
      <c r="B1158" s="32">
        <f t="shared" ca="1" si="52"/>
        <v>15.862841666666663</v>
      </c>
      <c r="C1158" s="32">
        <f t="shared" ca="1" si="52"/>
        <v>15.862841666666663</v>
      </c>
      <c r="D1158" s="32">
        <f t="shared" ca="1" si="52"/>
        <v>15.864133333333335</v>
      </c>
      <c r="E1158" s="32">
        <f t="shared" ca="1" si="52"/>
        <v>17.901491666666669</v>
      </c>
      <c r="F1158" s="32">
        <f t="shared" ca="1" si="52"/>
        <v>17.901491666666669</v>
      </c>
      <c r="G1158" s="32">
        <f t="shared" ca="1" si="52"/>
        <v>17.905808333333329</v>
      </c>
      <c r="H1158" s="32">
        <f t="shared" ca="1" si="52"/>
        <v>37.3367</v>
      </c>
      <c r="I1158" s="32">
        <f t="shared" ca="1" si="52"/>
        <v>37.341008333333342</v>
      </c>
      <c r="J1158" s="32">
        <f t="shared" ca="1" si="52"/>
        <v>37.3367</v>
      </c>
      <c r="K1158" s="32">
        <f t="shared" ca="1" si="52"/>
        <v>37.341008333333342</v>
      </c>
      <c r="L1158" s="32">
        <f t="shared" ca="1" si="52"/>
        <v>17.901491666666669</v>
      </c>
      <c r="M1158" s="32">
        <f t="shared" ca="1" si="52"/>
        <v>17.905808333333329</v>
      </c>
      <c r="N1158" s="32">
        <f t="shared" ca="1" si="52"/>
        <v>17.901491666666669</v>
      </c>
      <c r="O1158" s="32">
        <f t="shared" ca="1" si="52"/>
        <v>17.905808333333329</v>
      </c>
    </row>
  </sheetData>
  <mergeCells count="7">
    <mergeCell ref="B10:D10"/>
    <mergeCell ref="P10:Q10"/>
    <mergeCell ref="R10:S10"/>
    <mergeCell ref="P9:S9"/>
    <mergeCell ref="E10:G10"/>
    <mergeCell ref="H10:K10"/>
    <mergeCell ref="L10:O10"/>
  </mergeCells>
  <pageMargins left="0.25" right="0.25" top="0.5" bottom="0.5" header="0.25" footer="0.25"/>
  <pageSetup paperSize="17" scale="6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7</xdr:row>
                    <xdr:rowOff>38100</xdr:rowOff>
                  </from>
                  <to>
                    <xdr:col>6</xdr:col>
                    <xdr:colOff>381000</xdr:colOff>
                    <xdr:row>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AC1172"/>
  <sheetViews>
    <sheetView zoomScale="70" zoomScaleNormal="70" workbookViewId="0">
      <pane xSplit="1" ySplit="12" topLeftCell="B13" activePane="bottomRight" state="frozen"/>
      <selection activeCell="A4" sqref="A4:XFD6"/>
      <selection pane="topRight" activeCell="A4" sqref="A4:XFD6"/>
      <selection pane="bottomLeft" activeCell="A4" sqref="A4:XFD6"/>
      <selection pane="bottomRight" activeCell="B13" sqref="B13"/>
    </sheetView>
  </sheetViews>
  <sheetFormatPr defaultColWidth="7.109375" defaultRowHeight="12.75" x14ac:dyDescent="0.2"/>
  <cols>
    <col min="1" max="1" width="18.21875" style="9" customWidth="1"/>
    <col min="2" max="10" width="13" style="9" customWidth="1"/>
    <col min="11" max="11" width="18.6640625" style="9" customWidth="1"/>
    <col min="12" max="12" width="13" style="9" customWidth="1"/>
    <col min="13" max="16" width="20.6640625" style="9" customWidth="1"/>
    <col min="17" max="17" width="15.5546875" style="9" customWidth="1"/>
    <col min="18" max="18" width="16.21875" style="9" customWidth="1"/>
    <col min="19" max="19" width="13" style="8" customWidth="1"/>
    <col min="20" max="25" width="19.77734375" style="8" customWidth="1"/>
    <col min="26" max="26" width="15.5546875" style="8" customWidth="1"/>
    <col min="27" max="27" width="16.88671875" style="8" customWidth="1"/>
    <col min="28" max="29" width="14.77734375" style="8" customWidth="1"/>
    <col min="30" max="30" width="14" style="8" customWidth="1"/>
    <col min="31" max="31" width="10.21875" style="8" customWidth="1"/>
    <col min="32" max="32" width="11.77734375" style="8" customWidth="1"/>
    <col min="33" max="33" width="7.109375" style="8" customWidth="1"/>
    <col min="34" max="34" width="8.77734375" style="8" customWidth="1"/>
    <col min="35" max="35" width="9.21875" style="8" customWidth="1"/>
    <col min="36" max="36" width="11.77734375" style="8" customWidth="1"/>
    <col min="37" max="37" width="7.109375" style="8" customWidth="1"/>
    <col min="38" max="38" width="9.21875" style="8" customWidth="1"/>
    <col min="39" max="39" width="9.33203125" style="8" customWidth="1"/>
    <col min="40" max="40" width="8.21875" style="8" customWidth="1"/>
    <col min="41" max="41" width="9" style="8" customWidth="1"/>
    <col min="42" max="16384" width="7.109375" style="8"/>
  </cols>
  <sheetData>
    <row r="1" spans="1:29" ht="15.75" x14ac:dyDescent="0.25">
      <c r="A1" s="108" t="s">
        <v>91</v>
      </c>
    </row>
    <row r="2" spans="1:29" ht="15.75" x14ac:dyDescent="0.25">
      <c r="A2" s="108" t="s">
        <v>92</v>
      </c>
    </row>
    <row r="3" spans="1:29" ht="15.75" x14ac:dyDescent="0.25">
      <c r="A3" s="108" t="s">
        <v>93</v>
      </c>
    </row>
    <row r="4" spans="1:29" ht="15.75" x14ac:dyDescent="0.25">
      <c r="A4" s="108" t="s">
        <v>94</v>
      </c>
    </row>
    <row r="5" spans="1:29" ht="15.75" x14ac:dyDescent="0.25">
      <c r="A5" s="108" t="s">
        <v>96</v>
      </c>
    </row>
    <row r="6" spans="1:29" ht="15.75" x14ac:dyDescent="0.25">
      <c r="A6" s="108" t="s">
        <v>100</v>
      </c>
    </row>
    <row r="8" spans="1:29" ht="15.75" x14ac:dyDescent="0.25">
      <c r="A8" s="25" t="s">
        <v>28</v>
      </c>
      <c r="M8" s="83"/>
      <c r="N8" s="83"/>
      <c r="O8" s="79"/>
      <c r="P8" s="79"/>
      <c r="T8" s="117" t="s">
        <v>79</v>
      </c>
      <c r="U8" s="117"/>
      <c r="V8" s="117"/>
      <c r="W8" s="117"/>
      <c r="X8" s="117"/>
      <c r="Y8" s="117"/>
    </row>
    <row r="9" spans="1:29" ht="16.5" thickBot="1" x14ac:dyDescent="0.3">
      <c r="A9" s="25"/>
      <c r="B9" s="23" t="s">
        <v>27</v>
      </c>
      <c r="C9" s="82">
        <f>1-0.216</f>
        <v>0.78400000000000003</v>
      </c>
      <c r="D9" s="23"/>
      <c r="E9" s="82">
        <f>1+0.216</f>
        <v>1.216</v>
      </c>
      <c r="F9" s="82"/>
      <c r="G9" s="82"/>
      <c r="H9" s="1"/>
      <c r="I9" s="1"/>
      <c r="J9" s="1"/>
      <c r="K9" s="1"/>
      <c r="L9" s="1"/>
      <c r="M9" s="1"/>
      <c r="N9" s="1"/>
      <c r="O9" s="1"/>
      <c r="P9" s="1"/>
      <c r="T9" s="117" t="s">
        <v>78</v>
      </c>
      <c r="U9" s="117"/>
      <c r="V9" s="117"/>
      <c r="W9" s="117"/>
      <c r="X9" s="117"/>
      <c r="Y9" s="117"/>
      <c r="Z9" s="113"/>
      <c r="AA9" s="113"/>
      <c r="AB9" s="1"/>
    </row>
    <row r="10" spans="1:29" ht="21.75" thickTop="1" thickBot="1" x14ac:dyDescent="0.35">
      <c r="B10" s="81"/>
      <c r="C10" s="80"/>
      <c r="D10" s="81"/>
      <c r="E10" s="80"/>
      <c r="F10" s="80"/>
      <c r="G10" s="80"/>
      <c r="H10" s="1"/>
      <c r="I10" s="1"/>
      <c r="J10" s="1"/>
      <c r="K10" s="1"/>
      <c r="L10" s="1"/>
      <c r="M10" s="1"/>
      <c r="N10" s="1"/>
      <c r="O10" s="1"/>
      <c r="P10" s="1"/>
      <c r="T10" s="118" t="s">
        <v>77</v>
      </c>
      <c r="U10" s="119"/>
      <c r="V10" s="119"/>
      <c r="W10" s="119"/>
      <c r="X10" s="119"/>
      <c r="Y10" s="120"/>
      <c r="Z10" s="79"/>
      <c r="AA10" s="79"/>
      <c r="AB10" s="1"/>
    </row>
    <row r="11" spans="1:29" s="18" customFormat="1" ht="112.5" customHeight="1" thickTop="1" x14ac:dyDescent="0.25">
      <c r="B11" s="74" t="s">
        <v>76</v>
      </c>
      <c r="C11" s="78" t="s">
        <v>75</v>
      </c>
      <c r="D11" s="74" t="s">
        <v>74</v>
      </c>
      <c r="E11" s="74" t="s">
        <v>73</v>
      </c>
      <c r="F11" s="78" t="s">
        <v>72</v>
      </c>
      <c r="G11" s="78" t="s">
        <v>71</v>
      </c>
      <c r="H11" s="78" t="s">
        <v>70</v>
      </c>
      <c r="I11" s="78" t="s">
        <v>69</v>
      </c>
      <c r="J11" s="78" t="s">
        <v>68</v>
      </c>
      <c r="K11" s="75" t="s">
        <v>67</v>
      </c>
      <c r="L11" s="19" t="s">
        <v>66</v>
      </c>
      <c r="M11" s="77" t="s">
        <v>65</v>
      </c>
      <c r="N11" s="77" t="s">
        <v>64</v>
      </c>
      <c r="O11" s="77" t="s">
        <v>63</v>
      </c>
      <c r="P11" s="77" t="s">
        <v>62</v>
      </c>
      <c r="Q11" s="19" t="s">
        <v>61</v>
      </c>
      <c r="R11" s="21" t="s">
        <v>60</v>
      </c>
      <c r="S11" s="19" t="s">
        <v>59</v>
      </c>
      <c r="T11" s="73" t="s">
        <v>58</v>
      </c>
      <c r="U11" s="73" t="s">
        <v>57</v>
      </c>
      <c r="V11" s="73" t="s">
        <v>56</v>
      </c>
      <c r="W11" s="73" t="s">
        <v>55</v>
      </c>
      <c r="X11" s="73" t="s">
        <v>54</v>
      </c>
      <c r="Y11" s="73" t="s">
        <v>53</v>
      </c>
      <c r="Z11" s="21" t="s">
        <v>52</v>
      </c>
      <c r="AA11" s="21" t="s">
        <v>51</v>
      </c>
      <c r="AB11" s="74" t="s">
        <v>50</v>
      </c>
      <c r="AC11" s="76" t="s">
        <v>49</v>
      </c>
    </row>
    <row r="12" spans="1:29" s="18" customFormat="1" ht="15.75" x14ac:dyDescent="0.25">
      <c r="A12" s="20" t="s">
        <v>15</v>
      </c>
      <c r="B12" s="19" t="s">
        <v>14</v>
      </c>
      <c r="C12" s="19" t="s">
        <v>14</v>
      </c>
      <c r="D12" s="19" t="s">
        <v>14</v>
      </c>
      <c r="E12" s="19" t="s">
        <v>14</v>
      </c>
      <c r="F12" s="19" t="s">
        <v>14</v>
      </c>
      <c r="G12" s="19" t="s">
        <v>14</v>
      </c>
      <c r="H12" s="19" t="s">
        <v>14</v>
      </c>
      <c r="I12" s="19" t="s">
        <v>14</v>
      </c>
      <c r="J12" s="19" t="s">
        <v>14</v>
      </c>
      <c r="K12" s="75" t="s">
        <v>14</v>
      </c>
      <c r="L12" s="19" t="s">
        <v>14</v>
      </c>
      <c r="M12" s="19" t="s">
        <v>14</v>
      </c>
      <c r="N12" s="19" t="s">
        <v>14</v>
      </c>
      <c r="O12" s="19" t="s">
        <v>14</v>
      </c>
      <c r="P12" s="19" t="s">
        <v>14</v>
      </c>
      <c r="Q12" s="19" t="s">
        <v>14</v>
      </c>
      <c r="R12" s="19" t="s">
        <v>14</v>
      </c>
      <c r="S12" s="19" t="s">
        <v>14</v>
      </c>
      <c r="T12" s="73" t="s">
        <v>48</v>
      </c>
      <c r="U12" s="73" t="s">
        <v>48</v>
      </c>
      <c r="V12" s="73" t="s">
        <v>48</v>
      </c>
      <c r="W12" s="73" t="s">
        <v>48</v>
      </c>
      <c r="X12" s="73" t="s">
        <v>48</v>
      </c>
      <c r="Y12" s="73" t="s">
        <v>48</v>
      </c>
      <c r="Z12" s="19" t="s">
        <v>14</v>
      </c>
      <c r="AA12" s="19" t="s">
        <v>48</v>
      </c>
      <c r="AB12" s="74" t="s">
        <v>14</v>
      </c>
      <c r="AC12" s="73" t="s">
        <v>14</v>
      </c>
    </row>
    <row r="13" spans="1:29" ht="15.75" x14ac:dyDescent="0.25">
      <c r="A13" s="16">
        <v>41275</v>
      </c>
      <c r="B13" s="70">
        <v>3.4693411405589898</v>
      </c>
      <c r="C13" s="70">
        <v>3.47442538832698</v>
      </c>
      <c r="D13" s="70">
        <v>3.5918799851734899</v>
      </c>
      <c r="E13" s="70">
        <v>3.62563976038513</v>
      </c>
      <c r="F13" s="70">
        <v>3.4827097294503502</v>
      </c>
      <c r="G13" s="70">
        <v>3.4975364689593298</v>
      </c>
      <c r="H13" s="70">
        <v>3.6145177663942398</v>
      </c>
      <c r="I13" s="70">
        <v>3.5091919375943799</v>
      </c>
      <c r="J13" s="70">
        <v>3.4753097294503501</v>
      </c>
      <c r="K13" s="72"/>
      <c r="L13" s="70">
        <v>4.2015177663942396</v>
      </c>
      <c r="M13" s="70">
        <v>3.4510577257516601</v>
      </c>
      <c r="N13" s="70">
        <v>3.46575112309643</v>
      </c>
      <c r="O13" s="70">
        <v>3.5890138150970801</v>
      </c>
      <c r="P13" s="70">
        <v>3.4845926581983502</v>
      </c>
      <c r="Q13" s="70">
        <v>4.1837138150970796</v>
      </c>
      <c r="R13" s="70">
        <v>4.7811730996348203</v>
      </c>
      <c r="S13" s="70">
        <v>3.3547069680724899</v>
      </c>
      <c r="T13" s="71">
        <v>29.034112</v>
      </c>
      <c r="U13" s="71">
        <v>12.063650000000001</v>
      </c>
      <c r="V13" s="71">
        <v>4.9444999999999997</v>
      </c>
      <c r="W13" s="71">
        <v>0.56798199999999999</v>
      </c>
      <c r="X13" s="71">
        <v>0</v>
      </c>
      <c r="Y13" s="71">
        <v>0.39</v>
      </c>
      <c r="Z13" s="70">
        <v>3.49160559679886</v>
      </c>
      <c r="AA13" s="69">
        <v>0.78900000000000003</v>
      </c>
      <c r="AB13" s="68">
        <v>3.5128713827202498</v>
      </c>
      <c r="AC13" s="67">
        <v>3.5263496753376899</v>
      </c>
    </row>
    <row r="14" spans="1:29" ht="15.75" x14ac:dyDescent="0.25">
      <c r="A14" s="16">
        <v>41306</v>
      </c>
      <c r="B14" s="10">
        <v>3.3373871192168498</v>
      </c>
      <c r="C14" s="10">
        <v>3.34247136698484</v>
      </c>
      <c r="D14" s="10">
        <v>3.4274416903447098</v>
      </c>
      <c r="E14" s="10">
        <v>3.4612014655563499</v>
      </c>
      <c r="F14" s="10">
        <v>3.32921003516193</v>
      </c>
      <c r="G14" s="10">
        <v>3.3428860878936399</v>
      </c>
      <c r="H14" s="10">
        <v>3.4500794715654499</v>
      </c>
      <c r="I14" s="10">
        <v>3.3623461586604102</v>
      </c>
      <c r="J14" s="10">
        <v>3.32181003516193</v>
      </c>
      <c r="K14" s="54"/>
      <c r="L14" s="10">
        <v>4.0370794715654501</v>
      </c>
      <c r="M14" s="10">
        <v>3.2989385090408998</v>
      </c>
      <c r="N14" s="10">
        <v>3.3124915681456</v>
      </c>
      <c r="O14" s="10">
        <v>3.42605437258766</v>
      </c>
      <c r="P14" s="10">
        <v>3.3390715772188799</v>
      </c>
      <c r="Q14" s="10">
        <v>4.0207543725876604</v>
      </c>
      <c r="R14" s="10">
        <v>4.6178062585191304</v>
      </c>
      <c r="S14" s="10">
        <v>3.2267511535770201</v>
      </c>
      <c r="T14" s="58">
        <v>26.280478500000001</v>
      </c>
      <c r="U14" s="58">
        <v>10.8962</v>
      </c>
      <c r="V14" s="58">
        <v>4.4660000000000002</v>
      </c>
      <c r="W14" s="58">
        <v>0.51301600000000003</v>
      </c>
      <c r="X14" s="58">
        <v>0</v>
      </c>
      <c r="Y14" s="58">
        <v>0.39</v>
      </c>
      <c r="Z14" s="10">
        <v>3.3376078337533501</v>
      </c>
      <c r="AA14" s="57">
        <v>0.78900000000000003</v>
      </c>
      <c r="AB14" s="51">
        <v>3.3650754313211002</v>
      </c>
      <c r="AC14" s="27">
        <v>3.36964273692133</v>
      </c>
    </row>
    <row r="15" spans="1:29" ht="15.75" x14ac:dyDescent="0.25">
      <c r="A15" s="16">
        <v>41334</v>
      </c>
      <c r="B15" s="10">
        <v>3.5446221553058099</v>
      </c>
      <c r="C15" s="10">
        <v>3.5497064030738099</v>
      </c>
      <c r="D15" s="10">
        <v>3.6259111288261701</v>
      </c>
      <c r="E15" s="10">
        <v>3.6596709040378101</v>
      </c>
      <c r="F15" s="10">
        <v>3.5438843996438298</v>
      </c>
      <c r="G15" s="10">
        <v>3.5577092992119201</v>
      </c>
      <c r="H15" s="10">
        <v>3.6485489100469102</v>
      </c>
      <c r="I15" s="10">
        <v>3.55729372718785</v>
      </c>
      <c r="J15" s="10">
        <v>3.5364843996438302</v>
      </c>
      <c r="K15" s="54"/>
      <c r="L15" s="10">
        <v>4.2355489100469104</v>
      </c>
      <c r="M15" s="10">
        <v>3.5116822302857602</v>
      </c>
      <c r="N15" s="10">
        <v>3.5253827975940699</v>
      </c>
      <c r="O15" s="10">
        <v>3.6227389045196601</v>
      </c>
      <c r="P15" s="10">
        <v>3.5322605208328999</v>
      </c>
      <c r="Q15" s="10">
        <v>4.2174389045196596</v>
      </c>
      <c r="R15" s="10">
        <v>4.8149825017809604</v>
      </c>
      <c r="S15" s="10">
        <v>3.4277069680724899</v>
      </c>
      <c r="T15" s="58">
        <v>29.128712</v>
      </c>
      <c r="U15" s="58">
        <v>12.063650000000001</v>
      </c>
      <c r="V15" s="58">
        <v>4.9444999999999997</v>
      </c>
      <c r="W15" s="58">
        <v>0.71033400000000002</v>
      </c>
      <c r="X15" s="58">
        <v>0</v>
      </c>
      <c r="Y15" s="58">
        <v>0.39</v>
      </c>
      <c r="Z15" s="10">
        <v>3.51872944531473</v>
      </c>
      <c r="AA15" s="57">
        <v>0.78900000000000003</v>
      </c>
      <c r="AB15" s="51">
        <v>3.5712349617297399</v>
      </c>
      <c r="AC15" s="27">
        <v>3.5713699258364802</v>
      </c>
    </row>
    <row r="16" spans="1:29" ht="15.75" x14ac:dyDescent="0.25">
      <c r="A16" s="16">
        <v>41365</v>
      </c>
      <c r="B16" s="10">
        <v>4.1484240687378904</v>
      </c>
      <c r="C16" s="10">
        <v>4.1529056348026501</v>
      </c>
      <c r="D16" s="10">
        <v>4.3764270426620504</v>
      </c>
      <c r="E16" s="10">
        <v>4.4085325011284802</v>
      </c>
      <c r="F16" s="10">
        <v>4.15877359890011</v>
      </c>
      <c r="G16" s="10">
        <v>4.1735123563116101</v>
      </c>
      <c r="H16" s="10">
        <v>4.3983177600115999</v>
      </c>
      <c r="I16" s="10">
        <v>4.1790239832917297</v>
      </c>
      <c r="J16" s="10">
        <v>4.1517735989001103</v>
      </c>
      <c r="K16" s="54"/>
      <c r="L16" s="10">
        <v>4.9853177600115997</v>
      </c>
      <c r="M16" s="10">
        <v>4.0847896384088997</v>
      </c>
      <c r="N16" s="10">
        <v>4.09926329400085</v>
      </c>
      <c r="O16" s="10">
        <v>4.3268992801176704</v>
      </c>
      <c r="P16" s="10">
        <v>4.1113948289032702</v>
      </c>
      <c r="Q16" s="10">
        <v>4.92159928011767</v>
      </c>
      <c r="R16" s="10">
        <v>5.5209032783179701</v>
      </c>
      <c r="S16" s="10">
        <v>3.9769278955951401</v>
      </c>
      <c r="T16" s="58">
        <v>29.897007500000001</v>
      </c>
      <c r="U16" s="58">
        <v>11.6745</v>
      </c>
      <c r="V16" s="58">
        <v>4.7850000000000001</v>
      </c>
      <c r="W16" s="58">
        <v>0.68742000000000003</v>
      </c>
      <c r="X16" s="58">
        <v>0.77903628000000003</v>
      </c>
      <c r="Y16" s="58">
        <v>0.4</v>
      </c>
      <c r="Z16" s="10">
        <v>4.09674472425296</v>
      </c>
      <c r="AA16" s="57">
        <v>0.78900000000000003</v>
      </c>
      <c r="AB16" s="51">
        <v>4.2271001079906796</v>
      </c>
      <c r="AC16" s="27">
        <v>4.1729811830449197</v>
      </c>
    </row>
    <row r="17" spans="1:29" ht="15.75" x14ac:dyDescent="0.25">
      <c r="A17" s="16">
        <v>41395</v>
      </c>
      <c r="B17" s="10">
        <v>4.3329812441523696</v>
      </c>
      <c r="C17" s="10">
        <v>4.3410072762624203</v>
      </c>
      <c r="D17" s="10">
        <v>4.5615906242399502</v>
      </c>
      <c r="E17" s="10">
        <v>4.5930548614354496</v>
      </c>
      <c r="F17" s="10">
        <v>4.3524466929221504</v>
      </c>
      <c r="G17" s="10">
        <v>4.3691468189663398</v>
      </c>
      <c r="H17" s="10">
        <v>4.5816875175305896</v>
      </c>
      <c r="I17" s="10">
        <v>4.36869293934142</v>
      </c>
      <c r="J17" s="10">
        <v>4.3454466929221498</v>
      </c>
      <c r="K17" s="54"/>
      <c r="L17" s="10">
        <v>5.1686875175305902</v>
      </c>
      <c r="M17" s="10">
        <v>4.2749791898098</v>
      </c>
      <c r="N17" s="10">
        <v>4.2913789354570904</v>
      </c>
      <c r="O17" s="10">
        <v>4.5069708181861499</v>
      </c>
      <c r="P17" s="10">
        <v>4.2976358181395602</v>
      </c>
      <c r="Q17" s="10">
        <v>5.1016708181861503</v>
      </c>
      <c r="R17" s="10">
        <v>5.7014249952316103</v>
      </c>
      <c r="S17" s="10">
        <v>4.1529278955951403</v>
      </c>
      <c r="T17" s="60">
        <v>31.3819585</v>
      </c>
      <c r="U17" s="58">
        <v>12.063650000000001</v>
      </c>
      <c r="V17" s="58">
        <v>4.9444999999999997</v>
      </c>
      <c r="W17" s="58">
        <v>0.71033400000000002</v>
      </c>
      <c r="X17" s="58">
        <v>0.80500415599999997</v>
      </c>
      <c r="Y17" s="58">
        <v>0.4</v>
      </c>
      <c r="Z17" s="10">
        <v>4.2804704151434398</v>
      </c>
      <c r="AA17" s="57">
        <v>0.78900000000000003</v>
      </c>
      <c r="AB17" s="51">
        <v>4.4132889274089298</v>
      </c>
      <c r="AC17" s="27">
        <v>4.3595139595638903</v>
      </c>
    </row>
    <row r="18" spans="1:29" ht="15.75" x14ac:dyDescent="0.25">
      <c r="A18" s="16">
        <v>41426</v>
      </c>
      <c r="B18" s="10">
        <v>4.32881848007702</v>
      </c>
      <c r="C18" s="10">
        <v>4.3368445121870796</v>
      </c>
      <c r="D18" s="10">
        <v>4.4403501205455003</v>
      </c>
      <c r="E18" s="10">
        <v>4.4718143577409899</v>
      </c>
      <c r="F18" s="10">
        <v>4.3429599926592797</v>
      </c>
      <c r="G18" s="10">
        <v>4.35962830355016</v>
      </c>
      <c r="H18" s="10">
        <v>4.4604470138361396</v>
      </c>
      <c r="I18" s="10">
        <v>4.3634731878015902</v>
      </c>
      <c r="J18" s="10">
        <v>4.33595999265928</v>
      </c>
      <c r="K18" s="54"/>
      <c r="L18" s="10">
        <v>5.0474470138361403</v>
      </c>
      <c r="M18" s="10">
        <v>4.2548110264488299</v>
      </c>
      <c r="N18" s="10">
        <v>4.2711378153734403</v>
      </c>
      <c r="O18" s="10">
        <v>4.3767473961214503</v>
      </c>
      <c r="P18" s="10">
        <v>4.2815661713651796</v>
      </c>
      <c r="Q18" s="10">
        <v>4.9714473961214498</v>
      </c>
      <c r="R18" s="10">
        <v>5.57087601461176</v>
      </c>
      <c r="S18" s="10">
        <v>4.1489278955951399</v>
      </c>
      <c r="T18" s="60">
        <v>30.856738499999999</v>
      </c>
      <c r="U18" s="58">
        <v>11.6745</v>
      </c>
      <c r="V18" s="58">
        <v>4.7850000000000001</v>
      </c>
      <c r="W18" s="58">
        <v>0.68742000000000003</v>
      </c>
      <c r="X18" s="58">
        <v>0.77903628000000003</v>
      </c>
      <c r="Y18" s="58">
        <v>0.4</v>
      </c>
      <c r="Z18" s="10">
        <v>4.2635819811618703</v>
      </c>
      <c r="AA18" s="57">
        <v>0.78900000000000003</v>
      </c>
      <c r="AB18" s="51">
        <v>4.3736763494942696</v>
      </c>
      <c r="AC18" s="27">
        <v>4.30270998477351</v>
      </c>
    </row>
    <row r="19" spans="1:29" ht="15.75" x14ac:dyDescent="0.25">
      <c r="A19" s="16">
        <v>41456</v>
      </c>
      <c r="B19" s="10">
        <v>3.86987374077012</v>
      </c>
      <c r="C19" s="10">
        <v>3.8778997728801801</v>
      </c>
      <c r="D19" s="10">
        <v>4.0828727555751598</v>
      </c>
      <c r="E19" s="10">
        <v>4.1143369927706503</v>
      </c>
      <c r="F19" s="10">
        <v>3.8837475175894101</v>
      </c>
      <c r="G19" s="10">
        <v>3.9003451281395698</v>
      </c>
      <c r="H19" s="10">
        <v>4.1029696488658001</v>
      </c>
      <c r="I19" s="10">
        <v>3.9057009777587899</v>
      </c>
      <c r="J19" s="10">
        <v>3.8767475175894099</v>
      </c>
      <c r="K19" s="54"/>
      <c r="L19" s="10">
        <v>4.6899696488657998</v>
      </c>
      <c r="M19" s="10">
        <v>3.8050074919996599</v>
      </c>
      <c r="N19" s="10">
        <v>3.8212650291838099</v>
      </c>
      <c r="O19" s="10">
        <v>4.0265944909226699</v>
      </c>
      <c r="P19" s="10">
        <v>3.83320216318522</v>
      </c>
      <c r="Q19" s="10">
        <v>4.6212944909226703</v>
      </c>
      <c r="R19" s="10">
        <v>5.2198477271499799</v>
      </c>
      <c r="S19" s="10">
        <v>3.70792789559514</v>
      </c>
      <c r="T19" s="60">
        <v>31.8711175</v>
      </c>
      <c r="U19" s="58">
        <v>12.063650000000001</v>
      </c>
      <c r="V19" s="58">
        <v>4.9444999999999997</v>
      </c>
      <c r="W19" s="58">
        <v>0.71033400000000002</v>
      </c>
      <c r="X19" s="58">
        <v>0.80500415599999997</v>
      </c>
      <c r="Y19" s="58">
        <v>0.4</v>
      </c>
      <c r="Z19" s="10">
        <v>3.82345915618746</v>
      </c>
      <c r="AA19" s="57">
        <v>0.78900000000000003</v>
      </c>
      <c r="AB19" s="51">
        <v>3.9441061076992199</v>
      </c>
      <c r="AC19" s="27">
        <v>3.8867964363558598</v>
      </c>
    </row>
    <row r="20" spans="1:29" ht="15.75" x14ac:dyDescent="0.25">
      <c r="A20" s="16">
        <v>41487</v>
      </c>
      <c r="B20" s="10">
        <v>3.61219621921822</v>
      </c>
      <c r="C20" s="10">
        <v>3.62022225132828</v>
      </c>
      <c r="D20" s="10">
        <v>3.8642211472296299</v>
      </c>
      <c r="E20" s="10">
        <v>3.89568538442512</v>
      </c>
      <c r="F20" s="10">
        <v>3.5994463096042302</v>
      </c>
      <c r="G20" s="10">
        <v>3.6149235738804899</v>
      </c>
      <c r="H20" s="10">
        <v>3.88431804052026</v>
      </c>
      <c r="I20" s="10">
        <v>3.6247715170016899</v>
      </c>
      <c r="J20" s="10">
        <v>3.5924463096042301</v>
      </c>
      <c r="K20" s="54"/>
      <c r="L20" s="10">
        <v>4.4713180405202602</v>
      </c>
      <c r="M20" s="10">
        <v>3.5265314157988898</v>
      </c>
      <c r="N20" s="10">
        <v>3.5416915618162701</v>
      </c>
      <c r="O20" s="10">
        <v>3.8124229002404899</v>
      </c>
      <c r="P20" s="10">
        <v>3.5580464060694501</v>
      </c>
      <c r="Q20" s="10">
        <v>4.4071229002404904</v>
      </c>
      <c r="R20" s="10">
        <v>5.0051407074910896</v>
      </c>
      <c r="S20" s="10">
        <v>3.4603255651359199</v>
      </c>
      <c r="T20" s="60">
        <v>31.898197499999998</v>
      </c>
      <c r="U20" s="58">
        <v>12.063650000000001</v>
      </c>
      <c r="V20" s="58">
        <v>4.9444999999999997</v>
      </c>
      <c r="W20" s="58">
        <v>0.71033400000000002</v>
      </c>
      <c r="X20" s="58">
        <v>0.80500415599999997</v>
      </c>
      <c r="Y20" s="58">
        <v>0.4</v>
      </c>
      <c r="Z20" s="10">
        <v>3.56235134609613</v>
      </c>
      <c r="AA20" s="57">
        <v>0.78900000000000003</v>
      </c>
      <c r="AB20" s="51">
        <v>3.68846444556352</v>
      </c>
      <c r="AC20" s="27">
        <v>3.6303518696016499</v>
      </c>
    </row>
    <row r="21" spans="1:29" ht="15.75" x14ac:dyDescent="0.25">
      <c r="A21" s="16">
        <v>41518</v>
      </c>
      <c r="B21" s="10">
        <v>3.7240390477598302</v>
      </c>
      <c r="C21" s="10">
        <v>3.73206507986988</v>
      </c>
      <c r="D21" s="10">
        <v>3.84337587086958</v>
      </c>
      <c r="E21" s="10">
        <v>3.8748401080650701</v>
      </c>
      <c r="F21" s="10">
        <v>3.6972945687336201</v>
      </c>
      <c r="G21" s="10">
        <v>3.71166810468806</v>
      </c>
      <c r="H21" s="10">
        <v>3.8634727641602198</v>
      </c>
      <c r="I21" s="10">
        <v>3.7040801859082899</v>
      </c>
      <c r="J21" s="10">
        <v>3.6902945687336199</v>
      </c>
      <c r="K21" s="54"/>
      <c r="L21" s="10">
        <v>4.45047276416022</v>
      </c>
      <c r="M21" s="10">
        <v>3.6223748329216501</v>
      </c>
      <c r="N21" s="10">
        <v>3.6364538652341998</v>
      </c>
      <c r="O21" s="10">
        <v>3.79200472893125</v>
      </c>
      <c r="P21" s="10">
        <v>3.6357251115353302</v>
      </c>
      <c r="Q21" s="10">
        <v>4.3867047289312504</v>
      </c>
      <c r="R21" s="10">
        <v>4.9846714907535699</v>
      </c>
      <c r="S21" s="10">
        <v>3.5677953390815502</v>
      </c>
      <c r="T21" s="60">
        <v>30.851674500000001</v>
      </c>
      <c r="U21" s="58">
        <v>11.6745</v>
      </c>
      <c r="V21" s="58">
        <v>4.7850000000000001</v>
      </c>
      <c r="W21" s="58">
        <v>0.68742000000000003</v>
      </c>
      <c r="X21" s="58">
        <v>0.77903628000000003</v>
      </c>
      <c r="Y21" s="58">
        <v>0.4</v>
      </c>
      <c r="Z21" s="10">
        <v>3.6431801832973898</v>
      </c>
      <c r="AA21" s="66">
        <v>0.84254499999999999</v>
      </c>
      <c r="AB21" s="51">
        <v>3.7554789789046401</v>
      </c>
      <c r="AC21" s="27">
        <v>3.6840835196858599</v>
      </c>
    </row>
    <row r="22" spans="1:29" ht="15.75" x14ac:dyDescent="0.25">
      <c r="A22" s="16">
        <v>41548</v>
      </c>
      <c r="B22" s="10">
        <v>3.6504702559508502</v>
      </c>
      <c r="C22" s="10">
        <v>3.6557916209136501</v>
      </c>
      <c r="D22" s="10">
        <v>3.7564616435515501</v>
      </c>
      <c r="E22" s="10">
        <v>3.7855856654759599</v>
      </c>
      <c r="F22" s="10">
        <v>3.6448891932193002</v>
      </c>
      <c r="G22" s="10">
        <v>3.6601434125871299</v>
      </c>
      <c r="H22" s="10">
        <v>3.7760547185779498</v>
      </c>
      <c r="I22" s="10">
        <v>3.63831131650648</v>
      </c>
      <c r="J22" s="10">
        <v>3.6378891932193</v>
      </c>
      <c r="K22" s="54"/>
      <c r="L22" s="10">
        <v>4.36305471857795</v>
      </c>
      <c r="M22" s="10">
        <v>3.57104320669157</v>
      </c>
      <c r="N22" s="10">
        <v>3.5859848778338201</v>
      </c>
      <c r="O22" s="10">
        <v>3.7063778176162598</v>
      </c>
      <c r="P22" s="10">
        <v>3.5713079336212199</v>
      </c>
      <c r="Q22" s="10">
        <v>4.3010778176162603</v>
      </c>
      <c r="R22" s="10">
        <v>4.8988305121603002</v>
      </c>
      <c r="S22" s="10">
        <v>3.4987953390815498</v>
      </c>
      <c r="T22" s="58">
        <v>31.278276000000002</v>
      </c>
      <c r="U22" s="58">
        <v>12.063650000000001</v>
      </c>
      <c r="V22" s="58">
        <v>4.9444999999999997</v>
      </c>
      <c r="W22" s="58">
        <v>0.71033400000000002</v>
      </c>
      <c r="X22" s="58">
        <v>0.80500415599999997</v>
      </c>
      <c r="Y22" s="58">
        <v>0.4</v>
      </c>
      <c r="Z22" s="10">
        <v>3.5786970717313702</v>
      </c>
      <c r="AA22" s="66">
        <v>0.84254499999999999</v>
      </c>
      <c r="AB22" s="51">
        <v>3.6855879247874999</v>
      </c>
      <c r="AC22" s="27">
        <v>3.61942177762299</v>
      </c>
    </row>
    <row r="23" spans="1:29" ht="15.75" x14ac:dyDescent="0.25">
      <c r="A23" s="16">
        <v>41579</v>
      </c>
      <c r="B23" s="10">
        <v>3.60305848656804</v>
      </c>
      <c r="C23" s="10">
        <v>3.6080129612873502</v>
      </c>
      <c r="D23" s="10">
        <v>3.6633651967961001</v>
      </c>
      <c r="E23" s="10">
        <v>3.6971424008157201</v>
      </c>
      <c r="F23" s="10">
        <v>3.6029647837068599</v>
      </c>
      <c r="G23" s="10">
        <v>3.6179503450873498</v>
      </c>
      <c r="H23" s="10">
        <v>3.68633860475909</v>
      </c>
      <c r="I23" s="10">
        <v>3.6166007600469099</v>
      </c>
      <c r="J23" s="10">
        <v>3.5959647837068598</v>
      </c>
      <c r="K23" s="54"/>
      <c r="L23" s="10">
        <v>4.2733386047590898</v>
      </c>
      <c r="M23" s="10">
        <v>3.5735025702933001</v>
      </c>
      <c r="N23" s="10">
        <v>3.5883369012378399</v>
      </c>
      <c r="O23" s="10">
        <v>3.6629643619587702</v>
      </c>
      <c r="P23" s="10">
        <v>3.5939695505418499</v>
      </c>
      <c r="Q23" s="10">
        <v>4.2582643619587701</v>
      </c>
      <c r="R23" s="10">
        <v>4.8559100228636698</v>
      </c>
      <c r="S23" s="10">
        <v>3.49679533908155</v>
      </c>
      <c r="T23" s="58">
        <v>28.4156005</v>
      </c>
      <c r="U23" s="58">
        <v>11.6745</v>
      </c>
      <c r="V23" s="58">
        <v>4.7850000000000001</v>
      </c>
      <c r="W23" s="58">
        <v>0.68742000000000003</v>
      </c>
      <c r="X23" s="58">
        <v>0</v>
      </c>
      <c r="Y23" s="58">
        <v>0.4</v>
      </c>
      <c r="Z23" s="10">
        <v>3.5960972764396599</v>
      </c>
      <c r="AA23" s="65">
        <v>1.0435350000000001</v>
      </c>
      <c r="AB23" s="51">
        <v>3.6247295102350598</v>
      </c>
      <c r="AC23" s="27">
        <v>3.6221437703884001</v>
      </c>
    </row>
    <row r="24" spans="1:29" ht="15.75" x14ac:dyDescent="0.25">
      <c r="A24" s="16">
        <v>41609</v>
      </c>
      <c r="B24" s="10">
        <v>3.9346412277893301</v>
      </c>
      <c r="C24" s="10">
        <v>3.9395957025086501</v>
      </c>
      <c r="D24" s="10">
        <v>3.9897991376878701</v>
      </c>
      <c r="E24" s="10">
        <v>4.0235763417074901</v>
      </c>
      <c r="F24" s="10">
        <v>3.9279382029534502</v>
      </c>
      <c r="G24" s="10">
        <v>3.9422661616159198</v>
      </c>
      <c r="H24" s="10">
        <v>4.0127725456508596</v>
      </c>
      <c r="I24" s="10">
        <v>3.9378859006091602</v>
      </c>
      <c r="J24" s="10">
        <v>3.9209382029534501</v>
      </c>
      <c r="K24" s="54"/>
      <c r="L24" s="10">
        <v>4.5997725456508602</v>
      </c>
      <c r="M24" s="10">
        <v>3.8951964412722702</v>
      </c>
      <c r="N24" s="10">
        <v>3.9093798058564899</v>
      </c>
      <c r="O24" s="10">
        <v>3.98610401537365</v>
      </c>
      <c r="P24" s="10">
        <v>3.9120123639975102</v>
      </c>
      <c r="Q24" s="10">
        <v>4.5814040153736499</v>
      </c>
      <c r="R24" s="10">
        <v>5.17985752541209</v>
      </c>
      <c r="S24" s="10">
        <v>3.8187953390815501</v>
      </c>
      <c r="T24" s="58">
        <v>29.352143999999999</v>
      </c>
      <c r="U24" s="58">
        <v>12.063650000000001</v>
      </c>
      <c r="V24" s="58">
        <v>4.9444999999999997</v>
      </c>
      <c r="W24" s="58">
        <v>0.71033400000000002</v>
      </c>
      <c r="X24" s="58">
        <v>0</v>
      </c>
      <c r="Y24" s="58">
        <v>0.4</v>
      </c>
      <c r="Z24" s="10">
        <v>3.9205599171766101</v>
      </c>
      <c r="AA24" s="65">
        <v>1.0435350000000001</v>
      </c>
      <c r="AB24" s="51">
        <v>3.9521666870147101</v>
      </c>
      <c r="AC24" s="27">
        <v>3.9440508025363199</v>
      </c>
    </row>
    <row r="25" spans="1:29" ht="15" x14ac:dyDescent="0.2">
      <c r="A25" s="16">
        <v>41640</v>
      </c>
      <c r="B25" s="10">
        <v>4.5403508981821297</v>
      </c>
      <c r="C25" s="10">
        <v>4.5453053729014501</v>
      </c>
      <c r="D25" s="10">
        <v>4.5955088080806696</v>
      </c>
      <c r="E25" s="10">
        <v>4.6292860121002901</v>
      </c>
      <c r="F25" s="10">
        <v>4.5057134542830504</v>
      </c>
      <c r="G25" s="10">
        <v>4.5232699624600601</v>
      </c>
      <c r="H25" s="10">
        <v>4.6184822160436596</v>
      </c>
      <c r="I25" s="10">
        <v>4.5142474091236702</v>
      </c>
      <c r="J25" s="10">
        <v>4.4987134542830498</v>
      </c>
      <c r="K25" s="63"/>
      <c r="L25" s="10">
        <v>5.2054822160436602</v>
      </c>
      <c r="M25" s="10">
        <v>4.4671409331847798</v>
      </c>
      <c r="N25" s="10">
        <v>4.4845202655912004</v>
      </c>
      <c r="O25" s="10">
        <v>4.5857010193679901</v>
      </c>
      <c r="P25" s="10">
        <v>4.48255738022426</v>
      </c>
      <c r="Q25" s="10">
        <v>5.1810010193679901</v>
      </c>
      <c r="R25" s="10">
        <v>5.7809535219164099</v>
      </c>
      <c r="S25" s="10">
        <v>4.407</v>
      </c>
      <c r="T25" s="58">
        <v>29.253942540000001</v>
      </c>
      <c r="U25" s="58">
        <v>12.063650000000001</v>
      </c>
      <c r="V25" s="58">
        <v>4.9444999999999997</v>
      </c>
      <c r="W25" s="58">
        <v>0.71033400000000002</v>
      </c>
      <c r="X25" s="58">
        <v>0</v>
      </c>
      <c r="Y25" s="58">
        <v>0.4</v>
      </c>
      <c r="Z25" s="10">
        <v>4.4959996929375601</v>
      </c>
      <c r="AA25" s="65">
        <v>1.0435350000000001</v>
      </c>
      <c r="AB25" s="51">
        <v>4.5470654716081098</v>
      </c>
      <c r="AC25" s="27">
        <v>4.5299185954854799</v>
      </c>
    </row>
    <row r="26" spans="1:29" ht="15" x14ac:dyDescent="0.2">
      <c r="A26" s="16">
        <v>41671</v>
      </c>
      <c r="B26" s="10">
        <f>CHOOSE(CONTROL!$C$42, 4.4372, 4.4372) * CHOOSE(CONTROL!$C$21, $C$9, 100%, $E$9)</f>
        <v>4.4371999999999998</v>
      </c>
      <c r="C26" s="10">
        <f>CHOOSE(CONTROL!$C$42, 4.4421, 4.4421) * CHOOSE(CONTROL!$C$21, $C$9, 100%, $E$9)</f>
        <v>4.4420999999999999</v>
      </c>
      <c r="D26" s="10">
        <f>CHOOSE(CONTROL!$C$42, 4.5026, 4.5026) * CHOOSE(CONTROL!$C$21, $C$9, 100%, $E$9)</f>
        <v>4.5026000000000002</v>
      </c>
      <c r="E26" s="10">
        <f>CHOOSE(CONTROL!$C$42, 4.5364, 4.5364) * CHOOSE(CONTROL!$C$21, $C$9, 100%, $E$9)</f>
        <v>4.5364000000000004</v>
      </c>
      <c r="F26" s="10">
        <f>CHOOSE(CONTROL!$C$42, 4.4304, 4.4304)*CHOOSE(CONTROL!$C$21, $C$9, 100%, $E$9)</f>
        <v>4.4303999999999997</v>
      </c>
      <c r="G26" s="10">
        <f>CHOOSE(CONTROL!$C$42, 4.4477, 4.4477)*CHOOSE(CONTROL!$C$21, $C$9, 100%, $E$9)</f>
        <v>4.4477000000000002</v>
      </c>
      <c r="H26" s="10">
        <f>CHOOSE(CONTROL!$C$42, 4.5256, 4.5256) * CHOOSE(CONTROL!$C$21, $C$9, 100%, $E$9)</f>
        <v>4.5255999999999998</v>
      </c>
      <c r="I26" s="10">
        <f>CHOOSE(CONTROL!$C$42, 4.4239, 4.4239)* CHOOSE(CONTROL!$C$21, $C$9, 100%, $E$9)</f>
        <v>4.4238999999999997</v>
      </c>
      <c r="J26" s="10">
        <f>CHOOSE(CONTROL!$C$42, 4.4234, 4.4234)* CHOOSE(CONTROL!$C$21, $C$9, 100%, $E$9)</f>
        <v>4.4234</v>
      </c>
      <c r="K26" s="63"/>
      <c r="L26" s="10">
        <f>CHOOSE(CONTROL!$C$42, 5.1126, 5.1126) * CHOOSE(CONTROL!$C$21, $C$9, 100%, $E$9)</f>
        <v>5.1125999999999996</v>
      </c>
      <c r="M26" s="10">
        <f>CHOOSE(CONTROL!$C$42, 4.3926, 4.3926) * CHOOSE(CONTROL!$C$21, $C$9, 100%, $E$9)</f>
        <v>4.3925999999999998</v>
      </c>
      <c r="N26" s="10">
        <f>CHOOSE(CONTROL!$C$42, 4.4097, 4.4097) * CHOOSE(CONTROL!$C$21, $C$9, 100%, $E$9)</f>
        <v>4.4097</v>
      </c>
      <c r="O26" s="10">
        <f>CHOOSE(CONTROL!$C$42, 4.4937, 4.4937) * CHOOSE(CONTROL!$C$21, $C$9, 100%, $E$9)</f>
        <v>4.4936999999999996</v>
      </c>
      <c r="P26" s="10">
        <f>CHOOSE(CONTROL!$C$42, 4.3932, 4.3932) * CHOOSE(CONTROL!$C$21, $C$9, 100%, $E$9)</f>
        <v>4.3932000000000002</v>
      </c>
      <c r="Q26" s="10">
        <f>CHOOSE(CONTROL!$C$42, 5.089, 5.089) * CHOOSE(CONTROL!$C$21, $C$9, 100%, $E$9)</f>
        <v>5.0890000000000004</v>
      </c>
      <c r="R26" s="10">
        <f>CHOOSE(CONTROL!$C$42, 5.6888, 5.6888) * CHOOSE(CONTROL!$C$21, $C$9, 100%, $E$9)</f>
        <v>5.6887999999999996</v>
      </c>
      <c r="S26" s="10">
        <f>CHOOSE(CONTROL!$C$42, 4.3068, 4.3068) * CHOOSE(CONTROL!$C$21, $C$9, 100%, $E$9)</f>
        <v>4.3068</v>
      </c>
      <c r="T26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26" s="58">
        <f>(1000*CHOOSE(CONTROL!$C$42, 695, 695)*CHOOSE(CONTROL!$C$42, 0.5599, 0.5599)*CHOOSE(CONTROL!$C$42, 28, 28))/1000000</f>
        <v>10.895653999999999</v>
      </c>
      <c r="V26" s="58">
        <f>(1000*CHOOSE(CONTROL!$C$42, 580, 580)*CHOOSE(CONTROL!$C$42, 0.275, 0.275)*CHOOSE(CONTROL!$C$42, 28, 28))/1000000</f>
        <v>4.4660000000000002</v>
      </c>
      <c r="W26" s="58">
        <f>(1000*CHOOSE(CONTROL!$C$42, 0.1146, 0.1146)*CHOOSE(CONTROL!$C$42, 200, 200)*CHOOSE(CONTROL!$C$42, 28, 28))/1000000</f>
        <v>0.64176</v>
      </c>
      <c r="X26" s="58">
        <v>0</v>
      </c>
      <c r="Y26" s="58">
        <f>(0.16*2500000)/1000000</f>
        <v>0.4</v>
      </c>
      <c r="Z26" s="10">
        <f>CHOOSE(CONTROL!$C$42, 4.3996, 4.3996) * CHOOSE(CONTROL!$C$21, $C$9, 100%, $E$9)</f>
        <v>4.3996000000000004</v>
      </c>
      <c r="AA26" s="65">
        <f>(28*((7.89*31500+7.95*100000)/28))/1000000</f>
        <v>1.0435350000000001</v>
      </c>
      <c r="AB26" s="51">
        <f>(B26*122.58+C26*297.941+D26*89.177+E26*200.302+F26*40+G26*0+H26*0+I26*100+J26*300)/(122.58+297.941+89.177+200.302+0+40+0+100+300)</f>
        <v>4.4558261261739132</v>
      </c>
      <c r="AC26" s="27">
        <f>(M26*240+N26*0+O26*355+P26*100)/(240+0+355+100)</f>
        <v>4.4443273381294963</v>
      </c>
    </row>
    <row r="27" spans="1:29" ht="15" x14ac:dyDescent="0.2">
      <c r="A27" s="16">
        <v>41699</v>
      </c>
      <c r="B27" s="10">
        <f>CHOOSE(CONTROL!$C$42, 4.4145, 4.4145) * CHOOSE(CONTROL!$C$21, $C$9, 100%, $E$9)</f>
        <v>4.4145000000000003</v>
      </c>
      <c r="C27" s="10">
        <f>CHOOSE(CONTROL!$C$42, 4.4195, 4.4195) * CHOOSE(CONTROL!$C$21, $C$9, 100%, $E$9)</f>
        <v>4.4195000000000002</v>
      </c>
      <c r="D27" s="10">
        <f>CHOOSE(CONTROL!$C$42, 4.48, 4.48) * CHOOSE(CONTROL!$C$21, $C$9, 100%, $E$9)</f>
        <v>4.4800000000000004</v>
      </c>
      <c r="E27" s="10">
        <f>CHOOSE(CONTROL!$C$42, 4.5137, 4.5137) * CHOOSE(CONTROL!$C$21, $C$9, 100%, $E$9)</f>
        <v>4.5137</v>
      </c>
      <c r="F27" s="10">
        <f>CHOOSE(CONTROL!$C$42, 4.4022, 4.4022)*CHOOSE(CONTROL!$C$21, $C$9, 100%, $E$9)</f>
        <v>4.4021999999999997</v>
      </c>
      <c r="G27" s="10">
        <f>CHOOSE(CONTROL!$C$42, 4.4194, 4.4194)*CHOOSE(CONTROL!$C$21, $C$9, 100%, $E$9)</f>
        <v>4.4194000000000004</v>
      </c>
      <c r="H27" s="10">
        <f>CHOOSE(CONTROL!$C$42, 4.5029, 4.5029) * CHOOSE(CONTROL!$C$21, $C$9, 100%, $E$9)</f>
        <v>4.5029000000000003</v>
      </c>
      <c r="I27" s="10">
        <f>CHOOSE(CONTROL!$C$42, 4.3884, 4.3884)* CHOOSE(CONTROL!$C$21, $C$9, 100%, $E$9)</f>
        <v>4.3883999999999999</v>
      </c>
      <c r="J27" s="10">
        <f>CHOOSE(CONTROL!$C$42, 4.3952, 4.3952)* CHOOSE(CONTROL!$C$21, $C$9, 100%, $E$9)</f>
        <v>4.3952</v>
      </c>
      <c r="K27" s="63"/>
      <c r="L27" s="10">
        <f>CHOOSE(CONTROL!$C$42, 5.0899, 5.0899) * CHOOSE(CONTROL!$C$21, $C$9, 100%, $E$9)</f>
        <v>5.0899000000000001</v>
      </c>
      <c r="M27" s="10">
        <f>CHOOSE(CONTROL!$C$42, 4.3647, 4.3647) * CHOOSE(CONTROL!$C$21, $C$9, 100%, $E$9)</f>
        <v>4.3647</v>
      </c>
      <c r="N27" s="10">
        <f>CHOOSE(CONTROL!$C$42, 4.3817, 4.3817) * CHOOSE(CONTROL!$C$21, $C$9, 100%, $E$9)</f>
        <v>4.3817000000000004</v>
      </c>
      <c r="O27" s="10">
        <f>CHOOSE(CONTROL!$C$42, 4.4713, 4.4713) * CHOOSE(CONTROL!$C$21, $C$9, 100%, $E$9)</f>
        <v>4.4713000000000003</v>
      </c>
      <c r="P27" s="10">
        <f>CHOOSE(CONTROL!$C$42, 4.358, 4.358) * CHOOSE(CONTROL!$C$21, $C$9, 100%, $E$9)</f>
        <v>4.3579999999999997</v>
      </c>
      <c r="Q27" s="10">
        <f>CHOOSE(CONTROL!$C$42, 5.0666, 5.0666) * CHOOSE(CONTROL!$C$21, $C$9, 100%, $E$9)</f>
        <v>5.0666000000000002</v>
      </c>
      <c r="R27" s="10">
        <f>CHOOSE(CONTROL!$C$42, 5.6663, 5.6663) * CHOOSE(CONTROL!$C$21, $C$9, 100%, $E$9)</f>
        <v>5.6662999999999997</v>
      </c>
      <c r="S27" s="10">
        <f>CHOOSE(CONTROL!$C$42, 4.2848, 4.2848) * CHOOSE(CONTROL!$C$21, $C$9, 100%, $E$9)</f>
        <v>4.2847999999999997</v>
      </c>
      <c r="T27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27" s="58">
        <f>(1000*CHOOSE(CONTROL!$C$42, 695, 695)*CHOOSE(CONTROL!$C$42, 0.5599, 0.5599)*CHOOSE(CONTROL!$C$42, 31, 31))/1000000</f>
        <v>12.063045499999998</v>
      </c>
      <c r="V27" s="58">
        <f>(1000*CHOOSE(CONTROL!$C$42, 580, 580)*CHOOSE(CONTROL!$C$42, 0.275, 0.275)*CHOOSE(CONTROL!$C$42, 31, 31))/1000000</f>
        <v>4.9444999999999997</v>
      </c>
      <c r="W27" s="58">
        <f>(1000*CHOOSE(CONTROL!$C$42, 0.1146, 0.1146)*CHOOSE(CONTROL!$C$42, 200, 200)*CHOOSE(CONTROL!$C$42, 31, 31))/1000000</f>
        <v>0.71052000000000004</v>
      </c>
      <c r="X27" s="58">
        <v>0</v>
      </c>
      <c r="Y27" s="58">
        <f>(0.16*2500000)/1000000</f>
        <v>0.4</v>
      </c>
      <c r="Z27" s="10">
        <f>CHOOSE(CONTROL!$C$42, 4.3719, 4.3719) * CHOOSE(CONTROL!$C$21, $C$9, 100%, $E$9)</f>
        <v>4.3719000000000001</v>
      </c>
      <c r="AA27" s="65">
        <f>(31*((7.89*31500+7.95*100000)/31))/1000000</f>
        <v>1.0435350000000001</v>
      </c>
      <c r="AB27" s="51">
        <f>(B27*122.58+C27*297.941+D27*89.177+E27*200.302+F27*40+G27*0+H27*0+I27*100+J27*300)/(122.58+297.941+89.177+200.302+0+40+0+100+300)</f>
        <v>4.4304206581739134</v>
      </c>
      <c r="AC27" s="27">
        <f>(M27*240+N27*0+O27*355+P27*100)/(240+0+355+100)</f>
        <v>4.418186330935252</v>
      </c>
    </row>
    <row r="28" spans="1:29" ht="15" x14ac:dyDescent="0.2">
      <c r="A28" s="16">
        <v>41730</v>
      </c>
      <c r="B28" s="10">
        <f>CHOOSE(CONTROL!$C$42, 4.3065, 4.3065) * CHOOSE(CONTROL!$C$21, $C$9, 100%, $E$9)</f>
        <v>4.3064999999999998</v>
      </c>
      <c r="C28" s="10">
        <f>CHOOSE(CONTROL!$C$42, 4.3109, 4.3109) * CHOOSE(CONTROL!$C$21, $C$9, 100%, $E$9)</f>
        <v>4.3109000000000002</v>
      </c>
      <c r="D28" s="10">
        <f>CHOOSE(CONTROL!$C$42, 4.5065, 4.5065) * CHOOSE(CONTROL!$C$21, $C$9, 100%, $E$9)</f>
        <v>4.5065</v>
      </c>
      <c r="E28" s="10">
        <f>CHOOSE(CONTROL!$C$42, 4.5383, 4.5383) * CHOOSE(CONTROL!$C$21, $C$9, 100%, $E$9)</f>
        <v>4.5382999999999996</v>
      </c>
      <c r="F28" s="10">
        <f>CHOOSE(CONTROL!$C$42, 4.2743, 4.2743)*CHOOSE(CONTROL!$C$21, $C$9, 100%, $E$9)</f>
        <v>4.2743000000000002</v>
      </c>
      <c r="G28" s="10">
        <f>CHOOSE(CONTROL!$C$42, 4.2911, 4.2911)*CHOOSE(CONTROL!$C$21, $C$9, 100%, $E$9)</f>
        <v>4.2911000000000001</v>
      </c>
      <c r="H28" s="10">
        <f>CHOOSE(CONTROL!$C$42, 4.528, 4.528) * CHOOSE(CONTROL!$C$21, $C$9, 100%, $E$9)</f>
        <v>4.5279999999999996</v>
      </c>
      <c r="I28" s="10">
        <f>CHOOSE(CONTROL!$C$42, 4.2745, 4.2745)* CHOOSE(CONTROL!$C$21, $C$9, 100%, $E$9)</f>
        <v>4.2744999999999997</v>
      </c>
      <c r="J28" s="10">
        <f>CHOOSE(CONTROL!$C$42, 4.2673, 4.2673)* CHOOSE(CONTROL!$C$21, $C$9, 100%, $E$9)</f>
        <v>4.2672999999999996</v>
      </c>
      <c r="K28" s="63"/>
      <c r="L28" s="10">
        <f>CHOOSE(CONTROL!$C$42, 5.115, 5.115) * CHOOSE(CONTROL!$C$21, $C$9, 100%, $E$9)</f>
        <v>5.1150000000000002</v>
      </c>
      <c r="M28" s="10">
        <f>CHOOSE(CONTROL!$C$42, 4.2381, 4.2381) * CHOOSE(CONTROL!$C$21, $C$9, 100%, $E$9)</f>
        <v>4.2381000000000002</v>
      </c>
      <c r="N28" s="10">
        <f>CHOOSE(CONTROL!$C$42, 4.2547, 4.2547) * CHOOSE(CONTROL!$C$21, $C$9, 100%, $E$9)</f>
        <v>4.2546999999999997</v>
      </c>
      <c r="O28" s="10">
        <f>CHOOSE(CONTROL!$C$42, 4.4962, 4.4962) * CHOOSE(CONTROL!$C$21, $C$9, 100%, $E$9)</f>
        <v>4.4962</v>
      </c>
      <c r="P28" s="10">
        <f>CHOOSE(CONTROL!$C$42, 4.2452, 4.2452) * CHOOSE(CONTROL!$C$21, $C$9, 100%, $E$9)</f>
        <v>4.2451999999999996</v>
      </c>
      <c r="Q28" s="10">
        <f>CHOOSE(CONTROL!$C$42, 5.0915, 5.0915) * CHOOSE(CONTROL!$C$21, $C$9, 100%, $E$9)</f>
        <v>5.0914999999999999</v>
      </c>
      <c r="R28" s="10">
        <f>CHOOSE(CONTROL!$C$42, 5.6912, 5.6912) * CHOOSE(CONTROL!$C$21, $C$9, 100%, $E$9)</f>
        <v>5.6912000000000003</v>
      </c>
      <c r="S28" s="10">
        <f>CHOOSE(CONTROL!$C$42, 4.1792, 4.1792) * CHOOSE(CONTROL!$C$21, $C$9, 100%, $E$9)</f>
        <v>4.1791999999999998</v>
      </c>
      <c r="T28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28" s="58">
        <f>(1000*CHOOSE(CONTROL!$C$42, 695, 695)*CHOOSE(CONTROL!$C$42, 0.5599, 0.5599)*CHOOSE(CONTROL!$C$42, 30, 30))/1000000</f>
        <v>11.673914999999997</v>
      </c>
      <c r="V28" s="58">
        <f>(1000*CHOOSE(CONTROL!$C$42, 580, 580)*CHOOSE(CONTROL!$C$42, 0.275, 0.275)*CHOOSE(CONTROL!$C$42, 30, 30))/1000000</f>
        <v>4.7850000000000001</v>
      </c>
      <c r="W28" s="58">
        <f>(1000*CHOOSE(CONTROL!$C$42, 0.1146, 0.1146)*CHOOSE(CONTROL!$C$42, 200, 200)*CHOOSE(CONTROL!$C$42, 30, 30))/1000000</f>
        <v>0.68759999999999999</v>
      </c>
      <c r="X28" s="58">
        <f>30*0.1790888*145000/1000000</f>
        <v>0.77903627999999991</v>
      </c>
      <c r="Y28" s="58"/>
      <c r="Z28" s="10">
        <f>CHOOSE(CONTROL!$C$42, 4.2587, 4.2587) * CHOOSE(CONTROL!$C$21, $C$9, 100%, $E$9)</f>
        <v>4.2587000000000002</v>
      </c>
      <c r="AA28" s="65">
        <f>(30*((7.89*31500+7.95*100000)/30))/1000000</f>
        <v>1.0435350000000001</v>
      </c>
      <c r="AB28" s="51">
        <f>(B28*141.293+C28*267.993+D28*115.016+E28*249.698+F28*40+G28*25+H28*0+I28*100+J28*300)/(141.293+267.993+115.016+249.698+0+40+25+100+300)</f>
        <v>4.3593082046811951</v>
      </c>
      <c r="AC28" s="27">
        <f t="shared" ref="AC28:AC34" si="0">(M28*240+N28*120+O28*235+P28*100)/(240+120+235+100)</f>
        <v>4.3292589928057552</v>
      </c>
    </row>
    <row r="29" spans="1:29" ht="15" x14ac:dyDescent="0.2">
      <c r="A29" s="16">
        <v>41760</v>
      </c>
      <c r="B29" s="10">
        <f>CHOOSE(CONTROL!$C$42, 4.2956, 4.2956) * CHOOSE(CONTROL!$C$21, $C$9, 100%, $E$9)</f>
        <v>4.2956000000000003</v>
      </c>
      <c r="C29" s="10">
        <f>CHOOSE(CONTROL!$C$42, 4.3035, 4.3035) * CHOOSE(CONTROL!$C$21, $C$9, 100%, $E$9)</f>
        <v>4.3034999999999997</v>
      </c>
      <c r="D29" s="10">
        <f>CHOOSE(CONTROL!$C$42, 4.4959, 4.4959) * CHOOSE(CONTROL!$C$21, $C$9, 100%, $E$9)</f>
        <v>4.4958999999999998</v>
      </c>
      <c r="E29" s="10">
        <f>CHOOSE(CONTROL!$C$42, 4.5271, 4.5271) * CHOOSE(CONTROL!$C$21, $C$9, 100%, $E$9)</f>
        <v>4.5270999999999999</v>
      </c>
      <c r="F29" s="10">
        <f>CHOOSE(CONTROL!$C$42, 4.2618, 4.2618)*CHOOSE(CONTROL!$C$21, $C$9, 100%, $E$9)</f>
        <v>4.2618</v>
      </c>
      <c r="G29" s="10">
        <f>CHOOSE(CONTROL!$C$42, 4.2789, 4.2789)*CHOOSE(CONTROL!$C$21, $C$9, 100%, $E$9)</f>
        <v>4.2789000000000001</v>
      </c>
      <c r="H29" s="10">
        <f>CHOOSE(CONTROL!$C$42, 4.5157, 4.5157) * CHOOSE(CONTROL!$C$21, $C$9, 100%, $E$9)</f>
        <v>4.5156999999999998</v>
      </c>
      <c r="I29" s="10">
        <f>CHOOSE(CONTROL!$C$42, 4.2621, 4.2621)* CHOOSE(CONTROL!$C$21, $C$9, 100%, $E$9)</f>
        <v>4.2621000000000002</v>
      </c>
      <c r="J29" s="10">
        <f>CHOOSE(CONTROL!$C$42, 4.2548, 4.2548)* CHOOSE(CONTROL!$C$21, $C$9, 100%, $E$9)</f>
        <v>4.2548000000000004</v>
      </c>
      <c r="K29" s="63"/>
      <c r="L29" s="10">
        <f>CHOOSE(CONTROL!$C$42, 5.1027, 5.1027) * CHOOSE(CONTROL!$C$21, $C$9, 100%, $E$9)</f>
        <v>5.1026999999999996</v>
      </c>
      <c r="M29" s="10">
        <f>CHOOSE(CONTROL!$C$42, 4.2257, 4.2257) * CHOOSE(CONTROL!$C$21, $C$9, 100%, $E$9)</f>
        <v>4.2256999999999998</v>
      </c>
      <c r="N29" s="10">
        <f>CHOOSE(CONTROL!$C$42, 4.2427, 4.2427) * CHOOSE(CONTROL!$C$21, $C$9, 100%, $E$9)</f>
        <v>4.2427000000000001</v>
      </c>
      <c r="O29" s="10">
        <f>CHOOSE(CONTROL!$C$42, 4.4839, 4.4839) * CHOOSE(CONTROL!$C$21, $C$9, 100%, $E$9)</f>
        <v>4.4839000000000002</v>
      </c>
      <c r="P29" s="10">
        <f>CHOOSE(CONTROL!$C$42, 4.233, 4.233) * CHOOSE(CONTROL!$C$21, $C$9, 100%, $E$9)</f>
        <v>4.2329999999999997</v>
      </c>
      <c r="Q29" s="10">
        <f>CHOOSE(CONTROL!$C$42, 5.0792, 5.0792) * CHOOSE(CONTROL!$C$21, $C$9, 100%, $E$9)</f>
        <v>5.0792000000000002</v>
      </c>
      <c r="R29" s="10">
        <f>CHOOSE(CONTROL!$C$42, 5.6789, 5.6789) * CHOOSE(CONTROL!$C$21, $C$9, 100%, $E$9)</f>
        <v>5.6788999999999996</v>
      </c>
      <c r="S29" s="10">
        <f>CHOOSE(CONTROL!$C$42, 4.1672, 4.1672) * CHOOSE(CONTROL!$C$21, $C$9, 100%, $E$9)</f>
        <v>4.1672000000000002</v>
      </c>
      <c r="T29" s="60">
        <f>((((430000*CHOOSE(CONTROL!$C$42, 0.4694, 0.4694)+(874000-430000)*CHOOSE(CONTROL!$C$42, 0.7185, 0.7185)+400000*CHOOSE(CONTROL!$C$42, 1.14, 1.14)+50000*0.98)*CHOOSE(CONTROL!$C$42, 31, 31))/1000000))+CHOOSE(CONTROL!$C$42, 0.1662, 0.1662)+CHOOSE(CONTROL!$C$42, 0.6286, 0.6286)</f>
        <v>32.596336000000001</v>
      </c>
      <c r="U29" s="58">
        <f>(1000*CHOOSE(CONTROL!$C$42, 695, 695)*CHOOSE(CONTROL!$C$42, 0.5599, 0.5599)*CHOOSE(CONTROL!$C$42, 31, 31))/1000000</f>
        <v>12.063045499999998</v>
      </c>
      <c r="V29" s="58">
        <f>(1000*CHOOSE(CONTROL!$C$42, 580, 580)*CHOOSE(CONTROL!$C$42, 0.275, 0.275)*CHOOSE(CONTROL!$C$42, 31, 31))/1000000</f>
        <v>4.9444999999999997</v>
      </c>
      <c r="W29" s="58">
        <f>(1000*CHOOSE(CONTROL!$C$42, 0.1146, 0.1146)*CHOOSE(CONTROL!$C$42, 200, 200)*CHOOSE(CONTROL!$C$42, 31, 31))/1000000</f>
        <v>0.71052000000000004</v>
      </c>
      <c r="X29" s="58">
        <f>31*0.1790888*145000/1000000</f>
        <v>0.80500415599999997</v>
      </c>
      <c r="Y29" s="58"/>
      <c r="Z29" s="10">
        <f>CHOOSE(CONTROL!$C$42, 4.2464, 4.2464) * CHOOSE(CONTROL!$C$21, $C$9, 100%, $E$9)</f>
        <v>4.2464000000000004</v>
      </c>
      <c r="AA29" s="65">
        <f>(31*((7.89*31500+7.95*100000)/31))/1000000</f>
        <v>1.0435350000000001</v>
      </c>
      <c r="AB29" s="51">
        <f>(B29*194.205+C29*267.466+D29*133.845+E29*213.484+F29*40+G29*25+H29*50+I29*100+J29*300)/(194.205+267.466+133.845+213.484+50+40+25+100+300)</f>
        <v>4.3499724931268888</v>
      </c>
      <c r="AC29" s="27">
        <f t="shared" si="0"/>
        <v>4.3169906474820143</v>
      </c>
    </row>
    <row r="30" spans="1:29" ht="15" x14ac:dyDescent="0.2">
      <c r="A30" s="16">
        <v>41791</v>
      </c>
      <c r="B30" s="10">
        <f>CHOOSE(CONTROL!$C$42, 4.3141, 4.3141) * CHOOSE(CONTROL!$C$21, $C$9, 100%, $E$9)</f>
        <v>4.3140999999999998</v>
      </c>
      <c r="C30" s="10">
        <f>CHOOSE(CONTROL!$C$42, 4.322, 4.322) * CHOOSE(CONTROL!$C$21, $C$9, 100%, $E$9)</f>
        <v>4.3220000000000001</v>
      </c>
      <c r="D30" s="10">
        <f>CHOOSE(CONTROL!$C$42, 4.5145, 4.5145) * CHOOSE(CONTROL!$C$21, $C$9, 100%, $E$9)</f>
        <v>4.5145</v>
      </c>
      <c r="E30" s="10">
        <f>CHOOSE(CONTROL!$C$42, 4.5456, 4.5456) * CHOOSE(CONTROL!$C$21, $C$9, 100%, $E$9)</f>
        <v>4.5456000000000003</v>
      </c>
      <c r="F30" s="10">
        <f>CHOOSE(CONTROL!$C$42, 4.2806, 4.2806)*CHOOSE(CONTROL!$C$21, $C$9, 100%, $E$9)</f>
        <v>4.2805999999999997</v>
      </c>
      <c r="G30" s="10">
        <f>CHOOSE(CONTROL!$C$42, 4.2978, 4.2978)*CHOOSE(CONTROL!$C$21, $C$9, 100%, $E$9)</f>
        <v>4.2977999999999996</v>
      </c>
      <c r="H30" s="10">
        <f>CHOOSE(CONTROL!$C$42, 4.5342, 4.5342) * CHOOSE(CONTROL!$C$21, $C$9, 100%, $E$9)</f>
        <v>4.5342000000000002</v>
      </c>
      <c r="I30" s="10">
        <f>CHOOSE(CONTROL!$C$42, 4.2807, 4.2807)* CHOOSE(CONTROL!$C$21, $C$9, 100%, $E$9)</f>
        <v>4.2807000000000004</v>
      </c>
      <c r="J30" s="10">
        <f>CHOOSE(CONTROL!$C$42, 4.2736, 4.2736)* CHOOSE(CONTROL!$C$21, $C$9, 100%, $E$9)</f>
        <v>4.2736000000000001</v>
      </c>
      <c r="K30" s="63"/>
      <c r="L30" s="10">
        <f>CHOOSE(CONTROL!$C$42, 5.1212, 5.1212) * CHOOSE(CONTROL!$C$21, $C$9, 100%, $E$9)</f>
        <v>5.1212</v>
      </c>
      <c r="M30" s="10">
        <f>CHOOSE(CONTROL!$C$42, 4.2443, 4.2443) * CHOOSE(CONTROL!$C$21, $C$9, 100%, $E$9)</f>
        <v>4.2443</v>
      </c>
      <c r="N30" s="10">
        <f>CHOOSE(CONTROL!$C$42, 4.2613, 4.2613) * CHOOSE(CONTROL!$C$21, $C$9, 100%, $E$9)</f>
        <v>4.2613000000000003</v>
      </c>
      <c r="O30" s="10">
        <f>CHOOSE(CONTROL!$C$42, 4.5023, 4.5023) * CHOOSE(CONTROL!$C$21, $C$9, 100%, $E$9)</f>
        <v>4.5023</v>
      </c>
      <c r="P30" s="10">
        <f>CHOOSE(CONTROL!$C$42, 4.2513, 4.2513) * CHOOSE(CONTROL!$C$21, $C$9, 100%, $E$9)</f>
        <v>4.2512999999999996</v>
      </c>
      <c r="Q30" s="10">
        <f>CHOOSE(CONTROL!$C$42, 5.0976, 5.0976) * CHOOSE(CONTROL!$C$21, $C$9, 100%, $E$9)</f>
        <v>5.0975999999999999</v>
      </c>
      <c r="R30" s="10">
        <f>CHOOSE(CONTROL!$C$42, 5.6973, 5.6973) * CHOOSE(CONTROL!$C$21, $C$9, 100%, $E$9)</f>
        <v>5.6973000000000003</v>
      </c>
      <c r="S30" s="10">
        <f>CHOOSE(CONTROL!$C$42, 4.1852, 4.1852) * CHOOSE(CONTROL!$C$21, $C$9, 100%, $E$9)</f>
        <v>4.1852</v>
      </c>
      <c r="T30" s="60">
        <f>((((430000*CHOOSE(CONTROL!$C$42, 0.4694, 0.4694)+(874000-430000)*CHOOSE(CONTROL!$C$42, 0.7185, 0.7185)+400000*CHOOSE(CONTROL!$C$42, 1.14, 1.14)+50000*0.98)*CHOOSE(CONTROL!$C$42, 30, 30))/1000000))+CHOOSE(CONTROL!$C$42, 0.1573, 0.1573)+CHOOSE(CONTROL!$C$42, 0.6376, 0.6376)</f>
        <v>31.57058</v>
      </c>
      <c r="U30" s="58">
        <f>(1000*CHOOSE(CONTROL!$C$42, 695, 695)*CHOOSE(CONTROL!$C$42, 0.5599, 0.5599)*CHOOSE(CONTROL!$C$42, 30, 30))/1000000</f>
        <v>11.673914999999997</v>
      </c>
      <c r="V30" s="58">
        <f>(1000*CHOOSE(CONTROL!$C$42, 580, 580)*CHOOSE(CONTROL!$C$42, 0.275, 0.275)*CHOOSE(CONTROL!$C$42, 30, 30))/1000000</f>
        <v>4.7850000000000001</v>
      </c>
      <c r="W30" s="58">
        <f>(1000*CHOOSE(CONTROL!$C$42, 0.1146, 0.1146)*CHOOSE(CONTROL!$C$42, 200, 200)*CHOOSE(CONTROL!$C$42, 30, 30))/1000000</f>
        <v>0.68759999999999999</v>
      </c>
      <c r="X30" s="58">
        <f>30*0.1790888*145000/1000000</f>
        <v>0.77903627999999991</v>
      </c>
      <c r="Y30" s="58"/>
      <c r="Z30" s="10">
        <f>CHOOSE(CONTROL!$C$42, 4.2649, 4.2649) * CHOOSE(CONTROL!$C$21, $C$9, 100%, $E$9)</f>
        <v>4.2648999999999999</v>
      </c>
      <c r="AA30" s="64">
        <f>(30*((7.95*31500+8.07*100000)/30))/1000000</f>
        <v>1.0574250000000001</v>
      </c>
      <c r="AB30" s="51">
        <f>(B30*194.205+C30*267.466+D30*133.845+E30*213.484+F30*40+G30*25+H30*50+I30*100+J30*300)/(194.205+267.466+133.845+213.484+50+40+25+100+300)</f>
        <v>4.3685747472809675</v>
      </c>
      <c r="AC30" s="27">
        <f t="shared" si="0"/>
        <v>4.3354798561151089</v>
      </c>
    </row>
    <row r="31" spans="1:29" ht="15" x14ac:dyDescent="0.2">
      <c r="A31" s="16">
        <v>41821</v>
      </c>
      <c r="B31" s="10">
        <f>CHOOSE(CONTROL!$C$42, 4.345, 4.345) * CHOOSE(CONTROL!$C$21, $C$9, 100%, $E$9)</f>
        <v>4.3449999999999998</v>
      </c>
      <c r="C31" s="10">
        <f>CHOOSE(CONTROL!$C$42, 4.3529, 4.3529) * CHOOSE(CONTROL!$C$21, $C$9, 100%, $E$9)</f>
        <v>4.3529</v>
      </c>
      <c r="D31" s="10">
        <f>CHOOSE(CONTROL!$C$42, 4.5453, 4.5453) * CHOOSE(CONTROL!$C$21, $C$9, 100%, $E$9)</f>
        <v>4.5453000000000001</v>
      </c>
      <c r="E31" s="10">
        <f>CHOOSE(CONTROL!$C$42, 4.5765, 4.5765) * CHOOSE(CONTROL!$C$21, $C$9, 100%, $E$9)</f>
        <v>4.5765000000000002</v>
      </c>
      <c r="F31" s="10">
        <f>CHOOSE(CONTROL!$C$42, 4.3119, 4.3119)*CHOOSE(CONTROL!$C$21, $C$9, 100%, $E$9)</f>
        <v>4.3118999999999996</v>
      </c>
      <c r="G31" s="10">
        <f>CHOOSE(CONTROL!$C$42, 4.3292, 4.3292)*CHOOSE(CONTROL!$C$21, $C$9, 100%, $E$9)</f>
        <v>4.3292000000000002</v>
      </c>
      <c r="H31" s="10">
        <f>CHOOSE(CONTROL!$C$42, 4.5651, 4.5651) * CHOOSE(CONTROL!$C$21, $C$9, 100%, $E$9)</f>
        <v>4.5651000000000002</v>
      </c>
      <c r="I31" s="10">
        <f>CHOOSE(CONTROL!$C$42, 4.3116, 4.3116)* CHOOSE(CONTROL!$C$21, $C$9, 100%, $E$9)</f>
        <v>4.3116000000000003</v>
      </c>
      <c r="J31" s="10">
        <f>CHOOSE(CONTROL!$C$42, 4.3049, 4.3049)* CHOOSE(CONTROL!$C$21, $C$9, 100%, $E$9)</f>
        <v>4.3048999999999999</v>
      </c>
      <c r="K31" s="63"/>
      <c r="L31" s="10">
        <f>CHOOSE(CONTROL!$C$42, 5.1521, 5.1521) * CHOOSE(CONTROL!$C$21, $C$9, 100%, $E$9)</f>
        <v>5.1520999999999999</v>
      </c>
      <c r="M31" s="10">
        <f>CHOOSE(CONTROL!$C$42, 4.2753, 4.2753) * CHOOSE(CONTROL!$C$21, $C$9, 100%, $E$9)</f>
        <v>4.2752999999999997</v>
      </c>
      <c r="N31" s="10">
        <f>CHOOSE(CONTROL!$C$42, 4.2924, 4.2924) * CHOOSE(CONTROL!$C$21, $C$9, 100%, $E$9)</f>
        <v>4.2923999999999998</v>
      </c>
      <c r="O31" s="10">
        <f>CHOOSE(CONTROL!$C$42, 4.5329, 4.5329) * CHOOSE(CONTROL!$C$21, $C$9, 100%, $E$9)</f>
        <v>4.5328999999999997</v>
      </c>
      <c r="P31" s="10">
        <f>CHOOSE(CONTROL!$C$42, 4.2819, 4.2819) * CHOOSE(CONTROL!$C$21, $C$9, 100%, $E$9)</f>
        <v>4.2819000000000003</v>
      </c>
      <c r="Q31" s="10">
        <f>CHOOSE(CONTROL!$C$42, 5.1282, 5.1282) * CHOOSE(CONTROL!$C$21, $C$9, 100%, $E$9)</f>
        <v>5.1281999999999996</v>
      </c>
      <c r="R31" s="10">
        <f>CHOOSE(CONTROL!$C$42, 5.728, 5.728) * CHOOSE(CONTROL!$C$21, $C$9, 100%, $E$9)</f>
        <v>5.7279999999999998</v>
      </c>
      <c r="S31" s="10">
        <f>CHOOSE(CONTROL!$C$42, 4.2152, 4.2152) * CHOOSE(CONTROL!$C$21, $C$9, 100%, $E$9)</f>
        <v>4.2152000000000003</v>
      </c>
      <c r="T31" s="60">
        <f>((((430000*CHOOSE(CONTROL!$C$42, 0.4694, 0.4694)+(874000-430000)*CHOOSE(CONTROL!$C$42, 0.7185, 0.7185)+400000*CHOOSE(CONTROL!$C$42, 1.14, 1.14)+50000*0.98)*CHOOSE(CONTROL!$C$42, 31, 31))/1000000))+CHOOSE(CONTROL!$C$42, 0.1519, 0.1519)+CHOOSE(CONTROL!$C$42, 0.626, 0.626)</f>
        <v>32.579436000000001</v>
      </c>
      <c r="U31" s="58">
        <f>(1000*CHOOSE(CONTROL!$C$42, 695, 695)*CHOOSE(CONTROL!$C$42, 0.5599, 0.5599)*CHOOSE(CONTROL!$C$42, 31, 31))/1000000</f>
        <v>12.063045499999998</v>
      </c>
      <c r="V31" s="58">
        <f>(1000*CHOOSE(CONTROL!$C$42, 580, 580)*CHOOSE(CONTROL!$C$42, 0.275, 0.275)*CHOOSE(CONTROL!$C$42, 31, 31))/1000000</f>
        <v>4.9444999999999997</v>
      </c>
      <c r="W31" s="58">
        <f>(1000*CHOOSE(CONTROL!$C$42, 0.1146, 0.1146)*CHOOSE(CONTROL!$C$42, 200, 200)*CHOOSE(CONTROL!$C$42, 31, 31))/1000000</f>
        <v>0.71052000000000004</v>
      </c>
      <c r="X31" s="58">
        <f>31*0.1790888*145000/1000000</f>
        <v>0.80500415599999997</v>
      </c>
      <c r="Y31" s="58"/>
      <c r="Z31" s="10">
        <f>CHOOSE(CONTROL!$C$42, 4.2956, 4.2956) * CHOOSE(CONTROL!$C$21, $C$9, 100%, $E$9)</f>
        <v>4.2956000000000003</v>
      </c>
      <c r="AA31" s="62">
        <f>(31*((8.01*31500+8.07*100000)/31))/1000000</f>
        <v>1.059315</v>
      </c>
      <c r="AB31" s="51">
        <f>(B31*194.205+C31*267.466+D31*133.845+E31*213.484+F31*40+G31*25+H31*50+I31*100+J31*300)/(194.205+267.466+133.845+213.484+50+40+25+100+300)</f>
        <v>4.3995767982628404</v>
      </c>
      <c r="AC31" s="27">
        <f t="shared" si="0"/>
        <v>4.3663043165467625</v>
      </c>
    </row>
    <row r="32" spans="1:29" ht="15" x14ac:dyDescent="0.2">
      <c r="A32" s="16">
        <v>41852</v>
      </c>
      <c r="B32" s="10">
        <f>CHOOSE(CONTROL!$C$42, 4.3584, 4.3584) * CHOOSE(CONTROL!$C$21, $C$9, 100%, $E$9)</f>
        <v>4.3583999999999996</v>
      </c>
      <c r="C32" s="10">
        <f>CHOOSE(CONTROL!$C$42, 4.3663, 4.3663) * CHOOSE(CONTROL!$C$21, $C$9, 100%, $E$9)</f>
        <v>4.3662999999999998</v>
      </c>
      <c r="D32" s="10">
        <f>CHOOSE(CONTROL!$C$42, 4.5587, 4.5587) * CHOOSE(CONTROL!$C$21, $C$9, 100%, $E$9)</f>
        <v>4.5587</v>
      </c>
      <c r="E32" s="10">
        <f>CHOOSE(CONTROL!$C$42, 4.5899, 4.5899) * CHOOSE(CONTROL!$C$21, $C$9, 100%, $E$9)</f>
        <v>4.5899000000000001</v>
      </c>
      <c r="F32" s="10">
        <f>CHOOSE(CONTROL!$C$42, 4.3254, 4.3254)*CHOOSE(CONTROL!$C$21, $C$9, 100%, $E$9)</f>
        <v>4.3254000000000001</v>
      </c>
      <c r="G32" s="10">
        <f>CHOOSE(CONTROL!$C$42, 4.3428, 4.3428)*CHOOSE(CONTROL!$C$21, $C$9, 100%, $E$9)</f>
        <v>4.3428000000000004</v>
      </c>
      <c r="H32" s="10">
        <f>CHOOSE(CONTROL!$C$42, 4.5785, 4.5785) * CHOOSE(CONTROL!$C$21, $C$9, 100%, $E$9)</f>
        <v>4.5785</v>
      </c>
      <c r="I32" s="10">
        <f>CHOOSE(CONTROL!$C$42, 4.325, 4.325)* CHOOSE(CONTROL!$C$21, $C$9, 100%, $E$9)</f>
        <v>4.3250000000000002</v>
      </c>
      <c r="J32" s="10">
        <f>CHOOSE(CONTROL!$C$42, 4.3184, 4.3184)* CHOOSE(CONTROL!$C$21, $C$9, 100%, $E$9)</f>
        <v>4.3183999999999996</v>
      </c>
      <c r="K32" s="63"/>
      <c r="L32" s="10">
        <f>CHOOSE(CONTROL!$C$42, 5.1655, 5.1655) * CHOOSE(CONTROL!$C$21, $C$9, 100%, $E$9)</f>
        <v>5.1654999999999998</v>
      </c>
      <c r="M32" s="10">
        <f>CHOOSE(CONTROL!$C$42, 4.2887, 4.2887) * CHOOSE(CONTROL!$C$21, $C$9, 100%, $E$9)</f>
        <v>4.2887000000000004</v>
      </c>
      <c r="N32" s="10">
        <f>CHOOSE(CONTROL!$C$42, 4.3059, 4.3059) * CHOOSE(CONTROL!$C$21, $C$9, 100%, $E$9)</f>
        <v>4.3059000000000003</v>
      </c>
      <c r="O32" s="10">
        <f>CHOOSE(CONTROL!$C$42, 4.5461, 4.5461) * CHOOSE(CONTROL!$C$21, $C$9, 100%, $E$9)</f>
        <v>4.5461</v>
      </c>
      <c r="P32" s="10">
        <f>CHOOSE(CONTROL!$C$42, 4.2952, 4.2952) * CHOOSE(CONTROL!$C$21, $C$9, 100%, $E$9)</f>
        <v>4.2952000000000004</v>
      </c>
      <c r="Q32" s="10">
        <f>CHOOSE(CONTROL!$C$42, 5.1414, 5.1414) * CHOOSE(CONTROL!$C$21, $C$9, 100%, $E$9)</f>
        <v>5.1414</v>
      </c>
      <c r="R32" s="10">
        <f>CHOOSE(CONTROL!$C$42, 5.7413, 5.7413) * CHOOSE(CONTROL!$C$21, $C$9, 100%, $E$9)</f>
        <v>5.7412999999999998</v>
      </c>
      <c r="S32" s="10">
        <f>CHOOSE(CONTROL!$C$42, 4.2282, 4.2282) * CHOOSE(CONTROL!$C$21, $C$9, 100%, $E$9)</f>
        <v>4.2282000000000002</v>
      </c>
      <c r="T32" s="60">
        <f>((((430000*CHOOSE(CONTROL!$C$42, 0.4694, 0.4694)+(874000-430000)*CHOOSE(CONTROL!$C$42, 0.7185, 0.7185)+400000*CHOOSE(CONTROL!$C$42, 1.14, 1.14)+50000*0.98)*CHOOSE(CONTROL!$C$42, 31, 31))/1000000))+CHOOSE(CONTROL!$C$42, 0.1868, 0.1868)+CHOOSE(CONTROL!$C$42, 0.6257, 0.6257)</f>
        <v>32.614035999999999</v>
      </c>
      <c r="U32" s="58">
        <f>(1000*CHOOSE(CONTROL!$C$42, 695, 695)*CHOOSE(CONTROL!$C$42, 0.5599, 0.5599)*CHOOSE(CONTROL!$C$42, 31, 31))/1000000</f>
        <v>12.063045499999998</v>
      </c>
      <c r="V32" s="58">
        <f>(1000*CHOOSE(CONTROL!$C$42, 580, 580)*CHOOSE(CONTROL!$C$42, 0.275, 0.275)*CHOOSE(CONTROL!$C$42, 31, 31))/1000000</f>
        <v>4.9444999999999997</v>
      </c>
      <c r="W32" s="58">
        <f>(1000*CHOOSE(CONTROL!$C$42, 0.1146, 0.1146)*CHOOSE(CONTROL!$C$42, 200, 200)*CHOOSE(CONTROL!$C$42, 31, 31))/1000000</f>
        <v>0.71052000000000004</v>
      </c>
      <c r="X32" s="58">
        <f>31*0.1790888*145000/1000000</f>
        <v>0.80500415599999997</v>
      </c>
      <c r="Y32" s="58"/>
      <c r="Z32" s="10">
        <f>CHOOSE(CONTROL!$C$42, 4.3089, 4.3089) * CHOOSE(CONTROL!$C$21, $C$9, 100%, $E$9)</f>
        <v>4.3089000000000004</v>
      </c>
      <c r="AA32" s="62">
        <f>(31*((8.01*31500+8.07*100000)/31))/1000000</f>
        <v>1.059315</v>
      </c>
      <c r="AB32" s="51">
        <f>(B32*194.205+C32*267.466+D32*133.845+E32*213.484+F32*40+G32*25+H32*50+I32*100+J32*300)/(194.205+267.466+133.845+213.484+50+40+25+100+300)</f>
        <v>4.4130062544561932</v>
      </c>
      <c r="AC32" s="27">
        <f t="shared" si="0"/>
        <v>4.3796395683453238</v>
      </c>
    </row>
    <row r="33" spans="1:29" ht="15" x14ac:dyDescent="0.2">
      <c r="A33" s="16">
        <v>41883</v>
      </c>
      <c r="B33" s="10">
        <f>CHOOSE(CONTROL!$C$42, 4.3456, 4.3456) * CHOOSE(CONTROL!$C$21, $C$9, 100%, $E$9)</f>
        <v>4.3456000000000001</v>
      </c>
      <c r="C33" s="10">
        <f>CHOOSE(CONTROL!$C$42, 4.3536, 4.3536) * CHOOSE(CONTROL!$C$21, $C$9, 100%, $E$9)</f>
        <v>4.3536000000000001</v>
      </c>
      <c r="D33" s="10">
        <f>CHOOSE(CONTROL!$C$42, 4.546, 4.546) * CHOOSE(CONTROL!$C$21, $C$9, 100%, $E$9)</f>
        <v>4.5460000000000003</v>
      </c>
      <c r="E33" s="10">
        <f>CHOOSE(CONTROL!$C$42, 4.5771, 4.5771) * CHOOSE(CONTROL!$C$21, $C$9, 100%, $E$9)</f>
        <v>4.5770999999999997</v>
      </c>
      <c r="F33" s="10">
        <f>CHOOSE(CONTROL!$C$42, 4.3125, 4.3125)*CHOOSE(CONTROL!$C$21, $C$9, 100%, $E$9)</f>
        <v>4.3125</v>
      </c>
      <c r="G33" s="10">
        <f>CHOOSE(CONTROL!$C$42, 4.3298, 4.3298)*CHOOSE(CONTROL!$C$21, $C$9, 100%, $E$9)</f>
        <v>4.3297999999999996</v>
      </c>
      <c r="H33" s="10">
        <f>CHOOSE(CONTROL!$C$42, 4.5658, 4.5658) * CHOOSE(CONTROL!$C$21, $C$9, 100%, $E$9)</f>
        <v>4.5658000000000003</v>
      </c>
      <c r="I33" s="10">
        <f>CHOOSE(CONTROL!$C$42, 4.3122, 4.3122)* CHOOSE(CONTROL!$C$21, $C$9, 100%, $E$9)</f>
        <v>4.3121999999999998</v>
      </c>
      <c r="J33" s="10">
        <f>CHOOSE(CONTROL!$C$42, 4.3055, 4.3055)* CHOOSE(CONTROL!$C$21, $C$9, 100%, $E$9)</f>
        <v>4.3055000000000003</v>
      </c>
      <c r="K33" s="63"/>
      <c r="L33" s="10">
        <f>CHOOSE(CONTROL!$C$42, 5.1528, 5.1528) * CHOOSE(CONTROL!$C$21, $C$9, 100%, $E$9)</f>
        <v>5.1528</v>
      </c>
      <c r="M33" s="10">
        <f>CHOOSE(CONTROL!$C$42, 4.2759, 4.2759) * CHOOSE(CONTROL!$C$21, $C$9, 100%, $E$9)</f>
        <v>4.2759</v>
      </c>
      <c r="N33" s="10">
        <f>CHOOSE(CONTROL!$C$42, 4.293, 4.293) * CHOOSE(CONTROL!$C$21, $C$9, 100%, $E$9)</f>
        <v>4.2930000000000001</v>
      </c>
      <c r="O33" s="10">
        <f>CHOOSE(CONTROL!$C$42, 4.5335, 4.5335) * CHOOSE(CONTROL!$C$21, $C$9, 100%, $E$9)</f>
        <v>4.5335000000000001</v>
      </c>
      <c r="P33" s="10">
        <f>CHOOSE(CONTROL!$C$42, 4.2826, 4.2826) * CHOOSE(CONTROL!$C$21, $C$9, 100%, $E$9)</f>
        <v>4.2826000000000004</v>
      </c>
      <c r="Q33" s="10">
        <f>CHOOSE(CONTROL!$C$42, 5.1288, 5.1288) * CHOOSE(CONTROL!$C$21, $C$9, 100%, $E$9)</f>
        <v>5.1288</v>
      </c>
      <c r="R33" s="10">
        <f>CHOOSE(CONTROL!$C$42, 5.7286, 5.7286) * CHOOSE(CONTROL!$C$21, $C$9, 100%, $E$9)</f>
        <v>5.7286000000000001</v>
      </c>
      <c r="S33" s="10">
        <f>CHOOSE(CONTROL!$C$42, 4.2158, 4.2158) * CHOOSE(CONTROL!$C$21, $C$9, 100%, $E$9)</f>
        <v>4.2157999999999998</v>
      </c>
      <c r="T33" s="60">
        <f>((((430000*CHOOSE(CONTROL!$C$42, 0.4694, 0.4694)+(874000-430000)*CHOOSE(CONTROL!$C$42, 0.7185, 0.7185)+400000*CHOOSE(CONTROL!$C$42, 1.14, 1.14)+50000*0.98)*CHOOSE(CONTROL!$C$42, 30, 30))/1000000))+CHOOSE(CONTROL!$C$42, 0.1677, 0.1677)+CHOOSE(CONTROL!$C$42, 0.1997, 0.1997)</f>
        <v>31.143080000000001</v>
      </c>
      <c r="U33" s="58">
        <f>(1000*CHOOSE(CONTROL!$C$42, 695, 695)*CHOOSE(CONTROL!$C$42, 0.5599, 0.5599)*CHOOSE(CONTROL!$C$42, 30, 30))/1000000</f>
        <v>11.673914999999997</v>
      </c>
      <c r="V33" s="58">
        <f>(1000*CHOOSE(CONTROL!$C$42, 580, 580)*CHOOSE(CONTROL!$C$42, 0.275, 0.275)*CHOOSE(CONTROL!$C$42, 30, 30))/1000000</f>
        <v>4.7850000000000001</v>
      </c>
      <c r="W33" s="58">
        <f>(1000*CHOOSE(CONTROL!$C$42, 0.1146, 0.1146)*CHOOSE(CONTROL!$C$42, 200, 200)*CHOOSE(CONTROL!$C$42, 30, 30))/1000000</f>
        <v>0.68759999999999999</v>
      </c>
      <c r="X33" s="58">
        <f>30*0.1790888*145000/1000000</f>
        <v>0.77903627999999991</v>
      </c>
      <c r="Y33" s="58"/>
      <c r="Z33" s="10">
        <f>CHOOSE(CONTROL!$C$42, 4.2962, 4.2962) * CHOOSE(CONTROL!$C$21, $C$9, 100%, $E$9)</f>
        <v>4.2961999999999998</v>
      </c>
      <c r="AA33" s="62">
        <f>(30*((8.01*31500+8.07*100000)/30))/1000000</f>
        <v>1.059315</v>
      </c>
      <c r="AB33" s="51">
        <f>(B33*194.205+C33*267.466+D33*133.845+E33*213.484+F33*40+G33*25+H33*50+I33*100+J33*300)/(194.205+267.466+133.845+213.484+50+40+25+100+300)</f>
        <v>4.4002108851963744</v>
      </c>
      <c r="AC33" s="27">
        <f t="shared" si="0"/>
        <v>4.366918705035971</v>
      </c>
    </row>
    <row r="34" spans="1:29" ht="15" x14ac:dyDescent="0.2">
      <c r="A34" s="16">
        <v>41913</v>
      </c>
      <c r="B34" s="10">
        <f>CHOOSE(CONTROL!$C$42, 4.3624, 4.3624) * CHOOSE(CONTROL!$C$21, $C$9, 100%, $E$9)</f>
        <v>4.3624000000000001</v>
      </c>
      <c r="C34" s="10">
        <f>CHOOSE(CONTROL!$C$42, 4.3676, 4.3676) * CHOOSE(CONTROL!$C$21, $C$9, 100%, $E$9)</f>
        <v>4.3676000000000004</v>
      </c>
      <c r="D34" s="10">
        <f>CHOOSE(CONTROL!$C$42, 4.565, 4.565) * CHOOSE(CONTROL!$C$21, $C$9, 100%, $E$9)</f>
        <v>4.5650000000000004</v>
      </c>
      <c r="E34" s="10">
        <f>CHOOSE(CONTROL!$C$42, 4.5938, 4.5938) * CHOOSE(CONTROL!$C$21, $C$9, 100%, $E$9)</f>
        <v>4.5937999999999999</v>
      </c>
      <c r="F34" s="10">
        <f>CHOOSE(CONTROL!$C$42, 4.3313, 4.3313)*CHOOSE(CONTROL!$C$21, $C$9, 100%, $E$9)</f>
        <v>4.3312999999999997</v>
      </c>
      <c r="G34" s="10">
        <f>CHOOSE(CONTROL!$C$42, 4.3483, 4.3483)*CHOOSE(CONTROL!$C$21, $C$9, 100%, $E$9)</f>
        <v>4.3483000000000001</v>
      </c>
      <c r="H34" s="10">
        <f>CHOOSE(CONTROL!$C$42, 4.5843, 4.5843) * CHOOSE(CONTROL!$C$21, $C$9, 100%, $E$9)</f>
        <v>4.5842999999999998</v>
      </c>
      <c r="I34" s="10">
        <f>CHOOSE(CONTROL!$C$42, 4.3307, 4.3307)* CHOOSE(CONTROL!$C$21, $C$9, 100%, $E$9)</f>
        <v>4.3307000000000002</v>
      </c>
      <c r="J34" s="10">
        <f>CHOOSE(CONTROL!$C$42, 4.3243, 4.3243)* CHOOSE(CONTROL!$C$21, $C$9, 100%, $E$9)</f>
        <v>4.3243</v>
      </c>
      <c r="K34" s="63"/>
      <c r="L34" s="10">
        <f>CHOOSE(CONTROL!$C$42, 5.1713, 5.1713) * CHOOSE(CONTROL!$C$21, $C$9, 100%, $E$9)</f>
        <v>5.1712999999999996</v>
      </c>
      <c r="M34" s="10">
        <f>CHOOSE(CONTROL!$C$42, 4.2945, 4.2945) * CHOOSE(CONTROL!$C$21, $C$9, 100%, $E$9)</f>
        <v>4.2945000000000002</v>
      </c>
      <c r="N34" s="10">
        <f>CHOOSE(CONTROL!$C$42, 4.3113, 4.3113) * CHOOSE(CONTROL!$C$21, $C$9, 100%, $E$9)</f>
        <v>4.3113000000000001</v>
      </c>
      <c r="O34" s="10">
        <f>CHOOSE(CONTROL!$C$42, 4.5519, 4.5519) * CHOOSE(CONTROL!$C$21, $C$9, 100%, $E$9)</f>
        <v>4.5518999999999998</v>
      </c>
      <c r="P34" s="10">
        <f>CHOOSE(CONTROL!$C$42, 4.3009, 4.3009) * CHOOSE(CONTROL!$C$21, $C$9, 100%, $E$9)</f>
        <v>4.3009000000000004</v>
      </c>
      <c r="Q34" s="10">
        <f>CHOOSE(CONTROL!$C$42, 5.1472, 5.1472) * CHOOSE(CONTROL!$C$21, $C$9, 100%, $E$9)</f>
        <v>5.1471999999999998</v>
      </c>
      <c r="R34" s="10">
        <f>CHOOSE(CONTROL!$C$42, 5.747, 5.747) * CHOOSE(CONTROL!$C$21, $C$9, 100%, $E$9)</f>
        <v>5.7469999999999999</v>
      </c>
      <c r="S34" s="10">
        <f>CHOOSE(CONTROL!$C$42, 4.2338, 4.2338) * CHOOSE(CONTROL!$C$21, $C$9, 100%, $E$9)</f>
        <v>4.2337999999999996</v>
      </c>
      <c r="T34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34" s="58">
        <f>(1000*CHOOSE(CONTROL!$C$42, 695, 695)*CHOOSE(CONTROL!$C$42, 0.5599, 0.5599)*CHOOSE(CONTROL!$C$42, 31, 31))/1000000</f>
        <v>12.063045499999998</v>
      </c>
      <c r="V34" s="58">
        <f>(1000*CHOOSE(CONTROL!$C$42, 580, 580)*CHOOSE(CONTROL!$C$42, 0.275, 0.275)*CHOOSE(CONTROL!$C$42, 31, 31))/1000000</f>
        <v>4.9444999999999997</v>
      </c>
      <c r="W34" s="58">
        <f>(1000*CHOOSE(CONTROL!$C$42, 0.1146, 0.1146)*CHOOSE(CONTROL!$C$42, 200, 200)*CHOOSE(CONTROL!$C$42, 31, 31))/1000000</f>
        <v>0.71052000000000004</v>
      </c>
      <c r="X34" s="58">
        <f>31*0.1790888*145000/1000000</f>
        <v>0.80500415599999997</v>
      </c>
      <c r="Y34" s="58"/>
      <c r="Z34" s="10">
        <f>CHOOSE(CONTROL!$C$42, 4.3146, 4.3146) * CHOOSE(CONTROL!$C$21, $C$9, 100%, $E$9)</f>
        <v>4.3146000000000004</v>
      </c>
      <c r="AA34" s="62">
        <f>(31*((8.01*31500+8.07*100000)/31))/1000000</f>
        <v>1.059315</v>
      </c>
      <c r="AB34" s="51">
        <f>(B34*131.881+C34*277.167+D34*79.08+E34*285.872+F34*40+G34*25+H34*0+I34*100+J34*300)/(131.881+277.167+79.08+285.872+0+40+25+100+300)</f>
        <v>4.416812556255044</v>
      </c>
      <c r="AC34" s="27">
        <f t="shared" si="0"/>
        <v>4.3853561151079141</v>
      </c>
    </row>
    <row r="35" spans="1:29" ht="15" x14ac:dyDescent="0.2">
      <c r="A35" s="16">
        <v>41944</v>
      </c>
      <c r="B35" s="10">
        <f>CHOOSE(CONTROL!$C$42, 4.4094, 4.4094) * CHOOSE(CONTROL!$C$21, $C$9, 100%, $E$9)</f>
        <v>4.4093999999999998</v>
      </c>
      <c r="C35" s="10">
        <f>CHOOSE(CONTROL!$C$42, 4.4143, 4.4143) * CHOOSE(CONTROL!$C$21, $C$9, 100%, $E$9)</f>
        <v>4.4142999999999999</v>
      </c>
      <c r="D35" s="10">
        <f>CHOOSE(CONTROL!$C$42, 4.4439, 4.4439) * CHOOSE(CONTROL!$C$21, $C$9, 100%, $E$9)</f>
        <v>4.4439000000000002</v>
      </c>
      <c r="E35" s="10">
        <f>CHOOSE(CONTROL!$C$42, 4.4777, 4.4777) * CHOOSE(CONTROL!$C$21, $C$9, 100%, $E$9)</f>
        <v>4.4776999999999996</v>
      </c>
      <c r="F35" s="10">
        <f>CHOOSE(CONTROL!$C$42, 4.3762, 4.3762)*CHOOSE(CONTROL!$C$21, $C$9, 100%, $E$9)</f>
        <v>4.3761999999999999</v>
      </c>
      <c r="G35" s="10">
        <f>CHOOSE(CONTROL!$C$42, 4.3933, 4.3933)*CHOOSE(CONTROL!$C$21, $C$9, 100%, $E$9)</f>
        <v>4.3933</v>
      </c>
      <c r="H35" s="10">
        <f>CHOOSE(CONTROL!$C$42, 4.4669, 4.4669) * CHOOSE(CONTROL!$C$21, $C$9, 100%, $E$9)</f>
        <v>4.4668999999999999</v>
      </c>
      <c r="I35" s="10">
        <f>CHOOSE(CONTROL!$C$42, 4.373, 4.373)* CHOOSE(CONTROL!$C$21, $C$9, 100%, $E$9)</f>
        <v>4.3730000000000002</v>
      </c>
      <c r="J35" s="10">
        <f>CHOOSE(CONTROL!$C$42, 4.3692, 4.3692)* CHOOSE(CONTROL!$C$21, $C$9, 100%, $E$9)</f>
        <v>4.3692000000000002</v>
      </c>
      <c r="K35" s="63"/>
      <c r="L35" s="10">
        <f>CHOOSE(CONTROL!$C$42, 5.0539, 5.0539) * CHOOSE(CONTROL!$C$21, $C$9, 100%, $E$9)</f>
        <v>5.0538999999999996</v>
      </c>
      <c r="M35" s="10">
        <f>CHOOSE(CONTROL!$C$42, 4.3389, 4.3389) * CHOOSE(CONTROL!$C$21, $C$9, 100%, $E$9)</f>
        <v>4.3388999999999998</v>
      </c>
      <c r="N35" s="10">
        <f>CHOOSE(CONTROL!$C$42, 4.3558, 4.3558) * CHOOSE(CONTROL!$C$21, $C$9, 100%, $E$9)</f>
        <v>4.3558000000000003</v>
      </c>
      <c r="O35" s="10">
        <f>CHOOSE(CONTROL!$C$42, 4.4356, 4.4356) * CHOOSE(CONTROL!$C$21, $C$9, 100%, $E$9)</f>
        <v>4.4356</v>
      </c>
      <c r="P35" s="10">
        <f>CHOOSE(CONTROL!$C$42, 4.3427, 4.3427) * CHOOSE(CONTROL!$C$21, $C$9, 100%, $E$9)</f>
        <v>4.3426999999999998</v>
      </c>
      <c r="Q35" s="10">
        <f>CHOOSE(CONTROL!$C$42, 5.0309, 5.0309) * CHOOSE(CONTROL!$C$21, $C$9, 100%, $E$9)</f>
        <v>5.0308999999999999</v>
      </c>
      <c r="R35" s="10">
        <f>CHOOSE(CONTROL!$C$42, 5.6305, 5.6305) * CHOOSE(CONTROL!$C$21, $C$9, 100%, $E$9)</f>
        <v>5.6304999999999996</v>
      </c>
      <c r="S35" s="10">
        <f>CHOOSE(CONTROL!$C$42, 4.2798, 4.2798) * CHOOSE(CONTROL!$C$21, $C$9, 100%, $E$9)</f>
        <v>4.2797999999999998</v>
      </c>
      <c r="T35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35" s="58">
        <f>(1000*CHOOSE(CONTROL!$C$42, 695, 695)*CHOOSE(CONTROL!$C$42, 0.5599, 0.5599)*CHOOSE(CONTROL!$C$42, 30, 30))/1000000</f>
        <v>11.673914999999997</v>
      </c>
      <c r="V35" s="58">
        <f>(1000*CHOOSE(CONTROL!$C$42, 580, 580)*CHOOSE(CONTROL!$C$42, 0.275, 0.275)*CHOOSE(CONTROL!$C$42, 30, 30))/1000000</f>
        <v>4.7850000000000001</v>
      </c>
      <c r="W35" s="58">
        <f>(1000*CHOOSE(CONTROL!$C$42, 0.1146, 0.1146)*CHOOSE(CONTROL!$C$42, 200, 200)*CHOOSE(CONTROL!$C$42, 30, 30))/1000000</f>
        <v>0.68759999999999999</v>
      </c>
      <c r="X35" s="58">
        <v>0</v>
      </c>
      <c r="Y35" s="58"/>
      <c r="Z35" s="10">
        <f>CHOOSE(CONTROL!$C$42, 4.3617, 4.3617) * CHOOSE(CONTROL!$C$21, $C$9, 100%, $E$9)</f>
        <v>4.3616999999999999</v>
      </c>
      <c r="AA35" s="62">
        <f>(30*((8.01*31500+8.07*100000)/30))/1000000</f>
        <v>1.059315</v>
      </c>
      <c r="AB35" s="51">
        <f>(B35*122.58+C35*297.941+D35*89.177+E35*200.302+F35*40+G35*0+H35*0+I35*100+J35*300)/(122.58+297.941+89.177+200.302+0+40+0+100+300)</f>
        <v>4.4104340382608695</v>
      </c>
      <c r="AC35" s="27">
        <f>(M35*240+N35*0+O35*355+P35*100)/(240+0+355+100)</f>
        <v>4.3888402877697841</v>
      </c>
    </row>
    <row r="36" spans="1:29" ht="15" x14ac:dyDescent="0.2">
      <c r="A36" s="16">
        <v>41974</v>
      </c>
      <c r="B36" s="10">
        <f>CHOOSE(CONTROL!$C$42, 4.5195, 4.5195) * CHOOSE(CONTROL!$C$21, $C$9, 100%, $E$9)</f>
        <v>4.5194999999999999</v>
      </c>
      <c r="C36" s="10">
        <f>CHOOSE(CONTROL!$C$42, 4.5245, 4.5245) * CHOOSE(CONTROL!$C$21, $C$9, 100%, $E$9)</f>
        <v>4.5244999999999997</v>
      </c>
      <c r="D36" s="10">
        <f>CHOOSE(CONTROL!$C$42, 4.5541, 4.5541) * CHOOSE(CONTROL!$C$21, $C$9, 100%, $E$9)</f>
        <v>4.5541</v>
      </c>
      <c r="E36" s="10">
        <f>CHOOSE(CONTROL!$C$42, 4.5879, 4.5879) * CHOOSE(CONTROL!$C$21, $C$9, 100%, $E$9)</f>
        <v>4.5879000000000003</v>
      </c>
      <c r="F36" s="10">
        <f>CHOOSE(CONTROL!$C$42, 4.4878, 4.4878)*CHOOSE(CONTROL!$C$21, $C$9, 100%, $E$9)</f>
        <v>4.4878</v>
      </c>
      <c r="G36" s="10">
        <f>CHOOSE(CONTROL!$C$42, 4.5053, 4.5053)*CHOOSE(CONTROL!$C$21, $C$9, 100%, $E$9)</f>
        <v>4.5053000000000001</v>
      </c>
      <c r="H36" s="10">
        <f>CHOOSE(CONTROL!$C$42, 4.5771, 4.5771) * CHOOSE(CONTROL!$C$21, $C$9, 100%, $E$9)</f>
        <v>4.5770999999999997</v>
      </c>
      <c r="I36" s="10">
        <f>CHOOSE(CONTROL!$C$42, 4.4831, 4.4831)* CHOOSE(CONTROL!$C$21, $C$9, 100%, $E$9)</f>
        <v>4.4831000000000003</v>
      </c>
      <c r="J36" s="10">
        <f>CHOOSE(CONTROL!$C$42, 4.4808, 4.4808)* CHOOSE(CONTROL!$C$21, $C$9, 100%, $E$9)</f>
        <v>4.4808000000000003</v>
      </c>
      <c r="K36" s="63"/>
      <c r="L36" s="10">
        <f>CHOOSE(CONTROL!$C$42, 5.1641, 5.1641) * CHOOSE(CONTROL!$C$21, $C$9, 100%, $E$9)</f>
        <v>5.1641000000000004</v>
      </c>
      <c r="M36" s="10">
        <f>CHOOSE(CONTROL!$C$42, 4.4494, 4.4494) * CHOOSE(CONTROL!$C$21, $C$9, 100%, $E$9)</f>
        <v>4.4493999999999998</v>
      </c>
      <c r="N36" s="10">
        <f>CHOOSE(CONTROL!$C$42, 4.4667, 4.4667) * CHOOSE(CONTROL!$C$21, $C$9, 100%, $E$9)</f>
        <v>4.4667000000000003</v>
      </c>
      <c r="O36" s="10">
        <f>CHOOSE(CONTROL!$C$42, 4.5447, 4.5447) * CHOOSE(CONTROL!$C$21, $C$9, 100%, $E$9)</f>
        <v>4.5446999999999997</v>
      </c>
      <c r="P36" s="10">
        <f>CHOOSE(CONTROL!$C$42, 4.4518, 4.4518) * CHOOSE(CONTROL!$C$21, $C$9, 100%, $E$9)</f>
        <v>4.4518000000000004</v>
      </c>
      <c r="Q36" s="10">
        <f>CHOOSE(CONTROL!$C$42, 5.14, 5.14) * CHOOSE(CONTROL!$C$21, $C$9, 100%, $E$9)</f>
        <v>5.14</v>
      </c>
      <c r="R36" s="10">
        <f>CHOOSE(CONTROL!$C$42, 5.7399, 5.7399) * CHOOSE(CONTROL!$C$21, $C$9, 100%, $E$9)</f>
        <v>5.7398999999999996</v>
      </c>
      <c r="S36" s="10">
        <f>CHOOSE(CONTROL!$C$42, 4.3868, 4.3868) * CHOOSE(CONTROL!$C$21, $C$9, 100%, $E$9)</f>
        <v>4.3868</v>
      </c>
      <c r="T36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36" s="58">
        <f>(1000*CHOOSE(CONTROL!$C$42, 695, 695)*CHOOSE(CONTROL!$C$42, 0.5599, 0.5599)*CHOOSE(CONTROL!$C$42, 31, 31))/1000000</f>
        <v>12.063045499999998</v>
      </c>
      <c r="V36" s="58">
        <f>(1000*CHOOSE(CONTROL!$C$42, 580, 580)*CHOOSE(CONTROL!$C$42, 0.275, 0.275)*CHOOSE(CONTROL!$C$42, 31, 31))/1000000</f>
        <v>4.9444999999999997</v>
      </c>
      <c r="W36" s="58">
        <f>(1000*CHOOSE(CONTROL!$C$42, 0.1146, 0.1146)*CHOOSE(CONTROL!$C$42, 200, 200)*CHOOSE(CONTROL!$C$42, 31, 31))/1000000</f>
        <v>0.71052000000000004</v>
      </c>
      <c r="X36" s="58">
        <v>0</v>
      </c>
      <c r="Y36" s="58"/>
      <c r="Z36" s="10">
        <f>CHOOSE(CONTROL!$C$42, 4.4712, 4.4712) * CHOOSE(CONTROL!$C$21, $C$9, 100%, $E$9)</f>
        <v>4.4711999999999996</v>
      </c>
      <c r="AA36" s="62">
        <f>(31*((8.01*31500+8.07*100000)/31))/1000000</f>
        <v>1.059315</v>
      </c>
      <c r="AB36" s="51">
        <f>(B36*122.58+C36*297.941+D36*89.177+E36*200.302+F36*40+G36*0+H36*0+I36*100+J36*300)/(122.58+297.941+89.177+200.302+0+40+0+100+300)</f>
        <v>4.5210285965217389</v>
      </c>
      <c r="AC36" s="27">
        <f>(M36*240+N36*0+O36*355+P36*100)/(240+0+355+100)</f>
        <v>4.4984237410071941</v>
      </c>
    </row>
    <row r="37" spans="1:29" ht="15.75" x14ac:dyDescent="0.25">
      <c r="A37" s="16">
        <v>42005</v>
      </c>
      <c r="B37" s="10">
        <f>CHOOSE(CONTROL!$C$42, 4.606, 4.606) * CHOOSE(CONTROL!$C$21, $C$9, 100%, $E$9)</f>
        <v>4.6059999999999999</v>
      </c>
      <c r="C37" s="10">
        <f>CHOOSE(CONTROL!$C$42, 4.611, 4.611) * CHOOSE(CONTROL!$C$21, $C$9, 100%, $E$9)</f>
        <v>4.6109999999999998</v>
      </c>
      <c r="D37" s="10">
        <f>CHOOSE(CONTROL!$C$42, 4.6612, 4.6612) * CHOOSE(CONTROL!$C$21, $C$9, 100%, $E$9)</f>
        <v>4.6612</v>
      </c>
      <c r="E37" s="10">
        <f>CHOOSE(CONTROL!$C$42, 4.695, 4.695) * CHOOSE(CONTROL!$C$21, $C$9, 100%, $E$9)</f>
        <v>4.6950000000000003</v>
      </c>
      <c r="F37" s="10">
        <f>CHOOSE(CONTROL!$C$42, 4.5714, 4.5714)*CHOOSE(CONTROL!$C$21, $C$9, 100%, $E$9)</f>
        <v>4.5713999999999997</v>
      </c>
      <c r="G37" s="10">
        <f>CHOOSE(CONTROL!$C$42, 4.589, 4.589)*CHOOSE(CONTROL!$C$21, $C$9, 100%, $E$9)</f>
        <v>4.5890000000000004</v>
      </c>
      <c r="H37" s="10">
        <f>CHOOSE(CONTROL!$C$42, 4.6842, 4.6842) * CHOOSE(CONTROL!$C$21, $C$9, 100%, $E$9)</f>
        <v>4.6841999999999997</v>
      </c>
      <c r="I37" s="10">
        <f>CHOOSE(CONTROL!$C$42, 4.5799, 4.5799)* CHOOSE(CONTROL!$C$21, $C$9, 100%, $E$9)</f>
        <v>4.5799000000000003</v>
      </c>
      <c r="J37" s="10">
        <f>CHOOSE(CONTROL!$C$42, 4.5644, 4.5644)* CHOOSE(CONTROL!$C$21, $C$9, 100%, $E$9)</f>
        <v>4.5644</v>
      </c>
      <c r="K37" s="54"/>
      <c r="L37" s="10">
        <f>CHOOSE(CONTROL!$C$42, 5.2712, 5.2712) * CHOOSE(CONTROL!$C$21, $C$9, 100%, $E$9)</f>
        <v>5.2712000000000003</v>
      </c>
      <c r="M37" s="10">
        <f>CHOOSE(CONTROL!$C$42, 4.5322, 4.5322) * CHOOSE(CONTROL!$C$21, $C$9, 100%, $E$9)</f>
        <v>4.5321999999999996</v>
      </c>
      <c r="N37" s="10">
        <f>CHOOSE(CONTROL!$C$42, 4.5496, 4.5496) * CHOOSE(CONTROL!$C$21, $C$9, 100%, $E$9)</f>
        <v>4.5495999999999999</v>
      </c>
      <c r="O37" s="10">
        <f>CHOOSE(CONTROL!$C$42, 4.6507, 4.6507) * CHOOSE(CONTROL!$C$21, $C$9, 100%, $E$9)</f>
        <v>4.6506999999999996</v>
      </c>
      <c r="P37" s="10">
        <f>CHOOSE(CONTROL!$C$42, 4.5476, 4.5476) * CHOOSE(CONTROL!$C$21, $C$9, 100%, $E$9)</f>
        <v>4.5476000000000001</v>
      </c>
      <c r="Q37" s="10">
        <f>CHOOSE(CONTROL!$C$42, 5.246, 5.246) * CHOOSE(CONTROL!$C$21, $C$9, 100%, $E$9)</f>
        <v>5.2460000000000004</v>
      </c>
      <c r="R37" s="10">
        <f>CHOOSE(CONTROL!$C$42, 5.8461, 5.8461) * CHOOSE(CONTROL!$C$21, $C$9, 100%, $E$9)</f>
        <v>5.8460999999999999</v>
      </c>
      <c r="S37" s="10">
        <f>CHOOSE(CONTROL!$C$42, 4.4708, 4.4708) * CHOOSE(CONTROL!$C$21, $C$9, 100%, $E$9)</f>
        <v>4.4707999999999997</v>
      </c>
      <c r="T37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37" s="58">
        <f>(1000*CHOOSE(CONTROL!$C$42, 695, 695)*CHOOSE(CONTROL!$C$42, 0.5599, 0.5599)*CHOOSE(CONTROL!$C$42, 31, 31))/1000000</f>
        <v>12.063045499999998</v>
      </c>
      <c r="V37" s="58">
        <f>(1000*CHOOSE(CONTROL!$C$42, 580, 580)*CHOOSE(CONTROL!$C$42, 0.275, 0.275)*CHOOSE(CONTROL!$C$42, 31, 31))/1000000</f>
        <v>4.9444999999999997</v>
      </c>
      <c r="W37" s="58">
        <f>(1000*CHOOSE(CONTROL!$C$42, 0.1146, 0.1146)*CHOOSE(CONTROL!$C$42, 200, 200)*CHOOSE(CONTROL!$C$42, 31, 31))/1000000</f>
        <v>0.71052000000000004</v>
      </c>
      <c r="X37" s="58">
        <v>0</v>
      </c>
      <c r="Y37" s="58"/>
      <c r="Z37" s="10">
        <f>CHOOSE(CONTROL!$C$42, 4.5613, 4.5613) * CHOOSE(CONTROL!$C$21, $C$9, 100%, $E$9)</f>
        <v>4.5613000000000001</v>
      </c>
      <c r="AA37" s="62">
        <f>(31*((8.01*31500+8.07*100000)/31))/1000000</f>
        <v>1.059315</v>
      </c>
      <c r="AB37" s="51">
        <f>(B37*122.58+C37*297.941+D37*89.177+E37*200.302+F37*40+G37*0+H37*0+I37*100+J37*300)/(122.58+297.941+89.177+200.302+0+40+0+100+300)</f>
        <v>4.6127523073043468</v>
      </c>
      <c r="AC37" s="27">
        <f>(M37*240+N37*0+O37*355+P37*100)/(240+0+355+100)</f>
        <v>4.5949446043165469</v>
      </c>
    </row>
    <row r="38" spans="1:29" ht="15.75" x14ac:dyDescent="0.25">
      <c r="A38" s="16">
        <v>42036</v>
      </c>
      <c r="B38" s="10">
        <f>CHOOSE(CONTROL!$C$42, 4.5721, 4.5721) * CHOOSE(CONTROL!$C$21, $C$9, 100%, $E$9)</f>
        <v>4.5720999999999998</v>
      </c>
      <c r="C38" s="10">
        <f>CHOOSE(CONTROL!$C$42, 4.577, 4.577) * CHOOSE(CONTROL!$C$21, $C$9, 100%, $E$9)</f>
        <v>4.577</v>
      </c>
      <c r="D38" s="10">
        <f>CHOOSE(CONTROL!$C$42, 4.6375, 4.6375) * CHOOSE(CONTROL!$C$21, $C$9, 100%, $E$9)</f>
        <v>4.6375000000000002</v>
      </c>
      <c r="E38" s="10">
        <f>CHOOSE(CONTROL!$C$42, 4.6713, 4.6713) * CHOOSE(CONTROL!$C$21, $C$9, 100%, $E$9)</f>
        <v>4.6712999999999996</v>
      </c>
      <c r="F38" s="10">
        <f>CHOOSE(CONTROL!$C$42, 4.5653, 4.5653)*CHOOSE(CONTROL!$C$21, $C$9, 100%, $E$9)</f>
        <v>4.5652999999999997</v>
      </c>
      <c r="G38" s="10">
        <f>CHOOSE(CONTROL!$C$42, 4.5826, 4.5826)*CHOOSE(CONTROL!$C$21, $C$9, 100%, $E$9)</f>
        <v>4.5826000000000002</v>
      </c>
      <c r="H38" s="10">
        <f>CHOOSE(CONTROL!$C$42, 4.6605, 4.6605) * CHOOSE(CONTROL!$C$21, $C$9, 100%, $E$9)</f>
        <v>4.6604999999999999</v>
      </c>
      <c r="I38" s="10">
        <f>CHOOSE(CONTROL!$C$42, 4.5588, 4.5588)* CHOOSE(CONTROL!$C$21, $C$9, 100%, $E$9)</f>
        <v>4.5587999999999997</v>
      </c>
      <c r="J38" s="10">
        <f>CHOOSE(CONTROL!$C$42, 4.5583, 4.5583)* CHOOSE(CONTROL!$C$21, $C$9, 100%, $E$9)</f>
        <v>4.5583</v>
      </c>
      <c r="K38" s="54"/>
      <c r="L38" s="10">
        <f>CHOOSE(CONTROL!$C$42, 5.2475, 5.2475) * CHOOSE(CONTROL!$C$21, $C$9, 100%, $E$9)</f>
        <v>5.2474999999999996</v>
      </c>
      <c r="M38" s="10">
        <f>CHOOSE(CONTROL!$C$42, 4.5261, 4.5261) * CHOOSE(CONTROL!$C$21, $C$9, 100%, $E$9)</f>
        <v>4.5260999999999996</v>
      </c>
      <c r="N38" s="10">
        <f>CHOOSE(CONTROL!$C$42, 4.5432, 4.5432) * CHOOSE(CONTROL!$C$21, $C$9, 100%, $E$9)</f>
        <v>4.5431999999999997</v>
      </c>
      <c r="O38" s="10">
        <f>CHOOSE(CONTROL!$C$42, 4.6273, 4.6273) * CHOOSE(CONTROL!$C$21, $C$9, 100%, $E$9)</f>
        <v>4.6273</v>
      </c>
      <c r="P38" s="10">
        <f>CHOOSE(CONTROL!$C$42, 4.5267, 4.5267) * CHOOSE(CONTROL!$C$21, $C$9, 100%, $E$9)</f>
        <v>4.5266999999999999</v>
      </c>
      <c r="Q38" s="10">
        <f>CHOOSE(CONTROL!$C$42, 5.2226, 5.2226) * CHOOSE(CONTROL!$C$21, $C$9, 100%, $E$9)</f>
        <v>5.2225999999999999</v>
      </c>
      <c r="R38" s="10">
        <f>CHOOSE(CONTROL!$C$42, 5.8226, 5.8226) * CHOOSE(CONTROL!$C$21, $C$9, 100%, $E$9)</f>
        <v>5.8226000000000004</v>
      </c>
      <c r="S38" s="10">
        <f>CHOOSE(CONTROL!$C$42, 4.4378, 4.4378) * CHOOSE(CONTROL!$C$21, $C$9, 100%, $E$9)</f>
        <v>4.4378000000000002</v>
      </c>
      <c r="T38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38" s="58">
        <f>(1000*CHOOSE(CONTROL!$C$42, 695, 695)*CHOOSE(CONTROL!$C$42, 0.5599, 0.5599)*CHOOSE(CONTROL!$C$42, 28, 28))/1000000</f>
        <v>10.895653999999999</v>
      </c>
      <c r="V38" s="58">
        <f>(1000*CHOOSE(CONTROL!$C$42, 580, 580)*CHOOSE(CONTROL!$C$42, 0.275, 0.275)*CHOOSE(CONTROL!$C$42, 28, 28))/1000000</f>
        <v>4.4660000000000002</v>
      </c>
      <c r="W38" s="58">
        <f>(1000*CHOOSE(CONTROL!$C$42, 0.1146, 0.1146)*CHOOSE(CONTROL!$C$42, 200, 200)*CHOOSE(CONTROL!$C$42, 28, 28))/1000000</f>
        <v>0.64176</v>
      </c>
      <c r="X38" s="58">
        <v>0</v>
      </c>
      <c r="Y38" s="58"/>
      <c r="Z38" s="10">
        <f>CHOOSE(CONTROL!$C$42, 4.5337, 4.5337) * CHOOSE(CONTROL!$C$21, $C$9, 100%, $E$9)</f>
        <v>4.5336999999999996</v>
      </c>
      <c r="AA38" s="62">
        <f>(28*((8.01*31500+8.07*100000)/28))/1000000</f>
        <v>1.059315</v>
      </c>
      <c r="AB38" s="51">
        <f>(B38*122.58+C38*297.941+D38*89.177+E38*200.302+F38*40+G38*0+H38*0+I38*100+J38*300)/(122.58+297.941+89.177+200.302+0+40+0+100+300)</f>
        <v>4.5907261261739132</v>
      </c>
      <c r="AC38" s="27">
        <f>(M38*240+N38*0+O38*355+P38*100)/(240+0+355+100)</f>
        <v>4.577878417266187</v>
      </c>
    </row>
    <row r="39" spans="1:29" ht="15.75" x14ac:dyDescent="0.25">
      <c r="A39" s="16">
        <v>42064</v>
      </c>
      <c r="B39" s="10">
        <f>CHOOSE(CONTROL!$C$42, 4.5103, 4.5103) * CHOOSE(CONTROL!$C$21, $C$9, 100%, $E$9)</f>
        <v>4.5103</v>
      </c>
      <c r="C39" s="10">
        <f>CHOOSE(CONTROL!$C$42, 4.5152, 4.5152) * CHOOSE(CONTROL!$C$21, $C$9, 100%, $E$9)</f>
        <v>4.5152000000000001</v>
      </c>
      <c r="D39" s="10">
        <f>CHOOSE(CONTROL!$C$42, 4.5757, 4.5757) * CHOOSE(CONTROL!$C$21, $C$9, 100%, $E$9)</f>
        <v>4.5757000000000003</v>
      </c>
      <c r="E39" s="10">
        <f>CHOOSE(CONTROL!$C$42, 4.6095, 4.6095) * CHOOSE(CONTROL!$C$21, $C$9, 100%, $E$9)</f>
        <v>4.6094999999999997</v>
      </c>
      <c r="F39" s="10">
        <f>CHOOSE(CONTROL!$C$42, 4.498, 4.498)*CHOOSE(CONTROL!$C$21, $C$9, 100%, $E$9)</f>
        <v>4.4980000000000002</v>
      </c>
      <c r="G39" s="10">
        <f>CHOOSE(CONTROL!$C$42, 4.5152, 4.5152)*CHOOSE(CONTROL!$C$21, $C$9, 100%, $E$9)</f>
        <v>4.5152000000000001</v>
      </c>
      <c r="H39" s="10">
        <f>CHOOSE(CONTROL!$C$42, 4.5987, 4.5987) * CHOOSE(CONTROL!$C$21, $C$9, 100%, $E$9)</f>
        <v>4.5987</v>
      </c>
      <c r="I39" s="10">
        <f>CHOOSE(CONTROL!$C$42, 4.4842, 4.4842)* CHOOSE(CONTROL!$C$21, $C$9, 100%, $E$9)</f>
        <v>4.4842000000000004</v>
      </c>
      <c r="J39" s="10">
        <f>CHOOSE(CONTROL!$C$42, 4.491, 4.491)* CHOOSE(CONTROL!$C$21, $C$9, 100%, $E$9)</f>
        <v>4.4909999999999997</v>
      </c>
      <c r="K39" s="54"/>
      <c r="L39" s="10">
        <f>CHOOSE(CONTROL!$C$42, 5.1857, 5.1857) * CHOOSE(CONTROL!$C$21, $C$9, 100%, $E$9)</f>
        <v>5.1856999999999998</v>
      </c>
      <c r="M39" s="10">
        <f>CHOOSE(CONTROL!$C$42, 4.4595, 4.4595) * CHOOSE(CONTROL!$C$21, $C$9, 100%, $E$9)</f>
        <v>4.4595000000000002</v>
      </c>
      <c r="N39" s="10">
        <f>CHOOSE(CONTROL!$C$42, 4.4765, 4.4765) * CHOOSE(CONTROL!$C$21, $C$9, 100%, $E$9)</f>
        <v>4.4764999999999997</v>
      </c>
      <c r="O39" s="10">
        <f>CHOOSE(CONTROL!$C$42, 4.5661, 4.5661) * CHOOSE(CONTROL!$C$21, $C$9, 100%, $E$9)</f>
        <v>4.5660999999999996</v>
      </c>
      <c r="P39" s="10">
        <f>CHOOSE(CONTROL!$C$42, 4.4528, 4.4528) * CHOOSE(CONTROL!$C$21, $C$9, 100%, $E$9)</f>
        <v>4.4527999999999999</v>
      </c>
      <c r="Q39" s="10">
        <f>CHOOSE(CONTROL!$C$42, 5.1614, 5.1614) * CHOOSE(CONTROL!$C$21, $C$9, 100%, $E$9)</f>
        <v>5.1614000000000004</v>
      </c>
      <c r="R39" s="10">
        <f>CHOOSE(CONTROL!$C$42, 5.7613, 5.7613) * CHOOSE(CONTROL!$C$21, $C$9, 100%, $E$9)</f>
        <v>5.7613000000000003</v>
      </c>
      <c r="S39" s="10">
        <f>CHOOSE(CONTROL!$C$42, 4.3778, 4.3778) * CHOOSE(CONTROL!$C$21, $C$9, 100%, $E$9)</f>
        <v>4.3777999999999997</v>
      </c>
      <c r="T39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39" s="58">
        <f>(1000*CHOOSE(CONTROL!$C$42, 695, 695)*CHOOSE(CONTROL!$C$42, 0.5599, 0.5599)*CHOOSE(CONTROL!$C$42, 31, 31))/1000000</f>
        <v>12.063045499999998</v>
      </c>
      <c r="V39" s="58">
        <f>(1000*CHOOSE(CONTROL!$C$42, 580, 580)*CHOOSE(CONTROL!$C$42, 0.275, 0.275)*CHOOSE(CONTROL!$C$42, 31, 31))/1000000</f>
        <v>4.9444999999999997</v>
      </c>
      <c r="W39" s="58">
        <f>(1000*CHOOSE(CONTROL!$C$42, 0.1146, 0.1146)*CHOOSE(CONTROL!$C$42, 200, 200)*CHOOSE(CONTROL!$C$42, 31, 31))/1000000</f>
        <v>0.71052000000000004</v>
      </c>
      <c r="X39" s="58">
        <v>0</v>
      </c>
      <c r="Y39" s="58"/>
      <c r="Z39" s="10">
        <f>CHOOSE(CONTROL!$C$42, 4.4671, 4.4671) * CHOOSE(CONTROL!$C$21, $C$9, 100%, $E$9)</f>
        <v>4.4671000000000003</v>
      </c>
      <c r="AA39" s="62">
        <f>(31*((8.01*31500+8.07*100000)/31))/1000000</f>
        <v>1.059315</v>
      </c>
      <c r="AB39" s="51">
        <f>(B39*122.58+C39*297.941+D39*89.177+E39*200.302+F39*40+G39*0+H39*0+I39*100+J39*300)/(122.58+297.941+89.177+200.302+0+40+0+100+300)</f>
        <v>4.5261869957391303</v>
      </c>
      <c r="AC39" s="27">
        <f>(M39*240+N39*0+O39*355+P39*100)/(240+0+355+100)</f>
        <v>4.5129863309352514</v>
      </c>
    </row>
    <row r="40" spans="1:29" ht="15.75" x14ac:dyDescent="0.25">
      <c r="A40" s="16">
        <v>42095</v>
      </c>
      <c r="B40" s="10">
        <f>CHOOSE(CONTROL!$C$42, 4.22, 4.22) * CHOOSE(CONTROL!$C$21, $C$9, 100%, $E$9)</f>
        <v>4.22</v>
      </c>
      <c r="C40" s="10">
        <f>CHOOSE(CONTROL!$C$42, 4.2244, 4.2244) * CHOOSE(CONTROL!$C$21, $C$9, 100%, $E$9)</f>
        <v>4.2244000000000002</v>
      </c>
      <c r="D40" s="10">
        <f>CHOOSE(CONTROL!$C$42, 4.42, 4.42) * CHOOSE(CONTROL!$C$21, $C$9, 100%, $E$9)</f>
        <v>4.42</v>
      </c>
      <c r="E40" s="10">
        <f>CHOOSE(CONTROL!$C$42, 4.4518, 4.4518) * CHOOSE(CONTROL!$C$21, $C$9, 100%, $E$9)</f>
        <v>4.4518000000000004</v>
      </c>
      <c r="F40" s="10">
        <f>CHOOSE(CONTROL!$C$42, 4.1878, 4.1878)*CHOOSE(CONTROL!$C$21, $C$9, 100%, $E$9)</f>
        <v>4.1878000000000002</v>
      </c>
      <c r="G40" s="10">
        <f>CHOOSE(CONTROL!$C$42, 4.2046, 4.2046)*CHOOSE(CONTROL!$C$21, $C$9, 100%, $E$9)</f>
        <v>4.2046000000000001</v>
      </c>
      <c r="H40" s="10">
        <f>CHOOSE(CONTROL!$C$42, 4.4415, 4.4415) * CHOOSE(CONTROL!$C$21, $C$9, 100%, $E$9)</f>
        <v>4.4414999999999996</v>
      </c>
      <c r="I40" s="10">
        <f>CHOOSE(CONTROL!$C$42, 4.188, 4.188)* CHOOSE(CONTROL!$C$21, $C$9, 100%, $E$9)</f>
        <v>4.1879999999999997</v>
      </c>
      <c r="J40" s="10">
        <f>CHOOSE(CONTROL!$C$42, 4.1808, 4.1808)* CHOOSE(CONTROL!$C$21, $C$9, 100%, $E$9)</f>
        <v>4.1807999999999996</v>
      </c>
      <c r="K40" s="54"/>
      <c r="L40" s="10">
        <f>CHOOSE(CONTROL!$C$42, 5.0285, 5.0285) * CHOOSE(CONTROL!$C$21, $C$9, 100%, $E$9)</f>
        <v>5.0285000000000002</v>
      </c>
      <c r="M40" s="10">
        <f>CHOOSE(CONTROL!$C$42, 4.1525, 4.1525) * CHOOSE(CONTROL!$C$21, $C$9, 100%, $E$9)</f>
        <v>4.1524999999999999</v>
      </c>
      <c r="N40" s="10">
        <f>CHOOSE(CONTROL!$C$42, 4.1691, 4.1691) * CHOOSE(CONTROL!$C$21, $C$9, 100%, $E$9)</f>
        <v>4.1691000000000003</v>
      </c>
      <c r="O40" s="10">
        <f>CHOOSE(CONTROL!$C$42, 4.4105, 4.4105) * CHOOSE(CONTROL!$C$21, $C$9, 100%, $E$9)</f>
        <v>4.4104999999999999</v>
      </c>
      <c r="P40" s="10">
        <f>CHOOSE(CONTROL!$C$42, 4.1596, 4.1596) * CHOOSE(CONTROL!$C$21, $C$9, 100%, $E$9)</f>
        <v>4.1596000000000002</v>
      </c>
      <c r="Q40" s="10">
        <f>CHOOSE(CONTROL!$C$42, 5.0058, 5.0058) * CHOOSE(CONTROL!$C$21, $C$9, 100%, $E$9)</f>
        <v>5.0057999999999998</v>
      </c>
      <c r="R40" s="10">
        <f>CHOOSE(CONTROL!$C$42, 5.6054, 5.6054) * CHOOSE(CONTROL!$C$21, $C$9, 100%, $E$9)</f>
        <v>5.6054000000000004</v>
      </c>
      <c r="S40" s="10">
        <f>CHOOSE(CONTROL!$C$42, 4.0952, 4.0952) * CHOOSE(CONTROL!$C$21, $C$9, 100%, $E$9)</f>
        <v>4.0952000000000002</v>
      </c>
      <c r="T40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40" s="58">
        <f>(1000*CHOOSE(CONTROL!$C$42, 695, 695)*CHOOSE(CONTROL!$C$42, 0.5599, 0.5599)*CHOOSE(CONTROL!$C$42, 30, 30))/1000000</f>
        <v>11.673914999999997</v>
      </c>
      <c r="V40" s="58">
        <f>(1000*CHOOSE(CONTROL!$C$42, 580, 580)*CHOOSE(CONTROL!$C$42, 0.275, 0.275)*CHOOSE(CONTROL!$C$42, 30, 30))/1000000</f>
        <v>4.7850000000000001</v>
      </c>
      <c r="W40" s="58">
        <f>(1000*CHOOSE(CONTROL!$C$42, 0.1146, 0.1146)*CHOOSE(CONTROL!$C$42, 200, 200)*CHOOSE(CONTROL!$C$42, 30, 30))/1000000</f>
        <v>0.68759999999999999</v>
      </c>
      <c r="X40" s="58">
        <f>(30*0.1790888*245000/1000000)+(30*0.2374*100000/1000000)</f>
        <v>2.0285026799999999</v>
      </c>
      <c r="Y40" s="58"/>
      <c r="Z40" s="10">
        <f>CHOOSE(CONTROL!$C$42, 4.1727, 4.1727) * CHOOSE(CONTROL!$C$21, $C$9, 100%, $E$9)</f>
        <v>4.1726999999999999</v>
      </c>
      <c r="AA40" s="62">
        <f>(30*((8.01*31500+8.07*100000)/30))/1000000</f>
        <v>1.059315</v>
      </c>
      <c r="AB40" s="51">
        <f>(B40*141.293+C40*267.993+D40*115.016+E40*89.698+F40*40+G40*185+H40*0+I40*100+J40*300)/(141.293+267.993+115.016+89.698+0+40+185+100+300)</f>
        <v>4.2408856865213878</v>
      </c>
      <c r="AC40" s="27">
        <f t="shared" ref="AC40:AC46" si="1">(M40*240+N40*160+O40*195+P40*100)/(240+160+195+100)</f>
        <v>4.2297316546762591</v>
      </c>
    </row>
    <row r="41" spans="1:29" ht="15.75" x14ac:dyDescent="0.25">
      <c r="A41" s="16">
        <v>42125</v>
      </c>
      <c r="B41" s="10">
        <f>CHOOSE(CONTROL!$C$42, 4.1977, 4.1977) * CHOOSE(CONTROL!$C$21, $C$9, 100%, $E$9)</f>
        <v>4.1977000000000002</v>
      </c>
      <c r="C41" s="10">
        <f>CHOOSE(CONTROL!$C$42, 4.2057, 4.2057) * CHOOSE(CONTROL!$C$21, $C$9, 100%, $E$9)</f>
        <v>4.2057000000000002</v>
      </c>
      <c r="D41" s="10">
        <f>CHOOSE(CONTROL!$C$42, 4.3981, 4.3981) * CHOOSE(CONTROL!$C$21, $C$9, 100%, $E$9)</f>
        <v>4.3981000000000003</v>
      </c>
      <c r="E41" s="10">
        <f>CHOOSE(CONTROL!$C$42, 4.4292, 4.4292) * CHOOSE(CONTROL!$C$21, $C$9, 100%, $E$9)</f>
        <v>4.4291999999999998</v>
      </c>
      <c r="F41" s="10">
        <f>CHOOSE(CONTROL!$C$42, 4.164, 4.164)*CHOOSE(CONTROL!$C$21, $C$9, 100%, $E$9)</f>
        <v>4.1639999999999997</v>
      </c>
      <c r="G41" s="10">
        <f>CHOOSE(CONTROL!$C$42, 4.1811, 4.1811)*CHOOSE(CONTROL!$C$21, $C$9, 100%, $E$9)</f>
        <v>4.1810999999999998</v>
      </c>
      <c r="H41" s="10">
        <f>CHOOSE(CONTROL!$C$42, 4.4179, 4.4179) * CHOOSE(CONTROL!$C$21, $C$9, 100%, $E$9)</f>
        <v>4.4179000000000004</v>
      </c>
      <c r="I41" s="10">
        <f>CHOOSE(CONTROL!$C$42, 4.1643, 4.1643)* CHOOSE(CONTROL!$C$21, $C$9, 100%, $E$9)</f>
        <v>4.1642999999999999</v>
      </c>
      <c r="J41" s="10">
        <f>CHOOSE(CONTROL!$C$42, 4.157, 4.157)* CHOOSE(CONTROL!$C$21, $C$9, 100%, $E$9)</f>
        <v>4.157</v>
      </c>
      <c r="K41" s="54"/>
      <c r="L41" s="10">
        <f>CHOOSE(CONTROL!$C$42, 5.0049, 5.0049) * CHOOSE(CONTROL!$C$21, $C$9, 100%, $E$9)</f>
        <v>5.0049000000000001</v>
      </c>
      <c r="M41" s="10">
        <f>CHOOSE(CONTROL!$C$42, 4.1289, 4.1289) * CHOOSE(CONTROL!$C$21, $C$9, 100%, $E$9)</f>
        <v>4.1288999999999998</v>
      </c>
      <c r="N41" s="10">
        <f>CHOOSE(CONTROL!$C$42, 4.1458, 4.1458) * CHOOSE(CONTROL!$C$21, $C$9, 100%, $E$9)</f>
        <v>4.1458000000000004</v>
      </c>
      <c r="O41" s="10">
        <f>CHOOSE(CONTROL!$C$42, 4.3871, 4.3871) * CHOOSE(CONTROL!$C$21, $C$9, 100%, $E$9)</f>
        <v>4.3871000000000002</v>
      </c>
      <c r="P41" s="10">
        <f>CHOOSE(CONTROL!$C$42, 4.1362, 4.1362) * CHOOSE(CONTROL!$C$21, $C$9, 100%, $E$9)</f>
        <v>4.1361999999999997</v>
      </c>
      <c r="Q41" s="10">
        <f>CHOOSE(CONTROL!$C$42, 4.9824, 4.9824) * CHOOSE(CONTROL!$C$21, $C$9, 100%, $E$9)</f>
        <v>4.9824000000000002</v>
      </c>
      <c r="R41" s="10">
        <f>CHOOSE(CONTROL!$C$42, 5.5819, 5.5819) * CHOOSE(CONTROL!$C$21, $C$9, 100%, $E$9)</f>
        <v>5.5819000000000001</v>
      </c>
      <c r="S41" s="10">
        <f>CHOOSE(CONTROL!$C$42, 4.0722, 4.0722) * CHOOSE(CONTROL!$C$21, $C$9, 100%, $E$9)</f>
        <v>4.0721999999999996</v>
      </c>
      <c r="T41" s="60">
        <f>((((430000*CHOOSE(CONTROL!$C$42, 0.4694, 0.4694)+(874000-430000)*CHOOSE(CONTROL!$C$42, 0.7185, 0.7185)+400000*CHOOSE(CONTROL!$C$42, 1.14, 1.14)+50000*0.98)*CHOOSE(CONTROL!$C$42, 31, 31))/1000000))+CHOOSE(CONTROL!$C$42, 0.1662, 0.1662)+CHOOSE(CONTROL!$C$42, 0.6286, 0.6286)</f>
        <v>32.596336000000001</v>
      </c>
      <c r="U41" s="58">
        <f>(1000*CHOOSE(CONTROL!$C$42, 695, 695)*CHOOSE(CONTROL!$C$42, 0.5599, 0.5599)*CHOOSE(CONTROL!$C$42, 31, 31))/1000000</f>
        <v>12.063045499999998</v>
      </c>
      <c r="V41" s="58">
        <f>(1000*CHOOSE(CONTROL!$C$42, 580, 580)*CHOOSE(CONTROL!$C$42, 0.275, 0.275)*CHOOSE(CONTROL!$C$42, 31, 31))/1000000</f>
        <v>4.9444999999999997</v>
      </c>
      <c r="W41" s="58">
        <f>(1000*CHOOSE(CONTROL!$C$42, 0.1146, 0.1146)*CHOOSE(CONTROL!$C$42, 200, 200)*CHOOSE(CONTROL!$C$42, 31, 31))/1000000</f>
        <v>0.71052000000000004</v>
      </c>
      <c r="X41" s="58">
        <f>(31*0.1790888*245000/1000000)+(31*0.2374*100000/1000000)</f>
        <v>2.0961194359999999</v>
      </c>
      <c r="Y41" s="58"/>
      <c r="Z41" s="10">
        <f>CHOOSE(CONTROL!$C$42, 4.1492, 4.1492) * CHOOSE(CONTROL!$C$21, $C$9, 100%, $E$9)</f>
        <v>4.1492000000000004</v>
      </c>
      <c r="AA41" s="62">
        <f>(31*((8.01*31500+8.07*100000)/31))/1000000</f>
        <v>1.059315</v>
      </c>
      <c r="AB41" s="51">
        <f>(B41*194.205+C41*267.466+D41*133.845+E41*53.484+F41*40+G41*185+H41*50+I41*100+J41*300)/(194.205+267.466+133.845+53.484+50+40+185+100+300)</f>
        <v>4.2221598277945613</v>
      </c>
      <c r="AC41" s="27">
        <f t="shared" si="1"/>
        <v>4.2062856115107916</v>
      </c>
    </row>
    <row r="42" spans="1:29" ht="15.75" x14ac:dyDescent="0.25">
      <c r="A42" s="16">
        <v>42156</v>
      </c>
      <c r="B42" s="10">
        <f>CHOOSE(CONTROL!$C$42, 4.2122, 4.2122) * CHOOSE(CONTROL!$C$21, $C$9, 100%, $E$9)</f>
        <v>4.2122000000000002</v>
      </c>
      <c r="C42" s="10">
        <f>CHOOSE(CONTROL!$C$42, 4.2201, 4.2201) * CHOOSE(CONTROL!$C$21, $C$9, 100%, $E$9)</f>
        <v>4.2201000000000004</v>
      </c>
      <c r="D42" s="10">
        <f>CHOOSE(CONTROL!$C$42, 4.4125, 4.4125) * CHOOSE(CONTROL!$C$21, $C$9, 100%, $E$9)</f>
        <v>4.4124999999999996</v>
      </c>
      <c r="E42" s="10">
        <f>CHOOSE(CONTROL!$C$42, 4.4436, 4.4436) * CHOOSE(CONTROL!$C$21, $C$9, 100%, $E$9)</f>
        <v>4.4436</v>
      </c>
      <c r="F42" s="10">
        <f>CHOOSE(CONTROL!$C$42, 4.1786, 4.1786)*CHOOSE(CONTROL!$C$21, $C$9, 100%, $E$9)</f>
        <v>4.1786000000000003</v>
      </c>
      <c r="G42" s="10">
        <f>CHOOSE(CONTROL!$C$42, 4.1958, 4.1958)*CHOOSE(CONTROL!$C$21, $C$9, 100%, $E$9)</f>
        <v>4.1958000000000002</v>
      </c>
      <c r="H42" s="10">
        <f>CHOOSE(CONTROL!$C$42, 4.4323, 4.4323) * CHOOSE(CONTROL!$C$21, $C$9, 100%, $E$9)</f>
        <v>4.4322999999999997</v>
      </c>
      <c r="I42" s="10">
        <f>CHOOSE(CONTROL!$C$42, 4.1787, 4.1787)* CHOOSE(CONTROL!$C$21, $C$9, 100%, $E$9)</f>
        <v>4.1787000000000001</v>
      </c>
      <c r="J42" s="10">
        <f>CHOOSE(CONTROL!$C$42, 4.1716, 4.1716)* CHOOSE(CONTROL!$C$21, $C$9, 100%, $E$9)</f>
        <v>4.1715999999999998</v>
      </c>
      <c r="K42" s="54"/>
      <c r="L42" s="10">
        <f>CHOOSE(CONTROL!$C$42, 5.0193, 5.0193) * CHOOSE(CONTROL!$C$21, $C$9, 100%, $E$9)</f>
        <v>5.0193000000000003</v>
      </c>
      <c r="M42" s="10">
        <f>CHOOSE(CONTROL!$C$42, 4.1434, 4.1434) * CHOOSE(CONTROL!$C$21, $C$9, 100%, $E$9)</f>
        <v>4.1433999999999997</v>
      </c>
      <c r="N42" s="10">
        <f>CHOOSE(CONTROL!$C$42, 4.1604, 4.1604) * CHOOSE(CONTROL!$C$21, $C$9, 100%, $E$9)</f>
        <v>4.1604000000000001</v>
      </c>
      <c r="O42" s="10">
        <f>CHOOSE(CONTROL!$C$42, 4.4014, 4.4014) * CHOOSE(CONTROL!$C$21, $C$9, 100%, $E$9)</f>
        <v>4.4013999999999998</v>
      </c>
      <c r="P42" s="10">
        <f>CHOOSE(CONTROL!$C$42, 4.1504, 4.1504) * CHOOSE(CONTROL!$C$21, $C$9, 100%, $E$9)</f>
        <v>4.1504000000000003</v>
      </c>
      <c r="Q42" s="10">
        <f>CHOOSE(CONTROL!$C$42, 4.9967, 4.9967) * CHOOSE(CONTROL!$C$21, $C$9, 100%, $E$9)</f>
        <v>4.9966999999999997</v>
      </c>
      <c r="R42" s="10">
        <f>CHOOSE(CONTROL!$C$42, 5.5962, 5.5962) * CHOOSE(CONTROL!$C$21, $C$9, 100%, $E$9)</f>
        <v>5.5961999999999996</v>
      </c>
      <c r="S42" s="10">
        <f>CHOOSE(CONTROL!$C$42, 4.0862, 4.0862) * CHOOSE(CONTROL!$C$21, $C$9, 100%, $E$9)</f>
        <v>4.0861999999999998</v>
      </c>
      <c r="T42" s="60">
        <f>((((430000*CHOOSE(CONTROL!$C$42, 0.4694, 0.4694)+(874000-430000)*CHOOSE(CONTROL!$C$42, 0.7185, 0.7185)+400000*CHOOSE(CONTROL!$C$42, 1.14, 1.14)+50000*0.98)*CHOOSE(CONTROL!$C$42, 30, 30))/1000000))+CHOOSE(CONTROL!$C$42, 0.1573, 0.1573)+CHOOSE(CONTROL!$C$42, 0.6376, 0.6376)</f>
        <v>31.57058</v>
      </c>
      <c r="U42" s="58">
        <f>(1000*CHOOSE(CONTROL!$C$42, 695, 695)*CHOOSE(CONTROL!$C$42, 0.5599, 0.5599)*CHOOSE(CONTROL!$C$42, 30, 30))/1000000</f>
        <v>11.673914999999997</v>
      </c>
      <c r="V42" s="58">
        <f>(1000*CHOOSE(CONTROL!$C$42, 580, 580)*CHOOSE(CONTROL!$C$42, 0.275, 0.275)*CHOOSE(CONTROL!$C$42, 30, 30))/1000000</f>
        <v>4.7850000000000001</v>
      </c>
      <c r="W42" s="58">
        <f>(1000*CHOOSE(CONTROL!$C$42, 0.1146, 0.1146)*CHOOSE(CONTROL!$C$42, 200, 200)*CHOOSE(CONTROL!$C$42, 30, 30))/1000000</f>
        <v>0.68759999999999999</v>
      </c>
      <c r="X42" s="58">
        <f>(30*0.1790888*245000/1000000)+(30*0.2374*100000/1000000)</f>
        <v>2.0285026799999999</v>
      </c>
      <c r="Y42" s="58"/>
      <c r="Z42" s="10">
        <f>CHOOSE(CONTROL!$C$42, 4.1635, 4.1635) * CHOOSE(CONTROL!$C$21, $C$9, 100%, $E$9)</f>
        <v>4.1635</v>
      </c>
      <c r="AA42" s="61">
        <f>(30*((8.07*31500+8.18*100000)/30))/1000000</f>
        <v>1.0722050000000001</v>
      </c>
      <c r="AB42" s="51">
        <f>(B42*194.205+C42*267.466+D42*133.845+E42*53.484+F42*40+G42*185+H42*50+I42*100+J42*300)/(194.205+267.466+133.845+53.484+50+40+185+100+300)</f>
        <v>4.2366677737915417</v>
      </c>
      <c r="AC42" s="27">
        <f t="shared" si="1"/>
        <v>4.2207093525179857</v>
      </c>
    </row>
    <row r="43" spans="1:29" ht="15.75" x14ac:dyDescent="0.25">
      <c r="A43" s="16">
        <v>42186</v>
      </c>
      <c r="B43" s="10">
        <f>CHOOSE(CONTROL!$C$42, 4.2307, 4.2307) * CHOOSE(CONTROL!$C$21, $C$9, 100%, $E$9)</f>
        <v>4.2306999999999997</v>
      </c>
      <c r="C43" s="10">
        <f>CHOOSE(CONTROL!$C$42, 4.2386, 4.2386) * CHOOSE(CONTROL!$C$21, $C$9, 100%, $E$9)</f>
        <v>4.2385999999999999</v>
      </c>
      <c r="D43" s="10">
        <f>CHOOSE(CONTROL!$C$42, 4.431, 4.431) * CHOOSE(CONTROL!$C$21, $C$9, 100%, $E$9)</f>
        <v>4.431</v>
      </c>
      <c r="E43" s="10">
        <f>CHOOSE(CONTROL!$C$42, 4.4622, 4.4622) * CHOOSE(CONTROL!$C$21, $C$9, 100%, $E$9)</f>
        <v>4.4622000000000002</v>
      </c>
      <c r="F43" s="10">
        <f>CHOOSE(CONTROL!$C$42, 4.1976, 4.1976)*CHOOSE(CONTROL!$C$21, $C$9, 100%, $E$9)</f>
        <v>4.1976000000000004</v>
      </c>
      <c r="G43" s="10">
        <f>CHOOSE(CONTROL!$C$42, 4.2149, 4.2149)*CHOOSE(CONTROL!$C$21, $C$9, 100%, $E$9)</f>
        <v>4.2149000000000001</v>
      </c>
      <c r="H43" s="10">
        <f>CHOOSE(CONTROL!$C$42, 4.4508, 4.4508) * CHOOSE(CONTROL!$C$21, $C$9, 100%, $E$9)</f>
        <v>4.4508000000000001</v>
      </c>
      <c r="I43" s="10">
        <f>CHOOSE(CONTROL!$C$42, 4.1973, 4.1973)* CHOOSE(CONTROL!$C$21, $C$9, 100%, $E$9)</f>
        <v>4.1973000000000003</v>
      </c>
      <c r="J43" s="10">
        <f>CHOOSE(CONTROL!$C$42, 4.1906, 4.1906)* CHOOSE(CONTROL!$C$21, $C$9, 100%, $E$9)</f>
        <v>4.1905999999999999</v>
      </c>
      <c r="K43" s="54"/>
      <c r="L43" s="10">
        <f>CHOOSE(CONTROL!$C$42, 5.0378, 5.0378) * CHOOSE(CONTROL!$C$21, $C$9, 100%, $E$9)</f>
        <v>5.0377999999999998</v>
      </c>
      <c r="M43" s="10">
        <f>CHOOSE(CONTROL!$C$42, 4.1621, 4.1621) * CHOOSE(CONTROL!$C$21, $C$9, 100%, $E$9)</f>
        <v>4.1620999999999997</v>
      </c>
      <c r="N43" s="10">
        <f>CHOOSE(CONTROL!$C$42, 4.1792, 4.1792) * CHOOSE(CONTROL!$C$21, $C$9, 100%, $E$9)</f>
        <v>4.1791999999999998</v>
      </c>
      <c r="O43" s="10">
        <f>CHOOSE(CONTROL!$C$42, 4.4197, 4.4197) * CHOOSE(CONTROL!$C$21, $C$9, 100%, $E$9)</f>
        <v>4.4196999999999997</v>
      </c>
      <c r="P43" s="10">
        <f>CHOOSE(CONTROL!$C$42, 4.1688, 4.1688) * CHOOSE(CONTROL!$C$21, $C$9, 100%, $E$9)</f>
        <v>4.1688000000000001</v>
      </c>
      <c r="Q43" s="10">
        <f>CHOOSE(CONTROL!$C$42, 5.015, 5.015) * CHOOSE(CONTROL!$C$21, $C$9, 100%, $E$9)</f>
        <v>5.0149999999999997</v>
      </c>
      <c r="R43" s="10">
        <f>CHOOSE(CONTROL!$C$42, 5.6146, 5.6146) * CHOOSE(CONTROL!$C$21, $C$9, 100%, $E$9)</f>
        <v>5.6146000000000003</v>
      </c>
      <c r="S43" s="10">
        <f>CHOOSE(CONTROL!$C$42, 4.1042, 4.1042) * CHOOSE(CONTROL!$C$21, $C$9, 100%, $E$9)</f>
        <v>4.1041999999999996</v>
      </c>
      <c r="T43" s="60">
        <f>((((430000*CHOOSE(CONTROL!$C$42, 0.4694, 0.4694)+(874000-430000)*CHOOSE(CONTROL!$C$42, 0.7185, 0.7185)+400000*CHOOSE(CONTROL!$C$42, 1.14, 1.14)+50000*0.98)*CHOOSE(CONTROL!$C$42, 31, 31))/1000000))+CHOOSE(CONTROL!$C$42, 0.1519, 0.1519)+CHOOSE(CONTROL!$C$42, 0.626, 0.626)</f>
        <v>32.579436000000001</v>
      </c>
      <c r="U43" s="58">
        <f>(1000*CHOOSE(CONTROL!$C$42, 695, 695)*CHOOSE(CONTROL!$C$42, 0.5599, 0.5599)*CHOOSE(CONTROL!$C$42, 31, 31))/1000000</f>
        <v>12.063045499999998</v>
      </c>
      <c r="V43" s="58">
        <f>(1000*CHOOSE(CONTROL!$C$42, 580, 580)*CHOOSE(CONTROL!$C$42, 0.275, 0.275)*CHOOSE(CONTROL!$C$42, 31, 31))/1000000</f>
        <v>4.9444999999999997</v>
      </c>
      <c r="W43" s="58">
        <f>(1000*CHOOSE(CONTROL!$C$42, 0.1146, 0.1146)*CHOOSE(CONTROL!$C$42, 200, 200)*CHOOSE(CONTROL!$C$42, 31, 31))/1000000</f>
        <v>0.71052000000000004</v>
      </c>
      <c r="X43" s="58">
        <f>(31*0.1790888*245000/1000000)+(31*0.2374*100000/1000000)</f>
        <v>2.0961194359999999</v>
      </c>
      <c r="Y43" s="58"/>
      <c r="Z43" s="10">
        <f>CHOOSE(CONTROL!$C$42, 4.182, 4.182) * CHOOSE(CONTROL!$C$21, $C$9, 100%, $E$9)</f>
        <v>4.1820000000000004</v>
      </c>
      <c r="AA43" s="59">
        <f>(31*((8.12*31500+8.18*100000)/31))/1000000</f>
        <v>1.07378</v>
      </c>
      <c r="AB43" s="51">
        <f>(B43*194.205+C43*267.466+D43*133.845+E43*53.484+F43*40+G43*185+H43*50+I43*100+J43*300)/(194.205+267.466+133.845+53.484+50+40+185+100+300)</f>
        <v>4.2553916018882179</v>
      </c>
      <c r="AC43" s="27">
        <f t="shared" si="1"/>
        <v>4.2392769784172666</v>
      </c>
    </row>
    <row r="44" spans="1:29" ht="15.75" x14ac:dyDescent="0.25">
      <c r="A44" s="16">
        <v>42217</v>
      </c>
      <c r="B44" s="10">
        <f>CHOOSE(CONTROL!$C$42, 4.242, 4.242) * CHOOSE(CONTROL!$C$21, $C$9, 100%, $E$9)</f>
        <v>4.242</v>
      </c>
      <c r="C44" s="10">
        <f>CHOOSE(CONTROL!$C$42, 4.2499, 4.2499) * CHOOSE(CONTROL!$C$21, $C$9, 100%, $E$9)</f>
        <v>4.2499000000000002</v>
      </c>
      <c r="D44" s="10">
        <f>CHOOSE(CONTROL!$C$42, 4.4424, 4.4424) * CHOOSE(CONTROL!$C$21, $C$9, 100%, $E$9)</f>
        <v>4.4424000000000001</v>
      </c>
      <c r="E44" s="10">
        <f>CHOOSE(CONTROL!$C$42, 4.4735, 4.4735) * CHOOSE(CONTROL!$C$21, $C$9, 100%, $E$9)</f>
        <v>4.4734999999999996</v>
      </c>
      <c r="F44" s="10">
        <f>CHOOSE(CONTROL!$C$42, 4.2091, 4.2091)*CHOOSE(CONTROL!$C$21, $C$9, 100%, $E$9)</f>
        <v>4.2091000000000003</v>
      </c>
      <c r="G44" s="10">
        <f>CHOOSE(CONTROL!$C$42, 4.2264, 4.2264)*CHOOSE(CONTROL!$C$21, $C$9, 100%, $E$9)</f>
        <v>4.2263999999999999</v>
      </c>
      <c r="H44" s="10">
        <f>CHOOSE(CONTROL!$C$42, 4.4621, 4.4621) * CHOOSE(CONTROL!$C$21, $C$9, 100%, $E$9)</f>
        <v>4.4621000000000004</v>
      </c>
      <c r="I44" s="10">
        <f>CHOOSE(CONTROL!$C$42, 4.2086, 4.2086)* CHOOSE(CONTROL!$C$21, $C$9, 100%, $E$9)</f>
        <v>4.2085999999999997</v>
      </c>
      <c r="J44" s="10">
        <f>CHOOSE(CONTROL!$C$42, 4.2021, 4.2021)* CHOOSE(CONTROL!$C$21, $C$9, 100%, $E$9)</f>
        <v>4.2020999999999997</v>
      </c>
      <c r="K44" s="54"/>
      <c r="L44" s="10">
        <f>CHOOSE(CONTROL!$C$42, 5.0491, 5.0491) * CHOOSE(CONTROL!$C$21, $C$9, 100%, $E$9)</f>
        <v>5.0491000000000001</v>
      </c>
      <c r="M44" s="10">
        <f>CHOOSE(CONTROL!$C$42, 4.1735, 4.1735) * CHOOSE(CONTROL!$C$21, $C$9, 100%, $E$9)</f>
        <v>4.1734999999999998</v>
      </c>
      <c r="N44" s="10">
        <f>CHOOSE(CONTROL!$C$42, 4.1907, 4.1907) * CHOOSE(CONTROL!$C$21, $C$9, 100%, $E$9)</f>
        <v>4.1906999999999996</v>
      </c>
      <c r="O44" s="10">
        <f>CHOOSE(CONTROL!$C$42, 4.4309, 4.4309) * CHOOSE(CONTROL!$C$21, $C$9, 100%, $E$9)</f>
        <v>4.4309000000000003</v>
      </c>
      <c r="P44" s="10">
        <f>CHOOSE(CONTROL!$C$42, 4.18, 4.18) * CHOOSE(CONTROL!$C$21, $C$9, 100%, $E$9)</f>
        <v>4.18</v>
      </c>
      <c r="Q44" s="10">
        <f>CHOOSE(CONTROL!$C$42, 5.0262, 5.0262) * CHOOSE(CONTROL!$C$21, $C$9, 100%, $E$9)</f>
        <v>5.0262000000000002</v>
      </c>
      <c r="R44" s="10">
        <f>CHOOSE(CONTROL!$C$42, 5.6258, 5.6258) * CHOOSE(CONTROL!$C$21, $C$9, 100%, $E$9)</f>
        <v>5.6257999999999999</v>
      </c>
      <c r="S44" s="10">
        <f>CHOOSE(CONTROL!$C$42, 4.1152, 4.1152) * CHOOSE(CONTROL!$C$21, $C$9, 100%, $E$9)</f>
        <v>4.1151999999999997</v>
      </c>
      <c r="T44" s="60">
        <f>((((430000*CHOOSE(CONTROL!$C$42, 0.4694, 0.4694)+(874000-430000)*CHOOSE(CONTROL!$C$42, 0.7185, 0.7185)+400000*CHOOSE(CONTROL!$C$42, 1.14, 1.14)+50000*0.98)*CHOOSE(CONTROL!$C$42, 31, 31))/1000000))+CHOOSE(CONTROL!$C$42, 0.1868, 0.1868)+CHOOSE(CONTROL!$C$42, 0.6257, 0.6257)</f>
        <v>32.614035999999999</v>
      </c>
      <c r="U44" s="58">
        <f>(1000*CHOOSE(CONTROL!$C$42, 695, 695)*CHOOSE(CONTROL!$C$42, 0.5599, 0.5599)*CHOOSE(CONTROL!$C$42, 31, 31))/1000000</f>
        <v>12.063045499999998</v>
      </c>
      <c r="V44" s="58">
        <f>(1000*CHOOSE(CONTROL!$C$42, 580, 580)*CHOOSE(CONTROL!$C$42, 0.275, 0.275)*CHOOSE(CONTROL!$C$42, 31, 31))/1000000</f>
        <v>4.9444999999999997</v>
      </c>
      <c r="W44" s="58">
        <f>(1000*CHOOSE(CONTROL!$C$42, 0.1146, 0.1146)*CHOOSE(CONTROL!$C$42, 200, 200)*CHOOSE(CONTROL!$C$42, 31, 31))/1000000</f>
        <v>0.71052000000000004</v>
      </c>
      <c r="X44" s="58">
        <f>(31*0.1790888*245000/1000000)+(31*0.2374*100000/1000000)</f>
        <v>2.0961194359999999</v>
      </c>
      <c r="Y44" s="58"/>
      <c r="Z44" s="10">
        <f>CHOOSE(CONTROL!$C$42, 4.1932, 4.1932) * CHOOSE(CONTROL!$C$21, $C$9, 100%, $E$9)</f>
        <v>4.1932</v>
      </c>
      <c r="AA44" s="59">
        <f>(31*((8.12*31500+8.18*100000)/31))/1000000</f>
        <v>1.07378</v>
      </c>
      <c r="AB44" s="51">
        <f>(B44*194.205+C44*267.466+D44*133.845+E44*53.484+F44*40+G44*185+H44*50+I44*100+J44*300)/(194.205+267.466+133.845+53.484+50+40+185+100+300)</f>
        <v>4.2667810161631419</v>
      </c>
      <c r="AC44" s="27">
        <f t="shared" si="1"/>
        <v>4.2506151079136698</v>
      </c>
    </row>
    <row r="45" spans="1:29" ht="15.75" x14ac:dyDescent="0.25">
      <c r="A45" s="16">
        <v>42248</v>
      </c>
      <c r="B45" s="10">
        <f>CHOOSE(CONTROL!$C$42, 4.2344, 4.2344) * CHOOSE(CONTROL!$C$21, $C$9, 100%, $E$9)</f>
        <v>4.2343999999999999</v>
      </c>
      <c r="C45" s="10">
        <f>CHOOSE(CONTROL!$C$42, 4.2423, 4.2423) * CHOOSE(CONTROL!$C$21, $C$9, 100%, $E$9)</f>
        <v>4.2423000000000002</v>
      </c>
      <c r="D45" s="10">
        <f>CHOOSE(CONTROL!$C$42, 4.4348, 4.4348) * CHOOSE(CONTROL!$C$21, $C$9, 100%, $E$9)</f>
        <v>4.4348000000000001</v>
      </c>
      <c r="E45" s="10">
        <f>CHOOSE(CONTROL!$C$42, 4.4659, 4.4659) * CHOOSE(CONTROL!$C$21, $C$9, 100%, $E$9)</f>
        <v>4.4659000000000004</v>
      </c>
      <c r="F45" s="10">
        <f>CHOOSE(CONTROL!$C$42, 4.2013, 4.2013)*CHOOSE(CONTROL!$C$21, $C$9, 100%, $E$9)</f>
        <v>4.2012999999999998</v>
      </c>
      <c r="G45" s="10">
        <f>CHOOSE(CONTROL!$C$42, 4.2186, 4.2186)*CHOOSE(CONTROL!$C$21, $C$9, 100%, $E$9)</f>
        <v>4.2186000000000003</v>
      </c>
      <c r="H45" s="10">
        <f>CHOOSE(CONTROL!$C$42, 4.4545, 4.4545) * CHOOSE(CONTROL!$C$21, $C$9, 100%, $E$9)</f>
        <v>4.4545000000000003</v>
      </c>
      <c r="I45" s="10">
        <f>CHOOSE(CONTROL!$C$42, 4.201, 4.201)* CHOOSE(CONTROL!$C$21, $C$9, 100%, $E$9)</f>
        <v>4.2009999999999996</v>
      </c>
      <c r="J45" s="10">
        <f>CHOOSE(CONTROL!$C$42, 4.1943, 4.1943)* CHOOSE(CONTROL!$C$21, $C$9, 100%, $E$9)</f>
        <v>4.1943000000000001</v>
      </c>
      <c r="K45" s="54"/>
      <c r="L45" s="10">
        <f>CHOOSE(CONTROL!$C$42, 5.0415, 5.0415) * CHOOSE(CONTROL!$C$21, $C$9, 100%, $E$9)</f>
        <v>5.0415000000000001</v>
      </c>
      <c r="M45" s="10">
        <f>CHOOSE(CONTROL!$C$42, 4.1658, 4.1658) * CHOOSE(CONTROL!$C$21, $C$9, 100%, $E$9)</f>
        <v>4.1657999999999999</v>
      </c>
      <c r="N45" s="10">
        <f>CHOOSE(CONTROL!$C$42, 4.1829, 4.1829) * CHOOSE(CONTROL!$C$21, $C$9, 100%, $E$9)</f>
        <v>4.1829000000000001</v>
      </c>
      <c r="O45" s="10">
        <f>CHOOSE(CONTROL!$C$42, 4.4234, 4.4234) * CHOOSE(CONTROL!$C$21, $C$9, 100%, $E$9)</f>
        <v>4.4234</v>
      </c>
      <c r="P45" s="10">
        <f>CHOOSE(CONTROL!$C$42, 4.1725, 4.1725) * CHOOSE(CONTROL!$C$21, $C$9, 100%, $E$9)</f>
        <v>4.1725000000000003</v>
      </c>
      <c r="Q45" s="10">
        <f>CHOOSE(CONTROL!$C$42, 5.0187, 5.0187) * CHOOSE(CONTROL!$C$21, $C$9, 100%, $E$9)</f>
        <v>5.0186999999999999</v>
      </c>
      <c r="R45" s="10">
        <f>CHOOSE(CONTROL!$C$42, 5.6183, 5.6183) * CHOOSE(CONTROL!$C$21, $C$9, 100%, $E$9)</f>
        <v>5.6182999999999996</v>
      </c>
      <c r="S45" s="10">
        <f>CHOOSE(CONTROL!$C$42, 4.1078, 4.1078) * CHOOSE(CONTROL!$C$21, $C$9, 100%, $E$9)</f>
        <v>4.1078000000000001</v>
      </c>
      <c r="T45" s="60">
        <f>((((430000*CHOOSE(CONTROL!$C$42, 0.4694, 0.4694)+(874000-430000)*CHOOSE(CONTROL!$C$42, 0.7185, 0.7185)+400000*CHOOSE(CONTROL!$C$42, 1.14, 1.14)+50000*0.98)*CHOOSE(CONTROL!$C$42, 30, 30))/1000000))+CHOOSE(CONTROL!$C$42, 0.1677, 0.1677)+CHOOSE(CONTROL!$C$42, 0.1997, 0.1997)</f>
        <v>31.143080000000001</v>
      </c>
      <c r="U45" s="58">
        <f>(1000*CHOOSE(CONTROL!$C$42, 695, 695)*CHOOSE(CONTROL!$C$42, 0.5599, 0.5599)*CHOOSE(CONTROL!$C$42, 30, 30))/1000000</f>
        <v>11.673914999999997</v>
      </c>
      <c r="V45" s="58">
        <f>(1000*CHOOSE(CONTROL!$C$42, 580, 580)*CHOOSE(CONTROL!$C$42, 0.275, 0.275)*CHOOSE(CONTROL!$C$42, 30, 30))/1000000</f>
        <v>4.7850000000000001</v>
      </c>
      <c r="W45" s="58">
        <f>(1000*CHOOSE(CONTROL!$C$42, 0.1146, 0.1146)*CHOOSE(CONTROL!$C$42, 200, 200)*CHOOSE(CONTROL!$C$42, 30, 30))/1000000</f>
        <v>0.68759999999999999</v>
      </c>
      <c r="X45" s="58">
        <f>(30*0.1790888*245000/1000000)+(30*0.2374*100000/1000000)</f>
        <v>2.0285026799999999</v>
      </c>
      <c r="Y45" s="58"/>
      <c r="Z45" s="10">
        <f>CHOOSE(CONTROL!$C$42, 4.1857, 4.1857) * CHOOSE(CONTROL!$C$21, $C$9, 100%, $E$9)</f>
        <v>4.1856999999999998</v>
      </c>
      <c r="AA45" s="59">
        <f>(30*((8.12*31500+8.18*100000)/30))/1000000</f>
        <v>1.07378</v>
      </c>
      <c r="AB45" s="51">
        <f>(B45*194.205+C45*267.466+D45*133.845+E45*53.484+F45*40+G45*185+H45*50+I45*100+J45*300)/(194.205+267.466+133.845+53.484+50+40+185+100+300)</f>
        <v>4.2591017110271903</v>
      </c>
      <c r="AC45" s="27">
        <f t="shared" si="1"/>
        <v>4.242976978417266</v>
      </c>
    </row>
    <row r="46" spans="1:29" ht="15.75" x14ac:dyDescent="0.25">
      <c r="A46" s="16">
        <v>42278</v>
      </c>
      <c r="B46" s="10">
        <f>CHOOSE(CONTROL!$C$42, 4.2563, 4.2563) * CHOOSE(CONTROL!$C$21, $C$9, 100%, $E$9)</f>
        <v>4.2563000000000004</v>
      </c>
      <c r="C46" s="10">
        <f>CHOOSE(CONTROL!$C$42, 4.2616, 4.2616) * CHOOSE(CONTROL!$C$21, $C$9, 100%, $E$9)</f>
        <v>4.2615999999999996</v>
      </c>
      <c r="D46" s="10">
        <f>CHOOSE(CONTROL!$C$42, 4.459, 4.459) * CHOOSE(CONTROL!$C$21, $C$9, 100%, $E$9)</f>
        <v>4.4589999999999996</v>
      </c>
      <c r="E46" s="10">
        <f>CHOOSE(CONTROL!$C$42, 4.4878, 4.4878) * CHOOSE(CONTROL!$C$21, $C$9, 100%, $E$9)</f>
        <v>4.4878</v>
      </c>
      <c r="F46" s="10">
        <f>CHOOSE(CONTROL!$C$42, 4.2252, 4.2252)*CHOOSE(CONTROL!$C$21, $C$9, 100%, $E$9)</f>
        <v>4.2252000000000001</v>
      </c>
      <c r="G46" s="10">
        <f>CHOOSE(CONTROL!$C$42, 4.2422, 4.2422)*CHOOSE(CONTROL!$C$21, $C$9, 100%, $E$9)</f>
        <v>4.2422000000000004</v>
      </c>
      <c r="H46" s="10">
        <f>CHOOSE(CONTROL!$C$42, 4.4782, 4.4782) * CHOOSE(CONTROL!$C$21, $C$9, 100%, $E$9)</f>
        <v>4.4782000000000002</v>
      </c>
      <c r="I46" s="10">
        <f>CHOOSE(CONTROL!$C$42, 4.2247, 4.2247)* CHOOSE(CONTROL!$C$21, $C$9, 100%, $E$9)</f>
        <v>4.2247000000000003</v>
      </c>
      <c r="J46" s="10">
        <f>CHOOSE(CONTROL!$C$42, 4.2182, 4.2182)* CHOOSE(CONTROL!$C$21, $C$9, 100%, $E$9)</f>
        <v>4.2182000000000004</v>
      </c>
      <c r="K46" s="54"/>
      <c r="L46" s="10">
        <f>CHOOSE(CONTROL!$C$42, 5.0652, 5.0652) * CHOOSE(CONTROL!$C$21, $C$9, 100%, $E$9)</f>
        <v>5.0651999999999999</v>
      </c>
      <c r="M46" s="10">
        <f>CHOOSE(CONTROL!$C$42, 4.1895, 4.1895) * CHOOSE(CONTROL!$C$21, $C$9, 100%, $E$9)</f>
        <v>4.1894999999999998</v>
      </c>
      <c r="N46" s="10">
        <f>CHOOSE(CONTROL!$C$42, 4.2063, 4.2063) * CHOOSE(CONTROL!$C$21, $C$9, 100%, $E$9)</f>
        <v>4.2062999999999997</v>
      </c>
      <c r="O46" s="10">
        <f>CHOOSE(CONTROL!$C$42, 4.4469, 4.4469) * CHOOSE(CONTROL!$C$21, $C$9, 100%, $E$9)</f>
        <v>4.4469000000000003</v>
      </c>
      <c r="P46" s="10">
        <f>CHOOSE(CONTROL!$C$42, 4.1959, 4.1959) * CHOOSE(CONTROL!$C$21, $C$9, 100%, $E$9)</f>
        <v>4.1959</v>
      </c>
      <c r="Q46" s="10">
        <f>CHOOSE(CONTROL!$C$42, 5.0422, 5.0422) * CHOOSE(CONTROL!$C$21, $C$9, 100%, $E$9)</f>
        <v>5.0422000000000002</v>
      </c>
      <c r="R46" s="10">
        <f>CHOOSE(CONTROL!$C$42, 5.6418, 5.6418) * CHOOSE(CONTROL!$C$21, $C$9, 100%, $E$9)</f>
        <v>5.6417999999999999</v>
      </c>
      <c r="S46" s="10">
        <f>CHOOSE(CONTROL!$C$42, 4.1308, 4.1308) * CHOOSE(CONTROL!$C$21, $C$9, 100%, $E$9)</f>
        <v>4.1307999999999998</v>
      </c>
      <c r="T46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46" s="58">
        <f>(1000*CHOOSE(CONTROL!$C$42, 695, 695)*CHOOSE(CONTROL!$C$42, 0.5599, 0.5599)*CHOOSE(CONTROL!$C$42, 31, 31))/1000000</f>
        <v>12.063045499999998</v>
      </c>
      <c r="V46" s="58">
        <f>(1000*CHOOSE(CONTROL!$C$42, 580, 580)*CHOOSE(CONTROL!$C$42, 0.275, 0.275)*CHOOSE(CONTROL!$C$42, 31, 31))/1000000</f>
        <v>4.9444999999999997</v>
      </c>
      <c r="W46" s="58">
        <f>(1000*CHOOSE(CONTROL!$C$42, 0.1146, 0.1146)*CHOOSE(CONTROL!$C$42, 200, 200)*CHOOSE(CONTROL!$C$42, 31, 31))/1000000</f>
        <v>0.71052000000000004</v>
      </c>
      <c r="X46" s="58">
        <f>(31*0.1790888*245000/1000000)+(31*0.2374*100000/1000000)</f>
        <v>2.0961194359999999</v>
      </c>
      <c r="Y46" s="58"/>
      <c r="Z46" s="10">
        <f>CHOOSE(CONTROL!$C$42, 4.2092, 4.2092) * CHOOSE(CONTROL!$C$21, $C$9, 100%, $E$9)</f>
        <v>4.2092000000000001</v>
      </c>
      <c r="AA46" s="59">
        <f>(31*((8.12*31500+8.18*100000)/31))/1000000</f>
        <v>1.07378</v>
      </c>
      <c r="AB46" s="51">
        <f>(B46*131.881+C46*277.167+D46*79.08+E46*125.872+F46*40+G46*185+H46*0+I46*100+J46*300)/(131.881+277.167+79.08+125.872+0+40+185+100+300)</f>
        <v>4.2790565529459244</v>
      </c>
      <c r="AC46" s="27">
        <f t="shared" si="1"/>
        <v>4.2665086330935251</v>
      </c>
    </row>
    <row r="47" spans="1:29" ht="15.75" x14ac:dyDescent="0.25">
      <c r="A47" s="16">
        <v>42309</v>
      </c>
      <c r="B47" s="10">
        <f>CHOOSE(CONTROL!$C$42, 4.294, 4.294) * CHOOSE(CONTROL!$C$21, $C$9, 100%, $E$9)</f>
        <v>4.2939999999999996</v>
      </c>
      <c r="C47" s="10">
        <f>CHOOSE(CONTROL!$C$42, 4.299, 4.299) * CHOOSE(CONTROL!$C$21, $C$9, 100%, $E$9)</f>
        <v>4.2990000000000004</v>
      </c>
      <c r="D47" s="10">
        <f>CHOOSE(CONTROL!$C$42, 4.3286, 4.3286) * CHOOSE(CONTROL!$C$21, $C$9, 100%, $E$9)</f>
        <v>4.3285999999999998</v>
      </c>
      <c r="E47" s="10">
        <f>CHOOSE(CONTROL!$C$42, 4.3624, 4.3624) * CHOOSE(CONTROL!$C$21, $C$9, 100%, $E$9)</f>
        <v>4.3624000000000001</v>
      </c>
      <c r="F47" s="10">
        <f>CHOOSE(CONTROL!$C$42, 4.2608, 4.2608)*CHOOSE(CONTROL!$C$21, $C$9, 100%, $E$9)</f>
        <v>4.2607999999999997</v>
      </c>
      <c r="G47" s="10">
        <f>CHOOSE(CONTROL!$C$42, 4.2779, 4.2779)*CHOOSE(CONTROL!$C$21, $C$9, 100%, $E$9)</f>
        <v>4.2778999999999998</v>
      </c>
      <c r="H47" s="10">
        <f>CHOOSE(CONTROL!$C$42, 4.3516, 4.3516) * CHOOSE(CONTROL!$C$21, $C$9, 100%, $E$9)</f>
        <v>4.3516000000000004</v>
      </c>
      <c r="I47" s="10">
        <f>CHOOSE(CONTROL!$C$42, 4.2576, 4.2576)* CHOOSE(CONTROL!$C$21, $C$9, 100%, $E$9)</f>
        <v>4.2576000000000001</v>
      </c>
      <c r="J47" s="10">
        <f>CHOOSE(CONTROL!$C$42, 4.2538, 4.2538)* CHOOSE(CONTROL!$C$21, $C$9, 100%, $E$9)</f>
        <v>4.2538</v>
      </c>
      <c r="K47" s="54"/>
      <c r="L47" s="10">
        <f>CHOOSE(CONTROL!$C$42, 4.9386, 4.9386) * CHOOSE(CONTROL!$C$21, $C$9, 100%, $E$9)</f>
        <v>4.9386000000000001</v>
      </c>
      <c r="M47" s="10">
        <f>CHOOSE(CONTROL!$C$42, 4.2247, 4.2247) * CHOOSE(CONTROL!$C$21, $C$9, 100%, $E$9)</f>
        <v>4.2247000000000003</v>
      </c>
      <c r="N47" s="10">
        <f>CHOOSE(CONTROL!$C$42, 4.2417, 4.2417) * CHOOSE(CONTROL!$C$21, $C$9, 100%, $E$9)</f>
        <v>4.2416999999999998</v>
      </c>
      <c r="O47" s="10">
        <f>CHOOSE(CONTROL!$C$42, 4.3215, 4.3215) * CHOOSE(CONTROL!$C$21, $C$9, 100%, $E$9)</f>
        <v>4.3215000000000003</v>
      </c>
      <c r="P47" s="10">
        <f>CHOOSE(CONTROL!$C$42, 4.2285, 4.2285) * CHOOSE(CONTROL!$C$21, $C$9, 100%, $E$9)</f>
        <v>4.2285000000000004</v>
      </c>
      <c r="Q47" s="10">
        <f>CHOOSE(CONTROL!$C$42, 4.9168, 4.9168) * CHOOSE(CONTROL!$C$21, $C$9, 100%, $E$9)</f>
        <v>4.9168000000000003</v>
      </c>
      <c r="R47" s="10">
        <f>CHOOSE(CONTROL!$C$42, 5.5161, 5.5161) * CHOOSE(CONTROL!$C$21, $C$9, 100%, $E$9)</f>
        <v>5.5160999999999998</v>
      </c>
      <c r="S47" s="10">
        <f>CHOOSE(CONTROL!$C$42, 4.1678, 4.1678) * CHOOSE(CONTROL!$C$21, $C$9, 100%, $E$9)</f>
        <v>4.1677999999999997</v>
      </c>
      <c r="T47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47" s="58">
        <f>(1000*CHOOSE(CONTROL!$C$42, 695, 695)*CHOOSE(CONTROL!$C$42, 0.5599, 0.5599)*CHOOSE(CONTROL!$C$42, 30, 30))/1000000</f>
        <v>11.673914999999997</v>
      </c>
      <c r="V47" s="58">
        <f>(1000*CHOOSE(CONTROL!$C$42, 580, 580)*CHOOSE(CONTROL!$C$42, 0.275, 0.275)*CHOOSE(CONTROL!$C$42, 30, 30))/1000000</f>
        <v>4.7850000000000001</v>
      </c>
      <c r="W47" s="58">
        <f>(1000*CHOOSE(CONTROL!$C$42, 0.1146, 0.1146)*CHOOSE(CONTROL!$C$42, 200, 200)*CHOOSE(CONTROL!$C$42, 30, 30))/1000000</f>
        <v>0.68759999999999999</v>
      </c>
      <c r="X47" s="58">
        <f>(30*0.1790888*100000/1000000)+(30*0.2374*100000/1000000)</f>
        <v>1.2494664</v>
      </c>
      <c r="Y47" s="58"/>
      <c r="Z47" s="10">
        <f>CHOOSE(CONTROL!$C$42, 4.2471, 4.2471) * CHOOSE(CONTROL!$C$21, $C$9, 100%, $E$9)</f>
        <v>4.2470999999999997</v>
      </c>
      <c r="AA47" s="59">
        <f>(30*((8.12*31500+8.18*100000)/30))/1000000</f>
        <v>1.07378</v>
      </c>
      <c r="AB47" s="51">
        <f>(B47*122.58+C47*297.941+D47*89.177+E47*40.302+F47*40+G47*160+H47*0+I47*100+J47*300)/(122.58+297.941+89.177+40.302+0+40+160+100+300)</f>
        <v>4.2833285965217396</v>
      </c>
      <c r="AC47" s="27">
        <f>(M47*240+N47*40+O47*315+P47*100)/(240+40+315+100)</f>
        <v>4.2700985611510793</v>
      </c>
    </row>
    <row r="48" spans="1:29" ht="15.75" x14ac:dyDescent="0.25">
      <c r="A48" s="16">
        <v>42339</v>
      </c>
      <c r="B48" s="10">
        <f>CHOOSE(CONTROL!$C$42, 4.4135, 4.4135) * CHOOSE(CONTROL!$C$21, $C$9, 100%, $E$9)</f>
        <v>4.4135</v>
      </c>
      <c r="C48" s="10">
        <f>CHOOSE(CONTROL!$C$42, 4.4184, 4.4184) * CHOOSE(CONTROL!$C$21, $C$9, 100%, $E$9)</f>
        <v>4.4184000000000001</v>
      </c>
      <c r="D48" s="10">
        <f>CHOOSE(CONTROL!$C$42, 4.448, 4.448) * CHOOSE(CONTROL!$C$21, $C$9, 100%, $E$9)</f>
        <v>4.4480000000000004</v>
      </c>
      <c r="E48" s="10">
        <f>CHOOSE(CONTROL!$C$42, 4.4818, 4.4818) * CHOOSE(CONTROL!$C$21, $C$9, 100%, $E$9)</f>
        <v>4.4817999999999998</v>
      </c>
      <c r="F48" s="10">
        <f>CHOOSE(CONTROL!$C$42, 4.3817, 4.3817)*CHOOSE(CONTROL!$C$21, $C$9, 100%, $E$9)</f>
        <v>4.3817000000000004</v>
      </c>
      <c r="G48" s="10">
        <f>CHOOSE(CONTROL!$C$42, 4.3992, 4.3992)*CHOOSE(CONTROL!$C$21, $C$9, 100%, $E$9)</f>
        <v>4.3992000000000004</v>
      </c>
      <c r="H48" s="10">
        <f>CHOOSE(CONTROL!$C$42, 4.471, 4.471) * CHOOSE(CONTROL!$C$21, $C$9, 100%, $E$9)</f>
        <v>4.4710000000000001</v>
      </c>
      <c r="I48" s="10">
        <f>CHOOSE(CONTROL!$C$42, 4.3771, 4.3771)* CHOOSE(CONTROL!$C$21, $C$9, 100%, $E$9)</f>
        <v>4.3771000000000004</v>
      </c>
      <c r="J48" s="10">
        <f>CHOOSE(CONTROL!$C$42, 4.3747, 4.3747)* CHOOSE(CONTROL!$C$21, $C$9, 100%, $E$9)</f>
        <v>4.3746999999999998</v>
      </c>
      <c r="K48" s="54"/>
      <c r="L48" s="10">
        <f>CHOOSE(CONTROL!$C$42, 5.058, 5.058) * CHOOSE(CONTROL!$C$21, $C$9, 100%, $E$9)</f>
        <v>5.0579999999999998</v>
      </c>
      <c r="M48" s="10">
        <f>CHOOSE(CONTROL!$C$42, 4.3444, 4.3444) * CHOOSE(CONTROL!$C$21, $C$9, 100%, $E$9)</f>
        <v>4.3444000000000003</v>
      </c>
      <c r="N48" s="10">
        <f>CHOOSE(CONTROL!$C$42, 4.3617, 4.3617) * CHOOSE(CONTROL!$C$21, $C$9, 100%, $E$9)</f>
        <v>4.3616999999999999</v>
      </c>
      <c r="O48" s="10">
        <f>CHOOSE(CONTROL!$C$42, 4.4397, 4.4397) * CHOOSE(CONTROL!$C$21, $C$9, 100%, $E$9)</f>
        <v>4.4397000000000002</v>
      </c>
      <c r="P48" s="10">
        <f>CHOOSE(CONTROL!$C$42, 4.3468, 4.3468) * CHOOSE(CONTROL!$C$21, $C$9, 100%, $E$9)</f>
        <v>4.3468</v>
      </c>
      <c r="Q48" s="10">
        <f>CHOOSE(CONTROL!$C$42, 5.035, 5.035) * CHOOSE(CONTROL!$C$21, $C$9, 100%, $E$9)</f>
        <v>5.0350000000000001</v>
      </c>
      <c r="R48" s="10">
        <f>CHOOSE(CONTROL!$C$42, 5.6346, 5.6346) * CHOOSE(CONTROL!$C$21, $C$9, 100%, $E$9)</f>
        <v>5.6345999999999998</v>
      </c>
      <c r="S48" s="10">
        <f>CHOOSE(CONTROL!$C$42, 4.2838, 4.2838) * CHOOSE(CONTROL!$C$21, $C$9, 100%, $E$9)</f>
        <v>4.2838000000000003</v>
      </c>
      <c r="T48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48" s="58">
        <f>(1000*CHOOSE(CONTROL!$C$42, 695, 695)*CHOOSE(CONTROL!$C$42, 0.5599, 0.5599)*CHOOSE(CONTROL!$C$42, 31, 31))/1000000</f>
        <v>12.063045499999998</v>
      </c>
      <c r="V48" s="58">
        <f>(1000*CHOOSE(CONTROL!$C$42, 580, 580)*CHOOSE(CONTROL!$C$42, 0.275, 0.275)*CHOOSE(CONTROL!$C$42, 31, 31))/1000000</f>
        <v>4.9444999999999997</v>
      </c>
      <c r="W48" s="58">
        <f>(1000*CHOOSE(CONTROL!$C$42, 0.1146, 0.1146)*CHOOSE(CONTROL!$C$42, 200, 200)*CHOOSE(CONTROL!$C$42, 31, 31))/1000000</f>
        <v>0.71052000000000004</v>
      </c>
      <c r="X48" s="58">
        <f>(31*0.1790888*100000/1000000)+(31*0.2374*100000/1000000)</f>
        <v>1.2911152800000001</v>
      </c>
      <c r="Y48" s="58"/>
      <c r="Z48" s="10">
        <f>CHOOSE(CONTROL!$C$42, 4.3658, 4.3658) * CHOOSE(CONTROL!$C$21, $C$9, 100%, $E$9)</f>
        <v>4.3658000000000001</v>
      </c>
      <c r="AA48" s="59">
        <f>(31*((8.12*31500+8.18*100000)/31))/1000000</f>
        <v>1.07378</v>
      </c>
      <c r="AB48" s="51">
        <f>(B48*122.58+C48*297.941+D48*89.177+E48*40.302+F48*40+G48*160+H48*0+I48*100+J48*300)/(122.58+297.941+89.177+40.302+0+40+160+100+300)</f>
        <v>4.4034557773913052</v>
      </c>
      <c r="AC48" s="27">
        <f>(M48*240+N48*40+O48*315+P48*100)/(240+40+315+100)</f>
        <v>4.3889345323741003</v>
      </c>
    </row>
    <row r="49" spans="1:29" ht="15.75" x14ac:dyDescent="0.25">
      <c r="A49" s="16">
        <v>42370</v>
      </c>
      <c r="B49" s="10">
        <f>CHOOSE(CONTROL!$C$42, 4.5062, 4.5062) * CHOOSE(CONTROL!$C$21, $C$9, 100%, $E$9)</f>
        <v>4.5061999999999998</v>
      </c>
      <c r="C49" s="10">
        <f>CHOOSE(CONTROL!$C$42, 4.5111, 4.5111) * CHOOSE(CONTROL!$C$21, $C$9, 100%, $E$9)</f>
        <v>4.5110999999999999</v>
      </c>
      <c r="D49" s="10">
        <f>CHOOSE(CONTROL!$C$42, 4.5613, 4.5613) * CHOOSE(CONTROL!$C$21, $C$9, 100%, $E$9)</f>
        <v>4.5613000000000001</v>
      </c>
      <c r="E49" s="10">
        <f>CHOOSE(CONTROL!$C$42, 4.5951, 4.5951) * CHOOSE(CONTROL!$C$21, $C$9, 100%, $E$9)</f>
        <v>4.5951000000000004</v>
      </c>
      <c r="F49" s="10">
        <f>CHOOSE(CONTROL!$C$42, 4.4715, 4.4715)*CHOOSE(CONTROL!$C$21, $C$9, 100%, $E$9)</f>
        <v>4.4714999999999998</v>
      </c>
      <c r="G49" s="10">
        <f>CHOOSE(CONTROL!$C$42, 4.4891, 4.4891)*CHOOSE(CONTROL!$C$21, $C$9, 100%, $E$9)</f>
        <v>4.4890999999999996</v>
      </c>
      <c r="H49" s="10">
        <f>CHOOSE(CONTROL!$C$42, 4.5843, 4.5843) * CHOOSE(CONTROL!$C$21, $C$9, 100%, $E$9)</f>
        <v>4.5842999999999998</v>
      </c>
      <c r="I49" s="10">
        <f>CHOOSE(CONTROL!$C$42, 4.4801, 4.4801)* CHOOSE(CONTROL!$C$21, $C$9, 100%, $E$9)</f>
        <v>4.4801000000000002</v>
      </c>
      <c r="J49" s="10">
        <f>CHOOSE(CONTROL!$C$42, 4.4645, 4.4645)* CHOOSE(CONTROL!$C$21, $C$9, 100%, $E$9)</f>
        <v>4.4645000000000001</v>
      </c>
      <c r="K49" s="54"/>
      <c r="L49" s="10">
        <f>CHOOSE(CONTROL!$C$42, 5.1713, 5.1713) * CHOOSE(CONTROL!$C$21, $C$9, 100%, $E$9)</f>
        <v>5.1712999999999996</v>
      </c>
      <c r="M49" s="10">
        <f>CHOOSE(CONTROL!$C$42, 4.4333, 4.4333) * CHOOSE(CONTROL!$C$21, $C$9, 100%, $E$9)</f>
        <v>4.4333</v>
      </c>
      <c r="N49" s="10">
        <f>CHOOSE(CONTROL!$C$42, 4.4507, 4.4507) * CHOOSE(CONTROL!$C$21, $C$9, 100%, $E$9)</f>
        <v>4.4507000000000003</v>
      </c>
      <c r="O49" s="10">
        <f>CHOOSE(CONTROL!$C$42, 4.5519, 4.5519) * CHOOSE(CONTROL!$C$21, $C$9, 100%, $E$9)</f>
        <v>4.5518999999999998</v>
      </c>
      <c r="P49" s="10">
        <f>CHOOSE(CONTROL!$C$42, 4.4487, 4.4487) * CHOOSE(CONTROL!$C$21, $C$9, 100%, $E$9)</f>
        <v>4.4486999999999997</v>
      </c>
      <c r="Q49" s="10">
        <f>CHOOSE(CONTROL!$C$42, 5.1472, 5.1472) * CHOOSE(CONTROL!$C$21, $C$9, 100%, $E$9)</f>
        <v>5.1471999999999998</v>
      </c>
      <c r="R49" s="10">
        <f>CHOOSE(CONTROL!$C$42, 5.747, 5.747) * CHOOSE(CONTROL!$C$21, $C$9, 100%, $E$9)</f>
        <v>5.7469999999999999</v>
      </c>
      <c r="S49" s="10">
        <f>CHOOSE(CONTROL!$C$42, 4.3738, 4.3738) * CHOOSE(CONTROL!$C$21, $C$9, 100%, $E$9)</f>
        <v>4.3738000000000001</v>
      </c>
      <c r="T49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49" s="58">
        <f>(1000*CHOOSE(CONTROL!$C$42, 695, 695)*CHOOSE(CONTROL!$C$42, 0.5599, 0.5599)*CHOOSE(CONTROL!$C$42, 31, 31))/1000000</f>
        <v>12.063045499999998</v>
      </c>
      <c r="V49" s="58">
        <f>(1000*CHOOSE(CONTROL!$C$42, 580, 580)*CHOOSE(CONTROL!$C$42, 0.275, 0.275)*CHOOSE(CONTROL!$C$42, 31, 31))/1000000</f>
        <v>4.9444999999999997</v>
      </c>
      <c r="W49" s="58">
        <f>(1000*CHOOSE(CONTROL!$C$42, 0.1146, 0.1146)*CHOOSE(CONTROL!$C$42, 200, 200)*CHOOSE(CONTROL!$C$42, 31, 31))/1000000</f>
        <v>0.71052000000000004</v>
      </c>
      <c r="X49" s="58">
        <f>(31*0.1790888*100000/1000000)+(31*0.2374*100000/1000000)</f>
        <v>1.2911152800000001</v>
      </c>
      <c r="Y49" s="58"/>
      <c r="Z49" s="10"/>
      <c r="AA49" s="57"/>
      <c r="AB49" s="51">
        <f>(B49*122.58+C49*297.941+D49*89.177+E49*40.302+F49*40+G49*160+H49*0+I49*100+J49*300)/(122.58+297.941+89.177+40.302+0+40+160+100+300)</f>
        <v>4.4981238359999995</v>
      </c>
      <c r="AC49" s="27">
        <f>(M49*'RAP TEMPLATE-GAS AVAILABILITY'!O48+N49*'RAP TEMPLATE-GAS AVAILABILITY'!P48+O49*'RAP TEMPLATE-GAS AVAILABILITY'!Q48+P49*'RAP TEMPLATE-GAS AVAILABILITY'!R48)/('RAP TEMPLATE-GAS AVAILABILITY'!O48+'RAP TEMPLATE-GAS AVAILABILITY'!P48+'RAP TEMPLATE-GAS AVAILABILITY'!Q48+'RAP TEMPLATE-GAS AVAILABILITY'!R48)</f>
        <v>4.4902712230215824</v>
      </c>
    </row>
    <row r="50" spans="1:29" ht="15.75" x14ac:dyDescent="0.25">
      <c r="A50" s="16">
        <v>42401</v>
      </c>
      <c r="B50" s="10">
        <f>CHOOSE(CONTROL!$C$42, 4.4784, 4.4784) * CHOOSE(CONTROL!$C$21, $C$9, 100%, $E$9)</f>
        <v>4.4783999999999997</v>
      </c>
      <c r="C50" s="10">
        <f>CHOOSE(CONTROL!$C$42, 4.4833, 4.4833) * CHOOSE(CONTROL!$C$21, $C$9, 100%, $E$9)</f>
        <v>4.4832999999999998</v>
      </c>
      <c r="D50" s="10">
        <f>CHOOSE(CONTROL!$C$42, 4.5438, 4.5438) * CHOOSE(CONTROL!$C$21, $C$9, 100%, $E$9)</f>
        <v>4.5438000000000001</v>
      </c>
      <c r="E50" s="10">
        <f>CHOOSE(CONTROL!$C$42, 4.5776, 4.5776) * CHOOSE(CONTROL!$C$21, $C$9, 100%, $E$9)</f>
        <v>4.5776000000000003</v>
      </c>
      <c r="F50" s="10">
        <f>CHOOSE(CONTROL!$C$42, 4.4716, 4.4716)*CHOOSE(CONTROL!$C$21, $C$9, 100%, $E$9)</f>
        <v>4.4715999999999996</v>
      </c>
      <c r="G50" s="10">
        <f>CHOOSE(CONTROL!$C$42, 4.4889, 4.4889)*CHOOSE(CONTROL!$C$21, $C$9, 100%, $E$9)</f>
        <v>4.4889000000000001</v>
      </c>
      <c r="H50" s="10">
        <f>CHOOSE(CONTROL!$C$42, 4.5668, 4.5668) * CHOOSE(CONTROL!$C$21, $C$9, 100%, $E$9)</f>
        <v>4.5667999999999997</v>
      </c>
      <c r="I50" s="10">
        <f>CHOOSE(CONTROL!$C$42, 4.4651, 4.4651)* CHOOSE(CONTROL!$C$21, $C$9, 100%, $E$9)</f>
        <v>4.4650999999999996</v>
      </c>
      <c r="J50" s="10">
        <f>CHOOSE(CONTROL!$C$42, 4.4646, 4.4646)* CHOOSE(CONTROL!$C$21, $C$9, 100%, $E$9)</f>
        <v>4.4645999999999999</v>
      </c>
      <c r="K50" s="54"/>
      <c r="L50" s="10">
        <f>CHOOSE(CONTROL!$C$42, 5.1538, 5.1538) * CHOOSE(CONTROL!$C$21, $C$9, 100%, $E$9)</f>
        <v>5.1538000000000004</v>
      </c>
      <c r="M50" s="10">
        <f>CHOOSE(CONTROL!$C$42, 4.4334, 4.4334) * CHOOSE(CONTROL!$C$21, $C$9, 100%, $E$9)</f>
        <v>4.4333999999999998</v>
      </c>
      <c r="N50" s="10">
        <f>CHOOSE(CONTROL!$C$42, 4.4505, 4.4505) * CHOOSE(CONTROL!$C$21, $C$9, 100%, $E$9)</f>
        <v>4.4504999999999999</v>
      </c>
      <c r="O50" s="10">
        <f>CHOOSE(CONTROL!$C$42, 4.5345, 4.5345) * CHOOSE(CONTROL!$C$21, $C$9, 100%, $E$9)</f>
        <v>4.5345000000000004</v>
      </c>
      <c r="P50" s="10">
        <f>CHOOSE(CONTROL!$C$42, 4.4339, 4.4339) * CHOOSE(CONTROL!$C$21, $C$9, 100%, $E$9)</f>
        <v>4.4339000000000004</v>
      </c>
      <c r="Q50" s="10">
        <f>CHOOSE(CONTROL!$C$42, 5.1298, 5.1298) * CHOOSE(CONTROL!$C$21, $C$9, 100%, $E$9)</f>
        <v>5.1298000000000004</v>
      </c>
      <c r="R50" s="10">
        <f>CHOOSE(CONTROL!$C$42, 5.7296, 5.7296) * CHOOSE(CONTROL!$C$21, $C$9, 100%, $E$9)</f>
        <v>5.7295999999999996</v>
      </c>
      <c r="S50" s="10">
        <f>CHOOSE(CONTROL!$C$42, 4.3468, 4.3468) * CHOOSE(CONTROL!$C$21, $C$9, 100%, $E$9)</f>
        <v>4.3468</v>
      </c>
      <c r="T50" s="5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50" s="58">
        <f>(1000*CHOOSE(CONTROL!$C$42, 695, 695)*CHOOSE(CONTROL!$C$42, 0.5599, 0.5599)*CHOOSE(CONTROL!$C$42, 29, 29))/1000000</f>
        <v>11.284784499999999</v>
      </c>
      <c r="V50" s="58">
        <f>(1000*CHOOSE(CONTROL!$C$42, 580, 580)*CHOOSE(CONTROL!$C$42, 0.275, 0.275)*CHOOSE(CONTROL!$C$42, 29, 29))/1000000</f>
        <v>4.6254999999999997</v>
      </c>
      <c r="W50" s="58">
        <f>(1000*CHOOSE(CONTROL!$C$42, 0.1146, 0.1146)*CHOOSE(CONTROL!$C$42, 200, 200)*CHOOSE(CONTROL!$C$42, 29, 29))/1000000</f>
        <v>0.66468000000000005</v>
      </c>
      <c r="X50" s="58">
        <f>(29*0.1790888*100000/1000000)+(29*0.2374*100000/1000000)</f>
        <v>1.2078175199999999</v>
      </c>
      <c r="Y50" s="58"/>
      <c r="Z50" s="10"/>
      <c r="AA50" s="57"/>
      <c r="AB50" s="51">
        <f>(B50*122.58+C50*297.941+D50*89.177+E50*40.302+F50*40+G50*160+H50*0+I50*100+J50*300)/(122.58+297.941+89.177+40.302+0+40+160+100+300)</f>
        <v>4.4846852566086959</v>
      </c>
      <c r="AC50" s="27">
        <f>(M50*'RAP TEMPLATE-GAS AVAILABILITY'!O49+N50*'RAP TEMPLATE-GAS AVAILABILITY'!P49+O50*'RAP TEMPLATE-GAS AVAILABILITY'!Q49+P50*'RAP TEMPLATE-GAS AVAILABILITY'!R49)/('RAP TEMPLATE-GAS AVAILABILITY'!O49+'RAP TEMPLATE-GAS AVAILABILITY'!P49+'RAP TEMPLATE-GAS AVAILABILITY'!Q49+'RAP TEMPLATE-GAS AVAILABILITY'!R49)</f>
        <v>4.4802784172661871</v>
      </c>
    </row>
    <row r="51" spans="1:29" ht="15.75" x14ac:dyDescent="0.25">
      <c r="A51" s="16">
        <v>42430</v>
      </c>
      <c r="B51" s="10">
        <f>CHOOSE(CONTROL!$C$42, 4.4207, 4.4207) * CHOOSE(CONTROL!$C$21, $C$9, 100%, $E$9)</f>
        <v>4.4207000000000001</v>
      </c>
      <c r="C51" s="10">
        <f>CHOOSE(CONTROL!$C$42, 4.4256, 4.4256) * CHOOSE(CONTROL!$C$21, $C$9, 100%, $E$9)</f>
        <v>4.4256000000000002</v>
      </c>
      <c r="D51" s="10">
        <f>CHOOSE(CONTROL!$C$42, 4.4861, 4.4861) * CHOOSE(CONTROL!$C$21, $C$9, 100%, $E$9)</f>
        <v>4.4861000000000004</v>
      </c>
      <c r="E51" s="10">
        <f>CHOOSE(CONTROL!$C$42, 4.5199, 4.5199) * CHOOSE(CONTROL!$C$21, $C$9, 100%, $E$9)</f>
        <v>4.5198999999999998</v>
      </c>
      <c r="F51" s="10">
        <f>CHOOSE(CONTROL!$C$42, 4.4084, 4.4084)*CHOOSE(CONTROL!$C$21, $C$9, 100%, $E$9)</f>
        <v>4.4084000000000003</v>
      </c>
      <c r="G51" s="10">
        <f>CHOOSE(CONTROL!$C$42, 4.4256, 4.4256)*CHOOSE(CONTROL!$C$21, $C$9, 100%, $E$9)</f>
        <v>4.4256000000000002</v>
      </c>
      <c r="H51" s="10">
        <f>CHOOSE(CONTROL!$C$42, 4.5091, 4.5091) * CHOOSE(CONTROL!$C$21, $C$9, 100%, $E$9)</f>
        <v>4.5091000000000001</v>
      </c>
      <c r="I51" s="10">
        <f>CHOOSE(CONTROL!$C$42, 4.3946, 4.3946)* CHOOSE(CONTROL!$C$21, $C$9, 100%, $E$9)</f>
        <v>4.3945999999999996</v>
      </c>
      <c r="J51" s="10">
        <f>CHOOSE(CONTROL!$C$42, 4.4014, 4.4014)* CHOOSE(CONTROL!$C$21, $C$9, 100%, $E$9)</f>
        <v>4.4013999999999998</v>
      </c>
      <c r="K51" s="54"/>
      <c r="L51" s="10">
        <f>CHOOSE(CONTROL!$C$42, 5.0961, 5.0961) * CHOOSE(CONTROL!$C$21, $C$9, 100%, $E$9)</f>
        <v>5.0960999999999999</v>
      </c>
      <c r="M51" s="10">
        <f>CHOOSE(CONTROL!$C$42, 4.3708, 4.3708) * CHOOSE(CONTROL!$C$21, $C$9, 100%, $E$9)</f>
        <v>4.3708</v>
      </c>
      <c r="N51" s="10">
        <f>CHOOSE(CONTROL!$C$42, 4.3879, 4.3879) * CHOOSE(CONTROL!$C$21, $C$9, 100%, $E$9)</f>
        <v>4.3879000000000001</v>
      </c>
      <c r="O51" s="10">
        <f>CHOOSE(CONTROL!$C$42, 4.4774, 4.4774) * CHOOSE(CONTROL!$C$21, $C$9, 100%, $E$9)</f>
        <v>4.4774000000000003</v>
      </c>
      <c r="P51" s="10">
        <f>CHOOSE(CONTROL!$C$42, 4.3641, 4.3641) * CHOOSE(CONTROL!$C$21, $C$9, 100%, $E$9)</f>
        <v>4.3640999999999996</v>
      </c>
      <c r="Q51" s="10">
        <f>CHOOSE(CONTROL!$C$42, 5.0727, 5.0727) * CHOOSE(CONTROL!$C$21, $C$9, 100%, $E$9)</f>
        <v>5.0727000000000002</v>
      </c>
      <c r="R51" s="10">
        <f>CHOOSE(CONTROL!$C$42, 5.6724, 5.6724) * CHOOSE(CONTROL!$C$21, $C$9, 100%, $E$9)</f>
        <v>5.6723999999999997</v>
      </c>
      <c r="S51" s="10">
        <f>CHOOSE(CONTROL!$C$42, 4.2908, 4.2908) * CHOOSE(CONTROL!$C$21, $C$9, 100%, $E$9)</f>
        <v>4.2907999999999999</v>
      </c>
      <c r="T51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51" s="58">
        <f>(1000*CHOOSE(CONTROL!$C$42, 695, 695)*CHOOSE(CONTROL!$C$42, 0.5599, 0.5599)*CHOOSE(CONTROL!$C$42, 31, 31))/1000000</f>
        <v>12.063045499999998</v>
      </c>
      <c r="V51" s="58">
        <f>(1000*CHOOSE(CONTROL!$C$42, 580, 580)*CHOOSE(CONTROL!$C$42, 0.275, 0.275)*CHOOSE(CONTROL!$C$42, 31, 31))/1000000</f>
        <v>4.9444999999999997</v>
      </c>
      <c r="W51" s="58">
        <f>(1000*CHOOSE(CONTROL!$C$42, 0.1146, 0.1146)*CHOOSE(CONTROL!$C$42, 200, 200)*CHOOSE(CONTROL!$C$42, 31, 31))/1000000</f>
        <v>0.71052000000000004</v>
      </c>
      <c r="X51" s="58">
        <f>(31*0.1790888*100000/1000000)+(31*0.2374*100000/1000000)</f>
        <v>1.2911152800000001</v>
      </c>
      <c r="Y51" s="58"/>
      <c r="Z51" s="10"/>
      <c r="AA51" s="57"/>
      <c r="AB51" s="51">
        <f>(B51*122.58+C51*297.941+D51*89.177+E51*40.302+F51*40+G51*160+H51*0+I51*100+J51*300)/(122.58+297.941+89.177+40.302+0+40+160+100+300)</f>
        <v>4.4234669957391306</v>
      </c>
      <c r="AC51" s="27">
        <f>(M51*'RAP TEMPLATE-GAS AVAILABILITY'!O50+N51*'RAP TEMPLATE-GAS AVAILABILITY'!P50+O51*'RAP TEMPLATE-GAS AVAILABILITY'!Q50+P51*'RAP TEMPLATE-GAS AVAILABILITY'!R50)/('RAP TEMPLATE-GAS AVAILABILITY'!O50+'RAP TEMPLATE-GAS AVAILABILITY'!P50+'RAP TEMPLATE-GAS AVAILABILITY'!Q50+'RAP TEMPLATE-GAS AVAILABILITY'!R50)</f>
        <v>4.4191352517985614</v>
      </c>
    </row>
    <row r="52" spans="1:29" ht="15.75" x14ac:dyDescent="0.25">
      <c r="A52" s="16">
        <v>42461</v>
      </c>
      <c r="B52" s="10">
        <f>CHOOSE(CONTROL!$C$42, 4.1747, 4.1747) * CHOOSE(CONTROL!$C$21, $C$9, 100%, $E$9)</f>
        <v>4.1746999999999996</v>
      </c>
      <c r="C52" s="10">
        <f>CHOOSE(CONTROL!$C$42, 4.1791, 4.1791) * CHOOSE(CONTROL!$C$21, $C$9, 100%, $E$9)</f>
        <v>4.1791</v>
      </c>
      <c r="D52" s="10">
        <f>CHOOSE(CONTROL!$C$42, 4.3747, 4.3747) * CHOOSE(CONTROL!$C$21, $C$9, 100%, $E$9)</f>
        <v>4.3746999999999998</v>
      </c>
      <c r="E52" s="10">
        <f>CHOOSE(CONTROL!$C$42, 4.4064, 4.4064) * CHOOSE(CONTROL!$C$21, $C$9, 100%, $E$9)</f>
        <v>4.4063999999999997</v>
      </c>
      <c r="F52" s="10">
        <f>CHOOSE(CONTROL!$C$42, 4.1425, 4.1425)*CHOOSE(CONTROL!$C$21, $C$9, 100%, $E$9)</f>
        <v>4.1425000000000001</v>
      </c>
      <c r="G52" s="10">
        <f>CHOOSE(CONTROL!$C$42, 4.1593, 4.1593)*CHOOSE(CONTROL!$C$21, $C$9, 100%, $E$9)</f>
        <v>4.1593</v>
      </c>
      <c r="H52" s="10">
        <f>CHOOSE(CONTROL!$C$42, 4.3962, 4.3962) * CHOOSE(CONTROL!$C$21, $C$9, 100%, $E$9)</f>
        <v>4.3962000000000003</v>
      </c>
      <c r="I52" s="10">
        <f>CHOOSE(CONTROL!$C$42, 4.1427, 4.1427)* CHOOSE(CONTROL!$C$21, $C$9, 100%, $E$9)</f>
        <v>4.1426999999999996</v>
      </c>
      <c r="J52" s="10">
        <f>CHOOSE(CONTROL!$C$42, 4.1355, 4.1355)* CHOOSE(CONTROL!$C$21, $C$9, 100%, $E$9)</f>
        <v>4.1355000000000004</v>
      </c>
      <c r="K52" s="54"/>
      <c r="L52" s="10">
        <f>CHOOSE(CONTROL!$C$42, 4.9832, 4.9832) * CHOOSE(CONTROL!$C$21, $C$9, 100%, $E$9)</f>
        <v>4.9832000000000001</v>
      </c>
      <c r="M52" s="10">
        <f>CHOOSE(CONTROL!$C$42, 4.1076, 4.1076) * CHOOSE(CONTROL!$C$21, $C$9, 100%, $E$9)</f>
        <v>4.1075999999999997</v>
      </c>
      <c r="N52" s="10">
        <f>CHOOSE(CONTROL!$C$42, 4.1242, 4.1242) * CHOOSE(CONTROL!$C$21, $C$9, 100%, $E$9)</f>
        <v>4.1242000000000001</v>
      </c>
      <c r="O52" s="10">
        <f>CHOOSE(CONTROL!$C$42, 4.3657, 4.3657) * CHOOSE(CONTROL!$C$21, $C$9, 100%, $E$9)</f>
        <v>4.3657000000000004</v>
      </c>
      <c r="P52" s="10">
        <f>CHOOSE(CONTROL!$C$42, 4.1147, 4.1147) * CHOOSE(CONTROL!$C$21, $C$9, 100%, $E$9)</f>
        <v>4.1147</v>
      </c>
      <c r="Q52" s="10">
        <f>CHOOSE(CONTROL!$C$42, 4.961, 4.961) * CHOOSE(CONTROL!$C$21, $C$9, 100%, $E$9)</f>
        <v>4.9610000000000003</v>
      </c>
      <c r="R52" s="10">
        <f>CHOOSE(CONTROL!$C$42, 5.5604, 5.5604) * CHOOSE(CONTROL!$C$21, $C$9, 100%, $E$9)</f>
        <v>5.5603999999999996</v>
      </c>
      <c r="S52" s="10">
        <f>CHOOSE(CONTROL!$C$42, 4.0512, 4.0512) * CHOOSE(CONTROL!$C$21, $C$9, 100%, $E$9)</f>
        <v>4.0511999999999997</v>
      </c>
      <c r="T52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52" s="58">
        <f>(1000*CHOOSE(CONTROL!$C$42, 695, 695)*CHOOSE(CONTROL!$C$42, 0.5599, 0.5599)*CHOOSE(CONTROL!$C$42, 30, 30))/1000000</f>
        <v>11.673914999999997</v>
      </c>
      <c r="V52" s="58">
        <f>(1000*CHOOSE(CONTROL!$C$42, 580, 580)*CHOOSE(CONTROL!$C$42, 0.275, 0.275)*CHOOSE(CONTROL!$C$42, 30, 30))/1000000</f>
        <v>4.7850000000000001</v>
      </c>
      <c r="W52" s="58">
        <f>(1000*CHOOSE(CONTROL!$C$42, 0.1146, 0.1146)*CHOOSE(CONTROL!$C$42, 200, 200)*CHOOSE(CONTROL!$C$42, 30, 30))/1000000</f>
        <v>0.68759999999999999</v>
      </c>
      <c r="X52" s="58">
        <f>(30*0.1790888*245000/1000000)+(30*0.2374*100000/1000000)</f>
        <v>2.0285026799999999</v>
      </c>
      <c r="Y52" s="58"/>
      <c r="Z52" s="10"/>
      <c r="AA52" s="57"/>
      <c r="AB52" s="51">
        <f>(B52*141.293+C52*267.993+D52*115.016+E52*89.698+F52*40+G52*185+H52*0+I52*100+J52*300)/(141.293+267.993+115.016+89.698+0+40+185+100+300)</f>
        <v>4.1955784469733652</v>
      </c>
      <c r="AC52" s="27">
        <f>(M52*'RAP TEMPLATE-GAS AVAILABILITY'!O51+N52*'RAP TEMPLATE-GAS AVAILABILITY'!P51+O52*'RAP TEMPLATE-GAS AVAILABILITY'!Q51+P52*'RAP TEMPLATE-GAS AVAILABILITY'!R51)/('RAP TEMPLATE-GAS AVAILABILITY'!O51+'RAP TEMPLATE-GAS AVAILABILITY'!P51+'RAP TEMPLATE-GAS AVAILABILITY'!Q51+'RAP TEMPLATE-GAS AVAILABILITY'!R51)</f>
        <v>4.1848597122302156</v>
      </c>
    </row>
    <row r="53" spans="1:29" ht="15.75" x14ac:dyDescent="0.25">
      <c r="A53" s="16">
        <v>42491</v>
      </c>
      <c r="B53" s="10">
        <f>CHOOSE(CONTROL!$C$42, 4.1792, 4.1792) * CHOOSE(CONTROL!$C$21, $C$9, 100%, $E$9)</f>
        <v>4.1791999999999998</v>
      </c>
      <c r="C53" s="10">
        <f>CHOOSE(CONTROL!$C$42, 4.1871, 4.1871) * CHOOSE(CONTROL!$C$21, $C$9, 100%, $E$9)</f>
        <v>4.1871</v>
      </c>
      <c r="D53" s="10">
        <f>CHOOSE(CONTROL!$C$42, 4.3796, 4.3796) * CHOOSE(CONTROL!$C$21, $C$9, 100%, $E$9)</f>
        <v>4.3795999999999999</v>
      </c>
      <c r="E53" s="10">
        <f>CHOOSE(CONTROL!$C$42, 4.4107, 4.4107) * CHOOSE(CONTROL!$C$21, $C$9, 100%, $E$9)</f>
        <v>4.4107000000000003</v>
      </c>
      <c r="F53" s="10">
        <f>CHOOSE(CONTROL!$C$42, 4.1455, 4.1455)*CHOOSE(CONTROL!$C$21, $C$9, 100%, $E$9)</f>
        <v>4.1455000000000002</v>
      </c>
      <c r="G53" s="10">
        <f>CHOOSE(CONTROL!$C$42, 4.1626, 4.1626)*CHOOSE(CONTROL!$C$21, $C$9, 100%, $E$9)</f>
        <v>4.1626000000000003</v>
      </c>
      <c r="H53" s="10">
        <f>CHOOSE(CONTROL!$C$42, 4.3993, 4.3993) * CHOOSE(CONTROL!$C$21, $C$9, 100%, $E$9)</f>
        <v>4.3993000000000002</v>
      </c>
      <c r="I53" s="10">
        <f>CHOOSE(CONTROL!$C$42, 4.1458, 4.1458)* CHOOSE(CONTROL!$C$21, $C$9, 100%, $E$9)</f>
        <v>4.1458000000000004</v>
      </c>
      <c r="J53" s="10">
        <f>CHOOSE(CONTROL!$C$42, 4.1385, 4.1385)* CHOOSE(CONTROL!$C$21, $C$9, 100%, $E$9)</f>
        <v>4.1384999999999996</v>
      </c>
      <c r="K53" s="54"/>
      <c r="L53" s="10">
        <f>CHOOSE(CONTROL!$C$42, 4.9863, 4.9863) * CHOOSE(CONTROL!$C$21, $C$9, 100%, $E$9)</f>
        <v>4.9863</v>
      </c>
      <c r="M53" s="10">
        <f>CHOOSE(CONTROL!$C$42, 4.1105, 4.1105) * CHOOSE(CONTROL!$C$21, $C$9, 100%, $E$9)</f>
        <v>4.1105</v>
      </c>
      <c r="N53" s="10">
        <f>CHOOSE(CONTROL!$C$42, 4.1275, 4.1275) * CHOOSE(CONTROL!$C$21, $C$9, 100%, $E$9)</f>
        <v>4.1275000000000004</v>
      </c>
      <c r="O53" s="10">
        <f>CHOOSE(CONTROL!$C$42, 4.3688, 4.3688) * CHOOSE(CONTROL!$C$21, $C$9, 100%, $E$9)</f>
        <v>4.3688000000000002</v>
      </c>
      <c r="P53" s="10">
        <f>CHOOSE(CONTROL!$C$42, 4.1178, 4.1178) * CHOOSE(CONTROL!$C$21, $C$9, 100%, $E$9)</f>
        <v>4.1177999999999999</v>
      </c>
      <c r="Q53" s="10">
        <f>CHOOSE(CONTROL!$C$42, 4.9641, 4.9641) * CHOOSE(CONTROL!$C$21, $C$9, 100%, $E$9)</f>
        <v>4.9641000000000002</v>
      </c>
      <c r="R53" s="10">
        <f>CHOOSE(CONTROL!$C$42, 5.5635, 5.5635) * CHOOSE(CONTROL!$C$21, $C$9, 100%, $E$9)</f>
        <v>5.5635000000000003</v>
      </c>
      <c r="S53" s="10">
        <f>CHOOSE(CONTROL!$C$42, 4.0542, 4.0542) * CHOOSE(CONTROL!$C$21, $C$9, 100%, $E$9)</f>
        <v>4.0541999999999998</v>
      </c>
      <c r="T53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53" s="58">
        <f>(1000*CHOOSE(CONTROL!$C$42, 695, 695)*CHOOSE(CONTROL!$C$42, 0.5599, 0.5599)*CHOOSE(CONTROL!$C$42, 31, 31))/1000000</f>
        <v>12.063045499999998</v>
      </c>
      <c r="V53" s="58">
        <f>(1000*CHOOSE(CONTROL!$C$42, 580, 580)*CHOOSE(CONTROL!$C$42, 0.275, 0.275)*CHOOSE(CONTROL!$C$42, 31, 31))/1000000</f>
        <v>4.9444999999999997</v>
      </c>
      <c r="W53" s="58">
        <f>(1000*CHOOSE(CONTROL!$C$42, 0.1146, 0.1146)*CHOOSE(CONTROL!$C$42, 121.5, 121.5)*CHOOSE(CONTROL!$C$42, 31, 31))/1000000</f>
        <v>0.43164089999999994</v>
      </c>
      <c r="X53" s="58">
        <f>(31*0.1790888*245000/1000000)+(31*0.2374*100000/1000000)</f>
        <v>2.0961194359999999</v>
      </c>
      <c r="Y53" s="58"/>
      <c r="Z53" s="10"/>
      <c r="AA53" s="57"/>
      <c r="AB53" s="51">
        <f>(B53*194.205+C53*267.466+D53*133.845+E53*53.484+F53*40+G53*185+H53*0+I53*100+J53*300)/(194.205+267.466+133.845+53.484+0+40+185+100+300)</f>
        <v>4.195956723233909</v>
      </c>
      <c r="AC53" s="27">
        <f>(M53*'RAP TEMPLATE-GAS AVAILABILITY'!O52+N53*'RAP TEMPLATE-GAS AVAILABILITY'!P52+O53*'RAP TEMPLATE-GAS AVAILABILITY'!Q52+P53*'RAP TEMPLATE-GAS AVAILABILITY'!R52)/('RAP TEMPLATE-GAS AVAILABILITY'!O52+'RAP TEMPLATE-GAS AVAILABILITY'!P52+'RAP TEMPLATE-GAS AVAILABILITY'!Q52+'RAP TEMPLATE-GAS AVAILABILITY'!R52)</f>
        <v>4.187936690647482</v>
      </c>
    </row>
    <row r="54" spans="1:29" ht="15.75" x14ac:dyDescent="0.25">
      <c r="A54" s="16">
        <v>42522</v>
      </c>
      <c r="B54" s="10">
        <f>CHOOSE(CONTROL!$C$42, 4.1977, 4.1977) * CHOOSE(CONTROL!$C$21, $C$9, 100%, $E$9)</f>
        <v>4.1977000000000002</v>
      </c>
      <c r="C54" s="10">
        <f>CHOOSE(CONTROL!$C$42, 4.2057, 4.2057) * CHOOSE(CONTROL!$C$21, $C$9, 100%, $E$9)</f>
        <v>4.2057000000000002</v>
      </c>
      <c r="D54" s="10">
        <f>CHOOSE(CONTROL!$C$42, 4.3981, 4.3981) * CHOOSE(CONTROL!$C$21, $C$9, 100%, $E$9)</f>
        <v>4.3981000000000003</v>
      </c>
      <c r="E54" s="10">
        <f>CHOOSE(CONTROL!$C$42, 4.4292, 4.4292) * CHOOSE(CONTROL!$C$21, $C$9, 100%, $E$9)</f>
        <v>4.4291999999999998</v>
      </c>
      <c r="F54" s="10">
        <f>CHOOSE(CONTROL!$C$42, 4.1642, 4.1642)*CHOOSE(CONTROL!$C$21, $C$9, 100%, $E$9)</f>
        <v>4.1642000000000001</v>
      </c>
      <c r="G54" s="10">
        <f>CHOOSE(CONTROL!$C$42, 4.1814, 4.1814)*CHOOSE(CONTROL!$C$21, $C$9, 100%, $E$9)</f>
        <v>4.1814</v>
      </c>
      <c r="H54" s="10">
        <f>CHOOSE(CONTROL!$C$42, 4.4179, 4.4179) * CHOOSE(CONTROL!$C$21, $C$9, 100%, $E$9)</f>
        <v>4.4179000000000004</v>
      </c>
      <c r="I54" s="10">
        <f>CHOOSE(CONTROL!$C$42, 4.1643, 4.1643)* CHOOSE(CONTROL!$C$21, $C$9, 100%, $E$9)</f>
        <v>4.1642999999999999</v>
      </c>
      <c r="J54" s="10">
        <f>CHOOSE(CONTROL!$C$42, 4.1572, 4.1572)* CHOOSE(CONTROL!$C$21, $C$9, 100%, $E$9)</f>
        <v>4.1571999999999996</v>
      </c>
      <c r="K54" s="54"/>
      <c r="L54" s="10">
        <f>CHOOSE(CONTROL!$C$42, 5.0049, 5.0049) * CHOOSE(CONTROL!$C$21, $C$9, 100%, $E$9)</f>
        <v>5.0049000000000001</v>
      </c>
      <c r="M54" s="10">
        <f>CHOOSE(CONTROL!$C$42, 4.1291, 4.1291) * CHOOSE(CONTROL!$C$21, $C$9, 100%, $E$9)</f>
        <v>4.1291000000000002</v>
      </c>
      <c r="N54" s="10">
        <f>CHOOSE(CONTROL!$C$42, 4.1461, 4.1461) * CHOOSE(CONTROL!$C$21, $C$9, 100%, $E$9)</f>
        <v>4.1460999999999997</v>
      </c>
      <c r="O54" s="10">
        <f>CHOOSE(CONTROL!$C$42, 4.3871, 4.3871) * CHOOSE(CONTROL!$C$21, $C$9, 100%, $E$9)</f>
        <v>4.3871000000000002</v>
      </c>
      <c r="P54" s="10">
        <f>CHOOSE(CONTROL!$C$42, 4.1362, 4.1362) * CHOOSE(CONTROL!$C$21, $C$9, 100%, $E$9)</f>
        <v>4.1361999999999997</v>
      </c>
      <c r="Q54" s="10">
        <f>CHOOSE(CONTROL!$C$42, 4.9824, 4.9824) * CHOOSE(CONTROL!$C$21, $C$9, 100%, $E$9)</f>
        <v>4.9824000000000002</v>
      </c>
      <c r="R54" s="10">
        <f>CHOOSE(CONTROL!$C$42, 5.5819, 5.5819) * CHOOSE(CONTROL!$C$21, $C$9, 100%, $E$9)</f>
        <v>5.5819000000000001</v>
      </c>
      <c r="S54" s="10">
        <f>CHOOSE(CONTROL!$C$42, 4.0722, 4.0722) * CHOOSE(CONTROL!$C$21, $C$9, 100%, $E$9)</f>
        <v>4.0721999999999996</v>
      </c>
      <c r="T54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54" s="58">
        <f>(1000*CHOOSE(CONTROL!$C$42, 695, 695)*CHOOSE(CONTROL!$C$42, 0.5599, 0.5599)*CHOOSE(CONTROL!$C$42, 30, 30))/1000000</f>
        <v>11.673914999999997</v>
      </c>
      <c r="V54" s="58">
        <f>(1000*CHOOSE(CONTROL!$C$42, 580, 580)*CHOOSE(CONTROL!$C$42, 0.275, 0.275)*CHOOSE(CONTROL!$C$42, 30, 30))/1000000</f>
        <v>4.7850000000000001</v>
      </c>
      <c r="W54" s="58">
        <f>(1000*CHOOSE(CONTROL!$C$42, 0.1146, 0.1146)*CHOOSE(CONTROL!$C$42, 121.5, 121.5)*CHOOSE(CONTROL!$C$42, 30, 30))/1000000</f>
        <v>0.417717</v>
      </c>
      <c r="X54" s="58">
        <f>(30*0.1790888*245000/1000000)+(30*0.2374*100000/1000000)</f>
        <v>2.0285026799999999</v>
      </c>
      <c r="Y54" s="58"/>
      <c r="Z54" s="10"/>
      <c r="AA54" s="57"/>
      <c r="AB54" s="51">
        <f>(B54*194.205+C54*267.466+D54*133.845+E54*53.484+F54*40+G54*185+H54*0+I54*100+J54*300)/(194.205+267.466+133.845+53.484+0+40+185+100+300)</f>
        <v>4.2145746562009423</v>
      </c>
      <c r="AC54" s="27">
        <f>(M54*'RAP TEMPLATE-GAS AVAILABILITY'!O53+N54*'RAP TEMPLATE-GAS AVAILABILITY'!P53+O54*'RAP TEMPLATE-GAS AVAILABILITY'!Q53+P54*'RAP TEMPLATE-GAS AVAILABILITY'!R53)/('RAP TEMPLATE-GAS AVAILABILITY'!O53+'RAP TEMPLATE-GAS AVAILABILITY'!P53+'RAP TEMPLATE-GAS AVAILABILITY'!Q53+'RAP TEMPLATE-GAS AVAILABILITY'!R53)</f>
        <v>4.2064237410071943</v>
      </c>
    </row>
    <row r="55" spans="1:29" ht="15.75" x14ac:dyDescent="0.25">
      <c r="A55" s="16">
        <v>42552</v>
      </c>
      <c r="B55" s="10">
        <f>CHOOSE(CONTROL!$C$42, 4.2194, 4.2194) * CHOOSE(CONTROL!$C$21, $C$9, 100%, $E$9)</f>
        <v>4.2194000000000003</v>
      </c>
      <c r="C55" s="10">
        <f>CHOOSE(CONTROL!$C$42, 4.2273, 4.2273) * CHOOSE(CONTROL!$C$21, $C$9, 100%, $E$9)</f>
        <v>4.2272999999999996</v>
      </c>
      <c r="D55" s="10">
        <f>CHOOSE(CONTROL!$C$42, 4.4197, 4.4197) * CHOOSE(CONTROL!$C$21, $C$9, 100%, $E$9)</f>
        <v>4.4196999999999997</v>
      </c>
      <c r="E55" s="10">
        <f>CHOOSE(CONTROL!$C$42, 4.4509, 4.4509) * CHOOSE(CONTROL!$C$21, $C$9, 100%, $E$9)</f>
        <v>4.4508999999999999</v>
      </c>
      <c r="F55" s="10">
        <f>CHOOSE(CONTROL!$C$42, 4.1863, 4.1863)*CHOOSE(CONTROL!$C$21, $C$9, 100%, $E$9)</f>
        <v>4.1863000000000001</v>
      </c>
      <c r="G55" s="10">
        <f>CHOOSE(CONTROL!$C$42, 4.2035, 4.2035)*CHOOSE(CONTROL!$C$21, $C$9, 100%, $E$9)</f>
        <v>4.2035</v>
      </c>
      <c r="H55" s="10">
        <f>CHOOSE(CONTROL!$C$42, 4.4395, 4.4395) * CHOOSE(CONTROL!$C$21, $C$9, 100%, $E$9)</f>
        <v>4.4394999999999998</v>
      </c>
      <c r="I55" s="10">
        <f>CHOOSE(CONTROL!$C$42, 4.1859, 4.1859)* CHOOSE(CONTROL!$C$21, $C$9, 100%, $E$9)</f>
        <v>4.1859000000000002</v>
      </c>
      <c r="J55" s="10">
        <f>CHOOSE(CONTROL!$C$42, 4.1793, 4.1793)* CHOOSE(CONTROL!$C$21, $C$9, 100%, $E$9)</f>
        <v>4.1792999999999996</v>
      </c>
      <c r="K55" s="54"/>
      <c r="L55" s="10">
        <f>CHOOSE(CONTROL!$C$42, 5.0265, 5.0265) * CHOOSE(CONTROL!$C$21, $C$9, 100%, $E$9)</f>
        <v>5.0265000000000004</v>
      </c>
      <c r="M55" s="10">
        <f>CHOOSE(CONTROL!$C$42, 4.1509, 4.1509) * CHOOSE(CONTROL!$C$21, $C$9, 100%, $E$9)</f>
        <v>4.1509</v>
      </c>
      <c r="N55" s="10">
        <f>CHOOSE(CONTROL!$C$42, 4.168, 4.168) * CHOOSE(CONTROL!$C$21, $C$9, 100%, $E$9)</f>
        <v>4.1680000000000001</v>
      </c>
      <c r="O55" s="10">
        <f>CHOOSE(CONTROL!$C$42, 4.4085, 4.4085) * CHOOSE(CONTROL!$C$21, $C$9, 100%, $E$9)</f>
        <v>4.4085000000000001</v>
      </c>
      <c r="P55" s="10">
        <f>CHOOSE(CONTROL!$C$42, 4.1576, 4.1576) * CHOOSE(CONTROL!$C$21, $C$9, 100%, $E$9)</f>
        <v>4.1576000000000004</v>
      </c>
      <c r="Q55" s="10">
        <f>CHOOSE(CONTROL!$C$42, 5.0038, 5.0038) * CHOOSE(CONTROL!$C$21, $C$9, 100%, $E$9)</f>
        <v>5.0038</v>
      </c>
      <c r="R55" s="10">
        <f>CHOOSE(CONTROL!$C$42, 5.6033, 5.6033) * CHOOSE(CONTROL!$C$21, $C$9, 100%, $E$9)</f>
        <v>5.6032999999999999</v>
      </c>
      <c r="S55" s="10">
        <f>CHOOSE(CONTROL!$C$42, 4.0932, 4.0932) * CHOOSE(CONTROL!$C$21, $C$9, 100%, $E$9)</f>
        <v>4.0932000000000004</v>
      </c>
      <c r="T55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55" s="58">
        <f>(1000*CHOOSE(CONTROL!$C$42, 695, 695)*CHOOSE(CONTROL!$C$42, 0.5599, 0.5599)*CHOOSE(CONTROL!$C$42, 31, 31))/1000000</f>
        <v>12.063045499999998</v>
      </c>
      <c r="V55" s="58">
        <f>(1000*CHOOSE(CONTROL!$C$42, 580, 580)*CHOOSE(CONTROL!$C$42, 0.275, 0.275)*CHOOSE(CONTROL!$C$42, 31, 31))/1000000</f>
        <v>4.9444999999999997</v>
      </c>
      <c r="W55" s="58">
        <f>(1000*CHOOSE(CONTROL!$C$42, 0.1146, 0.1146)*CHOOSE(CONTROL!$C$42, 121.5, 121.5)*CHOOSE(CONTROL!$C$42, 31, 31))/1000000</f>
        <v>0.43164089999999994</v>
      </c>
      <c r="X55" s="58">
        <f>(31*0.1790888*245000/1000000)+(31*0.2374*100000/1000000)</f>
        <v>2.0961194359999999</v>
      </c>
      <c r="Y55" s="58"/>
      <c r="Z55" s="10"/>
      <c r="AA55" s="57"/>
      <c r="AB55" s="51">
        <f>(B55*194.205+C55*267.466+D55*133.845+E55*53.484+F55*40+G55*185+H55*0+I55*100+J55*300)/(194.205+267.466+133.845+53.484+0+40+185+100+300)</f>
        <v>4.2364001419937205</v>
      </c>
      <c r="AC55" s="27">
        <f>(M55*'RAP TEMPLATE-GAS AVAILABILITY'!O54+N55*'RAP TEMPLATE-GAS AVAILABILITY'!P54+O55*'RAP TEMPLATE-GAS AVAILABILITY'!Q54+P55*'RAP TEMPLATE-GAS AVAILABILITY'!R54)/('RAP TEMPLATE-GAS AVAILABILITY'!O54+'RAP TEMPLATE-GAS AVAILABILITY'!P54+'RAP TEMPLATE-GAS AVAILABILITY'!Q54+'RAP TEMPLATE-GAS AVAILABILITY'!R54)</f>
        <v>4.228076978417266</v>
      </c>
    </row>
    <row r="56" spans="1:29" ht="15.75" x14ac:dyDescent="0.25">
      <c r="A56" s="16">
        <v>42583</v>
      </c>
      <c r="B56" s="10">
        <f>CHOOSE(CONTROL!$C$42, 4.2297, 4.2297) * CHOOSE(CONTROL!$C$21, $C$9, 100%, $E$9)</f>
        <v>4.2297000000000002</v>
      </c>
      <c r="C56" s="10">
        <f>CHOOSE(CONTROL!$C$42, 4.2376, 4.2376) * CHOOSE(CONTROL!$C$21, $C$9, 100%, $E$9)</f>
        <v>4.2375999999999996</v>
      </c>
      <c r="D56" s="10">
        <f>CHOOSE(CONTROL!$C$42, 4.43, 4.43) * CHOOSE(CONTROL!$C$21, $C$9, 100%, $E$9)</f>
        <v>4.43</v>
      </c>
      <c r="E56" s="10">
        <f>CHOOSE(CONTROL!$C$42, 4.4611, 4.4611) * CHOOSE(CONTROL!$C$21, $C$9, 100%, $E$9)</f>
        <v>4.4611000000000001</v>
      </c>
      <c r="F56" s="10">
        <f>CHOOSE(CONTROL!$C$42, 4.1967, 4.1967)*CHOOSE(CONTROL!$C$21, $C$9, 100%, $E$9)</f>
        <v>4.1966999999999999</v>
      </c>
      <c r="G56" s="10">
        <f>CHOOSE(CONTROL!$C$42, 4.2141, 4.2141)*CHOOSE(CONTROL!$C$21, $C$9, 100%, $E$9)</f>
        <v>4.2141000000000002</v>
      </c>
      <c r="H56" s="10">
        <f>CHOOSE(CONTROL!$C$42, 4.4498, 4.4498) * CHOOSE(CONTROL!$C$21, $C$9, 100%, $E$9)</f>
        <v>4.4497999999999998</v>
      </c>
      <c r="I56" s="10">
        <f>CHOOSE(CONTROL!$C$42, 4.1962, 4.1962)* CHOOSE(CONTROL!$C$21, $C$9, 100%, $E$9)</f>
        <v>4.1962000000000002</v>
      </c>
      <c r="J56" s="10">
        <f>CHOOSE(CONTROL!$C$42, 4.1897, 4.1897)* CHOOSE(CONTROL!$C$21, $C$9, 100%, $E$9)</f>
        <v>4.1897000000000002</v>
      </c>
      <c r="K56" s="54"/>
      <c r="L56" s="10">
        <f>CHOOSE(CONTROL!$C$42, 5.0368, 5.0368) * CHOOSE(CONTROL!$C$21, $C$9, 100%, $E$9)</f>
        <v>5.0368000000000004</v>
      </c>
      <c r="M56" s="10">
        <f>CHOOSE(CONTROL!$C$42, 4.1613, 4.1613) * CHOOSE(CONTROL!$C$21, $C$9, 100%, $E$9)</f>
        <v>4.1612999999999998</v>
      </c>
      <c r="N56" s="10">
        <f>CHOOSE(CONTROL!$C$42, 4.1784, 4.1784) * CHOOSE(CONTROL!$C$21, $C$9, 100%, $E$9)</f>
        <v>4.1783999999999999</v>
      </c>
      <c r="O56" s="10">
        <f>CHOOSE(CONTROL!$C$42, 4.4187, 4.4187) * CHOOSE(CONTROL!$C$21, $C$9, 100%, $E$9)</f>
        <v>4.4187000000000003</v>
      </c>
      <c r="P56" s="10">
        <f>CHOOSE(CONTROL!$C$42, 4.1678, 4.1678) * CHOOSE(CONTROL!$C$21, $C$9, 100%, $E$9)</f>
        <v>4.1677999999999997</v>
      </c>
      <c r="Q56" s="10">
        <f>CHOOSE(CONTROL!$C$42, 5.014, 5.014) * CHOOSE(CONTROL!$C$21, $C$9, 100%, $E$9)</f>
        <v>5.0140000000000002</v>
      </c>
      <c r="R56" s="10">
        <f>CHOOSE(CONTROL!$C$42, 5.6135, 5.6135) * CHOOSE(CONTROL!$C$21, $C$9, 100%, $E$9)</f>
        <v>5.6135000000000002</v>
      </c>
      <c r="S56" s="10">
        <f>CHOOSE(CONTROL!$C$42, 4.1032, 4.1032) * CHOOSE(CONTROL!$C$21, $C$9, 100%, $E$9)</f>
        <v>4.1032000000000002</v>
      </c>
      <c r="T56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56" s="58">
        <f>(1000*CHOOSE(CONTROL!$C$42, 695, 695)*CHOOSE(CONTROL!$C$42, 0.5599, 0.5599)*CHOOSE(CONTROL!$C$42, 31, 31))/1000000</f>
        <v>12.063045499999998</v>
      </c>
      <c r="V56" s="58">
        <f>(1000*CHOOSE(CONTROL!$C$42, 580, 580)*CHOOSE(CONTROL!$C$42, 0.275, 0.275)*CHOOSE(CONTROL!$C$42, 31, 31))/1000000</f>
        <v>4.9444999999999997</v>
      </c>
      <c r="W56" s="58">
        <f>(1000*CHOOSE(CONTROL!$C$42, 0.1146, 0.1146)*CHOOSE(CONTROL!$C$42, 121.5, 121.5)*CHOOSE(CONTROL!$C$42, 31, 31))/1000000</f>
        <v>0.43164089999999994</v>
      </c>
      <c r="X56" s="58">
        <f>(31*0.1790888*245000/1000000)+(31*0.2374*100000/1000000)</f>
        <v>2.0961194359999999</v>
      </c>
      <c r="Y56" s="58"/>
      <c r="Z56" s="10"/>
      <c r="AA56" s="57"/>
      <c r="AB56" s="51">
        <f>(B56*194.205+C56*267.466+D56*133.845+E56*53.484+F56*40+G56*185+H56*0+I56*100+J56*300)/(194.205+267.466+133.845+53.484+0+40+185+100+300)</f>
        <v>4.2467661950549447</v>
      </c>
      <c r="AC56" s="27">
        <f>(M56*'RAP TEMPLATE-GAS AVAILABILITY'!O55+N56*'RAP TEMPLATE-GAS AVAILABILITY'!P55+O56*'RAP TEMPLATE-GAS AVAILABILITY'!Q55+P56*'RAP TEMPLATE-GAS AVAILABILITY'!R55)/('RAP TEMPLATE-GAS AVAILABILITY'!O55+'RAP TEMPLATE-GAS AVAILABILITY'!P55+'RAP TEMPLATE-GAS AVAILABILITY'!Q55+'RAP TEMPLATE-GAS AVAILABILITY'!R55)</f>
        <v>4.2383920863309354</v>
      </c>
    </row>
    <row r="57" spans="1:29" ht="15.75" x14ac:dyDescent="0.25">
      <c r="A57" s="16">
        <v>42614</v>
      </c>
      <c r="B57" s="10">
        <f>CHOOSE(CONTROL!$C$42, 4.2272, 4.2272) * CHOOSE(CONTROL!$C$21, $C$9, 100%, $E$9)</f>
        <v>4.2271999999999998</v>
      </c>
      <c r="C57" s="10">
        <f>CHOOSE(CONTROL!$C$42, 4.2351, 4.2351) * CHOOSE(CONTROL!$C$21, $C$9, 100%, $E$9)</f>
        <v>4.2351000000000001</v>
      </c>
      <c r="D57" s="10">
        <f>CHOOSE(CONTROL!$C$42, 4.4276, 4.4276) * CHOOSE(CONTROL!$C$21, $C$9, 100%, $E$9)</f>
        <v>4.4276</v>
      </c>
      <c r="E57" s="10">
        <f>CHOOSE(CONTROL!$C$42, 4.4587, 4.4587) * CHOOSE(CONTROL!$C$21, $C$9, 100%, $E$9)</f>
        <v>4.4587000000000003</v>
      </c>
      <c r="F57" s="10">
        <f>CHOOSE(CONTROL!$C$42, 4.1941, 4.1941)*CHOOSE(CONTROL!$C$21, $C$9, 100%, $E$9)</f>
        <v>4.1940999999999997</v>
      </c>
      <c r="G57" s="10">
        <f>CHOOSE(CONTROL!$C$42, 4.2114, 4.2114)*CHOOSE(CONTROL!$C$21, $C$9, 100%, $E$9)</f>
        <v>4.2114000000000003</v>
      </c>
      <c r="H57" s="10">
        <f>CHOOSE(CONTROL!$C$42, 4.4473, 4.4473) * CHOOSE(CONTROL!$C$21, $C$9, 100%, $E$9)</f>
        <v>4.4473000000000003</v>
      </c>
      <c r="I57" s="10">
        <f>CHOOSE(CONTROL!$C$42, 4.1938, 4.1938)* CHOOSE(CONTROL!$C$21, $C$9, 100%, $E$9)</f>
        <v>4.1938000000000004</v>
      </c>
      <c r="J57" s="10">
        <f>CHOOSE(CONTROL!$C$42, 4.1871, 4.1871)* CHOOSE(CONTROL!$C$21, $C$9, 100%, $E$9)</f>
        <v>4.1871</v>
      </c>
      <c r="K57" s="54"/>
      <c r="L57" s="10">
        <f>CHOOSE(CONTROL!$C$42, 5.0343, 5.0343) * CHOOSE(CONTROL!$C$21, $C$9, 100%, $E$9)</f>
        <v>5.0343</v>
      </c>
      <c r="M57" s="10">
        <f>CHOOSE(CONTROL!$C$42, 4.1587, 4.1587) * CHOOSE(CONTROL!$C$21, $C$9, 100%, $E$9)</f>
        <v>4.1586999999999996</v>
      </c>
      <c r="N57" s="10">
        <f>CHOOSE(CONTROL!$C$42, 4.1758, 4.1758) * CHOOSE(CONTROL!$C$21, $C$9, 100%, $E$9)</f>
        <v>4.1757999999999997</v>
      </c>
      <c r="O57" s="10">
        <f>CHOOSE(CONTROL!$C$42, 4.4163, 4.4163) * CHOOSE(CONTROL!$C$21, $C$9, 100%, $E$9)</f>
        <v>4.4162999999999997</v>
      </c>
      <c r="P57" s="10">
        <f>CHOOSE(CONTROL!$C$42, 4.1653, 4.1653) * CHOOSE(CONTROL!$C$21, $C$9, 100%, $E$9)</f>
        <v>4.1653000000000002</v>
      </c>
      <c r="Q57" s="10">
        <f>CHOOSE(CONTROL!$C$42, 5.0116, 5.0116) * CHOOSE(CONTROL!$C$21, $C$9, 100%, $E$9)</f>
        <v>5.0115999999999996</v>
      </c>
      <c r="R57" s="10">
        <f>CHOOSE(CONTROL!$C$42, 5.6111, 5.6111) * CHOOSE(CONTROL!$C$21, $C$9, 100%, $E$9)</f>
        <v>5.6111000000000004</v>
      </c>
      <c r="S57" s="10">
        <f>CHOOSE(CONTROL!$C$42, 4.1008, 4.1008) * CHOOSE(CONTROL!$C$21, $C$9, 100%, $E$9)</f>
        <v>4.1007999999999996</v>
      </c>
      <c r="T57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57" s="58">
        <f>(1000*CHOOSE(CONTROL!$C$42, 695, 695)*CHOOSE(CONTROL!$C$42, 0.5599, 0.5599)*CHOOSE(CONTROL!$C$42, 30, 30))/1000000</f>
        <v>11.673914999999997</v>
      </c>
      <c r="V57" s="58">
        <f>(1000*CHOOSE(CONTROL!$C$42, 580, 580)*CHOOSE(CONTROL!$C$42, 0.275, 0.275)*CHOOSE(CONTROL!$C$42, 30, 30))/1000000</f>
        <v>4.7850000000000001</v>
      </c>
      <c r="W57" s="58">
        <f>(1000*CHOOSE(CONTROL!$C$42, 0.1146, 0.1146)*CHOOSE(CONTROL!$C$42, 121.5, 121.5)*CHOOSE(CONTROL!$C$42, 30, 30))/1000000</f>
        <v>0.417717</v>
      </c>
      <c r="X57" s="58">
        <f>(30*0.1790888*245000/1000000)+(30*0.2374*100000/1000000)</f>
        <v>2.0285026799999999</v>
      </c>
      <c r="Y57" s="58"/>
      <c r="Z57" s="10"/>
      <c r="AA57" s="57"/>
      <c r="AB57" s="51">
        <f>(B57*194.205+C57*267.466+D57*133.845+E57*53.484+F57*40+G57*185+H57*0+I57*100+J57*300)/(194.205+267.466+133.845+53.484+0+40+185+100+300)</f>
        <v>4.2442330183673471</v>
      </c>
      <c r="AC57" s="27">
        <f>(M57*'RAP TEMPLATE-GAS AVAILABILITY'!O56+N57*'RAP TEMPLATE-GAS AVAILABILITY'!P56+O57*'RAP TEMPLATE-GAS AVAILABILITY'!Q56+P57*'RAP TEMPLATE-GAS AVAILABILITY'!R56)/('RAP TEMPLATE-GAS AVAILABILITY'!O56+'RAP TEMPLATE-GAS AVAILABILITY'!P56+'RAP TEMPLATE-GAS AVAILABILITY'!Q56+'RAP TEMPLATE-GAS AVAILABILITY'!R56)</f>
        <v>4.2358625899280575</v>
      </c>
    </row>
    <row r="58" spans="1:29" ht="15.75" x14ac:dyDescent="0.25">
      <c r="A58" s="16">
        <v>42644</v>
      </c>
      <c r="B58" s="10">
        <f>CHOOSE(CONTROL!$C$42, 4.2481, 4.2481) * CHOOSE(CONTROL!$C$21, $C$9, 100%, $E$9)</f>
        <v>4.2481</v>
      </c>
      <c r="C58" s="10">
        <f>CHOOSE(CONTROL!$C$42, 4.2533, 4.2533) * CHOOSE(CONTROL!$C$21, $C$9, 100%, $E$9)</f>
        <v>4.2533000000000003</v>
      </c>
      <c r="D58" s="10">
        <f>CHOOSE(CONTROL!$C$42, 4.4507, 4.4507) * CHOOSE(CONTROL!$C$21, $C$9, 100%, $E$9)</f>
        <v>4.4507000000000003</v>
      </c>
      <c r="E58" s="10">
        <f>CHOOSE(CONTROL!$C$42, 4.4795, 4.4795) * CHOOSE(CONTROL!$C$21, $C$9, 100%, $E$9)</f>
        <v>4.4794999999999998</v>
      </c>
      <c r="F58" s="10">
        <f>CHOOSE(CONTROL!$C$42, 4.217, 4.217)*CHOOSE(CONTROL!$C$21, $C$9, 100%, $E$9)</f>
        <v>4.2169999999999996</v>
      </c>
      <c r="G58" s="10">
        <f>CHOOSE(CONTROL!$C$42, 4.234, 4.234)*CHOOSE(CONTROL!$C$21, $C$9, 100%, $E$9)</f>
        <v>4.234</v>
      </c>
      <c r="H58" s="10">
        <f>CHOOSE(CONTROL!$C$42, 4.47, 4.47) * CHOOSE(CONTROL!$C$21, $C$9, 100%, $E$9)</f>
        <v>4.47</v>
      </c>
      <c r="I58" s="10">
        <f>CHOOSE(CONTROL!$C$42, 4.2164, 4.2164)* CHOOSE(CONTROL!$C$21, $C$9, 100%, $E$9)</f>
        <v>4.2164000000000001</v>
      </c>
      <c r="J58" s="10">
        <f>CHOOSE(CONTROL!$C$42, 4.21, 4.21)* CHOOSE(CONTROL!$C$21, $C$9, 100%, $E$9)</f>
        <v>4.21</v>
      </c>
      <c r="K58" s="54"/>
      <c r="L58" s="10">
        <f>CHOOSE(CONTROL!$C$42, 5.057, 5.057) * CHOOSE(CONTROL!$C$21, $C$9, 100%, $E$9)</f>
        <v>5.0570000000000004</v>
      </c>
      <c r="M58" s="10">
        <f>CHOOSE(CONTROL!$C$42, 4.1813, 4.1813) * CHOOSE(CONTROL!$C$21, $C$9, 100%, $E$9)</f>
        <v>4.1813000000000002</v>
      </c>
      <c r="N58" s="10">
        <f>CHOOSE(CONTROL!$C$42, 4.1981, 4.1981) * CHOOSE(CONTROL!$C$21, $C$9, 100%, $E$9)</f>
        <v>4.1981000000000002</v>
      </c>
      <c r="O58" s="10">
        <f>CHOOSE(CONTROL!$C$42, 4.4387, 4.4387) * CHOOSE(CONTROL!$C$21, $C$9, 100%, $E$9)</f>
        <v>4.4386999999999999</v>
      </c>
      <c r="P58" s="10">
        <f>CHOOSE(CONTROL!$C$42, 4.1878, 4.1878) * CHOOSE(CONTROL!$C$21, $C$9, 100%, $E$9)</f>
        <v>4.1878000000000002</v>
      </c>
      <c r="Q58" s="10">
        <f>CHOOSE(CONTROL!$C$42, 5.034, 5.034) * CHOOSE(CONTROL!$C$21, $C$9, 100%, $E$9)</f>
        <v>5.0339999999999998</v>
      </c>
      <c r="R58" s="10">
        <f>CHOOSE(CONTROL!$C$42, 5.6336, 5.6336) * CHOOSE(CONTROL!$C$21, $C$9, 100%, $E$9)</f>
        <v>5.6336000000000004</v>
      </c>
      <c r="S58" s="10">
        <f>CHOOSE(CONTROL!$C$42, 4.1228, 4.1228) * CHOOSE(CONTROL!$C$21, $C$9, 100%, $E$9)</f>
        <v>4.1227999999999998</v>
      </c>
      <c r="T58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58" s="58">
        <f>(1000*CHOOSE(CONTROL!$C$42, 695, 695)*CHOOSE(CONTROL!$C$42, 0.5599, 0.5599)*CHOOSE(CONTROL!$C$42, 31, 31))/1000000</f>
        <v>12.063045499999998</v>
      </c>
      <c r="V58" s="58">
        <f>(1000*CHOOSE(CONTROL!$C$42, 580, 580)*CHOOSE(CONTROL!$C$42, 0.275, 0.275)*CHOOSE(CONTROL!$C$42, 31, 31))/1000000</f>
        <v>4.9444999999999997</v>
      </c>
      <c r="W58" s="58">
        <f>(1000*CHOOSE(CONTROL!$C$42, 0.1146, 0.1146)*CHOOSE(CONTROL!$C$42, 121.5, 121.5)*CHOOSE(CONTROL!$C$42, 31, 31))/1000000</f>
        <v>0.43164089999999994</v>
      </c>
      <c r="X58" s="58">
        <f>(31*0.1790888*245000/1000000)+(31*0.2374*100000/1000000)</f>
        <v>2.0961194359999999</v>
      </c>
      <c r="Y58" s="58"/>
      <c r="Z58" s="10"/>
      <c r="AA58" s="57"/>
      <c r="AB58" s="51">
        <f>(B58*131.881+C58*277.167+D58*79.08+E58*125.872+F58*40+G58*185+H58*0+I58*100+J58*300)/(131.881+277.167+79.08+125.872+0+40+185+100+300)</f>
        <v>4.2708095699757864</v>
      </c>
      <c r="AC58" s="27">
        <f>(M58*'RAP TEMPLATE-GAS AVAILABILITY'!O57+N58*'RAP TEMPLATE-GAS AVAILABILITY'!P57+O58*'RAP TEMPLATE-GAS AVAILABILITY'!Q57+P58*'RAP TEMPLATE-GAS AVAILABILITY'!R57)/('RAP TEMPLATE-GAS AVAILABILITY'!O57+'RAP TEMPLATE-GAS AVAILABILITY'!P57+'RAP TEMPLATE-GAS AVAILABILITY'!Q57+'RAP TEMPLATE-GAS AVAILABILITY'!R57)</f>
        <v>4.2583230215827337</v>
      </c>
    </row>
    <row r="59" spans="1:29" ht="15.75" x14ac:dyDescent="0.25">
      <c r="A59" s="16">
        <v>42675</v>
      </c>
      <c r="B59" s="10">
        <f>CHOOSE(CONTROL!$C$42, 4.3043, 4.3043) * CHOOSE(CONTROL!$C$21, $C$9, 100%, $E$9)</f>
        <v>4.3042999999999996</v>
      </c>
      <c r="C59" s="10">
        <f>CHOOSE(CONTROL!$C$42, 4.3093, 4.3093) * CHOOSE(CONTROL!$C$21, $C$9, 100%, $E$9)</f>
        <v>4.3093000000000004</v>
      </c>
      <c r="D59" s="10">
        <f>CHOOSE(CONTROL!$C$42, 4.3389, 4.3389) * CHOOSE(CONTROL!$C$21, $C$9, 100%, $E$9)</f>
        <v>4.3388999999999998</v>
      </c>
      <c r="E59" s="10">
        <f>CHOOSE(CONTROL!$C$42, 4.3727, 4.3727) * CHOOSE(CONTROL!$C$21, $C$9, 100%, $E$9)</f>
        <v>4.3727</v>
      </c>
      <c r="F59" s="10">
        <f>CHOOSE(CONTROL!$C$42, 4.2711, 4.2711)*CHOOSE(CONTROL!$C$21, $C$9, 100%, $E$9)</f>
        <v>4.2710999999999997</v>
      </c>
      <c r="G59" s="10">
        <f>CHOOSE(CONTROL!$C$42, 4.2882, 4.2882)*CHOOSE(CONTROL!$C$21, $C$9, 100%, $E$9)</f>
        <v>4.2881999999999998</v>
      </c>
      <c r="H59" s="10">
        <f>CHOOSE(CONTROL!$C$42, 4.3619, 4.3619) * CHOOSE(CONTROL!$C$21, $C$9, 100%, $E$9)</f>
        <v>4.3619000000000003</v>
      </c>
      <c r="I59" s="10">
        <f>CHOOSE(CONTROL!$C$42, 4.2679, 4.2679)* CHOOSE(CONTROL!$C$21, $C$9, 100%, $E$9)</f>
        <v>4.2679</v>
      </c>
      <c r="J59" s="10">
        <f>CHOOSE(CONTROL!$C$42, 4.2641, 4.2641)* CHOOSE(CONTROL!$C$21, $C$9, 100%, $E$9)</f>
        <v>4.2641</v>
      </c>
      <c r="K59" s="54"/>
      <c r="L59" s="10">
        <f>CHOOSE(CONTROL!$C$42, 4.9489, 4.9489) * CHOOSE(CONTROL!$C$21, $C$9, 100%, $E$9)</f>
        <v>4.9489000000000001</v>
      </c>
      <c r="M59" s="10">
        <f>CHOOSE(CONTROL!$C$42, 4.2349, 4.2349) * CHOOSE(CONTROL!$C$21, $C$9, 100%, $E$9)</f>
        <v>4.2348999999999997</v>
      </c>
      <c r="N59" s="10">
        <f>CHOOSE(CONTROL!$C$42, 4.2519, 4.2519) * CHOOSE(CONTROL!$C$21, $C$9, 100%, $E$9)</f>
        <v>4.2519</v>
      </c>
      <c r="O59" s="10">
        <f>CHOOSE(CONTROL!$C$42, 4.3317, 4.3317) * CHOOSE(CONTROL!$C$21, $C$9, 100%, $E$9)</f>
        <v>4.3316999999999997</v>
      </c>
      <c r="P59" s="10">
        <f>CHOOSE(CONTROL!$C$42, 4.2387, 4.2387) * CHOOSE(CONTROL!$C$21, $C$9, 100%, $E$9)</f>
        <v>4.2386999999999997</v>
      </c>
      <c r="Q59" s="10">
        <f>CHOOSE(CONTROL!$C$42, 4.927, 4.927) * CHOOSE(CONTROL!$C$21, $C$9, 100%, $E$9)</f>
        <v>4.9269999999999996</v>
      </c>
      <c r="R59" s="10">
        <f>CHOOSE(CONTROL!$C$42, 5.5263, 5.5263) * CHOOSE(CONTROL!$C$21, $C$9, 100%, $E$9)</f>
        <v>5.5263</v>
      </c>
      <c r="S59" s="10">
        <f>CHOOSE(CONTROL!$C$42, 4.1778, 4.1778) * CHOOSE(CONTROL!$C$21, $C$9, 100%, $E$9)</f>
        <v>4.1778000000000004</v>
      </c>
      <c r="T59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59" s="58">
        <f>(1000*CHOOSE(CONTROL!$C$42, 695, 695)*CHOOSE(CONTROL!$C$42, 0.5599, 0.5599)*CHOOSE(CONTROL!$C$42, 30, 30))/1000000</f>
        <v>11.673914999999997</v>
      </c>
      <c r="V59" s="58">
        <f>(1000*CHOOSE(CONTROL!$C$42, 580, 580)*CHOOSE(CONTROL!$C$42, 0.275, 0.275)*CHOOSE(CONTROL!$C$42, 30, 30))/1000000</f>
        <v>4.7850000000000001</v>
      </c>
      <c r="W59" s="58">
        <f>(1000*CHOOSE(CONTROL!$C$42, 0.1146, 0.1146)*CHOOSE(CONTROL!$C$42, 121.5, 121.5)*CHOOSE(CONTROL!$C$42, 30, 30))/1000000</f>
        <v>0.417717</v>
      </c>
      <c r="X59" s="58">
        <f>(30*0.1790888*100000/1000000)+(30*0.2374*100000/1000000)</f>
        <v>1.2494664</v>
      </c>
      <c r="Y59" s="58"/>
      <c r="Z59" s="10"/>
      <c r="AA59" s="57"/>
      <c r="AB59" s="51">
        <f>(B59*122.58+C59*297.941+D59*89.177+E59*40.302+F59*40+G59*160+H59*0+I59*100+J59*300)/(122.58+297.941+89.177+40.302+0+40+160+100+300)</f>
        <v>4.2936285965217396</v>
      </c>
      <c r="AC59" s="27">
        <f>(M59*'RAP TEMPLATE-GAS AVAILABILITY'!O58+N59*'RAP TEMPLATE-GAS AVAILABILITY'!P58+O59*'RAP TEMPLATE-GAS AVAILABILITY'!Q58+P59*'RAP TEMPLATE-GAS AVAILABILITY'!R58)/('RAP TEMPLATE-GAS AVAILABILITY'!O58+'RAP TEMPLATE-GAS AVAILABILITY'!P58+'RAP TEMPLATE-GAS AVAILABILITY'!Q58+'RAP TEMPLATE-GAS AVAILABILITY'!R58)</f>
        <v>4.2802985611510787</v>
      </c>
    </row>
    <row r="60" spans="1:29" ht="15.75" x14ac:dyDescent="0.25">
      <c r="A60" s="16">
        <v>42705</v>
      </c>
      <c r="B60" s="10">
        <f>CHOOSE(CONTROL!$C$42, 4.4382, 4.4382) * CHOOSE(CONTROL!$C$21, $C$9, 100%, $E$9)</f>
        <v>4.4382000000000001</v>
      </c>
      <c r="C60" s="10">
        <f>CHOOSE(CONTROL!$C$42, 4.4431, 4.4431) * CHOOSE(CONTROL!$C$21, $C$9, 100%, $E$9)</f>
        <v>4.4431000000000003</v>
      </c>
      <c r="D60" s="10">
        <f>CHOOSE(CONTROL!$C$42, 4.4728, 4.4728) * CHOOSE(CONTROL!$C$21, $C$9, 100%, $E$9)</f>
        <v>4.4728000000000003</v>
      </c>
      <c r="E60" s="10">
        <f>CHOOSE(CONTROL!$C$42, 4.5065, 4.5065) * CHOOSE(CONTROL!$C$21, $C$9, 100%, $E$9)</f>
        <v>4.5065</v>
      </c>
      <c r="F60" s="10">
        <f>CHOOSE(CONTROL!$C$42, 4.4064, 4.4064)*CHOOSE(CONTROL!$C$21, $C$9, 100%, $E$9)</f>
        <v>4.4063999999999997</v>
      </c>
      <c r="G60" s="10">
        <f>CHOOSE(CONTROL!$C$42, 4.4239, 4.4239)*CHOOSE(CONTROL!$C$21, $C$9, 100%, $E$9)</f>
        <v>4.4238999999999997</v>
      </c>
      <c r="H60" s="10">
        <f>CHOOSE(CONTROL!$C$42, 4.4957, 4.4957) * CHOOSE(CONTROL!$C$21, $C$9, 100%, $E$9)</f>
        <v>4.4957000000000003</v>
      </c>
      <c r="I60" s="10">
        <f>CHOOSE(CONTROL!$C$42, 4.4018, 4.4018)* CHOOSE(CONTROL!$C$21, $C$9, 100%, $E$9)</f>
        <v>4.4017999999999997</v>
      </c>
      <c r="J60" s="10">
        <f>CHOOSE(CONTROL!$C$42, 4.3994, 4.3994)* CHOOSE(CONTROL!$C$21, $C$9, 100%, $E$9)</f>
        <v>4.3994</v>
      </c>
      <c r="K60" s="54"/>
      <c r="L60" s="10">
        <f>CHOOSE(CONTROL!$C$42, 5.0827, 5.0827) * CHOOSE(CONTROL!$C$21, $C$9, 100%, $E$9)</f>
        <v>5.0827</v>
      </c>
      <c r="M60" s="10">
        <f>CHOOSE(CONTROL!$C$42, 4.3688, 4.3688) * CHOOSE(CONTROL!$C$21, $C$9, 100%, $E$9)</f>
        <v>4.3688000000000002</v>
      </c>
      <c r="N60" s="10">
        <f>CHOOSE(CONTROL!$C$42, 4.3862, 4.3862) * CHOOSE(CONTROL!$C$21, $C$9, 100%, $E$9)</f>
        <v>4.3861999999999997</v>
      </c>
      <c r="O60" s="10">
        <f>CHOOSE(CONTROL!$C$42, 4.4642, 4.4642) * CHOOSE(CONTROL!$C$21, $C$9, 100%, $E$9)</f>
        <v>4.4641999999999999</v>
      </c>
      <c r="P60" s="10">
        <f>CHOOSE(CONTROL!$C$42, 4.3712, 4.3712) * CHOOSE(CONTROL!$C$21, $C$9, 100%, $E$9)</f>
        <v>4.3712</v>
      </c>
      <c r="Q60" s="10">
        <f>CHOOSE(CONTROL!$C$42, 5.0595, 5.0595) * CHOOSE(CONTROL!$C$21, $C$9, 100%, $E$9)</f>
        <v>5.0594999999999999</v>
      </c>
      <c r="R60" s="10">
        <f>CHOOSE(CONTROL!$C$42, 5.6591, 5.6591) * CHOOSE(CONTROL!$C$21, $C$9, 100%, $E$9)</f>
        <v>5.6590999999999996</v>
      </c>
      <c r="S60" s="10">
        <f>CHOOSE(CONTROL!$C$42, 4.3078, 4.3078) * CHOOSE(CONTROL!$C$21, $C$9, 100%, $E$9)</f>
        <v>4.3078000000000003</v>
      </c>
      <c r="T60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60" s="58">
        <f>(1000*CHOOSE(CONTROL!$C$42, 695, 695)*CHOOSE(CONTROL!$C$42, 0.5599, 0.5599)*CHOOSE(CONTROL!$C$42, 31, 31))/1000000</f>
        <v>12.063045499999998</v>
      </c>
      <c r="V60" s="58">
        <f>(1000*CHOOSE(CONTROL!$C$42, 580, 580)*CHOOSE(CONTROL!$C$42, 0.275, 0.275)*CHOOSE(CONTROL!$C$42, 31, 31))/1000000</f>
        <v>4.9444999999999997</v>
      </c>
      <c r="W60" s="58">
        <f>(1000*CHOOSE(CONTROL!$C$42, 0.1146, 0.1146)*CHOOSE(CONTROL!$C$42, 121.5, 121.5)*CHOOSE(CONTROL!$C$42, 31, 31))/1000000</f>
        <v>0.43164089999999994</v>
      </c>
      <c r="X60" s="58">
        <f>(31*0.1790888*100000/1000000)+(31*0.2374*100000/1000000)</f>
        <v>1.2911152800000001</v>
      </c>
      <c r="Y60" s="58"/>
      <c r="Z60" s="10"/>
      <c r="AA60" s="57"/>
      <c r="AB60" s="51">
        <f>(B60*122.58+C60*297.941+D60*89.177+E60*40.302+F60*40+G60*160+H60*0+I60*100+J60*300)/(122.58+297.941+89.177+40.302+0+40+160+100+300)</f>
        <v>4.428163531913043</v>
      </c>
      <c r="AC60" s="27">
        <f>(M60*'RAP TEMPLATE-GAS AVAILABILITY'!O59+N60*'RAP TEMPLATE-GAS AVAILABILITY'!P59+O60*'RAP TEMPLATE-GAS AVAILABILITY'!Q59+P60*'RAP TEMPLATE-GAS AVAILABILITY'!R59)/('RAP TEMPLATE-GAS AVAILABILITY'!O59+'RAP TEMPLATE-GAS AVAILABILITY'!P59+'RAP TEMPLATE-GAS AVAILABILITY'!Q59+'RAP TEMPLATE-GAS AVAILABILITY'!R59)</f>
        <v>4.4133856115107912</v>
      </c>
    </row>
    <row r="61" spans="1:29" ht="15.75" x14ac:dyDescent="0.25">
      <c r="A61" s="16">
        <v>42736</v>
      </c>
      <c r="B61" s="10">
        <f>CHOOSE(CONTROL!$C$42, 4.7995, 4.7995) * CHOOSE(CONTROL!$C$21, $C$9, 100%, $E$9)</f>
        <v>4.7995000000000001</v>
      </c>
      <c r="C61" s="10">
        <f>CHOOSE(CONTROL!$C$42, 4.8045, 4.8045) * CHOOSE(CONTROL!$C$21, $C$9, 100%, $E$9)</f>
        <v>4.8045</v>
      </c>
      <c r="D61" s="10">
        <f>CHOOSE(CONTROL!$C$42, 4.8547, 4.8547) * CHOOSE(CONTROL!$C$21, $C$9, 100%, $E$9)</f>
        <v>4.8547000000000002</v>
      </c>
      <c r="E61" s="10">
        <f>CHOOSE(CONTROL!$C$42, 4.8885, 4.8885) * CHOOSE(CONTROL!$C$21, $C$9, 100%, $E$9)</f>
        <v>4.8884999999999996</v>
      </c>
      <c r="F61" s="10">
        <f>CHOOSE(CONTROL!$C$42, 4.7649, 4.7649)*CHOOSE(CONTROL!$C$21, $C$9, 100%, $E$9)</f>
        <v>4.7648999999999999</v>
      </c>
      <c r="G61" s="10">
        <f>CHOOSE(CONTROL!$C$42, 4.7824, 4.7824)*CHOOSE(CONTROL!$C$21, $C$9, 100%, $E$9)</f>
        <v>4.7824</v>
      </c>
      <c r="H61" s="10">
        <f>CHOOSE(CONTROL!$C$42, 4.8776, 4.8776) * CHOOSE(CONTROL!$C$21, $C$9, 100%, $E$9)</f>
        <v>4.8776000000000002</v>
      </c>
      <c r="I61" s="10">
        <f>CHOOSE(CONTROL!$C$42, 4.7734, 4.7734)* CHOOSE(CONTROL!$C$21, $C$9, 100%, $E$9)</f>
        <v>4.7733999999999996</v>
      </c>
      <c r="J61" s="10">
        <f>CHOOSE(CONTROL!$C$42, 4.7579, 4.7579)* CHOOSE(CONTROL!$C$21, $C$9, 100%, $E$9)</f>
        <v>4.7579000000000002</v>
      </c>
      <c r="K61" s="54">
        <f>CHOOSE(CONTROL!$C$42, 4.7695, 4.7695) * CHOOSE(CONTROL!$C$21, $C$9, 100%, $E$9)</f>
        <v>4.7694999999999999</v>
      </c>
      <c r="L61" s="10">
        <f>CHOOSE(CONTROL!$C$42, 5.4646, 5.4646) * CHOOSE(CONTROL!$C$21, $C$9, 100%, $E$9)</f>
        <v>5.4645999999999999</v>
      </c>
      <c r="M61" s="10">
        <f>CHOOSE(CONTROL!$C$42, 4.7237, 4.7237) * CHOOSE(CONTROL!$C$21, $C$9, 100%, $E$9)</f>
        <v>4.7237</v>
      </c>
      <c r="N61" s="10">
        <f>CHOOSE(CONTROL!$C$42, 4.7411, 4.7411) * CHOOSE(CONTROL!$C$21, $C$9, 100%, $E$9)</f>
        <v>4.7411000000000003</v>
      </c>
      <c r="O61" s="10">
        <f>CHOOSE(CONTROL!$C$42, 4.8423, 4.8423) * CHOOSE(CONTROL!$C$21, $C$9, 100%, $E$9)</f>
        <v>4.8422999999999998</v>
      </c>
      <c r="P61" s="10">
        <f>CHOOSE(CONTROL!$C$42, 4.7391, 4.7391) * CHOOSE(CONTROL!$C$21, $C$9, 100%, $E$9)</f>
        <v>4.7390999999999996</v>
      </c>
      <c r="Q61" s="10">
        <f>CHOOSE(CONTROL!$C$42, 5.4376, 5.4376) * CHOOSE(CONTROL!$C$21, $C$9, 100%, $E$9)</f>
        <v>5.4375999999999998</v>
      </c>
      <c r="R61" s="10">
        <f>CHOOSE(CONTROL!$C$42, 6.0381, 6.0381) * CHOOSE(CONTROL!$C$21, $C$9, 100%, $E$9)</f>
        <v>6.0381</v>
      </c>
      <c r="S61" s="10">
        <f>CHOOSE(CONTROL!$C$42, 4.6587, 4.6587) * CHOOSE(CONTROL!$C$21, $C$9, 100%, $E$9)</f>
        <v>4.6586999999999996</v>
      </c>
      <c r="T61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61" s="58">
        <f>(1000*CHOOSE(CONTROL!$C$42, 695, 695)*CHOOSE(CONTROL!$C$42, 0.5599, 0.5599)*CHOOSE(CONTROL!$C$42, 31, 31))/1000000</f>
        <v>12.063045499999998</v>
      </c>
      <c r="V61" s="58">
        <f>(1000*CHOOSE(CONTROL!$C$42, 580, 580)*CHOOSE(CONTROL!$C$42, 0.275, 0.275)*CHOOSE(CONTROL!$C$42, 31, 31))/1000000</f>
        <v>4.9444999999999997</v>
      </c>
      <c r="W61" s="58">
        <f>(1000*CHOOSE(CONTROL!$C$42, 0.1146, 0.1146)*CHOOSE(CONTROL!$C$42, 121.5, 121.5)*CHOOSE(CONTROL!$C$42, 31, 31))/1000000</f>
        <v>0.43164089999999994</v>
      </c>
      <c r="X61" s="58">
        <f>(31*0.1790888*100000/1000000)+(31*0.2374*100000/1000000)</f>
        <v>1.2911152800000001</v>
      </c>
      <c r="Y61" s="58"/>
      <c r="Z61" s="10"/>
      <c r="AA61" s="57"/>
      <c r="AB61" s="51">
        <f>(B61*122.58+C61*297.941+D61*89.177+E61*40.302+F61*40+G61*160+H61*0+I61*100+J61*300)/(122.58+297.941+89.177+40.302+0+40+160+100+300)</f>
        <v>4.7914905681739128</v>
      </c>
      <c r="AC61" s="27">
        <f>(M61*'RAP TEMPLATE-GAS AVAILABILITY'!O60+N61*'RAP TEMPLATE-GAS AVAILABILITY'!P60+O61*'RAP TEMPLATE-GAS AVAILABILITY'!Q60+P61*'RAP TEMPLATE-GAS AVAILABILITY'!R60)/('RAP TEMPLATE-GAS AVAILABILITY'!O60+'RAP TEMPLATE-GAS AVAILABILITY'!P60+'RAP TEMPLATE-GAS AVAILABILITY'!Q60+'RAP TEMPLATE-GAS AVAILABILITY'!R60)</f>
        <v>4.7806712230215824</v>
      </c>
    </row>
    <row r="62" spans="1:29" ht="15.75" x14ac:dyDescent="0.25">
      <c r="A62" s="16">
        <v>42767</v>
      </c>
      <c r="B62" s="10">
        <f>CHOOSE(CONTROL!$C$42, 4.8849, 4.8849) * CHOOSE(CONTROL!$C$21, $C$9, 100%, $E$9)</f>
        <v>4.8849</v>
      </c>
      <c r="C62" s="10">
        <f>CHOOSE(CONTROL!$C$42, 4.8899, 4.8899) * CHOOSE(CONTROL!$C$21, $C$9, 100%, $E$9)</f>
        <v>4.8898999999999999</v>
      </c>
      <c r="D62" s="10">
        <f>CHOOSE(CONTROL!$C$42, 4.9504, 4.9504) * CHOOSE(CONTROL!$C$21, $C$9, 100%, $E$9)</f>
        <v>4.9504000000000001</v>
      </c>
      <c r="E62" s="10">
        <f>CHOOSE(CONTROL!$C$42, 4.9841, 4.9841) * CHOOSE(CONTROL!$C$21, $C$9, 100%, $E$9)</f>
        <v>4.9840999999999998</v>
      </c>
      <c r="F62" s="10">
        <f>CHOOSE(CONTROL!$C$42, 4.8781, 4.8781)*CHOOSE(CONTROL!$C$21, $C$9, 100%, $E$9)</f>
        <v>4.8780999999999999</v>
      </c>
      <c r="G62" s="10">
        <f>CHOOSE(CONTROL!$C$42, 4.8954, 4.8954)*CHOOSE(CONTROL!$C$21, $C$9, 100%, $E$9)</f>
        <v>4.8954000000000004</v>
      </c>
      <c r="H62" s="10">
        <f>CHOOSE(CONTROL!$C$42, 4.9733, 4.9733) * CHOOSE(CONTROL!$C$21, $C$9, 100%, $E$9)</f>
        <v>4.9733000000000001</v>
      </c>
      <c r="I62" s="10">
        <f>CHOOSE(CONTROL!$C$42, 4.8717, 4.8717)* CHOOSE(CONTROL!$C$21, $C$9, 100%, $E$9)</f>
        <v>4.8716999999999997</v>
      </c>
      <c r="J62" s="10">
        <f>CHOOSE(CONTROL!$C$42, 4.8711, 4.8711)* CHOOSE(CONTROL!$C$21, $C$9, 100%, $E$9)</f>
        <v>4.8711000000000002</v>
      </c>
      <c r="K62" s="54">
        <f>CHOOSE(CONTROL!$C$42, 4.8678, 4.8678) * CHOOSE(CONTROL!$C$21, $C$9, 100%, $E$9)</f>
        <v>4.8677999999999999</v>
      </c>
      <c r="L62" s="10">
        <f>CHOOSE(CONTROL!$C$42, 5.5603, 5.5603) * CHOOSE(CONTROL!$C$21, $C$9, 100%, $E$9)</f>
        <v>5.5602999999999998</v>
      </c>
      <c r="M62" s="10">
        <f>CHOOSE(CONTROL!$C$42, 4.8358, 4.8358) * CHOOSE(CONTROL!$C$21, $C$9, 100%, $E$9)</f>
        <v>4.8357999999999999</v>
      </c>
      <c r="N62" s="10">
        <f>CHOOSE(CONTROL!$C$42, 4.8529, 4.8529) * CHOOSE(CONTROL!$C$21, $C$9, 100%, $E$9)</f>
        <v>4.8529</v>
      </c>
      <c r="O62" s="10">
        <f>CHOOSE(CONTROL!$C$42, 4.937, 4.937) * CHOOSE(CONTROL!$C$21, $C$9, 100%, $E$9)</f>
        <v>4.9370000000000003</v>
      </c>
      <c r="P62" s="10">
        <f>CHOOSE(CONTROL!$C$42, 4.8364, 4.8364) * CHOOSE(CONTROL!$C$21, $C$9, 100%, $E$9)</f>
        <v>4.8364000000000003</v>
      </c>
      <c r="Q62" s="10">
        <f>CHOOSE(CONTROL!$C$42, 5.5323, 5.5323) * CHOOSE(CONTROL!$C$21, $C$9, 100%, $E$9)</f>
        <v>5.5323000000000002</v>
      </c>
      <c r="R62" s="10">
        <f>CHOOSE(CONTROL!$C$42, 6.1331, 6.1331) * CHOOSE(CONTROL!$C$21, $C$9, 100%, $E$9)</f>
        <v>6.1330999999999998</v>
      </c>
      <c r="S62" s="10">
        <f>CHOOSE(CONTROL!$C$42, 4.7416, 4.7416) * CHOOSE(CONTROL!$C$21, $C$9, 100%, $E$9)</f>
        <v>4.7416</v>
      </c>
      <c r="T62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62" s="58">
        <f>(1000*CHOOSE(CONTROL!$C$42, 695, 695)*CHOOSE(CONTROL!$C$42, 0.5599, 0.5599)*CHOOSE(CONTROL!$C$42, 28, 28))/1000000</f>
        <v>10.895653999999999</v>
      </c>
      <c r="V62" s="58">
        <f>(1000*CHOOSE(CONTROL!$C$42, 580, 580)*CHOOSE(CONTROL!$C$42, 0.275, 0.275)*CHOOSE(CONTROL!$C$42, 28, 28))/1000000</f>
        <v>4.4660000000000002</v>
      </c>
      <c r="W62" s="58">
        <f>(1000*CHOOSE(CONTROL!$C$42, 0.1146, 0.1146)*CHOOSE(CONTROL!$C$42, 121.5, 121.5)*CHOOSE(CONTROL!$C$42, 28, 28))/1000000</f>
        <v>0.38986920000000003</v>
      </c>
      <c r="X62" s="58">
        <f>(28*0.1790888*100000/1000000)+(28*0.2374*100000/1000000)</f>
        <v>1.16616864</v>
      </c>
      <c r="Y62" s="58"/>
      <c r="Z62" s="10"/>
      <c r="AA62" s="57"/>
      <c r="AB62" s="51">
        <f>(B62*122.58+C62*297.941+D62*89.177+E62*40.302+F62*40+G62*160+H62*0+I62*100+J62*300)/(122.58+297.941+89.177+40.302+0+40+160+100+300)</f>
        <v>4.8912276146956524</v>
      </c>
      <c r="AC62" s="27">
        <f>(M62*'RAP TEMPLATE-GAS AVAILABILITY'!O61+N62*'RAP TEMPLATE-GAS AVAILABILITY'!P61+O62*'RAP TEMPLATE-GAS AVAILABILITY'!Q61+P62*'RAP TEMPLATE-GAS AVAILABILITY'!R61)/('RAP TEMPLATE-GAS AVAILABILITY'!O61+'RAP TEMPLATE-GAS AVAILABILITY'!P61+'RAP TEMPLATE-GAS AVAILABILITY'!Q61+'RAP TEMPLATE-GAS AVAILABILITY'!R61)</f>
        <v>4.8827381294964027</v>
      </c>
    </row>
    <row r="63" spans="1:29" ht="15.75" x14ac:dyDescent="0.25">
      <c r="A63" s="16">
        <v>42795</v>
      </c>
      <c r="B63" s="10">
        <f>CHOOSE(CONTROL!$C$42, 4.7463, 4.7463) * CHOOSE(CONTROL!$C$21, $C$9, 100%, $E$9)</f>
        <v>4.7462999999999997</v>
      </c>
      <c r="C63" s="10">
        <f>CHOOSE(CONTROL!$C$42, 4.7513, 4.7513) * CHOOSE(CONTROL!$C$21, $C$9, 100%, $E$9)</f>
        <v>4.7512999999999996</v>
      </c>
      <c r="D63" s="10">
        <f>CHOOSE(CONTROL!$C$42, 4.8118, 4.8118) * CHOOSE(CONTROL!$C$21, $C$9, 100%, $E$9)</f>
        <v>4.8117999999999999</v>
      </c>
      <c r="E63" s="10">
        <f>CHOOSE(CONTROL!$C$42, 4.8455, 4.8455) * CHOOSE(CONTROL!$C$21, $C$9, 100%, $E$9)</f>
        <v>4.8455000000000004</v>
      </c>
      <c r="F63" s="10">
        <f>CHOOSE(CONTROL!$C$42, 4.734, 4.734)*CHOOSE(CONTROL!$C$21, $C$9, 100%, $E$9)</f>
        <v>4.734</v>
      </c>
      <c r="G63" s="10">
        <f>CHOOSE(CONTROL!$C$42, 4.7512, 4.7512)*CHOOSE(CONTROL!$C$21, $C$9, 100%, $E$9)</f>
        <v>4.7511999999999999</v>
      </c>
      <c r="H63" s="10">
        <f>CHOOSE(CONTROL!$C$42, 4.8347, 4.8347) * CHOOSE(CONTROL!$C$21, $C$9, 100%, $E$9)</f>
        <v>4.8346999999999998</v>
      </c>
      <c r="I63" s="10">
        <f>CHOOSE(CONTROL!$C$42, 4.7202, 4.7202)* CHOOSE(CONTROL!$C$21, $C$9, 100%, $E$9)</f>
        <v>4.7202000000000002</v>
      </c>
      <c r="J63" s="10">
        <f>CHOOSE(CONTROL!$C$42, 4.727, 4.727)* CHOOSE(CONTROL!$C$21, $C$9, 100%, $E$9)</f>
        <v>4.7270000000000003</v>
      </c>
      <c r="K63" s="54">
        <f>CHOOSE(CONTROL!$C$42, 4.7163, 4.7163) * CHOOSE(CONTROL!$C$21, $C$9, 100%, $E$9)</f>
        <v>4.7163000000000004</v>
      </c>
      <c r="L63" s="10">
        <f>CHOOSE(CONTROL!$C$42, 5.4217, 5.4217) * CHOOSE(CONTROL!$C$21, $C$9, 100%, $E$9)</f>
        <v>5.4217000000000004</v>
      </c>
      <c r="M63" s="10">
        <f>CHOOSE(CONTROL!$C$42, 4.6931, 4.6931) * CHOOSE(CONTROL!$C$21, $C$9, 100%, $E$9)</f>
        <v>4.6931000000000003</v>
      </c>
      <c r="N63" s="10">
        <f>CHOOSE(CONTROL!$C$42, 4.7102, 4.7102) * CHOOSE(CONTROL!$C$21, $C$9, 100%, $E$9)</f>
        <v>4.7102000000000004</v>
      </c>
      <c r="O63" s="10">
        <f>CHOOSE(CONTROL!$C$42, 4.7998, 4.7998) * CHOOSE(CONTROL!$C$21, $C$9, 100%, $E$9)</f>
        <v>4.7998000000000003</v>
      </c>
      <c r="P63" s="10">
        <f>CHOOSE(CONTROL!$C$42, 4.6864, 4.6864) * CHOOSE(CONTROL!$C$21, $C$9, 100%, $E$9)</f>
        <v>4.6863999999999999</v>
      </c>
      <c r="Q63" s="10">
        <f>CHOOSE(CONTROL!$C$42, 5.3951, 5.3951) * CHOOSE(CONTROL!$C$21, $C$9, 100%, $E$9)</f>
        <v>5.3951000000000002</v>
      </c>
      <c r="R63" s="10">
        <f>CHOOSE(CONTROL!$C$42, 5.9956, 5.9956) * CHOOSE(CONTROL!$C$21, $C$9, 100%, $E$9)</f>
        <v>5.9955999999999996</v>
      </c>
      <c r="S63" s="10">
        <f>CHOOSE(CONTROL!$C$42, 4.607, 4.607) * CHOOSE(CONTROL!$C$21, $C$9, 100%, $E$9)</f>
        <v>4.6070000000000002</v>
      </c>
      <c r="T63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63" s="58">
        <f>(1000*CHOOSE(CONTROL!$C$42, 695, 695)*CHOOSE(CONTROL!$C$42, 0.5599, 0.5599)*CHOOSE(CONTROL!$C$42, 31, 31))/1000000</f>
        <v>12.063045499999998</v>
      </c>
      <c r="V63" s="58">
        <f>(1000*CHOOSE(CONTROL!$C$42, 580, 580)*CHOOSE(CONTROL!$C$42, 0.275, 0.275)*CHOOSE(CONTROL!$C$42, 31, 31))/1000000</f>
        <v>4.9444999999999997</v>
      </c>
      <c r="W63" s="58">
        <f>(1000*CHOOSE(CONTROL!$C$42, 0.1146, 0.1146)*CHOOSE(CONTROL!$C$42, 121.5, 121.5)*CHOOSE(CONTROL!$C$42, 31, 31))/1000000</f>
        <v>0.43164089999999994</v>
      </c>
      <c r="X63" s="58">
        <f>(31*0.1790888*100000/1000000)+(31*0.2374*100000/1000000)</f>
        <v>1.2911152800000001</v>
      </c>
      <c r="Y63" s="58"/>
      <c r="Z63" s="10"/>
      <c r="AA63" s="57"/>
      <c r="AB63" s="51">
        <f>(B63*122.58+C63*297.941+D63*89.177+E63*40.302+F63*40+G63*160+H63*0+I63*100+J63*300)/(122.58+297.941+89.177+40.302+0+40+160+100+300)</f>
        <v>4.749100658173913</v>
      </c>
      <c r="AC63" s="27">
        <f>(M63*'RAP TEMPLATE-GAS AVAILABILITY'!O62+N63*'RAP TEMPLATE-GAS AVAILABILITY'!P62+O63*'RAP TEMPLATE-GAS AVAILABILITY'!Q62+P63*'RAP TEMPLATE-GAS AVAILABILITY'!R62)/('RAP TEMPLATE-GAS AVAILABILITY'!O62+'RAP TEMPLATE-GAS AVAILABILITY'!P62+'RAP TEMPLATE-GAS AVAILABILITY'!Q62+'RAP TEMPLATE-GAS AVAILABILITY'!R62)</f>
        <v>4.741480575539569</v>
      </c>
    </row>
    <row r="64" spans="1:29" ht="15.75" x14ac:dyDescent="0.25">
      <c r="A64" s="16">
        <v>42826</v>
      </c>
      <c r="B64" s="10">
        <f>CHOOSE(CONTROL!$C$42, 4.7333, 4.7333) * CHOOSE(CONTROL!$C$21, $C$9, 100%, $E$9)</f>
        <v>4.7332999999999998</v>
      </c>
      <c r="C64" s="10">
        <f>CHOOSE(CONTROL!$C$42, 4.7376, 4.7376) * CHOOSE(CONTROL!$C$21, $C$9, 100%, $E$9)</f>
        <v>4.7375999999999996</v>
      </c>
      <c r="D64" s="10">
        <f>CHOOSE(CONTROL!$C$42, 4.9332, 4.9332) * CHOOSE(CONTROL!$C$21, $C$9, 100%, $E$9)</f>
        <v>4.9332000000000003</v>
      </c>
      <c r="E64" s="10">
        <f>CHOOSE(CONTROL!$C$42, 4.965, 4.965) * CHOOSE(CONTROL!$C$21, $C$9, 100%, $E$9)</f>
        <v>4.9649999999999999</v>
      </c>
      <c r="F64" s="10">
        <f>CHOOSE(CONTROL!$C$42, 4.7011, 4.7011)*CHOOSE(CONTROL!$C$21, $C$9, 100%, $E$9)</f>
        <v>4.7011000000000003</v>
      </c>
      <c r="G64" s="10">
        <f>CHOOSE(CONTROL!$C$42, 4.7179, 4.7179)*CHOOSE(CONTROL!$C$21, $C$9, 100%, $E$9)</f>
        <v>4.7179000000000002</v>
      </c>
      <c r="H64" s="10">
        <f>CHOOSE(CONTROL!$C$42, 4.9548, 4.9548) * CHOOSE(CONTROL!$C$21, $C$9, 100%, $E$9)</f>
        <v>4.9547999999999996</v>
      </c>
      <c r="I64" s="10">
        <f>CHOOSE(CONTROL!$C$42, 4.7012, 4.7012)* CHOOSE(CONTROL!$C$21, $C$9, 100%, $E$9)</f>
        <v>4.7012</v>
      </c>
      <c r="J64" s="10">
        <f>CHOOSE(CONTROL!$C$42, 4.6941, 4.6941)* CHOOSE(CONTROL!$C$21, $C$9, 100%, $E$9)</f>
        <v>4.6940999999999997</v>
      </c>
      <c r="K64" s="54">
        <f>CHOOSE(CONTROL!$C$42, 4.6973, 4.6973) * CHOOSE(CONTROL!$C$21, $C$9, 100%, $E$9)</f>
        <v>4.6973000000000003</v>
      </c>
      <c r="L64" s="10">
        <f>CHOOSE(CONTROL!$C$42, 5.5418, 5.5418) * CHOOSE(CONTROL!$C$21, $C$9, 100%, $E$9)</f>
        <v>5.5418000000000003</v>
      </c>
      <c r="M64" s="10">
        <f>CHOOSE(CONTROL!$C$42, 4.6605, 4.6605) * CHOOSE(CONTROL!$C$21, $C$9, 100%, $E$9)</f>
        <v>4.6604999999999999</v>
      </c>
      <c r="N64" s="10">
        <f>CHOOSE(CONTROL!$C$42, 4.6771, 4.6771) * CHOOSE(CONTROL!$C$21, $C$9, 100%, $E$9)</f>
        <v>4.6771000000000003</v>
      </c>
      <c r="O64" s="10">
        <f>CHOOSE(CONTROL!$C$42, 4.9186, 4.9186) * CHOOSE(CONTROL!$C$21, $C$9, 100%, $E$9)</f>
        <v>4.9185999999999996</v>
      </c>
      <c r="P64" s="10">
        <f>CHOOSE(CONTROL!$C$42, 4.6677, 4.6677) * CHOOSE(CONTROL!$C$21, $C$9, 100%, $E$9)</f>
        <v>4.6677</v>
      </c>
      <c r="Q64" s="10">
        <f>CHOOSE(CONTROL!$C$42, 5.5139, 5.5139) * CHOOSE(CONTROL!$C$21, $C$9, 100%, $E$9)</f>
        <v>5.5138999999999996</v>
      </c>
      <c r="R64" s="10">
        <f>CHOOSE(CONTROL!$C$42, 6.1147, 6.1147) * CHOOSE(CONTROL!$C$21, $C$9, 100%, $E$9)</f>
        <v>6.1147</v>
      </c>
      <c r="S64" s="10">
        <f>CHOOSE(CONTROL!$C$42, 4.5936, 4.5936) * CHOOSE(CONTROL!$C$21, $C$9, 100%, $E$9)</f>
        <v>4.5936000000000003</v>
      </c>
      <c r="T64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64" s="58">
        <f>(1000*CHOOSE(CONTROL!$C$42, 695, 695)*CHOOSE(CONTROL!$C$42, 0.5599, 0.5599)*CHOOSE(CONTROL!$C$42, 30, 30))/1000000</f>
        <v>11.673914999999997</v>
      </c>
      <c r="V64" s="58">
        <f>(1000*CHOOSE(CONTROL!$C$42, 580, 580)*CHOOSE(CONTROL!$C$42, 0.275, 0.275)*CHOOSE(CONTROL!$C$42, 30, 30))/1000000</f>
        <v>4.7850000000000001</v>
      </c>
      <c r="W64" s="58">
        <f>(1000*CHOOSE(CONTROL!$C$42, 0.1146, 0.1146)*CHOOSE(CONTROL!$C$42, 121.5, 121.5)*CHOOSE(CONTROL!$C$42, 30, 30))/1000000</f>
        <v>0.417717</v>
      </c>
      <c r="X64" s="58">
        <f>(30*0.1790888*245000/1000000)+(30*0.2374*100000/1000000)</f>
        <v>2.0285026799999999</v>
      </c>
      <c r="Y64" s="58"/>
      <c r="Z64" s="10"/>
      <c r="AA64" s="57"/>
      <c r="AB64" s="51">
        <f>(B64*141.293+C64*267.993+D64*115.016+E64*89.698+F64*40+G64*185+H64*0+I64*100+J64*300)/(141.293+267.993+115.016+89.698+0+40+185+100+300)</f>
        <v>4.7541394631961253</v>
      </c>
      <c r="AC64" s="27">
        <f>(M64*'RAP TEMPLATE-GAS AVAILABILITY'!O63+N64*'RAP TEMPLATE-GAS AVAILABILITY'!P63+O64*'RAP TEMPLATE-GAS AVAILABILITY'!Q63+P64*'RAP TEMPLATE-GAS AVAILABILITY'!R63)/('RAP TEMPLATE-GAS AVAILABILITY'!O63+'RAP TEMPLATE-GAS AVAILABILITY'!P63+'RAP TEMPLATE-GAS AVAILABILITY'!Q63+'RAP TEMPLATE-GAS AVAILABILITY'!R63)</f>
        <v>4.7377741007194247</v>
      </c>
    </row>
    <row r="65" spans="1:29" ht="15.75" x14ac:dyDescent="0.25">
      <c r="A65" s="16">
        <v>42856</v>
      </c>
      <c r="B65" s="10">
        <f>CHOOSE(CONTROL!$C$42, 4.7764, 4.7764) * CHOOSE(CONTROL!$C$21, $C$9, 100%, $E$9)</f>
        <v>4.7763999999999998</v>
      </c>
      <c r="C65" s="10">
        <f>CHOOSE(CONTROL!$C$42, 4.7843, 4.7843) * CHOOSE(CONTROL!$C$21, $C$9, 100%, $E$9)</f>
        <v>4.7843</v>
      </c>
      <c r="D65" s="10">
        <f>CHOOSE(CONTROL!$C$42, 4.9768, 4.9768) * CHOOSE(CONTROL!$C$21, $C$9, 100%, $E$9)</f>
        <v>4.9767999999999999</v>
      </c>
      <c r="E65" s="10">
        <f>CHOOSE(CONTROL!$C$42, 5.0079, 5.0079) * CHOOSE(CONTROL!$C$21, $C$9, 100%, $E$9)</f>
        <v>5.0079000000000002</v>
      </c>
      <c r="F65" s="10">
        <f>CHOOSE(CONTROL!$C$42, 4.7427, 4.7427)*CHOOSE(CONTROL!$C$21, $C$9, 100%, $E$9)</f>
        <v>4.7427000000000001</v>
      </c>
      <c r="G65" s="10">
        <f>CHOOSE(CONTROL!$C$42, 4.7598, 4.7598)*CHOOSE(CONTROL!$C$21, $C$9, 100%, $E$9)</f>
        <v>4.7598000000000003</v>
      </c>
      <c r="H65" s="10">
        <f>CHOOSE(CONTROL!$C$42, 4.9965, 4.9965) * CHOOSE(CONTROL!$C$21, $C$9, 100%, $E$9)</f>
        <v>4.9965000000000002</v>
      </c>
      <c r="I65" s="10">
        <f>CHOOSE(CONTROL!$C$42, 4.743, 4.743)* CHOOSE(CONTROL!$C$21, $C$9, 100%, $E$9)</f>
        <v>4.7430000000000003</v>
      </c>
      <c r="J65" s="10">
        <f>CHOOSE(CONTROL!$C$42, 4.7357, 4.7357)* CHOOSE(CONTROL!$C$21, $C$9, 100%, $E$9)</f>
        <v>4.7356999999999996</v>
      </c>
      <c r="K65" s="54">
        <f>CHOOSE(CONTROL!$C$42, 4.7391, 4.7391) * CHOOSE(CONTROL!$C$21, $C$9, 100%, $E$9)</f>
        <v>4.7390999999999996</v>
      </c>
      <c r="L65" s="10">
        <f>CHOOSE(CONTROL!$C$42, 5.5835, 5.5835) * CHOOSE(CONTROL!$C$21, $C$9, 100%, $E$9)</f>
        <v>5.5834999999999999</v>
      </c>
      <c r="M65" s="10">
        <f>CHOOSE(CONTROL!$C$42, 4.7017, 4.7017) * CHOOSE(CONTROL!$C$21, $C$9, 100%, $E$9)</f>
        <v>4.7016999999999998</v>
      </c>
      <c r="N65" s="10">
        <f>CHOOSE(CONTROL!$C$42, 4.7186, 4.7186) * CHOOSE(CONTROL!$C$21, $C$9, 100%, $E$9)</f>
        <v>4.7186000000000003</v>
      </c>
      <c r="O65" s="10">
        <f>CHOOSE(CONTROL!$C$42, 4.9599, 4.9599) * CHOOSE(CONTROL!$C$21, $C$9, 100%, $E$9)</f>
        <v>4.9599000000000002</v>
      </c>
      <c r="P65" s="10">
        <f>CHOOSE(CONTROL!$C$42, 4.709, 4.709) * CHOOSE(CONTROL!$C$21, $C$9, 100%, $E$9)</f>
        <v>4.7089999999999996</v>
      </c>
      <c r="Q65" s="10">
        <f>CHOOSE(CONTROL!$C$42, 5.5552, 5.5552) * CHOOSE(CONTROL!$C$21, $C$9, 100%, $E$9)</f>
        <v>5.5552000000000001</v>
      </c>
      <c r="R65" s="10">
        <f>CHOOSE(CONTROL!$C$42, 6.1561, 6.1561) * CHOOSE(CONTROL!$C$21, $C$9, 100%, $E$9)</f>
        <v>6.1561000000000003</v>
      </c>
      <c r="S65" s="10">
        <f>CHOOSE(CONTROL!$C$42, 4.6341, 4.6341) * CHOOSE(CONTROL!$C$21, $C$9, 100%, $E$9)</f>
        <v>4.6341000000000001</v>
      </c>
      <c r="T65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65" s="58">
        <f>(1000*CHOOSE(CONTROL!$C$42, 695, 695)*CHOOSE(CONTROL!$C$42, 0.5599, 0.5599)*CHOOSE(CONTROL!$C$42, 31, 31))/1000000</f>
        <v>12.063045499999998</v>
      </c>
      <c r="V65" s="58">
        <f>(1000*CHOOSE(CONTROL!$C$42, 580, 580)*CHOOSE(CONTROL!$C$42, 0.275, 0.275)*CHOOSE(CONTROL!$C$42, 31, 31))/1000000</f>
        <v>4.9444999999999997</v>
      </c>
      <c r="W65" s="58">
        <f>(1000*CHOOSE(CONTROL!$C$42, 0.1146, 0.1146)*CHOOSE(CONTROL!$C$42, 121.5, 121.5)*CHOOSE(CONTROL!$C$42, 31, 31))/1000000</f>
        <v>0.43164089999999994</v>
      </c>
      <c r="X65" s="58">
        <f>(31*0.1790888*245000/1000000)+(31*0.2374*100000/1000000)</f>
        <v>2.0961194359999999</v>
      </c>
      <c r="Y65" s="58"/>
      <c r="Z65" s="10"/>
      <c r="AA65" s="57"/>
      <c r="AB65" s="51">
        <f>(B65*194.205+C65*267.466+D65*133.845+E65*53.484+F65*40+G65*185+H65*0+I65*100+J65*300)/(194.205+267.466+133.845+53.484+0+40+185+100+300)</f>
        <v>4.793156723233909</v>
      </c>
      <c r="AC65" s="27">
        <f>(M65*'RAP TEMPLATE-GAS AVAILABILITY'!O64+N65*'RAP TEMPLATE-GAS AVAILABILITY'!P64+O65*'RAP TEMPLATE-GAS AVAILABILITY'!Q64+P65*'RAP TEMPLATE-GAS AVAILABILITY'!R64)/('RAP TEMPLATE-GAS AVAILABILITY'!O64+'RAP TEMPLATE-GAS AVAILABILITY'!P64+'RAP TEMPLATE-GAS AVAILABILITY'!Q64+'RAP TEMPLATE-GAS AVAILABILITY'!R64)</f>
        <v>4.7790856115107916</v>
      </c>
    </row>
    <row r="66" spans="1:29" ht="15.75" x14ac:dyDescent="0.25">
      <c r="A66" s="16">
        <v>42887</v>
      </c>
      <c r="B66" s="10">
        <f>CHOOSE(CONTROL!$C$42, 4.9117, 4.9117) * CHOOSE(CONTROL!$C$21, $C$9, 100%, $E$9)</f>
        <v>4.9116999999999997</v>
      </c>
      <c r="C66" s="10">
        <f>CHOOSE(CONTROL!$C$42, 4.9197, 4.9197) * CHOOSE(CONTROL!$C$21, $C$9, 100%, $E$9)</f>
        <v>4.9196999999999997</v>
      </c>
      <c r="D66" s="10">
        <f>CHOOSE(CONTROL!$C$42, 5.1121, 5.1121) * CHOOSE(CONTROL!$C$21, $C$9, 100%, $E$9)</f>
        <v>5.1120999999999999</v>
      </c>
      <c r="E66" s="10">
        <f>CHOOSE(CONTROL!$C$42, 5.1432, 5.1432) * CHOOSE(CONTROL!$C$21, $C$9, 100%, $E$9)</f>
        <v>5.1432000000000002</v>
      </c>
      <c r="F66" s="10">
        <f>CHOOSE(CONTROL!$C$42, 4.8782, 4.8782)*CHOOSE(CONTROL!$C$21, $C$9, 100%, $E$9)</f>
        <v>4.8781999999999996</v>
      </c>
      <c r="G66" s="10">
        <f>CHOOSE(CONTROL!$C$42, 4.8954, 4.8954)*CHOOSE(CONTROL!$C$21, $C$9, 100%, $E$9)</f>
        <v>4.8954000000000004</v>
      </c>
      <c r="H66" s="10">
        <f>CHOOSE(CONTROL!$C$42, 5.1319, 5.1319) * CHOOSE(CONTROL!$C$21, $C$9, 100%, $E$9)</f>
        <v>5.1318999999999999</v>
      </c>
      <c r="I66" s="10">
        <f>CHOOSE(CONTROL!$C$42, 4.8783, 4.8783)* CHOOSE(CONTROL!$C$21, $C$9, 100%, $E$9)</f>
        <v>4.8783000000000003</v>
      </c>
      <c r="J66" s="10">
        <f>CHOOSE(CONTROL!$C$42, 4.8712, 4.8712)* CHOOSE(CONTROL!$C$21, $C$9, 100%, $E$9)</f>
        <v>4.8712</v>
      </c>
      <c r="K66" s="54">
        <f>CHOOSE(CONTROL!$C$42, 4.8744, 4.8744) * CHOOSE(CONTROL!$C$21, $C$9, 100%, $E$9)</f>
        <v>4.8743999999999996</v>
      </c>
      <c r="L66" s="10">
        <f>CHOOSE(CONTROL!$C$42, 5.7189, 5.7189) * CHOOSE(CONTROL!$C$21, $C$9, 100%, $E$9)</f>
        <v>5.7188999999999997</v>
      </c>
      <c r="M66" s="10">
        <f>CHOOSE(CONTROL!$C$42, 4.8359, 4.8359) * CHOOSE(CONTROL!$C$21, $C$9, 100%, $E$9)</f>
        <v>4.8358999999999996</v>
      </c>
      <c r="N66" s="10">
        <f>CHOOSE(CONTROL!$C$42, 4.8529, 4.8529) * CHOOSE(CONTROL!$C$21, $C$9, 100%, $E$9)</f>
        <v>4.8529</v>
      </c>
      <c r="O66" s="10">
        <f>CHOOSE(CONTROL!$C$42, 5.0939, 5.0939) * CHOOSE(CONTROL!$C$21, $C$9, 100%, $E$9)</f>
        <v>5.0938999999999997</v>
      </c>
      <c r="P66" s="10">
        <f>CHOOSE(CONTROL!$C$42, 4.8429, 4.8429) * CHOOSE(CONTROL!$C$21, $C$9, 100%, $E$9)</f>
        <v>4.8429000000000002</v>
      </c>
      <c r="Q66" s="10">
        <f>CHOOSE(CONTROL!$C$42, 5.6892, 5.6892) * CHOOSE(CONTROL!$C$21, $C$9, 100%, $E$9)</f>
        <v>5.6891999999999996</v>
      </c>
      <c r="R66" s="10">
        <f>CHOOSE(CONTROL!$C$42, 6.2904, 6.2904) * CHOOSE(CONTROL!$C$21, $C$9, 100%, $E$9)</f>
        <v>6.2904</v>
      </c>
      <c r="S66" s="10">
        <f>CHOOSE(CONTROL!$C$42, 4.7655, 4.7655) * CHOOSE(CONTROL!$C$21, $C$9, 100%, $E$9)</f>
        <v>4.7655000000000003</v>
      </c>
      <c r="T66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66" s="58">
        <f>(1000*CHOOSE(CONTROL!$C$42, 695, 695)*CHOOSE(CONTROL!$C$42, 0.5599, 0.5599)*CHOOSE(CONTROL!$C$42, 30, 30))/1000000</f>
        <v>11.673914999999997</v>
      </c>
      <c r="V66" s="58">
        <f>(1000*CHOOSE(CONTROL!$C$42, 580, 580)*CHOOSE(CONTROL!$C$42, 0.275, 0.275)*CHOOSE(CONTROL!$C$42, 30, 30))/1000000</f>
        <v>4.7850000000000001</v>
      </c>
      <c r="W66" s="58">
        <f>(1000*CHOOSE(CONTROL!$C$42, 0.1146, 0.1146)*CHOOSE(CONTROL!$C$42, 121.5, 121.5)*CHOOSE(CONTROL!$C$42, 30, 30))/1000000</f>
        <v>0.417717</v>
      </c>
      <c r="X66" s="58">
        <f>(30*0.1790888*245000/1000000)+(30*0.2374*100000/1000000)</f>
        <v>2.0285026799999999</v>
      </c>
      <c r="Y66" s="58"/>
      <c r="Z66" s="10"/>
      <c r="AA66" s="57"/>
      <c r="AB66" s="51">
        <f>(B66*194.205+C66*267.466+D66*133.845+E66*53.484+F66*40+G66*185+H66*0+I66*100+J66*300)/(194.205+267.466+133.845+53.484+0+40+185+100+300)</f>
        <v>4.9285746562009418</v>
      </c>
      <c r="AC66" s="27">
        <f>(M66*'RAP TEMPLATE-GAS AVAILABILITY'!O65+N66*'RAP TEMPLATE-GAS AVAILABILITY'!P65+O66*'RAP TEMPLATE-GAS AVAILABILITY'!Q65+P66*'RAP TEMPLATE-GAS AVAILABILITY'!R65)/('RAP TEMPLATE-GAS AVAILABILITY'!O65+'RAP TEMPLATE-GAS AVAILABILITY'!P65+'RAP TEMPLATE-GAS AVAILABILITY'!Q65+'RAP TEMPLATE-GAS AVAILABILITY'!R65)</f>
        <v>4.9132093525179856</v>
      </c>
    </row>
    <row r="67" spans="1:29" ht="15.75" x14ac:dyDescent="0.25">
      <c r="A67" s="16">
        <v>42917</v>
      </c>
      <c r="B67" s="10">
        <f>CHOOSE(CONTROL!$C$42, 4.8176, 4.8176) * CHOOSE(CONTROL!$C$21, $C$9, 100%, $E$9)</f>
        <v>4.8175999999999997</v>
      </c>
      <c r="C67" s="10">
        <f>CHOOSE(CONTROL!$C$42, 4.8255, 4.8255) * CHOOSE(CONTROL!$C$21, $C$9, 100%, $E$9)</f>
        <v>4.8254999999999999</v>
      </c>
      <c r="D67" s="10">
        <f>CHOOSE(CONTROL!$C$42, 5.018, 5.018) * CHOOSE(CONTROL!$C$21, $C$9, 100%, $E$9)</f>
        <v>5.0179999999999998</v>
      </c>
      <c r="E67" s="10">
        <f>CHOOSE(CONTROL!$C$42, 5.0491, 5.0491) * CHOOSE(CONTROL!$C$21, $C$9, 100%, $E$9)</f>
        <v>5.0491000000000001</v>
      </c>
      <c r="F67" s="10">
        <f>CHOOSE(CONTROL!$C$42, 4.7845, 4.7845)*CHOOSE(CONTROL!$C$21, $C$9, 100%, $E$9)</f>
        <v>4.7845000000000004</v>
      </c>
      <c r="G67" s="10">
        <f>CHOOSE(CONTROL!$C$42, 4.8018, 4.8018)*CHOOSE(CONTROL!$C$21, $C$9, 100%, $E$9)</f>
        <v>4.8018000000000001</v>
      </c>
      <c r="H67" s="10">
        <f>CHOOSE(CONTROL!$C$42, 5.0377, 5.0377) * CHOOSE(CONTROL!$C$21, $C$9, 100%, $E$9)</f>
        <v>5.0377000000000001</v>
      </c>
      <c r="I67" s="10">
        <f>CHOOSE(CONTROL!$C$42, 4.7842, 4.7842)* CHOOSE(CONTROL!$C$21, $C$9, 100%, $E$9)</f>
        <v>4.7842000000000002</v>
      </c>
      <c r="J67" s="10">
        <f>CHOOSE(CONTROL!$C$42, 4.7775, 4.7775)* CHOOSE(CONTROL!$C$21, $C$9, 100%, $E$9)</f>
        <v>4.7774999999999999</v>
      </c>
      <c r="K67" s="54">
        <f>CHOOSE(CONTROL!$C$42, 4.7803, 4.7803) * CHOOSE(CONTROL!$C$21, $C$9, 100%, $E$9)</f>
        <v>4.7803000000000004</v>
      </c>
      <c r="L67" s="10">
        <f>CHOOSE(CONTROL!$C$42, 5.6247, 5.6247) * CHOOSE(CONTROL!$C$21, $C$9, 100%, $E$9)</f>
        <v>5.6246999999999998</v>
      </c>
      <c r="M67" s="10">
        <f>CHOOSE(CONTROL!$C$42, 4.7431, 4.7431) * CHOOSE(CONTROL!$C$21, $C$9, 100%, $E$9)</f>
        <v>4.7431000000000001</v>
      </c>
      <c r="N67" s="10">
        <f>CHOOSE(CONTROL!$C$42, 4.7602, 4.7602) * CHOOSE(CONTROL!$C$21, $C$9, 100%, $E$9)</f>
        <v>4.7602000000000002</v>
      </c>
      <c r="O67" s="10">
        <f>CHOOSE(CONTROL!$C$42, 5.0007, 5.0007) * CHOOSE(CONTROL!$C$21, $C$9, 100%, $E$9)</f>
        <v>5.0007000000000001</v>
      </c>
      <c r="P67" s="10">
        <f>CHOOSE(CONTROL!$C$42, 4.7498, 4.7498) * CHOOSE(CONTROL!$C$21, $C$9, 100%, $E$9)</f>
        <v>4.7497999999999996</v>
      </c>
      <c r="Q67" s="10">
        <f>CHOOSE(CONTROL!$C$42, 5.596, 5.596) * CHOOSE(CONTROL!$C$21, $C$9, 100%, $E$9)</f>
        <v>5.5960000000000001</v>
      </c>
      <c r="R67" s="10">
        <f>CHOOSE(CONTROL!$C$42, 6.197, 6.197) * CHOOSE(CONTROL!$C$21, $C$9, 100%, $E$9)</f>
        <v>6.1970000000000001</v>
      </c>
      <c r="S67" s="10">
        <f>CHOOSE(CONTROL!$C$42, 4.6741, 4.6741) * CHOOSE(CONTROL!$C$21, $C$9, 100%, $E$9)</f>
        <v>4.6741000000000001</v>
      </c>
      <c r="T67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67" s="58">
        <f>(1000*CHOOSE(CONTROL!$C$42, 695, 695)*CHOOSE(CONTROL!$C$42, 0.5599, 0.5599)*CHOOSE(CONTROL!$C$42, 31, 31))/1000000</f>
        <v>12.063045499999998</v>
      </c>
      <c r="V67" s="58">
        <f>(1000*CHOOSE(CONTROL!$C$42, 580, 580)*CHOOSE(CONTROL!$C$42, 0.275, 0.275)*CHOOSE(CONTROL!$C$42, 31, 31))/1000000</f>
        <v>4.9444999999999997</v>
      </c>
      <c r="W67" s="58">
        <f>(1000*CHOOSE(CONTROL!$C$42, 0.1146, 0.1146)*CHOOSE(CONTROL!$C$42, 121.5, 121.5)*CHOOSE(CONTROL!$C$42, 31, 31))/1000000</f>
        <v>0.43164089999999994</v>
      </c>
      <c r="X67" s="58">
        <f>(31*0.1790888*245000/1000000)+(31*0.2374*100000/1000000)</f>
        <v>2.0961194359999999</v>
      </c>
      <c r="Y67" s="58"/>
      <c r="Z67" s="10"/>
      <c r="AA67" s="57"/>
      <c r="AB67" s="51">
        <f>(B67*194.205+C67*267.466+D67*133.845+E67*53.484+F67*40+G67*185+H67*0+I67*100+J67*300)/(194.205+267.466+133.845+53.484+0+40+185+100+300)</f>
        <v>4.8346330183673469</v>
      </c>
      <c r="AC67" s="27">
        <f>(M67*'RAP TEMPLATE-GAS AVAILABILITY'!O66+N67*'RAP TEMPLATE-GAS AVAILABILITY'!P66+O67*'RAP TEMPLATE-GAS AVAILABILITY'!Q66+P67*'RAP TEMPLATE-GAS AVAILABILITY'!R66)/('RAP TEMPLATE-GAS AVAILABILITY'!O66+'RAP TEMPLATE-GAS AVAILABILITY'!P66+'RAP TEMPLATE-GAS AVAILABILITY'!Q66+'RAP TEMPLATE-GAS AVAILABILITY'!R66)</f>
        <v>4.8202769784172661</v>
      </c>
    </row>
    <row r="68" spans="1:29" ht="15.75" x14ac:dyDescent="0.25">
      <c r="A68" s="16">
        <v>42948</v>
      </c>
      <c r="B68" s="10">
        <f>CHOOSE(CONTROL!$C$42, 4.5799, 4.5799) * CHOOSE(CONTROL!$C$21, $C$9, 100%, $E$9)</f>
        <v>4.5799000000000003</v>
      </c>
      <c r="C68" s="10">
        <f>CHOOSE(CONTROL!$C$42, 4.5878, 4.5878) * CHOOSE(CONTROL!$C$21, $C$9, 100%, $E$9)</f>
        <v>4.5877999999999997</v>
      </c>
      <c r="D68" s="10">
        <f>CHOOSE(CONTROL!$C$42, 4.7803, 4.7803) * CHOOSE(CONTROL!$C$21, $C$9, 100%, $E$9)</f>
        <v>4.7803000000000004</v>
      </c>
      <c r="E68" s="10">
        <f>CHOOSE(CONTROL!$C$42, 4.8114, 4.8114) * CHOOSE(CONTROL!$C$21, $C$9, 100%, $E$9)</f>
        <v>4.8113999999999999</v>
      </c>
      <c r="F68" s="10">
        <f>CHOOSE(CONTROL!$C$42, 4.547, 4.547)*CHOOSE(CONTROL!$C$21, $C$9, 100%, $E$9)</f>
        <v>4.5469999999999997</v>
      </c>
      <c r="G68" s="10">
        <f>CHOOSE(CONTROL!$C$42, 4.5643, 4.5643)*CHOOSE(CONTROL!$C$21, $C$9, 100%, $E$9)</f>
        <v>4.5643000000000002</v>
      </c>
      <c r="H68" s="10">
        <f>CHOOSE(CONTROL!$C$42, 4.8, 4.8) * CHOOSE(CONTROL!$C$21, $C$9, 100%, $E$9)</f>
        <v>4.8</v>
      </c>
      <c r="I68" s="10">
        <f>CHOOSE(CONTROL!$C$42, 4.5465, 4.5465)* CHOOSE(CONTROL!$C$21, $C$9, 100%, $E$9)</f>
        <v>4.5465</v>
      </c>
      <c r="J68" s="10">
        <f>CHOOSE(CONTROL!$C$42, 4.54, 4.54)* CHOOSE(CONTROL!$C$21, $C$9, 100%, $E$9)</f>
        <v>4.54</v>
      </c>
      <c r="K68" s="54">
        <f>CHOOSE(CONTROL!$C$42, 4.5426, 4.5426) * CHOOSE(CONTROL!$C$21, $C$9, 100%, $E$9)</f>
        <v>4.5426000000000002</v>
      </c>
      <c r="L68" s="10">
        <f>CHOOSE(CONTROL!$C$42, 5.387, 5.387) * CHOOSE(CONTROL!$C$21, $C$9, 100%, $E$9)</f>
        <v>5.3869999999999996</v>
      </c>
      <c r="M68" s="10">
        <f>CHOOSE(CONTROL!$C$42, 4.508, 4.508) * CHOOSE(CONTROL!$C$21, $C$9, 100%, $E$9)</f>
        <v>4.508</v>
      </c>
      <c r="N68" s="10">
        <f>CHOOSE(CONTROL!$C$42, 4.5252, 4.5252) * CHOOSE(CONTROL!$C$21, $C$9, 100%, $E$9)</f>
        <v>4.5251999999999999</v>
      </c>
      <c r="O68" s="10">
        <f>CHOOSE(CONTROL!$C$42, 4.7654, 4.7654) * CHOOSE(CONTROL!$C$21, $C$9, 100%, $E$9)</f>
        <v>4.7653999999999996</v>
      </c>
      <c r="P68" s="10">
        <f>CHOOSE(CONTROL!$C$42, 4.5145, 4.5145) * CHOOSE(CONTROL!$C$21, $C$9, 100%, $E$9)</f>
        <v>4.5145</v>
      </c>
      <c r="Q68" s="10">
        <f>CHOOSE(CONTROL!$C$42, 5.3607, 5.3607) * CHOOSE(CONTROL!$C$21, $C$9, 100%, $E$9)</f>
        <v>5.3606999999999996</v>
      </c>
      <c r="R68" s="10">
        <f>CHOOSE(CONTROL!$C$42, 5.9611, 5.9611) * CHOOSE(CONTROL!$C$21, $C$9, 100%, $E$9)</f>
        <v>5.9611000000000001</v>
      </c>
      <c r="S68" s="10">
        <f>CHOOSE(CONTROL!$C$42, 4.4433, 4.4433) * CHOOSE(CONTROL!$C$21, $C$9, 100%, $E$9)</f>
        <v>4.4432999999999998</v>
      </c>
      <c r="T68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68" s="58">
        <f>(1000*CHOOSE(CONTROL!$C$42, 695, 695)*CHOOSE(CONTROL!$C$42, 0.5599, 0.5599)*CHOOSE(CONTROL!$C$42, 31, 31))/1000000</f>
        <v>12.063045499999998</v>
      </c>
      <c r="V68" s="58">
        <f>(1000*CHOOSE(CONTROL!$C$42, 580, 580)*CHOOSE(CONTROL!$C$42, 0.275, 0.275)*CHOOSE(CONTROL!$C$42, 31, 31))/1000000</f>
        <v>4.9444999999999997</v>
      </c>
      <c r="W68" s="58">
        <f>(1000*CHOOSE(CONTROL!$C$42, 0.1146, 0.1146)*CHOOSE(CONTROL!$C$42, 121.5, 121.5)*CHOOSE(CONTROL!$C$42, 31, 31))/1000000</f>
        <v>0.43164089999999994</v>
      </c>
      <c r="X68" s="58">
        <f>(31*0.1790888*245000/1000000)+(31*0.2374*100000/1000000)</f>
        <v>2.0961194359999999</v>
      </c>
      <c r="Y68" s="58"/>
      <c r="Z68" s="10"/>
      <c r="AA68" s="57"/>
      <c r="AB68" s="51">
        <f>(B68*194.205+C68*267.466+D68*133.845+E68*53.484+F68*40+G68*185+H68*0+I68*100+J68*300)/(194.205+267.466+133.845+53.484+0+40+185+100+300)</f>
        <v>4.5970154359497641</v>
      </c>
      <c r="AC68" s="27">
        <f>(M68*'RAP TEMPLATE-GAS AVAILABILITY'!O67+N68*'RAP TEMPLATE-GAS AVAILABILITY'!P67+O68*'RAP TEMPLATE-GAS AVAILABILITY'!Q67+P68*'RAP TEMPLATE-GAS AVAILABILITY'!R67)/('RAP TEMPLATE-GAS AVAILABILITY'!O67+'RAP TEMPLATE-GAS AVAILABILITY'!P67+'RAP TEMPLATE-GAS AVAILABILITY'!Q67+'RAP TEMPLATE-GAS AVAILABILITY'!R67)</f>
        <v>4.5851151079136683</v>
      </c>
    </row>
    <row r="69" spans="1:29" ht="15.75" x14ac:dyDescent="0.25">
      <c r="A69" s="16">
        <v>42979</v>
      </c>
      <c r="B69" s="10">
        <f>CHOOSE(CONTROL!$C$42, 4.2891, 4.2891) * CHOOSE(CONTROL!$C$21, $C$9, 100%, $E$9)</f>
        <v>4.2891000000000004</v>
      </c>
      <c r="C69" s="10">
        <f>CHOOSE(CONTROL!$C$42, 4.297, 4.297) * CHOOSE(CONTROL!$C$21, $C$9, 100%, $E$9)</f>
        <v>4.2969999999999997</v>
      </c>
      <c r="D69" s="10">
        <f>CHOOSE(CONTROL!$C$42, 4.4895, 4.4895) * CHOOSE(CONTROL!$C$21, $C$9, 100%, $E$9)</f>
        <v>4.4894999999999996</v>
      </c>
      <c r="E69" s="10">
        <f>CHOOSE(CONTROL!$C$42, 4.5206, 4.5206) * CHOOSE(CONTROL!$C$21, $C$9, 100%, $E$9)</f>
        <v>4.5206</v>
      </c>
      <c r="F69" s="10">
        <f>CHOOSE(CONTROL!$C$42, 4.256, 4.256)*CHOOSE(CONTROL!$C$21, $C$9, 100%, $E$9)</f>
        <v>4.2560000000000002</v>
      </c>
      <c r="G69" s="10">
        <f>CHOOSE(CONTROL!$C$42, 4.2733, 4.2733)*CHOOSE(CONTROL!$C$21, $C$9, 100%, $E$9)</f>
        <v>4.2732999999999999</v>
      </c>
      <c r="H69" s="10">
        <f>CHOOSE(CONTROL!$C$42, 4.5092, 4.5092) * CHOOSE(CONTROL!$C$21, $C$9, 100%, $E$9)</f>
        <v>4.5091999999999999</v>
      </c>
      <c r="I69" s="10">
        <f>CHOOSE(CONTROL!$C$42, 4.2557, 4.2557)* CHOOSE(CONTROL!$C$21, $C$9, 100%, $E$9)</f>
        <v>4.2557</v>
      </c>
      <c r="J69" s="10">
        <f>CHOOSE(CONTROL!$C$42, 4.249, 4.249)* CHOOSE(CONTROL!$C$21, $C$9, 100%, $E$9)</f>
        <v>4.2489999999999997</v>
      </c>
      <c r="K69" s="54">
        <f>CHOOSE(CONTROL!$C$42, 4.2518, 4.2518) * CHOOSE(CONTROL!$C$21, $C$9, 100%, $E$9)</f>
        <v>4.2518000000000002</v>
      </c>
      <c r="L69" s="10">
        <f>CHOOSE(CONTROL!$C$42, 5.0962, 5.0962) * CHOOSE(CONTROL!$C$21, $C$9, 100%, $E$9)</f>
        <v>5.0961999999999996</v>
      </c>
      <c r="M69" s="10">
        <f>CHOOSE(CONTROL!$C$42, 4.22, 4.22) * CHOOSE(CONTROL!$C$21, $C$9, 100%, $E$9)</f>
        <v>4.22</v>
      </c>
      <c r="N69" s="10">
        <f>CHOOSE(CONTROL!$C$42, 4.2371, 4.2371) * CHOOSE(CONTROL!$C$21, $C$9, 100%, $E$9)</f>
        <v>4.2370999999999999</v>
      </c>
      <c r="O69" s="10">
        <f>CHOOSE(CONTROL!$C$42, 4.4776, 4.4776) * CHOOSE(CONTROL!$C$21, $C$9, 100%, $E$9)</f>
        <v>4.4775999999999998</v>
      </c>
      <c r="P69" s="10">
        <f>CHOOSE(CONTROL!$C$42, 4.2266, 4.2266) * CHOOSE(CONTROL!$C$21, $C$9, 100%, $E$9)</f>
        <v>4.2266000000000004</v>
      </c>
      <c r="Q69" s="10">
        <f>CHOOSE(CONTROL!$C$42, 5.0729, 5.0729) * CHOOSE(CONTROL!$C$21, $C$9, 100%, $E$9)</f>
        <v>5.0728999999999997</v>
      </c>
      <c r="R69" s="10">
        <f>CHOOSE(CONTROL!$C$42, 5.6725, 5.6725) * CHOOSE(CONTROL!$C$21, $C$9, 100%, $E$9)</f>
        <v>5.6725000000000003</v>
      </c>
      <c r="S69" s="10">
        <f>CHOOSE(CONTROL!$C$42, 4.1609, 4.1609) * CHOOSE(CONTROL!$C$21, $C$9, 100%, $E$9)</f>
        <v>4.1608999999999998</v>
      </c>
      <c r="T69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69" s="58">
        <f>(1000*CHOOSE(CONTROL!$C$42, 695, 695)*CHOOSE(CONTROL!$C$42, 0.5599, 0.5599)*CHOOSE(CONTROL!$C$42, 30, 30))/1000000</f>
        <v>11.673914999999997</v>
      </c>
      <c r="V69" s="58">
        <f>(1000*CHOOSE(CONTROL!$C$42, 580, 580)*CHOOSE(CONTROL!$C$42, 0.275, 0.275)*CHOOSE(CONTROL!$C$42, 30, 30))/1000000</f>
        <v>4.7850000000000001</v>
      </c>
      <c r="W69" s="58">
        <f>(1000*CHOOSE(CONTROL!$C$42, 0.1146, 0.1146)*CHOOSE(CONTROL!$C$42, 121.5, 121.5)*CHOOSE(CONTROL!$C$42, 30, 30))/1000000</f>
        <v>0.417717</v>
      </c>
      <c r="X69" s="58">
        <f>(30*0.1790888*245000/1000000)+(30*0.2374*100000/1000000)</f>
        <v>2.0285026799999999</v>
      </c>
      <c r="Y69" s="58"/>
      <c r="Z69" s="10"/>
      <c r="AA69" s="57"/>
      <c r="AB69" s="51">
        <f>(B69*194.205+C69*267.466+D69*133.845+E69*53.484+F69*40+G69*185+H69*0+I69*100+J69*300)/(194.205+267.466+133.845+53.484+0+40+185+100+300)</f>
        <v>4.3061330183673467</v>
      </c>
      <c r="AC69" s="27">
        <f>(M69*'RAP TEMPLATE-GAS AVAILABILITY'!O68+N69*'RAP TEMPLATE-GAS AVAILABILITY'!P68+O69*'RAP TEMPLATE-GAS AVAILABILITY'!Q68+P69*'RAP TEMPLATE-GAS AVAILABILITY'!R68)/('RAP TEMPLATE-GAS AVAILABILITY'!O68+'RAP TEMPLATE-GAS AVAILABILITY'!P68+'RAP TEMPLATE-GAS AVAILABILITY'!Q68+'RAP TEMPLATE-GAS AVAILABILITY'!R68)</f>
        <v>4.2971625899280577</v>
      </c>
    </row>
    <row r="70" spans="1:29" ht="15.75" x14ac:dyDescent="0.25">
      <c r="A70" s="16">
        <v>43009</v>
      </c>
      <c r="B70" s="10">
        <f>CHOOSE(CONTROL!$C$42, 4.2004, 4.2004) * CHOOSE(CONTROL!$C$21, $C$9, 100%, $E$9)</f>
        <v>4.2004000000000001</v>
      </c>
      <c r="C70" s="10">
        <f>CHOOSE(CONTROL!$C$42, 4.2056, 4.2056) * CHOOSE(CONTROL!$C$21, $C$9, 100%, $E$9)</f>
        <v>4.2055999999999996</v>
      </c>
      <c r="D70" s="10">
        <f>CHOOSE(CONTROL!$C$42, 4.403, 4.403) * CHOOSE(CONTROL!$C$21, $C$9, 100%, $E$9)</f>
        <v>4.4029999999999996</v>
      </c>
      <c r="E70" s="10">
        <f>CHOOSE(CONTROL!$C$42, 4.4318, 4.4318) * CHOOSE(CONTROL!$C$21, $C$9, 100%, $E$9)</f>
        <v>4.4318</v>
      </c>
      <c r="F70" s="10">
        <f>CHOOSE(CONTROL!$C$42, 4.1693, 4.1693)*CHOOSE(CONTROL!$C$21, $C$9, 100%, $E$9)</f>
        <v>4.1692999999999998</v>
      </c>
      <c r="G70" s="10">
        <f>CHOOSE(CONTROL!$C$42, 4.1862, 4.1862)*CHOOSE(CONTROL!$C$21, $C$9, 100%, $E$9)</f>
        <v>4.1862000000000004</v>
      </c>
      <c r="H70" s="10">
        <f>CHOOSE(CONTROL!$C$42, 4.4223, 4.4223) * CHOOSE(CONTROL!$C$21, $C$9, 100%, $E$9)</f>
        <v>4.4222999999999999</v>
      </c>
      <c r="I70" s="10">
        <f>CHOOSE(CONTROL!$C$42, 4.1687, 4.1687)* CHOOSE(CONTROL!$C$21, $C$9, 100%, $E$9)</f>
        <v>4.1687000000000003</v>
      </c>
      <c r="J70" s="10">
        <f>CHOOSE(CONTROL!$C$42, 4.1623, 4.1623)* CHOOSE(CONTROL!$C$21, $C$9, 100%, $E$9)</f>
        <v>4.1623000000000001</v>
      </c>
      <c r="K70" s="54">
        <f>CHOOSE(CONTROL!$C$42, 4.1648, 4.1648) * CHOOSE(CONTROL!$C$21, $C$9, 100%, $E$9)</f>
        <v>4.1647999999999996</v>
      </c>
      <c r="L70" s="10">
        <f>CHOOSE(CONTROL!$C$42, 5.0093, 5.0093) * CHOOSE(CONTROL!$C$21, $C$9, 100%, $E$9)</f>
        <v>5.0092999999999996</v>
      </c>
      <c r="M70" s="10">
        <f>CHOOSE(CONTROL!$C$42, 4.1341, 4.1341) * CHOOSE(CONTROL!$C$21, $C$9, 100%, $E$9)</f>
        <v>4.1341000000000001</v>
      </c>
      <c r="N70" s="10">
        <f>CHOOSE(CONTROL!$C$42, 4.1509, 4.1509) * CHOOSE(CONTROL!$C$21, $C$9, 100%, $E$9)</f>
        <v>4.1509</v>
      </c>
      <c r="O70" s="10">
        <f>CHOOSE(CONTROL!$C$42, 4.3915, 4.3915) * CHOOSE(CONTROL!$C$21, $C$9, 100%, $E$9)</f>
        <v>4.3914999999999997</v>
      </c>
      <c r="P70" s="10">
        <f>CHOOSE(CONTROL!$C$42, 4.1405, 4.1405) * CHOOSE(CONTROL!$C$21, $C$9, 100%, $E$9)</f>
        <v>4.1405000000000003</v>
      </c>
      <c r="Q70" s="10">
        <f>CHOOSE(CONTROL!$C$42, 4.9868, 4.9868) * CHOOSE(CONTROL!$C$21, $C$9, 100%, $E$9)</f>
        <v>4.9867999999999997</v>
      </c>
      <c r="R70" s="10">
        <f>CHOOSE(CONTROL!$C$42, 5.5862, 5.5862) * CHOOSE(CONTROL!$C$21, $C$9, 100%, $E$9)</f>
        <v>5.5861999999999998</v>
      </c>
      <c r="S70" s="10">
        <f>CHOOSE(CONTROL!$C$42, 4.0764, 4.0764) * CHOOSE(CONTROL!$C$21, $C$9, 100%, $E$9)</f>
        <v>4.0763999999999996</v>
      </c>
      <c r="T70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70" s="58">
        <f>(1000*CHOOSE(CONTROL!$C$42, 695, 695)*CHOOSE(CONTROL!$C$42, 0.5599, 0.5599)*CHOOSE(CONTROL!$C$42, 31, 31))/1000000</f>
        <v>12.063045499999998</v>
      </c>
      <c r="V70" s="58">
        <f>(1000*CHOOSE(CONTROL!$C$42, 580, 580)*CHOOSE(CONTROL!$C$42, 0.275, 0.275)*CHOOSE(CONTROL!$C$42, 31, 31))/1000000</f>
        <v>4.9444999999999997</v>
      </c>
      <c r="W70" s="58">
        <f>(1000*CHOOSE(CONTROL!$C$42, 0.1146, 0.1146)*CHOOSE(CONTROL!$C$42, 121.5, 121.5)*CHOOSE(CONTROL!$C$42, 31, 31))/1000000</f>
        <v>0.43164089999999994</v>
      </c>
      <c r="X70" s="58">
        <f>(31*0.1790888*245000/1000000)+(31*0.2374*100000/1000000)</f>
        <v>2.0961194359999999</v>
      </c>
      <c r="Y70" s="58"/>
      <c r="Z70" s="10"/>
      <c r="AA70" s="57"/>
      <c r="AB70" s="51">
        <f>(B70*131.881+C70*277.167+D70*79.08+E70*125.872+F70*40+G70*185+H70*0+I70*100+J70*300)/(131.881+277.167+79.08+125.872+0+40+185+100+300)</f>
        <v>4.2230946385795001</v>
      </c>
      <c r="AC70" s="27">
        <f>(M70*'RAP TEMPLATE-GAS AVAILABILITY'!O69+N70*'RAP TEMPLATE-GAS AVAILABILITY'!P69+O70*'RAP TEMPLATE-GAS AVAILABILITY'!Q69+P70*'RAP TEMPLATE-GAS AVAILABILITY'!R69)/('RAP TEMPLATE-GAS AVAILABILITY'!O69+'RAP TEMPLATE-GAS AVAILABILITY'!P69+'RAP TEMPLATE-GAS AVAILABILITY'!Q69+'RAP TEMPLATE-GAS AVAILABILITY'!R69)</f>
        <v>4.2111086330935255</v>
      </c>
    </row>
    <row r="71" spans="1:29" ht="15.75" x14ac:dyDescent="0.25">
      <c r="A71" s="16">
        <v>43040</v>
      </c>
      <c r="B71" s="10">
        <f>CHOOSE(CONTROL!$C$42, 4.3105, 4.3105) * CHOOSE(CONTROL!$C$21, $C$9, 100%, $E$9)</f>
        <v>4.3105000000000002</v>
      </c>
      <c r="C71" s="10">
        <f>CHOOSE(CONTROL!$C$42, 4.3155, 4.3155) * CHOOSE(CONTROL!$C$21, $C$9, 100%, $E$9)</f>
        <v>4.3155000000000001</v>
      </c>
      <c r="D71" s="10">
        <f>CHOOSE(CONTROL!$C$42, 4.3451, 4.3451) * CHOOSE(CONTROL!$C$21, $C$9, 100%, $E$9)</f>
        <v>4.3451000000000004</v>
      </c>
      <c r="E71" s="10">
        <f>CHOOSE(CONTROL!$C$42, 4.3789, 4.3789) * CHOOSE(CONTROL!$C$21, $C$9, 100%, $E$9)</f>
        <v>4.3788999999999998</v>
      </c>
      <c r="F71" s="10">
        <f>CHOOSE(CONTROL!$C$42, 4.2773, 4.2773)*CHOOSE(CONTROL!$C$21, $C$9, 100%, $E$9)</f>
        <v>4.2773000000000003</v>
      </c>
      <c r="G71" s="10">
        <f>CHOOSE(CONTROL!$C$42, 4.2944, 4.2944)*CHOOSE(CONTROL!$C$21, $C$9, 100%, $E$9)</f>
        <v>4.2944000000000004</v>
      </c>
      <c r="H71" s="10">
        <f>CHOOSE(CONTROL!$C$42, 4.3681, 4.3681) * CHOOSE(CONTROL!$C$21, $C$9, 100%, $E$9)</f>
        <v>4.3681000000000001</v>
      </c>
      <c r="I71" s="10">
        <f>CHOOSE(CONTROL!$C$42, 4.2741, 4.2741)* CHOOSE(CONTROL!$C$21, $C$9, 100%, $E$9)</f>
        <v>4.2740999999999998</v>
      </c>
      <c r="J71" s="10">
        <f>CHOOSE(CONTROL!$C$42, 4.2703, 4.2703)* CHOOSE(CONTROL!$C$21, $C$9, 100%, $E$9)</f>
        <v>4.2702999999999998</v>
      </c>
      <c r="K71" s="54">
        <f>CHOOSE(CONTROL!$C$42, 4.2702, 4.2702) * CHOOSE(CONTROL!$C$21, $C$9, 100%, $E$9)</f>
        <v>4.2702</v>
      </c>
      <c r="L71" s="10">
        <f>CHOOSE(CONTROL!$C$42, 4.9551, 4.9551) * CHOOSE(CONTROL!$C$21, $C$9, 100%, $E$9)</f>
        <v>4.9550999999999998</v>
      </c>
      <c r="M71" s="10">
        <f>CHOOSE(CONTROL!$C$42, 4.2411, 4.2411) * CHOOSE(CONTROL!$C$21, $C$9, 100%, $E$9)</f>
        <v>4.2411000000000003</v>
      </c>
      <c r="N71" s="10">
        <f>CHOOSE(CONTROL!$C$42, 4.258, 4.258) * CHOOSE(CONTROL!$C$21, $C$9, 100%, $E$9)</f>
        <v>4.258</v>
      </c>
      <c r="O71" s="10">
        <f>CHOOSE(CONTROL!$C$42, 4.3378, 4.3378) * CHOOSE(CONTROL!$C$21, $C$9, 100%, $E$9)</f>
        <v>4.3377999999999997</v>
      </c>
      <c r="P71" s="10">
        <f>CHOOSE(CONTROL!$C$42, 4.2449, 4.2449) * CHOOSE(CONTROL!$C$21, $C$9, 100%, $E$9)</f>
        <v>4.2449000000000003</v>
      </c>
      <c r="Q71" s="10">
        <f>CHOOSE(CONTROL!$C$42, 4.9331, 4.9331) * CHOOSE(CONTROL!$C$21, $C$9, 100%, $E$9)</f>
        <v>4.9330999999999996</v>
      </c>
      <c r="R71" s="10">
        <f>CHOOSE(CONTROL!$C$42, 5.5324, 5.5324) * CHOOSE(CONTROL!$C$21, $C$9, 100%, $E$9)</f>
        <v>5.5324</v>
      </c>
      <c r="S71" s="10">
        <f>CHOOSE(CONTROL!$C$42, 4.1838, 4.1838) * CHOOSE(CONTROL!$C$21, $C$9, 100%, $E$9)</f>
        <v>4.1837999999999997</v>
      </c>
      <c r="T71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71" s="58">
        <f>(1000*CHOOSE(CONTROL!$C$42, 695, 695)*CHOOSE(CONTROL!$C$42, 0.5599, 0.5599)*CHOOSE(CONTROL!$C$42, 30, 30))/1000000</f>
        <v>11.673914999999997</v>
      </c>
      <c r="V71" s="58">
        <f>(1000*CHOOSE(CONTROL!$C$42, 580, 580)*CHOOSE(CONTROL!$C$42, 0.275, 0.275)*CHOOSE(CONTROL!$C$42, 30, 30))/1000000</f>
        <v>4.7850000000000001</v>
      </c>
      <c r="W71" s="58">
        <f>(1000*CHOOSE(CONTROL!$C$42, 0.1146, 0.1146)*CHOOSE(CONTROL!$C$42, 121.5, 121.5)*CHOOSE(CONTROL!$C$42, 30, 30))/1000000</f>
        <v>0.417717</v>
      </c>
      <c r="X71" s="58">
        <f>(30*0.1790888*100000/1000000)+(30*0.2374*100000/1000000)</f>
        <v>1.2494664</v>
      </c>
      <c r="Y71" s="58"/>
      <c r="Z71" s="10"/>
      <c r="AA71" s="57"/>
      <c r="AB71" s="51">
        <f>(B71*122.58+C71*297.941+D71*89.177+E71*40.302+F71*40+G71*160+H71*0+I71*100+J71*300)/(122.58+297.941+89.177+40.302+0+40+160+100+300)</f>
        <v>4.2998285965217393</v>
      </c>
      <c r="AC71" s="27">
        <f>(M71*'RAP TEMPLATE-GAS AVAILABILITY'!O70+N71*'RAP TEMPLATE-GAS AVAILABILITY'!P70+O71*'RAP TEMPLATE-GAS AVAILABILITY'!Q70+P71*'RAP TEMPLATE-GAS AVAILABILITY'!R70)/('RAP TEMPLATE-GAS AVAILABILITY'!O70+'RAP TEMPLATE-GAS AVAILABILITY'!P70+'RAP TEMPLATE-GAS AVAILABILITY'!Q70+'RAP TEMPLATE-GAS AVAILABILITY'!R70)</f>
        <v>4.2864474820143883</v>
      </c>
    </row>
    <row r="72" spans="1:29" ht="15.75" x14ac:dyDescent="0.25">
      <c r="A72" s="16">
        <v>43070</v>
      </c>
      <c r="B72" s="10">
        <f>CHOOSE(CONTROL!$C$42, 4.6042, 4.6042) * CHOOSE(CONTROL!$C$21, $C$9, 100%, $E$9)</f>
        <v>4.6041999999999996</v>
      </c>
      <c r="C72" s="10">
        <f>CHOOSE(CONTROL!$C$42, 4.6092, 4.6092) * CHOOSE(CONTROL!$C$21, $C$9, 100%, $E$9)</f>
        <v>4.6092000000000004</v>
      </c>
      <c r="D72" s="10">
        <f>CHOOSE(CONTROL!$C$42, 4.6388, 4.6388) * CHOOSE(CONTROL!$C$21, $C$9, 100%, $E$9)</f>
        <v>4.6387999999999998</v>
      </c>
      <c r="E72" s="10">
        <f>CHOOSE(CONTROL!$C$42, 4.6725, 4.6725) * CHOOSE(CONTROL!$C$21, $C$9, 100%, $E$9)</f>
        <v>4.6725000000000003</v>
      </c>
      <c r="F72" s="10">
        <f>CHOOSE(CONTROL!$C$42, 4.5724, 4.5724)*CHOOSE(CONTROL!$C$21, $C$9, 100%, $E$9)</f>
        <v>4.5724</v>
      </c>
      <c r="G72" s="10">
        <f>CHOOSE(CONTROL!$C$42, 4.5899, 4.5899)*CHOOSE(CONTROL!$C$21, $C$9, 100%, $E$9)</f>
        <v>4.5899000000000001</v>
      </c>
      <c r="H72" s="10">
        <f>CHOOSE(CONTROL!$C$42, 4.6617, 4.6617) * CHOOSE(CONTROL!$C$21, $C$9, 100%, $E$9)</f>
        <v>4.6616999999999997</v>
      </c>
      <c r="I72" s="10">
        <f>CHOOSE(CONTROL!$C$42, 4.5678, 4.5678)* CHOOSE(CONTROL!$C$21, $C$9, 100%, $E$9)</f>
        <v>4.5678000000000001</v>
      </c>
      <c r="J72" s="10">
        <f>CHOOSE(CONTROL!$C$42, 4.5654, 4.5654)* CHOOSE(CONTROL!$C$21, $C$9, 100%, $E$9)</f>
        <v>4.5654000000000003</v>
      </c>
      <c r="K72" s="54">
        <f>CHOOSE(CONTROL!$C$42, 4.5639, 4.5639) * CHOOSE(CONTROL!$C$21, $C$9, 100%, $E$9)</f>
        <v>4.5639000000000003</v>
      </c>
      <c r="L72" s="10">
        <f>CHOOSE(CONTROL!$C$42, 5.2487, 5.2487) * CHOOSE(CONTROL!$C$21, $C$9, 100%, $E$9)</f>
        <v>5.2487000000000004</v>
      </c>
      <c r="M72" s="10">
        <f>CHOOSE(CONTROL!$C$42, 4.5332, 4.5332) * CHOOSE(CONTROL!$C$21, $C$9, 100%, $E$9)</f>
        <v>4.5331999999999999</v>
      </c>
      <c r="N72" s="10">
        <f>CHOOSE(CONTROL!$C$42, 4.5505, 4.5505) * CHOOSE(CONTROL!$C$21, $C$9, 100%, $E$9)</f>
        <v>4.5505000000000004</v>
      </c>
      <c r="O72" s="10">
        <f>CHOOSE(CONTROL!$C$42, 4.6285, 4.6285) * CHOOSE(CONTROL!$C$21, $C$9, 100%, $E$9)</f>
        <v>4.6284999999999998</v>
      </c>
      <c r="P72" s="10">
        <f>CHOOSE(CONTROL!$C$42, 4.5356, 4.5356) * CHOOSE(CONTROL!$C$21, $C$9, 100%, $E$9)</f>
        <v>4.5355999999999996</v>
      </c>
      <c r="Q72" s="10">
        <f>CHOOSE(CONTROL!$C$42, 5.2238, 5.2238) * CHOOSE(CONTROL!$C$21, $C$9, 100%, $E$9)</f>
        <v>5.2237999999999998</v>
      </c>
      <c r="R72" s="10">
        <f>CHOOSE(CONTROL!$C$42, 5.8239, 5.8239) * CHOOSE(CONTROL!$C$21, $C$9, 100%, $E$9)</f>
        <v>5.8239000000000001</v>
      </c>
      <c r="S72" s="10">
        <f>CHOOSE(CONTROL!$C$42, 4.469, 4.469) * CHOOSE(CONTROL!$C$21, $C$9, 100%, $E$9)</f>
        <v>4.4690000000000003</v>
      </c>
      <c r="T72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72" s="58">
        <f>(1000*CHOOSE(CONTROL!$C$42, 695, 695)*CHOOSE(CONTROL!$C$42, 0.5599, 0.5599)*CHOOSE(CONTROL!$C$42, 31, 31))/1000000</f>
        <v>12.063045499999998</v>
      </c>
      <c r="V72" s="58">
        <f>(1000*CHOOSE(CONTROL!$C$42, 580, 580)*CHOOSE(CONTROL!$C$42, 0.275, 0.275)*CHOOSE(CONTROL!$C$42, 31, 31))/1000000</f>
        <v>4.9444999999999997</v>
      </c>
      <c r="W72" s="58">
        <f>(1000*CHOOSE(CONTROL!$C$42, 0.1146, 0.1146)*CHOOSE(CONTROL!$C$42, 121.5, 121.5)*CHOOSE(CONTROL!$C$42, 31, 31))/1000000</f>
        <v>0.43164089999999994</v>
      </c>
      <c r="X72" s="58">
        <f>(31*0.1790888*100000/1000000)+(31*0.2374*100000/1000000)</f>
        <v>1.2911152800000001</v>
      </c>
      <c r="Y72" s="58"/>
      <c r="Z72" s="10"/>
      <c r="AA72" s="57"/>
      <c r="AB72" s="51">
        <f>(B72*122.58+C72*297.941+D72*89.177+E72*40.302+F72*40+G72*160+H72*0+I72*100+J72*300)/(122.58+297.941+89.177+40.302+0+40+160+100+300)</f>
        <v>4.5941894398260876</v>
      </c>
      <c r="AC72" s="27">
        <f>(M72*'RAP TEMPLATE-GAS AVAILABILITY'!O71+N72*'RAP TEMPLATE-GAS AVAILABILITY'!P71+O72*'RAP TEMPLATE-GAS AVAILABILITY'!Q71+P72*'RAP TEMPLATE-GAS AVAILABILITY'!R71)/('RAP TEMPLATE-GAS AVAILABILITY'!O71+'RAP TEMPLATE-GAS AVAILABILITY'!P71+'RAP TEMPLATE-GAS AVAILABILITY'!Q71+'RAP TEMPLATE-GAS AVAILABILITY'!R71)</f>
        <v>4.5777345323741008</v>
      </c>
    </row>
    <row r="73" spans="1:29" ht="15.75" x14ac:dyDescent="0.25">
      <c r="A73" s="16">
        <v>43101</v>
      </c>
      <c r="B73" s="10">
        <f>CHOOSE(CONTROL!$C$42, 4.9888, 4.9888) * CHOOSE(CONTROL!$C$21, $C$9, 100%, $E$9)</f>
        <v>4.9888000000000003</v>
      </c>
      <c r="C73" s="10">
        <f>CHOOSE(CONTROL!$C$42, 4.9938, 4.9938) * CHOOSE(CONTROL!$C$21, $C$9, 100%, $E$9)</f>
        <v>4.9938000000000002</v>
      </c>
      <c r="D73" s="10">
        <f>CHOOSE(CONTROL!$C$42, 5.044, 5.044) * CHOOSE(CONTROL!$C$21, $C$9, 100%, $E$9)</f>
        <v>5.0439999999999996</v>
      </c>
      <c r="E73" s="10">
        <f>CHOOSE(CONTROL!$C$42, 5.0777, 5.0777) * CHOOSE(CONTROL!$C$21, $C$9, 100%, $E$9)</f>
        <v>5.0777000000000001</v>
      </c>
      <c r="F73" s="10">
        <f>CHOOSE(CONTROL!$C$42, 4.9542, 4.9542)*CHOOSE(CONTROL!$C$21, $C$9, 100%, $E$9)</f>
        <v>4.9542000000000002</v>
      </c>
      <c r="G73" s="10">
        <f>CHOOSE(CONTROL!$C$42, 4.9717, 4.9717)*CHOOSE(CONTROL!$C$21, $C$9, 100%, $E$9)</f>
        <v>4.9717000000000002</v>
      </c>
      <c r="H73" s="10">
        <f>CHOOSE(CONTROL!$C$42, 5.0669, 5.0669) * CHOOSE(CONTROL!$C$21, $C$9, 100%, $E$9)</f>
        <v>5.0669000000000004</v>
      </c>
      <c r="I73" s="10">
        <f>CHOOSE(CONTROL!$C$42, 4.9627, 4.9627)* CHOOSE(CONTROL!$C$21, $C$9, 100%, $E$9)</f>
        <v>4.9626999999999999</v>
      </c>
      <c r="J73" s="10">
        <f>CHOOSE(CONTROL!$C$42, 4.9472, 4.9472)* CHOOSE(CONTROL!$C$21, $C$9, 100%, $E$9)</f>
        <v>4.9471999999999996</v>
      </c>
      <c r="K73" s="54">
        <f>CHOOSE(CONTROL!$C$42, 4.9588, 4.9588) * CHOOSE(CONTROL!$C$21, $C$9, 100%, $E$9)</f>
        <v>4.9588000000000001</v>
      </c>
      <c r="L73" s="10">
        <f>CHOOSE(CONTROL!$C$42, 5.6539, 5.6539) * CHOOSE(CONTROL!$C$21, $C$9, 100%, $E$9)</f>
        <v>5.6539000000000001</v>
      </c>
      <c r="M73" s="10">
        <f>CHOOSE(CONTROL!$C$42, 4.9111, 4.9111) * CHOOSE(CONTROL!$C$21, $C$9, 100%, $E$9)</f>
        <v>4.9111000000000002</v>
      </c>
      <c r="N73" s="10">
        <f>CHOOSE(CONTROL!$C$42, 4.9285, 4.9285) * CHOOSE(CONTROL!$C$21, $C$9, 100%, $E$9)</f>
        <v>4.9284999999999997</v>
      </c>
      <c r="O73" s="10">
        <f>CHOOSE(CONTROL!$C$42, 5.0296, 5.0296) * CHOOSE(CONTROL!$C$21, $C$9, 100%, $E$9)</f>
        <v>5.0296000000000003</v>
      </c>
      <c r="P73" s="10">
        <f>CHOOSE(CONTROL!$C$42, 4.9265, 4.9265) * CHOOSE(CONTROL!$C$21, $C$9, 100%, $E$9)</f>
        <v>4.9264999999999999</v>
      </c>
      <c r="Q73" s="10">
        <f>CHOOSE(CONTROL!$C$42, 5.6249, 5.6249) * CHOOSE(CONTROL!$C$21, $C$9, 100%, $E$9)</f>
        <v>5.6249000000000002</v>
      </c>
      <c r="R73" s="10">
        <f>CHOOSE(CONTROL!$C$42, 6.226, 6.226) * CHOOSE(CONTROL!$C$21, $C$9, 100%, $E$9)</f>
        <v>6.226</v>
      </c>
      <c r="S73" s="10">
        <f>CHOOSE(CONTROL!$C$42, 4.8425, 4.8425) * CHOOSE(CONTROL!$C$21, $C$9, 100%, $E$9)</f>
        <v>4.8425000000000002</v>
      </c>
      <c r="T73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73" s="58">
        <f>(1000*CHOOSE(CONTROL!$C$42, 695, 695)*CHOOSE(CONTROL!$C$42, 0.5599, 0.5599)*CHOOSE(CONTROL!$C$42, 31, 31))/1000000</f>
        <v>12.063045499999998</v>
      </c>
      <c r="V73" s="58">
        <f>(1000*CHOOSE(CONTROL!$C$42, 500, 500)*CHOOSE(CONTROL!$C$42, 0.275, 0.275)*CHOOSE(CONTROL!$C$42, 31, 31))/1000000</f>
        <v>4.2625000000000002</v>
      </c>
      <c r="W73" s="58">
        <f>(1000*CHOOSE(CONTROL!$C$42, 0.1146, 0.1146)*CHOOSE(CONTROL!$C$42, 121.5, 121.5)*CHOOSE(CONTROL!$C$42, 31, 31))/1000000</f>
        <v>0.43164089999999994</v>
      </c>
      <c r="X73" s="58">
        <f>(31*0.1790888*100000/1000000)+(31*0.2374*100000/1000000)</f>
        <v>1.2911152800000001</v>
      </c>
      <c r="Y73" s="58"/>
      <c r="Z73" s="10"/>
      <c r="AA73" s="57"/>
      <c r="AB73" s="51">
        <f>(B73*122.58+C73*297.941+D73*89.177+E73*40.302+F73*40+G73*160+H73*0+I73*100+J73*300)/(122.58+297.941+89.177+40.302+0+40+160+100+300)</f>
        <v>4.9807870636521745</v>
      </c>
      <c r="AC73" s="27">
        <f>(M73*'RAP TEMPLATE-GAS AVAILABILITY'!O72+N73*'RAP TEMPLATE-GAS AVAILABILITY'!P72+O73*'RAP TEMPLATE-GAS AVAILABILITY'!Q72+P73*'RAP TEMPLATE-GAS AVAILABILITY'!R72)/('RAP TEMPLATE-GAS AVAILABILITY'!O72+'RAP TEMPLATE-GAS AVAILABILITY'!P72+'RAP TEMPLATE-GAS AVAILABILITY'!Q72+'RAP TEMPLATE-GAS AVAILABILITY'!R72)</f>
        <v>4.9680258992805761</v>
      </c>
    </row>
    <row r="74" spans="1:29" ht="15.75" x14ac:dyDescent="0.25">
      <c r="A74" s="16">
        <v>43132</v>
      </c>
      <c r="B74" s="10">
        <f>CHOOSE(CONTROL!$C$42, 5.0776, 5.0776) * CHOOSE(CONTROL!$C$21, $C$9, 100%, $E$9)</f>
        <v>5.0776000000000003</v>
      </c>
      <c r="C74" s="10">
        <f>CHOOSE(CONTROL!$C$42, 5.0825, 5.0825) * CHOOSE(CONTROL!$C$21, $C$9, 100%, $E$9)</f>
        <v>5.0824999999999996</v>
      </c>
      <c r="D74" s="10">
        <f>CHOOSE(CONTROL!$C$42, 5.143, 5.143) * CHOOSE(CONTROL!$C$21, $C$9, 100%, $E$9)</f>
        <v>5.1429999999999998</v>
      </c>
      <c r="E74" s="10">
        <f>CHOOSE(CONTROL!$C$42, 5.1768, 5.1768) * CHOOSE(CONTROL!$C$21, $C$9, 100%, $E$9)</f>
        <v>5.1768000000000001</v>
      </c>
      <c r="F74" s="10">
        <f>CHOOSE(CONTROL!$C$42, 5.0708, 5.0708)*CHOOSE(CONTROL!$C$21, $C$9, 100%, $E$9)</f>
        <v>5.0708000000000002</v>
      </c>
      <c r="G74" s="10">
        <f>CHOOSE(CONTROL!$C$42, 5.0881, 5.0881)*CHOOSE(CONTROL!$C$21, $C$9, 100%, $E$9)</f>
        <v>5.0880999999999998</v>
      </c>
      <c r="H74" s="10">
        <f>CHOOSE(CONTROL!$C$42, 5.166, 5.166) * CHOOSE(CONTROL!$C$21, $C$9, 100%, $E$9)</f>
        <v>5.1660000000000004</v>
      </c>
      <c r="I74" s="10">
        <f>CHOOSE(CONTROL!$C$42, 5.0643, 5.0643)* CHOOSE(CONTROL!$C$21, $C$9, 100%, $E$9)</f>
        <v>5.0643000000000002</v>
      </c>
      <c r="J74" s="10">
        <f>CHOOSE(CONTROL!$C$42, 5.0638, 5.0638)* CHOOSE(CONTROL!$C$21, $C$9, 100%, $E$9)</f>
        <v>5.0637999999999996</v>
      </c>
      <c r="K74" s="54">
        <f>CHOOSE(CONTROL!$C$42, 5.0604, 5.0604) * CHOOSE(CONTROL!$C$21, $C$9, 100%, $E$9)</f>
        <v>5.0603999999999996</v>
      </c>
      <c r="L74" s="10">
        <f>CHOOSE(CONTROL!$C$42, 5.753, 5.753) * CHOOSE(CONTROL!$C$21, $C$9, 100%, $E$9)</f>
        <v>5.7530000000000001</v>
      </c>
      <c r="M74" s="10">
        <f>CHOOSE(CONTROL!$C$42, 5.0265, 5.0265) * CHOOSE(CONTROL!$C$21, $C$9, 100%, $E$9)</f>
        <v>5.0265000000000004</v>
      </c>
      <c r="N74" s="10">
        <f>CHOOSE(CONTROL!$C$42, 5.0436, 5.0436) * CHOOSE(CONTROL!$C$21, $C$9, 100%, $E$9)</f>
        <v>5.0435999999999996</v>
      </c>
      <c r="O74" s="10">
        <f>CHOOSE(CONTROL!$C$42, 5.1277, 5.1277) * CHOOSE(CONTROL!$C$21, $C$9, 100%, $E$9)</f>
        <v>5.1276999999999999</v>
      </c>
      <c r="P74" s="10">
        <f>CHOOSE(CONTROL!$C$42, 5.0271, 5.0271) * CHOOSE(CONTROL!$C$21, $C$9, 100%, $E$9)</f>
        <v>5.0270999999999999</v>
      </c>
      <c r="Q74" s="10">
        <f>CHOOSE(CONTROL!$C$42, 5.723, 5.723) * CHOOSE(CONTROL!$C$21, $C$9, 100%, $E$9)</f>
        <v>5.7229999999999999</v>
      </c>
      <c r="R74" s="10">
        <f>CHOOSE(CONTROL!$C$42, 6.3243, 6.3243) * CHOOSE(CONTROL!$C$21, $C$9, 100%, $E$9)</f>
        <v>6.3243</v>
      </c>
      <c r="S74" s="10">
        <f>CHOOSE(CONTROL!$C$42, 4.9287, 4.9287) * CHOOSE(CONTROL!$C$21, $C$9, 100%, $E$9)</f>
        <v>4.9287000000000001</v>
      </c>
      <c r="T74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74" s="58">
        <f>(1000*CHOOSE(CONTROL!$C$42, 695, 695)*CHOOSE(CONTROL!$C$42, 0.5599, 0.5599)*CHOOSE(CONTROL!$C$42, 28, 28))/1000000</f>
        <v>10.895653999999999</v>
      </c>
      <c r="V74" s="58">
        <f>(1000*CHOOSE(CONTROL!$C$42, 500, 500)*CHOOSE(CONTROL!$C$42, 0.275, 0.275)*CHOOSE(CONTROL!$C$42, 28, 28))/1000000</f>
        <v>3.85</v>
      </c>
      <c r="W74" s="58">
        <f>(1000*CHOOSE(CONTROL!$C$42, 0.1146, 0.1146)*CHOOSE(CONTROL!$C$42, 121.5, 121.5)*CHOOSE(CONTROL!$C$42, 28, 28))/1000000</f>
        <v>0.38986920000000003</v>
      </c>
      <c r="X74" s="58">
        <f>(28*0.1790888*100000/1000000)+(28*0.2374*100000/1000000)</f>
        <v>1.16616864</v>
      </c>
      <c r="Y74" s="58"/>
      <c r="Z74" s="10"/>
      <c r="AA74" s="57"/>
      <c r="AB74" s="51">
        <f>(B74*122.58+C74*297.941+D74*89.177+E74*40.302+F74*40+G74*160+H74*0+I74*100+J74*300)/(122.58+297.941+89.177+40.302+0+40+160+100+300)</f>
        <v>5.0838852566086956</v>
      </c>
      <c r="AC74" s="27">
        <f>(M74*'RAP TEMPLATE-GAS AVAILABILITY'!O73+N74*'RAP TEMPLATE-GAS AVAILABILITY'!P73+O74*'RAP TEMPLATE-GAS AVAILABILITY'!Q73+P74*'RAP TEMPLATE-GAS AVAILABILITY'!R73)/('RAP TEMPLATE-GAS AVAILABILITY'!O73+'RAP TEMPLATE-GAS AVAILABILITY'!P73+'RAP TEMPLATE-GAS AVAILABILITY'!Q73+'RAP TEMPLATE-GAS AVAILABILITY'!R73)</f>
        <v>5.0734381294964024</v>
      </c>
    </row>
    <row r="75" spans="1:29" ht="15.75" x14ac:dyDescent="0.25">
      <c r="A75" s="16">
        <v>43160</v>
      </c>
      <c r="B75" s="10">
        <f>CHOOSE(CONTROL!$C$42, 4.9335, 4.9335) * CHOOSE(CONTROL!$C$21, $C$9, 100%, $E$9)</f>
        <v>4.9335000000000004</v>
      </c>
      <c r="C75" s="10">
        <f>CHOOSE(CONTROL!$C$42, 4.9385, 4.9385) * CHOOSE(CONTROL!$C$21, $C$9, 100%, $E$9)</f>
        <v>4.9385000000000003</v>
      </c>
      <c r="D75" s="10">
        <f>CHOOSE(CONTROL!$C$42, 4.999, 4.999) * CHOOSE(CONTROL!$C$21, $C$9, 100%, $E$9)</f>
        <v>4.9989999999999997</v>
      </c>
      <c r="E75" s="10">
        <f>CHOOSE(CONTROL!$C$42, 5.0327, 5.0327) * CHOOSE(CONTROL!$C$21, $C$9, 100%, $E$9)</f>
        <v>5.0327000000000002</v>
      </c>
      <c r="F75" s="10">
        <f>CHOOSE(CONTROL!$C$42, 4.9212, 4.9212)*CHOOSE(CONTROL!$C$21, $C$9, 100%, $E$9)</f>
        <v>4.9211999999999998</v>
      </c>
      <c r="G75" s="10">
        <f>CHOOSE(CONTROL!$C$42, 4.9384, 4.9384)*CHOOSE(CONTROL!$C$21, $C$9, 100%, $E$9)</f>
        <v>4.9383999999999997</v>
      </c>
      <c r="H75" s="10">
        <f>CHOOSE(CONTROL!$C$42, 5.0219, 5.0219) * CHOOSE(CONTROL!$C$21, $C$9, 100%, $E$9)</f>
        <v>5.0218999999999996</v>
      </c>
      <c r="I75" s="10">
        <f>CHOOSE(CONTROL!$C$42, 4.9074, 4.9074)* CHOOSE(CONTROL!$C$21, $C$9, 100%, $E$9)</f>
        <v>4.9074</v>
      </c>
      <c r="J75" s="10">
        <f>CHOOSE(CONTROL!$C$42, 4.9142, 4.9142)* CHOOSE(CONTROL!$C$21, $C$9, 100%, $E$9)</f>
        <v>4.9142000000000001</v>
      </c>
      <c r="K75" s="54">
        <f>CHOOSE(CONTROL!$C$42, 4.9035, 4.9035) * CHOOSE(CONTROL!$C$21, $C$9, 100%, $E$9)</f>
        <v>4.9035000000000002</v>
      </c>
      <c r="L75" s="10">
        <f>CHOOSE(CONTROL!$C$42, 5.6089, 5.6089) * CHOOSE(CONTROL!$C$21, $C$9, 100%, $E$9)</f>
        <v>5.6089000000000002</v>
      </c>
      <c r="M75" s="10">
        <f>CHOOSE(CONTROL!$C$42, 4.8785, 4.8785) * CHOOSE(CONTROL!$C$21, $C$9, 100%, $E$9)</f>
        <v>4.8784999999999998</v>
      </c>
      <c r="N75" s="10">
        <f>CHOOSE(CONTROL!$C$42, 4.8955, 4.8955) * CHOOSE(CONTROL!$C$21, $C$9, 100%, $E$9)</f>
        <v>4.8955000000000002</v>
      </c>
      <c r="O75" s="10">
        <f>CHOOSE(CONTROL!$C$42, 4.9851, 4.9851) * CHOOSE(CONTROL!$C$21, $C$9, 100%, $E$9)</f>
        <v>4.9851000000000001</v>
      </c>
      <c r="P75" s="10">
        <f>CHOOSE(CONTROL!$C$42, 4.8717, 4.8717) * CHOOSE(CONTROL!$C$21, $C$9, 100%, $E$9)</f>
        <v>4.8716999999999997</v>
      </c>
      <c r="Q75" s="10">
        <f>CHOOSE(CONTROL!$C$42, 5.5804, 5.5804) * CHOOSE(CONTROL!$C$21, $C$9, 100%, $E$9)</f>
        <v>5.5804</v>
      </c>
      <c r="R75" s="10">
        <f>CHOOSE(CONTROL!$C$42, 6.1813, 6.1813) * CHOOSE(CONTROL!$C$21, $C$9, 100%, $E$9)</f>
        <v>6.1813000000000002</v>
      </c>
      <c r="S75" s="10">
        <f>CHOOSE(CONTROL!$C$42, 4.7888, 4.7888) * CHOOSE(CONTROL!$C$21, $C$9, 100%, $E$9)</f>
        <v>4.7888000000000002</v>
      </c>
      <c r="T75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75" s="58">
        <f>(1000*CHOOSE(CONTROL!$C$42, 695, 695)*CHOOSE(CONTROL!$C$42, 0.5599, 0.5599)*CHOOSE(CONTROL!$C$42, 31, 31))/1000000</f>
        <v>12.063045499999998</v>
      </c>
      <c r="V75" s="58">
        <f>(1000*CHOOSE(CONTROL!$C$42, 500, 500)*CHOOSE(CONTROL!$C$42, 0.275, 0.275)*CHOOSE(CONTROL!$C$42, 31, 31))/1000000</f>
        <v>4.2625000000000002</v>
      </c>
      <c r="W75" s="58">
        <f>(1000*CHOOSE(CONTROL!$C$42, 0.1146, 0.1146)*CHOOSE(CONTROL!$C$42, 121.5, 121.5)*CHOOSE(CONTROL!$C$42, 31, 31))/1000000</f>
        <v>0.43164089999999994</v>
      </c>
      <c r="X75" s="58">
        <f>(31*0.1790888*100000/1000000)+(31*0.2374*100000/1000000)</f>
        <v>1.2911152800000001</v>
      </c>
      <c r="Y75" s="58"/>
      <c r="Z75" s="10"/>
      <c r="AA75" s="57"/>
      <c r="AB75" s="51">
        <f>(B75*122.58+C75*297.941+D75*89.177+E75*40.302+F75*40+G75*160+H75*0+I75*100+J75*300)/(122.58+297.941+89.177+40.302+0+40+160+100+300)</f>
        <v>4.9363006581739128</v>
      </c>
      <c r="AC75" s="27">
        <f>(M75*'RAP TEMPLATE-GAS AVAILABILITY'!O74+N75*'RAP TEMPLATE-GAS AVAILABILITY'!P74+O75*'RAP TEMPLATE-GAS AVAILABILITY'!Q74+P75*'RAP TEMPLATE-GAS AVAILABILITY'!R74)/('RAP TEMPLATE-GAS AVAILABILITY'!O74+'RAP TEMPLATE-GAS AVAILABILITY'!P74+'RAP TEMPLATE-GAS AVAILABILITY'!Q74+'RAP TEMPLATE-GAS AVAILABILITY'!R74)</f>
        <v>4.9268151079136686</v>
      </c>
    </row>
    <row r="76" spans="1:29" ht="15.75" x14ac:dyDescent="0.25">
      <c r="A76" s="16">
        <v>43191</v>
      </c>
      <c r="B76" s="10">
        <f>CHOOSE(CONTROL!$C$42, 4.9199, 4.9199) * CHOOSE(CONTROL!$C$21, $C$9, 100%, $E$9)</f>
        <v>4.9199000000000002</v>
      </c>
      <c r="C76" s="10">
        <f>CHOOSE(CONTROL!$C$42, 4.9243, 4.9243) * CHOOSE(CONTROL!$C$21, $C$9, 100%, $E$9)</f>
        <v>4.9242999999999997</v>
      </c>
      <c r="D76" s="10">
        <f>CHOOSE(CONTROL!$C$42, 5.1199, 5.1199) * CHOOSE(CONTROL!$C$21, $C$9, 100%, $E$9)</f>
        <v>5.1199000000000003</v>
      </c>
      <c r="E76" s="10">
        <f>CHOOSE(CONTROL!$C$42, 5.1516, 5.1516) * CHOOSE(CONTROL!$C$21, $C$9, 100%, $E$9)</f>
        <v>5.1516000000000002</v>
      </c>
      <c r="F76" s="10">
        <f>CHOOSE(CONTROL!$C$42, 4.8877, 4.8877)*CHOOSE(CONTROL!$C$21, $C$9, 100%, $E$9)</f>
        <v>4.8876999999999997</v>
      </c>
      <c r="G76" s="10">
        <f>CHOOSE(CONTROL!$C$42, 4.9045, 4.9045)*CHOOSE(CONTROL!$C$21, $C$9, 100%, $E$9)</f>
        <v>4.9044999999999996</v>
      </c>
      <c r="H76" s="10">
        <f>CHOOSE(CONTROL!$C$42, 5.1414, 5.1414) * CHOOSE(CONTROL!$C$21, $C$9, 100%, $E$9)</f>
        <v>5.1414</v>
      </c>
      <c r="I76" s="10">
        <f>CHOOSE(CONTROL!$C$42, 4.8879, 4.8879)* CHOOSE(CONTROL!$C$21, $C$9, 100%, $E$9)</f>
        <v>4.8879000000000001</v>
      </c>
      <c r="J76" s="10">
        <f>CHOOSE(CONTROL!$C$42, 4.8807, 4.8807)* CHOOSE(CONTROL!$C$21, $C$9, 100%, $E$9)</f>
        <v>4.8807</v>
      </c>
      <c r="K76" s="54">
        <f>CHOOSE(CONTROL!$C$42, 4.884, 4.884) * CHOOSE(CONTROL!$C$21, $C$9, 100%, $E$9)</f>
        <v>4.8840000000000003</v>
      </c>
      <c r="L76" s="10">
        <f>CHOOSE(CONTROL!$C$42, 5.7284, 5.7284) * CHOOSE(CONTROL!$C$21, $C$9, 100%, $E$9)</f>
        <v>5.7283999999999997</v>
      </c>
      <c r="M76" s="10">
        <f>CHOOSE(CONTROL!$C$42, 4.8453, 4.8453) * CHOOSE(CONTROL!$C$21, $C$9, 100%, $E$9)</f>
        <v>4.8452999999999999</v>
      </c>
      <c r="N76" s="10">
        <f>CHOOSE(CONTROL!$C$42, 4.8619, 4.8619) * CHOOSE(CONTROL!$C$21, $C$9, 100%, $E$9)</f>
        <v>4.8619000000000003</v>
      </c>
      <c r="O76" s="10">
        <f>CHOOSE(CONTROL!$C$42, 5.1034, 5.1034) * CHOOSE(CONTROL!$C$21, $C$9, 100%, $E$9)</f>
        <v>5.1033999999999997</v>
      </c>
      <c r="P76" s="10">
        <f>CHOOSE(CONTROL!$C$42, 4.8524, 4.8524) * CHOOSE(CONTROL!$C$21, $C$9, 100%, $E$9)</f>
        <v>4.8524000000000003</v>
      </c>
      <c r="Q76" s="10">
        <f>CHOOSE(CONTROL!$C$42, 5.6987, 5.6987) * CHOOSE(CONTROL!$C$21, $C$9, 100%, $E$9)</f>
        <v>5.6986999999999997</v>
      </c>
      <c r="R76" s="10">
        <f>CHOOSE(CONTROL!$C$42, 6.2999, 6.2999) * CHOOSE(CONTROL!$C$21, $C$9, 100%, $E$9)</f>
        <v>6.2999000000000001</v>
      </c>
      <c r="S76" s="10">
        <f>CHOOSE(CONTROL!$C$42, 4.7748, 4.7748) * CHOOSE(CONTROL!$C$21, $C$9, 100%, $E$9)</f>
        <v>4.7747999999999999</v>
      </c>
      <c r="T76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76" s="58">
        <f>(1000*CHOOSE(CONTROL!$C$42, 695, 695)*CHOOSE(CONTROL!$C$42, 0.5599, 0.5599)*CHOOSE(CONTROL!$C$42, 30, 30))/1000000</f>
        <v>11.673914999999997</v>
      </c>
      <c r="V76" s="58">
        <f>(1000*CHOOSE(CONTROL!$C$42, 500, 500)*CHOOSE(CONTROL!$C$42, 0.275, 0.275)*CHOOSE(CONTROL!$C$42, 30, 30))/1000000</f>
        <v>4.125</v>
      </c>
      <c r="W76" s="58">
        <f>(1000*CHOOSE(CONTROL!$C$42, 0.1146, 0.1146)*CHOOSE(CONTROL!$C$42, 121.5, 121.5)*CHOOSE(CONTROL!$C$42, 30, 30))/1000000</f>
        <v>0.417717</v>
      </c>
      <c r="X76" s="58">
        <f>(30*0.1790888*245000/1000000)+(30*0.2374*100000/1000000)</f>
        <v>2.0285026799999999</v>
      </c>
      <c r="Y76" s="58"/>
      <c r="Z76" s="10"/>
      <c r="AA76" s="57"/>
      <c r="AB76" s="51">
        <f>(B76*141.293+C76*267.993+D76*115.016+E76*89.698+F76*40+G76*185+H76*0+I76*100+J76*300)/(141.293+267.993+115.016+89.698+0+40+185+100+300)</f>
        <v>4.9407784469733658</v>
      </c>
      <c r="AC76" s="27">
        <f>(M76*'RAP TEMPLATE-GAS AVAILABILITY'!O75+N76*'RAP TEMPLATE-GAS AVAILABILITY'!P75+O76*'RAP TEMPLATE-GAS AVAILABILITY'!Q75+P76*'RAP TEMPLATE-GAS AVAILABILITY'!R75)/('RAP TEMPLATE-GAS AVAILABILITY'!O75+'RAP TEMPLATE-GAS AVAILABILITY'!P75+'RAP TEMPLATE-GAS AVAILABILITY'!Q75+'RAP TEMPLATE-GAS AVAILABILITY'!R75)</f>
        <v>4.9225597122302158</v>
      </c>
    </row>
    <row r="77" spans="1:29" ht="15.75" x14ac:dyDescent="0.25">
      <c r="A77" s="16">
        <v>43221</v>
      </c>
      <c r="B77" s="10">
        <f>CHOOSE(CONTROL!$C$42, 4.9647, 4.9647) * CHOOSE(CONTROL!$C$21, $C$9, 100%, $E$9)</f>
        <v>4.9646999999999997</v>
      </c>
      <c r="C77" s="10">
        <f>CHOOSE(CONTROL!$C$42, 4.9726, 4.9726) * CHOOSE(CONTROL!$C$21, $C$9, 100%, $E$9)</f>
        <v>4.9725999999999999</v>
      </c>
      <c r="D77" s="10">
        <f>CHOOSE(CONTROL!$C$42, 5.165, 5.165) * CHOOSE(CONTROL!$C$21, $C$9, 100%, $E$9)</f>
        <v>5.165</v>
      </c>
      <c r="E77" s="10">
        <f>CHOOSE(CONTROL!$C$42, 5.1962, 5.1962) * CHOOSE(CONTROL!$C$21, $C$9, 100%, $E$9)</f>
        <v>5.1962000000000002</v>
      </c>
      <c r="F77" s="10">
        <f>CHOOSE(CONTROL!$C$42, 4.9309, 4.9309)*CHOOSE(CONTROL!$C$21, $C$9, 100%, $E$9)</f>
        <v>4.9309000000000003</v>
      </c>
      <c r="G77" s="10">
        <f>CHOOSE(CONTROL!$C$42, 4.9481, 4.9481)*CHOOSE(CONTROL!$C$21, $C$9, 100%, $E$9)</f>
        <v>4.9481000000000002</v>
      </c>
      <c r="H77" s="10">
        <f>CHOOSE(CONTROL!$C$42, 5.1848, 5.1848) * CHOOSE(CONTROL!$C$21, $C$9, 100%, $E$9)</f>
        <v>5.1848000000000001</v>
      </c>
      <c r="I77" s="10">
        <f>CHOOSE(CONTROL!$C$42, 4.9313, 4.9313)* CHOOSE(CONTROL!$C$21, $C$9, 100%, $E$9)</f>
        <v>4.9313000000000002</v>
      </c>
      <c r="J77" s="10">
        <f>CHOOSE(CONTROL!$C$42, 4.9239, 4.9239)* CHOOSE(CONTROL!$C$21, $C$9, 100%, $E$9)</f>
        <v>4.9238999999999997</v>
      </c>
      <c r="K77" s="54">
        <f>CHOOSE(CONTROL!$C$42, 4.9274, 4.9274) * CHOOSE(CONTROL!$C$21, $C$9, 100%, $E$9)</f>
        <v>4.9273999999999996</v>
      </c>
      <c r="L77" s="10">
        <f>CHOOSE(CONTROL!$C$42, 5.7718, 5.7718) * CHOOSE(CONTROL!$C$21, $C$9, 100%, $E$9)</f>
        <v>5.7717999999999998</v>
      </c>
      <c r="M77" s="10">
        <f>CHOOSE(CONTROL!$C$42, 4.8881, 4.8881) * CHOOSE(CONTROL!$C$21, $C$9, 100%, $E$9)</f>
        <v>4.8880999999999997</v>
      </c>
      <c r="N77" s="10">
        <f>CHOOSE(CONTROL!$C$42, 4.905, 4.905) * CHOOSE(CONTROL!$C$21, $C$9, 100%, $E$9)</f>
        <v>4.9050000000000002</v>
      </c>
      <c r="O77" s="10">
        <f>CHOOSE(CONTROL!$C$42, 5.1463, 5.1463) * CHOOSE(CONTROL!$C$21, $C$9, 100%, $E$9)</f>
        <v>5.1463000000000001</v>
      </c>
      <c r="P77" s="10">
        <f>CHOOSE(CONTROL!$C$42, 4.8954, 4.8954) * CHOOSE(CONTROL!$C$21, $C$9, 100%, $E$9)</f>
        <v>4.8954000000000004</v>
      </c>
      <c r="Q77" s="10">
        <f>CHOOSE(CONTROL!$C$42, 5.7416, 5.7416) * CHOOSE(CONTROL!$C$21, $C$9, 100%, $E$9)</f>
        <v>5.7416</v>
      </c>
      <c r="R77" s="10">
        <f>CHOOSE(CONTROL!$C$42, 6.343, 6.343) * CHOOSE(CONTROL!$C$21, $C$9, 100%, $E$9)</f>
        <v>6.343</v>
      </c>
      <c r="S77" s="10">
        <f>CHOOSE(CONTROL!$C$42, 4.817, 4.817) * CHOOSE(CONTROL!$C$21, $C$9, 100%, $E$9)</f>
        <v>4.8170000000000002</v>
      </c>
      <c r="T77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77" s="58">
        <f>(1000*CHOOSE(CONTROL!$C$42, 695, 695)*CHOOSE(CONTROL!$C$42, 0.5599, 0.5599)*CHOOSE(CONTROL!$C$42, 31, 31))/1000000</f>
        <v>12.063045499999998</v>
      </c>
      <c r="V77" s="58">
        <f>(1000*CHOOSE(CONTROL!$C$42, 500, 500)*CHOOSE(CONTROL!$C$42, 0.275, 0.275)*CHOOSE(CONTROL!$C$42, 31, 31))/1000000</f>
        <v>4.2625000000000002</v>
      </c>
      <c r="W77" s="58">
        <f>(1000*CHOOSE(CONTROL!$C$42, 0.1146, 0.1146)*CHOOSE(CONTROL!$C$42, 121.5, 121.5)*CHOOSE(CONTROL!$C$42, 31, 31))/1000000</f>
        <v>0.43164089999999994</v>
      </c>
      <c r="X77" s="58">
        <f>(31*0.1790888*245000/1000000)+(31*0.2374*100000/1000000)</f>
        <v>2.0961194359999999</v>
      </c>
      <c r="Y77" s="58"/>
      <c r="Z77" s="10"/>
      <c r="AA77" s="57"/>
      <c r="AB77" s="51">
        <f>(B77*194.205+C77*267.466+D77*133.845+E77*53.484+F77*40+G77*185+H77*0+I77*100+J77*300)/(194.205+267.466+133.845+53.484+0+40+185+100+300)</f>
        <v>4.9814195297488224</v>
      </c>
      <c r="AC77" s="27">
        <f>(M77*'RAP TEMPLATE-GAS AVAILABILITY'!O76+N77*'RAP TEMPLATE-GAS AVAILABILITY'!P76+O77*'RAP TEMPLATE-GAS AVAILABILITY'!Q76+P77*'RAP TEMPLATE-GAS AVAILABILITY'!R76)/('RAP TEMPLATE-GAS AVAILABILITY'!O76+'RAP TEMPLATE-GAS AVAILABILITY'!P76+'RAP TEMPLATE-GAS AVAILABILITY'!Q76+'RAP TEMPLATE-GAS AVAILABILITY'!R76)</f>
        <v>4.9654856115107915</v>
      </c>
    </row>
    <row r="78" spans="1:29" ht="15.75" x14ac:dyDescent="0.25">
      <c r="A78" s="16">
        <v>43252</v>
      </c>
      <c r="B78" s="10">
        <f>CHOOSE(CONTROL!$C$42, 5.1054, 5.1054) * CHOOSE(CONTROL!$C$21, $C$9, 100%, $E$9)</f>
        <v>5.1054000000000004</v>
      </c>
      <c r="C78" s="10">
        <f>CHOOSE(CONTROL!$C$42, 5.1133, 5.1133) * CHOOSE(CONTROL!$C$21, $C$9, 100%, $E$9)</f>
        <v>5.1132999999999997</v>
      </c>
      <c r="D78" s="10">
        <f>CHOOSE(CONTROL!$C$42, 5.3057, 5.3057) * CHOOSE(CONTROL!$C$21, $C$9, 100%, $E$9)</f>
        <v>5.3056999999999999</v>
      </c>
      <c r="E78" s="10">
        <f>CHOOSE(CONTROL!$C$42, 5.3368, 5.3368) * CHOOSE(CONTROL!$C$21, $C$9, 100%, $E$9)</f>
        <v>5.3368000000000002</v>
      </c>
      <c r="F78" s="10">
        <f>CHOOSE(CONTROL!$C$42, 5.0719, 5.0719)*CHOOSE(CONTROL!$C$21, $C$9, 100%, $E$9)</f>
        <v>5.0719000000000003</v>
      </c>
      <c r="G78" s="10">
        <f>CHOOSE(CONTROL!$C$42, 5.089, 5.089)*CHOOSE(CONTROL!$C$21, $C$9, 100%, $E$9)</f>
        <v>5.0890000000000004</v>
      </c>
      <c r="H78" s="10">
        <f>CHOOSE(CONTROL!$C$42, 5.3255, 5.3255) * CHOOSE(CONTROL!$C$21, $C$9, 100%, $E$9)</f>
        <v>5.3254999999999999</v>
      </c>
      <c r="I78" s="10">
        <f>CHOOSE(CONTROL!$C$42, 5.0719, 5.0719)* CHOOSE(CONTROL!$C$21, $C$9, 100%, $E$9)</f>
        <v>5.0719000000000003</v>
      </c>
      <c r="J78" s="10">
        <f>CHOOSE(CONTROL!$C$42, 5.0649, 5.0649)* CHOOSE(CONTROL!$C$21, $C$9, 100%, $E$9)</f>
        <v>5.0648999999999997</v>
      </c>
      <c r="K78" s="54">
        <f>CHOOSE(CONTROL!$C$42, 5.068, 5.068) * CHOOSE(CONTROL!$C$21, $C$9, 100%, $E$9)</f>
        <v>5.0679999999999996</v>
      </c>
      <c r="L78" s="10">
        <f>CHOOSE(CONTROL!$C$42, 5.9125, 5.9125) * CHOOSE(CONTROL!$C$21, $C$9, 100%, $E$9)</f>
        <v>5.9124999999999996</v>
      </c>
      <c r="M78" s="10">
        <f>CHOOSE(CONTROL!$C$42, 5.0276, 5.0276) * CHOOSE(CONTROL!$C$21, $C$9, 100%, $E$9)</f>
        <v>5.0275999999999996</v>
      </c>
      <c r="N78" s="10">
        <f>CHOOSE(CONTROL!$C$42, 5.0446, 5.0446) * CHOOSE(CONTROL!$C$21, $C$9, 100%, $E$9)</f>
        <v>5.0446</v>
      </c>
      <c r="O78" s="10">
        <f>CHOOSE(CONTROL!$C$42, 5.2856, 5.2856) * CHOOSE(CONTROL!$C$21, $C$9, 100%, $E$9)</f>
        <v>5.2855999999999996</v>
      </c>
      <c r="P78" s="10">
        <f>CHOOSE(CONTROL!$C$42, 5.0346, 5.0346) * CHOOSE(CONTROL!$C$21, $C$9, 100%, $E$9)</f>
        <v>5.0346000000000002</v>
      </c>
      <c r="Q78" s="10">
        <f>CHOOSE(CONTROL!$C$42, 5.8809, 5.8809) * CHOOSE(CONTROL!$C$21, $C$9, 100%, $E$9)</f>
        <v>5.8808999999999996</v>
      </c>
      <c r="R78" s="10">
        <f>CHOOSE(CONTROL!$C$42, 6.4826, 6.4826) * CHOOSE(CONTROL!$C$21, $C$9, 100%, $E$9)</f>
        <v>6.4825999999999997</v>
      </c>
      <c r="S78" s="10">
        <f>CHOOSE(CONTROL!$C$42, 4.9536, 4.9536) * CHOOSE(CONTROL!$C$21, $C$9, 100%, $E$9)</f>
        <v>4.9535999999999998</v>
      </c>
      <c r="T78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78" s="58">
        <f>(1000*CHOOSE(CONTROL!$C$42, 695, 695)*CHOOSE(CONTROL!$C$42, 0.5599, 0.5599)*CHOOSE(CONTROL!$C$42, 30, 30))/1000000</f>
        <v>11.673914999999997</v>
      </c>
      <c r="V78" s="58">
        <f>(1000*CHOOSE(CONTROL!$C$42, 500, 500)*CHOOSE(CONTROL!$C$42, 0.275, 0.275)*CHOOSE(CONTROL!$C$42, 30, 30))/1000000</f>
        <v>4.125</v>
      </c>
      <c r="W78" s="58">
        <f>(1000*CHOOSE(CONTROL!$C$42, 0.1146, 0.1146)*CHOOSE(CONTROL!$C$42, 121.5, 121.5)*CHOOSE(CONTROL!$C$42, 30, 30))/1000000</f>
        <v>0.417717</v>
      </c>
      <c r="X78" s="58">
        <f>(30*0.1790888*245000/1000000)+(30*0.2374*100000/1000000)</f>
        <v>2.0285026799999999</v>
      </c>
      <c r="Y78" s="58"/>
      <c r="Z78" s="10"/>
      <c r="AA78" s="57"/>
      <c r="AB78" s="51">
        <f>(B78*194.205+C78*267.466+D78*133.845+E78*53.484+F78*40+G78*185+H78*0+I78*100+J78*300)/(194.205+267.466+133.845+53.484+0+40+185+100+300)</f>
        <v>5.1222165875196239</v>
      </c>
      <c r="AC78" s="27">
        <f>(M78*'RAP TEMPLATE-GAS AVAILABILITY'!O77+N78*'RAP TEMPLATE-GAS AVAILABILITY'!P77+O78*'RAP TEMPLATE-GAS AVAILABILITY'!Q77+P78*'RAP TEMPLATE-GAS AVAILABILITY'!R77)/('RAP TEMPLATE-GAS AVAILABILITY'!O77+'RAP TEMPLATE-GAS AVAILABILITY'!P77+'RAP TEMPLATE-GAS AVAILABILITY'!Q77+'RAP TEMPLATE-GAS AVAILABILITY'!R77)</f>
        <v>5.1049093525179856</v>
      </c>
    </row>
    <row r="79" spans="1:29" ht="15.75" x14ac:dyDescent="0.25">
      <c r="A79" s="16">
        <v>43282</v>
      </c>
      <c r="B79" s="10">
        <f>CHOOSE(CONTROL!$C$42, 5.0075, 5.0075) * CHOOSE(CONTROL!$C$21, $C$9, 100%, $E$9)</f>
        <v>5.0075000000000003</v>
      </c>
      <c r="C79" s="10">
        <f>CHOOSE(CONTROL!$C$42, 5.0154, 5.0154) * CHOOSE(CONTROL!$C$21, $C$9, 100%, $E$9)</f>
        <v>5.0153999999999996</v>
      </c>
      <c r="D79" s="10">
        <f>CHOOSE(CONTROL!$C$42, 5.2079, 5.2079) * CHOOSE(CONTROL!$C$21, $C$9, 100%, $E$9)</f>
        <v>5.2079000000000004</v>
      </c>
      <c r="E79" s="10">
        <f>CHOOSE(CONTROL!$C$42, 5.239, 5.239) * CHOOSE(CONTROL!$C$21, $C$9, 100%, $E$9)</f>
        <v>5.2389999999999999</v>
      </c>
      <c r="F79" s="10">
        <f>CHOOSE(CONTROL!$C$42, 4.9744, 4.9744)*CHOOSE(CONTROL!$C$21, $C$9, 100%, $E$9)</f>
        <v>4.9744000000000002</v>
      </c>
      <c r="G79" s="10">
        <f>CHOOSE(CONTROL!$C$42, 4.9917, 4.9917)*CHOOSE(CONTROL!$C$21, $C$9, 100%, $E$9)</f>
        <v>4.9916999999999998</v>
      </c>
      <c r="H79" s="10">
        <f>CHOOSE(CONTROL!$C$42, 5.2276, 5.2276) * CHOOSE(CONTROL!$C$21, $C$9, 100%, $E$9)</f>
        <v>5.2275999999999998</v>
      </c>
      <c r="I79" s="10">
        <f>CHOOSE(CONTROL!$C$42, 4.9741, 4.9741)* CHOOSE(CONTROL!$C$21, $C$9, 100%, $E$9)</f>
        <v>4.9741</v>
      </c>
      <c r="J79" s="10">
        <f>CHOOSE(CONTROL!$C$42, 4.9674, 4.9674)* CHOOSE(CONTROL!$C$21, $C$9, 100%, $E$9)</f>
        <v>4.9673999999999996</v>
      </c>
      <c r="K79" s="54">
        <f>CHOOSE(CONTROL!$C$42, 4.9702, 4.9702) * CHOOSE(CONTROL!$C$21, $C$9, 100%, $E$9)</f>
        <v>4.9702000000000002</v>
      </c>
      <c r="L79" s="10">
        <f>CHOOSE(CONTROL!$C$42, 5.8146, 5.8146) * CHOOSE(CONTROL!$C$21, $C$9, 100%, $E$9)</f>
        <v>5.8146000000000004</v>
      </c>
      <c r="M79" s="10">
        <f>CHOOSE(CONTROL!$C$42, 4.9311, 4.9311) * CHOOSE(CONTROL!$C$21, $C$9, 100%, $E$9)</f>
        <v>4.9310999999999998</v>
      </c>
      <c r="N79" s="10">
        <f>CHOOSE(CONTROL!$C$42, 4.9482, 4.9482) * CHOOSE(CONTROL!$C$21, $C$9, 100%, $E$9)</f>
        <v>4.9481999999999999</v>
      </c>
      <c r="O79" s="10">
        <f>CHOOSE(CONTROL!$C$42, 5.1887, 5.1887) * CHOOSE(CONTROL!$C$21, $C$9, 100%, $E$9)</f>
        <v>5.1886999999999999</v>
      </c>
      <c r="P79" s="10">
        <f>CHOOSE(CONTROL!$C$42, 4.9378, 4.9378) * CHOOSE(CONTROL!$C$21, $C$9, 100%, $E$9)</f>
        <v>4.9378000000000002</v>
      </c>
      <c r="Q79" s="10">
        <f>CHOOSE(CONTROL!$C$42, 5.784, 5.784) * CHOOSE(CONTROL!$C$21, $C$9, 100%, $E$9)</f>
        <v>5.7839999999999998</v>
      </c>
      <c r="R79" s="10">
        <f>CHOOSE(CONTROL!$C$42, 6.3855, 6.3855) * CHOOSE(CONTROL!$C$21, $C$9, 100%, $E$9)</f>
        <v>6.3855000000000004</v>
      </c>
      <c r="S79" s="10">
        <f>CHOOSE(CONTROL!$C$42, 4.8586, 4.8586) * CHOOSE(CONTROL!$C$21, $C$9, 100%, $E$9)</f>
        <v>4.8586</v>
      </c>
      <c r="T79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79" s="58">
        <f>(1000*CHOOSE(CONTROL!$C$42, 695, 695)*CHOOSE(CONTROL!$C$42, 0.5599, 0.5599)*CHOOSE(CONTROL!$C$42, 31, 31))/1000000</f>
        <v>12.063045499999998</v>
      </c>
      <c r="V79" s="58">
        <f>(1000*CHOOSE(CONTROL!$C$42, 500, 500)*CHOOSE(CONTROL!$C$42, 0.275, 0.275)*CHOOSE(CONTROL!$C$42, 31, 31))/1000000</f>
        <v>4.2625000000000002</v>
      </c>
      <c r="W79" s="58">
        <f>(1000*CHOOSE(CONTROL!$C$42, 0.1146, 0.1146)*CHOOSE(CONTROL!$C$42, 121.5, 121.5)*CHOOSE(CONTROL!$C$42, 31, 31))/1000000</f>
        <v>0.43164089999999994</v>
      </c>
      <c r="X79" s="58">
        <f>(31*0.1790888*245000/1000000)+(31*0.2374*100000/1000000)</f>
        <v>2.0961194359999999</v>
      </c>
      <c r="Y79" s="58"/>
      <c r="Z79" s="10"/>
      <c r="AA79" s="57"/>
      <c r="AB79" s="51">
        <f>(B79*194.205+C79*267.466+D79*133.845+E79*53.484+F79*40+G79*185+H79*0+I79*100+J79*300)/(194.205+267.466+133.845+53.484+0+40+185+100+300)</f>
        <v>5.0245330183673476</v>
      </c>
      <c r="AC79" s="27">
        <f>(M79*'RAP TEMPLATE-GAS AVAILABILITY'!O78+N79*'RAP TEMPLATE-GAS AVAILABILITY'!P78+O79*'RAP TEMPLATE-GAS AVAILABILITY'!Q78+P79*'RAP TEMPLATE-GAS AVAILABILITY'!R78)/('RAP TEMPLATE-GAS AVAILABILITY'!O78+'RAP TEMPLATE-GAS AVAILABILITY'!P78+'RAP TEMPLATE-GAS AVAILABILITY'!Q78+'RAP TEMPLATE-GAS AVAILABILITY'!R78)</f>
        <v>5.0082769784172658</v>
      </c>
    </row>
    <row r="80" spans="1:29" ht="15.75" x14ac:dyDescent="0.25">
      <c r="A80" s="16">
        <v>43313</v>
      </c>
      <c r="B80" s="10">
        <f>CHOOSE(CONTROL!$C$42, 4.7605, 4.7605) * CHOOSE(CONTROL!$C$21, $C$9, 100%, $E$9)</f>
        <v>4.7605000000000004</v>
      </c>
      <c r="C80" s="10">
        <f>CHOOSE(CONTROL!$C$42, 4.7684, 4.7684) * CHOOSE(CONTROL!$C$21, $C$9, 100%, $E$9)</f>
        <v>4.7683999999999997</v>
      </c>
      <c r="D80" s="10">
        <f>CHOOSE(CONTROL!$C$42, 4.9608, 4.9608) * CHOOSE(CONTROL!$C$21, $C$9, 100%, $E$9)</f>
        <v>4.9607999999999999</v>
      </c>
      <c r="E80" s="10">
        <f>CHOOSE(CONTROL!$C$42, 4.9919, 4.9919) * CHOOSE(CONTROL!$C$21, $C$9, 100%, $E$9)</f>
        <v>4.9919000000000002</v>
      </c>
      <c r="F80" s="10">
        <f>CHOOSE(CONTROL!$C$42, 4.7275, 4.7275)*CHOOSE(CONTROL!$C$21, $C$9, 100%, $E$9)</f>
        <v>4.7275</v>
      </c>
      <c r="G80" s="10">
        <f>CHOOSE(CONTROL!$C$42, 4.7448, 4.7448)*CHOOSE(CONTROL!$C$21, $C$9, 100%, $E$9)</f>
        <v>4.7447999999999997</v>
      </c>
      <c r="H80" s="10">
        <f>CHOOSE(CONTROL!$C$42, 4.9806, 4.9806) * CHOOSE(CONTROL!$C$21, $C$9, 100%, $E$9)</f>
        <v>4.9805999999999999</v>
      </c>
      <c r="I80" s="10">
        <f>CHOOSE(CONTROL!$C$42, 4.727, 4.727)* CHOOSE(CONTROL!$C$21, $C$9, 100%, $E$9)</f>
        <v>4.7270000000000003</v>
      </c>
      <c r="J80" s="10">
        <f>CHOOSE(CONTROL!$C$42, 4.7205, 4.7205)* CHOOSE(CONTROL!$C$21, $C$9, 100%, $E$9)</f>
        <v>4.7205000000000004</v>
      </c>
      <c r="K80" s="54">
        <f>CHOOSE(CONTROL!$C$42, 4.7231, 4.7231) * CHOOSE(CONTROL!$C$21, $C$9, 100%, $E$9)</f>
        <v>4.7230999999999996</v>
      </c>
      <c r="L80" s="10">
        <f>CHOOSE(CONTROL!$C$42, 5.5676, 5.5676) * CHOOSE(CONTROL!$C$21, $C$9, 100%, $E$9)</f>
        <v>5.5675999999999997</v>
      </c>
      <c r="M80" s="10">
        <f>CHOOSE(CONTROL!$C$42, 4.6867, 4.6867) * CHOOSE(CONTROL!$C$21, $C$9, 100%, $E$9)</f>
        <v>4.6867000000000001</v>
      </c>
      <c r="N80" s="10">
        <f>CHOOSE(CONTROL!$C$42, 4.7039, 4.7039) * CHOOSE(CONTROL!$C$21, $C$9, 100%, $E$9)</f>
        <v>4.7039</v>
      </c>
      <c r="O80" s="10">
        <f>CHOOSE(CONTROL!$C$42, 4.9441, 4.9441) * CHOOSE(CONTROL!$C$21, $C$9, 100%, $E$9)</f>
        <v>4.9440999999999997</v>
      </c>
      <c r="P80" s="10">
        <f>CHOOSE(CONTROL!$C$42, 4.6932, 4.6932) * CHOOSE(CONTROL!$C$21, $C$9, 100%, $E$9)</f>
        <v>4.6932</v>
      </c>
      <c r="Q80" s="10">
        <f>CHOOSE(CONTROL!$C$42, 5.5394, 5.5394) * CHOOSE(CONTROL!$C$21, $C$9, 100%, $E$9)</f>
        <v>5.5393999999999997</v>
      </c>
      <c r="R80" s="10">
        <f>CHOOSE(CONTROL!$C$42, 6.1403, 6.1403) * CHOOSE(CONTROL!$C$21, $C$9, 100%, $E$9)</f>
        <v>6.1402999999999999</v>
      </c>
      <c r="S80" s="10">
        <f>CHOOSE(CONTROL!$C$42, 4.6186, 4.6186) * CHOOSE(CONTROL!$C$21, $C$9, 100%, $E$9)</f>
        <v>4.6185999999999998</v>
      </c>
      <c r="T80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80" s="58">
        <f>(1000*CHOOSE(CONTROL!$C$42, 695, 695)*CHOOSE(CONTROL!$C$42, 0.5599, 0.5599)*CHOOSE(CONTROL!$C$42, 31, 31))/1000000</f>
        <v>12.063045499999998</v>
      </c>
      <c r="V80" s="58">
        <f>(1000*CHOOSE(CONTROL!$C$42, 500, 500)*CHOOSE(CONTROL!$C$42, 0.275, 0.275)*CHOOSE(CONTROL!$C$42, 31, 31))/1000000</f>
        <v>4.2625000000000002</v>
      </c>
      <c r="W80" s="58">
        <f>(1000*CHOOSE(CONTROL!$C$42, 0.1146, 0.1146)*CHOOSE(CONTROL!$C$42, 121.5, 121.5)*CHOOSE(CONTROL!$C$42, 31, 31))/1000000</f>
        <v>0.43164089999999994</v>
      </c>
      <c r="X80" s="58">
        <f>(31*0.1790888*245000/1000000)+(31*0.2374*100000/1000000)</f>
        <v>2.0961194359999999</v>
      </c>
      <c r="Y80" s="58"/>
      <c r="Z80" s="10"/>
      <c r="AA80" s="57"/>
      <c r="AB80" s="51">
        <f>(B80*194.205+C80*267.466+D80*133.845+E80*53.484+F80*40+G80*185+H80*0+I80*100+J80*300)/(194.205+267.466+133.845+53.484+0+40+185+100+300)</f>
        <v>4.7775516738618524</v>
      </c>
      <c r="AC80" s="27">
        <f>(M80*'RAP TEMPLATE-GAS AVAILABILITY'!O79+N80*'RAP TEMPLATE-GAS AVAILABILITY'!P79+O80*'RAP TEMPLATE-GAS AVAILABILITY'!Q79+P80*'RAP TEMPLATE-GAS AVAILABILITY'!R79)/('RAP TEMPLATE-GAS AVAILABILITY'!O79+'RAP TEMPLATE-GAS AVAILABILITY'!P79+'RAP TEMPLATE-GAS AVAILABILITY'!Q79+'RAP TEMPLATE-GAS AVAILABILITY'!R79)</f>
        <v>4.7638151079136692</v>
      </c>
    </row>
    <row r="81" spans="1:29" ht="15.75" x14ac:dyDescent="0.25">
      <c r="A81" s="16">
        <v>43344</v>
      </c>
      <c r="B81" s="10">
        <f>CHOOSE(CONTROL!$C$42, 4.4582, 4.4582) * CHOOSE(CONTROL!$C$21, $C$9, 100%, $E$9)</f>
        <v>4.4581999999999997</v>
      </c>
      <c r="C81" s="10">
        <f>CHOOSE(CONTROL!$C$42, 4.4661, 4.4661) * CHOOSE(CONTROL!$C$21, $C$9, 100%, $E$9)</f>
        <v>4.4661</v>
      </c>
      <c r="D81" s="10">
        <f>CHOOSE(CONTROL!$C$42, 4.6585, 4.6585) * CHOOSE(CONTROL!$C$21, $C$9, 100%, $E$9)</f>
        <v>4.6585000000000001</v>
      </c>
      <c r="E81" s="10">
        <f>CHOOSE(CONTROL!$C$42, 4.6897, 4.6897) * CHOOSE(CONTROL!$C$21, $C$9, 100%, $E$9)</f>
        <v>4.6897000000000002</v>
      </c>
      <c r="F81" s="10">
        <f>CHOOSE(CONTROL!$C$42, 4.4251, 4.4251)*CHOOSE(CONTROL!$C$21, $C$9, 100%, $E$9)</f>
        <v>4.4250999999999996</v>
      </c>
      <c r="G81" s="10">
        <f>CHOOSE(CONTROL!$C$42, 4.4424, 4.4424)*CHOOSE(CONTROL!$C$21, $C$9, 100%, $E$9)</f>
        <v>4.4424000000000001</v>
      </c>
      <c r="H81" s="10">
        <f>CHOOSE(CONTROL!$C$42, 4.6783, 4.6783) * CHOOSE(CONTROL!$C$21, $C$9, 100%, $E$9)</f>
        <v>4.6783000000000001</v>
      </c>
      <c r="I81" s="10">
        <f>CHOOSE(CONTROL!$C$42, 4.4248, 4.4248)* CHOOSE(CONTROL!$C$21, $C$9, 100%, $E$9)</f>
        <v>4.4248000000000003</v>
      </c>
      <c r="J81" s="10">
        <f>CHOOSE(CONTROL!$C$42, 4.4181, 4.4181)* CHOOSE(CONTROL!$C$21, $C$9, 100%, $E$9)</f>
        <v>4.4180999999999999</v>
      </c>
      <c r="K81" s="54">
        <f>CHOOSE(CONTROL!$C$42, 4.4209, 4.4209) * CHOOSE(CONTROL!$C$21, $C$9, 100%, $E$9)</f>
        <v>4.4208999999999996</v>
      </c>
      <c r="L81" s="10">
        <f>CHOOSE(CONTROL!$C$42, 5.2653, 5.2653) * CHOOSE(CONTROL!$C$21, $C$9, 100%, $E$9)</f>
        <v>5.2652999999999999</v>
      </c>
      <c r="M81" s="10">
        <f>CHOOSE(CONTROL!$C$42, 4.3873, 4.3873) * CHOOSE(CONTROL!$C$21, $C$9, 100%, $E$9)</f>
        <v>4.3872999999999998</v>
      </c>
      <c r="N81" s="10">
        <f>CHOOSE(CONTROL!$C$42, 4.4044, 4.4044) * CHOOSE(CONTROL!$C$21, $C$9, 100%, $E$9)</f>
        <v>4.4043999999999999</v>
      </c>
      <c r="O81" s="10">
        <f>CHOOSE(CONTROL!$C$42, 4.6449, 4.6449) * CHOOSE(CONTROL!$C$21, $C$9, 100%, $E$9)</f>
        <v>4.6448999999999998</v>
      </c>
      <c r="P81" s="10">
        <f>CHOOSE(CONTROL!$C$42, 4.394, 4.394) * CHOOSE(CONTROL!$C$21, $C$9, 100%, $E$9)</f>
        <v>4.3940000000000001</v>
      </c>
      <c r="Q81" s="10">
        <f>CHOOSE(CONTROL!$C$42, 5.2402, 5.2402) * CHOOSE(CONTROL!$C$21, $C$9, 100%, $E$9)</f>
        <v>5.2401999999999997</v>
      </c>
      <c r="R81" s="10">
        <f>CHOOSE(CONTROL!$C$42, 5.8403, 5.8403) * CHOOSE(CONTROL!$C$21, $C$9, 100%, $E$9)</f>
        <v>5.8403</v>
      </c>
      <c r="S81" s="10">
        <f>CHOOSE(CONTROL!$C$42, 4.3251, 4.3251) * CHOOSE(CONTROL!$C$21, $C$9, 100%, $E$9)</f>
        <v>4.3250999999999999</v>
      </c>
      <c r="T81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81" s="58">
        <f>(1000*CHOOSE(CONTROL!$C$42, 695, 695)*CHOOSE(CONTROL!$C$42, 0.5599, 0.5599)*CHOOSE(CONTROL!$C$42, 30, 30))/1000000</f>
        <v>11.673914999999997</v>
      </c>
      <c r="V81" s="58">
        <f>(1000*CHOOSE(CONTROL!$C$42, 500, 500)*CHOOSE(CONTROL!$C$42, 0.275, 0.275)*CHOOSE(CONTROL!$C$42, 30, 30))/1000000</f>
        <v>4.125</v>
      </c>
      <c r="W81" s="58">
        <f>(1000*CHOOSE(CONTROL!$C$42, 0.1146, 0.1146)*CHOOSE(CONTROL!$C$42, 121.5, 121.5)*CHOOSE(CONTROL!$C$42, 30, 30))/1000000</f>
        <v>0.417717</v>
      </c>
      <c r="X81" s="58">
        <f>(30*0.1790888*245000/1000000)+(30*0.2374*100000/1000000)</f>
        <v>2.0285026799999999</v>
      </c>
      <c r="Y81" s="58"/>
      <c r="Z81" s="10"/>
      <c r="AA81" s="57"/>
      <c r="AB81" s="51">
        <f>(B81*194.205+C81*267.466+D81*133.845+E81*53.484+F81*40+G81*185+H81*0+I81*100+J81*300)/(194.205+267.466+133.845+53.484+0+40+185+100+300)</f>
        <v>4.4752225124803777</v>
      </c>
      <c r="AC81" s="27">
        <f>(M81*'RAP TEMPLATE-GAS AVAILABILITY'!O80+N81*'RAP TEMPLATE-GAS AVAILABILITY'!P80+O81*'RAP TEMPLATE-GAS AVAILABILITY'!Q80+P81*'RAP TEMPLATE-GAS AVAILABILITY'!R80)/('RAP TEMPLATE-GAS AVAILABILITY'!O80+'RAP TEMPLATE-GAS AVAILABILITY'!P80+'RAP TEMPLATE-GAS AVAILABILITY'!Q80+'RAP TEMPLATE-GAS AVAILABILITY'!R80)</f>
        <v>4.4644769784172667</v>
      </c>
    </row>
    <row r="82" spans="1:29" ht="15.75" x14ac:dyDescent="0.25">
      <c r="A82" s="16">
        <v>43374</v>
      </c>
      <c r="B82" s="10">
        <f>CHOOSE(CONTROL!$C$42, 4.366, 4.366) * CHOOSE(CONTROL!$C$21, $C$9, 100%, $E$9)</f>
        <v>4.3659999999999997</v>
      </c>
      <c r="C82" s="10">
        <f>CHOOSE(CONTROL!$C$42, 4.3712, 4.3712) * CHOOSE(CONTROL!$C$21, $C$9, 100%, $E$9)</f>
        <v>4.3712</v>
      </c>
      <c r="D82" s="10">
        <f>CHOOSE(CONTROL!$C$42, 4.5686, 4.5686) * CHOOSE(CONTROL!$C$21, $C$9, 100%, $E$9)</f>
        <v>4.5686</v>
      </c>
      <c r="E82" s="10">
        <f>CHOOSE(CONTROL!$C$42, 4.5974, 4.5974) * CHOOSE(CONTROL!$C$21, $C$9, 100%, $E$9)</f>
        <v>4.5974000000000004</v>
      </c>
      <c r="F82" s="10">
        <f>CHOOSE(CONTROL!$C$42, 4.3349, 4.3349)*CHOOSE(CONTROL!$C$21, $C$9, 100%, $E$9)</f>
        <v>4.3349000000000002</v>
      </c>
      <c r="G82" s="10">
        <f>CHOOSE(CONTROL!$C$42, 4.3519, 4.3519)*CHOOSE(CONTROL!$C$21, $C$9, 100%, $E$9)</f>
        <v>4.3518999999999997</v>
      </c>
      <c r="H82" s="10">
        <f>CHOOSE(CONTROL!$C$42, 4.5879, 4.5879) * CHOOSE(CONTROL!$C$21, $C$9, 100%, $E$9)</f>
        <v>4.5879000000000003</v>
      </c>
      <c r="I82" s="10">
        <f>CHOOSE(CONTROL!$C$42, 4.3343, 4.3343)* CHOOSE(CONTROL!$C$21, $C$9, 100%, $E$9)</f>
        <v>4.3342999999999998</v>
      </c>
      <c r="J82" s="10">
        <f>CHOOSE(CONTROL!$C$42, 4.3279, 4.3279)* CHOOSE(CONTROL!$C$21, $C$9, 100%, $E$9)</f>
        <v>4.3278999999999996</v>
      </c>
      <c r="K82" s="54">
        <f>CHOOSE(CONTROL!$C$42, 4.3304, 4.3304) * CHOOSE(CONTROL!$C$21, $C$9, 100%, $E$9)</f>
        <v>4.3304</v>
      </c>
      <c r="L82" s="10">
        <f>CHOOSE(CONTROL!$C$42, 5.1749, 5.1749) * CHOOSE(CONTROL!$C$21, $C$9, 100%, $E$9)</f>
        <v>5.1749000000000001</v>
      </c>
      <c r="M82" s="10">
        <f>CHOOSE(CONTROL!$C$42, 4.2981, 4.2981) * CHOOSE(CONTROL!$C$21, $C$9, 100%, $E$9)</f>
        <v>4.2980999999999998</v>
      </c>
      <c r="N82" s="10">
        <f>CHOOSE(CONTROL!$C$42, 4.3149, 4.3149) * CHOOSE(CONTROL!$C$21, $C$9, 100%, $E$9)</f>
        <v>4.3148999999999997</v>
      </c>
      <c r="O82" s="10">
        <f>CHOOSE(CONTROL!$C$42, 4.5554, 4.5554) * CHOOSE(CONTROL!$C$21, $C$9, 100%, $E$9)</f>
        <v>4.5553999999999997</v>
      </c>
      <c r="P82" s="10">
        <f>CHOOSE(CONTROL!$C$42, 4.3045, 4.3045) * CHOOSE(CONTROL!$C$21, $C$9, 100%, $E$9)</f>
        <v>4.3045</v>
      </c>
      <c r="Q82" s="10">
        <f>CHOOSE(CONTROL!$C$42, 5.1507, 5.1507) * CHOOSE(CONTROL!$C$21, $C$9, 100%, $E$9)</f>
        <v>5.1506999999999996</v>
      </c>
      <c r="R82" s="10">
        <f>CHOOSE(CONTROL!$C$42, 5.7506, 5.7506) * CHOOSE(CONTROL!$C$21, $C$9, 100%, $E$9)</f>
        <v>5.7506000000000004</v>
      </c>
      <c r="S82" s="10">
        <f>CHOOSE(CONTROL!$C$42, 4.2373, 4.2373) * CHOOSE(CONTROL!$C$21, $C$9, 100%, $E$9)</f>
        <v>4.2373000000000003</v>
      </c>
      <c r="T82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82" s="58">
        <f>(1000*CHOOSE(CONTROL!$C$42, 695, 695)*CHOOSE(CONTROL!$C$42, 0.5599, 0.5599)*CHOOSE(CONTROL!$C$42, 31, 31))/1000000</f>
        <v>12.063045499999998</v>
      </c>
      <c r="V82" s="58">
        <f>(1000*CHOOSE(CONTROL!$C$42, 500, 500)*CHOOSE(CONTROL!$C$42, 0.275, 0.275)*CHOOSE(CONTROL!$C$42, 31, 31))/1000000</f>
        <v>4.2625000000000002</v>
      </c>
      <c r="W82" s="58">
        <f>(1000*CHOOSE(CONTROL!$C$42, 0.1146, 0.1146)*CHOOSE(CONTROL!$C$42, 121.5, 121.5)*CHOOSE(CONTROL!$C$42, 31, 31))/1000000</f>
        <v>0.43164089999999994</v>
      </c>
      <c r="X82" s="58">
        <f>(31*0.1790888*245000/1000000)+(31*0.2374*100000/1000000)</f>
        <v>2.0961194359999999</v>
      </c>
      <c r="Y82" s="58"/>
      <c r="Z82" s="10"/>
      <c r="AA82" s="57"/>
      <c r="AB82" s="51">
        <f>(B82*131.881+C82*277.167+D82*79.08+E82*125.872+F82*40+G82*185+H82*0+I82*100+J82*300)/(131.881+277.167+79.08+125.872+0+40+185+100+300)</f>
        <v>4.388709569975787</v>
      </c>
      <c r="AC82" s="27">
        <f>(M82*'RAP TEMPLATE-GAS AVAILABILITY'!O81+N82*'RAP TEMPLATE-GAS AVAILABILITY'!P81+O82*'RAP TEMPLATE-GAS AVAILABILITY'!Q81+P82*'RAP TEMPLATE-GAS AVAILABILITY'!R81)/('RAP TEMPLATE-GAS AVAILABILITY'!O81+'RAP TEMPLATE-GAS AVAILABILITY'!P81+'RAP TEMPLATE-GAS AVAILABILITY'!Q81+'RAP TEMPLATE-GAS AVAILABILITY'!R81)</f>
        <v>4.3750805755395676</v>
      </c>
    </row>
    <row r="83" spans="1:29" ht="15.75" x14ac:dyDescent="0.25">
      <c r="A83" s="16">
        <v>43405</v>
      </c>
      <c r="B83" s="10">
        <f>CHOOSE(CONTROL!$C$42, 4.4805, 4.4805) * CHOOSE(CONTROL!$C$21, $C$9, 100%, $E$9)</f>
        <v>4.4805000000000001</v>
      </c>
      <c r="C83" s="10">
        <f>CHOOSE(CONTROL!$C$42, 4.4855, 4.4855) * CHOOSE(CONTROL!$C$21, $C$9, 100%, $E$9)</f>
        <v>4.4855</v>
      </c>
      <c r="D83" s="10">
        <f>CHOOSE(CONTROL!$C$42, 4.5151, 4.5151) * CHOOSE(CONTROL!$C$21, $C$9, 100%, $E$9)</f>
        <v>4.5151000000000003</v>
      </c>
      <c r="E83" s="10">
        <f>CHOOSE(CONTROL!$C$42, 4.5489, 4.5489) * CHOOSE(CONTROL!$C$21, $C$9, 100%, $E$9)</f>
        <v>4.5488999999999997</v>
      </c>
      <c r="F83" s="10">
        <f>CHOOSE(CONTROL!$C$42, 4.4473, 4.4473)*CHOOSE(CONTROL!$C$21, $C$9, 100%, $E$9)</f>
        <v>4.4473000000000003</v>
      </c>
      <c r="G83" s="10">
        <f>CHOOSE(CONTROL!$C$42, 4.4644, 4.4644)*CHOOSE(CONTROL!$C$21, $C$9, 100%, $E$9)</f>
        <v>4.4644000000000004</v>
      </c>
      <c r="H83" s="10">
        <f>CHOOSE(CONTROL!$C$42, 4.5381, 4.5381) * CHOOSE(CONTROL!$C$21, $C$9, 100%, $E$9)</f>
        <v>4.5381</v>
      </c>
      <c r="I83" s="10">
        <f>CHOOSE(CONTROL!$C$42, 4.4441, 4.4441)* CHOOSE(CONTROL!$C$21, $C$9, 100%, $E$9)</f>
        <v>4.4440999999999997</v>
      </c>
      <c r="J83" s="10">
        <f>CHOOSE(CONTROL!$C$42, 4.4403, 4.4403)* CHOOSE(CONTROL!$C$21, $C$9, 100%, $E$9)</f>
        <v>4.4402999999999997</v>
      </c>
      <c r="K83" s="54">
        <f>CHOOSE(CONTROL!$C$42, 4.4402, 4.4402) * CHOOSE(CONTROL!$C$21, $C$9, 100%, $E$9)</f>
        <v>4.4401999999999999</v>
      </c>
      <c r="L83" s="10">
        <f>CHOOSE(CONTROL!$C$42, 5.1251, 5.1251) * CHOOSE(CONTROL!$C$21, $C$9, 100%, $E$9)</f>
        <v>5.1250999999999998</v>
      </c>
      <c r="M83" s="10">
        <f>CHOOSE(CONTROL!$C$42, 4.4093, 4.4093) * CHOOSE(CONTROL!$C$21, $C$9, 100%, $E$9)</f>
        <v>4.4093</v>
      </c>
      <c r="N83" s="10">
        <f>CHOOSE(CONTROL!$C$42, 4.4263, 4.4263) * CHOOSE(CONTROL!$C$21, $C$9, 100%, $E$9)</f>
        <v>4.4263000000000003</v>
      </c>
      <c r="O83" s="10">
        <f>CHOOSE(CONTROL!$C$42, 4.5061, 4.5061) * CHOOSE(CONTROL!$C$21, $C$9, 100%, $E$9)</f>
        <v>4.5061</v>
      </c>
      <c r="P83" s="10">
        <f>CHOOSE(CONTROL!$C$42, 4.4131, 4.4131) * CHOOSE(CONTROL!$C$21, $C$9, 100%, $E$9)</f>
        <v>4.4131</v>
      </c>
      <c r="Q83" s="10">
        <f>CHOOSE(CONTROL!$C$42, 5.1014, 5.1014) * CHOOSE(CONTROL!$C$21, $C$9, 100%, $E$9)</f>
        <v>5.1013999999999999</v>
      </c>
      <c r="R83" s="10">
        <f>CHOOSE(CONTROL!$C$42, 5.7011, 5.7011) * CHOOSE(CONTROL!$C$21, $C$9, 100%, $E$9)</f>
        <v>5.7011000000000003</v>
      </c>
      <c r="S83" s="10">
        <f>CHOOSE(CONTROL!$C$42, 4.3489, 4.3489) * CHOOSE(CONTROL!$C$21, $C$9, 100%, $E$9)</f>
        <v>4.3489000000000004</v>
      </c>
      <c r="T83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83" s="58">
        <f>(1000*CHOOSE(CONTROL!$C$42, 695, 695)*CHOOSE(CONTROL!$C$42, 0.5599, 0.5599)*CHOOSE(CONTROL!$C$42, 30, 30))/1000000</f>
        <v>11.673914999999997</v>
      </c>
      <c r="V83" s="58">
        <f>(1000*CHOOSE(CONTROL!$C$42, 500, 500)*CHOOSE(CONTROL!$C$42, 0.275, 0.275)*CHOOSE(CONTROL!$C$42, 30, 30))/1000000</f>
        <v>4.125</v>
      </c>
      <c r="W83" s="58">
        <f>(1000*CHOOSE(CONTROL!$C$42, 0.1146, 0.1146)*CHOOSE(CONTROL!$C$42, 121.5, 121.5)*CHOOSE(CONTROL!$C$42, 30, 30))/1000000</f>
        <v>0.417717</v>
      </c>
      <c r="X83" s="58">
        <f>(30*0.1790888*100000/1000000)+(30*0.2374*100000/1000000)</f>
        <v>1.2494664</v>
      </c>
      <c r="Y83" s="58"/>
      <c r="Z83" s="10"/>
      <c r="AA83" s="57"/>
      <c r="AB83" s="51">
        <f>(B83*122.58+C83*297.941+D83*89.177+E83*40.302+F83*40+G83*160+H83*0+I83*100+J83*300)/(122.58+297.941+89.177+40.302+0+40+160+100+300)</f>
        <v>4.4698285965217384</v>
      </c>
      <c r="AC83" s="27">
        <f>(M83*'RAP TEMPLATE-GAS AVAILABILITY'!O82+N83*'RAP TEMPLATE-GAS AVAILABILITY'!P82+O83*'RAP TEMPLATE-GAS AVAILABILITY'!Q82+P83*'RAP TEMPLATE-GAS AVAILABILITY'!R82)/('RAP TEMPLATE-GAS AVAILABILITY'!O82+'RAP TEMPLATE-GAS AVAILABILITY'!P82+'RAP TEMPLATE-GAS AVAILABILITY'!Q82+'RAP TEMPLATE-GAS AVAILABILITY'!R82)</f>
        <v>4.454698561151079</v>
      </c>
    </row>
    <row r="84" spans="1:29" ht="15.75" x14ac:dyDescent="0.25">
      <c r="A84" s="16">
        <v>43435</v>
      </c>
      <c r="B84" s="10">
        <f>CHOOSE(CONTROL!$C$42, 4.7858, 4.7858) * CHOOSE(CONTROL!$C$21, $C$9, 100%, $E$9)</f>
        <v>4.7858000000000001</v>
      </c>
      <c r="C84" s="10">
        <f>CHOOSE(CONTROL!$C$42, 4.7908, 4.7908) * CHOOSE(CONTROL!$C$21, $C$9, 100%, $E$9)</f>
        <v>4.7907999999999999</v>
      </c>
      <c r="D84" s="10">
        <f>CHOOSE(CONTROL!$C$42, 4.8204, 4.8204) * CHOOSE(CONTROL!$C$21, $C$9, 100%, $E$9)</f>
        <v>4.8204000000000002</v>
      </c>
      <c r="E84" s="10">
        <f>CHOOSE(CONTROL!$C$42, 4.8541, 4.8541) * CHOOSE(CONTROL!$C$21, $C$9, 100%, $E$9)</f>
        <v>4.8540999999999999</v>
      </c>
      <c r="F84" s="10">
        <f>CHOOSE(CONTROL!$C$42, 4.754, 4.754)*CHOOSE(CONTROL!$C$21, $C$9, 100%, $E$9)</f>
        <v>4.7539999999999996</v>
      </c>
      <c r="G84" s="10">
        <f>CHOOSE(CONTROL!$C$42, 4.7715, 4.7715)*CHOOSE(CONTROL!$C$21, $C$9, 100%, $E$9)</f>
        <v>4.7714999999999996</v>
      </c>
      <c r="H84" s="10">
        <f>CHOOSE(CONTROL!$C$42, 4.8433, 4.8433) * CHOOSE(CONTROL!$C$21, $C$9, 100%, $E$9)</f>
        <v>4.8433000000000002</v>
      </c>
      <c r="I84" s="10">
        <f>CHOOSE(CONTROL!$C$42, 4.7494, 4.7494)* CHOOSE(CONTROL!$C$21, $C$9, 100%, $E$9)</f>
        <v>4.7493999999999996</v>
      </c>
      <c r="J84" s="10">
        <f>CHOOSE(CONTROL!$C$42, 4.747, 4.747)* CHOOSE(CONTROL!$C$21, $C$9, 100%, $E$9)</f>
        <v>4.7469999999999999</v>
      </c>
      <c r="K84" s="54">
        <f>CHOOSE(CONTROL!$C$42, 4.7455, 4.7455) * CHOOSE(CONTROL!$C$21, $C$9, 100%, $E$9)</f>
        <v>4.7454999999999998</v>
      </c>
      <c r="L84" s="10">
        <f>CHOOSE(CONTROL!$C$42, 5.4303, 5.4303) * CHOOSE(CONTROL!$C$21, $C$9, 100%, $E$9)</f>
        <v>5.4302999999999999</v>
      </c>
      <c r="M84" s="10">
        <f>CHOOSE(CONTROL!$C$42, 4.7129, 4.7129) * CHOOSE(CONTROL!$C$21, $C$9, 100%, $E$9)</f>
        <v>4.7129000000000003</v>
      </c>
      <c r="N84" s="10">
        <f>CHOOSE(CONTROL!$C$42, 4.7302, 4.7302) * CHOOSE(CONTROL!$C$21, $C$9, 100%, $E$9)</f>
        <v>4.7302</v>
      </c>
      <c r="O84" s="10">
        <f>CHOOSE(CONTROL!$C$42, 4.8083, 4.8083) * CHOOSE(CONTROL!$C$21, $C$9, 100%, $E$9)</f>
        <v>4.8083</v>
      </c>
      <c r="P84" s="10">
        <f>CHOOSE(CONTROL!$C$42, 4.7153, 4.7153) * CHOOSE(CONTROL!$C$21, $C$9, 100%, $E$9)</f>
        <v>4.7153</v>
      </c>
      <c r="Q84" s="10">
        <f>CHOOSE(CONTROL!$C$42, 5.4036, 5.4036) * CHOOSE(CONTROL!$C$21, $C$9, 100%, $E$9)</f>
        <v>5.4036</v>
      </c>
      <c r="R84" s="10">
        <f>CHOOSE(CONTROL!$C$42, 6.0041, 6.0041) * CHOOSE(CONTROL!$C$21, $C$9, 100%, $E$9)</f>
        <v>6.0041000000000002</v>
      </c>
      <c r="S84" s="10">
        <f>CHOOSE(CONTROL!$C$42, 4.6454, 4.6454) * CHOOSE(CONTROL!$C$21, $C$9, 100%, $E$9)</f>
        <v>4.6454000000000004</v>
      </c>
      <c r="T84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84" s="58">
        <f>(1000*CHOOSE(CONTROL!$C$42, 695, 695)*CHOOSE(CONTROL!$C$42, 0.5599, 0.5599)*CHOOSE(CONTROL!$C$42, 31, 31))/1000000</f>
        <v>12.063045499999998</v>
      </c>
      <c r="V84" s="58">
        <f>(1000*CHOOSE(CONTROL!$C$42, 500, 500)*CHOOSE(CONTROL!$C$42, 0.275, 0.275)*CHOOSE(CONTROL!$C$42, 31, 31))/1000000</f>
        <v>4.2625000000000002</v>
      </c>
      <c r="W84" s="58">
        <f>(1000*CHOOSE(CONTROL!$C$42, 0.1146, 0.1146)*CHOOSE(CONTROL!$C$42, 121.5, 121.5)*CHOOSE(CONTROL!$C$42, 31, 31))/1000000</f>
        <v>0.43164089999999994</v>
      </c>
      <c r="X84" s="58">
        <f>(31*0.1790888*100000/1000000)+(31*0.2374*100000/1000000)</f>
        <v>1.2911152800000001</v>
      </c>
      <c r="Y84" s="58"/>
      <c r="Z84" s="10"/>
      <c r="AA84" s="57"/>
      <c r="AB84" s="51">
        <f>(B84*122.58+C84*297.941+D84*89.177+E84*40.302+F84*40+G84*160+H84*0+I84*100+J84*300)/(122.58+297.941+89.177+40.302+0+40+160+100+300)</f>
        <v>4.7757894398260872</v>
      </c>
      <c r="AC84" s="27">
        <f>(M84*'RAP TEMPLATE-GAS AVAILABILITY'!O83+N84*'RAP TEMPLATE-GAS AVAILABILITY'!P83+O84*'RAP TEMPLATE-GAS AVAILABILITY'!Q83+P84*'RAP TEMPLATE-GAS AVAILABILITY'!R83)/('RAP TEMPLATE-GAS AVAILABILITY'!O83+'RAP TEMPLATE-GAS AVAILABILITY'!P83+'RAP TEMPLATE-GAS AVAILABILITY'!Q83+'RAP TEMPLATE-GAS AVAILABILITY'!R83)</f>
        <v>4.7574798561151077</v>
      </c>
    </row>
    <row r="85" spans="1:29" ht="15.75" x14ac:dyDescent="0.25">
      <c r="A85" s="16">
        <v>43466</v>
      </c>
      <c r="B85" s="10">
        <f>CHOOSE(CONTROL!$C$42, 5.6526, 5.6526) * CHOOSE(CONTROL!$C$21, $C$9, 100%, $E$9)</f>
        <v>5.6525999999999996</v>
      </c>
      <c r="C85" s="10">
        <f>CHOOSE(CONTROL!$C$42, 5.6575, 5.6575) * CHOOSE(CONTROL!$C$21, $C$9, 100%, $E$9)</f>
        <v>5.6574999999999998</v>
      </c>
      <c r="D85" s="10">
        <f>CHOOSE(CONTROL!$C$42, 5.7078, 5.7078) * CHOOSE(CONTROL!$C$21, $C$9, 100%, $E$9)</f>
        <v>5.7077999999999998</v>
      </c>
      <c r="E85" s="10">
        <f>CHOOSE(CONTROL!$C$42, 5.7415, 5.7415) * CHOOSE(CONTROL!$C$21, $C$9, 100%, $E$9)</f>
        <v>5.7415000000000003</v>
      </c>
      <c r="F85" s="10">
        <f>CHOOSE(CONTROL!$C$42, 5.618, 5.618)*CHOOSE(CONTROL!$C$21, $C$9, 100%, $E$9)</f>
        <v>5.6180000000000003</v>
      </c>
      <c r="G85" s="10">
        <f>CHOOSE(CONTROL!$C$42, 5.6355, 5.6355)*CHOOSE(CONTROL!$C$21, $C$9, 100%, $E$9)</f>
        <v>5.6355000000000004</v>
      </c>
      <c r="H85" s="10">
        <f>CHOOSE(CONTROL!$C$42, 5.7307, 5.7307) * CHOOSE(CONTROL!$C$21, $C$9, 100%, $E$9)</f>
        <v>5.7306999999999997</v>
      </c>
      <c r="I85" s="10">
        <f>CHOOSE(CONTROL!$C$42, 5.6265, 5.6265)* CHOOSE(CONTROL!$C$21, $C$9, 100%, $E$9)</f>
        <v>5.6265000000000001</v>
      </c>
      <c r="J85" s="10">
        <f>CHOOSE(CONTROL!$C$42, 5.611, 5.611)* CHOOSE(CONTROL!$C$21, $C$9, 100%, $E$9)</f>
        <v>5.6109999999999998</v>
      </c>
      <c r="K85" s="54">
        <f>CHOOSE(CONTROL!$C$42, 5.6226, 5.6226) * CHOOSE(CONTROL!$C$21, $C$9, 100%, $E$9)</f>
        <v>5.6226000000000003</v>
      </c>
      <c r="L85" s="10">
        <f>CHOOSE(CONTROL!$C$42, 6.3177, 6.3177) * CHOOSE(CONTROL!$C$21, $C$9, 100%, $E$9)</f>
        <v>6.3177000000000003</v>
      </c>
      <c r="M85" s="10">
        <f>CHOOSE(CONTROL!$C$42, 5.5682, 5.5682) * CHOOSE(CONTROL!$C$21, $C$9, 100%, $E$9)</f>
        <v>5.5682</v>
      </c>
      <c r="N85" s="10">
        <f>CHOOSE(CONTROL!$C$42, 5.5855, 5.5855) * CHOOSE(CONTROL!$C$21, $C$9, 100%, $E$9)</f>
        <v>5.5854999999999997</v>
      </c>
      <c r="O85" s="10">
        <f>CHOOSE(CONTROL!$C$42, 5.6867, 5.6867) * CHOOSE(CONTROL!$C$21, $C$9, 100%, $E$9)</f>
        <v>5.6867000000000001</v>
      </c>
      <c r="P85" s="10">
        <f>CHOOSE(CONTROL!$C$42, 5.5836, 5.5836) * CHOOSE(CONTROL!$C$21, $C$9, 100%, $E$9)</f>
        <v>5.5835999999999997</v>
      </c>
      <c r="Q85" s="10">
        <f>CHOOSE(CONTROL!$C$42, 6.282, 6.282) * CHOOSE(CONTROL!$C$21, $C$9, 100%, $E$9)</f>
        <v>6.282</v>
      </c>
      <c r="R85" s="10">
        <f>CHOOSE(CONTROL!$C$42, 6.8847, 6.8847) * CHOOSE(CONTROL!$C$21, $C$9, 100%, $E$9)</f>
        <v>6.8846999999999996</v>
      </c>
      <c r="S85" s="10">
        <f>CHOOSE(CONTROL!$C$42, 5.4871, 5.4871) * CHOOSE(CONTROL!$C$21, $C$9, 100%, $E$9)</f>
        <v>5.4870999999999999</v>
      </c>
      <c r="T85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85" s="58">
        <f>(1000*CHOOSE(CONTROL!$C$42, 695, 695)*CHOOSE(CONTROL!$C$42, 0.5599, 0.5599)*CHOOSE(CONTROL!$C$42, 31, 31))/1000000</f>
        <v>12.063045499999998</v>
      </c>
      <c r="V85" s="58">
        <f>(1000*CHOOSE(CONTROL!$C$42, 500, 500)*CHOOSE(CONTROL!$C$42, 0.275, 0.275)*CHOOSE(CONTROL!$C$42, 31, 31))/1000000</f>
        <v>4.2625000000000002</v>
      </c>
      <c r="W85" s="58">
        <f>(1000*CHOOSE(CONTROL!$C$42, 0.1146, 0.1146)*CHOOSE(CONTROL!$C$42, 121.5, 121.5)*CHOOSE(CONTROL!$C$42, 31, 31))/1000000</f>
        <v>0.43164089999999994</v>
      </c>
      <c r="X85" s="58">
        <f>(31*0.1790888*100000/1000000)+(31*0.2374*100000/1000000)</f>
        <v>1.2911152800000001</v>
      </c>
      <c r="Y85" s="58"/>
      <c r="Z85" s="10"/>
      <c r="AA85" s="57"/>
      <c r="AB85" s="51">
        <f>(B85*122.58+C85*297.941+D85*89.177+E85*40.302+F85*40+G85*160+H85*0+I85*100+J85*300)/(122.58+297.941+89.177+40.302+0+40+160+100+300)</f>
        <v>5.6445611557391304</v>
      </c>
      <c r="AC85" s="27">
        <f>(M85*'RAP TEMPLATE-GAS AVAILABILITY'!O84+N85*'RAP TEMPLATE-GAS AVAILABILITY'!P84+O85*'RAP TEMPLATE-GAS AVAILABILITY'!Q84+P85*'RAP TEMPLATE-GAS AVAILABILITY'!R84)/('RAP TEMPLATE-GAS AVAILABILITY'!O84+'RAP TEMPLATE-GAS AVAILABILITY'!P84+'RAP TEMPLATE-GAS AVAILABILITY'!Q84+'RAP TEMPLATE-GAS AVAILABILITY'!R84)</f>
        <v>5.6251201438848923</v>
      </c>
    </row>
    <row r="86" spans="1:29" ht="15.75" x14ac:dyDescent="0.25">
      <c r="A86" s="16">
        <v>43497</v>
      </c>
      <c r="B86" s="10">
        <f>CHOOSE(CONTROL!$C$42, 5.7532, 5.7532) * CHOOSE(CONTROL!$C$21, $C$9, 100%, $E$9)</f>
        <v>5.7531999999999996</v>
      </c>
      <c r="C86" s="10">
        <f>CHOOSE(CONTROL!$C$42, 5.7581, 5.7581) * CHOOSE(CONTROL!$C$21, $C$9, 100%, $E$9)</f>
        <v>5.7580999999999998</v>
      </c>
      <c r="D86" s="10">
        <f>CHOOSE(CONTROL!$C$42, 5.8186, 5.8186) * CHOOSE(CONTROL!$C$21, $C$9, 100%, $E$9)</f>
        <v>5.8186</v>
      </c>
      <c r="E86" s="10">
        <f>CHOOSE(CONTROL!$C$42, 5.8524, 5.8524) * CHOOSE(CONTROL!$C$21, $C$9, 100%, $E$9)</f>
        <v>5.8524000000000003</v>
      </c>
      <c r="F86" s="10">
        <f>CHOOSE(CONTROL!$C$42, 5.7464, 5.7464)*CHOOSE(CONTROL!$C$21, $C$9, 100%, $E$9)</f>
        <v>5.7464000000000004</v>
      </c>
      <c r="G86" s="10">
        <f>CHOOSE(CONTROL!$C$42, 5.7637, 5.7637)*CHOOSE(CONTROL!$C$21, $C$9, 100%, $E$9)</f>
        <v>5.7637</v>
      </c>
      <c r="H86" s="10">
        <f>CHOOSE(CONTROL!$C$42, 5.8416, 5.8416) * CHOOSE(CONTROL!$C$21, $C$9, 100%, $E$9)</f>
        <v>5.8415999999999997</v>
      </c>
      <c r="I86" s="10">
        <f>CHOOSE(CONTROL!$C$42, 5.7399, 5.7399)* CHOOSE(CONTROL!$C$21, $C$9, 100%, $E$9)</f>
        <v>5.7398999999999996</v>
      </c>
      <c r="J86" s="10">
        <f>CHOOSE(CONTROL!$C$42, 5.7394, 5.7394)* CHOOSE(CONTROL!$C$21, $C$9, 100%, $E$9)</f>
        <v>5.7393999999999998</v>
      </c>
      <c r="K86" s="54">
        <f>CHOOSE(CONTROL!$C$42, 5.736, 5.736) * CHOOSE(CONTROL!$C$21, $C$9, 100%, $E$9)</f>
        <v>5.7359999999999998</v>
      </c>
      <c r="L86" s="10">
        <f>CHOOSE(CONTROL!$C$42, 6.4286, 6.4286) * CHOOSE(CONTROL!$C$21, $C$9, 100%, $E$9)</f>
        <v>6.4286000000000003</v>
      </c>
      <c r="M86" s="10">
        <f>CHOOSE(CONTROL!$C$42, 5.6953, 5.6953) * CHOOSE(CONTROL!$C$21, $C$9, 100%, $E$9)</f>
        <v>5.6952999999999996</v>
      </c>
      <c r="N86" s="10">
        <f>CHOOSE(CONTROL!$C$42, 5.7124, 5.7124) * CHOOSE(CONTROL!$C$21, $C$9, 100%, $E$9)</f>
        <v>5.7123999999999997</v>
      </c>
      <c r="O86" s="10">
        <f>CHOOSE(CONTROL!$C$42, 5.7965, 5.7965) * CHOOSE(CONTROL!$C$21, $C$9, 100%, $E$9)</f>
        <v>5.7965</v>
      </c>
      <c r="P86" s="10">
        <f>CHOOSE(CONTROL!$C$42, 5.6959, 5.6959) * CHOOSE(CONTROL!$C$21, $C$9, 100%, $E$9)</f>
        <v>5.6959</v>
      </c>
      <c r="Q86" s="10">
        <f>CHOOSE(CONTROL!$C$42, 6.3918, 6.3918) * CHOOSE(CONTROL!$C$21, $C$9, 100%, $E$9)</f>
        <v>6.3917999999999999</v>
      </c>
      <c r="R86" s="10">
        <f>CHOOSE(CONTROL!$C$42, 6.9947, 6.9947) * CHOOSE(CONTROL!$C$21, $C$9, 100%, $E$9)</f>
        <v>6.9946999999999999</v>
      </c>
      <c r="S86" s="10">
        <f>CHOOSE(CONTROL!$C$42, 5.5848, 5.5848) * CHOOSE(CONTROL!$C$21, $C$9, 100%, $E$9)</f>
        <v>5.5848000000000004</v>
      </c>
      <c r="T86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86" s="58">
        <f>(1000*CHOOSE(CONTROL!$C$42, 695, 695)*CHOOSE(CONTROL!$C$42, 0.5599, 0.5599)*CHOOSE(CONTROL!$C$42, 28, 28))/1000000</f>
        <v>10.895653999999999</v>
      </c>
      <c r="V86" s="58">
        <f>(1000*CHOOSE(CONTROL!$C$42, 500, 500)*CHOOSE(CONTROL!$C$42, 0.275, 0.275)*CHOOSE(CONTROL!$C$42, 28, 28))/1000000</f>
        <v>3.85</v>
      </c>
      <c r="W86" s="58">
        <f>(1000*CHOOSE(CONTROL!$C$42, 0.1146, 0.1146)*CHOOSE(CONTROL!$C$42, 121.5, 121.5)*CHOOSE(CONTROL!$C$42, 28, 28))/1000000</f>
        <v>0.38986920000000003</v>
      </c>
      <c r="X86" s="58">
        <f>(28*0.1790888*100000/1000000)+(28*0.2374*100000/1000000)</f>
        <v>1.16616864</v>
      </c>
      <c r="Y86" s="58"/>
      <c r="Z86" s="10"/>
      <c r="AA86" s="57"/>
      <c r="AB86" s="51">
        <f>(B86*122.58+C86*297.941+D86*89.177+E86*40.302+F86*40+G86*160+H86*0+I86*100+J86*300)/(122.58+297.941+89.177+40.302+0+40+160+100+300)</f>
        <v>5.7594852566086949</v>
      </c>
      <c r="AC86" s="27">
        <f>(M86*'RAP TEMPLATE-GAS AVAILABILITY'!O85+N86*'RAP TEMPLATE-GAS AVAILABILITY'!P85+O86*'RAP TEMPLATE-GAS AVAILABILITY'!Q85+P86*'RAP TEMPLATE-GAS AVAILABILITY'!R85)/('RAP TEMPLATE-GAS AVAILABILITY'!O85+'RAP TEMPLATE-GAS AVAILABILITY'!P85+'RAP TEMPLATE-GAS AVAILABILITY'!Q85+'RAP TEMPLATE-GAS AVAILABILITY'!R85)</f>
        <v>5.7422381294964033</v>
      </c>
    </row>
    <row r="87" spans="1:29" ht="15.75" x14ac:dyDescent="0.25">
      <c r="A87" s="16">
        <v>43525</v>
      </c>
      <c r="B87" s="10">
        <f>CHOOSE(CONTROL!$C$42, 5.5899, 5.5899) * CHOOSE(CONTROL!$C$21, $C$9, 100%, $E$9)</f>
        <v>5.5899000000000001</v>
      </c>
      <c r="C87" s="10">
        <f>CHOOSE(CONTROL!$C$42, 5.5949, 5.5949) * CHOOSE(CONTROL!$C$21, $C$9, 100%, $E$9)</f>
        <v>5.5949</v>
      </c>
      <c r="D87" s="10">
        <f>CHOOSE(CONTROL!$C$42, 5.6554, 5.6554) * CHOOSE(CONTROL!$C$21, $C$9, 100%, $E$9)</f>
        <v>5.6554000000000002</v>
      </c>
      <c r="E87" s="10">
        <f>CHOOSE(CONTROL!$C$42, 5.6891, 5.6891) * CHOOSE(CONTROL!$C$21, $C$9, 100%, $E$9)</f>
        <v>5.6890999999999998</v>
      </c>
      <c r="F87" s="10">
        <f>CHOOSE(CONTROL!$C$42, 5.5776, 5.5776)*CHOOSE(CONTROL!$C$21, $C$9, 100%, $E$9)</f>
        <v>5.5776000000000003</v>
      </c>
      <c r="G87" s="10">
        <f>CHOOSE(CONTROL!$C$42, 5.5948, 5.5948)*CHOOSE(CONTROL!$C$21, $C$9, 100%, $E$9)</f>
        <v>5.5948000000000002</v>
      </c>
      <c r="H87" s="10">
        <f>CHOOSE(CONTROL!$C$42, 5.6783, 5.6783) * CHOOSE(CONTROL!$C$21, $C$9, 100%, $E$9)</f>
        <v>5.6783000000000001</v>
      </c>
      <c r="I87" s="10">
        <f>CHOOSE(CONTROL!$C$42, 5.5638, 5.5638)* CHOOSE(CONTROL!$C$21, $C$9, 100%, $E$9)</f>
        <v>5.5637999999999996</v>
      </c>
      <c r="J87" s="10">
        <f>CHOOSE(CONTROL!$C$42, 5.5706, 5.5706)* CHOOSE(CONTROL!$C$21, $C$9, 100%, $E$9)</f>
        <v>5.5705999999999998</v>
      </c>
      <c r="K87" s="54">
        <f>CHOOSE(CONTROL!$C$42, 5.5599, 5.5599) * CHOOSE(CONTROL!$C$21, $C$9, 100%, $E$9)</f>
        <v>5.5598999999999998</v>
      </c>
      <c r="L87" s="10">
        <f>CHOOSE(CONTROL!$C$42, 6.2653, 6.2653) * CHOOSE(CONTROL!$C$21, $C$9, 100%, $E$9)</f>
        <v>6.2652999999999999</v>
      </c>
      <c r="M87" s="10">
        <f>CHOOSE(CONTROL!$C$42, 5.5282, 5.5282) * CHOOSE(CONTROL!$C$21, $C$9, 100%, $E$9)</f>
        <v>5.5282</v>
      </c>
      <c r="N87" s="10">
        <f>CHOOSE(CONTROL!$C$42, 5.5453, 5.5453) * CHOOSE(CONTROL!$C$21, $C$9, 100%, $E$9)</f>
        <v>5.5453000000000001</v>
      </c>
      <c r="O87" s="10">
        <f>CHOOSE(CONTROL!$C$42, 5.6349, 5.6349) * CHOOSE(CONTROL!$C$21, $C$9, 100%, $E$9)</f>
        <v>5.6349</v>
      </c>
      <c r="P87" s="10">
        <f>CHOOSE(CONTROL!$C$42, 5.5215, 5.5215) * CHOOSE(CONTROL!$C$21, $C$9, 100%, $E$9)</f>
        <v>5.5214999999999996</v>
      </c>
      <c r="Q87" s="10">
        <f>CHOOSE(CONTROL!$C$42, 6.2302, 6.2302) * CHOOSE(CONTROL!$C$21, $C$9, 100%, $E$9)</f>
        <v>6.2302</v>
      </c>
      <c r="R87" s="10">
        <f>CHOOSE(CONTROL!$C$42, 6.8327, 6.8327) * CHOOSE(CONTROL!$C$21, $C$9, 100%, $E$9)</f>
        <v>6.8327</v>
      </c>
      <c r="S87" s="10">
        <f>CHOOSE(CONTROL!$C$42, 5.4262, 5.4262) * CHOOSE(CONTROL!$C$21, $C$9, 100%, $E$9)</f>
        <v>5.4261999999999997</v>
      </c>
      <c r="T87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87" s="58">
        <f>(1000*CHOOSE(CONTROL!$C$42, 695, 695)*CHOOSE(CONTROL!$C$42, 0.5599, 0.5599)*CHOOSE(CONTROL!$C$42, 31, 31))/1000000</f>
        <v>12.063045499999998</v>
      </c>
      <c r="V87" s="58">
        <f>(1000*CHOOSE(CONTROL!$C$42, 500, 500)*CHOOSE(CONTROL!$C$42, 0.275, 0.275)*CHOOSE(CONTROL!$C$42, 31, 31))/1000000</f>
        <v>4.2625000000000002</v>
      </c>
      <c r="W87" s="58">
        <f>(1000*CHOOSE(CONTROL!$C$42, 0.1146, 0.1146)*CHOOSE(CONTROL!$C$42, 121.5, 121.5)*CHOOSE(CONTROL!$C$42, 31, 31))/1000000</f>
        <v>0.43164089999999994</v>
      </c>
      <c r="X87" s="58">
        <f>(31*0.1790888*100000/1000000)+(31*0.2374*100000/1000000)</f>
        <v>1.2911152800000001</v>
      </c>
      <c r="Y87" s="58"/>
      <c r="Z87" s="10"/>
      <c r="AA87" s="57"/>
      <c r="AB87" s="51">
        <f>(B87*122.58+C87*297.941+D87*89.177+E87*40.302+F87*40+G87*160+H87*0+I87*100+J87*300)/(122.58+297.941+89.177+40.302+0+40+160+100+300)</f>
        <v>5.5927006581739134</v>
      </c>
      <c r="AC87" s="27">
        <f>(M87*'RAP TEMPLATE-GAS AVAILABILITY'!O86+N87*'RAP TEMPLATE-GAS AVAILABILITY'!P86+O87*'RAP TEMPLATE-GAS AVAILABILITY'!Q86+P87*'RAP TEMPLATE-GAS AVAILABILITY'!R86)/('RAP TEMPLATE-GAS AVAILABILITY'!O86+'RAP TEMPLATE-GAS AVAILABILITY'!P86+'RAP TEMPLATE-GAS AVAILABILITY'!Q86+'RAP TEMPLATE-GAS AVAILABILITY'!R86)</f>
        <v>5.5765805755395688</v>
      </c>
    </row>
    <row r="88" spans="1:29" ht="15.75" x14ac:dyDescent="0.25">
      <c r="A88" s="16">
        <v>43556</v>
      </c>
      <c r="B88" s="10">
        <f>CHOOSE(CONTROL!$C$42, 5.5744, 5.5744) * CHOOSE(CONTROL!$C$21, $C$9, 100%, $E$9)</f>
        <v>5.5743999999999998</v>
      </c>
      <c r="C88" s="10">
        <f>CHOOSE(CONTROL!$C$42, 5.5787, 5.5787) * CHOOSE(CONTROL!$C$21, $C$9, 100%, $E$9)</f>
        <v>5.5787000000000004</v>
      </c>
      <c r="D88" s="10">
        <f>CHOOSE(CONTROL!$C$42, 5.7743, 5.7743) * CHOOSE(CONTROL!$C$21, $C$9, 100%, $E$9)</f>
        <v>5.7743000000000002</v>
      </c>
      <c r="E88" s="10">
        <f>CHOOSE(CONTROL!$C$42, 5.8061, 5.8061) * CHOOSE(CONTROL!$C$21, $C$9, 100%, $E$9)</f>
        <v>5.8060999999999998</v>
      </c>
      <c r="F88" s="10">
        <f>CHOOSE(CONTROL!$C$42, 5.5422, 5.5422)*CHOOSE(CONTROL!$C$21, $C$9, 100%, $E$9)</f>
        <v>5.5422000000000002</v>
      </c>
      <c r="G88" s="10">
        <f>CHOOSE(CONTROL!$C$42, 5.5589, 5.5589)*CHOOSE(CONTROL!$C$21, $C$9, 100%, $E$9)</f>
        <v>5.5589000000000004</v>
      </c>
      <c r="H88" s="10">
        <f>CHOOSE(CONTROL!$C$42, 5.7959, 5.7959) * CHOOSE(CONTROL!$C$21, $C$9, 100%, $E$9)</f>
        <v>5.7958999999999996</v>
      </c>
      <c r="I88" s="10">
        <f>CHOOSE(CONTROL!$C$42, 5.5423, 5.5423)* CHOOSE(CONTROL!$C$21, $C$9, 100%, $E$9)</f>
        <v>5.5423</v>
      </c>
      <c r="J88" s="10">
        <f>CHOOSE(CONTROL!$C$42, 5.5352, 5.5352)* CHOOSE(CONTROL!$C$21, $C$9, 100%, $E$9)</f>
        <v>5.5351999999999997</v>
      </c>
      <c r="K88" s="54">
        <f>CHOOSE(CONTROL!$C$42, 5.5384, 5.5384) * CHOOSE(CONTROL!$C$21, $C$9, 100%, $E$9)</f>
        <v>5.5384000000000002</v>
      </c>
      <c r="L88" s="10">
        <f>CHOOSE(CONTROL!$C$42, 6.3829, 6.3829) * CHOOSE(CONTROL!$C$21, $C$9, 100%, $E$9)</f>
        <v>6.3829000000000002</v>
      </c>
      <c r="M88" s="10">
        <f>CHOOSE(CONTROL!$C$42, 5.4931, 5.4931) * CHOOSE(CONTROL!$C$21, $C$9, 100%, $E$9)</f>
        <v>5.4931000000000001</v>
      </c>
      <c r="N88" s="10">
        <f>CHOOSE(CONTROL!$C$42, 5.5097, 5.5097) * CHOOSE(CONTROL!$C$21, $C$9, 100%, $E$9)</f>
        <v>5.5096999999999996</v>
      </c>
      <c r="O88" s="10">
        <f>CHOOSE(CONTROL!$C$42, 5.7512, 5.7512) * CHOOSE(CONTROL!$C$21, $C$9, 100%, $E$9)</f>
        <v>5.7511999999999999</v>
      </c>
      <c r="P88" s="10">
        <f>CHOOSE(CONTROL!$C$42, 5.5003, 5.5003) * CHOOSE(CONTROL!$C$21, $C$9, 100%, $E$9)</f>
        <v>5.5003000000000002</v>
      </c>
      <c r="Q88" s="10">
        <f>CHOOSE(CONTROL!$C$42, 6.3465, 6.3465) * CHOOSE(CONTROL!$C$21, $C$9, 100%, $E$9)</f>
        <v>6.3464999999999998</v>
      </c>
      <c r="R88" s="10">
        <f>CHOOSE(CONTROL!$C$42, 6.9494, 6.9494) * CHOOSE(CONTROL!$C$21, $C$9, 100%, $E$9)</f>
        <v>6.9493999999999998</v>
      </c>
      <c r="S88" s="10">
        <f>CHOOSE(CONTROL!$C$42, 5.4104, 5.4104) * CHOOSE(CONTROL!$C$21, $C$9, 100%, $E$9)</f>
        <v>5.4104000000000001</v>
      </c>
      <c r="T88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88" s="58">
        <f>(1000*CHOOSE(CONTROL!$C$42, 695, 695)*CHOOSE(CONTROL!$C$42, 0.5599, 0.5599)*CHOOSE(CONTROL!$C$42, 30, 30))/1000000</f>
        <v>11.673914999999997</v>
      </c>
      <c r="V88" s="58">
        <f>(1000*CHOOSE(CONTROL!$C$42, 500, 500)*CHOOSE(CONTROL!$C$42, 0.275, 0.275)*CHOOSE(CONTROL!$C$42, 30, 30))/1000000</f>
        <v>4.125</v>
      </c>
      <c r="W88" s="58">
        <f>(1000*CHOOSE(CONTROL!$C$42, 0.1146, 0.1146)*CHOOSE(CONTROL!$C$42, 121.5, 121.5)*CHOOSE(CONTROL!$C$42, 30, 30))/1000000</f>
        <v>0.417717</v>
      </c>
      <c r="X88" s="58">
        <f>(30*0.1790888*245000/1000000)+(30*0.2374*100000/1000000)</f>
        <v>2.0285026799999999</v>
      </c>
      <c r="Y88" s="58"/>
      <c r="Z88" s="10"/>
      <c r="AA88" s="57"/>
      <c r="AB88" s="51">
        <f>(B88*141.293+C88*267.993+D88*115.016+E88*89.698+F88*40+G88*185+H88*0+I88*100+J88*300)/(141.293+267.993+115.016+89.698+0+40+185+100+300)</f>
        <v>5.5952245317998388</v>
      </c>
      <c r="AC88" s="27">
        <f>(M88*'RAP TEMPLATE-GAS AVAILABILITY'!O87+N88*'RAP TEMPLATE-GAS AVAILABILITY'!P87+O88*'RAP TEMPLATE-GAS AVAILABILITY'!Q87+P88*'RAP TEMPLATE-GAS AVAILABILITY'!R87)/('RAP TEMPLATE-GAS AVAILABILITY'!O87+'RAP TEMPLATE-GAS AVAILABILITY'!P87+'RAP TEMPLATE-GAS AVAILABILITY'!Q87+'RAP TEMPLATE-GAS AVAILABILITY'!R87)</f>
        <v>5.5703741007194241</v>
      </c>
    </row>
    <row r="89" spans="1:29" ht="15.75" x14ac:dyDescent="0.25">
      <c r="A89" s="16">
        <v>43586</v>
      </c>
      <c r="B89" s="10">
        <f>CHOOSE(CONTROL!$C$42, 5.6249, 5.6249) * CHOOSE(CONTROL!$C$21, $C$9, 100%, $E$9)</f>
        <v>5.6249000000000002</v>
      </c>
      <c r="C89" s="10">
        <f>CHOOSE(CONTROL!$C$42, 5.6328, 5.6328) * CHOOSE(CONTROL!$C$21, $C$9, 100%, $E$9)</f>
        <v>5.6327999999999996</v>
      </c>
      <c r="D89" s="10">
        <f>CHOOSE(CONTROL!$C$42, 5.8253, 5.8253) * CHOOSE(CONTROL!$C$21, $C$9, 100%, $E$9)</f>
        <v>5.8253000000000004</v>
      </c>
      <c r="E89" s="10">
        <f>CHOOSE(CONTROL!$C$42, 5.8564, 5.8564) * CHOOSE(CONTROL!$C$21, $C$9, 100%, $E$9)</f>
        <v>5.8563999999999998</v>
      </c>
      <c r="F89" s="10">
        <f>CHOOSE(CONTROL!$C$42, 5.5912, 5.5912)*CHOOSE(CONTROL!$C$21, $C$9, 100%, $E$9)</f>
        <v>5.5911999999999997</v>
      </c>
      <c r="G89" s="10">
        <f>CHOOSE(CONTROL!$C$42, 5.6083, 5.6083)*CHOOSE(CONTROL!$C$21, $C$9, 100%, $E$9)</f>
        <v>5.6082999999999998</v>
      </c>
      <c r="H89" s="10">
        <f>CHOOSE(CONTROL!$C$42, 5.845, 5.845) * CHOOSE(CONTROL!$C$21, $C$9, 100%, $E$9)</f>
        <v>5.8449999999999998</v>
      </c>
      <c r="I89" s="10">
        <f>CHOOSE(CONTROL!$C$42, 5.5915, 5.5915)* CHOOSE(CONTROL!$C$21, $C$9, 100%, $E$9)</f>
        <v>5.5914999999999999</v>
      </c>
      <c r="J89" s="10">
        <f>CHOOSE(CONTROL!$C$42, 5.5842, 5.5842)* CHOOSE(CONTROL!$C$21, $C$9, 100%, $E$9)</f>
        <v>5.5842000000000001</v>
      </c>
      <c r="K89" s="54">
        <f>CHOOSE(CONTROL!$C$42, 5.5876, 5.5876) * CHOOSE(CONTROL!$C$21, $C$9, 100%, $E$9)</f>
        <v>5.5876000000000001</v>
      </c>
      <c r="L89" s="10">
        <f>CHOOSE(CONTROL!$C$42, 6.432, 6.432) * CHOOSE(CONTROL!$C$21, $C$9, 100%, $E$9)</f>
        <v>6.4320000000000004</v>
      </c>
      <c r="M89" s="10">
        <f>CHOOSE(CONTROL!$C$42, 5.5416, 5.5416) * CHOOSE(CONTROL!$C$21, $C$9, 100%, $E$9)</f>
        <v>5.5415999999999999</v>
      </c>
      <c r="N89" s="10">
        <f>CHOOSE(CONTROL!$C$42, 5.5586, 5.5586) * CHOOSE(CONTROL!$C$21, $C$9, 100%, $E$9)</f>
        <v>5.5586000000000002</v>
      </c>
      <c r="O89" s="10">
        <f>CHOOSE(CONTROL!$C$42, 5.7999, 5.7999) * CHOOSE(CONTROL!$C$21, $C$9, 100%, $E$9)</f>
        <v>5.7999000000000001</v>
      </c>
      <c r="P89" s="10">
        <f>CHOOSE(CONTROL!$C$42, 5.5489, 5.5489) * CHOOSE(CONTROL!$C$21, $C$9, 100%, $E$9)</f>
        <v>5.5488999999999997</v>
      </c>
      <c r="Q89" s="10">
        <f>CHOOSE(CONTROL!$C$42, 6.3952, 6.3952) * CHOOSE(CONTROL!$C$21, $C$9, 100%, $E$9)</f>
        <v>6.3952</v>
      </c>
      <c r="R89" s="10">
        <f>CHOOSE(CONTROL!$C$42, 6.9982, 6.9982) * CHOOSE(CONTROL!$C$21, $C$9, 100%, $E$9)</f>
        <v>6.9981999999999998</v>
      </c>
      <c r="S89" s="10">
        <f>CHOOSE(CONTROL!$C$42, 5.4581, 5.4581) * CHOOSE(CONTROL!$C$21, $C$9, 100%, $E$9)</f>
        <v>5.4581</v>
      </c>
      <c r="T89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89" s="58">
        <f>(1000*CHOOSE(CONTROL!$C$42, 695, 695)*CHOOSE(CONTROL!$C$42, 0.5599, 0.5599)*CHOOSE(CONTROL!$C$42, 31, 31))/1000000</f>
        <v>12.063045499999998</v>
      </c>
      <c r="V89" s="58">
        <f>(1000*CHOOSE(CONTROL!$C$42, 500, 500)*CHOOSE(CONTROL!$C$42, 0.275, 0.275)*CHOOSE(CONTROL!$C$42, 31, 31))/1000000</f>
        <v>4.2625000000000002</v>
      </c>
      <c r="W89" s="58">
        <f>(1000*CHOOSE(CONTROL!$C$42, 0.1146, 0.1146)*CHOOSE(CONTROL!$C$42, 121.5, 121.5)*CHOOSE(CONTROL!$C$42, 31, 31))/1000000</f>
        <v>0.43164089999999994</v>
      </c>
      <c r="X89" s="58">
        <f>(31*0.1790888*245000/1000000)+(31*0.2374*100000/1000000)</f>
        <v>2.0961194359999999</v>
      </c>
      <c r="Y89" s="58"/>
      <c r="Z89" s="10"/>
      <c r="AA89" s="57"/>
      <c r="AB89" s="51">
        <f>(B89*194.205+C89*267.466+D89*133.845+E89*53.484+F89*40+G89*185+H89*0+I89*100+J89*300)/(194.205+267.466+133.845+53.484+0+40+185+100+300)</f>
        <v>5.6416567232339094</v>
      </c>
      <c r="AC89" s="27">
        <f>(M89*'RAP TEMPLATE-GAS AVAILABILITY'!O88+N89*'RAP TEMPLATE-GAS AVAILABILITY'!P88+O89*'RAP TEMPLATE-GAS AVAILABILITY'!Q88+P89*'RAP TEMPLATE-GAS AVAILABILITY'!R88)/('RAP TEMPLATE-GAS AVAILABILITY'!O88+'RAP TEMPLATE-GAS AVAILABILITY'!P88+'RAP TEMPLATE-GAS AVAILABILITY'!Q88+'RAP TEMPLATE-GAS AVAILABILITY'!R88)</f>
        <v>5.6190366906474818</v>
      </c>
    </row>
    <row r="90" spans="1:29" ht="15.75" x14ac:dyDescent="0.25">
      <c r="A90" s="16">
        <v>43617</v>
      </c>
      <c r="B90" s="10">
        <f>CHOOSE(CONTROL!$C$42, 5.7843, 5.7843) * CHOOSE(CONTROL!$C$21, $C$9, 100%, $E$9)</f>
        <v>5.7843</v>
      </c>
      <c r="C90" s="10">
        <f>CHOOSE(CONTROL!$C$42, 5.7922, 5.7922) * CHOOSE(CONTROL!$C$21, $C$9, 100%, $E$9)</f>
        <v>5.7922000000000002</v>
      </c>
      <c r="D90" s="10">
        <f>CHOOSE(CONTROL!$C$42, 5.9847, 5.9847) * CHOOSE(CONTROL!$C$21, $C$9, 100%, $E$9)</f>
        <v>5.9847000000000001</v>
      </c>
      <c r="E90" s="10">
        <f>CHOOSE(CONTROL!$C$42, 6.0158, 6.0158) * CHOOSE(CONTROL!$C$21, $C$9, 100%, $E$9)</f>
        <v>6.0157999999999996</v>
      </c>
      <c r="F90" s="10">
        <f>CHOOSE(CONTROL!$C$42, 5.7508, 5.7508)*CHOOSE(CONTROL!$C$21, $C$9, 100%, $E$9)</f>
        <v>5.7507999999999999</v>
      </c>
      <c r="G90" s="10">
        <f>CHOOSE(CONTROL!$C$42, 5.768, 5.768)*CHOOSE(CONTROL!$C$21, $C$9, 100%, $E$9)</f>
        <v>5.7679999999999998</v>
      </c>
      <c r="H90" s="10">
        <f>CHOOSE(CONTROL!$C$42, 6.0044, 6.0044) * CHOOSE(CONTROL!$C$21, $C$9, 100%, $E$9)</f>
        <v>6.0044000000000004</v>
      </c>
      <c r="I90" s="10">
        <f>CHOOSE(CONTROL!$C$42, 5.7509, 5.7509)* CHOOSE(CONTROL!$C$21, $C$9, 100%, $E$9)</f>
        <v>5.7508999999999997</v>
      </c>
      <c r="J90" s="10">
        <f>CHOOSE(CONTROL!$C$42, 5.7438, 5.7438)* CHOOSE(CONTROL!$C$21, $C$9, 100%, $E$9)</f>
        <v>5.7438000000000002</v>
      </c>
      <c r="K90" s="54">
        <f>CHOOSE(CONTROL!$C$42, 5.747, 5.747) * CHOOSE(CONTROL!$C$21, $C$9, 100%, $E$9)</f>
        <v>5.7469999999999999</v>
      </c>
      <c r="L90" s="10">
        <f>CHOOSE(CONTROL!$C$42, 6.5914, 6.5914) * CHOOSE(CONTROL!$C$21, $C$9, 100%, $E$9)</f>
        <v>6.5914000000000001</v>
      </c>
      <c r="M90" s="10">
        <f>CHOOSE(CONTROL!$C$42, 5.6997, 5.6997) * CHOOSE(CONTROL!$C$21, $C$9, 100%, $E$9)</f>
        <v>5.6997</v>
      </c>
      <c r="N90" s="10">
        <f>CHOOSE(CONTROL!$C$42, 5.7167, 5.7167) * CHOOSE(CONTROL!$C$21, $C$9, 100%, $E$9)</f>
        <v>5.7167000000000003</v>
      </c>
      <c r="O90" s="10">
        <f>CHOOSE(CONTROL!$C$42, 5.9577, 5.9577) * CHOOSE(CONTROL!$C$21, $C$9, 100%, $E$9)</f>
        <v>5.9577</v>
      </c>
      <c r="P90" s="10">
        <f>CHOOSE(CONTROL!$C$42, 5.7067, 5.7067) * CHOOSE(CONTROL!$C$21, $C$9, 100%, $E$9)</f>
        <v>5.7066999999999997</v>
      </c>
      <c r="Q90" s="10">
        <f>CHOOSE(CONTROL!$C$42, 6.553, 6.553) * CHOOSE(CONTROL!$C$21, $C$9, 100%, $E$9)</f>
        <v>6.5529999999999999</v>
      </c>
      <c r="R90" s="10">
        <f>CHOOSE(CONTROL!$C$42, 7.1564, 7.1564) * CHOOSE(CONTROL!$C$21, $C$9, 100%, $E$9)</f>
        <v>7.1563999999999997</v>
      </c>
      <c r="S90" s="10">
        <f>CHOOSE(CONTROL!$C$42, 5.6129, 5.6129) * CHOOSE(CONTROL!$C$21, $C$9, 100%, $E$9)</f>
        <v>5.6128999999999998</v>
      </c>
      <c r="T90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90" s="58">
        <f>(1000*CHOOSE(CONTROL!$C$42, 695, 695)*CHOOSE(CONTROL!$C$42, 0.5599, 0.5599)*CHOOSE(CONTROL!$C$42, 30, 30))/1000000</f>
        <v>11.673914999999997</v>
      </c>
      <c r="V90" s="58">
        <f>(1000*CHOOSE(CONTROL!$C$42, 500, 500)*CHOOSE(CONTROL!$C$42, 0.275, 0.275)*CHOOSE(CONTROL!$C$42, 30, 30))/1000000</f>
        <v>4.125</v>
      </c>
      <c r="W90" s="58">
        <f>(1000*CHOOSE(CONTROL!$C$42, 0.1146, 0.1146)*CHOOSE(CONTROL!$C$42, 121.5, 121.5)*CHOOSE(CONTROL!$C$42, 30, 30))/1000000</f>
        <v>0.417717</v>
      </c>
      <c r="X90" s="58">
        <f>(30*0.1790888*245000/1000000)+(30*0.2374*100000/1000000)</f>
        <v>2.0285026799999999</v>
      </c>
      <c r="Y90" s="58"/>
      <c r="Z90" s="10"/>
      <c r="AA90" s="57"/>
      <c r="AB90" s="51">
        <f>(B90*194.205+C90*267.466+D90*133.845+E90*53.484+F90*40+G90*185+H90*0+I90*100+J90*300)/(194.205+267.466+133.845+53.484+0+40+185+100+300)</f>
        <v>5.80115366200942</v>
      </c>
      <c r="AC90" s="27">
        <f>(M90*'RAP TEMPLATE-GAS AVAILABILITY'!O89+N90*'RAP TEMPLATE-GAS AVAILABILITY'!P89+O90*'RAP TEMPLATE-GAS AVAILABILITY'!Q89+P90*'RAP TEMPLATE-GAS AVAILABILITY'!R89)/('RAP TEMPLATE-GAS AVAILABILITY'!O89+'RAP TEMPLATE-GAS AVAILABILITY'!P89+'RAP TEMPLATE-GAS AVAILABILITY'!Q89+'RAP TEMPLATE-GAS AVAILABILITY'!R89)</f>
        <v>5.7770093525179851</v>
      </c>
    </row>
    <row r="91" spans="1:29" ht="15.75" x14ac:dyDescent="0.25">
      <c r="A91" s="16">
        <v>43647</v>
      </c>
      <c r="B91" s="10">
        <f>CHOOSE(CONTROL!$C$42, 5.6735, 5.6735) * CHOOSE(CONTROL!$C$21, $C$9, 100%, $E$9)</f>
        <v>5.6734999999999998</v>
      </c>
      <c r="C91" s="10">
        <f>CHOOSE(CONTROL!$C$42, 5.6814, 5.6814) * CHOOSE(CONTROL!$C$21, $C$9, 100%, $E$9)</f>
        <v>5.6814</v>
      </c>
      <c r="D91" s="10">
        <f>CHOOSE(CONTROL!$C$42, 5.8738, 5.8738) * CHOOSE(CONTROL!$C$21, $C$9, 100%, $E$9)</f>
        <v>5.8738000000000001</v>
      </c>
      <c r="E91" s="10">
        <f>CHOOSE(CONTROL!$C$42, 5.9049, 5.9049) * CHOOSE(CONTROL!$C$21, $C$9, 100%, $E$9)</f>
        <v>5.9048999999999996</v>
      </c>
      <c r="F91" s="10">
        <f>CHOOSE(CONTROL!$C$42, 5.6403, 5.6403)*CHOOSE(CONTROL!$C$21, $C$9, 100%, $E$9)</f>
        <v>5.6402999999999999</v>
      </c>
      <c r="G91" s="10">
        <f>CHOOSE(CONTROL!$C$42, 5.6576, 5.6576)*CHOOSE(CONTROL!$C$21, $C$9, 100%, $E$9)</f>
        <v>5.6576000000000004</v>
      </c>
      <c r="H91" s="10">
        <f>CHOOSE(CONTROL!$C$42, 5.8936, 5.8936) * CHOOSE(CONTROL!$C$21, $C$9, 100%, $E$9)</f>
        <v>5.8936000000000002</v>
      </c>
      <c r="I91" s="10">
        <f>CHOOSE(CONTROL!$C$42, 5.64, 5.64)* CHOOSE(CONTROL!$C$21, $C$9, 100%, $E$9)</f>
        <v>5.64</v>
      </c>
      <c r="J91" s="10">
        <f>CHOOSE(CONTROL!$C$42, 5.6333, 5.6333)* CHOOSE(CONTROL!$C$21, $C$9, 100%, $E$9)</f>
        <v>5.6333000000000002</v>
      </c>
      <c r="K91" s="54">
        <f>CHOOSE(CONTROL!$C$42, 5.6361, 5.6361) * CHOOSE(CONTROL!$C$21, $C$9, 100%, $E$9)</f>
        <v>5.6360999999999999</v>
      </c>
      <c r="L91" s="10">
        <f>CHOOSE(CONTROL!$C$42, 6.4806, 6.4806) * CHOOSE(CONTROL!$C$21, $C$9, 100%, $E$9)</f>
        <v>6.4805999999999999</v>
      </c>
      <c r="M91" s="10">
        <f>CHOOSE(CONTROL!$C$42, 5.5903, 5.5903) * CHOOSE(CONTROL!$C$21, $C$9, 100%, $E$9)</f>
        <v>5.5903</v>
      </c>
      <c r="N91" s="10">
        <f>CHOOSE(CONTROL!$C$42, 5.6074, 5.6074) * CHOOSE(CONTROL!$C$21, $C$9, 100%, $E$9)</f>
        <v>5.6074000000000002</v>
      </c>
      <c r="O91" s="10">
        <f>CHOOSE(CONTROL!$C$42, 5.8479, 5.8479) * CHOOSE(CONTROL!$C$21, $C$9, 100%, $E$9)</f>
        <v>5.8479000000000001</v>
      </c>
      <c r="P91" s="10">
        <f>CHOOSE(CONTROL!$C$42, 5.597, 5.597) * CHOOSE(CONTROL!$C$21, $C$9, 100%, $E$9)</f>
        <v>5.5970000000000004</v>
      </c>
      <c r="Q91" s="10">
        <f>CHOOSE(CONTROL!$C$42, 6.4432, 6.4432) * CHOOSE(CONTROL!$C$21, $C$9, 100%, $E$9)</f>
        <v>6.4432</v>
      </c>
      <c r="R91" s="10">
        <f>CHOOSE(CONTROL!$C$42, 7.0463, 7.0463) * CHOOSE(CONTROL!$C$21, $C$9, 100%, $E$9)</f>
        <v>7.0462999999999996</v>
      </c>
      <c r="S91" s="10">
        <f>CHOOSE(CONTROL!$C$42, 5.5052, 5.5052) * CHOOSE(CONTROL!$C$21, $C$9, 100%, $E$9)</f>
        <v>5.5052000000000003</v>
      </c>
      <c r="T91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91" s="58">
        <f>(1000*CHOOSE(CONTROL!$C$42, 695, 695)*CHOOSE(CONTROL!$C$42, 0.5599, 0.5599)*CHOOSE(CONTROL!$C$42, 31, 31))/1000000</f>
        <v>12.063045499999998</v>
      </c>
      <c r="V91" s="58">
        <f>(1000*CHOOSE(CONTROL!$C$42, 500, 500)*CHOOSE(CONTROL!$C$42, 0.275, 0.275)*CHOOSE(CONTROL!$C$42, 31, 31))/1000000</f>
        <v>4.2625000000000002</v>
      </c>
      <c r="W91" s="58">
        <f>(1000*CHOOSE(CONTROL!$C$42, 0.1146, 0.1146)*CHOOSE(CONTROL!$C$42, 121.5, 121.5)*CHOOSE(CONTROL!$C$42, 31, 31))/1000000</f>
        <v>0.43164089999999994</v>
      </c>
      <c r="X91" s="58">
        <f>(31*0.1790888*245000/1000000)+(31*0.2374*100000/1000000)</f>
        <v>2.0961194359999999</v>
      </c>
      <c r="Y91" s="58"/>
      <c r="Z91" s="10"/>
      <c r="AA91" s="57"/>
      <c r="AB91" s="51">
        <f>(B91*194.205+C91*267.466+D91*133.845+E91*53.484+F91*40+G91*185+H91*0+I91*100+J91*300)/(194.205+267.466+133.845+53.484+0+40+185+100+300)</f>
        <v>5.6904692562794352</v>
      </c>
      <c r="AC91" s="27">
        <f>(M91*'RAP TEMPLATE-GAS AVAILABILITY'!O90+N91*'RAP TEMPLATE-GAS AVAILABILITY'!P90+O91*'RAP TEMPLATE-GAS AVAILABILITY'!Q90+P91*'RAP TEMPLATE-GAS AVAILABILITY'!R90)/('RAP TEMPLATE-GAS AVAILABILITY'!O90+'RAP TEMPLATE-GAS AVAILABILITY'!P90+'RAP TEMPLATE-GAS AVAILABILITY'!Q90+'RAP TEMPLATE-GAS AVAILABILITY'!R90)</f>
        <v>5.6674769784172661</v>
      </c>
    </row>
    <row r="92" spans="1:29" ht="15.75" x14ac:dyDescent="0.25">
      <c r="A92" s="16">
        <v>43678</v>
      </c>
      <c r="B92" s="10">
        <f>CHOOSE(CONTROL!$C$42, 5.3935, 5.3935) * CHOOSE(CONTROL!$C$21, $C$9, 100%, $E$9)</f>
        <v>5.3935000000000004</v>
      </c>
      <c r="C92" s="10">
        <f>CHOOSE(CONTROL!$C$42, 5.4014, 5.4014) * CHOOSE(CONTROL!$C$21, $C$9, 100%, $E$9)</f>
        <v>5.4013999999999998</v>
      </c>
      <c r="D92" s="10">
        <f>CHOOSE(CONTROL!$C$42, 5.5938, 5.5938) * CHOOSE(CONTROL!$C$21, $C$9, 100%, $E$9)</f>
        <v>5.5937999999999999</v>
      </c>
      <c r="E92" s="10">
        <f>CHOOSE(CONTROL!$C$42, 5.625, 5.625) * CHOOSE(CONTROL!$C$21, $C$9, 100%, $E$9)</f>
        <v>5.625</v>
      </c>
      <c r="F92" s="10">
        <f>CHOOSE(CONTROL!$C$42, 5.3605, 5.3605)*CHOOSE(CONTROL!$C$21, $C$9, 100%, $E$9)</f>
        <v>5.3605</v>
      </c>
      <c r="G92" s="10">
        <f>CHOOSE(CONTROL!$C$42, 5.3779, 5.3779)*CHOOSE(CONTROL!$C$21, $C$9, 100%, $E$9)</f>
        <v>5.3779000000000003</v>
      </c>
      <c r="H92" s="10">
        <f>CHOOSE(CONTROL!$C$42, 5.6136, 5.6136) * CHOOSE(CONTROL!$C$21, $C$9, 100%, $E$9)</f>
        <v>5.6135999999999999</v>
      </c>
      <c r="I92" s="10">
        <f>CHOOSE(CONTROL!$C$42, 5.3601, 5.3601)* CHOOSE(CONTROL!$C$21, $C$9, 100%, $E$9)</f>
        <v>5.3601000000000001</v>
      </c>
      <c r="J92" s="10">
        <f>CHOOSE(CONTROL!$C$42, 5.3535, 5.3535)* CHOOSE(CONTROL!$C$21, $C$9, 100%, $E$9)</f>
        <v>5.3535000000000004</v>
      </c>
      <c r="K92" s="54">
        <f>CHOOSE(CONTROL!$C$42, 5.3562, 5.3562) * CHOOSE(CONTROL!$C$21, $C$9, 100%, $E$9)</f>
        <v>5.3562000000000003</v>
      </c>
      <c r="L92" s="10">
        <f>CHOOSE(CONTROL!$C$42, 6.2006, 6.2006) * CHOOSE(CONTROL!$C$21, $C$9, 100%, $E$9)</f>
        <v>6.2005999999999997</v>
      </c>
      <c r="M92" s="10">
        <f>CHOOSE(CONTROL!$C$42, 5.3133, 5.3133) * CHOOSE(CONTROL!$C$21, $C$9, 100%, $E$9)</f>
        <v>5.3132999999999999</v>
      </c>
      <c r="N92" s="10">
        <f>CHOOSE(CONTROL!$C$42, 5.3305, 5.3305) * CHOOSE(CONTROL!$C$21, $C$9, 100%, $E$9)</f>
        <v>5.3304999999999998</v>
      </c>
      <c r="O92" s="10">
        <f>CHOOSE(CONTROL!$C$42, 5.5708, 5.5708) * CHOOSE(CONTROL!$C$21, $C$9, 100%, $E$9)</f>
        <v>5.5708000000000002</v>
      </c>
      <c r="P92" s="10">
        <f>CHOOSE(CONTROL!$C$42, 5.3198, 5.3198) * CHOOSE(CONTROL!$C$21, $C$9, 100%, $E$9)</f>
        <v>5.3197999999999999</v>
      </c>
      <c r="Q92" s="10">
        <f>CHOOSE(CONTROL!$C$42, 6.1661, 6.1661) * CHOOSE(CONTROL!$C$21, $C$9, 100%, $E$9)</f>
        <v>6.1661000000000001</v>
      </c>
      <c r="R92" s="10">
        <f>CHOOSE(CONTROL!$C$42, 6.7685, 6.7685) * CHOOSE(CONTROL!$C$21, $C$9, 100%, $E$9)</f>
        <v>6.7685000000000004</v>
      </c>
      <c r="S92" s="10">
        <f>CHOOSE(CONTROL!$C$42, 5.2334, 5.2334) * CHOOSE(CONTROL!$C$21, $C$9, 100%, $E$9)</f>
        <v>5.2333999999999996</v>
      </c>
      <c r="T92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92" s="58">
        <f>(1000*CHOOSE(CONTROL!$C$42, 695, 695)*CHOOSE(CONTROL!$C$42, 0.5599, 0.5599)*CHOOSE(CONTROL!$C$42, 31, 31))/1000000</f>
        <v>12.063045499999998</v>
      </c>
      <c r="V92" s="58">
        <f>(1000*CHOOSE(CONTROL!$C$42, 500, 500)*CHOOSE(CONTROL!$C$42, 0.275, 0.275)*CHOOSE(CONTROL!$C$42, 31, 31))/1000000</f>
        <v>4.2625000000000002</v>
      </c>
      <c r="W92" s="58">
        <f>(1000*CHOOSE(CONTROL!$C$42, 0.1146, 0.1146)*CHOOSE(CONTROL!$C$42, 121.5, 121.5)*CHOOSE(CONTROL!$C$42, 31, 31))/1000000</f>
        <v>0.43164089999999994</v>
      </c>
      <c r="X92" s="58">
        <f>(31*0.1790888*245000/1000000)+(31*0.2374*100000/1000000)</f>
        <v>2.0961194359999999</v>
      </c>
      <c r="Y92" s="58"/>
      <c r="Z92" s="10"/>
      <c r="AA92" s="57"/>
      <c r="AB92" s="51">
        <f>(B92*194.205+C92*267.466+D92*133.845+E92*53.484+F92*40+G92*185+H92*0+I92*100+J92*300)/(194.205+267.466+133.845+53.484+0+40+185+100+300)</f>
        <v>5.4105782424646787</v>
      </c>
      <c r="AC92" s="27">
        <f>(M92*'RAP TEMPLATE-GAS AVAILABILITY'!O91+N92*'RAP TEMPLATE-GAS AVAILABILITY'!P91+O92*'RAP TEMPLATE-GAS AVAILABILITY'!Q91+P92*'RAP TEMPLATE-GAS AVAILABILITY'!R91)/('RAP TEMPLATE-GAS AVAILABILITY'!O91+'RAP TEMPLATE-GAS AVAILABILITY'!P91+'RAP TEMPLATE-GAS AVAILABILITY'!Q91+'RAP TEMPLATE-GAS AVAILABILITY'!R91)</f>
        <v>5.3904431654676266</v>
      </c>
    </row>
    <row r="93" spans="1:29" ht="15.75" x14ac:dyDescent="0.25">
      <c r="A93" s="16">
        <v>43709</v>
      </c>
      <c r="B93" s="10">
        <f>CHOOSE(CONTROL!$C$42, 5.051, 5.051) * CHOOSE(CONTROL!$C$21, $C$9, 100%, $E$9)</f>
        <v>5.0510000000000002</v>
      </c>
      <c r="C93" s="10">
        <f>CHOOSE(CONTROL!$C$42, 5.0589, 5.0589) * CHOOSE(CONTROL!$C$21, $C$9, 100%, $E$9)</f>
        <v>5.0589000000000004</v>
      </c>
      <c r="D93" s="10">
        <f>CHOOSE(CONTROL!$C$42, 5.2514, 5.2514) * CHOOSE(CONTROL!$C$21, $C$9, 100%, $E$9)</f>
        <v>5.2514000000000003</v>
      </c>
      <c r="E93" s="10">
        <f>CHOOSE(CONTROL!$C$42, 5.2825, 5.2825) * CHOOSE(CONTROL!$C$21, $C$9, 100%, $E$9)</f>
        <v>5.2824999999999998</v>
      </c>
      <c r="F93" s="10">
        <f>CHOOSE(CONTROL!$C$42, 5.0179, 5.0179)*CHOOSE(CONTROL!$C$21, $C$9, 100%, $E$9)</f>
        <v>5.0179</v>
      </c>
      <c r="G93" s="10">
        <f>CHOOSE(CONTROL!$C$42, 5.0352, 5.0352)*CHOOSE(CONTROL!$C$21, $C$9, 100%, $E$9)</f>
        <v>5.0351999999999997</v>
      </c>
      <c r="H93" s="10">
        <f>CHOOSE(CONTROL!$C$42, 5.2711, 5.2711) * CHOOSE(CONTROL!$C$21, $C$9, 100%, $E$9)</f>
        <v>5.2710999999999997</v>
      </c>
      <c r="I93" s="10">
        <f>CHOOSE(CONTROL!$C$42, 5.0176, 5.0176)* CHOOSE(CONTROL!$C$21, $C$9, 100%, $E$9)</f>
        <v>5.0175999999999998</v>
      </c>
      <c r="J93" s="10">
        <f>CHOOSE(CONTROL!$C$42, 5.0109, 5.0109)* CHOOSE(CONTROL!$C$21, $C$9, 100%, $E$9)</f>
        <v>5.0109000000000004</v>
      </c>
      <c r="K93" s="54">
        <f>CHOOSE(CONTROL!$C$42, 5.0137, 5.0137) * CHOOSE(CONTROL!$C$21, $C$9, 100%, $E$9)</f>
        <v>5.0137</v>
      </c>
      <c r="L93" s="10">
        <f>CHOOSE(CONTROL!$C$42, 5.8581, 5.8581) * CHOOSE(CONTROL!$C$21, $C$9, 100%, $E$9)</f>
        <v>5.8581000000000003</v>
      </c>
      <c r="M93" s="10">
        <f>CHOOSE(CONTROL!$C$42, 4.9742, 4.9742) * CHOOSE(CONTROL!$C$21, $C$9, 100%, $E$9)</f>
        <v>4.9741999999999997</v>
      </c>
      <c r="N93" s="10">
        <f>CHOOSE(CONTROL!$C$42, 4.9913, 4.9913) * CHOOSE(CONTROL!$C$21, $C$9, 100%, $E$9)</f>
        <v>4.9912999999999998</v>
      </c>
      <c r="O93" s="10">
        <f>CHOOSE(CONTROL!$C$42, 5.2318, 5.2318) * CHOOSE(CONTROL!$C$21, $C$9, 100%, $E$9)</f>
        <v>5.2317999999999998</v>
      </c>
      <c r="P93" s="10">
        <f>CHOOSE(CONTROL!$C$42, 4.9808, 4.9808) * CHOOSE(CONTROL!$C$21, $C$9, 100%, $E$9)</f>
        <v>4.9808000000000003</v>
      </c>
      <c r="Q93" s="10">
        <f>CHOOSE(CONTROL!$C$42, 5.8271, 5.8271) * CHOOSE(CONTROL!$C$21, $C$9, 100%, $E$9)</f>
        <v>5.8270999999999997</v>
      </c>
      <c r="R93" s="10">
        <f>CHOOSE(CONTROL!$C$42, 6.4286, 6.4286) * CHOOSE(CONTROL!$C$21, $C$9, 100%, $E$9)</f>
        <v>6.4286000000000003</v>
      </c>
      <c r="S93" s="10">
        <f>CHOOSE(CONTROL!$C$42, 4.9008, 4.9008) * CHOOSE(CONTROL!$C$21, $C$9, 100%, $E$9)</f>
        <v>4.9008000000000003</v>
      </c>
      <c r="T93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93" s="58">
        <f>(1000*CHOOSE(CONTROL!$C$42, 695, 695)*CHOOSE(CONTROL!$C$42, 0.5599, 0.5599)*CHOOSE(CONTROL!$C$42, 30, 30))/1000000</f>
        <v>11.673914999999997</v>
      </c>
      <c r="V93" s="58">
        <f>(1000*CHOOSE(CONTROL!$C$42, 500, 500)*CHOOSE(CONTROL!$C$42, 0.275, 0.275)*CHOOSE(CONTROL!$C$42, 30, 30))/1000000</f>
        <v>4.125</v>
      </c>
      <c r="W93" s="58">
        <f>(1000*CHOOSE(CONTROL!$C$42, 0.1146, 0.1146)*CHOOSE(CONTROL!$C$42, 121.5, 121.5)*CHOOSE(CONTROL!$C$42, 30, 30))/1000000</f>
        <v>0.417717</v>
      </c>
      <c r="X93" s="58">
        <f>(30*0.1790888*245000/1000000)+(30*0.2374*100000/1000000)</f>
        <v>2.0285026799999999</v>
      </c>
      <c r="Y93" s="58"/>
      <c r="Z93" s="10"/>
      <c r="AA93" s="57"/>
      <c r="AB93" s="51">
        <f>(B93*194.205+C93*267.466+D93*133.845+E93*53.484+F93*40+G93*185+H93*0+I93*100+J93*300)/(194.205+267.466+133.845+53.484+0+40+185+100+300)</f>
        <v>5.0680330183673483</v>
      </c>
      <c r="AC93" s="27">
        <f>(M93*'RAP TEMPLATE-GAS AVAILABILITY'!O92+N93*'RAP TEMPLATE-GAS AVAILABILITY'!P92+O93*'RAP TEMPLATE-GAS AVAILABILITY'!Q92+P93*'RAP TEMPLATE-GAS AVAILABILITY'!R92)/('RAP TEMPLATE-GAS AVAILABILITY'!O92+'RAP TEMPLATE-GAS AVAILABILITY'!P92+'RAP TEMPLATE-GAS AVAILABILITY'!Q92+'RAP TEMPLATE-GAS AVAILABILITY'!R92)</f>
        <v>5.0513625899280568</v>
      </c>
    </row>
    <row r="94" spans="1:29" ht="15.75" x14ac:dyDescent="0.25">
      <c r="A94" s="16">
        <v>43739</v>
      </c>
      <c r="B94" s="10">
        <f>CHOOSE(CONTROL!$C$42, 4.9468, 4.9468) * CHOOSE(CONTROL!$C$21, $C$9, 100%, $E$9)</f>
        <v>4.9467999999999996</v>
      </c>
      <c r="C94" s="10">
        <f>CHOOSE(CONTROL!$C$42, 4.952, 4.952) * CHOOSE(CONTROL!$C$21, $C$9, 100%, $E$9)</f>
        <v>4.952</v>
      </c>
      <c r="D94" s="10">
        <f>CHOOSE(CONTROL!$C$42, 5.1494, 5.1494) * CHOOSE(CONTROL!$C$21, $C$9, 100%, $E$9)</f>
        <v>5.1494</v>
      </c>
      <c r="E94" s="10">
        <f>CHOOSE(CONTROL!$C$42, 5.1782, 5.1782) * CHOOSE(CONTROL!$C$21, $C$9, 100%, $E$9)</f>
        <v>5.1782000000000004</v>
      </c>
      <c r="F94" s="10">
        <f>CHOOSE(CONTROL!$C$42, 4.9157, 4.9157)*CHOOSE(CONTROL!$C$21, $C$9, 100%, $E$9)</f>
        <v>4.9157000000000002</v>
      </c>
      <c r="G94" s="10">
        <f>CHOOSE(CONTROL!$C$42, 4.9327, 4.9327)*CHOOSE(CONTROL!$C$21, $C$9, 100%, $E$9)</f>
        <v>4.9326999999999996</v>
      </c>
      <c r="H94" s="10">
        <f>CHOOSE(CONTROL!$C$42, 5.1687, 5.1687) * CHOOSE(CONTROL!$C$21, $C$9, 100%, $E$9)</f>
        <v>5.1687000000000003</v>
      </c>
      <c r="I94" s="10">
        <f>CHOOSE(CONTROL!$C$42, 4.9151, 4.9151)* CHOOSE(CONTROL!$C$21, $C$9, 100%, $E$9)</f>
        <v>4.9150999999999998</v>
      </c>
      <c r="J94" s="10">
        <f>CHOOSE(CONTROL!$C$42, 4.9087, 4.9087)* CHOOSE(CONTROL!$C$21, $C$9, 100%, $E$9)</f>
        <v>4.9086999999999996</v>
      </c>
      <c r="K94" s="54">
        <f>CHOOSE(CONTROL!$C$42, 4.9113, 4.9113) * CHOOSE(CONTROL!$C$21, $C$9, 100%, $E$9)</f>
        <v>4.9112999999999998</v>
      </c>
      <c r="L94" s="10">
        <f>CHOOSE(CONTROL!$C$42, 5.7557, 5.7557) * CHOOSE(CONTROL!$C$21, $C$9, 100%, $E$9)</f>
        <v>5.7557</v>
      </c>
      <c r="M94" s="10">
        <f>CHOOSE(CONTROL!$C$42, 4.873, 4.873) * CHOOSE(CONTROL!$C$21, $C$9, 100%, $E$9)</f>
        <v>4.8730000000000002</v>
      </c>
      <c r="N94" s="10">
        <f>CHOOSE(CONTROL!$C$42, 4.8898, 4.8898) * CHOOSE(CONTROL!$C$21, $C$9, 100%, $E$9)</f>
        <v>4.8898000000000001</v>
      </c>
      <c r="O94" s="10">
        <f>CHOOSE(CONTROL!$C$42, 5.1304, 5.1304) * CHOOSE(CONTROL!$C$21, $C$9, 100%, $E$9)</f>
        <v>5.1303999999999998</v>
      </c>
      <c r="P94" s="10">
        <f>CHOOSE(CONTROL!$C$42, 4.8794, 4.8794) * CHOOSE(CONTROL!$C$21, $C$9, 100%, $E$9)</f>
        <v>4.8794000000000004</v>
      </c>
      <c r="Q94" s="10">
        <f>CHOOSE(CONTROL!$C$42, 5.7257, 5.7257) * CHOOSE(CONTROL!$C$21, $C$9, 100%, $E$9)</f>
        <v>5.7256999999999998</v>
      </c>
      <c r="R94" s="10">
        <f>CHOOSE(CONTROL!$C$42, 6.327, 6.327) * CHOOSE(CONTROL!$C$21, $C$9, 100%, $E$9)</f>
        <v>6.327</v>
      </c>
      <c r="S94" s="10">
        <f>CHOOSE(CONTROL!$C$42, 4.8013, 4.8013) * CHOOSE(CONTROL!$C$21, $C$9, 100%, $E$9)</f>
        <v>4.8013000000000003</v>
      </c>
      <c r="T94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94" s="58">
        <f>(1000*CHOOSE(CONTROL!$C$42, 695, 695)*CHOOSE(CONTROL!$C$42, 0.5599, 0.5599)*CHOOSE(CONTROL!$C$42, 31, 31))/1000000</f>
        <v>12.063045499999998</v>
      </c>
      <c r="V94" s="58">
        <f>(1000*CHOOSE(CONTROL!$C$42, 500, 500)*CHOOSE(CONTROL!$C$42, 0.275, 0.275)*CHOOSE(CONTROL!$C$42, 31, 31))/1000000</f>
        <v>4.2625000000000002</v>
      </c>
      <c r="W94" s="58">
        <f>(1000*CHOOSE(CONTROL!$C$42, 0.1146, 0.1146)*CHOOSE(CONTROL!$C$42, 121.5, 121.5)*CHOOSE(CONTROL!$C$42, 31, 31))/1000000</f>
        <v>0.43164089999999994</v>
      </c>
      <c r="X94" s="58">
        <f>(31*0.1790888*245000/1000000)+(31*0.2374*100000/1000000)</f>
        <v>2.0961194359999999</v>
      </c>
      <c r="Y94" s="58"/>
      <c r="Z94" s="10"/>
      <c r="AA94" s="57"/>
      <c r="AB94" s="51">
        <f>(B94*131.881+C94*277.167+D94*79.08+E94*125.872+F94*40+G94*185+H94*0+I94*100+J94*300)/(131.881+277.167+79.08+125.872+0+40+185+100+300)</f>
        <v>4.9695095699757861</v>
      </c>
      <c r="AC94" s="27">
        <f>(M94*'RAP TEMPLATE-GAS AVAILABILITY'!O93+N94*'RAP TEMPLATE-GAS AVAILABILITY'!P93+O94*'RAP TEMPLATE-GAS AVAILABILITY'!Q93+P94*'RAP TEMPLATE-GAS AVAILABILITY'!R93)/('RAP TEMPLATE-GAS AVAILABILITY'!O93+'RAP TEMPLATE-GAS AVAILABILITY'!P93+'RAP TEMPLATE-GAS AVAILABILITY'!Q93+'RAP TEMPLATE-GAS AVAILABILITY'!R93)</f>
        <v>4.9500086330935247</v>
      </c>
    </row>
    <row r="95" spans="1:29" ht="15.75" x14ac:dyDescent="0.25">
      <c r="A95" s="16">
        <v>43770</v>
      </c>
      <c r="B95" s="10">
        <f>CHOOSE(CONTROL!$C$42, 5.0766, 5.0766) * CHOOSE(CONTROL!$C$21, $C$9, 100%, $E$9)</f>
        <v>5.0766</v>
      </c>
      <c r="C95" s="10">
        <f>CHOOSE(CONTROL!$C$42, 5.0816, 5.0816) * CHOOSE(CONTROL!$C$21, $C$9, 100%, $E$9)</f>
        <v>5.0815999999999999</v>
      </c>
      <c r="D95" s="10">
        <f>CHOOSE(CONTROL!$C$42, 5.1112, 5.1112) * CHOOSE(CONTROL!$C$21, $C$9, 100%, $E$9)</f>
        <v>5.1112000000000002</v>
      </c>
      <c r="E95" s="10">
        <f>CHOOSE(CONTROL!$C$42, 5.145, 5.145) * CHOOSE(CONTROL!$C$21, $C$9, 100%, $E$9)</f>
        <v>5.1449999999999996</v>
      </c>
      <c r="F95" s="10">
        <f>CHOOSE(CONTROL!$C$42, 5.0434, 5.0434)*CHOOSE(CONTROL!$C$21, $C$9, 100%, $E$9)</f>
        <v>5.0434000000000001</v>
      </c>
      <c r="G95" s="10">
        <f>CHOOSE(CONTROL!$C$42, 5.0605, 5.0605)*CHOOSE(CONTROL!$C$21, $C$9, 100%, $E$9)</f>
        <v>5.0605000000000002</v>
      </c>
      <c r="H95" s="10">
        <f>CHOOSE(CONTROL!$C$42, 5.1342, 5.1342) * CHOOSE(CONTROL!$C$21, $C$9, 100%, $E$9)</f>
        <v>5.1341999999999999</v>
      </c>
      <c r="I95" s="10">
        <f>CHOOSE(CONTROL!$C$42, 5.0402, 5.0402)* CHOOSE(CONTROL!$C$21, $C$9, 100%, $E$9)</f>
        <v>5.0401999999999996</v>
      </c>
      <c r="J95" s="10">
        <f>CHOOSE(CONTROL!$C$42, 5.0364, 5.0364)* CHOOSE(CONTROL!$C$21, $C$9, 100%, $E$9)</f>
        <v>5.0364000000000004</v>
      </c>
      <c r="K95" s="54">
        <f>CHOOSE(CONTROL!$C$42, 5.0363, 5.0363) * CHOOSE(CONTROL!$C$21, $C$9, 100%, $E$9)</f>
        <v>5.0362999999999998</v>
      </c>
      <c r="L95" s="10">
        <f>CHOOSE(CONTROL!$C$42, 5.7212, 5.7212) * CHOOSE(CONTROL!$C$21, $C$9, 100%, $E$9)</f>
        <v>5.7211999999999996</v>
      </c>
      <c r="M95" s="10">
        <f>CHOOSE(CONTROL!$C$42, 4.9994, 4.9994) * CHOOSE(CONTROL!$C$21, $C$9, 100%, $E$9)</f>
        <v>4.9993999999999996</v>
      </c>
      <c r="N95" s="10">
        <f>CHOOSE(CONTROL!$C$42, 5.0164, 5.0164) * CHOOSE(CONTROL!$C$21, $C$9, 100%, $E$9)</f>
        <v>5.0164</v>
      </c>
      <c r="O95" s="10">
        <f>CHOOSE(CONTROL!$C$42, 5.0962, 5.0962) * CHOOSE(CONTROL!$C$21, $C$9, 100%, $E$9)</f>
        <v>5.0961999999999996</v>
      </c>
      <c r="P95" s="10">
        <f>CHOOSE(CONTROL!$C$42, 5.0032, 5.0032) * CHOOSE(CONTROL!$C$21, $C$9, 100%, $E$9)</f>
        <v>5.0031999999999996</v>
      </c>
      <c r="Q95" s="10">
        <f>CHOOSE(CONTROL!$C$42, 5.6915, 5.6915) * CHOOSE(CONTROL!$C$21, $C$9, 100%, $E$9)</f>
        <v>5.6914999999999996</v>
      </c>
      <c r="R95" s="10">
        <f>CHOOSE(CONTROL!$C$42, 6.2927, 6.2927) * CHOOSE(CONTROL!$C$21, $C$9, 100%, $E$9)</f>
        <v>6.2927</v>
      </c>
      <c r="S95" s="10">
        <f>CHOOSE(CONTROL!$C$42, 4.9278, 4.9278) * CHOOSE(CONTROL!$C$21, $C$9, 100%, $E$9)</f>
        <v>4.9278000000000004</v>
      </c>
      <c r="T95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95" s="58">
        <f>(1000*CHOOSE(CONTROL!$C$42, 695, 695)*CHOOSE(CONTROL!$C$42, 0.5599, 0.5599)*CHOOSE(CONTROL!$C$42, 30, 30))/1000000</f>
        <v>11.673914999999997</v>
      </c>
      <c r="V95" s="58">
        <f>(1000*CHOOSE(CONTROL!$C$42, 500, 500)*CHOOSE(CONTROL!$C$42, 0.275, 0.275)*CHOOSE(CONTROL!$C$42, 30, 30))/1000000</f>
        <v>4.125</v>
      </c>
      <c r="W95" s="58">
        <f>(1000*CHOOSE(CONTROL!$C$42, 0.1146, 0.1146)*CHOOSE(CONTROL!$C$42, 121.5, 121.5)*CHOOSE(CONTROL!$C$42, 30, 30))/1000000</f>
        <v>0.417717</v>
      </c>
      <c r="X95" s="58">
        <f>(30*0.1790888*100000/1000000)+(30*0.2374*100000/1000000)</f>
        <v>1.2494664</v>
      </c>
      <c r="Y95" s="58"/>
      <c r="Z95" s="10"/>
      <c r="AA95" s="57"/>
      <c r="AB95" s="51">
        <f>(B95*122.58+C95*297.941+D95*89.177+E95*40.302+F95*40+G95*160+H95*0+I95*100+J95*300)/(122.58+297.941+89.177+40.302+0+40+160+100+300)</f>
        <v>5.06592859652174</v>
      </c>
      <c r="AC95" s="27">
        <f>(M95*'RAP TEMPLATE-GAS AVAILABILITY'!O94+N95*'RAP TEMPLATE-GAS AVAILABILITY'!P94+O95*'RAP TEMPLATE-GAS AVAILABILITY'!Q94+P95*'RAP TEMPLATE-GAS AVAILABILITY'!R94)/('RAP TEMPLATE-GAS AVAILABILITY'!O94+'RAP TEMPLATE-GAS AVAILABILITY'!P94+'RAP TEMPLATE-GAS AVAILABILITY'!Q94+'RAP TEMPLATE-GAS AVAILABILITY'!R94)</f>
        <v>5.0447985611510777</v>
      </c>
    </row>
    <row r="96" spans="1:29" ht="15.75" x14ac:dyDescent="0.25">
      <c r="A96" s="16">
        <v>43800</v>
      </c>
      <c r="B96" s="10">
        <f>CHOOSE(CONTROL!$C$42, 5.4226, 5.4226) * CHOOSE(CONTROL!$C$21, $C$9, 100%, $E$9)</f>
        <v>5.4226000000000001</v>
      </c>
      <c r="C96" s="10">
        <f>CHOOSE(CONTROL!$C$42, 5.4275, 5.4275) * CHOOSE(CONTROL!$C$21, $C$9, 100%, $E$9)</f>
        <v>5.4275000000000002</v>
      </c>
      <c r="D96" s="10">
        <f>CHOOSE(CONTROL!$C$42, 5.4571, 5.4571) * CHOOSE(CONTROL!$C$21, $C$9, 100%, $E$9)</f>
        <v>5.4570999999999996</v>
      </c>
      <c r="E96" s="10">
        <f>CHOOSE(CONTROL!$C$42, 5.4909, 5.4909) * CHOOSE(CONTROL!$C$21, $C$9, 100%, $E$9)</f>
        <v>5.4908999999999999</v>
      </c>
      <c r="F96" s="10">
        <f>CHOOSE(CONTROL!$C$42, 5.3908, 5.3908)*CHOOSE(CONTROL!$C$21, $C$9, 100%, $E$9)</f>
        <v>5.3907999999999996</v>
      </c>
      <c r="G96" s="10">
        <f>CHOOSE(CONTROL!$C$42, 5.4083, 5.4083)*CHOOSE(CONTROL!$C$21, $C$9, 100%, $E$9)</f>
        <v>5.4082999999999997</v>
      </c>
      <c r="H96" s="10">
        <f>CHOOSE(CONTROL!$C$42, 5.4801, 5.4801) * CHOOSE(CONTROL!$C$21, $C$9, 100%, $E$9)</f>
        <v>5.4801000000000002</v>
      </c>
      <c r="I96" s="10">
        <f>CHOOSE(CONTROL!$C$42, 5.3861, 5.3861)* CHOOSE(CONTROL!$C$21, $C$9, 100%, $E$9)</f>
        <v>5.3860999999999999</v>
      </c>
      <c r="J96" s="10">
        <f>CHOOSE(CONTROL!$C$42, 5.3838, 5.3838)* CHOOSE(CONTROL!$C$21, $C$9, 100%, $E$9)</f>
        <v>5.3837999999999999</v>
      </c>
      <c r="K96" s="54">
        <f>CHOOSE(CONTROL!$C$42, 5.3823, 5.3823) * CHOOSE(CONTROL!$C$21, $C$9, 100%, $E$9)</f>
        <v>5.3822999999999999</v>
      </c>
      <c r="L96" s="10">
        <f>CHOOSE(CONTROL!$C$42, 6.0671, 6.0671) * CHOOSE(CONTROL!$C$21, $C$9, 100%, $E$9)</f>
        <v>6.0670999999999999</v>
      </c>
      <c r="M96" s="10">
        <f>CHOOSE(CONTROL!$C$42, 5.3433, 5.3433) * CHOOSE(CONTROL!$C$21, $C$9, 100%, $E$9)</f>
        <v>5.3433000000000002</v>
      </c>
      <c r="N96" s="10">
        <f>CHOOSE(CONTROL!$C$42, 5.3606, 5.3606) * CHOOSE(CONTROL!$C$21, $C$9, 100%, $E$9)</f>
        <v>5.3605999999999998</v>
      </c>
      <c r="O96" s="10">
        <f>CHOOSE(CONTROL!$C$42, 5.4386, 5.4386) * CHOOSE(CONTROL!$C$21, $C$9, 100%, $E$9)</f>
        <v>5.4386000000000001</v>
      </c>
      <c r="P96" s="10">
        <f>CHOOSE(CONTROL!$C$42, 5.3457, 5.3457) * CHOOSE(CONTROL!$C$21, $C$9, 100%, $E$9)</f>
        <v>5.3456999999999999</v>
      </c>
      <c r="Q96" s="10">
        <f>CHOOSE(CONTROL!$C$42, 6.0339, 6.0339) * CHOOSE(CONTROL!$C$21, $C$9, 100%, $E$9)</f>
        <v>6.0339</v>
      </c>
      <c r="R96" s="10">
        <f>CHOOSE(CONTROL!$C$42, 6.636, 6.636) * CHOOSE(CONTROL!$C$21, $C$9, 100%, $E$9)</f>
        <v>6.6360000000000001</v>
      </c>
      <c r="S96" s="10">
        <f>CHOOSE(CONTROL!$C$42, 5.2637, 5.2637) * CHOOSE(CONTROL!$C$21, $C$9, 100%, $E$9)</f>
        <v>5.2637</v>
      </c>
      <c r="T96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96" s="58">
        <f>(1000*CHOOSE(CONTROL!$C$42, 695, 695)*CHOOSE(CONTROL!$C$42, 0.5599, 0.5599)*CHOOSE(CONTROL!$C$42, 31, 31))/1000000</f>
        <v>12.063045499999998</v>
      </c>
      <c r="V96" s="58">
        <f>(1000*CHOOSE(CONTROL!$C$42, 500, 500)*CHOOSE(CONTROL!$C$42, 0.275, 0.275)*CHOOSE(CONTROL!$C$42, 31, 31))/1000000</f>
        <v>4.2625000000000002</v>
      </c>
      <c r="W96" s="58">
        <f>(1000*CHOOSE(CONTROL!$C$42, 0.1146, 0.1146)*CHOOSE(CONTROL!$C$42, 121.5, 121.5)*CHOOSE(CONTROL!$C$42, 31, 31))/1000000</f>
        <v>0.43164089999999994</v>
      </c>
      <c r="X96" s="58">
        <f>(31*0.1790888*100000/1000000)+(31*0.2374*100000/1000000)</f>
        <v>1.2911152800000001</v>
      </c>
      <c r="Y96" s="58"/>
      <c r="Z96" s="10"/>
      <c r="AA96" s="57"/>
      <c r="AB96" s="51">
        <f>(B96*122.58+C96*297.941+D96*89.177+E96*40.302+F96*40+G96*160+H96*0+I96*100+J96*300)/(122.58+297.941+89.177+40.302+0+40+160+100+300)</f>
        <v>5.4125470817391301</v>
      </c>
      <c r="AC96" s="27">
        <f>(M96*'RAP TEMPLATE-GAS AVAILABILITY'!O95+N96*'RAP TEMPLATE-GAS AVAILABILITY'!P95+O96*'RAP TEMPLATE-GAS AVAILABILITY'!Q95+P96*'RAP TEMPLATE-GAS AVAILABILITY'!R95)/('RAP TEMPLATE-GAS AVAILABILITY'!O95+'RAP TEMPLATE-GAS AVAILABILITY'!P95+'RAP TEMPLATE-GAS AVAILABILITY'!Q95+'RAP TEMPLATE-GAS AVAILABILITY'!R95)</f>
        <v>5.387834532374101</v>
      </c>
    </row>
    <row r="97" spans="1:29" ht="15.75" x14ac:dyDescent="0.25">
      <c r="A97" s="16">
        <v>43831</v>
      </c>
      <c r="B97" s="10">
        <f>CHOOSE(CONTROL!$C$42, 5.8125, 5.8125) * CHOOSE(CONTROL!$C$21, $C$9, 100%, $E$9)</f>
        <v>5.8125</v>
      </c>
      <c r="C97" s="10">
        <f>CHOOSE(CONTROL!$C$42, 5.8174, 5.8174) * CHOOSE(CONTROL!$C$21, $C$9, 100%, $E$9)</f>
        <v>5.8174000000000001</v>
      </c>
      <c r="D97" s="10">
        <f>CHOOSE(CONTROL!$C$42, 5.8676, 5.8676) * CHOOSE(CONTROL!$C$21, $C$9, 100%, $E$9)</f>
        <v>5.8676000000000004</v>
      </c>
      <c r="E97" s="10">
        <f>CHOOSE(CONTROL!$C$42, 5.9014, 5.9014) * CHOOSE(CONTROL!$C$21, $C$9, 100%, $E$9)</f>
        <v>5.9013999999999998</v>
      </c>
      <c r="F97" s="10">
        <f>CHOOSE(CONTROL!$C$42, 5.7778, 5.7778)*CHOOSE(CONTROL!$C$21, $C$9, 100%, $E$9)</f>
        <v>5.7778</v>
      </c>
      <c r="G97" s="10">
        <f>CHOOSE(CONTROL!$C$42, 5.7954, 5.7954)*CHOOSE(CONTROL!$C$21, $C$9, 100%, $E$9)</f>
        <v>5.7953999999999999</v>
      </c>
      <c r="H97" s="10">
        <f>CHOOSE(CONTROL!$C$42, 5.8906, 5.8906) * CHOOSE(CONTROL!$C$21, $C$9, 100%, $E$9)</f>
        <v>5.8906000000000001</v>
      </c>
      <c r="I97" s="10">
        <f>CHOOSE(CONTROL!$C$42, 5.7864, 5.7864)* CHOOSE(CONTROL!$C$21, $C$9, 100%, $E$9)</f>
        <v>5.7864000000000004</v>
      </c>
      <c r="J97" s="10">
        <f>CHOOSE(CONTROL!$C$42, 5.7708, 5.7708)* CHOOSE(CONTROL!$C$21, $C$9, 100%, $E$9)</f>
        <v>5.7708000000000004</v>
      </c>
      <c r="K97" s="54">
        <f>CHOOSE(CONTROL!$C$42, 5.7825, 5.7825) * CHOOSE(CONTROL!$C$21, $C$9, 100%, $E$9)</f>
        <v>5.7824999999999998</v>
      </c>
      <c r="L97" s="10">
        <f>CHOOSE(CONTROL!$C$42, 6.4776, 6.4776) * CHOOSE(CONTROL!$C$21, $C$9, 100%, $E$9)</f>
        <v>6.4775999999999998</v>
      </c>
      <c r="M97" s="10">
        <f>CHOOSE(CONTROL!$C$42, 5.7264, 5.7264) * CHOOSE(CONTROL!$C$21, $C$9, 100%, $E$9)</f>
        <v>5.7263999999999999</v>
      </c>
      <c r="N97" s="10">
        <f>CHOOSE(CONTROL!$C$42, 5.7438, 5.7438) * CHOOSE(CONTROL!$C$21, $C$9, 100%, $E$9)</f>
        <v>5.7438000000000002</v>
      </c>
      <c r="O97" s="10">
        <f>CHOOSE(CONTROL!$C$42, 5.845, 5.845) * CHOOSE(CONTROL!$C$21, $C$9, 100%, $E$9)</f>
        <v>5.8449999999999998</v>
      </c>
      <c r="P97" s="10">
        <f>CHOOSE(CONTROL!$C$42, 5.7419, 5.7419) * CHOOSE(CONTROL!$C$21, $C$9, 100%, $E$9)</f>
        <v>5.7419000000000002</v>
      </c>
      <c r="Q97" s="10">
        <f>CHOOSE(CONTROL!$C$42, 6.4403, 6.4403) * CHOOSE(CONTROL!$C$21, $C$9, 100%, $E$9)</f>
        <v>6.4402999999999997</v>
      </c>
      <c r="R97" s="10">
        <f>CHOOSE(CONTROL!$C$42, 7.0434, 7.0434) * CHOOSE(CONTROL!$C$21, $C$9, 100%, $E$9)</f>
        <v>7.0434000000000001</v>
      </c>
      <c r="S97" s="10">
        <f>CHOOSE(CONTROL!$C$42, 5.6424, 5.6424) * CHOOSE(CONTROL!$C$21, $C$9, 100%, $E$9)</f>
        <v>5.6424000000000003</v>
      </c>
      <c r="T97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97" s="58">
        <f>(1000*CHOOSE(CONTROL!$C$42, 695, 695)*CHOOSE(CONTROL!$C$42, 0.5599, 0.5599)*CHOOSE(CONTROL!$C$42, 31, 31))/1000000</f>
        <v>12.063045499999998</v>
      </c>
      <c r="V97" s="58">
        <f>(1000*CHOOSE(CONTROL!$C$42, 500, 500)*CHOOSE(CONTROL!$C$42, 0.275, 0.275)*CHOOSE(CONTROL!$C$42, 31, 31))/1000000</f>
        <v>4.2625000000000002</v>
      </c>
      <c r="W97" s="58">
        <f>(1000*CHOOSE(CONTROL!$C$42, 0.1146, 0.1146)*CHOOSE(CONTROL!$C$42, 121.5, 121.5)*CHOOSE(CONTROL!$C$42, 31, 31))/1000000</f>
        <v>0.43164089999999994</v>
      </c>
      <c r="X97" s="58">
        <f>(31*0.1790888*100000/1000000)+(31*0.2374*100000/1000000)</f>
        <v>1.2911152800000001</v>
      </c>
      <c r="Y97" s="58"/>
      <c r="Z97" s="10"/>
      <c r="AA97" s="57"/>
      <c r="AB97" s="51">
        <f>(B97*122.58+C97*297.941+D97*89.177+E97*40.302+F97*40+G97*160+H97*0+I97*100+J97*300)/(122.58+297.941+89.177+40.302+0+40+160+100+300)</f>
        <v>5.8044238359999998</v>
      </c>
      <c r="AC97" s="27">
        <f>(M97*'RAP TEMPLATE-GAS AVAILABILITY'!O96+N97*'RAP TEMPLATE-GAS AVAILABILITY'!P96+O97*'RAP TEMPLATE-GAS AVAILABILITY'!Q96+P97*'RAP TEMPLATE-GAS AVAILABILITY'!R96)/('RAP TEMPLATE-GAS AVAILABILITY'!O96+'RAP TEMPLATE-GAS AVAILABILITY'!P96+'RAP TEMPLATE-GAS AVAILABILITY'!Q96+'RAP TEMPLATE-GAS AVAILABILITY'!R96)</f>
        <v>5.7833856115107913</v>
      </c>
    </row>
    <row r="98" spans="1:29" ht="15.75" x14ac:dyDescent="0.25">
      <c r="A98" s="16">
        <v>43862</v>
      </c>
      <c r="B98" s="10">
        <f>CHOOSE(CONTROL!$C$42, 5.9159, 5.9159) * CHOOSE(CONTROL!$C$21, $C$9, 100%, $E$9)</f>
        <v>5.9158999999999997</v>
      </c>
      <c r="C98" s="10">
        <f>CHOOSE(CONTROL!$C$42, 5.9209, 5.9209) * CHOOSE(CONTROL!$C$21, $C$9, 100%, $E$9)</f>
        <v>5.9208999999999996</v>
      </c>
      <c r="D98" s="10">
        <f>CHOOSE(CONTROL!$C$42, 5.9814, 5.9814) * CHOOSE(CONTROL!$C$21, $C$9, 100%, $E$9)</f>
        <v>5.9813999999999998</v>
      </c>
      <c r="E98" s="10">
        <f>CHOOSE(CONTROL!$C$42, 6.0151, 6.0151) * CHOOSE(CONTROL!$C$21, $C$9, 100%, $E$9)</f>
        <v>6.0151000000000003</v>
      </c>
      <c r="F98" s="10">
        <f>CHOOSE(CONTROL!$C$42, 5.9091, 5.9091)*CHOOSE(CONTROL!$C$21, $C$9, 100%, $E$9)</f>
        <v>5.9090999999999996</v>
      </c>
      <c r="G98" s="10">
        <f>CHOOSE(CONTROL!$C$42, 5.9264, 5.9264)*CHOOSE(CONTROL!$C$21, $C$9, 100%, $E$9)</f>
        <v>5.9264000000000001</v>
      </c>
      <c r="H98" s="10">
        <f>CHOOSE(CONTROL!$C$42, 6.0043, 6.0043) * CHOOSE(CONTROL!$C$21, $C$9, 100%, $E$9)</f>
        <v>6.0042999999999997</v>
      </c>
      <c r="I98" s="10">
        <f>CHOOSE(CONTROL!$C$42, 5.9027, 5.9027)* CHOOSE(CONTROL!$C$21, $C$9, 100%, $E$9)</f>
        <v>5.9027000000000003</v>
      </c>
      <c r="J98" s="10">
        <f>CHOOSE(CONTROL!$C$42, 5.9021, 5.9021)* CHOOSE(CONTROL!$C$21, $C$9, 100%, $E$9)</f>
        <v>5.9020999999999999</v>
      </c>
      <c r="K98" s="54">
        <f>CHOOSE(CONTROL!$C$42, 5.8988, 5.8988) * CHOOSE(CONTROL!$C$21, $C$9, 100%, $E$9)</f>
        <v>5.8987999999999996</v>
      </c>
      <c r="L98" s="10">
        <f>CHOOSE(CONTROL!$C$42, 6.5913, 6.5913) * CHOOSE(CONTROL!$C$21, $C$9, 100%, $E$9)</f>
        <v>6.5913000000000004</v>
      </c>
      <c r="M98" s="10">
        <f>CHOOSE(CONTROL!$C$42, 5.8564, 5.8564) * CHOOSE(CONTROL!$C$21, $C$9, 100%, $E$9)</f>
        <v>5.8563999999999998</v>
      </c>
      <c r="N98" s="10">
        <f>CHOOSE(CONTROL!$C$42, 5.8735, 5.8735) * CHOOSE(CONTROL!$C$21, $C$9, 100%, $E$9)</f>
        <v>5.8734999999999999</v>
      </c>
      <c r="O98" s="10">
        <f>CHOOSE(CONTROL!$C$42, 5.9576, 5.9576) * CHOOSE(CONTROL!$C$21, $C$9, 100%, $E$9)</f>
        <v>5.9576000000000002</v>
      </c>
      <c r="P98" s="10">
        <f>CHOOSE(CONTROL!$C$42, 5.857, 5.857) * CHOOSE(CONTROL!$C$21, $C$9, 100%, $E$9)</f>
        <v>5.8570000000000002</v>
      </c>
      <c r="Q98" s="10">
        <f>CHOOSE(CONTROL!$C$42, 6.5529, 6.5529) * CHOOSE(CONTROL!$C$21, $C$9, 100%, $E$9)</f>
        <v>6.5529000000000002</v>
      </c>
      <c r="R98" s="10">
        <f>CHOOSE(CONTROL!$C$42, 7.1562, 7.1562) * CHOOSE(CONTROL!$C$21, $C$9, 100%, $E$9)</f>
        <v>7.1562000000000001</v>
      </c>
      <c r="S98" s="10">
        <f>CHOOSE(CONTROL!$C$42, 5.7428, 5.7428) * CHOOSE(CONTROL!$C$21, $C$9, 100%, $E$9)</f>
        <v>5.7427999999999999</v>
      </c>
      <c r="T98" s="5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98" s="58">
        <f>(1000*CHOOSE(CONTROL!$C$42, 695, 695)*CHOOSE(CONTROL!$C$42, 0.5599, 0.5599)*CHOOSE(CONTROL!$C$42, 29, 29))/1000000</f>
        <v>11.284784499999999</v>
      </c>
      <c r="V98" s="58">
        <f>(1000*CHOOSE(CONTROL!$C$42, 500, 500)*CHOOSE(CONTROL!$C$42, 0.275, 0.275)*CHOOSE(CONTROL!$C$42, 29, 29))/1000000</f>
        <v>3.9874999999999998</v>
      </c>
      <c r="W98" s="58">
        <f>(1000*CHOOSE(CONTROL!$C$42, 0.1146, 0.1146)*CHOOSE(CONTROL!$C$42, 121.5, 121.5)*CHOOSE(CONTROL!$C$42, 29, 29))/1000000</f>
        <v>0.40379309999999996</v>
      </c>
      <c r="X98" s="58">
        <f>(29*0.1790888*100000/1000000)+(29*0.2374*100000/1000000)</f>
        <v>1.2078175199999999</v>
      </c>
      <c r="Y98" s="58"/>
      <c r="Z98" s="10"/>
      <c r="AA98" s="57"/>
      <c r="AB98" s="51">
        <f>(B98*122.58+C98*297.941+D98*89.177+E98*40.302+F98*40+G98*160+H98*0+I98*100+J98*300)/(122.58+297.941+89.177+40.302+0+40+160+100+300)</f>
        <v>5.9222276146956521</v>
      </c>
      <c r="AC98" s="27">
        <f>(M98*'RAP TEMPLATE-GAS AVAILABILITY'!O97+N98*'RAP TEMPLATE-GAS AVAILABILITY'!P97+O98*'RAP TEMPLATE-GAS AVAILABILITY'!Q97+P98*'RAP TEMPLATE-GAS AVAILABILITY'!R97)/('RAP TEMPLATE-GAS AVAILABILITY'!O97+'RAP TEMPLATE-GAS AVAILABILITY'!P97+'RAP TEMPLATE-GAS AVAILABILITY'!Q97+'RAP TEMPLATE-GAS AVAILABILITY'!R97)</f>
        <v>5.9033381294964027</v>
      </c>
    </row>
    <row r="99" spans="1:29" ht="15.75" x14ac:dyDescent="0.25">
      <c r="A99" s="16">
        <v>43891</v>
      </c>
      <c r="B99" s="10">
        <f>CHOOSE(CONTROL!$C$42, 5.748, 5.748) * CHOOSE(CONTROL!$C$21, $C$9, 100%, $E$9)</f>
        <v>5.7480000000000002</v>
      </c>
      <c r="C99" s="10">
        <f>CHOOSE(CONTROL!$C$42, 5.753, 5.753) * CHOOSE(CONTROL!$C$21, $C$9, 100%, $E$9)</f>
        <v>5.7530000000000001</v>
      </c>
      <c r="D99" s="10">
        <f>CHOOSE(CONTROL!$C$42, 5.8135, 5.8135) * CHOOSE(CONTROL!$C$21, $C$9, 100%, $E$9)</f>
        <v>5.8135000000000003</v>
      </c>
      <c r="E99" s="10">
        <f>CHOOSE(CONTROL!$C$42, 5.8473, 5.8473) * CHOOSE(CONTROL!$C$21, $C$9, 100%, $E$9)</f>
        <v>5.8472999999999997</v>
      </c>
      <c r="F99" s="10">
        <f>CHOOSE(CONTROL!$C$42, 5.7358, 5.7358)*CHOOSE(CONTROL!$C$21, $C$9, 100%, $E$9)</f>
        <v>5.7358000000000002</v>
      </c>
      <c r="G99" s="10">
        <f>CHOOSE(CONTROL!$C$42, 5.753, 5.753)*CHOOSE(CONTROL!$C$21, $C$9, 100%, $E$9)</f>
        <v>5.7530000000000001</v>
      </c>
      <c r="H99" s="10">
        <f>CHOOSE(CONTROL!$C$42, 5.8365, 5.8365) * CHOOSE(CONTROL!$C$21, $C$9, 100%, $E$9)</f>
        <v>5.8365</v>
      </c>
      <c r="I99" s="10">
        <f>CHOOSE(CONTROL!$C$42, 5.7219, 5.7219)* CHOOSE(CONTROL!$C$21, $C$9, 100%, $E$9)</f>
        <v>5.7218999999999998</v>
      </c>
      <c r="J99" s="10">
        <f>CHOOSE(CONTROL!$C$42, 5.7288, 5.7288)* CHOOSE(CONTROL!$C$21, $C$9, 100%, $E$9)</f>
        <v>5.7287999999999997</v>
      </c>
      <c r="K99" s="54">
        <f>CHOOSE(CONTROL!$C$42, 5.718, 5.718) * CHOOSE(CONTROL!$C$21, $C$9, 100%, $E$9)</f>
        <v>5.718</v>
      </c>
      <c r="L99" s="10">
        <f>CHOOSE(CONTROL!$C$42, 6.4235, 6.4235) * CHOOSE(CONTROL!$C$21, $C$9, 100%, $E$9)</f>
        <v>6.4234999999999998</v>
      </c>
      <c r="M99" s="10">
        <f>CHOOSE(CONTROL!$C$42, 5.6848, 5.6848) * CHOOSE(CONTROL!$C$21, $C$9, 100%, $E$9)</f>
        <v>5.6848000000000001</v>
      </c>
      <c r="N99" s="10">
        <f>CHOOSE(CONTROL!$C$42, 5.7018, 5.7018) * CHOOSE(CONTROL!$C$21, $C$9, 100%, $E$9)</f>
        <v>5.7018000000000004</v>
      </c>
      <c r="O99" s="10">
        <f>CHOOSE(CONTROL!$C$42, 5.7914, 5.7914) * CHOOSE(CONTROL!$C$21, $C$9, 100%, $E$9)</f>
        <v>5.7914000000000003</v>
      </c>
      <c r="P99" s="10">
        <f>CHOOSE(CONTROL!$C$42, 5.6781, 5.6781) * CHOOSE(CONTROL!$C$21, $C$9, 100%, $E$9)</f>
        <v>5.6780999999999997</v>
      </c>
      <c r="Q99" s="10">
        <f>CHOOSE(CONTROL!$C$42, 6.3867, 6.3867) * CHOOSE(CONTROL!$C$21, $C$9, 100%, $E$9)</f>
        <v>6.3867000000000003</v>
      </c>
      <c r="R99" s="10">
        <f>CHOOSE(CONTROL!$C$42, 6.9897, 6.9897) * CHOOSE(CONTROL!$C$21, $C$9, 100%, $E$9)</f>
        <v>6.9897</v>
      </c>
      <c r="S99" s="10">
        <f>CHOOSE(CONTROL!$C$42, 5.5798, 5.5798) * CHOOSE(CONTROL!$C$21, $C$9, 100%, $E$9)</f>
        <v>5.5797999999999996</v>
      </c>
      <c r="T99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99" s="58">
        <f>(1000*CHOOSE(CONTROL!$C$42, 695, 695)*CHOOSE(CONTROL!$C$42, 0.5599, 0.5599)*CHOOSE(CONTROL!$C$42, 31, 31))/1000000</f>
        <v>12.063045499999998</v>
      </c>
      <c r="V99" s="58">
        <f>(1000*CHOOSE(CONTROL!$C$42, 500, 500)*CHOOSE(CONTROL!$C$42, 0.275, 0.275)*CHOOSE(CONTROL!$C$42, 31, 31))/1000000</f>
        <v>4.2625000000000002</v>
      </c>
      <c r="W99" s="58">
        <f>(1000*CHOOSE(CONTROL!$C$42, 0.1146, 0.1146)*CHOOSE(CONTROL!$C$42, 121.5, 121.5)*CHOOSE(CONTROL!$C$42, 31, 31))/1000000</f>
        <v>0.43164089999999994</v>
      </c>
      <c r="X99" s="58">
        <f>(31*0.1790888*100000/1000000)+(31*0.2374*100000/1000000)</f>
        <v>1.2911152800000001</v>
      </c>
      <c r="Y99" s="58"/>
      <c r="Z99" s="10"/>
      <c r="AA99" s="57"/>
      <c r="AB99" s="51">
        <f>(B99*122.58+C99*297.941+D99*89.177+E99*40.302+F99*40+G99*160+H99*0+I99*100+J99*300)/(122.58+297.941+89.177+40.302+0+40+160+100+300)</f>
        <v>5.7508476409565219</v>
      </c>
      <c r="AC99" s="27">
        <f>(M99*'RAP TEMPLATE-GAS AVAILABILITY'!O98+N99*'RAP TEMPLATE-GAS AVAILABILITY'!P98+O99*'RAP TEMPLATE-GAS AVAILABILITY'!Q98+P99*'RAP TEMPLATE-GAS AVAILABILITY'!R98)/('RAP TEMPLATE-GAS AVAILABILITY'!O98+'RAP TEMPLATE-GAS AVAILABILITY'!P98+'RAP TEMPLATE-GAS AVAILABILITY'!Q98+'RAP TEMPLATE-GAS AVAILABILITY'!R98)</f>
        <v>5.7331294964028778</v>
      </c>
    </row>
    <row r="100" spans="1:29" ht="15.75" x14ac:dyDescent="0.25">
      <c r="A100" s="16">
        <v>43922</v>
      </c>
      <c r="B100" s="10">
        <f>CHOOSE(CONTROL!$C$42, 5.732, 5.732) * CHOOSE(CONTROL!$C$21, $C$9, 100%, $E$9)</f>
        <v>5.7320000000000002</v>
      </c>
      <c r="C100" s="10">
        <f>CHOOSE(CONTROL!$C$42, 5.7364, 5.7364) * CHOOSE(CONTROL!$C$21, $C$9, 100%, $E$9)</f>
        <v>5.7363999999999997</v>
      </c>
      <c r="D100" s="10">
        <f>CHOOSE(CONTROL!$C$42, 5.932, 5.932) * CHOOSE(CONTROL!$C$21, $C$9, 100%, $E$9)</f>
        <v>5.9320000000000004</v>
      </c>
      <c r="E100" s="10">
        <f>CHOOSE(CONTROL!$C$42, 5.9637, 5.9637) * CHOOSE(CONTROL!$C$21, $C$9, 100%, $E$9)</f>
        <v>5.9637000000000002</v>
      </c>
      <c r="F100" s="10">
        <f>CHOOSE(CONTROL!$C$42, 5.6998, 5.6998)*CHOOSE(CONTROL!$C$21, $C$9, 100%, $E$9)</f>
        <v>5.6997999999999998</v>
      </c>
      <c r="G100" s="10">
        <f>CHOOSE(CONTROL!$C$42, 5.7166, 5.7166)*CHOOSE(CONTROL!$C$21, $C$9, 100%, $E$9)</f>
        <v>5.7165999999999997</v>
      </c>
      <c r="H100" s="10">
        <f>CHOOSE(CONTROL!$C$42, 5.9535, 5.9535) * CHOOSE(CONTROL!$C$21, $C$9, 100%, $E$9)</f>
        <v>5.9535</v>
      </c>
      <c r="I100" s="10">
        <f>CHOOSE(CONTROL!$C$42, 5.7, 5.7)* CHOOSE(CONTROL!$C$21, $C$9, 100%, $E$9)</f>
        <v>5.7</v>
      </c>
      <c r="J100" s="10">
        <f>CHOOSE(CONTROL!$C$42, 5.6928, 5.6928)* CHOOSE(CONTROL!$C$21, $C$9, 100%, $E$9)</f>
        <v>5.6928000000000001</v>
      </c>
      <c r="K100" s="54">
        <f>CHOOSE(CONTROL!$C$42, 5.6961, 5.6961) * CHOOSE(CONTROL!$C$21, $C$9, 100%, $E$9)</f>
        <v>5.6961000000000004</v>
      </c>
      <c r="L100" s="10">
        <f>CHOOSE(CONTROL!$C$42, 6.5405, 6.5405) * CHOOSE(CONTROL!$C$21, $C$9, 100%, $E$9)</f>
        <v>6.5404999999999998</v>
      </c>
      <c r="M100" s="10">
        <f>CHOOSE(CONTROL!$C$42, 5.6492, 5.6492) * CHOOSE(CONTROL!$C$21, $C$9, 100%, $E$9)</f>
        <v>5.6492000000000004</v>
      </c>
      <c r="N100" s="10">
        <f>CHOOSE(CONTROL!$C$42, 5.6658, 5.6658) * CHOOSE(CONTROL!$C$21, $C$9, 100%, $E$9)</f>
        <v>5.6657999999999999</v>
      </c>
      <c r="O100" s="10">
        <f>CHOOSE(CONTROL!$C$42, 5.9073, 5.9073) * CHOOSE(CONTROL!$C$21, $C$9, 100%, $E$9)</f>
        <v>5.9073000000000002</v>
      </c>
      <c r="P100" s="10">
        <f>CHOOSE(CONTROL!$C$42, 5.6563, 5.6563) * CHOOSE(CONTROL!$C$21, $C$9, 100%, $E$9)</f>
        <v>5.6562999999999999</v>
      </c>
      <c r="Q100" s="10">
        <f>CHOOSE(CONTROL!$C$42, 6.5026, 6.5026) * CHOOSE(CONTROL!$C$21, $C$9, 100%, $E$9)</f>
        <v>6.5026000000000002</v>
      </c>
      <c r="R100" s="10">
        <f>CHOOSE(CONTROL!$C$42, 7.1058, 7.1058) * CHOOSE(CONTROL!$C$21, $C$9, 100%, $E$9)</f>
        <v>7.1058000000000003</v>
      </c>
      <c r="S100" s="10">
        <f>CHOOSE(CONTROL!$C$42, 5.5635, 5.5635) * CHOOSE(CONTROL!$C$21, $C$9, 100%, $E$9)</f>
        <v>5.5635000000000003</v>
      </c>
      <c r="T100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00" s="58">
        <f>(1000*CHOOSE(CONTROL!$C$42, 695, 695)*CHOOSE(CONTROL!$C$42, 0.5599, 0.5599)*CHOOSE(CONTROL!$C$42, 30, 30))/1000000</f>
        <v>11.673914999999997</v>
      </c>
      <c r="V100" s="58">
        <f>(1000*CHOOSE(CONTROL!$C$42, 500, 500)*CHOOSE(CONTROL!$C$42, 0.275, 0.275)*CHOOSE(CONTROL!$C$42, 30, 30))/1000000</f>
        <v>4.125</v>
      </c>
      <c r="W100" s="58">
        <f>(1000*CHOOSE(CONTROL!$C$42, 0.1146, 0.1146)*CHOOSE(CONTROL!$C$42, 121.5, 121.5)*CHOOSE(CONTROL!$C$42, 30, 30))/1000000</f>
        <v>0.417717</v>
      </c>
      <c r="X100" s="58">
        <f>(30*0.1790888*245000/1000000)+(30*0.2374*100000/1000000)</f>
        <v>2.0285026799999999</v>
      </c>
      <c r="Y100" s="58"/>
      <c r="Z100" s="10"/>
      <c r="AA100" s="57"/>
      <c r="AB100" s="51">
        <f>(B100*141.293+C100*267.993+D100*115.016+E100*89.698+F100*40+G100*185+H100*0+I100*100+J100*300)/(141.293+267.993+115.016+89.698+0+40+185+100+300)</f>
        <v>5.7528784469733658</v>
      </c>
      <c r="AC100" s="27">
        <f>(M100*'RAP TEMPLATE-GAS AVAILABILITY'!O99+N100*'RAP TEMPLATE-GAS AVAILABILITY'!P99+O100*'RAP TEMPLATE-GAS AVAILABILITY'!Q99+P100*'RAP TEMPLATE-GAS AVAILABILITY'!R99)/('RAP TEMPLATE-GAS AVAILABILITY'!O99+'RAP TEMPLATE-GAS AVAILABILITY'!P99+'RAP TEMPLATE-GAS AVAILABILITY'!Q99+'RAP TEMPLATE-GAS AVAILABILITY'!R99)</f>
        <v>5.7264597122302163</v>
      </c>
    </row>
    <row r="101" spans="1:29" ht="15.75" x14ac:dyDescent="0.25">
      <c r="A101" s="16">
        <v>43952</v>
      </c>
      <c r="B101" s="10">
        <f>CHOOSE(CONTROL!$C$42, 5.784, 5.784) * CHOOSE(CONTROL!$C$21, $C$9, 100%, $E$9)</f>
        <v>5.7839999999999998</v>
      </c>
      <c r="C101" s="10">
        <f>CHOOSE(CONTROL!$C$42, 5.7919, 5.7919) * CHOOSE(CONTROL!$C$21, $C$9, 100%, $E$9)</f>
        <v>5.7919</v>
      </c>
      <c r="D101" s="10">
        <f>CHOOSE(CONTROL!$C$42, 5.9843, 5.9843) * CHOOSE(CONTROL!$C$21, $C$9, 100%, $E$9)</f>
        <v>5.9843000000000002</v>
      </c>
      <c r="E101" s="10">
        <f>CHOOSE(CONTROL!$C$42, 6.0154, 6.0154) * CHOOSE(CONTROL!$C$21, $C$9, 100%, $E$9)</f>
        <v>6.0153999999999996</v>
      </c>
      <c r="F101" s="10">
        <f>CHOOSE(CONTROL!$C$42, 5.7502, 5.7502)*CHOOSE(CONTROL!$C$21, $C$9, 100%, $E$9)</f>
        <v>5.7502000000000004</v>
      </c>
      <c r="G101" s="10">
        <f>CHOOSE(CONTROL!$C$42, 5.7673, 5.7673)*CHOOSE(CONTROL!$C$21, $C$9, 100%, $E$9)</f>
        <v>5.7672999999999996</v>
      </c>
      <c r="H101" s="10">
        <f>CHOOSE(CONTROL!$C$42, 6.0041, 6.0041) * CHOOSE(CONTROL!$C$21, $C$9, 100%, $E$9)</f>
        <v>6.0041000000000002</v>
      </c>
      <c r="I101" s="10">
        <f>CHOOSE(CONTROL!$C$42, 5.7505, 5.7505)* CHOOSE(CONTROL!$C$21, $C$9, 100%, $E$9)</f>
        <v>5.7504999999999997</v>
      </c>
      <c r="J101" s="10">
        <f>CHOOSE(CONTROL!$C$42, 5.7432, 5.7432)* CHOOSE(CONTROL!$C$21, $C$9, 100%, $E$9)</f>
        <v>5.7431999999999999</v>
      </c>
      <c r="K101" s="54">
        <f>CHOOSE(CONTROL!$C$42, 5.7466, 5.7466) * CHOOSE(CONTROL!$C$21, $C$9, 100%, $E$9)</f>
        <v>5.7465999999999999</v>
      </c>
      <c r="L101" s="10">
        <f>CHOOSE(CONTROL!$C$42, 6.5911, 6.5911) * CHOOSE(CONTROL!$C$21, $C$9, 100%, $E$9)</f>
        <v>6.5911</v>
      </c>
      <c r="M101" s="10">
        <f>CHOOSE(CONTROL!$C$42, 5.6991, 5.6991) * CHOOSE(CONTROL!$C$21, $C$9, 100%, $E$9)</f>
        <v>5.6990999999999996</v>
      </c>
      <c r="N101" s="10">
        <f>CHOOSE(CONTROL!$C$42, 5.716, 5.716) * CHOOSE(CONTROL!$C$21, $C$9, 100%, $E$9)</f>
        <v>5.7160000000000002</v>
      </c>
      <c r="O101" s="10">
        <f>CHOOSE(CONTROL!$C$42, 5.9573, 5.9573) * CHOOSE(CONTROL!$C$21, $C$9, 100%, $E$9)</f>
        <v>5.9573</v>
      </c>
      <c r="P101" s="10">
        <f>CHOOSE(CONTROL!$C$42, 5.7064, 5.7064) * CHOOSE(CONTROL!$C$21, $C$9, 100%, $E$9)</f>
        <v>5.7064000000000004</v>
      </c>
      <c r="Q101" s="10">
        <f>CHOOSE(CONTROL!$C$42, 6.5526, 6.5526) * CHOOSE(CONTROL!$C$21, $C$9, 100%, $E$9)</f>
        <v>6.5526</v>
      </c>
      <c r="R101" s="10">
        <f>CHOOSE(CONTROL!$C$42, 7.156, 7.156) * CHOOSE(CONTROL!$C$21, $C$9, 100%, $E$9)</f>
        <v>7.1559999999999997</v>
      </c>
      <c r="S101" s="10">
        <f>CHOOSE(CONTROL!$C$42, 5.6125, 5.6125) * CHOOSE(CONTROL!$C$21, $C$9, 100%, $E$9)</f>
        <v>5.6124999999999998</v>
      </c>
      <c r="T101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01" s="58">
        <f>(1000*CHOOSE(CONTROL!$C$42, 695, 695)*CHOOSE(CONTROL!$C$42, 0.5599, 0.5599)*CHOOSE(CONTROL!$C$42, 31, 31))/1000000</f>
        <v>12.063045499999998</v>
      </c>
      <c r="V101" s="58">
        <f>(1000*CHOOSE(CONTROL!$C$42, 500, 500)*CHOOSE(CONTROL!$C$42, 0.275, 0.275)*CHOOSE(CONTROL!$C$42, 31, 31))/1000000</f>
        <v>4.2625000000000002</v>
      </c>
      <c r="W101" s="58">
        <f>(1000*CHOOSE(CONTROL!$C$42, 0.1146, 0.1146)*CHOOSE(CONTROL!$C$42, 121.5, 121.5)*CHOOSE(CONTROL!$C$42, 31, 31))/1000000</f>
        <v>0.43164089999999994</v>
      </c>
      <c r="X101" s="58">
        <f>(31*0.1790888*245000/1000000)+(31*0.2374*100000/1000000)</f>
        <v>2.0961194359999999</v>
      </c>
      <c r="Y101" s="58"/>
      <c r="Z101" s="10"/>
      <c r="AA101" s="57"/>
      <c r="AB101" s="51">
        <f>(B101*194.205+C101*267.466+D101*133.845+E101*53.484+F101*40+G101*185+H101*0+I101*100+J101*300)/(194.205+267.466+133.845+53.484+0+40+185+100+300)</f>
        <v>5.8006929611459972</v>
      </c>
      <c r="AC101" s="27">
        <f>(M101*'RAP TEMPLATE-GAS AVAILABILITY'!O100+N101*'RAP TEMPLATE-GAS AVAILABILITY'!P100+O101*'RAP TEMPLATE-GAS AVAILABILITY'!Q100+P101*'RAP TEMPLATE-GAS AVAILABILITY'!R100)/('RAP TEMPLATE-GAS AVAILABILITY'!O100+'RAP TEMPLATE-GAS AVAILABILITY'!P100+'RAP TEMPLATE-GAS AVAILABILITY'!Q100+'RAP TEMPLATE-GAS AVAILABILITY'!R100)</f>
        <v>5.7764856115107914</v>
      </c>
    </row>
    <row r="102" spans="1:29" ht="15.75" x14ac:dyDescent="0.25">
      <c r="A102" s="16">
        <v>43983</v>
      </c>
      <c r="B102" s="10">
        <f>CHOOSE(CONTROL!$C$42, 5.9479, 5.9479) * CHOOSE(CONTROL!$C$21, $C$9, 100%, $E$9)</f>
        <v>5.9478999999999997</v>
      </c>
      <c r="C102" s="10">
        <f>CHOOSE(CONTROL!$C$42, 5.9558, 5.9558) * CHOOSE(CONTROL!$C$21, $C$9, 100%, $E$9)</f>
        <v>5.9558</v>
      </c>
      <c r="D102" s="10">
        <f>CHOOSE(CONTROL!$C$42, 6.1482, 6.1482) * CHOOSE(CONTROL!$C$21, $C$9, 100%, $E$9)</f>
        <v>6.1482000000000001</v>
      </c>
      <c r="E102" s="10">
        <f>CHOOSE(CONTROL!$C$42, 6.1794, 6.1794) * CHOOSE(CONTROL!$C$21, $C$9, 100%, $E$9)</f>
        <v>6.1794000000000002</v>
      </c>
      <c r="F102" s="10">
        <f>CHOOSE(CONTROL!$C$42, 5.9144, 5.9144)*CHOOSE(CONTROL!$C$21, $C$9, 100%, $E$9)</f>
        <v>5.9143999999999997</v>
      </c>
      <c r="G102" s="10">
        <f>CHOOSE(CONTROL!$C$42, 5.9315, 5.9315)*CHOOSE(CONTROL!$C$21, $C$9, 100%, $E$9)</f>
        <v>5.9314999999999998</v>
      </c>
      <c r="H102" s="10">
        <f>CHOOSE(CONTROL!$C$42, 6.168, 6.168) * CHOOSE(CONTROL!$C$21, $C$9, 100%, $E$9)</f>
        <v>6.1680000000000001</v>
      </c>
      <c r="I102" s="10">
        <f>CHOOSE(CONTROL!$C$42, 5.9144, 5.9144)* CHOOSE(CONTROL!$C$21, $C$9, 100%, $E$9)</f>
        <v>5.9143999999999997</v>
      </c>
      <c r="J102" s="10">
        <f>CHOOSE(CONTROL!$C$42, 5.9074, 5.9074)* CHOOSE(CONTROL!$C$21, $C$9, 100%, $E$9)</f>
        <v>5.9074</v>
      </c>
      <c r="K102" s="54">
        <f>CHOOSE(CONTROL!$C$42, 5.9105, 5.9105) * CHOOSE(CONTROL!$C$21, $C$9, 100%, $E$9)</f>
        <v>5.9104999999999999</v>
      </c>
      <c r="L102" s="10">
        <f>CHOOSE(CONTROL!$C$42, 6.755, 6.755) * CHOOSE(CONTROL!$C$21, $C$9, 100%, $E$9)</f>
        <v>6.7549999999999999</v>
      </c>
      <c r="M102" s="10">
        <f>CHOOSE(CONTROL!$C$42, 5.8616, 5.8616) * CHOOSE(CONTROL!$C$21, $C$9, 100%, $E$9)</f>
        <v>5.8616000000000001</v>
      </c>
      <c r="N102" s="10">
        <f>CHOOSE(CONTROL!$C$42, 5.8786, 5.8786) * CHOOSE(CONTROL!$C$21, $C$9, 100%, $E$9)</f>
        <v>5.8785999999999996</v>
      </c>
      <c r="O102" s="10">
        <f>CHOOSE(CONTROL!$C$42, 6.1196, 6.1196) * CHOOSE(CONTROL!$C$21, $C$9, 100%, $E$9)</f>
        <v>6.1196000000000002</v>
      </c>
      <c r="P102" s="10">
        <f>CHOOSE(CONTROL!$C$42, 5.8686, 5.8686) * CHOOSE(CONTROL!$C$21, $C$9, 100%, $E$9)</f>
        <v>5.8685999999999998</v>
      </c>
      <c r="Q102" s="10">
        <f>CHOOSE(CONTROL!$C$42, 6.7149, 6.7149) * CHOOSE(CONTROL!$C$21, $C$9, 100%, $E$9)</f>
        <v>6.7149000000000001</v>
      </c>
      <c r="R102" s="10">
        <f>CHOOSE(CONTROL!$C$42, 7.3187, 7.3187) * CHOOSE(CONTROL!$C$21, $C$9, 100%, $E$9)</f>
        <v>7.3186999999999998</v>
      </c>
      <c r="S102" s="10">
        <f>CHOOSE(CONTROL!$C$42, 5.7717, 5.7717) * CHOOSE(CONTROL!$C$21, $C$9, 100%, $E$9)</f>
        <v>5.7717000000000001</v>
      </c>
      <c r="T102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02" s="58">
        <f>(1000*CHOOSE(CONTROL!$C$42, 695, 695)*CHOOSE(CONTROL!$C$42, 0.5599, 0.5599)*CHOOSE(CONTROL!$C$42, 30, 30))/1000000</f>
        <v>11.673914999999997</v>
      </c>
      <c r="V102" s="58">
        <f>(1000*CHOOSE(CONTROL!$C$42, 500, 500)*CHOOSE(CONTROL!$C$42, 0.275, 0.275)*CHOOSE(CONTROL!$C$42, 30, 30))/1000000</f>
        <v>4.125</v>
      </c>
      <c r="W102" s="58">
        <f>(1000*CHOOSE(CONTROL!$C$42, 0.1146, 0.1146)*CHOOSE(CONTROL!$C$42, 121.5, 121.5)*CHOOSE(CONTROL!$C$42, 30, 30))/1000000</f>
        <v>0.417717</v>
      </c>
      <c r="X102" s="58">
        <f>(30*0.1790888*245000/1000000)+(30*0.2374*100000/1000000)</f>
        <v>2.0285026799999999</v>
      </c>
      <c r="Y102" s="58"/>
      <c r="Z102" s="10"/>
      <c r="AA102" s="57"/>
      <c r="AB102" s="51">
        <f>(B102*194.205+C102*267.466+D102*133.845+E102*53.484+F102*40+G102*185+H102*0+I102*100+J102*300)/(194.205+267.466+133.845+53.484+0+40+185+100+300)</f>
        <v>5.9647207856357927</v>
      </c>
      <c r="AC102" s="27">
        <f>(M102*'RAP TEMPLATE-GAS AVAILABILITY'!O101+N102*'RAP TEMPLATE-GAS AVAILABILITY'!P101+O102*'RAP TEMPLATE-GAS AVAILABILITY'!Q101+P102*'RAP TEMPLATE-GAS AVAILABILITY'!R101)/('RAP TEMPLATE-GAS AVAILABILITY'!O101+'RAP TEMPLATE-GAS AVAILABILITY'!P101+'RAP TEMPLATE-GAS AVAILABILITY'!Q101+'RAP TEMPLATE-GAS AVAILABILITY'!R101)</f>
        <v>5.9389093525179861</v>
      </c>
    </row>
    <row r="103" spans="1:29" ht="15.75" x14ac:dyDescent="0.25">
      <c r="A103" s="16">
        <v>44013</v>
      </c>
      <c r="B103" s="10">
        <f>CHOOSE(CONTROL!$C$42, 5.8339, 5.8339) * CHOOSE(CONTROL!$C$21, $C$9, 100%, $E$9)</f>
        <v>5.8338999999999999</v>
      </c>
      <c r="C103" s="10">
        <f>CHOOSE(CONTROL!$C$42, 5.8418, 5.8418) * CHOOSE(CONTROL!$C$21, $C$9, 100%, $E$9)</f>
        <v>5.8418000000000001</v>
      </c>
      <c r="D103" s="10">
        <f>CHOOSE(CONTROL!$C$42, 6.0342, 6.0342) * CHOOSE(CONTROL!$C$21, $C$9, 100%, $E$9)</f>
        <v>6.0342000000000002</v>
      </c>
      <c r="E103" s="10">
        <f>CHOOSE(CONTROL!$C$42, 6.0654, 6.0654) * CHOOSE(CONTROL!$C$21, $C$9, 100%, $E$9)</f>
        <v>6.0654000000000003</v>
      </c>
      <c r="F103" s="10">
        <f>CHOOSE(CONTROL!$C$42, 5.8008, 5.8008)*CHOOSE(CONTROL!$C$21, $C$9, 100%, $E$9)</f>
        <v>5.8007999999999997</v>
      </c>
      <c r="G103" s="10">
        <f>CHOOSE(CONTROL!$C$42, 5.818, 5.818)*CHOOSE(CONTROL!$C$21, $C$9, 100%, $E$9)</f>
        <v>5.8179999999999996</v>
      </c>
      <c r="H103" s="10">
        <f>CHOOSE(CONTROL!$C$42, 6.054, 6.054) * CHOOSE(CONTROL!$C$21, $C$9, 100%, $E$9)</f>
        <v>6.0540000000000003</v>
      </c>
      <c r="I103" s="10">
        <f>CHOOSE(CONTROL!$C$42, 5.8004, 5.8004)* CHOOSE(CONTROL!$C$21, $C$9, 100%, $E$9)</f>
        <v>5.8003999999999998</v>
      </c>
      <c r="J103" s="10">
        <f>CHOOSE(CONTROL!$C$42, 5.7938, 5.7938)* CHOOSE(CONTROL!$C$21, $C$9, 100%, $E$9)</f>
        <v>5.7938000000000001</v>
      </c>
      <c r="K103" s="54">
        <f>CHOOSE(CONTROL!$C$42, 5.7965, 5.7965) * CHOOSE(CONTROL!$C$21, $C$9, 100%, $E$9)</f>
        <v>5.7965</v>
      </c>
      <c r="L103" s="10">
        <f>CHOOSE(CONTROL!$C$42, 6.641, 6.641) * CHOOSE(CONTROL!$C$21, $C$9, 100%, $E$9)</f>
        <v>6.641</v>
      </c>
      <c r="M103" s="10">
        <f>CHOOSE(CONTROL!$C$42, 5.7491, 5.7491) * CHOOSE(CONTROL!$C$21, $C$9, 100%, $E$9)</f>
        <v>5.7491000000000003</v>
      </c>
      <c r="N103" s="10">
        <f>CHOOSE(CONTROL!$C$42, 5.7662, 5.7662) * CHOOSE(CONTROL!$C$21, $C$9, 100%, $E$9)</f>
        <v>5.7662000000000004</v>
      </c>
      <c r="O103" s="10">
        <f>CHOOSE(CONTROL!$C$42, 6.0067, 6.0067) * CHOOSE(CONTROL!$C$21, $C$9, 100%, $E$9)</f>
        <v>6.0067000000000004</v>
      </c>
      <c r="P103" s="10">
        <f>CHOOSE(CONTROL!$C$42, 5.7558, 5.7558) * CHOOSE(CONTROL!$C$21, $C$9, 100%, $E$9)</f>
        <v>5.7557999999999998</v>
      </c>
      <c r="Q103" s="10">
        <f>CHOOSE(CONTROL!$C$42, 6.602, 6.602) * CHOOSE(CONTROL!$C$21, $C$9, 100%, $E$9)</f>
        <v>6.6020000000000003</v>
      </c>
      <c r="R103" s="10">
        <f>CHOOSE(CONTROL!$C$42, 7.2055, 7.2055) * CHOOSE(CONTROL!$C$21, $C$9, 100%, $E$9)</f>
        <v>7.2054999999999998</v>
      </c>
      <c r="S103" s="10">
        <f>CHOOSE(CONTROL!$C$42, 5.661, 5.661) * CHOOSE(CONTROL!$C$21, $C$9, 100%, $E$9)</f>
        <v>5.6609999999999996</v>
      </c>
      <c r="T103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03" s="58">
        <f>(1000*CHOOSE(CONTROL!$C$42, 695, 695)*CHOOSE(CONTROL!$C$42, 0.5599, 0.5599)*CHOOSE(CONTROL!$C$42, 31, 31))/1000000</f>
        <v>12.063045499999998</v>
      </c>
      <c r="V103" s="58">
        <f>(1000*CHOOSE(CONTROL!$C$42, 500, 500)*CHOOSE(CONTROL!$C$42, 0.275, 0.275)*CHOOSE(CONTROL!$C$42, 31, 31))/1000000</f>
        <v>4.2625000000000002</v>
      </c>
      <c r="W103" s="58">
        <f>(1000*CHOOSE(CONTROL!$C$42, 0.1146, 0.1146)*CHOOSE(CONTROL!$C$42, 121.5, 121.5)*CHOOSE(CONTROL!$C$42, 31, 31))/1000000</f>
        <v>0.43164089999999994</v>
      </c>
      <c r="X103" s="58">
        <f>(31*0.1790888*245000/1000000)+(31*0.2374*100000/1000000)</f>
        <v>2.0961194359999999</v>
      </c>
      <c r="Y103" s="58"/>
      <c r="Z103" s="10"/>
      <c r="AA103" s="57"/>
      <c r="AB103" s="51">
        <f>(B103*194.205+C103*267.466+D103*133.845+E103*53.484+F103*40+G103*185+H103*0+I103*100+J103*300)/(194.205+267.466+133.845+53.484+0+40+185+100+300)</f>
        <v>5.850900141993721</v>
      </c>
      <c r="AC103" s="27">
        <f>(M103*'RAP TEMPLATE-GAS AVAILABILITY'!O102+N103*'RAP TEMPLATE-GAS AVAILABILITY'!P102+O103*'RAP TEMPLATE-GAS AVAILABILITY'!Q102+P103*'RAP TEMPLATE-GAS AVAILABILITY'!R102)/('RAP TEMPLATE-GAS AVAILABILITY'!O102+'RAP TEMPLATE-GAS AVAILABILITY'!P102+'RAP TEMPLATE-GAS AVAILABILITY'!Q102+'RAP TEMPLATE-GAS AVAILABILITY'!R102)</f>
        <v>5.8262769784172663</v>
      </c>
    </row>
    <row r="104" spans="1:29" ht="15.75" x14ac:dyDescent="0.25">
      <c r="A104" s="16">
        <v>44044</v>
      </c>
      <c r="B104" s="10">
        <f>CHOOSE(CONTROL!$C$42, 5.546, 5.546) * CHOOSE(CONTROL!$C$21, $C$9, 100%, $E$9)</f>
        <v>5.5460000000000003</v>
      </c>
      <c r="C104" s="10">
        <f>CHOOSE(CONTROL!$C$42, 5.5539, 5.5539) * CHOOSE(CONTROL!$C$21, $C$9, 100%, $E$9)</f>
        <v>5.5538999999999996</v>
      </c>
      <c r="D104" s="10">
        <f>CHOOSE(CONTROL!$C$42, 5.7463, 5.7463) * CHOOSE(CONTROL!$C$21, $C$9, 100%, $E$9)</f>
        <v>5.7462999999999997</v>
      </c>
      <c r="E104" s="10">
        <f>CHOOSE(CONTROL!$C$42, 5.7775, 5.7775) * CHOOSE(CONTROL!$C$21, $C$9, 100%, $E$9)</f>
        <v>5.7774999999999999</v>
      </c>
      <c r="F104" s="10">
        <f>CHOOSE(CONTROL!$C$42, 5.513, 5.513)*CHOOSE(CONTROL!$C$21, $C$9, 100%, $E$9)</f>
        <v>5.5129999999999999</v>
      </c>
      <c r="G104" s="10">
        <f>CHOOSE(CONTROL!$C$42, 5.5304, 5.5304)*CHOOSE(CONTROL!$C$21, $C$9, 100%, $E$9)</f>
        <v>5.5304000000000002</v>
      </c>
      <c r="H104" s="10">
        <f>CHOOSE(CONTROL!$C$42, 5.7661, 5.7661) * CHOOSE(CONTROL!$C$21, $C$9, 100%, $E$9)</f>
        <v>5.7660999999999998</v>
      </c>
      <c r="I104" s="10">
        <f>CHOOSE(CONTROL!$C$42, 5.5125, 5.5125)* CHOOSE(CONTROL!$C$21, $C$9, 100%, $E$9)</f>
        <v>5.5125000000000002</v>
      </c>
      <c r="J104" s="10">
        <f>CHOOSE(CONTROL!$C$42, 5.506, 5.506)* CHOOSE(CONTROL!$C$21, $C$9, 100%, $E$9)</f>
        <v>5.5060000000000002</v>
      </c>
      <c r="K104" s="54">
        <f>CHOOSE(CONTROL!$C$42, 5.5087, 5.5087) * CHOOSE(CONTROL!$C$21, $C$9, 100%, $E$9)</f>
        <v>5.5087000000000002</v>
      </c>
      <c r="L104" s="10">
        <f>CHOOSE(CONTROL!$C$42, 6.3531, 6.3531) * CHOOSE(CONTROL!$C$21, $C$9, 100%, $E$9)</f>
        <v>6.3531000000000004</v>
      </c>
      <c r="M104" s="10">
        <f>CHOOSE(CONTROL!$C$42, 5.4643, 5.4643) * CHOOSE(CONTROL!$C$21, $C$9, 100%, $E$9)</f>
        <v>5.4642999999999997</v>
      </c>
      <c r="N104" s="10">
        <f>CHOOSE(CONTROL!$C$42, 5.4815, 5.4815) * CHOOSE(CONTROL!$C$21, $C$9, 100%, $E$9)</f>
        <v>5.4814999999999996</v>
      </c>
      <c r="O104" s="10">
        <f>CHOOSE(CONTROL!$C$42, 5.7217, 5.7217) * CHOOSE(CONTROL!$C$21, $C$9, 100%, $E$9)</f>
        <v>5.7217000000000002</v>
      </c>
      <c r="P104" s="10">
        <f>CHOOSE(CONTROL!$C$42, 5.4708, 5.4708) * CHOOSE(CONTROL!$C$21, $C$9, 100%, $E$9)</f>
        <v>5.4707999999999997</v>
      </c>
      <c r="Q104" s="10">
        <f>CHOOSE(CONTROL!$C$42, 6.317, 6.317) * CHOOSE(CONTROL!$C$21, $C$9, 100%, $E$9)</f>
        <v>6.3170000000000002</v>
      </c>
      <c r="R104" s="10">
        <f>CHOOSE(CONTROL!$C$42, 6.9198, 6.9198) * CHOOSE(CONTROL!$C$21, $C$9, 100%, $E$9)</f>
        <v>6.9198000000000004</v>
      </c>
      <c r="S104" s="10">
        <f>CHOOSE(CONTROL!$C$42, 5.3814, 5.3814) * CHOOSE(CONTROL!$C$21, $C$9, 100%, $E$9)</f>
        <v>5.3814000000000002</v>
      </c>
      <c r="T104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04" s="58">
        <f>(1000*CHOOSE(CONTROL!$C$42, 695, 695)*CHOOSE(CONTROL!$C$42, 0.5599, 0.5599)*CHOOSE(CONTROL!$C$42, 31, 31))/1000000</f>
        <v>12.063045499999998</v>
      </c>
      <c r="V104" s="58">
        <f>(1000*CHOOSE(CONTROL!$C$42, 500, 500)*CHOOSE(CONTROL!$C$42, 0.275, 0.275)*CHOOSE(CONTROL!$C$42, 31, 31))/1000000</f>
        <v>4.2625000000000002</v>
      </c>
      <c r="W104" s="58">
        <f>(1000*CHOOSE(CONTROL!$C$42, 0.1146, 0.1146)*CHOOSE(CONTROL!$C$42, 121.5, 121.5)*CHOOSE(CONTROL!$C$42, 31, 31))/1000000</f>
        <v>0.43164089999999994</v>
      </c>
      <c r="X104" s="58">
        <f>(31*0.1790888*245000/1000000)+(31*0.2374*100000/1000000)</f>
        <v>2.0961194359999999</v>
      </c>
      <c r="Y104" s="58"/>
      <c r="Z104" s="10"/>
      <c r="AA104" s="57"/>
      <c r="AB104" s="51">
        <f>(B104*194.205+C104*267.466+D104*133.845+E104*53.484+F104*40+G104*185+H104*0+I104*100+J104*300)/(194.205+267.466+133.845+53.484+0+40+185+100+300)</f>
        <v>5.563070393171115</v>
      </c>
      <c r="AC104" s="27">
        <f>(M104*'RAP TEMPLATE-GAS AVAILABILITY'!O103+N104*'RAP TEMPLATE-GAS AVAILABILITY'!P103+O104*'RAP TEMPLATE-GAS AVAILABILITY'!Q103+P104*'RAP TEMPLATE-GAS AVAILABILITY'!R103)/('RAP TEMPLATE-GAS AVAILABILITY'!O103+'RAP TEMPLATE-GAS AVAILABILITY'!P103+'RAP TEMPLATE-GAS AVAILABILITY'!Q103+'RAP TEMPLATE-GAS AVAILABILITY'!R103)</f>
        <v>5.541415107913668</v>
      </c>
    </row>
    <row r="105" spans="1:29" ht="15.75" x14ac:dyDescent="0.25">
      <c r="A105" s="16">
        <v>44075</v>
      </c>
      <c r="B105" s="10">
        <f>CHOOSE(CONTROL!$C$42, 5.1938, 5.1938) * CHOOSE(CONTROL!$C$21, $C$9, 100%, $E$9)</f>
        <v>5.1938000000000004</v>
      </c>
      <c r="C105" s="10">
        <f>CHOOSE(CONTROL!$C$42, 5.2018, 5.2018) * CHOOSE(CONTROL!$C$21, $C$9, 100%, $E$9)</f>
        <v>5.2018000000000004</v>
      </c>
      <c r="D105" s="10">
        <f>CHOOSE(CONTROL!$C$42, 5.3942, 5.3942) * CHOOSE(CONTROL!$C$21, $C$9, 100%, $E$9)</f>
        <v>5.3941999999999997</v>
      </c>
      <c r="E105" s="10">
        <f>CHOOSE(CONTROL!$C$42, 5.4253, 5.4253) * CHOOSE(CONTROL!$C$21, $C$9, 100%, $E$9)</f>
        <v>5.4253</v>
      </c>
      <c r="F105" s="10">
        <f>CHOOSE(CONTROL!$C$42, 5.1607, 5.1607)*CHOOSE(CONTROL!$C$21, $C$9, 100%, $E$9)</f>
        <v>5.1607000000000003</v>
      </c>
      <c r="G105" s="10">
        <f>CHOOSE(CONTROL!$C$42, 5.178, 5.178)*CHOOSE(CONTROL!$C$21, $C$9, 100%, $E$9)</f>
        <v>5.1779999999999999</v>
      </c>
      <c r="H105" s="10">
        <f>CHOOSE(CONTROL!$C$42, 5.414, 5.414) * CHOOSE(CONTROL!$C$21, $C$9, 100%, $E$9)</f>
        <v>5.4139999999999997</v>
      </c>
      <c r="I105" s="10">
        <f>CHOOSE(CONTROL!$C$42, 5.1604, 5.1604)* CHOOSE(CONTROL!$C$21, $C$9, 100%, $E$9)</f>
        <v>5.1604000000000001</v>
      </c>
      <c r="J105" s="10">
        <f>CHOOSE(CONTROL!$C$42, 5.1537, 5.1537)* CHOOSE(CONTROL!$C$21, $C$9, 100%, $E$9)</f>
        <v>5.1536999999999997</v>
      </c>
      <c r="K105" s="54">
        <f>CHOOSE(CONTROL!$C$42, 5.1565, 5.1565) * CHOOSE(CONTROL!$C$21, $C$9, 100%, $E$9)</f>
        <v>5.1565000000000003</v>
      </c>
      <c r="L105" s="10">
        <f>CHOOSE(CONTROL!$C$42, 6.001, 6.001) * CHOOSE(CONTROL!$C$21, $C$9, 100%, $E$9)</f>
        <v>6.0010000000000003</v>
      </c>
      <c r="M105" s="10">
        <f>CHOOSE(CONTROL!$C$42, 5.1156, 5.1156) * CHOOSE(CONTROL!$C$21, $C$9, 100%, $E$9)</f>
        <v>5.1155999999999997</v>
      </c>
      <c r="N105" s="10">
        <f>CHOOSE(CONTROL!$C$42, 5.1327, 5.1327) * CHOOSE(CONTROL!$C$21, $C$9, 100%, $E$9)</f>
        <v>5.1326999999999998</v>
      </c>
      <c r="O105" s="10">
        <f>CHOOSE(CONTROL!$C$42, 5.3731, 5.3731) * CHOOSE(CONTROL!$C$21, $C$9, 100%, $E$9)</f>
        <v>5.3731</v>
      </c>
      <c r="P105" s="10">
        <f>CHOOSE(CONTROL!$C$42, 5.1222, 5.1222) * CHOOSE(CONTROL!$C$21, $C$9, 100%, $E$9)</f>
        <v>5.1222000000000003</v>
      </c>
      <c r="Q105" s="10">
        <f>CHOOSE(CONTROL!$C$42, 5.9684, 5.9684) * CHOOSE(CONTROL!$C$21, $C$9, 100%, $E$9)</f>
        <v>5.9683999999999999</v>
      </c>
      <c r="R105" s="10">
        <f>CHOOSE(CONTROL!$C$42, 6.5704, 6.5704) * CHOOSE(CONTROL!$C$21, $C$9, 100%, $E$9)</f>
        <v>6.5704000000000002</v>
      </c>
      <c r="S105" s="10">
        <f>CHOOSE(CONTROL!$C$42, 5.0395, 5.0395) * CHOOSE(CONTROL!$C$21, $C$9, 100%, $E$9)</f>
        <v>5.0395000000000003</v>
      </c>
      <c r="T105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05" s="58">
        <f>(1000*CHOOSE(CONTROL!$C$42, 695, 695)*CHOOSE(CONTROL!$C$42, 0.5599, 0.5599)*CHOOSE(CONTROL!$C$42, 30, 30))/1000000</f>
        <v>11.673914999999997</v>
      </c>
      <c r="V105" s="58">
        <f>(1000*CHOOSE(CONTROL!$C$42, 500, 500)*CHOOSE(CONTROL!$C$42, 0.275, 0.275)*CHOOSE(CONTROL!$C$42, 30, 30))/1000000</f>
        <v>4.125</v>
      </c>
      <c r="W105" s="58">
        <f>(1000*CHOOSE(CONTROL!$C$42, 0.1146, 0.1146)*CHOOSE(CONTROL!$C$42, 121.5, 121.5)*CHOOSE(CONTROL!$C$42, 30, 30))/1000000</f>
        <v>0.417717</v>
      </c>
      <c r="X105" s="58">
        <f>(30*0.1790888*245000/1000000)+(30*0.2374*100000/1000000)</f>
        <v>2.0285026799999999</v>
      </c>
      <c r="Y105" s="58"/>
      <c r="Z105" s="10"/>
      <c r="AA105" s="57"/>
      <c r="AB105" s="51">
        <f>(B105*194.205+C105*267.466+D105*133.845+E105*53.484+F105*40+G105*185+H105*0+I105*100+J105*300)/(194.205+267.466+133.845+53.484+0+40+185+100+300)</f>
        <v>5.2108540125588698</v>
      </c>
      <c r="AC105" s="27">
        <f>(M105*'RAP TEMPLATE-GAS AVAILABILITY'!O104+N105*'RAP TEMPLATE-GAS AVAILABILITY'!P104+O105*'RAP TEMPLATE-GAS AVAILABILITY'!Q104+P105*'RAP TEMPLATE-GAS AVAILABILITY'!R104)/('RAP TEMPLATE-GAS AVAILABILITY'!O104+'RAP TEMPLATE-GAS AVAILABILITY'!P104+'RAP TEMPLATE-GAS AVAILABILITY'!Q104+'RAP TEMPLATE-GAS AVAILABILITY'!R104)</f>
        <v>5.192734532374101</v>
      </c>
    </row>
    <row r="106" spans="1:29" ht="15.75" x14ac:dyDescent="0.25">
      <c r="A106" s="16">
        <v>44105</v>
      </c>
      <c r="B106" s="10">
        <f>CHOOSE(CONTROL!$C$42, 5.0867, 5.0867) * CHOOSE(CONTROL!$C$21, $C$9, 100%, $E$9)</f>
        <v>5.0867000000000004</v>
      </c>
      <c r="C106" s="10">
        <f>CHOOSE(CONTROL!$C$42, 5.0919, 5.0919) * CHOOSE(CONTROL!$C$21, $C$9, 100%, $E$9)</f>
        <v>5.0918999999999999</v>
      </c>
      <c r="D106" s="10">
        <f>CHOOSE(CONTROL!$C$42, 5.2893, 5.2893) * CHOOSE(CONTROL!$C$21, $C$9, 100%, $E$9)</f>
        <v>5.2892999999999999</v>
      </c>
      <c r="E106" s="10">
        <f>CHOOSE(CONTROL!$C$42, 5.3181, 5.3181) * CHOOSE(CONTROL!$C$21, $C$9, 100%, $E$9)</f>
        <v>5.3181000000000003</v>
      </c>
      <c r="F106" s="10">
        <f>CHOOSE(CONTROL!$C$42, 5.0556, 5.0556)*CHOOSE(CONTROL!$C$21, $C$9, 100%, $E$9)</f>
        <v>5.0556000000000001</v>
      </c>
      <c r="G106" s="10">
        <f>CHOOSE(CONTROL!$C$42, 5.0726, 5.0726)*CHOOSE(CONTROL!$C$21, $C$9, 100%, $E$9)</f>
        <v>5.0726000000000004</v>
      </c>
      <c r="H106" s="10">
        <f>CHOOSE(CONTROL!$C$42, 5.3086, 5.3086) * CHOOSE(CONTROL!$C$21, $C$9, 100%, $E$9)</f>
        <v>5.3086000000000002</v>
      </c>
      <c r="I106" s="10">
        <f>CHOOSE(CONTROL!$C$42, 5.0551, 5.0551)* CHOOSE(CONTROL!$C$21, $C$9, 100%, $E$9)</f>
        <v>5.0551000000000004</v>
      </c>
      <c r="J106" s="10">
        <f>CHOOSE(CONTROL!$C$42, 5.0486, 5.0486)* CHOOSE(CONTROL!$C$21, $C$9, 100%, $E$9)</f>
        <v>5.0486000000000004</v>
      </c>
      <c r="K106" s="54">
        <f>CHOOSE(CONTROL!$C$42, 5.0512, 5.0512) * CHOOSE(CONTROL!$C$21, $C$9, 100%, $E$9)</f>
        <v>5.0511999999999997</v>
      </c>
      <c r="L106" s="10">
        <f>CHOOSE(CONTROL!$C$42, 5.8956, 5.8956) * CHOOSE(CONTROL!$C$21, $C$9, 100%, $E$9)</f>
        <v>5.8956</v>
      </c>
      <c r="M106" s="10">
        <f>CHOOSE(CONTROL!$C$42, 5.0115, 5.0115) * CHOOSE(CONTROL!$C$21, $C$9, 100%, $E$9)</f>
        <v>5.0114999999999998</v>
      </c>
      <c r="N106" s="10">
        <f>CHOOSE(CONTROL!$C$42, 5.0283, 5.0283) * CHOOSE(CONTROL!$C$21, $C$9, 100%, $E$9)</f>
        <v>5.0282999999999998</v>
      </c>
      <c r="O106" s="10">
        <f>CHOOSE(CONTROL!$C$42, 5.2689, 5.2689) * CHOOSE(CONTROL!$C$21, $C$9, 100%, $E$9)</f>
        <v>5.2689000000000004</v>
      </c>
      <c r="P106" s="10">
        <f>CHOOSE(CONTROL!$C$42, 5.0179, 5.0179) * CHOOSE(CONTROL!$C$21, $C$9, 100%, $E$9)</f>
        <v>5.0179</v>
      </c>
      <c r="Q106" s="10">
        <f>CHOOSE(CONTROL!$C$42, 5.8642, 5.8642) * CHOOSE(CONTROL!$C$21, $C$9, 100%, $E$9)</f>
        <v>5.8642000000000003</v>
      </c>
      <c r="R106" s="10">
        <f>CHOOSE(CONTROL!$C$42, 6.4658, 6.4658) * CHOOSE(CONTROL!$C$21, $C$9, 100%, $E$9)</f>
        <v>6.4657999999999998</v>
      </c>
      <c r="S106" s="10">
        <f>CHOOSE(CONTROL!$C$42, 4.9372, 4.9372) * CHOOSE(CONTROL!$C$21, $C$9, 100%, $E$9)</f>
        <v>4.9371999999999998</v>
      </c>
      <c r="T106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06" s="58">
        <f>(1000*CHOOSE(CONTROL!$C$42, 695, 695)*CHOOSE(CONTROL!$C$42, 0.5599, 0.5599)*CHOOSE(CONTROL!$C$42, 31, 31))/1000000</f>
        <v>12.063045499999998</v>
      </c>
      <c r="V106" s="58">
        <f>(1000*CHOOSE(CONTROL!$C$42, 500, 500)*CHOOSE(CONTROL!$C$42, 0.275, 0.275)*CHOOSE(CONTROL!$C$42, 31, 31))/1000000</f>
        <v>4.2625000000000002</v>
      </c>
      <c r="W106" s="58">
        <f>(1000*CHOOSE(CONTROL!$C$42, 0.1146, 0.1146)*CHOOSE(CONTROL!$C$42, 121.5, 121.5)*CHOOSE(CONTROL!$C$42, 31, 31))/1000000</f>
        <v>0.43164089999999994</v>
      </c>
      <c r="X106" s="58">
        <f>(31*0.1790888*245000/1000000)+(31*0.2374*100000/1000000)</f>
        <v>2.0961194359999999</v>
      </c>
      <c r="Y106" s="58"/>
      <c r="Z106" s="10"/>
      <c r="AA106" s="57"/>
      <c r="AB106" s="51">
        <f>(B106*131.881+C106*277.167+D106*79.08+E106*125.872+F106*40+G106*185+H106*0+I106*100+J106*300)/(131.881+277.167+79.08+125.872+0+40+185+100+300)</f>
        <v>5.1094176410008076</v>
      </c>
      <c r="AC106" s="27">
        <f>(M106*'RAP TEMPLATE-GAS AVAILABILITY'!O105+N106*'RAP TEMPLATE-GAS AVAILABILITY'!P105+O106*'RAP TEMPLATE-GAS AVAILABILITY'!Q105+P106*'RAP TEMPLATE-GAS AVAILABILITY'!R105)/('RAP TEMPLATE-GAS AVAILABILITY'!O105+'RAP TEMPLATE-GAS AVAILABILITY'!P105+'RAP TEMPLATE-GAS AVAILABILITY'!Q105+'RAP TEMPLATE-GAS AVAILABILITY'!R105)</f>
        <v>5.0885086330935252</v>
      </c>
    </row>
    <row r="107" spans="1:29" ht="15.75" x14ac:dyDescent="0.25">
      <c r="A107" s="16">
        <v>44136</v>
      </c>
      <c r="B107" s="10">
        <f>CHOOSE(CONTROL!$C$42, 5.2202, 5.2202) * CHOOSE(CONTROL!$C$21, $C$9, 100%, $E$9)</f>
        <v>5.2202000000000002</v>
      </c>
      <c r="C107" s="10">
        <f>CHOOSE(CONTROL!$C$42, 5.2252, 5.2252) * CHOOSE(CONTROL!$C$21, $C$9, 100%, $E$9)</f>
        <v>5.2252000000000001</v>
      </c>
      <c r="D107" s="10">
        <f>CHOOSE(CONTROL!$C$42, 5.2548, 5.2548) * CHOOSE(CONTROL!$C$21, $C$9, 100%, $E$9)</f>
        <v>5.2548000000000004</v>
      </c>
      <c r="E107" s="10">
        <f>CHOOSE(CONTROL!$C$42, 5.2886, 5.2886) * CHOOSE(CONTROL!$C$21, $C$9, 100%, $E$9)</f>
        <v>5.2885999999999997</v>
      </c>
      <c r="F107" s="10">
        <f>CHOOSE(CONTROL!$C$42, 5.187, 5.187)*CHOOSE(CONTROL!$C$21, $C$9, 100%, $E$9)</f>
        <v>5.1870000000000003</v>
      </c>
      <c r="G107" s="10">
        <f>CHOOSE(CONTROL!$C$42, 5.2041, 5.2041)*CHOOSE(CONTROL!$C$21, $C$9, 100%, $E$9)</f>
        <v>5.2041000000000004</v>
      </c>
      <c r="H107" s="10">
        <f>CHOOSE(CONTROL!$C$42, 5.2778, 5.2778) * CHOOSE(CONTROL!$C$21, $C$9, 100%, $E$9)</f>
        <v>5.2778</v>
      </c>
      <c r="I107" s="10">
        <f>CHOOSE(CONTROL!$C$42, 5.1838, 5.1838)* CHOOSE(CONTROL!$C$21, $C$9, 100%, $E$9)</f>
        <v>5.1837999999999997</v>
      </c>
      <c r="J107" s="10">
        <f>CHOOSE(CONTROL!$C$42, 5.18, 5.18)* CHOOSE(CONTROL!$C$21, $C$9, 100%, $E$9)</f>
        <v>5.18</v>
      </c>
      <c r="K107" s="54">
        <f>CHOOSE(CONTROL!$C$42, 5.1799, 5.1799) * CHOOSE(CONTROL!$C$21, $C$9, 100%, $E$9)</f>
        <v>5.1798999999999999</v>
      </c>
      <c r="L107" s="10">
        <f>CHOOSE(CONTROL!$C$42, 5.8648, 5.8648) * CHOOSE(CONTROL!$C$21, $C$9, 100%, $E$9)</f>
        <v>5.8647999999999998</v>
      </c>
      <c r="M107" s="10">
        <f>CHOOSE(CONTROL!$C$42, 5.1416, 5.1416) * CHOOSE(CONTROL!$C$21, $C$9, 100%, $E$9)</f>
        <v>5.1416000000000004</v>
      </c>
      <c r="N107" s="10">
        <f>CHOOSE(CONTROL!$C$42, 5.1585, 5.1585) * CHOOSE(CONTROL!$C$21, $C$9, 100%, $E$9)</f>
        <v>5.1585000000000001</v>
      </c>
      <c r="O107" s="10">
        <f>CHOOSE(CONTROL!$C$42, 5.2383, 5.2383) * CHOOSE(CONTROL!$C$21, $C$9, 100%, $E$9)</f>
        <v>5.2382999999999997</v>
      </c>
      <c r="P107" s="10">
        <f>CHOOSE(CONTROL!$C$42, 5.1454, 5.1454) * CHOOSE(CONTROL!$C$21, $C$9, 100%, $E$9)</f>
        <v>5.1454000000000004</v>
      </c>
      <c r="Q107" s="10">
        <f>CHOOSE(CONTROL!$C$42, 5.8336, 5.8336) * CHOOSE(CONTROL!$C$21, $C$9, 100%, $E$9)</f>
        <v>5.8335999999999997</v>
      </c>
      <c r="R107" s="10">
        <f>CHOOSE(CONTROL!$C$42, 6.4352, 6.4352) * CHOOSE(CONTROL!$C$21, $C$9, 100%, $E$9)</f>
        <v>6.4352</v>
      </c>
      <c r="S107" s="10">
        <f>CHOOSE(CONTROL!$C$42, 5.0672, 5.0672) * CHOOSE(CONTROL!$C$21, $C$9, 100%, $E$9)</f>
        <v>5.0671999999999997</v>
      </c>
      <c r="T107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07" s="58">
        <f>(1000*CHOOSE(CONTROL!$C$42, 695, 695)*CHOOSE(CONTROL!$C$42, 0.5599, 0.5599)*CHOOSE(CONTROL!$C$42, 30, 30))/1000000</f>
        <v>11.673914999999997</v>
      </c>
      <c r="V107" s="58">
        <f>(1000*CHOOSE(CONTROL!$C$42, 500, 500)*CHOOSE(CONTROL!$C$42, 0.275, 0.275)*CHOOSE(CONTROL!$C$42, 30, 30))/1000000</f>
        <v>4.125</v>
      </c>
      <c r="W107" s="58">
        <f>(1000*CHOOSE(CONTROL!$C$42, 0.1146, 0.1146)*CHOOSE(CONTROL!$C$42, 121.5, 121.5)*CHOOSE(CONTROL!$C$42, 30, 30))/1000000</f>
        <v>0.417717</v>
      </c>
      <c r="X107" s="58">
        <f>(30*0.1790888*100000/1000000)+(30*0.2374*100000/1000000)</f>
        <v>1.2494664</v>
      </c>
      <c r="Y107" s="58"/>
      <c r="Z107" s="10"/>
      <c r="AA107" s="57"/>
      <c r="AB107" s="51">
        <f>(B107*122.58+C107*297.941+D107*89.177+E107*40.302+F107*40+G107*160+H107*0+I107*100+J107*300)/(122.58+297.941+89.177+40.302+0+40+160+100+300)</f>
        <v>5.2095285965217393</v>
      </c>
      <c r="AC107" s="27">
        <f>(M107*'RAP TEMPLATE-GAS AVAILABILITY'!O106+N107*'RAP TEMPLATE-GAS AVAILABILITY'!P106+O107*'RAP TEMPLATE-GAS AVAILABILITY'!Q106+P107*'RAP TEMPLATE-GAS AVAILABILITY'!R106)/('RAP TEMPLATE-GAS AVAILABILITY'!O106+'RAP TEMPLATE-GAS AVAILABILITY'!P106+'RAP TEMPLATE-GAS AVAILABILITY'!Q106+'RAP TEMPLATE-GAS AVAILABILITY'!R106)</f>
        <v>5.1869474820143884</v>
      </c>
    </row>
    <row r="108" spans="1:29" ht="15.75" x14ac:dyDescent="0.25">
      <c r="A108" s="16">
        <v>44166</v>
      </c>
      <c r="B108" s="10">
        <f>CHOOSE(CONTROL!$C$42, 5.5759, 5.5759) * CHOOSE(CONTROL!$C$21, $C$9, 100%, $E$9)</f>
        <v>5.5758999999999999</v>
      </c>
      <c r="C108" s="10">
        <f>CHOOSE(CONTROL!$C$42, 5.5809, 5.5809) * CHOOSE(CONTROL!$C$21, $C$9, 100%, $E$9)</f>
        <v>5.5808999999999997</v>
      </c>
      <c r="D108" s="10">
        <f>CHOOSE(CONTROL!$C$42, 5.6105, 5.6105) * CHOOSE(CONTROL!$C$21, $C$9, 100%, $E$9)</f>
        <v>5.6105</v>
      </c>
      <c r="E108" s="10">
        <f>CHOOSE(CONTROL!$C$42, 5.6443, 5.6443) * CHOOSE(CONTROL!$C$21, $C$9, 100%, $E$9)</f>
        <v>5.6443000000000003</v>
      </c>
      <c r="F108" s="10">
        <f>CHOOSE(CONTROL!$C$42, 5.5441, 5.5441)*CHOOSE(CONTROL!$C$21, $C$9, 100%, $E$9)</f>
        <v>5.5441000000000003</v>
      </c>
      <c r="G108" s="10">
        <f>CHOOSE(CONTROL!$C$42, 5.5616, 5.5616)*CHOOSE(CONTROL!$C$21, $C$9, 100%, $E$9)</f>
        <v>5.5616000000000003</v>
      </c>
      <c r="H108" s="10">
        <f>CHOOSE(CONTROL!$C$42, 5.6335, 5.6335) * CHOOSE(CONTROL!$C$21, $C$9, 100%, $E$9)</f>
        <v>5.6334999999999997</v>
      </c>
      <c r="I108" s="10">
        <f>CHOOSE(CONTROL!$C$42, 5.5395, 5.5395)* CHOOSE(CONTROL!$C$21, $C$9, 100%, $E$9)</f>
        <v>5.5395000000000003</v>
      </c>
      <c r="J108" s="10">
        <f>CHOOSE(CONTROL!$C$42, 5.5371, 5.5371)* CHOOSE(CONTROL!$C$21, $C$9, 100%, $E$9)</f>
        <v>5.5370999999999997</v>
      </c>
      <c r="K108" s="54">
        <f>CHOOSE(CONTROL!$C$42, 5.5356, 5.5356) * CHOOSE(CONTROL!$C$21, $C$9, 100%, $E$9)</f>
        <v>5.5355999999999996</v>
      </c>
      <c r="L108" s="10">
        <f>CHOOSE(CONTROL!$C$42, 6.2205, 6.2205) * CHOOSE(CONTROL!$C$21, $C$9, 100%, $E$9)</f>
        <v>6.2205000000000004</v>
      </c>
      <c r="M108" s="10">
        <f>CHOOSE(CONTROL!$C$42, 5.4951, 5.4951) * CHOOSE(CONTROL!$C$21, $C$9, 100%, $E$9)</f>
        <v>5.4950999999999999</v>
      </c>
      <c r="N108" s="10">
        <f>CHOOSE(CONTROL!$C$42, 5.5124, 5.5124) * CHOOSE(CONTROL!$C$21, $C$9, 100%, $E$9)</f>
        <v>5.5124000000000004</v>
      </c>
      <c r="O108" s="10">
        <f>CHOOSE(CONTROL!$C$42, 5.5904, 5.5904) * CHOOSE(CONTROL!$C$21, $C$9, 100%, $E$9)</f>
        <v>5.5903999999999998</v>
      </c>
      <c r="P108" s="10">
        <f>CHOOSE(CONTROL!$C$42, 5.4975, 5.4975) * CHOOSE(CONTROL!$C$21, $C$9, 100%, $E$9)</f>
        <v>5.4974999999999996</v>
      </c>
      <c r="Q108" s="10">
        <f>CHOOSE(CONTROL!$C$42, 6.1857, 6.1857) * CHOOSE(CONTROL!$C$21, $C$9, 100%, $E$9)</f>
        <v>6.1856999999999998</v>
      </c>
      <c r="R108" s="10">
        <f>CHOOSE(CONTROL!$C$42, 6.7882, 6.7882) * CHOOSE(CONTROL!$C$21, $C$9, 100%, $E$9)</f>
        <v>6.7881999999999998</v>
      </c>
      <c r="S108" s="10">
        <f>CHOOSE(CONTROL!$C$42, 5.4127, 5.4127) * CHOOSE(CONTROL!$C$21, $C$9, 100%, $E$9)</f>
        <v>5.4127000000000001</v>
      </c>
      <c r="T108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08" s="58">
        <f>(1000*CHOOSE(CONTROL!$C$42, 695, 695)*CHOOSE(CONTROL!$C$42, 0.5599, 0.5599)*CHOOSE(CONTROL!$C$42, 31, 31))/1000000</f>
        <v>12.063045499999998</v>
      </c>
      <c r="V108" s="58">
        <f>(1000*CHOOSE(CONTROL!$C$42, 500, 500)*CHOOSE(CONTROL!$C$42, 0.275, 0.275)*CHOOSE(CONTROL!$C$42, 31, 31))/1000000</f>
        <v>4.2625000000000002</v>
      </c>
      <c r="W108" s="58">
        <f>(1000*CHOOSE(CONTROL!$C$42, 0.1146, 0.1146)*CHOOSE(CONTROL!$C$42, 121.5, 121.5)*CHOOSE(CONTROL!$C$42, 31, 31))/1000000</f>
        <v>0.43164089999999994</v>
      </c>
      <c r="X108" s="58">
        <f>(31*0.1790888*100000/1000000)+(31*0.2374*100000/1000000)</f>
        <v>1.2911152800000001</v>
      </c>
      <c r="Y108" s="58"/>
      <c r="Z108" s="10"/>
      <c r="AA108" s="57"/>
      <c r="AB108" s="51">
        <f>(B108*122.58+C108*297.941+D108*89.177+E108*40.302+F108*40+G108*160+H108*0+I108*100+J108*300)/(122.58+297.941+89.177+40.302+0+40+160+100+300)</f>
        <v>5.5658929443478256</v>
      </c>
      <c r="AC108" s="27">
        <f>(M108*'RAP TEMPLATE-GAS AVAILABILITY'!O107+N108*'RAP TEMPLATE-GAS AVAILABILITY'!P107+O108*'RAP TEMPLATE-GAS AVAILABILITY'!Q107+P108*'RAP TEMPLATE-GAS AVAILABILITY'!R107)/('RAP TEMPLATE-GAS AVAILABILITY'!O107+'RAP TEMPLATE-GAS AVAILABILITY'!P107+'RAP TEMPLATE-GAS AVAILABILITY'!Q107+'RAP TEMPLATE-GAS AVAILABILITY'!R107)</f>
        <v>5.5396345323741008</v>
      </c>
    </row>
    <row r="109" spans="1:29" ht="15.75" x14ac:dyDescent="0.25">
      <c r="A109" s="16">
        <v>44197</v>
      </c>
      <c r="B109" s="10">
        <f>CHOOSE(CONTROL!$C$42, 6.0257, 6.0257) * CHOOSE(CONTROL!$C$21, $C$9, 100%, $E$9)</f>
        <v>6.0256999999999996</v>
      </c>
      <c r="C109" s="10">
        <f>CHOOSE(CONTROL!$C$42, 6.0306, 6.0306) * CHOOSE(CONTROL!$C$21, $C$9, 100%, $E$9)</f>
        <v>6.0305999999999997</v>
      </c>
      <c r="D109" s="10">
        <f>CHOOSE(CONTROL!$C$42, 6.0808, 6.0808) * CHOOSE(CONTROL!$C$21, $C$9, 100%, $E$9)</f>
        <v>6.0808</v>
      </c>
      <c r="E109" s="10">
        <f>CHOOSE(CONTROL!$C$42, 6.1146, 6.1146) * CHOOSE(CONTROL!$C$21, $C$9, 100%, $E$9)</f>
        <v>6.1146000000000003</v>
      </c>
      <c r="F109" s="10">
        <f>CHOOSE(CONTROL!$C$42, 5.991, 5.991)*CHOOSE(CONTROL!$C$21, $C$9, 100%, $E$9)</f>
        <v>5.9909999999999997</v>
      </c>
      <c r="G109" s="10">
        <f>CHOOSE(CONTROL!$C$42, 6.0086, 6.0086)*CHOOSE(CONTROL!$C$21, $C$9, 100%, $E$9)</f>
        <v>6.0086000000000004</v>
      </c>
      <c r="H109" s="10">
        <f>CHOOSE(CONTROL!$C$42, 6.1038, 6.1038) * CHOOSE(CONTROL!$C$21, $C$9, 100%, $E$9)</f>
        <v>6.1037999999999997</v>
      </c>
      <c r="I109" s="10">
        <f>CHOOSE(CONTROL!$C$42, 5.9996, 5.9996)* CHOOSE(CONTROL!$C$21, $C$9, 100%, $E$9)</f>
        <v>5.9996</v>
      </c>
      <c r="J109" s="10">
        <f>CHOOSE(CONTROL!$C$42, 5.984, 5.984)* CHOOSE(CONTROL!$C$21, $C$9, 100%, $E$9)</f>
        <v>5.984</v>
      </c>
      <c r="K109" s="54">
        <f>CHOOSE(CONTROL!$C$42, 5.9957, 5.9957) * CHOOSE(CONTROL!$C$21, $C$9, 100%, $E$9)</f>
        <v>5.9957000000000003</v>
      </c>
      <c r="L109" s="10">
        <f>CHOOSE(CONTROL!$C$42, 6.6908, 6.6908) * CHOOSE(CONTROL!$C$21, $C$9, 100%, $E$9)</f>
        <v>6.6908000000000003</v>
      </c>
      <c r="M109" s="10">
        <f>CHOOSE(CONTROL!$C$42, 5.9375, 5.9375) * CHOOSE(CONTROL!$C$21, $C$9, 100%, $E$9)</f>
        <v>5.9375</v>
      </c>
      <c r="N109" s="10">
        <f>CHOOSE(CONTROL!$C$42, 5.9549, 5.9549) * CHOOSE(CONTROL!$C$21, $C$9, 100%, $E$9)</f>
        <v>5.9549000000000003</v>
      </c>
      <c r="O109" s="10">
        <f>CHOOSE(CONTROL!$C$42, 6.056, 6.056) * CHOOSE(CONTROL!$C$21, $C$9, 100%, $E$9)</f>
        <v>6.056</v>
      </c>
      <c r="P109" s="10">
        <f>CHOOSE(CONTROL!$C$42, 5.9529, 5.9529) * CHOOSE(CONTROL!$C$21, $C$9, 100%, $E$9)</f>
        <v>5.9528999999999996</v>
      </c>
      <c r="Q109" s="10">
        <f>CHOOSE(CONTROL!$C$42, 6.6513, 6.6513) * CHOOSE(CONTROL!$C$21, $C$9, 100%, $E$9)</f>
        <v>6.6513</v>
      </c>
      <c r="R109" s="10">
        <f>CHOOSE(CONTROL!$C$42, 7.255, 7.255) * CHOOSE(CONTROL!$C$21, $C$9, 100%, $E$9)</f>
        <v>7.2549999999999999</v>
      </c>
      <c r="S109" s="10">
        <f>CHOOSE(CONTROL!$C$42, 5.8494, 5.8494) * CHOOSE(CONTROL!$C$21, $C$9, 100%, $E$9)</f>
        <v>5.8494000000000002</v>
      </c>
      <c r="T109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09" s="58">
        <f>(1000*CHOOSE(CONTROL!$C$42, 695, 695)*CHOOSE(CONTROL!$C$42, 0.5599, 0.5599)*CHOOSE(CONTROL!$C$42, 31, 31))/1000000</f>
        <v>12.063045499999998</v>
      </c>
      <c r="V109" s="58">
        <f>(1000*CHOOSE(CONTROL!$C$42, 500, 500)*CHOOSE(CONTROL!$C$42, 0.275, 0.275)*CHOOSE(CONTROL!$C$42, 31, 31))/1000000</f>
        <v>4.2625000000000002</v>
      </c>
      <c r="W109" s="58">
        <f>(1000*CHOOSE(CONTROL!$C$42, 0.1146, 0.1146)*CHOOSE(CONTROL!$C$42, 121.5, 121.5)*CHOOSE(CONTROL!$C$42, 31, 31))/1000000</f>
        <v>0.43164089999999994</v>
      </c>
      <c r="X109" s="58">
        <f>(31*0.1790888*100000/1000000)+(31*0.2374*100000/1000000)</f>
        <v>1.2911152800000001</v>
      </c>
      <c r="Y109" s="58"/>
      <c r="Z109" s="10"/>
      <c r="AA109" s="57"/>
      <c r="AB109" s="51">
        <f>(B109*122.58+C109*297.941+D109*89.177+E109*40.302+F109*40+G109*160+H109*0+I109*100+J109*300)/(122.58+297.941+89.177+40.302+0+40+160+100+300)</f>
        <v>6.0176238360000003</v>
      </c>
      <c r="AC109" s="27">
        <f>(M109*'RAP TEMPLATE-GAS AVAILABILITY'!O108+N109*'RAP TEMPLATE-GAS AVAILABILITY'!P108+O109*'RAP TEMPLATE-GAS AVAILABILITY'!Q108+P109*'RAP TEMPLATE-GAS AVAILABILITY'!R108)/('RAP TEMPLATE-GAS AVAILABILITY'!O108+'RAP TEMPLATE-GAS AVAILABILITY'!P108+'RAP TEMPLATE-GAS AVAILABILITY'!Q108+'RAP TEMPLATE-GAS AVAILABILITY'!R108)</f>
        <v>5.9944258992805759</v>
      </c>
    </row>
    <row r="110" spans="1:29" ht="15.75" x14ac:dyDescent="0.25">
      <c r="A110" s="16">
        <v>44228</v>
      </c>
      <c r="B110" s="10">
        <f>CHOOSE(CONTROL!$C$42, 6.1329, 6.1329) * CHOOSE(CONTROL!$C$21, $C$9, 100%, $E$9)</f>
        <v>6.1329000000000002</v>
      </c>
      <c r="C110" s="10">
        <f>CHOOSE(CONTROL!$C$42, 6.1378, 6.1378) * CHOOSE(CONTROL!$C$21, $C$9, 100%, $E$9)</f>
        <v>6.1378000000000004</v>
      </c>
      <c r="D110" s="10">
        <f>CHOOSE(CONTROL!$C$42, 6.1983, 6.1983) * CHOOSE(CONTROL!$C$21, $C$9, 100%, $E$9)</f>
        <v>6.1982999999999997</v>
      </c>
      <c r="E110" s="10">
        <f>CHOOSE(CONTROL!$C$42, 6.2321, 6.2321) * CHOOSE(CONTROL!$C$21, $C$9, 100%, $E$9)</f>
        <v>6.2321</v>
      </c>
      <c r="F110" s="10">
        <f>CHOOSE(CONTROL!$C$42, 6.1261, 6.1261)*CHOOSE(CONTROL!$C$21, $C$9, 100%, $E$9)</f>
        <v>6.1261000000000001</v>
      </c>
      <c r="G110" s="10">
        <f>CHOOSE(CONTROL!$C$42, 6.1434, 6.1434)*CHOOSE(CONTROL!$C$21, $C$9, 100%, $E$9)</f>
        <v>6.1433999999999997</v>
      </c>
      <c r="H110" s="10">
        <f>CHOOSE(CONTROL!$C$42, 6.2213, 6.2213) * CHOOSE(CONTROL!$C$21, $C$9, 100%, $E$9)</f>
        <v>6.2213000000000003</v>
      </c>
      <c r="I110" s="10">
        <f>CHOOSE(CONTROL!$C$42, 6.1197, 6.1197)* CHOOSE(CONTROL!$C$21, $C$9, 100%, $E$9)</f>
        <v>6.1196999999999999</v>
      </c>
      <c r="J110" s="10">
        <f>CHOOSE(CONTROL!$C$42, 6.1191, 6.1191)* CHOOSE(CONTROL!$C$21, $C$9, 100%, $E$9)</f>
        <v>6.1191000000000004</v>
      </c>
      <c r="K110" s="54">
        <f>CHOOSE(CONTROL!$C$42, 6.1158, 6.1158) * CHOOSE(CONTROL!$C$21, $C$9, 100%, $E$9)</f>
        <v>6.1158000000000001</v>
      </c>
      <c r="L110" s="10">
        <f>CHOOSE(CONTROL!$C$42, 6.8083, 6.8083) * CHOOSE(CONTROL!$C$21, $C$9, 100%, $E$9)</f>
        <v>6.8083</v>
      </c>
      <c r="M110" s="10">
        <f>CHOOSE(CONTROL!$C$42, 6.0712, 6.0712) * CHOOSE(CONTROL!$C$21, $C$9, 100%, $E$9)</f>
        <v>6.0712000000000002</v>
      </c>
      <c r="N110" s="10">
        <f>CHOOSE(CONTROL!$C$42, 6.0883, 6.0883) * CHOOSE(CONTROL!$C$21, $C$9, 100%, $E$9)</f>
        <v>6.0883000000000003</v>
      </c>
      <c r="O110" s="10">
        <f>CHOOSE(CONTROL!$C$42, 6.1724, 6.1724) * CHOOSE(CONTROL!$C$21, $C$9, 100%, $E$9)</f>
        <v>6.1723999999999997</v>
      </c>
      <c r="P110" s="10">
        <f>CHOOSE(CONTROL!$C$42, 6.0718, 6.0718) * CHOOSE(CONTROL!$C$21, $C$9, 100%, $E$9)</f>
        <v>6.0717999999999996</v>
      </c>
      <c r="Q110" s="10">
        <f>CHOOSE(CONTROL!$C$42, 6.7677, 6.7677) * CHOOSE(CONTROL!$C$21, $C$9, 100%, $E$9)</f>
        <v>6.7676999999999996</v>
      </c>
      <c r="R110" s="10">
        <f>CHOOSE(CONTROL!$C$42, 7.3716, 7.3716) * CHOOSE(CONTROL!$C$21, $C$9, 100%, $E$9)</f>
        <v>7.3715999999999999</v>
      </c>
      <c r="S110" s="10">
        <f>CHOOSE(CONTROL!$C$42, 5.9535, 5.9535) * CHOOSE(CONTROL!$C$21, $C$9, 100%, $E$9)</f>
        <v>5.9535</v>
      </c>
      <c r="T110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110" s="58">
        <f>(1000*CHOOSE(CONTROL!$C$42, 695, 695)*CHOOSE(CONTROL!$C$42, 0.5599, 0.5599)*CHOOSE(CONTROL!$C$42, 28, 28))/1000000</f>
        <v>10.895653999999999</v>
      </c>
      <c r="V110" s="58">
        <f>(1000*CHOOSE(CONTROL!$C$42, 500, 500)*CHOOSE(CONTROL!$C$42, 0.275, 0.275)*CHOOSE(CONTROL!$C$42, 28, 28))/1000000</f>
        <v>3.85</v>
      </c>
      <c r="W110" s="58">
        <f>(1000*CHOOSE(CONTROL!$C$42, 0.1146, 0.1146)*CHOOSE(CONTROL!$C$42, 121.5, 121.5)*CHOOSE(CONTROL!$C$42, 28, 28))/1000000</f>
        <v>0.38986920000000003</v>
      </c>
      <c r="X110" s="58">
        <f>(28*0.1790888*100000/1000000)+(28*0.2374*100000/1000000)</f>
        <v>1.16616864</v>
      </c>
      <c r="Y110" s="58"/>
      <c r="Z110" s="10"/>
      <c r="AA110" s="57"/>
      <c r="AB110" s="51">
        <f>(B110*122.58+C110*297.941+D110*89.177+E110*40.302+F110*40+G110*160+H110*0+I110*100+J110*300)/(122.58+297.941+89.177+40.302+0+40+160+100+300)</f>
        <v>6.1391939522608698</v>
      </c>
      <c r="AC110" s="27">
        <f>(M110*'RAP TEMPLATE-GAS AVAILABILITY'!O109+N110*'RAP TEMPLATE-GAS AVAILABILITY'!P109+O110*'RAP TEMPLATE-GAS AVAILABILITY'!Q109+P110*'RAP TEMPLATE-GAS AVAILABILITY'!R109)/('RAP TEMPLATE-GAS AVAILABILITY'!O109+'RAP TEMPLATE-GAS AVAILABILITY'!P109+'RAP TEMPLATE-GAS AVAILABILITY'!Q109+'RAP TEMPLATE-GAS AVAILABILITY'!R109)</f>
        <v>6.1181381294964021</v>
      </c>
    </row>
    <row r="111" spans="1:29" ht="15.75" x14ac:dyDescent="0.25">
      <c r="A111" s="16">
        <v>44256</v>
      </c>
      <c r="B111" s="10">
        <f>CHOOSE(CONTROL!$C$42, 5.9589, 5.9589) * CHOOSE(CONTROL!$C$21, $C$9, 100%, $E$9)</f>
        <v>5.9588999999999999</v>
      </c>
      <c r="C111" s="10">
        <f>CHOOSE(CONTROL!$C$42, 5.9638, 5.9638) * CHOOSE(CONTROL!$C$21, $C$9, 100%, $E$9)</f>
        <v>5.9638</v>
      </c>
      <c r="D111" s="10">
        <f>CHOOSE(CONTROL!$C$42, 6.0243, 6.0243) * CHOOSE(CONTROL!$C$21, $C$9, 100%, $E$9)</f>
        <v>6.0243000000000002</v>
      </c>
      <c r="E111" s="10">
        <f>CHOOSE(CONTROL!$C$42, 6.0581, 6.0581) * CHOOSE(CONTROL!$C$21, $C$9, 100%, $E$9)</f>
        <v>6.0580999999999996</v>
      </c>
      <c r="F111" s="10">
        <f>CHOOSE(CONTROL!$C$42, 5.9466, 5.9466)*CHOOSE(CONTROL!$C$21, $C$9, 100%, $E$9)</f>
        <v>5.9466000000000001</v>
      </c>
      <c r="G111" s="10">
        <f>CHOOSE(CONTROL!$C$42, 5.9638, 5.9638)*CHOOSE(CONTROL!$C$21, $C$9, 100%, $E$9)</f>
        <v>5.9638</v>
      </c>
      <c r="H111" s="10">
        <f>CHOOSE(CONTROL!$C$42, 6.0473, 6.0473) * CHOOSE(CONTROL!$C$21, $C$9, 100%, $E$9)</f>
        <v>6.0472999999999999</v>
      </c>
      <c r="I111" s="10">
        <f>CHOOSE(CONTROL!$C$42, 5.9328, 5.9328)* CHOOSE(CONTROL!$C$21, $C$9, 100%, $E$9)</f>
        <v>5.9328000000000003</v>
      </c>
      <c r="J111" s="10">
        <f>CHOOSE(CONTROL!$C$42, 5.9396, 5.9396)* CHOOSE(CONTROL!$C$21, $C$9, 100%, $E$9)</f>
        <v>5.9396000000000004</v>
      </c>
      <c r="K111" s="54">
        <f>CHOOSE(CONTROL!$C$42, 5.9289, 5.9289) * CHOOSE(CONTROL!$C$21, $C$9, 100%, $E$9)</f>
        <v>5.9288999999999996</v>
      </c>
      <c r="L111" s="10">
        <f>CHOOSE(CONTROL!$C$42, 6.6343, 6.6343) * CHOOSE(CONTROL!$C$21, $C$9, 100%, $E$9)</f>
        <v>6.6342999999999996</v>
      </c>
      <c r="M111" s="10">
        <f>CHOOSE(CONTROL!$C$42, 5.8935, 5.8935) * CHOOSE(CONTROL!$C$21, $C$9, 100%, $E$9)</f>
        <v>5.8935000000000004</v>
      </c>
      <c r="N111" s="10">
        <f>CHOOSE(CONTROL!$C$42, 5.9105, 5.9105) * CHOOSE(CONTROL!$C$21, $C$9, 100%, $E$9)</f>
        <v>5.9104999999999999</v>
      </c>
      <c r="O111" s="10">
        <f>CHOOSE(CONTROL!$C$42, 6.0001, 6.0001) * CHOOSE(CONTROL!$C$21, $C$9, 100%, $E$9)</f>
        <v>6.0000999999999998</v>
      </c>
      <c r="P111" s="10">
        <f>CHOOSE(CONTROL!$C$42, 5.8868, 5.8868) * CHOOSE(CONTROL!$C$21, $C$9, 100%, $E$9)</f>
        <v>5.8868</v>
      </c>
      <c r="Q111" s="10">
        <f>CHOOSE(CONTROL!$C$42, 6.5954, 6.5954) * CHOOSE(CONTROL!$C$21, $C$9, 100%, $E$9)</f>
        <v>6.5953999999999997</v>
      </c>
      <c r="R111" s="10">
        <f>CHOOSE(CONTROL!$C$42, 7.1989, 7.1989) * CHOOSE(CONTROL!$C$21, $C$9, 100%, $E$9)</f>
        <v>7.1989000000000001</v>
      </c>
      <c r="S111" s="10">
        <f>CHOOSE(CONTROL!$C$42, 5.7845, 5.7845) * CHOOSE(CONTROL!$C$21, $C$9, 100%, $E$9)</f>
        <v>5.7845000000000004</v>
      </c>
      <c r="T111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11" s="58">
        <f>(1000*CHOOSE(CONTROL!$C$42, 695, 695)*CHOOSE(CONTROL!$C$42, 0.5599, 0.5599)*CHOOSE(CONTROL!$C$42, 31, 31))/1000000</f>
        <v>12.063045499999998</v>
      </c>
      <c r="V111" s="58">
        <f>(1000*CHOOSE(CONTROL!$C$42, 500, 500)*CHOOSE(CONTROL!$C$42, 0.275, 0.275)*CHOOSE(CONTROL!$C$42, 31, 31))/1000000</f>
        <v>4.2625000000000002</v>
      </c>
      <c r="W111" s="58">
        <f>(1000*CHOOSE(CONTROL!$C$42, 0.1146, 0.1146)*CHOOSE(CONTROL!$C$42, 121.5, 121.5)*CHOOSE(CONTROL!$C$42, 31, 31))/1000000</f>
        <v>0.43164089999999994</v>
      </c>
      <c r="X111" s="58">
        <f>(31*0.1790888*100000/1000000)+(31*0.2374*100000/1000000)</f>
        <v>1.2911152800000001</v>
      </c>
      <c r="Y111" s="58"/>
      <c r="Z111" s="10"/>
      <c r="AA111" s="57"/>
      <c r="AB111" s="51">
        <f>(B111*122.58+C111*297.941+D111*89.177+E111*40.302+F111*40+G111*160+H111*0+I111*100+J111*300)/(122.58+297.941+89.177+40.302+0+40+160+100+300)</f>
        <v>5.9616669957391304</v>
      </c>
      <c r="AC111" s="27">
        <f>(M111*'RAP TEMPLATE-GAS AVAILABILITY'!O110+N111*'RAP TEMPLATE-GAS AVAILABILITY'!P110+O111*'RAP TEMPLATE-GAS AVAILABILITY'!Q110+P111*'RAP TEMPLATE-GAS AVAILABILITY'!R110)/('RAP TEMPLATE-GAS AVAILABILITY'!O110+'RAP TEMPLATE-GAS AVAILABILITY'!P110+'RAP TEMPLATE-GAS AVAILABILITY'!Q110+'RAP TEMPLATE-GAS AVAILABILITY'!R110)</f>
        <v>5.9418294964028773</v>
      </c>
    </row>
    <row r="112" spans="1:29" ht="15.75" x14ac:dyDescent="0.25">
      <c r="A112" s="16">
        <v>44287</v>
      </c>
      <c r="B112" s="10">
        <f>CHOOSE(CONTROL!$C$42, 5.9422, 5.9422) * CHOOSE(CONTROL!$C$21, $C$9, 100%, $E$9)</f>
        <v>5.9421999999999997</v>
      </c>
      <c r="C112" s="10">
        <f>CHOOSE(CONTROL!$C$42, 5.9466, 5.9466) * CHOOSE(CONTROL!$C$21, $C$9, 100%, $E$9)</f>
        <v>5.9466000000000001</v>
      </c>
      <c r="D112" s="10">
        <f>CHOOSE(CONTROL!$C$42, 6.1422, 6.1422) * CHOOSE(CONTROL!$C$21, $C$9, 100%, $E$9)</f>
        <v>6.1421999999999999</v>
      </c>
      <c r="E112" s="10">
        <f>CHOOSE(CONTROL!$C$42, 6.1739, 6.1739) * CHOOSE(CONTROL!$C$21, $C$9, 100%, $E$9)</f>
        <v>6.1738999999999997</v>
      </c>
      <c r="F112" s="10">
        <f>CHOOSE(CONTROL!$C$42, 5.91, 5.91)*CHOOSE(CONTROL!$C$21, $C$9, 100%, $E$9)</f>
        <v>5.91</v>
      </c>
      <c r="G112" s="10">
        <f>CHOOSE(CONTROL!$C$42, 5.9268, 5.9268)*CHOOSE(CONTROL!$C$21, $C$9, 100%, $E$9)</f>
        <v>5.9268000000000001</v>
      </c>
      <c r="H112" s="10">
        <f>CHOOSE(CONTROL!$C$42, 6.1637, 6.1637) * CHOOSE(CONTROL!$C$21, $C$9, 100%, $E$9)</f>
        <v>6.1637000000000004</v>
      </c>
      <c r="I112" s="10">
        <f>CHOOSE(CONTROL!$C$42, 5.9102, 5.9102)* CHOOSE(CONTROL!$C$21, $C$9, 100%, $E$9)</f>
        <v>5.9101999999999997</v>
      </c>
      <c r="J112" s="10">
        <f>CHOOSE(CONTROL!$C$42, 5.903, 5.903)* CHOOSE(CONTROL!$C$21, $C$9, 100%, $E$9)</f>
        <v>5.9029999999999996</v>
      </c>
      <c r="K112" s="54">
        <f>CHOOSE(CONTROL!$C$42, 5.9063, 5.9063) * CHOOSE(CONTROL!$C$21, $C$9, 100%, $E$9)</f>
        <v>5.9062999999999999</v>
      </c>
      <c r="L112" s="10">
        <f>CHOOSE(CONTROL!$C$42, 6.7507, 6.7507) * CHOOSE(CONTROL!$C$21, $C$9, 100%, $E$9)</f>
        <v>6.7507000000000001</v>
      </c>
      <c r="M112" s="10">
        <f>CHOOSE(CONTROL!$C$42, 5.8573, 5.8573) * CHOOSE(CONTROL!$C$21, $C$9, 100%, $E$9)</f>
        <v>5.8573000000000004</v>
      </c>
      <c r="N112" s="10">
        <f>CHOOSE(CONTROL!$C$42, 5.8739, 5.8739) * CHOOSE(CONTROL!$C$21, $C$9, 100%, $E$9)</f>
        <v>5.8738999999999999</v>
      </c>
      <c r="O112" s="10">
        <f>CHOOSE(CONTROL!$C$42, 6.1153, 6.1153) * CHOOSE(CONTROL!$C$21, $C$9, 100%, $E$9)</f>
        <v>6.1153000000000004</v>
      </c>
      <c r="P112" s="10">
        <f>CHOOSE(CONTROL!$C$42, 5.8644, 5.8644) * CHOOSE(CONTROL!$C$21, $C$9, 100%, $E$9)</f>
        <v>5.8643999999999998</v>
      </c>
      <c r="Q112" s="10">
        <f>CHOOSE(CONTROL!$C$42, 6.7106, 6.7106) * CHOOSE(CONTROL!$C$21, $C$9, 100%, $E$9)</f>
        <v>6.7106000000000003</v>
      </c>
      <c r="R112" s="10">
        <f>CHOOSE(CONTROL!$C$42, 7.3144, 7.3144) * CHOOSE(CONTROL!$C$21, $C$9, 100%, $E$9)</f>
        <v>7.3144</v>
      </c>
      <c r="S112" s="10">
        <f>CHOOSE(CONTROL!$C$42, 5.7676, 5.7676) * CHOOSE(CONTROL!$C$21, $C$9, 100%, $E$9)</f>
        <v>5.7675999999999998</v>
      </c>
      <c r="T112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12" s="58">
        <f>(1000*CHOOSE(CONTROL!$C$42, 695, 695)*CHOOSE(CONTROL!$C$42, 0.5599, 0.5599)*CHOOSE(CONTROL!$C$42, 30, 30))/1000000</f>
        <v>11.673914999999997</v>
      </c>
      <c r="V112" s="58">
        <f>(1000*CHOOSE(CONTROL!$C$42, 500, 500)*CHOOSE(CONTROL!$C$42, 0.275, 0.275)*CHOOSE(CONTROL!$C$42, 30, 30))/1000000</f>
        <v>4.125</v>
      </c>
      <c r="W112" s="58">
        <f>(1000*CHOOSE(CONTROL!$C$42, 0.1146, 0.1146)*CHOOSE(CONTROL!$C$42, 121.5, 121.5)*CHOOSE(CONTROL!$C$42, 30, 30))/1000000</f>
        <v>0.417717</v>
      </c>
      <c r="X112" s="58">
        <f>(30*0.1790888*245000/1000000)+(30*0.2374*100000/1000000)</f>
        <v>2.0285026799999999</v>
      </c>
      <c r="Y112" s="58"/>
      <c r="Z112" s="10"/>
      <c r="AA112" s="57"/>
      <c r="AB112" s="51">
        <f>(B112*141.293+C112*267.993+D112*115.016+E112*89.698+F112*40+G112*185+H112*0+I112*100+J112*300)/(141.293+267.993+115.016+89.698+0+40+185+100+300)</f>
        <v>5.9630784469733653</v>
      </c>
      <c r="AC112" s="27">
        <f>(M112*'RAP TEMPLATE-GAS AVAILABILITY'!O111+N112*'RAP TEMPLATE-GAS AVAILABILITY'!P111+O112*'RAP TEMPLATE-GAS AVAILABILITY'!Q111+P112*'RAP TEMPLATE-GAS AVAILABILITY'!R111)/('RAP TEMPLATE-GAS AVAILABILITY'!O111+'RAP TEMPLATE-GAS AVAILABILITY'!P111+'RAP TEMPLATE-GAS AVAILABILITY'!Q111+'RAP TEMPLATE-GAS AVAILABILITY'!R111)</f>
        <v>5.9345316546762588</v>
      </c>
    </row>
    <row r="113" spans="1:29" ht="15.75" x14ac:dyDescent="0.25">
      <c r="A113" s="16">
        <v>44317</v>
      </c>
      <c r="B113" s="10">
        <f>CHOOSE(CONTROL!$C$42, 5.996, 5.996) * CHOOSE(CONTROL!$C$21, $C$9, 100%, $E$9)</f>
        <v>5.9960000000000004</v>
      </c>
      <c r="C113" s="10">
        <f>CHOOSE(CONTROL!$C$42, 6.0039, 6.0039) * CHOOSE(CONTROL!$C$21, $C$9, 100%, $E$9)</f>
        <v>6.0038999999999998</v>
      </c>
      <c r="D113" s="10">
        <f>CHOOSE(CONTROL!$C$42, 6.1964, 6.1964) * CHOOSE(CONTROL!$C$21, $C$9, 100%, $E$9)</f>
        <v>6.1963999999999997</v>
      </c>
      <c r="E113" s="10">
        <f>CHOOSE(CONTROL!$C$42, 6.2275, 6.2275) * CHOOSE(CONTROL!$C$21, $C$9, 100%, $E$9)</f>
        <v>6.2275</v>
      </c>
      <c r="F113" s="10">
        <f>CHOOSE(CONTROL!$C$42, 5.9623, 5.9623)*CHOOSE(CONTROL!$C$21, $C$9, 100%, $E$9)</f>
        <v>5.9622999999999999</v>
      </c>
      <c r="G113" s="10">
        <f>CHOOSE(CONTROL!$C$42, 5.9794, 5.9794)*CHOOSE(CONTROL!$C$21, $C$9, 100%, $E$9)</f>
        <v>5.9794</v>
      </c>
      <c r="H113" s="10">
        <f>CHOOSE(CONTROL!$C$42, 6.2161, 6.2161) * CHOOSE(CONTROL!$C$21, $C$9, 100%, $E$9)</f>
        <v>6.2161</v>
      </c>
      <c r="I113" s="10">
        <f>CHOOSE(CONTROL!$C$42, 5.9626, 5.9626)* CHOOSE(CONTROL!$C$21, $C$9, 100%, $E$9)</f>
        <v>5.9626000000000001</v>
      </c>
      <c r="J113" s="10">
        <f>CHOOSE(CONTROL!$C$42, 5.9553, 5.9553)* CHOOSE(CONTROL!$C$21, $C$9, 100%, $E$9)</f>
        <v>5.9553000000000003</v>
      </c>
      <c r="K113" s="54">
        <f>CHOOSE(CONTROL!$C$42, 5.9587, 5.9587) * CHOOSE(CONTROL!$C$21, $C$9, 100%, $E$9)</f>
        <v>5.9587000000000003</v>
      </c>
      <c r="L113" s="10">
        <f>CHOOSE(CONTROL!$C$42, 6.8031, 6.8031) * CHOOSE(CONTROL!$C$21, $C$9, 100%, $E$9)</f>
        <v>6.8030999999999997</v>
      </c>
      <c r="M113" s="10">
        <f>CHOOSE(CONTROL!$C$42, 5.909, 5.909) * CHOOSE(CONTROL!$C$21, $C$9, 100%, $E$9)</f>
        <v>5.9089999999999998</v>
      </c>
      <c r="N113" s="10">
        <f>CHOOSE(CONTROL!$C$42, 5.9259, 5.9259) * CHOOSE(CONTROL!$C$21, $C$9, 100%, $E$9)</f>
        <v>5.9259000000000004</v>
      </c>
      <c r="O113" s="10">
        <f>CHOOSE(CONTROL!$C$42, 6.1672, 6.1672) * CHOOSE(CONTROL!$C$21, $C$9, 100%, $E$9)</f>
        <v>6.1672000000000002</v>
      </c>
      <c r="P113" s="10">
        <f>CHOOSE(CONTROL!$C$42, 5.9163, 5.9163) * CHOOSE(CONTROL!$C$21, $C$9, 100%, $E$9)</f>
        <v>5.9162999999999997</v>
      </c>
      <c r="Q113" s="10">
        <f>CHOOSE(CONTROL!$C$42, 6.7625, 6.7625) * CHOOSE(CONTROL!$C$21, $C$9, 100%, $E$9)</f>
        <v>6.7625000000000002</v>
      </c>
      <c r="R113" s="10">
        <f>CHOOSE(CONTROL!$C$42, 7.3664, 7.3664) * CHOOSE(CONTROL!$C$21, $C$9, 100%, $E$9)</f>
        <v>7.3663999999999996</v>
      </c>
      <c r="S113" s="10">
        <f>CHOOSE(CONTROL!$C$42, 5.8185, 5.8185) * CHOOSE(CONTROL!$C$21, $C$9, 100%, $E$9)</f>
        <v>5.8185000000000002</v>
      </c>
      <c r="T113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13" s="58">
        <f>(1000*CHOOSE(CONTROL!$C$42, 695, 695)*CHOOSE(CONTROL!$C$42, 0.5599, 0.5599)*CHOOSE(CONTROL!$C$42, 31, 31))/1000000</f>
        <v>12.063045499999998</v>
      </c>
      <c r="V113" s="58">
        <f>(1000*CHOOSE(CONTROL!$C$42, 500, 500)*CHOOSE(CONTROL!$C$42, 0.275, 0.275)*CHOOSE(CONTROL!$C$42, 31, 31))/1000000</f>
        <v>4.2625000000000002</v>
      </c>
      <c r="W113" s="58">
        <f>(1000*CHOOSE(CONTROL!$C$42, 0.1146, 0.1146)*CHOOSE(CONTROL!$C$42, 121.5, 121.5)*CHOOSE(CONTROL!$C$42, 31, 31))/1000000</f>
        <v>0.43164089999999994</v>
      </c>
      <c r="X113" s="58">
        <f>(31*0.1790888*245000/1000000)+(31*0.2374*100000/1000000)</f>
        <v>2.0961194359999999</v>
      </c>
      <c r="Y113" s="58"/>
      <c r="Z113" s="10"/>
      <c r="AA113" s="57"/>
      <c r="AB113" s="51">
        <f>(B113*194.205+C113*267.466+D113*133.845+E113*53.484+F113*40+G113*185+H113*0+I113*100+J113*300)/(194.205+267.466+133.845+53.484+0+40+185+100+300)</f>
        <v>6.0127567232339096</v>
      </c>
      <c r="AC113" s="27">
        <f>(M113*'RAP TEMPLATE-GAS AVAILABILITY'!O112+N113*'RAP TEMPLATE-GAS AVAILABILITY'!P112+O113*'RAP TEMPLATE-GAS AVAILABILITY'!Q112+P113*'RAP TEMPLATE-GAS AVAILABILITY'!R112)/('RAP TEMPLATE-GAS AVAILABILITY'!O112+'RAP TEMPLATE-GAS AVAILABILITY'!P112+'RAP TEMPLATE-GAS AVAILABILITY'!Q112+'RAP TEMPLATE-GAS AVAILABILITY'!R112)</f>
        <v>5.9863856115107916</v>
      </c>
    </row>
    <row r="114" spans="1:29" ht="15.75" x14ac:dyDescent="0.25">
      <c r="A114" s="16">
        <v>44348</v>
      </c>
      <c r="B114" s="10">
        <f>CHOOSE(CONTROL!$C$42, 6.1659, 6.1659) * CHOOSE(CONTROL!$C$21, $C$9, 100%, $E$9)</f>
        <v>6.1658999999999997</v>
      </c>
      <c r="C114" s="10">
        <f>CHOOSE(CONTROL!$C$42, 6.1738, 6.1738) * CHOOSE(CONTROL!$C$21, $C$9, 100%, $E$9)</f>
        <v>6.1738</v>
      </c>
      <c r="D114" s="10">
        <f>CHOOSE(CONTROL!$C$42, 6.3663, 6.3663) * CHOOSE(CONTROL!$C$21, $C$9, 100%, $E$9)</f>
        <v>6.3662999999999998</v>
      </c>
      <c r="E114" s="10">
        <f>CHOOSE(CONTROL!$C$42, 6.3974, 6.3974) * CHOOSE(CONTROL!$C$21, $C$9, 100%, $E$9)</f>
        <v>6.3974000000000002</v>
      </c>
      <c r="F114" s="10">
        <f>CHOOSE(CONTROL!$C$42, 6.1324, 6.1324)*CHOOSE(CONTROL!$C$21, $C$9, 100%, $E$9)</f>
        <v>6.1323999999999996</v>
      </c>
      <c r="G114" s="10">
        <f>CHOOSE(CONTROL!$C$42, 6.1496, 6.1496)*CHOOSE(CONTROL!$C$21, $C$9, 100%, $E$9)</f>
        <v>6.1496000000000004</v>
      </c>
      <c r="H114" s="10">
        <f>CHOOSE(CONTROL!$C$42, 6.3861, 6.3861) * CHOOSE(CONTROL!$C$21, $C$9, 100%, $E$9)</f>
        <v>6.3860999999999999</v>
      </c>
      <c r="I114" s="10">
        <f>CHOOSE(CONTROL!$C$42, 6.1325, 6.1325)* CHOOSE(CONTROL!$C$21, $C$9, 100%, $E$9)</f>
        <v>6.1325000000000003</v>
      </c>
      <c r="J114" s="10">
        <f>CHOOSE(CONTROL!$C$42, 6.1254, 6.1254)* CHOOSE(CONTROL!$C$21, $C$9, 100%, $E$9)</f>
        <v>6.1254</v>
      </c>
      <c r="K114" s="54">
        <f>CHOOSE(CONTROL!$C$42, 6.1286, 6.1286) * CHOOSE(CONTROL!$C$21, $C$9, 100%, $E$9)</f>
        <v>6.1285999999999996</v>
      </c>
      <c r="L114" s="10">
        <f>CHOOSE(CONTROL!$C$42, 6.9731, 6.9731) * CHOOSE(CONTROL!$C$21, $C$9, 100%, $E$9)</f>
        <v>6.9730999999999996</v>
      </c>
      <c r="M114" s="10">
        <f>CHOOSE(CONTROL!$C$42, 6.0774, 6.0774) * CHOOSE(CONTROL!$C$21, $C$9, 100%, $E$9)</f>
        <v>6.0773999999999999</v>
      </c>
      <c r="N114" s="10">
        <f>CHOOSE(CONTROL!$C$42, 6.0944, 6.0944) * CHOOSE(CONTROL!$C$21, $C$9, 100%, $E$9)</f>
        <v>6.0944000000000003</v>
      </c>
      <c r="O114" s="10">
        <f>CHOOSE(CONTROL!$C$42, 6.3354, 6.3354) * CHOOSE(CONTROL!$C$21, $C$9, 100%, $E$9)</f>
        <v>6.3353999999999999</v>
      </c>
      <c r="P114" s="10">
        <f>CHOOSE(CONTROL!$C$42, 6.0845, 6.0845) * CHOOSE(CONTROL!$C$21, $C$9, 100%, $E$9)</f>
        <v>6.0845000000000002</v>
      </c>
      <c r="Q114" s="10">
        <f>CHOOSE(CONTROL!$C$42, 6.9307, 6.9307) * CHOOSE(CONTROL!$C$21, $C$9, 100%, $E$9)</f>
        <v>6.9306999999999999</v>
      </c>
      <c r="R114" s="10">
        <f>CHOOSE(CONTROL!$C$42, 7.5351, 7.5351) * CHOOSE(CONTROL!$C$21, $C$9, 100%, $E$9)</f>
        <v>7.5350999999999999</v>
      </c>
      <c r="S114" s="10">
        <f>CHOOSE(CONTROL!$C$42, 5.9835, 5.9835) * CHOOSE(CONTROL!$C$21, $C$9, 100%, $E$9)</f>
        <v>5.9835000000000003</v>
      </c>
      <c r="T114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14" s="58">
        <f>(1000*CHOOSE(CONTROL!$C$42, 695, 695)*CHOOSE(CONTROL!$C$42, 0.5599, 0.5599)*CHOOSE(CONTROL!$C$42, 30, 30))/1000000</f>
        <v>11.673914999999997</v>
      </c>
      <c r="V114" s="58">
        <f>(1000*CHOOSE(CONTROL!$C$42, 500, 500)*CHOOSE(CONTROL!$C$42, 0.275, 0.275)*CHOOSE(CONTROL!$C$42, 30, 30))/1000000</f>
        <v>4.125</v>
      </c>
      <c r="W114" s="58">
        <f>(1000*CHOOSE(CONTROL!$C$42, 0.1146, 0.1146)*CHOOSE(CONTROL!$C$42, 121.5, 121.5)*CHOOSE(CONTROL!$C$42, 30, 30))/1000000</f>
        <v>0.417717</v>
      </c>
      <c r="X114" s="58">
        <f>(30*0.1790888*245000/1000000)+(30*0.2374*100000/1000000)</f>
        <v>2.0285026799999999</v>
      </c>
      <c r="Y114" s="58"/>
      <c r="Z114" s="10"/>
      <c r="AA114" s="57"/>
      <c r="AB114" s="51">
        <f>(B114*194.205+C114*267.466+D114*133.845+E114*53.484+F114*40+G114*185+H114*0+I114*100+J114*300)/(194.205+267.466+133.845+53.484+0+40+185+100+300)</f>
        <v>6.1827536620094197</v>
      </c>
      <c r="AC114" s="27">
        <f>(M114*'RAP TEMPLATE-GAS AVAILABILITY'!O113+N114*'RAP TEMPLATE-GAS AVAILABILITY'!P113+O114*'RAP TEMPLATE-GAS AVAILABILITY'!Q113+P114*'RAP TEMPLATE-GAS AVAILABILITY'!R113)/('RAP TEMPLATE-GAS AVAILABILITY'!O113+'RAP TEMPLATE-GAS AVAILABILITY'!P113+'RAP TEMPLATE-GAS AVAILABILITY'!Q113+'RAP TEMPLATE-GAS AVAILABILITY'!R113)</f>
        <v>6.1547237410071949</v>
      </c>
    </row>
    <row r="115" spans="1:29" ht="15.75" x14ac:dyDescent="0.25">
      <c r="A115" s="16">
        <v>44378</v>
      </c>
      <c r="B115" s="10">
        <f>CHOOSE(CONTROL!$C$42, 6.0477, 6.0477) * CHOOSE(CONTROL!$C$21, $C$9, 100%, $E$9)</f>
        <v>6.0476999999999999</v>
      </c>
      <c r="C115" s="10">
        <f>CHOOSE(CONTROL!$C$42, 6.0557, 6.0557) * CHOOSE(CONTROL!$C$21, $C$9, 100%, $E$9)</f>
        <v>6.0556999999999999</v>
      </c>
      <c r="D115" s="10">
        <f>CHOOSE(CONTROL!$C$42, 6.2481, 6.2481) * CHOOSE(CONTROL!$C$21, $C$9, 100%, $E$9)</f>
        <v>6.2481</v>
      </c>
      <c r="E115" s="10">
        <f>CHOOSE(CONTROL!$C$42, 6.2792, 6.2792) * CHOOSE(CONTROL!$C$21, $C$9, 100%, $E$9)</f>
        <v>6.2792000000000003</v>
      </c>
      <c r="F115" s="10">
        <f>CHOOSE(CONTROL!$C$42, 6.0146, 6.0146)*CHOOSE(CONTROL!$C$21, $C$9, 100%, $E$9)</f>
        <v>6.0145999999999997</v>
      </c>
      <c r="G115" s="10">
        <f>CHOOSE(CONTROL!$C$42, 6.0319, 6.0319)*CHOOSE(CONTROL!$C$21, $C$9, 100%, $E$9)</f>
        <v>6.0319000000000003</v>
      </c>
      <c r="H115" s="10">
        <f>CHOOSE(CONTROL!$C$42, 6.2679, 6.2679) * CHOOSE(CONTROL!$C$21, $C$9, 100%, $E$9)</f>
        <v>6.2679</v>
      </c>
      <c r="I115" s="10">
        <f>CHOOSE(CONTROL!$C$42, 6.0143, 6.0143)* CHOOSE(CONTROL!$C$21, $C$9, 100%, $E$9)</f>
        <v>6.0143000000000004</v>
      </c>
      <c r="J115" s="10">
        <f>CHOOSE(CONTROL!$C$42, 6.0076, 6.0076)* CHOOSE(CONTROL!$C$21, $C$9, 100%, $E$9)</f>
        <v>6.0076000000000001</v>
      </c>
      <c r="K115" s="54">
        <f>CHOOSE(CONTROL!$C$42, 6.0104, 6.0104) * CHOOSE(CONTROL!$C$21, $C$9, 100%, $E$9)</f>
        <v>6.0103999999999997</v>
      </c>
      <c r="L115" s="10">
        <f>CHOOSE(CONTROL!$C$42, 6.8549, 6.8549) * CHOOSE(CONTROL!$C$21, $C$9, 100%, $E$9)</f>
        <v>6.8548999999999998</v>
      </c>
      <c r="M115" s="10">
        <f>CHOOSE(CONTROL!$C$42, 5.9608, 5.9608) * CHOOSE(CONTROL!$C$21, $C$9, 100%, $E$9)</f>
        <v>5.9607999999999999</v>
      </c>
      <c r="N115" s="10">
        <f>CHOOSE(CONTROL!$C$42, 5.978, 5.978) * CHOOSE(CONTROL!$C$21, $C$9, 100%, $E$9)</f>
        <v>5.9779999999999998</v>
      </c>
      <c r="O115" s="10">
        <f>CHOOSE(CONTROL!$C$42, 6.2184, 6.2184) * CHOOSE(CONTROL!$C$21, $C$9, 100%, $E$9)</f>
        <v>6.2183999999999999</v>
      </c>
      <c r="P115" s="10">
        <f>CHOOSE(CONTROL!$C$42, 5.9675, 5.9675) * CHOOSE(CONTROL!$C$21, $C$9, 100%, $E$9)</f>
        <v>5.9675000000000002</v>
      </c>
      <c r="Q115" s="10">
        <f>CHOOSE(CONTROL!$C$42, 6.8137, 6.8137) * CHOOSE(CONTROL!$C$21, $C$9, 100%, $E$9)</f>
        <v>6.8136999999999999</v>
      </c>
      <c r="R115" s="10">
        <f>CHOOSE(CONTROL!$C$42, 7.4178, 7.4178) * CHOOSE(CONTROL!$C$21, $C$9, 100%, $E$9)</f>
        <v>7.4177999999999997</v>
      </c>
      <c r="S115" s="10">
        <f>CHOOSE(CONTROL!$C$42, 5.8687, 5.8687) * CHOOSE(CONTROL!$C$21, $C$9, 100%, $E$9)</f>
        <v>5.8686999999999996</v>
      </c>
      <c r="T115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15" s="58">
        <f>(1000*CHOOSE(CONTROL!$C$42, 695, 695)*CHOOSE(CONTROL!$C$42, 0.5599, 0.5599)*CHOOSE(CONTROL!$C$42, 31, 31))/1000000</f>
        <v>12.063045499999998</v>
      </c>
      <c r="V115" s="58">
        <f>(1000*CHOOSE(CONTROL!$C$42, 500, 500)*CHOOSE(CONTROL!$C$42, 0.275, 0.275)*CHOOSE(CONTROL!$C$42, 31, 31))/1000000</f>
        <v>4.2625000000000002</v>
      </c>
      <c r="W115" s="58">
        <f>(1000*CHOOSE(CONTROL!$C$42, 0.1146, 0.1146)*CHOOSE(CONTROL!$C$42, 121.5, 121.5)*CHOOSE(CONTROL!$C$42, 31, 31))/1000000</f>
        <v>0.43164089999999994</v>
      </c>
      <c r="X115" s="58">
        <f>(31*0.1790888*245000/1000000)+(31*0.2374*100000/1000000)</f>
        <v>2.0961194359999999</v>
      </c>
      <c r="Y115" s="58"/>
      <c r="Z115" s="10"/>
      <c r="AA115" s="57"/>
      <c r="AB115" s="51">
        <f>(B115*194.205+C115*267.466+D115*133.845+E115*53.484+F115*40+G115*185+H115*0+I115*100+J115*300)/(194.205+267.466+133.845+53.484+0+40+185+100+300)</f>
        <v>6.0647540125588693</v>
      </c>
      <c r="AC115" s="27">
        <f>(M115*'RAP TEMPLATE-GAS AVAILABILITY'!O114+N115*'RAP TEMPLATE-GAS AVAILABILITY'!P114+O115*'RAP TEMPLATE-GAS AVAILABILITY'!Q114+P115*'RAP TEMPLATE-GAS AVAILABILITY'!R114)/('RAP TEMPLATE-GAS AVAILABILITY'!O114+'RAP TEMPLATE-GAS AVAILABILITY'!P114+'RAP TEMPLATE-GAS AVAILABILITY'!Q114+'RAP TEMPLATE-GAS AVAILABILITY'!R114)</f>
        <v>6.0379999999999994</v>
      </c>
    </row>
    <row r="116" spans="1:29" ht="15.75" x14ac:dyDescent="0.25">
      <c r="A116" s="16">
        <v>44409</v>
      </c>
      <c r="B116" s="10">
        <f>CHOOSE(CONTROL!$C$42, 5.7493, 5.7493) * CHOOSE(CONTROL!$C$21, $C$9, 100%, $E$9)</f>
        <v>5.7492999999999999</v>
      </c>
      <c r="C116" s="10">
        <f>CHOOSE(CONTROL!$C$42, 5.7572, 5.7572) * CHOOSE(CONTROL!$C$21, $C$9, 100%, $E$9)</f>
        <v>5.7572000000000001</v>
      </c>
      <c r="D116" s="10">
        <f>CHOOSE(CONTROL!$C$42, 5.9496, 5.9496) * CHOOSE(CONTROL!$C$21, $C$9, 100%, $E$9)</f>
        <v>5.9496000000000002</v>
      </c>
      <c r="E116" s="10">
        <f>CHOOSE(CONTROL!$C$42, 5.9808, 5.9808) * CHOOSE(CONTROL!$C$21, $C$9, 100%, $E$9)</f>
        <v>5.9808000000000003</v>
      </c>
      <c r="F116" s="10">
        <f>CHOOSE(CONTROL!$C$42, 5.7164, 5.7164)*CHOOSE(CONTROL!$C$21, $C$9, 100%, $E$9)</f>
        <v>5.7164000000000001</v>
      </c>
      <c r="G116" s="10">
        <f>CHOOSE(CONTROL!$C$42, 5.7337, 5.7337)*CHOOSE(CONTROL!$C$21, $C$9, 100%, $E$9)</f>
        <v>5.7336999999999998</v>
      </c>
      <c r="H116" s="10">
        <f>CHOOSE(CONTROL!$C$42, 5.9694, 5.9694) * CHOOSE(CONTROL!$C$21, $C$9, 100%, $E$9)</f>
        <v>5.9694000000000003</v>
      </c>
      <c r="I116" s="10">
        <f>CHOOSE(CONTROL!$C$42, 5.7159, 5.7159)* CHOOSE(CONTROL!$C$21, $C$9, 100%, $E$9)</f>
        <v>5.7159000000000004</v>
      </c>
      <c r="J116" s="10">
        <f>CHOOSE(CONTROL!$C$42, 5.7094, 5.7094)* CHOOSE(CONTROL!$C$21, $C$9, 100%, $E$9)</f>
        <v>5.7093999999999996</v>
      </c>
      <c r="K116" s="54">
        <f>CHOOSE(CONTROL!$C$42, 5.712, 5.712) * CHOOSE(CONTROL!$C$21, $C$9, 100%, $E$9)</f>
        <v>5.7119999999999997</v>
      </c>
      <c r="L116" s="10">
        <f>CHOOSE(CONTROL!$C$42, 6.5564, 6.5564) * CHOOSE(CONTROL!$C$21, $C$9, 100%, $E$9)</f>
        <v>6.5564</v>
      </c>
      <c r="M116" s="10">
        <f>CHOOSE(CONTROL!$C$42, 5.6656, 5.6656) * CHOOSE(CONTROL!$C$21, $C$9, 100%, $E$9)</f>
        <v>5.6656000000000004</v>
      </c>
      <c r="N116" s="10">
        <f>CHOOSE(CONTROL!$C$42, 5.6827, 5.6827) * CHOOSE(CONTROL!$C$21, $C$9, 100%, $E$9)</f>
        <v>5.6826999999999996</v>
      </c>
      <c r="O116" s="10">
        <f>CHOOSE(CONTROL!$C$42, 5.923, 5.923) * CHOOSE(CONTROL!$C$21, $C$9, 100%, $E$9)</f>
        <v>5.923</v>
      </c>
      <c r="P116" s="10">
        <f>CHOOSE(CONTROL!$C$42, 5.672, 5.672) * CHOOSE(CONTROL!$C$21, $C$9, 100%, $E$9)</f>
        <v>5.6719999999999997</v>
      </c>
      <c r="Q116" s="10">
        <f>CHOOSE(CONTROL!$C$42, 6.5183, 6.5183) * CHOOSE(CONTROL!$C$21, $C$9, 100%, $E$9)</f>
        <v>6.5183</v>
      </c>
      <c r="R116" s="10">
        <f>CHOOSE(CONTROL!$C$42, 7.1216, 7.1216) * CHOOSE(CONTROL!$C$21, $C$9, 100%, $E$9)</f>
        <v>7.1215999999999999</v>
      </c>
      <c r="S116" s="10">
        <f>CHOOSE(CONTROL!$C$42, 5.5789, 5.5789) * CHOOSE(CONTROL!$C$21, $C$9, 100%, $E$9)</f>
        <v>5.5789</v>
      </c>
      <c r="T116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16" s="58">
        <f>(1000*CHOOSE(CONTROL!$C$42, 695, 695)*CHOOSE(CONTROL!$C$42, 0.5599, 0.5599)*CHOOSE(CONTROL!$C$42, 31, 31))/1000000</f>
        <v>12.063045499999998</v>
      </c>
      <c r="V116" s="58">
        <f>(1000*CHOOSE(CONTROL!$C$42, 500, 500)*CHOOSE(CONTROL!$C$42, 0.275, 0.275)*CHOOSE(CONTROL!$C$42, 31, 31))/1000000</f>
        <v>4.2625000000000002</v>
      </c>
      <c r="W116" s="58">
        <f>(1000*CHOOSE(CONTROL!$C$42, 0.1146, 0.1146)*CHOOSE(CONTROL!$C$42, 121.5, 121.5)*CHOOSE(CONTROL!$C$42, 31, 31))/1000000</f>
        <v>0.43164089999999994</v>
      </c>
      <c r="X116" s="58">
        <f>(31*0.1790888*245000/1000000)+(31*0.2374*100000/1000000)</f>
        <v>2.0961194359999999</v>
      </c>
      <c r="Y116" s="58"/>
      <c r="Z116" s="10"/>
      <c r="AA116" s="57"/>
      <c r="AB116" s="51">
        <f>(B116*194.205+C116*267.466+D116*133.845+E116*53.484+F116*40+G116*185+H116*0+I116*100+J116*300)/(194.205+267.466+133.845+53.484+0+40+185+100+300)</f>
        <v>5.7664049300627944</v>
      </c>
      <c r="AC116" s="27">
        <f>(M116*'RAP TEMPLATE-GAS AVAILABILITY'!O115+N116*'RAP TEMPLATE-GAS AVAILABILITY'!P115+O116*'RAP TEMPLATE-GAS AVAILABILITY'!Q115+P116*'RAP TEMPLATE-GAS AVAILABILITY'!R115)/('RAP TEMPLATE-GAS AVAILABILITY'!O115+'RAP TEMPLATE-GAS AVAILABILITY'!P115+'RAP TEMPLATE-GAS AVAILABILITY'!Q115+'RAP TEMPLATE-GAS AVAILABILITY'!R115)</f>
        <v>5.7426776978417271</v>
      </c>
    </row>
    <row r="117" spans="1:29" ht="15.75" x14ac:dyDescent="0.25">
      <c r="A117" s="16">
        <v>44440</v>
      </c>
      <c r="B117" s="10">
        <f>CHOOSE(CONTROL!$C$42, 5.3842, 5.3842) * CHOOSE(CONTROL!$C$21, $C$9, 100%, $E$9)</f>
        <v>5.3841999999999999</v>
      </c>
      <c r="C117" s="10">
        <f>CHOOSE(CONTROL!$C$42, 5.3922, 5.3922) * CHOOSE(CONTROL!$C$21, $C$9, 100%, $E$9)</f>
        <v>5.3921999999999999</v>
      </c>
      <c r="D117" s="10">
        <f>CHOOSE(CONTROL!$C$42, 5.5846, 5.5846) * CHOOSE(CONTROL!$C$21, $C$9, 100%, $E$9)</f>
        <v>5.5846</v>
      </c>
      <c r="E117" s="10">
        <f>CHOOSE(CONTROL!$C$42, 5.6157, 5.6157) * CHOOSE(CONTROL!$C$21, $C$9, 100%, $E$9)</f>
        <v>5.6157000000000004</v>
      </c>
      <c r="F117" s="10">
        <f>CHOOSE(CONTROL!$C$42, 5.3511, 5.3511)*CHOOSE(CONTROL!$C$21, $C$9, 100%, $E$9)</f>
        <v>5.3510999999999997</v>
      </c>
      <c r="G117" s="10">
        <f>CHOOSE(CONTROL!$C$42, 5.3684, 5.3684)*CHOOSE(CONTROL!$C$21, $C$9, 100%, $E$9)</f>
        <v>5.3684000000000003</v>
      </c>
      <c r="H117" s="10">
        <f>CHOOSE(CONTROL!$C$42, 5.6044, 5.6044) * CHOOSE(CONTROL!$C$21, $C$9, 100%, $E$9)</f>
        <v>5.6044</v>
      </c>
      <c r="I117" s="10">
        <f>CHOOSE(CONTROL!$C$42, 5.3508, 5.3508)* CHOOSE(CONTROL!$C$21, $C$9, 100%, $E$9)</f>
        <v>5.3507999999999996</v>
      </c>
      <c r="J117" s="10">
        <f>CHOOSE(CONTROL!$C$42, 5.3441, 5.3441)* CHOOSE(CONTROL!$C$21, $C$9, 100%, $E$9)</f>
        <v>5.3441000000000001</v>
      </c>
      <c r="K117" s="54">
        <f>CHOOSE(CONTROL!$C$42, 5.3469, 5.3469) * CHOOSE(CONTROL!$C$21, $C$9, 100%, $E$9)</f>
        <v>5.3468999999999998</v>
      </c>
      <c r="L117" s="10">
        <f>CHOOSE(CONTROL!$C$42, 6.1914, 6.1914) * CHOOSE(CONTROL!$C$21, $C$9, 100%, $E$9)</f>
        <v>6.1913999999999998</v>
      </c>
      <c r="M117" s="10">
        <f>CHOOSE(CONTROL!$C$42, 5.304, 5.304) * CHOOSE(CONTROL!$C$21, $C$9, 100%, $E$9)</f>
        <v>5.3040000000000003</v>
      </c>
      <c r="N117" s="10">
        <f>CHOOSE(CONTROL!$C$42, 5.3212, 5.3212) * CHOOSE(CONTROL!$C$21, $C$9, 100%, $E$9)</f>
        <v>5.3212000000000002</v>
      </c>
      <c r="O117" s="10">
        <f>CHOOSE(CONTROL!$C$42, 5.5616, 5.5616) * CHOOSE(CONTROL!$C$21, $C$9, 100%, $E$9)</f>
        <v>5.5616000000000003</v>
      </c>
      <c r="P117" s="10">
        <f>CHOOSE(CONTROL!$C$42, 5.3107, 5.3107) * CHOOSE(CONTROL!$C$21, $C$9, 100%, $E$9)</f>
        <v>5.3106999999999998</v>
      </c>
      <c r="Q117" s="10">
        <f>CHOOSE(CONTROL!$C$42, 6.1569, 6.1569) * CHOOSE(CONTROL!$C$21, $C$9, 100%, $E$9)</f>
        <v>6.1569000000000003</v>
      </c>
      <c r="R117" s="10">
        <f>CHOOSE(CONTROL!$C$42, 6.7593, 6.7593) * CHOOSE(CONTROL!$C$21, $C$9, 100%, $E$9)</f>
        <v>6.7592999999999996</v>
      </c>
      <c r="S117" s="10">
        <f>CHOOSE(CONTROL!$C$42, 5.2244, 5.2244) * CHOOSE(CONTROL!$C$21, $C$9, 100%, $E$9)</f>
        <v>5.2244000000000002</v>
      </c>
      <c r="T117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17" s="58">
        <f>(1000*CHOOSE(CONTROL!$C$42, 695, 695)*CHOOSE(CONTROL!$C$42, 0.5599, 0.5599)*CHOOSE(CONTROL!$C$42, 30, 30))/1000000</f>
        <v>11.673914999999997</v>
      </c>
      <c r="V117" s="58">
        <f>(1000*CHOOSE(CONTROL!$C$42, 500, 500)*CHOOSE(CONTROL!$C$42, 0.275, 0.275)*CHOOSE(CONTROL!$C$42, 30, 30))/1000000</f>
        <v>4.125</v>
      </c>
      <c r="W117" s="58">
        <f>(1000*CHOOSE(CONTROL!$C$42, 0.1146, 0.1146)*CHOOSE(CONTROL!$C$42, 121.5, 121.5)*CHOOSE(CONTROL!$C$42, 30, 30))/1000000</f>
        <v>0.417717</v>
      </c>
      <c r="X117" s="58">
        <f>(30*0.1790888*245000/1000000)+(30*0.2374*100000/1000000)</f>
        <v>2.0285026799999999</v>
      </c>
      <c r="Y117" s="58"/>
      <c r="Z117" s="10"/>
      <c r="AA117" s="57"/>
      <c r="AB117" s="51">
        <f>(B117*194.205+C117*267.466+D117*133.845+E117*53.484+F117*40+G117*185+H117*0+I117*100+J117*300)/(194.205+267.466+133.845+53.484+0+40+185+100+300)</f>
        <v>5.4012540125588693</v>
      </c>
      <c r="AC117" s="27">
        <f>(M117*'RAP TEMPLATE-GAS AVAILABILITY'!O116+N117*'RAP TEMPLATE-GAS AVAILABILITY'!P116+O117*'RAP TEMPLATE-GAS AVAILABILITY'!Q116+P117*'RAP TEMPLATE-GAS AVAILABILITY'!R116)/('RAP TEMPLATE-GAS AVAILABILITY'!O116+'RAP TEMPLATE-GAS AVAILABILITY'!P116+'RAP TEMPLATE-GAS AVAILABILITY'!Q116+'RAP TEMPLATE-GAS AVAILABILITY'!R116)</f>
        <v>5.3812000000000006</v>
      </c>
    </row>
    <row r="118" spans="1:29" ht="15.75" x14ac:dyDescent="0.25">
      <c r="A118" s="16">
        <v>44470</v>
      </c>
      <c r="B118" s="10">
        <f>CHOOSE(CONTROL!$C$42, 5.2733, 5.2733) * CHOOSE(CONTROL!$C$21, $C$9, 100%, $E$9)</f>
        <v>5.2732999999999999</v>
      </c>
      <c r="C118" s="10">
        <f>CHOOSE(CONTROL!$C$42, 5.2785, 5.2785) * CHOOSE(CONTROL!$C$21, $C$9, 100%, $E$9)</f>
        <v>5.2785000000000002</v>
      </c>
      <c r="D118" s="10">
        <f>CHOOSE(CONTROL!$C$42, 5.4759, 5.4759) * CHOOSE(CONTROL!$C$21, $C$9, 100%, $E$9)</f>
        <v>5.4759000000000002</v>
      </c>
      <c r="E118" s="10">
        <f>CHOOSE(CONTROL!$C$42, 5.5047, 5.5047) * CHOOSE(CONTROL!$C$21, $C$9, 100%, $E$9)</f>
        <v>5.5046999999999997</v>
      </c>
      <c r="F118" s="10">
        <f>CHOOSE(CONTROL!$C$42, 5.2422, 5.2422)*CHOOSE(CONTROL!$C$21, $C$9, 100%, $E$9)</f>
        <v>5.2422000000000004</v>
      </c>
      <c r="G118" s="10">
        <f>CHOOSE(CONTROL!$C$42, 5.2591, 5.2591)*CHOOSE(CONTROL!$C$21, $C$9, 100%, $E$9)</f>
        <v>5.2591000000000001</v>
      </c>
      <c r="H118" s="10">
        <f>CHOOSE(CONTROL!$C$42, 5.4951, 5.4951) * CHOOSE(CONTROL!$C$21, $C$9, 100%, $E$9)</f>
        <v>5.4950999999999999</v>
      </c>
      <c r="I118" s="10">
        <f>CHOOSE(CONTROL!$C$42, 5.2416, 5.2416)* CHOOSE(CONTROL!$C$21, $C$9, 100%, $E$9)</f>
        <v>5.2416</v>
      </c>
      <c r="J118" s="10">
        <f>CHOOSE(CONTROL!$C$42, 5.2352, 5.2352)* CHOOSE(CONTROL!$C$21, $C$9, 100%, $E$9)</f>
        <v>5.2351999999999999</v>
      </c>
      <c r="K118" s="54">
        <f>CHOOSE(CONTROL!$C$42, 5.2377, 5.2377) * CHOOSE(CONTROL!$C$21, $C$9, 100%, $E$9)</f>
        <v>5.2377000000000002</v>
      </c>
      <c r="L118" s="10">
        <f>CHOOSE(CONTROL!$C$42, 6.0821, 6.0821) * CHOOSE(CONTROL!$C$21, $C$9, 100%, $E$9)</f>
        <v>6.0820999999999996</v>
      </c>
      <c r="M118" s="10">
        <f>CHOOSE(CONTROL!$C$42, 5.1962, 5.1962) * CHOOSE(CONTROL!$C$21, $C$9, 100%, $E$9)</f>
        <v>5.1962000000000002</v>
      </c>
      <c r="N118" s="10">
        <f>CHOOSE(CONTROL!$C$42, 5.213, 5.213) * CHOOSE(CONTROL!$C$21, $C$9, 100%, $E$9)</f>
        <v>5.2130000000000001</v>
      </c>
      <c r="O118" s="10">
        <f>CHOOSE(CONTROL!$C$42, 5.4535, 5.4535) * CHOOSE(CONTROL!$C$21, $C$9, 100%, $E$9)</f>
        <v>5.4535</v>
      </c>
      <c r="P118" s="10">
        <f>CHOOSE(CONTROL!$C$42, 5.2026, 5.2026) * CHOOSE(CONTROL!$C$21, $C$9, 100%, $E$9)</f>
        <v>5.2026000000000003</v>
      </c>
      <c r="Q118" s="10">
        <f>CHOOSE(CONTROL!$C$42, 6.0488, 6.0488) * CHOOSE(CONTROL!$C$21, $C$9, 100%, $E$9)</f>
        <v>6.0488</v>
      </c>
      <c r="R118" s="10">
        <f>CHOOSE(CONTROL!$C$42, 6.6509, 6.6509) * CHOOSE(CONTROL!$C$21, $C$9, 100%, $E$9)</f>
        <v>6.6509</v>
      </c>
      <c r="S118" s="10">
        <f>CHOOSE(CONTROL!$C$42, 5.1183, 5.1183) * CHOOSE(CONTROL!$C$21, $C$9, 100%, $E$9)</f>
        <v>5.1182999999999996</v>
      </c>
      <c r="T118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18" s="58">
        <f>(1000*CHOOSE(CONTROL!$C$42, 695, 695)*CHOOSE(CONTROL!$C$42, 0.5599, 0.5599)*CHOOSE(CONTROL!$C$42, 31, 31))/1000000</f>
        <v>12.063045499999998</v>
      </c>
      <c r="V118" s="58">
        <f>(1000*CHOOSE(CONTROL!$C$42, 500, 500)*CHOOSE(CONTROL!$C$42, 0.275, 0.275)*CHOOSE(CONTROL!$C$42, 31, 31))/1000000</f>
        <v>4.2625000000000002</v>
      </c>
      <c r="W118" s="58">
        <f>(1000*CHOOSE(CONTROL!$C$42, 0.1146, 0.1146)*CHOOSE(CONTROL!$C$42, 121.5, 121.5)*CHOOSE(CONTROL!$C$42, 31, 31))/1000000</f>
        <v>0.43164089999999994</v>
      </c>
      <c r="X118" s="58">
        <f>(31*0.1790888*245000/1000000)+(31*0.2374*100000/1000000)</f>
        <v>2.0961194359999999</v>
      </c>
      <c r="Y118" s="58"/>
      <c r="Z118" s="10"/>
      <c r="AA118" s="57"/>
      <c r="AB118" s="51">
        <f>(B118*131.881+C118*277.167+D118*79.08+E118*125.872+F118*40+G118*185+H118*0+I118*100+J118*300)/(131.881+277.167+79.08+125.872+0+40+185+100+300)</f>
        <v>5.2959946385794989</v>
      </c>
      <c r="AC118" s="27">
        <f>(M118*'RAP TEMPLATE-GAS AVAILABILITY'!O117+N118*'RAP TEMPLATE-GAS AVAILABILITY'!P117+O118*'RAP TEMPLATE-GAS AVAILABILITY'!Q117+P118*'RAP TEMPLATE-GAS AVAILABILITY'!R117)/('RAP TEMPLATE-GAS AVAILABILITY'!O117+'RAP TEMPLATE-GAS AVAILABILITY'!P117+'RAP TEMPLATE-GAS AVAILABILITY'!Q117+'RAP TEMPLATE-GAS AVAILABILITY'!R117)</f>
        <v>5.273180575539568</v>
      </c>
    </row>
    <row r="119" spans="1:29" ht="15.75" x14ac:dyDescent="0.25">
      <c r="A119" s="16">
        <v>44501</v>
      </c>
      <c r="B119" s="10">
        <f>CHOOSE(CONTROL!$C$42, 5.4117, 5.4117) * CHOOSE(CONTROL!$C$21, $C$9, 100%, $E$9)</f>
        <v>5.4116999999999997</v>
      </c>
      <c r="C119" s="10">
        <f>CHOOSE(CONTROL!$C$42, 5.4166, 5.4166) * CHOOSE(CONTROL!$C$21, $C$9, 100%, $E$9)</f>
        <v>5.4165999999999999</v>
      </c>
      <c r="D119" s="10">
        <f>CHOOSE(CONTROL!$C$42, 5.4462, 5.4462) * CHOOSE(CONTROL!$C$21, $C$9, 100%, $E$9)</f>
        <v>5.4462000000000002</v>
      </c>
      <c r="E119" s="10">
        <f>CHOOSE(CONTROL!$C$42, 5.48, 5.48) * CHOOSE(CONTROL!$C$21, $C$9, 100%, $E$9)</f>
        <v>5.48</v>
      </c>
      <c r="F119" s="10">
        <f>CHOOSE(CONTROL!$C$42, 5.3785, 5.3785)*CHOOSE(CONTROL!$C$21, $C$9, 100%, $E$9)</f>
        <v>5.3784999999999998</v>
      </c>
      <c r="G119" s="10">
        <f>CHOOSE(CONTROL!$C$42, 5.3956, 5.3956)*CHOOSE(CONTROL!$C$21, $C$9, 100%, $E$9)</f>
        <v>5.3956</v>
      </c>
      <c r="H119" s="10">
        <f>CHOOSE(CONTROL!$C$42, 5.4692, 5.4692) * CHOOSE(CONTROL!$C$21, $C$9, 100%, $E$9)</f>
        <v>5.4691999999999998</v>
      </c>
      <c r="I119" s="10">
        <f>CHOOSE(CONTROL!$C$42, 5.3753, 5.3753)* CHOOSE(CONTROL!$C$21, $C$9, 100%, $E$9)</f>
        <v>5.3753000000000002</v>
      </c>
      <c r="J119" s="10">
        <f>CHOOSE(CONTROL!$C$42, 5.3715, 5.3715)* CHOOSE(CONTROL!$C$21, $C$9, 100%, $E$9)</f>
        <v>5.3715000000000002</v>
      </c>
      <c r="K119" s="54">
        <f>CHOOSE(CONTROL!$C$42, 5.3714, 5.3714) * CHOOSE(CONTROL!$C$21, $C$9, 100%, $E$9)</f>
        <v>5.3714000000000004</v>
      </c>
      <c r="L119" s="10">
        <f>CHOOSE(CONTROL!$C$42, 6.0562, 6.0562) * CHOOSE(CONTROL!$C$21, $C$9, 100%, $E$9)</f>
        <v>6.0561999999999996</v>
      </c>
      <c r="M119" s="10">
        <f>CHOOSE(CONTROL!$C$42, 5.3311, 5.3311) * CHOOSE(CONTROL!$C$21, $C$9, 100%, $E$9)</f>
        <v>5.3311000000000002</v>
      </c>
      <c r="N119" s="10">
        <f>CHOOSE(CONTROL!$C$42, 5.348, 5.348) * CHOOSE(CONTROL!$C$21, $C$9, 100%, $E$9)</f>
        <v>5.3479999999999999</v>
      </c>
      <c r="O119" s="10">
        <f>CHOOSE(CONTROL!$C$42, 5.4279, 5.4279) * CHOOSE(CONTROL!$C$21, $C$9, 100%, $E$9)</f>
        <v>5.4279000000000002</v>
      </c>
      <c r="P119" s="10">
        <f>CHOOSE(CONTROL!$C$42, 5.3349, 5.3349) * CHOOSE(CONTROL!$C$21, $C$9, 100%, $E$9)</f>
        <v>5.3349000000000002</v>
      </c>
      <c r="Q119" s="10">
        <f>CHOOSE(CONTROL!$C$42, 6.0232, 6.0232) * CHOOSE(CONTROL!$C$21, $C$9, 100%, $E$9)</f>
        <v>6.0232000000000001</v>
      </c>
      <c r="R119" s="10">
        <f>CHOOSE(CONTROL!$C$42, 6.6252, 6.6252) * CHOOSE(CONTROL!$C$21, $C$9, 100%, $E$9)</f>
        <v>6.6252000000000004</v>
      </c>
      <c r="S119" s="10">
        <f>CHOOSE(CONTROL!$C$42, 5.2532, 5.2532) * CHOOSE(CONTROL!$C$21, $C$9, 100%, $E$9)</f>
        <v>5.2531999999999996</v>
      </c>
      <c r="T119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19" s="58">
        <f>(1000*CHOOSE(CONTROL!$C$42, 695, 695)*CHOOSE(CONTROL!$C$42, 0.5599, 0.5599)*CHOOSE(CONTROL!$C$42, 30, 30))/1000000</f>
        <v>11.673914999999997</v>
      </c>
      <c r="V119" s="58">
        <f>(1000*CHOOSE(CONTROL!$C$42, 500, 500)*CHOOSE(CONTROL!$C$42, 0.275, 0.275)*CHOOSE(CONTROL!$C$42, 30, 30))/1000000</f>
        <v>4.125</v>
      </c>
      <c r="W119" s="58">
        <f>(1000*CHOOSE(CONTROL!$C$42, 0.1146, 0.1146)*CHOOSE(CONTROL!$C$42, 121.5, 121.5)*CHOOSE(CONTROL!$C$42, 30, 30))/1000000</f>
        <v>0.417717</v>
      </c>
      <c r="X119" s="58">
        <f>(30*0.1790888*100000/1000000)+(30*0.2374*100000/1000000)</f>
        <v>1.2494664</v>
      </c>
      <c r="Y119" s="58"/>
      <c r="Z119" s="10"/>
      <c r="AA119" s="57"/>
      <c r="AB119" s="51">
        <f>(B119*122.58+C119*297.941+D119*89.177+E119*40.302+F119*40+G119*160+H119*0+I119*100+J119*300)/(122.58+297.941+89.177+40.302+0+40+160+100+300)</f>
        <v>5.4009914295652175</v>
      </c>
      <c r="AC119" s="27">
        <f>(M119*'RAP TEMPLATE-GAS AVAILABILITY'!O118+N119*'RAP TEMPLATE-GAS AVAILABILITY'!P118+O119*'RAP TEMPLATE-GAS AVAILABILITY'!Q118+P119*'RAP TEMPLATE-GAS AVAILABILITY'!R118)/('RAP TEMPLATE-GAS AVAILABILITY'!O118+'RAP TEMPLATE-GAS AVAILABILITY'!P118+'RAP TEMPLATE-GAS AVAILABILITY'!Q118+'RAP TEMPLATE-GAS AVAILABILITY'!R118)</f>
        <v>5.3764928057553965</v>
      </c>
    </row>
    <row r="120" spans="1:29" ht="15.75" x14ac:dyDescent="0.25">
      <c r="A120" s="16">
        <v>44531</v>
      </c>
      <c r="B120" s="10">
        <f>CHOOSE(CONTROL!$C$42, 5.7804, 5.7804) * CHOOSE(CONTROL!$C$21, $C$9, 100%, $E$9)</f>
        <v>5.7804000000000002</v>
      </c>
      <c r="C120" s="10">
        <f>CHOOSE(CONTROL!$C$42, 5.7854, 5.7854) * CHOOSE(CONTROL!$C$21, $C$9, 100%, $E$9)</f>
        <v>5.7854000000000001</v>
      </c>
      <c r="D120" s="10">
        <f>CHOOSE(CONTROL!$C$42, 5.815, 5.815) * CHOOSE(CONTROL!$C$21, $C$9, 100%, $E$9)</f>
        <v>5.8150000000000004</v>
      </c>
      <c r="E120" s="10">
        <f>CHOOSE(CONTROL!$C$42, 5.8488, 5.8488) * CHOOSE(CONTROL!$C$21, $C$9, 100%, $E$9)</f>
        <v>5.8487999999999998</v>
      </c>
      <c r="F120" s="10">
        <f>CHOOSE(CONTROL!$C$42, 5.7487, 5.7487)*CHOOSE(CONTROL!$C$21, $C$9, 100%, $E$9)</f>
        <v>5.7487000000000004</v>
      </c>
      <c r="G120" s="10">
        <f>CHOOSE(CONTROL!$C$42, 5.7662, 5.7662)*CHOOSE(CONTROL!$C$21, $C$9, 100%, $E$9)</f>
        <v>5.7662000000000004</v>
      </c>
      <c r="H120" s="10">
        <f>CHOOSE(CONTROL!$C$42, 5.838, 5.838) * CHOOSE(CONTROL!$C$21, $C$9, 100%, $E$9)</f>
        <v>5.8380000000000001</v>
      </c>
      <c r="I120" s="10">
        <f>CHOOSE(CONTROL!$C$42, 5.744, 5.744)* CHOOSE(CONTROL!$C$21, $C$9, 100%, $E$9)</f>
        <v>5.7439999999999998</v>
      </c>
      <c r="J120" s="10">
        <f>CHOOSE(CONTROL!$C$42, 5.7417, 5.7417)* CHOOSE(CONTROL!$C$21, $C$9, 100%, $E$9)</f>
        <v>5.7416999999999998</v>
      </c>
      <c r="K120" s="54">
        <f>CHOOSE(CONTROL!$C$42, 5.7402, 5.7402) * CHOOSE(CONTROL!$C$21, $C$9, 100%, $E$9)</f>
        <v>5.7401999999999997</v>
      </c>
      <c r="L120" s="10">
        <f>CHOOSE(CONTROL!$C$42, 6.425, 6.425) * CHOOSE(CONTROL!$C$21, $C$9, 100%, $E$9)</f>
        <v>6.4249999999999998</v>
      </c>
      <c r="M120" s="10">
        <f>CHOOSE(CONTROL!$C$42, 5.6975, 5.6975) * CHOOSE(CONTROL!$C$21, $C$9, 100%, $E$9)</f>
        <v>5.6974999999999998</v>
      </c>
      <c r="N120" s="10">
        <f>CHOOSE(CONTROL!$C$42, 5.7149, 5.7149) * CHOOSE(CONTROL!$C$21, $C$9, 100%, $E$9)</f>
        <v>5.7149000000000001</v>
      </c>
      <c r="O120" s="10">
        <f>CHOOSE(CONTROL!$C$42, 5.7929, 5.7929) * CHOOSE(CONTROL!$C$21, $C$9, 100%, $E$9)</f>
        <v>5.7929000000000004</v>
      </c>
      <c r="P120" s="10">
        <f>CHOOSE(CONTROL!$C$42, 5.6999, 5.6999) * CHOOSE(CONTROL!$C$21, $C$9, 100%, $E$9)</f>
        <v>5.6999000000000004</v>
      </c>
      <c r="Q120" s="10">
        <f>CHOOSE(CONTROL!$C$42, 6.3882, 6.3882) * CHOOSE(CONTROL!$C$21, $C$9, 100%, $E$9)</f>
        <v>6.3882000000000003</v>
      </c>
      <c r="R120" s="10">
        <f>CHOOSE(CONTROL!$C$42, 6.9912, 6.9912) * CHOOSE(CONTROL!$C$21, $C$9, 100%, $E$9)</f>
        <v>6.9912000000000001</v>
      </c>
      <c r="S120" s="10">
        <f>CHOOSE(CONTROL!$C$42, 5.6113, 5.6113) * CHOOSE(CONTROL!$C$21, $C$9, 100%, $E$9)</f>
        <v>5.6113</v>
      </c>
      <c r="T120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20" s="58">
        <f>(1000*CHOOSE(CONTROL!$C$42, 695, 695)*CHOOSE(CONTROL!$C$42, 0.5599, 0.5599)*CHOOSE(CONTROL!$C$42, 31, 31))/1000000</f>
        <v>12.063045499999998</v>
      </c>
      <c r="V120" s="58">
        <f>(1000*CHOOSE(CONTROL!$C$42, 500, 500)*CHOOSE(CONTROL!$C$42, 0.275, 0.275)*CHOOSE(CONTROL!$C$42, 31, 31))/1000000</f>
        <v>4.2625000000000002</v>
      </c>
      <c r="W120" s="58">
        <f>(1000*CHOOSE(CONTROL!$C$42, 0.1146, 0.1146)*CHOOSE(CONTROL!$C$42, 121.5, 121.5)*CHOOSE(CONTROL!$C$42, 31, 31))/1000000</f>
        <v>0.43164089999999994</v>
      </c>
      <c r="X120" s="58">
        <f>(31*0.1790888*100000/1000000)+(31*0.2374*100000/1000000)</f>
        <v>1.2911152800000001</v>
      </c>
      <c r="Y120" s="58"/>
      <c r="Z120" s="10"/>
      <c r="AA120" s="57"/>
      <c r="AB120" s="51">
        <f>(B120*122.58+C120*297.941+D120*89.177+E120*40.302+F120*40+G120*160+H120*0+I120*100+J120*300)/(122.58+297.941+89.177+40.302+0+40+160+100+300)</f>
        <v>5.7704364226086957</v>
      </c>
      <c r="AC120" s="27">
        <f>(M120*'RAP TEMPLATE-GAS AVAILABILITY'!O119+N120*'RAP TEMPLATE-GAS AVAILABILITY'!P119+O120*'RAP TEMPLATE-GAS AVAILABILITY'!Q119+P120*'RAP TEMPLATE-GAS AVAILABILITY'!R119)/('RAP TEMPLATE-GAS AVAILABILITY'!O119+'RAP TEMPLATE-GAS AVAILABILITY'!P119+'RAP TEMPLATE-GAS AVAILABILITY'!Q119+'RAP TEMPLATE-GAS AVAILABILITY'!R119)</f>
        <v>5.7420856115107908</v>
      </c>
    </row>
    <row r="121" spans="1:29" ht="15.75" x14ac:dyDescent="0.25">
      <c r="A121" s="16">
        <v>44562</v>
      </c>
      <c r="B121" s="10">
        <f>CHOOSE(CONTROL!$C$42, 6.2389, 6.2389) * CHOOSE(CONTROL!$C$21, $C$9, 100%, $E$9)</f>
        <v>6.2389000000000001</v>
      </c>
      <c r="C121" s="10">
        <f>CHOOSE(CONTROL!$C$42, 6.2438, 6.2438) * CHOOSE(CONTROL!$C$21, $C$9, 100%, $E$9)</f>
        <v>6.2438000000000002</v>
      </c>
      <c r="D121" s="10">
        <f>CHOOSE(CONTROL!$C$42, 6.294, 6.294) * CHOOSE(CONTROL!$C$21, $C$9, 100%, $E$9)</f>
        <v>6.2939999999999996</v>
      </c>
      <c r="E121" s="10">
        <f>CHOOSE(CONTROL!$C$42, 6.3278, 6.3278) * CHOOSE(CONTROL!$C$21, $C$9, 100%, $E$9)</f>
        <v>6.3277999999999999</v>
      </c>
      <c r="F121" s="10">
        <f>CHOOSE(CONTROL!$C$42, 6.2042, 6.2042)*CHOOSE(CONTROL!$C$21, $C$9, 100%, $E$9)</f>
        <v>6.2042000000000002</v>
      </c>
      <c r="G121" s="10">
        <f>CHOOSE(CONTROL!$C$42, 6.2218, 6.2218)*CHOOSE(CONTROL!$C$21, $C$9, 100%, $E$9)</f>
        <v>6.2218</v>
      </c>
      <c r="H121" s="10">
        <f>CHOOSE(CONTROL!$C$42, 6.317, 6.317) * CHOOSE(CONTROL!$C$21, $C$9, 100%, $E$9)</f>
        <v>6.3170000000000002</v>
      </c>
      <c r="I121" s="10">
        <f>CHOOSE(CONTROL!$C$42, 6.2128, 6.2128)* CHOOSE(CONTROL!$C$21, $C$9, 100%, $E$9)</f>
        <v>6.2127999999999997</v>
      </c>
      <c r="J121" s="10">
        <f>CHOOSE(CONTROL!$C$42, 6.1972, 6.1972)* CHOOSE(CONTROL!$C$21, $C$9, 100%, $E$9)</f>
        <v>6.1971999999999996</v>
      </c>
      <c r="K121" s="54">
        <f>CHOOSE(CONTROL!$C$42, 6.2089, 6.2089) * CHOOSE(CONTROL!$C$21, $C$9, 100%, $E$9)</f>
        <v>6.2088999999999999</v>
      </c>
      <c r="L121" s="10">
        <f>CHOOSE(CONTROL!$C$42, 6.904, 6.904) * CHOOSE(CONTROL!$C$21, $C$9, 100%, $E$9)</f>
        <v>6.9039999999999999</v>
      </c>
      <c r="M121" s="10">
        <f>CHOOSE(CONTROL!$C$42, 6.1485, 6.1485) * CHOOSE(CONTROL!$C$21, $C$9, 100%, $E$9)</f>
        <v>6.1485000000000003</v>
      </c>
      <c r="N121" s="10">
        <f>CHOOSE(CONTROL!$C$42, 6.1659, 6.1659) * CHOOSE(CONTROL!$C$21, $C$9, 100%, $E$9)</f>
        <v>6.1658999999999997</v>
      </c>
      <c r="O121" s="10">
        <f>CHOOSE(CONTROL!$C$42, 6.2671, 6.2671) * CHOOSE(CONTROL!$C$21, $C$9, 100%, $E$9)</f>
        <v>6.2671000000000001</v>
      </c>
      <c r="P121" s="10">
        <f>CHOOSE(CONTROL!$C$42, 6.1639, 6.1639) * CHOOSE(CONTROL!$C$21, $C$9, 100%, $E$9)</f>
        <v>6.1638999999999999</v>
      </c>
      <c r="Q121" s="10">
        <f>CHOOSE(CONTROL!$C$42, 6.8624, 6.8624) * CHOOSE(CONTROL!$C$21, $C$9, 100%, $E$9)</f>
        <v>6.8624000000000001</v>
      </c>
      <c r="R121" s="10">
        <f>CHOOSE(CONTROL!$C$42, 7.4665, 7.4665) * CHOOSE(CONTROL!$C$21, $C$9, 100%, $E$9)</f>
        <v>7.4664999999999999</v>
      </c>
      <c r="S121" s="10">
        <f>CHOOSE(CONTROL!$C$42, 6.0564, 6.0564) * CHOOSE(CONTROL!$C$21, $C$9, 100%, $E$9)</f>
        <v>6.0564</v>
      </c>
      <c r="T121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21" s="58">
        <f>(1000*CHOOSE(CONTROL!$C$42, 695, 695)*CHOOSE(CONTROL!$C$42, 0.5599, 0.5599)*CHOOSE(CONTROL!$C$42, 31, 31))/1000000</f>
        <v>12.063045499999998</v>
      </c>
      <c r="V121" s="58">
        <f>(1000*CHOOSE(CONTROL!$C$42, 500, 500)*CHOOSE(CONTROL!$C$42, 0.275, 0.275)*CHOOSE(CONTROL!$C$42, 31, 31))/1000000</f>
        <v>4.2625000000000002</v>
      </c>
      <c r="W121" s="58">
        <f>(1000*CHOOSE(CONTROL!$C$42, 0.1146, 0.1146)*CHOOSE(CONTROL!$C$42, 121.5, 121.5)*CHOOSE(CONTROL!$C$42, 31, 31))/1000000</f>
        <v>0.43164089999999994</v>
      </c>
      <c r="X121" s="58">
        <f>(31*0.1790888*100000/1000000)+(31*0.2374*100000/1000000)</f>
        <v>1.2911152800000001</v>
      </c>
      <c r="Y121" s="58"/>
      <c r="Z121" s="10"/>
      <c r="AA121" s="57"/>
      <c r="AB121" s="51">
        <f>(B121*122.58+C121*297.941+D121*89.177+E121*40.302+F121*40+G121*160+H121*0+I121*100+J121*300)/(122.58+297.941+89.177+40.302+0+40+160+100+300)</f>
        <v>6.2308238359999999</v>
      </c>
      <c r="AC121" s="27">
        <f>(M121*'RAP TEMPLATE-GAS AVAILABILITY'!O120+N121*'RAP TEMPLATE-GAS AVAILABILITY'!P120+O121*'RAP TEMPLATE-GAS AVAILABILITY'!Q120+P121*'RAP TEMPLATE-GAS AVAILABILITY'!R120)/('RAP TEMPLATE-GAS AVAILABILITY'!O120+'RAP TEMPLATE-GAS AVAILABILITY'!P120+'RAP TEMPLATE-GAS AVAILABILITY'!Q120+'RAP TEMPLATE-GAS AVAILABILITY'!R120)</f>
        <v>6.2054712230215836</v>
      </c>
    </row>
    <row r="122" spans="1:29" ht="15.75" x14ac:dyDescent="0.25">
      <c r="A122" s="16">
        <v>44593</v>
      </c>
      <c r="B122" s="10">
        <f>CHOOSE(CONTROL!$C$42, 6.3499, 6.3499) * CHOOSE(CONTROL!$C$21, $C$9, 100%, $E$9)</f>
        <v>6.3498999999999999</v>
      </c>
      <c r="C122" s="10">
        <f>CHOOSE(CONTROL!$C$42, 6.3548, 6.3548) * CHOOSE(CONTROL!$C$21, $C$9, 100%, $E$9)</f>
        <v>6.3548</v>
      </c>
      <c r="D122" s="10">
        <f>CHOOSE(CONTROL!$C$42, 6.4153, 6.4153) * CHOOSE(CONTROL!$C$21, $C$9, 100%, $E$9)</f>
        <v>6.4153000000000002</v>
      </c>
      <c r="E122" s="10">
        <f>CHOOSE(CONTROL!$C$42, 6.4491, 6.4491) * CHOOSE(CONTROL!$C$21, $C$9, 100%, $E$9)</f>
        <v>6.4490999999999996</v>
      </c>
      <c r="F122" s="10">
        <f>CHOOSE(CONTROL!$C$42, 6.3431, 6.3431)*CHOOSE(CONTROL!$C$21, $C$9, 100%, $E$9)</f>
        <v>6.3430999999999997</v>
      </c>
      <c r="G122" s="10">
        <f>CHOOSE(CONTROL!$C$42, 6.3604, 6.3604)*CHOOSE(CONTROL!$C$21, $C$9, 100%, $E$9)</f>
        <v>6.3604000000000003</v>
      </c>
      <c r="H122" s="10">
        <f>CHOOSE(CONTROL!$C$42, 6.4383, 6.4383) * CHOOSE(CONTROL!$C$21, $C$9, 100%, $E$9)</f>
        <v>6.4382999999999999</v>
      </c>
      <c r="I122" s="10">
        <f>CHOOSE(CONTROL!$C$42, 6.3366, 6.3366)* CHOOSE(CONTROL!$C$21, $C$9, 100%, $E$9)</f>
        <v>6.3365999999999998</v>
      </c>
      <c r="J122" s="10">
        <f>CHOOSE(CONTROL!$C$42, 6.3361, 6.3361)* CHOOSE(CONTROL!$C$21, $C$9, 100%, $E$9)</f>
        <v>6.3361000000000001</v>
      </c>
      <c r="K122" s="54">
        <f>CHOOSE(CONTROL!$C$42, 6.3328, 6.3328) * CHOOSE(CONTROL!$C$21, $C$9, 100%, $E$9)</f>
        <v>6.3327999999999998</v>
      </c>
      <c r="L122" s="10">
        <f>CHOOSE(CONTROL!$C$42, 7.0253, 7.0253) * CHOOSE(CONTROL!$C$21, $C$9, 100%, $E$9)</f>
        <v>7.0252999999999997</v>
      </c>
      <c r="M122" s="10">
        <f>CHOOSE(CONTROL!$C$42, 6.286, 6.286) * CHOOSE(CONTROL!$C$21, $C$9, 100%, $E$9)</f>
        <v>6.2859999999999996</v>
      </c>
      <c r="N122" s="10">
        <f>CHOOSE(CONTROL!$C$42, 6.3031, 6.3031) * CHOOSE(CONTROL!$C$21, $C$9, 100%, $E$9)</f>
        <v>6.3030999999999997</v>
      </c>
      <c r="O122" s="10">
        <f>CHOOSE(CONTROL!$C$42, 6.3872, 6.3872) * CHOOSE(CONTROL!$C$21, $C$9, 100%, $E$9)</f>
        <v>6.3872</v>
      </c>
      <c r="P122" s="10">
        <f>CHOOSE(CONTROL!$C$42, 6.2866, 6.2866) * CHOOSE(CONTROL!$C$21, $C$9, 100%, $E$9)</f>
        <v>6.2866</v>
      </c>
      <c r="Q122" s="10">
        <f>CHOOSE(CONTROL!$C$42, 6.9825, 6.9825) * CHOOSE(CONTROL!$C$21, $C$9, 100%, $E$9)</f>
        <v>6.9824999999999999</v>
      </c>
      <c r="R122" s="10">
        <f>CHOOSE(CONTROL!$C$42, 7.5869, 7.5869) * CHOOSE(CONTROL!$C$21, $C$9, 100%, $E$9)</f>
        <v>7.5869</v>
      </c>
      <c r="S122" s="10">
        <f>CHOOSE(CONTROL!$C$42, 6.1642, 6.1642) * CHOOSE(CONTROL!$C$21, $C$9, 100%, $E$9)</f>
        <v>6.1642000000000001</v>
      </c>
      <c r="T122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122" s="58">
        <f>(1000*CHOOSE(CONTROL!$C$42, 695, 695)*CHOOSE(CONTROL!$C$42, 0.5599, 0.5599)*CHOOSE(CONTROL!$C$42, 28, 28))/1000000</f>
        <v>10.895653999999999</v>
      </c>
      <c r="V122" s="58">
        <f>(1000*CHOOSE(CONTROL!$C$42, 500, 500)*CHOOSE(CONTROL!$C$42, 0.275, 0.275)*CHOOSE(CONTROL!$C$42, 28, 28))/1000000</f>
        <v>3.85</v>
      </c>
      <c r="W122" s="58">
        <f>(1000*CHOOSE(CONTROL!$C$42, 0.1146, 0.1146)*CHOOSE(CONTROL!$C$42, 121.5, 121.5)*CHOOSE(CONTROL!$C$42, 28, 28))/1000000</f>
        <v>0.38986920000000003</v>
      </c>
      <c r="X122" s="58">
        <f>(28*0.1790888*100000/1000000)+(28*0.2374*100000/1000000)</f>
        <v>1.16616864</v>
      </c>
      <c r="Y122" s="58"/>
      <c r="Z122" s="10"/>
      <c r="AA122" s="57"/>
      <c r="AB122" s="51">
        <f>(B122*122.58+C122*297.941+D122*89.177+E122*40.302+F122*40+G122*160+H122*0+I122*100+J122*300)/(122.58+297.941+89.177+40.302+0+40+160+100+300)</f>
        <v>6.3561852566086952</v>
      </c>
      <c r="AC122" s="27">
        <f>(M122*'RAP TEMPLATE-GAS AVAILABILITY'!O121+N122*'RAP TEMPLATE-GAS AVAILABILITY'!P121+O122*'RAP TEMPLATE-GAS AVAILABILITY'!Q121+P122*'RAP TEMPLATE-GAS AVAILABILITY'!R121)/('RAP TEMPLATE-GAS AVAILABILITY'!O121+'RAP TEMPLATE-GAS AVAILABILITY'!P121+'RAP TEMPLATE-GAS AVAILABILITY'!Q121+'RAP TEMPLATE-GAS AVAILABILITY'!R121)</f>
        <v>6.3329381294964024</v>
      </c>
    </row>
    <row r="123" spans="1:29" ht="15.75" x14ac:dyDescent="0.25">
      <c r="A123" s="16">
        <v>44621</v>
      </c>
      <c r="B123" s="10">
        <f>CHOOSE(CONTROL!$C$42, 6.1697, 6.1697) * CHOOSE(CONTROL!$C$21, $C$9, 100%, $E$9)</f>
        <v>6.1696999999999997</v>
      </c>
      <c r="C123" s="10">
        <f>CHOOSE(CONTROL!$C$42, 6.1746, 6.1746) * CHOOSE(CONTROL!$C$21, $C$9, 100%, $E$9)</f>
        <v>6.1745999999999999</v>
      </c>
      <c r="D123" s="10">
        <f>CHOOSE(CONTROL!$C$42, 6.2351, 6.2351) * CHOOSE(CONTROL!$C$21, $C$9, 100%, $E$9)</f>
        <v>6.2351000000000001</v>
      </c>
      <c r="E123" s="10">
        <f>CHOOSE(CONTROL!$C$42, 6.2689, 6.2689) * CHOOSE(CONTROL!$C$21, $C$9, 100%, $E$9)</f>
        <v>6.2689000000000004</v>
      </c>
      <c r="F123" s="10">
        <f>CHOOSE(CONTROL!$C$42, 6.1574, 6.1574)*CHOOSE(CONTROL!$C$21, $C$9, 100%, $E$9)</f>
        <v>6.1574</v>
      </c>
      <c r="G123" s="10">
        <f>CHOOSE(CONTROL!$C$42, 6.1746, 6.1746)*CHOOSE(CONTROL!$C$21, $C$9, 100%, $E$9)</f>
        <v>6.1745999999999999</v>
      </c>
      <c r="H123" s="10">
        <f>CHOOSE(CONTROL!$C$42, 6.2581, 6.2581) * CHOOSE(CONTROL!$C$21, $C$9, 100%, $E$9)</f>
        <v>6.2580999999999998</v>
      </c>
      <c r="I123" s="10">
        <f>CHOOSE(CONTROL!$C$42, 6.1436, 6.1436)* CHOOSE(CONTROL!$C$21, $C$9, 100%, $E$9)</f>
        <v>6.1436000000000002</v>
      </c>
      <c r="J123" s="10">
        <f>CHOOSE(CONTROL!$C$42, 6.1504, 6.1504)* CHOOSE(CONTROL!$C$21, $C$9, 100%, $E$9)</f>
        <v>6.1504000000000003</v>
      </c>
      <c r="K123" s="54">
        <f>CHOOSE(CONTROL!$C$42, 6.1397, 6.1397) * CHOOSE(CONTROL!$C$21, $C$9, 100%, $E$9)</f>
        <v>6.1397000000000004</v>
      </c>
      <c r="L123" s="10">
        <f>CHOOSE(CONTROL!$C$42, 6.8451, 6.8451) * CHOOSE(CONTROL!$C$21, $C$9, 100%, $E$9)</f>
        <v>6.8451000000000004</v>
      </c>
      <c r="M123" s="10">
        <f>CHOOSE(CONTROL!$C$42, 6.1022, 6.1022) * CHOOSE(CONTROL!$C$21, $C$9, 100%, $E$9)</f>
        <v>6.1021999999999998</v>
      </c>
      <c r="N123" s="10">
        <f>CHOOSE(CONTROL!$C$42, 6.1192, 6.1192) * CHOOSE(CONTROL!$C$21, $C$9, 100%, $E$9)</f>
        <v>6.1192000000000002</v>
      </c>
      <c r="O123" s="10">
        <f>CHOOSE(CONTROL!$C$42, 6.2088, 6.2088) * CHOOSE(CONTROL!$C$21, $C$9, 100%, $E$9)</f>
        <v>6.2088000000000001</v>
      </c>
      <c r="P123" s="10">
        <f>CHOOSE(CONTROL!$C$42, 6.0954, 6.0954) * CHOOSE(CONTROL!$C$21, $C$9, 100%, $E$9)</f>
        <v>6.0953999999999997</v>
      </c>
      <c r="Q123" s="10">
        <f>CHOOSE(CONTROL!$C$42, 6.8041, 6.8041) * CHOOSE(CONTROL!$C$21, $C$9, 100%, $E$9)</f>
        <v>6.8041</v>
      </c>
      <c r="R123" s="10">
        <f>CHOOSE(CONTROL!$C$42, 7.4081, 7.4081) * CHOOSE(CONTROL!$C$21, $C$9, 100%, $E$9)</f>
        <v>7.4081000000000001</v>
      </c>
      <c r="S123" s="10">
        <f>CHOOSE(CONTROL!$C$42, 5.9892, 5.9892) * CHOOSE(CONTROL!$C$21, $C$9, 100%, $E$9)</f>
        <v>5.9892000000000003</v>
      </c>
      <c r="T123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23" s="58">
        <f>(1000*CHOOSE(CONTROL!$C$42, 695, 695)*CHOOSE(CONTROL!$C$42, 0.5599, 0.5599)*CHOOSE(CONTROL!$C$42, 31, 31))/1000000</f>
        <v>12.063045499999998</v>
      </c>
      <c r="V123" s="58">
        <f>(1000*CHOOSE(CONTROL!$C$42, 500, 500)*CHOOSE(CONTROL!$C$42, 0.275, 0.275)*CHOOSE(CONTROL!$C$42, 31, 31))/1000000</f>
        <v>4.2625000000000002</v>
      </c>
      <c r="W123" s="58">
        <f>(1000*CHOOSE(CONTROL!$C$42, 0.1146, 0.1146)*CHOOSE(CONTROL!$C$42, 121.5, 121.5)*CHOOSE(CONTROL!$C$42, 31, 31))/1000000</f>
        <v>0.43164089999999994</v>
      </c>
      <c r="X123" s="58">
        <f>(31*0.1790888*100000/1000000)+(31*0.2374*100000/1000000)</f>
        <v>1.2911152800000001</v>
      </c>
      <c r="Y123" s="58"/>
      <c r="Z123" s="10"/>
      <c r="AA123" s="57"/>
      <c r="AB123" s="51">
        <f>(B123*122.58+C123*297.941+D123*89.177+E123*40.302+F123*40+G123*160+H123*0+I123*100+J123*300)/(122.58+297.941+89.177+40.302+0+40+160+100+300)</f>
        <v>6.1724669957391294</v>
      </c>
      <c r="AC123" s="27">
        <f>(M123*'RAP TEMPLATE-GAS AVAILABILITY'!O122+N123*'RAP TEMPLATE-GAS AVAILABILITY'!P122+O123*'RAP TEMPLATE-GAS AVAILABILITY'!Q122+P123*'RAP TEMPLATE-GAS AVAILABILITY'!R122)/('RAP TEMPLATE-GAS AVAILABILITY'!O122+'RAP TEMPLATE-GAS AVAILABILITY'!P122+'RAP TEMPLATE-GAS AVAILABILITY'!Q122+'RAP TEMPLATE-GAS AVAILABILITY'!R122)</f>
        <v>6.1505151079136695</v>
      </c>
    </row>
    <row r="124" spans="1:29" ht="15.75" x14ac:dyDescent="0.25">
      <c r="A124" s="16">
        <v>44652</v>
      </c>
      <c r="B124" s="10">
        <f>CHOOSE(CONTROL!$C$42, 6.1524, 6.1524) * CHOOSE(CONTROL!$C$21, $C$9, 100%, $E$9)</f>
        <v>6.1524000000000001</v>
      </c>
      <c r="C124" s="10">
        <f>CHOOSE(CONTROL!$C$42, 6.1568, 6.1568) * CHOOSE(CONTROL!$C$21, $C$9, 100%, $E$9)</f>
        <v>6.1567999999999996</v>
      </c>
      <c r="D124" s="10">
        <f>CHOOSE(CONTROL!$C$42, 6.3523, 6.3523) * CHOOSE(CONTROL!$C$21, $C$9, 100%, $E$9)</f>
        <v>6.3522999999999996</v>
      </c>
      <c r="E124" s="10">
        <f>CHOOSE(CONTROL!$C$42, 6.3841, 6.3841) * CHOOSE(CONTROL!$C$21, $C$9, 100%, $E$9)</f>
        <v>6.3841000000000001</v>
      </c>
      <c r="F124" s="10">
        <f>CHOOSE(CONTROL!$C$42, 6.1202, 6.1202)*CHOOSE(CONTROL!$C$21, $C$9, 100%, $E$9)</f>
        <v>6.1201999999999996</v>
      </c>
      <c r="G124" s="10">
        <f>CHOOSE(CONTROL!$C$42, 6.137, 6.137)*CHOOSE(CONTROL!$C$21, $C$9, 100%, $E$9)</f>
        <v>6.1369999999999996</v>
      </c>
      <c r="H124" s="10">
        <f>CHOOSE(CONTROL!$C$42, 6.3739, 6.3739) * CHOOSE(CONTROL!$C$21, $C$9, 100%, $E$9)</f>
        <v>6.3738999999999999</v>
      </c>
      <c r="I124" s="10">
        <f>CHOOSE(CONTROL!$C$42, 6.1204, 6.1204)* CHOOSE(CONTROL!$C$21, $C$9, 100%, $E$9)</f>
        <v>6.1204000000000001</v>
      </c>
      <c r="J124" s="10">
        <f>CHOOSE(CONTROL!$C$42, 6.1132, 6.1132)* CHOOSE(CONTROL!$C$21, $C$9, 100%, $E$9)</f>
        <v>6.1132</v>
      </c>
      <c r="K124" s="54">
        <f>CHOOSE(CONTROL!$C$42, 6.1165, 6.1165) * CHOOSE(CONTROL!$C$21, $C$9, 100%, $E$9)</f>
        <v>6.1165000000000003</v>
      </c>
      <c r="L124" s="10">
        <f>CHOOSE(CONTROL!$C$42, 6.9609, 6.9609) * CHOOSE(CONTROL!$C$21, $C$9, 100%, $E$9)</f>
        <v>6.9608999999999996</v>
      </c>
      <c r="M124" s="10">
        <f>CHOOSE(CONTROL!$C$42, 6.0653, 6.0653) * CHOOSE(CONTROL!$C$21, $C$9, 100%, $E$9)</f>
        <v>6.0652999999999997</v>
      </c>
      <c r="N124" s="10">
        <f>CHOOSE(CONTROL!$C$42, 6.0819, 6.0819) * CHOOSE(CONTROL!$C$21, $C$9, 100%, $E$9)</f>
        <v>6.0819000000000001</v>
      </c>
      <c r="O124" s="10">
        <f>CHOOSE(CONTROL!$C$42, 6.3234, 6.3234) * CHOOSE(CONTROL!$C$21, $C$9, 100%, $E$9)</f>
        <v>6.3234000000000004</v>
      </c>
      <c r="P124" s="10">
        <f>CHOOSE(CONTROL!$C$42, 6.0725, 6.0725) * CHOOSE(CONTROL!$C$21, $C$9, 100%, $E$9)</f>
        <v>6.0724999999999998</v>
      </c>
      <c r="Q124" s="10">
        <f>CHOOSE(CONTROL!$C$42, 6.9187, 6.9187) * CHOOSE(CONTROL!$C$21, $C$9, 100%, $E$9)</f>
        <v>6.9187000000000003</v>
      </c>
      <c r="R124" s="10">
        <f>CHOOSE(CONTROL!$C$42, 7.523, 7.523) * CHOOSE(CONTROL!$C$21, $C$9, 100%, $E$9)</f>
        <v>7.5229999999999997</v>
      </c>
      <c r="S124" s="10">
        <f>CHOOSE(CONTROL!$C$42, 5.9717, 5.9717) * CHOOSE(CONTROL!$C$21, $C$9, 100%, $E$9)</f>
        <v>5.9717000000000002</v>
      </c>
      <c r="T124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24" s="58">
        <f>(1000*CHOOSE(CONTROL!$C$42, 695, 695)*CHOOSE(CONTROL!$C$42, 0.5599, 0.5599)*CHOOSE(CONTROL!$C$42, 30, 30))/1000000</f>
        <v>11.673914999999997</v>
      </c>
      <c r="V124" s="58">
        <f>(1000*CHOOSE(CONTROL!$C$42, 500, 500)*CHOOSE(CONTROL!$C$42, 0.275, 0.275)*CHOOSE(CONTROL!$C$42, 30, 30))/1000000</f>
        <v>4.125</v>
      </c>
      <c r="W124" s="58">
        <f>(1000*CHOOSE(CONTROL!$C$42, 0.1146, 0.1146)*CHOOSE(CONTROL!$C$42, 121.5, 121.5)*CHOOSE(CONTROL!$C$42, 30, 30))/1000000</f>
        <v>0.417717</v>
      </c>
      <c r="X124" s="58">
        <f>(30*0.1790888*245000/1000000)+(30*0.2374*100000/1000000)</f>
        <v>2.0285026799999999</v>
      </c>
      <c r="Y124" s="58"/>
      <c r="Z124" s="10"/>
      <c r="AA124" s="57"/>
      <c r="AB124" s="51">
        <f>(B124*141.293+C124*267.993+D124*115.016+E124*89.698+F124*40+G124*185+H124*0+I124*100+J124*300)/(141.293+267.993+115.016+89.698+0+40+185+100+300)</f>
        <v>6.1732691640032282</v>
      </c>
      <c r="AC124" s="27">
        <f>(M124*'RAP TEMPLATE-GAS AVAILABILITY'!O123+N124*'RAP TEMPLATE-GAS AVAILABILITY'!P123+O124*'RAP TEMPLATE-GAS AVAILABILITY'!Q123+P124*'RAP TEMPLATE-GAS AVAILABILITY'!R123)/('RAP TEMPLATE-GAS AVAILABILITY'!O123+'RAP TEMPLATE-GAS AVAILABILITY'!P123+'RAP TEMPLATE-GAS AVAILABILITY'!Q123+'RAP TEMPLATE-GAS AVAILABILITY'!R123)</f>
        <v>6.1425741007194246</v>
      </c>
    </row>
    <row r="125" spans="1:29" ht="15.75" x14ac:dyDescent="0.25">
      <c r="A125" s="16">
        <v>44682</v>
      </c>
      <c r="B125" s="10">
        <f>CHOOSE(CONTROL!$C$42, 6.2081, 6.2081) * CHOOSE(CONTROL!$C$21, $C$9, 100%, $E$9)</f>
        <v>6.2081</v>
      </c>
      <c r="C125" s="10">
        <f>CHOOSE(CONTROL!$C$42, 6.216, 6.216) * CHOOSE(CONTROL!$C$21, $C$9, 100%, $E$9)</f>
        <v>6.2160000000000002</v>
      </c>
      <c r="D125" s="10">
        <f>CHOOSE(CONTROL!$C$42, 6.4084, 6.4084) * CHOOSE(CONTROL!$C$21, $C$9, 100%, $E$9)</f>
        <v>6.4084000000000003</v>
      </c>
      <c r="E125" s="10">
        <f>CHOOSE(CONTROL!$C$42, 6.4395, 6.4395) * CHOOSE(CONTROL!$C$21, $C$9, 100%, $E$9)</f>
        <v>6.4394999999999998</v>
      </c>
      <c r="F125" s="10">
        <f>CHOOSE(CONTROL!$C$42, 6.1743, 6.1743)*CHOOSE(CONTROL!$C$21, $C$9, 100%, $E$9)</f>
        <v>6.1742999999999997</v>
      </c>
      <c r="G125" s="10">
        <f>CHOOSE(CONTROL!$C$42, 6.1914, 6.1914)*CHOOSE(CONTROL!$C$21, $C$9, 100%, $E$9)</f>
        <v>6.1913999999999998</v>
      </c>
      <c r="H125" s="10">
        <f>CHOOSE(CONTROL!$C$42, 6.4282, 6.4282) * CHOOSE(CONTROL!$C$21, $C$9, 100%, $E$9)</f>
        <v>6.4282000000000004</v>
      </c>
      <c r="I125" s="10">
        <f>CHOOSE(CONTROL!$C$42, 6.1746, 6.1746)* CHOOSE(CONTROL!$C$21, $C$9, 100%, $E$9)</f>
        <v>6.1745999999999999</v>
      </c>
      <c r="J125" s="10">
        <f>CHOOSE(CONTROL!$C$42, 6.1673, 6.1673)* CHOOSE(CONTROL!$C$21, $C$9, 100%, $E$9)</f>
        <v>6.1673</v>
      </c>
      <c r="K125" s="54">
        <f>CHOOSE(CONTROL!$C$42, 6.1707, 6.1707) * CHOOSE(CONTROL!$C$21, $C$9, 100%, $E$9)</f>
        <v>6.1707000000000001</v>
      </c>
      <c r="L125" s="10">
        <f>CHOOSE(CONTROL!$C$42, 7.0152, 7.0152) * CHOOSE(CONTROL!$C$21, $C$9, 100%, $E$9)</f>
        <v>7.0152000000000001</v>
      </c>
      <c r="M125" s="10">
        <f>CHOOSE(CONTROL!$C$42, 6.1189, 6.1189) * CHOOSE(CONTROL!$C$21, $C$9, 100%, $E$9)</f>
        <v>6.1189</v>
      </c>
      <c r="N125" s="10">
        <f>CHOOSE(CONTROL!$C$42, 6.1358, 6.1358) * CHOOSE(CONTROL!$C$21, $C$9, 100%, $E$9)</f>
        <v>6.1357999999999997</v>
      </c>
      <c r="O125" s="10">
        <f>CHOOSE(CONTROL!$C$42, 6.3771, 6.3771) * CHOOSE(CONTROL!$C$21, $C$9, 100%, $E$9)</f>
        <v>6.3771000000000004</v>
      </c>
      <c r="P125" s="10">
        <f>CHOOSE(CONTROL!$C$42, 6.1262, 6.1262) * CHOOSE(CONTROL!$C$21, $C$9, 100%, $E$9)</f>
        <v>6.1261999999999999</v>
      </c>
      <c r="Q125" s="10">
        <f>CHOOSE(CONTROL!$C$42, 6.9724, 6.9724) * CHOOSE(CONTROL!$C$21, $C$9, 100%, $E$9)</f>
        <v>6.9724000000000004</v>
      </c>
      <c r="R125" s="10">
        <f>CHOOSE(CONTROL!$C$42, 7.5769, 7.5769) * CHOOSE(CONTROL!$C$21, $C$9, 100%, $E$9)</f>
        <v>7.5769000000000002</v>
      </c>
      <c r="S125" s="10">
        <f>CHOOSE(CONTROL!$C$42, 6.0244, 6.0244) * CHOOSE(CONTROL!$C$21, $C$9, 100%, $E$9)</f>
        <v>6.0244</v>
      </c>
      <c r="T125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25" s="58">
        <f>(1000*CHOOSE(CONTROL!$C$42, 695, 695)*CHOOSE(CONTROL!$C$42, 0.5599, 0.5599)*CHOOSE(CONTROL!$C$42, 31, 31))/1000000</f>
        <v>12.063045499999998</v>
      </c>
      <c r="V125" s="58">
        <f>(1000*CHOOSE(CONTROL!$C$42, 500, 500)*CHOOSE(CONTROL!$C$42, 0.275, 0.275)*CHOOSE(CONTROL!$C$42, 31, 31))/1000000</f>
        <v>4.2625000000000002</v>
      </c>
      <c r="W125" s="58">
        <f>(1000*CHOOSE(CONTROL!$C$42, 0.1146, 0.1146)*CHOOSE(CONTROL!$C$42, 121.5, 121.5)*CHOOSE(CONTROL!$C$42, 31, 31))/1000000</f>
        <v>0.43164089999999994</v>
      </c>
      <c r="X125" s="58">
        <f>(31*0.1790888*245000/1000000)+(31*0.2374*100000/1000000)</f>
        <v>2.0961194359999999</v>
      </c>
      <c r="Y125" s="58"/>
      <c r="Z125" s="10"/>
      <c r="AA125" s="57"/>
      <c r="AB125" s="51">
        <f>(B125*194.205+C125*267.466+D125*133.845+E125*53.484+F125*40+G125*185+H125*0+I125*100+J125*300)/(194.205+267.466+133.845+53.484+0+40+185+100+300)</f>
        <v>6.2247929611459965</v>
      </c>
      <c r="AC125" s="27">
        <f>(M125*'RAP TEMPLATE-GAS AVAILABILITY'!O124+N125*'RAP TEMPLATE-GAS AVAILABILITY'!P124+O125*'RAP TEMPLATE-GAS AVAILABILITY'!Q124+P125*'RAP TEMPLATE-GAS AVAILABILITY'!R124)/('RAP TEMPLATE-GAS AVAILABILITY'!O124+'RAP TEMPLATE-GAS AVAILABILITY'!P124+'RAP TEMPLATE-GAS AVAILABILITY'!Q124+'RAP TEMPLATE-GAS AVAILABILITY'!R124)</f>
        <v>6.1962856115107909</v>
      </c>
    </row>
    <row r="126" spans="1:29" ht="15.75" x14ac:dyDescent="0.25">
      <c r="A126" s="16">
        <v>44713</v>
      </c>
      <c r="B126" s="10">
        <f>CHOOSE(CONTROL!$C$42, 6.384, 6.384) * CHOOSE(CONTROL!$C$21, $C$9, 100%, $E$9)</f>
        <v>6.3840000000000003</v>
      </c>
      <c r="C126" s="10">
        <f>CHOOSE(CONTROL!$C$42, 6.3919, 6.3919) * CHOOSE(CONTROL!$C$21, $C$9, 100%, $E$9)</f>
        <v>6.3918999999999997</v>
      </c>
      <c r="D126" s="10">
        <f>CHOOSE(CONTROL!$C$42, 6.5843, 6.5843) * CHOOSE(CONTROL!$C$21, $C$9, 100%, $E$9)</f>
        <v>6.5842999999999998</v>
      </c>
      <c r="E126" s="10">
        <f>CHOOSE(CONTROL!$C$42, 6.6155, 6.6155) * CHOOSE(CONTROL!$C$21, $C$9, 100%, $E$9)</f>
        <v>6.6154999999999999</v>
      </c>
      <c r="F126" s="10">
        <f>CHOOSE(CONTROL!$C$42, 6.3505, 6.3505)*CHOOSE(CONTROL!$C$21, $C$9, 100%, $E$9)</f>
        <v>6.3505000000000003</v>
      </c>
      <c r="G126" s="10">
        <f>CHOOSE(CONTROL!$C$42, 6.3677, 6.3677)*CHOOSE(CONTROL!$C$21, $C$9, 100%, $E$9)</f>
        <v>6.3677000000000001</v>
      </c>
      <c r="H126" s="10">
        <f>CHOOSE(CONTROL!$C$42, 6.6041, 6.6041) * CHOOSE(CONTROL!$C$21, $C$9, 100%, $E$9)</f>
        <v>6.6040999999999999</v>
      </c>
      <c r="I126" s="10">
        <f>CHOOSE(CONTROL!$C$42, 6.3506, 6.3506)* CHOOSE(CONTROL!$C$21, $C$9, 100%, $E$9)</f>
        <v>6.3506</v>
      </c>
      <c r="J126" s="10">
        <f>CHOOSE(CONTROL!$C$42, 6.3435, 6.3435)* CHOOSE(CONTROL!$C$21, $C$9, 100%, $E$9)</f>
        <v>6.3434999999999997</v>
      </c>
      <c r="K126" s="54">
        <f>CHOOSE(CONTROL!$C$42, 6.3467, 6.3467) * CHOOSE(CONTROL!$C$21, $C$9, 100%, $E$9)</f>
        <v>6.3467000000000002</v>
      </c>
      <c r="L126" s="10">
        <f>CHOOSE(CONTROL!$C$42, 7.1911, 7.1911) * CHOOSE(CONTROL!$C$21, $C$9, 100%, $E$9)</f>
        <v>7.1910999999999996</v>
      </c>
      <c r="M126" s="10">
        <f>CHOOSE(CONTROL!$C$42, 6.2933, 6.2933) * CHOOSE(CONTROL!$C$21, $C$9, 100%, $E$9)</f>
        <v>6.2933000000000003</v>
      </c>
      <c r="N126" s="10">
        <f>CHOOSE(CONTROL!$C$42, 6.3103, 6.3103) * CHOOSE(CONTROL!$C$21, $C$9, 100%, $E$9)</f>
        <v>6.3102999999999998</v>
      </c>
      <c r="O126" s="10">
        <f>CHOOSE(CONTROL!$C$42, 6.5513, 6.5513) * CHOOSE(CONTROL!$C$21, $C$9, 100%, $E$9)</f>
        <v>6.5513000000000003</v>
      </c>
      <c r="P126" s="10">
        <f>CHOOSE(CONTROL!$C$42, 6.3003, 6.3003) * CHOOSE(CONTROL!$C$21, $C$9, 100%, $E$9)</f>
        <v>6.3003</v>
      </c>
      <c r="Q126" s="10">
        <f>CHOOSE(CONTROL!$C$42, 7.1466, 7.1466) * CHOOSE(CONTROL!$C$21, $C$9, 100%, $E$9)</f>
        <v>7.1466000000000003</v>
      </c>
      <c r="R126" s="10">
        <f>CHOOSE(CONTROL!$C$42, 7.7515, 7.7515) * CHOOSE(CONTROL!$C$21, $C$9, 100%, $E$9)</f>
        <v>7.7515000000000001</v>
      </c>
      <c r="S126" s="10">
        <f>CHOOSE(CONTROL!$C$42, 6.1953, 6.1953) * CHOOSE(CONTROL!$C$21, $C$9, 100%, $E$9)</f>
        <v>6.1952999999999996</v>
      </c>
      <c r="T126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26" s="58">
        <f>(1000*CHOOSE(CONTROL!$C$42, 695, 695)*CHOOSE(CONTROL!$C$42, 0.5599, 0.5599)*CHOOSE(CONTROL!$C$42, 30, 30))/1000000</f>
        <v>11.673914999999997</v>
      </c>
      <c r="V126" s="58">
        <f>(1000*CHOOSE(CONTROL!$C$42, 500, 500)*CHOOSE(CONTROL!$C$42, 0.275, 0.275)*CHOOSE(CONTROL!$C$42, 30, 30))/1000000</f>
        <v>4.125</v>
      </c>
      <c r="W126" s="58">
        <f>(1000*CHOOSE(CONTROL!$C$42, 0.1146, 0.1146)*CHOOSE(CONTROL!$C$42, 121.5, 121.5)*CHOOSE(CONTROL!$C$42, 30, 30))/1000000</f>
        <v>0.417717</v>
      </c>
      <c r="X126" s="58">
        <f>(30*0.1790888*245000/1000000)+(30*0.2374*100000/1000000)</f>
        <v>2.0285026799999999</v>
      </c>
      <c r="Y126" s="58"/>
      <c r="Z126" s="10"/>
      <c r="AA126" s="57"/>
      <c r="AB126" s="51">
        <f>(B126*194.205+C126*267.466+D126*133.845+E126*53.484+F126*40+G126*185+H126*0+I126*100+J126*300)/(194.205+267.466+133.845+53.484+0+40+185+100+300)</f>
        <v>6.4008431561224493</v>
      </c>
      <c r="AC126" s="27">
        <f>(M126*'RAP TEMPLATE-GAS AVAILABILITY'!O125+N126*'RAP TEMPLATE-GAS AVAILABILITY'!P125+O126*'RAP TEMPLATE-GAS AVAILABILITY'!Q125+P126*'RAP TEMPLATE-GAS AVAILABILITY'!R125)/('RAP TEMPLATE-GAS AVAILABILITY'!O125+'RAP TEMPLATE-GAS AVAILABILITY'!P125+'RAP TEMPLATE-GAS AVAILABILITY'!Q125+'RAP TEMPLATE-GAS AVAILABILITY'!R125)</f>
        <v>6.3706093525179845</v>
      </c>
    </row>
    <row r="127" spans="1:29" ht="15.75" x14ac:dyDescent="0.25">
      <c r="A127" s="16">
        <v>44743</v>
      </c>
      <c r="B127" s="10">
        <f>CHOOSE(CONTROL!$C$42, 6.2616, 6.2616) * CHOOSE(CONTROL!$C$21, $C$9, 100%, $E$9)</f>
        <v>6.2615999999999996</v>
      </c>
      <c r="C127" s="10">
        <f>CHOOSE(CONTROL!$C$42, 6.2695, 6.2695) * CHOOSE(CONTROL!$C$21, $C$9, 100%, $E$9)</f>
        <v>6.2694999999999999</v>
      </c>
      <c r="D127" s="10">
        <f>CHOOSE(CONTROL!$C$42, 6.462, 6.462) * CHOOSE(CONTROL!$C$21, $C$9, 100%, $E$9)</f>
        <v>6.4619999999999997</v>
      </c>
      <c r="E127" s="10">
        <f>CHOOSE(CONTROL!$C$42, 6.4931, 6.4931) * CHOOSE(CONTROL!$C$21, $C$9, 100%, $E$9)</f>
        <v>6.4931000000000001</v>
      </c>
      <c r="F127" s="10">
        <f>CHOOSE(CONTROL!$C$42, 6.2285, 6.2285)*CHOOSE(CONTROL!$C$21, $C$9, 100%, $E$9)</f>
        <v>6.2285000000000004</v>
      </c>
      <c r="G127" s="10">
        <f>CHOOSE(CONTROL!$C$42, 6.2458, 6.2458)*CHOOSE(CONTROL!$C$21, $C$9, 100%, $E$9)</f>
        <v>6.2458</v>
      </c>
      <c r="H127" s="10">
        <f>CHOOSE(CONTROL!$C$42, 6.4817, 6.4817) * CHOOSE(CONTROL!$C$21, $C$9, 100%, $E$9)</f>
        <v>6.4817</v>
      </c>
      <c r="I127" s="10">
        <f>CHOOSE(CONTROL!$C$42, 6.2282, 6.2282)* CHOOSE(CONTROL!$C$21, $C$9, 100%, $E$9)</f>
        <v>6.2282000000000002</v>
      </c>
      <c r="J127" s="10">
        <f>CHOOSE(CONTROL!$C$42, 6.2215, 6.2215)* CHOOSE(CONTROL!$C$21, $C$9, 100%, $E$9)</f>
        <v>6.2214999999999998</v>
      </c>
      <c r="K127" s="54">
        <f>CHOOSE(CONTROL!$C$42, 6.2243, 6.2243) * CHOOSE(CONTROL!$C$21, $C$9, 100%, $E$9)</f>
        <v>6.2243000000000004</v>
      </c>
      <c r="L127" s="10">
        <f>CHOOSE(CONTROL!$C$42, 7.0687, 7.0687) * CHOOSE(CONTROL!$C$21, $C$9, 100%, $E$9)</f>
        <v>7.0686999999999998</v>
      </c>
      <c r="M127" s="10">
        <f>CHOOSE(CONTROL!$C$42, 6.1726, 6.1726) * CHOOSE(CONTROL!$C$21, $C$9, 100%, $E$9)</f>
        <v>6.1726000000000001</v>
      </c>
      <c r="N127" s="10">
        <f>CHOOSE(CONTROL!$C$42, 6.1897, 6.1897) * CHOOSE(CONTROL!$C$21, $C$9, 100%, $E$9)</f>
        <v>6.1897000000000002</v>
      </c>
      <c r="O127" s="10">
        <f>CHOOSE(CONTROL!$C$42, 6.4302, 6.4302) * CHOOSE(CONTROL!$C$21, $C$9, 100%, $E$9)</f>
        <v>6.4302000000000001</v>
      </c>
      <c r="P127" s="10">
        <f>CHOOSE(CONTROL!$C$42, 6.1792, 6.1792) * CHOOSE(CONTROL!$C$21, $C$9, 100%, $E$9)</f>
        <v>6.1791999999999998</v>
      </c>
      <c r="Q127" s="10">
        <f>CHOOSE(CONTROL!$C$42, 7.0255, 7.0255) * CHOOSE(CONTROL!$C$21, $C$9, 100%, $E$9)</f>
        <v>7.0255000000000001</v>
      </c>
      <c r="R127" s="10">
        <f>CHOOSE(CONTROL!$C$42, 7.63, 7.63) * CHOOSE(CONTROL!$C$21, $C$9, 100%, $E$9)</f>
        <v>7.63</v>
      </c>
      <c r="S127" s="10">
        <f>CHOOSE(CONTROL!$C$42, 6.0764, 6.0764) * CHOOSE(CONTROL!$C$21, $C$9, 100%, $E$9)</f>
        <v>6.0763999999999996</v>
      </c>
      <c r="T127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27" s="58">
        <f>(1000*CHOOSE(CONTROL!$C$42, 695, 695)*CHOOSE(CONTROL!$C$42, 0.5599, 0.5599)*CHOOSE(CONTROL!$C$42, 31, 31))/1000000</f>
        <v>12.063045499999998</v>
      </c>
      <c r="V127" s="58">
        <f>(1000*CHOOSE(CONTROL!$C$42, 500, 500)*CHOOSE(CONTROL!$C$42, 0.275, 0.275)*CHOOSE(CONTROL!$C$42, 31, 31))/1000000</f>
        <v>4.2625000000000002</v>
      </c>
      <c r="W127" s="58">
        <f>(1000*CHOOSE(CONTROL!$C$42, 0.1146, 0.1146)*CHOOSE(CONTROL!$C$42, 121.5, 121.5)*CHOOSE(CONTROL!$C$42, 31, 31))/1000000</f>
        <v>0.43164089999999994</v>
      </c>
      <c r="X127" s="58">
        <f>(31*0.1790888*245000/1000000)+(31*0.2374*100000/1000000)</f>
        <v>2.0961194359999999</v>
      </c>
      <c r="Y127" s="58"/>
      <c r="Z127" s="10"/>
      <c r="AA127" s="57"/>
      <c r="AB127" s="51">
        <f>(B127*194.205+C127*267.466+D127*133.845+E127*53.484+F127*40+G127*185+H127*0+I127*100+J127*300)/(194.205+267.466+133.845+53.484+0+40+185+100+300)</f>
        <v>6.2786330183673469</v>
      </c>
      <c r="AC127" s="27">
        <f>(M127*'RAP TEMPLATE-GAS AVAILABILITY'!O126+N127*'RAP TEMPLATE-GAS AVAILABILITY'!P126+O127*'RAP TEMPLATE-GAS AVAILABILITY'!Q126+P127*'RAP TEMPLATE-GAS AVAILABILITY'!R126)/('RAP TEMPLATE-GAS AVAILABILITY'!O126+'RAP TEMPLATE-GAS AVAILABILITY'!P126+'RAP TEMPLATE-GAS AVAILABILITY'!Q126+'RAP TEMPLATE-GAS AVAILABILITY'!R126)</f>
        <v>6.249762589928058</v>
      </c>
    </row>
    <row r="128" spans="1:29" ht="15.75" x14ac:dyDescent="0.25">
      <c r="A128" s="16">
        <v>44774</v>
      </c>
      <c r="B128" s="10">
        <f>CHOOSE(CONTROL!$C$42, 5.9526, 5.9526) * CHOOSE(CONTROL!$C$21, $C$9, 100%, $E$9)</f>
        <v>5.9526000000000003</v>
      </c>
      <c r="C128" s="10">
        <f>CHOOSE(CONTROL!$C$42, 5.9605, 5.9605) * CHOOSE(CONTROL!$C$21, $C$9, 100%, $E$9)</f>
        <v>5.9604999999999997</v>
      </c>
      <c r="D128" s="10">
        <f>CHOOSE(CONTROL!$C$42, 6.153, 6.153) * CHOOSE(CONTROL!$C$21, $C$9, 100%, $E$9)</f>
        <v>6.1529999999999996</v>
      </c>
      <c r="E128" s="10">
        <f>CHOOSE(CONTROL!$C$42, 6.1841, 6.1841) * CHOOSE(CONTROL!$C$21, $C$9, 100%, $E$9)</f>
        <v>6.1840999999999999</v>
      </c>
      <c r="F128" s="10">
        <f>CHOOSE(CONTROL!$C$42, 5.9197, 5.9197)*CHOOSE(CONTROL!$C$21, $C$9, 100%, $E$9)</f>
        <v>5.9196999999999997</v>
      </c>
      <c r="G128" s="10">
        <f>CHOOSE(CONTROL!$C$42, 5.937, 5.937)*CHOOSE(CONTROL!$C$21, $C$9, 100%, $E$9)</f>
        <v>5.9370000000000003</v>
      </c>
      <c r="H128" s="10">
        <f>CHOOSE(CONTROL!$C$42, 6.1727, 6.1727) * CHOOSE(CONTROL!$C$21, $C$9, 100%, $E$9)</f>
        <v>6.1726999999999999</v>
      </c>
      <c r="I128" s="10">
        <f>CHOOSE(CONTROL!$C$42, 5.9192, 5.9192)* CHOOSE(CONTROL!$C$21, $C$9, 100%, $E$9)</f>
        <v>5.9192</v>
      </c>
      <c r="J128" s="10">
        <f>CHOOSE(CONTROL!$C$42, 5.9127, 5.9127)* CHOOSE(CONTROL!$C$21, $C$9, 100%, $E$9)</f>
        <v>5.9127000000000001</v>
      </c>
      <c r="K128" s="54">
        <f>CHOOSE(CONTROL!$C$42, 5.9153, 5.9153) * CHOOSE(CONTROL!$C$21, $C$9, 100%, $E$9)</f>
        <v>5.9153000000000002</v>
      </c>
      <c r="L128" s="10">
        <f>CHOOSE(CONTROL!$C$42, 6.7597, 6.7597) * CHOOSE(CONTROL!$C$21, $C$9, 100%, $E$9)</f>
        <v>6.7596999999999996</v>
      </c>
      <c r="M128" s="10">
        <f>CHOOSE(CONTROL!$C$42, 5.8668, 5.8668) * CHOOSE(CONTROL!$C$21, $C$9, 100%, $E$9)</f>
        <v>5.8667999999999996</v>
      </c>
      <c r="N128" s="10">
        <f>CHOOSE(CONTROL!$C$42, 5.884, 5.884) * CHOOSE(CONTROL!$C$21, $C$9, 100%, $E$9)</f>
        <v>5.8840000000000003</v>
      </c>
      <c r="O128" s="10">
        <f>CHOOSE(CONTROL!$C$42, 6.1243, 6.1243) * CHOOSE(CONTROL!$C$21, $C$9, 100%, $E$9)</f>
        <v>6.1242999999999999</v>
      </c>
      <c r="P128" s="10">
        <f>CHOOSE(CONTROL!$C$42, 5.8733, 5.8733) * CHOOSE(CONTROL!$C$21, $C$9, 100%, $E$9)</f>
        <v>5.8733000000000004</v>
      </c>
      <c r="Q128" s="10">
        <f>CHOOSE(CONTROL!$C$42, 6.7196, 6.7196) * CHOOSE(CONTROL!$C$21, $C$9, 100%, $E$9)</f>
        <v>6.7195999999999998</v>
      </c>
      <c r="R128" s="10">
        <f>CHOOSE(CONTROL!$C$42, 7.3234, 7.3234) * CHOOSE(CONTROL!$C$21, $C$9, 100%, $E$9)</f>
        <v>7.3234000000000004</v>
      </c>
      <c r="S128" s="10">
        <f>CHOOSE(CONTROL!$C$42, 5.7763, 5.7763) * CHOOSE(CONTROL!$C$21, $C$9, 100%, $E$9)</f>
        <v>5.7763</v>
      </c>
      <c r="T128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28" s="58">
        <f>(1000*CHOOSE(CONTROL!$C$42, 695, 695)*CHOOSE(CONTROL!$C$42, 0.5599, 0.5599)*CHOOSE(CONTROL!$C$42, 31, 31))/1000000</f>
        <v>12.063045499999998</v>
      </c>
      <c r="V128" s="58">
        <f>(1000*CHOOSE(CONTROL!$C$42, 500, 500)*CHOOSE(CONTROL!$C$42, 0.275, 0.275)*CHOOSE(CONTROL!$C$42, 31, 31))/1000000</f>
        <v>4.2625000000000002</v>
      </c>
      <c r="W128" s="58">
        <f>(1000*CHOOSE(CONTROL!$C$42, 0.1146, 0.1146)*CHOOSE(CONTROL!$C$42, 121.5, 121.5)*CHOOSE(CONTROL!$C$42, 31, 31))/1000000</f>
        <v>0.43164089999999994</v>
      </c>
      <c r="X128" s="58">
        <f>(31*0.1790888*245000/1000000)+(31*0.2374*100000/1000000)</f>
        <v>2.0961194359999999</v>
      </c>
      <c r="Y128" s="58"/>
      <c r="Z128" s="10"/>
      <c r="AA128" s="57"/>
      <c r="AB128" s="51">
        <f>(B128*194.205+C128*267.466+D128*133.845+E128*53.484+F128*40+G128*185+H128*0+I128*100+J128*300)/(194.205+267.466+133.845+53.484+0+40+185+100+300)</f>
        <v>5.9697154359497642</v>
      </c>
      <c r="AC128" s="27">
        <f>(M128*'RAP TEMPLATE-GAS AVAILABILITY'!O127+N128*'RAP TEMPLATE-GAS AVAILABILITY'!P127+O128*'RAP TEMPLATE-GAS AVAILABILITY'!Q127+P128*'RAP TEMPLATE-GAS AVAILABILITY'!R127)/('RAP TEMPLATE-GAS AVAILABILITY'!O127+'RAP TEMPLATE-GAS AVAILABILITY'!P127+'RAP TEMPLATE-GAS AVAILABILITY'!Q127+'RAP TEMPLATE-GAS AVAILABILITY'!R127)</f>
        <v>5.9439431654676262</v>
      </c>
    </row>
    <row r="129" spans="1:29" ht="15.75" x14ac:dyDescent="0.25">
      <c r="A129" s="16">
        <v>44805</v>
      </c>
      <c r="B129" s="10">
        <f>CHOOSE(CONTROL!$C$42, 5.5747, 5.5747) * CHOOSE(CONTROL!$C$21, $C$9, 100%, $E$9)</f>
        <v>5.5747</v>
      </c>
      <c r="C129" s="10">
        <f>CHOOSE(CONTROL!$C$42, 5.5826, 5.5826) * CHOOSE(CONTROL!$C$21, $C$9, 100%, $E$9)</f>
        <v>5.5826000000000002</v>
      </c>
      <c r="D129" s="10">
        <f>CHOOSE(CONTROL!$C$42, 5.775, 5.775) * CHOOSE(CONTROL!$C$21, $C$9, 100%, $E$9)</f>
        <v>5.7750000000000004</v>
      </c>
      <c r="E129" s="10">
        <f>CHOOSE(CONTROL!$C$42, 5.8061, 5.8061) * CHOOSE(CONTROL!$C$21, $C$9, 100%, $E$9)</f>
        <v>5.8060999999999998</v>
      </c>
      <c r="F129" s="10">
        <f>CHOOSE(CONTROL!$C$42, 5.5416, 5.5416)*CHOOSE(CONTROL!$C$21, $C$9, 100%, $E$9)</f>
        <v>5.5415999999999999</v>
      </c>
      <c r="G129" s="10">
        <f>CHOOSE(CONTROL!$C$42, 5.5589, 5.5589)*CHOOSE(CONTROL!$C$21, $C$9, 100%, $E$9)</f>
        <v>5.5589000000000004</v>
      </c>
      <c r="H129" s="10">
        <f>CHOOSE(CONTROL!$C$42, 5.7948, 5.7948) * CHOOSE(CONTROL!$C$21, $C$9, 100%, $E$9)</f>
        <v>5.7948000000000004</v>
      </c>
      <c r="I129" s="10">
        <f>CHOOSE(CONTROL!$C$42, 5.5412, 5.5412)* CHOOSE(CONTROL!$C$21, $C$9, 100%, $E$9)</f>
        <v>5.5411999999999999</v>
      </c>
      <c r="J129" s="10">
        <f>CHOOSE(CONTROL!$C$42, 5.5346, 5.5346)* CHOOSE(CONTROL!$C$21, $C$9, 100%, $E$9)</f>
        <v>5.5346000000000002</v>
      </c>
      <c r="K129" s="54">
        <f>CHOOSE(CONTROL!$C$42, 5.5373, 5.5373) * CHOOSE(CONTROL!$C$21, $C$9, 100%, $E$9)</f>
        <v>5.5373000000000001</v>
      </c>
      <c r="L129" s="10">
        <f>CHOOSE(CONTROL!$C$42, 6.3818, 6.3818) * CHOOSE(CONTROL!$C$21, $C$9, 100%, $E$9)</f>
        <v>6.3818000000000001</v>
      </c>
      <c r="M129" s="10">
        <f>CHOOSE(CONTROL!$C$42, 5.4925, 5.4925) * CHOOSE(CONTROL!$C$21, $C$9, 100%, $E$9)</f>
        <v>5.4924999999999997</v>
      </c>
      <c r="N129" s="10">
        <f>CHOOSE(CONTROL!$C$42, 5.5096, 5.5096) * CHOOSE(CONTROL!$C$21, $C$9, 100%, $E$9)</f>
        <v>5.5095999999999998</v>
      </c>
      <c r="O129" s="10">
        <f>CHOOSE(CONTROL!$C$42, 5.7501, 5.7501) * CHOOSE(CONTROL!$C$21, $C$9, 100%, $E$9)</f>
        <v>5.7500999999999998</v>
      </c>
      <c r="P129" s="10">
        <f>CHOOSE(CONTROL!$C$42, 5.4992, 5.4992) * CHOOSE(CONTROL!$C$21, $C$9, 100%, $E$9)</f>
        <v>5.4992000000000001</v>
      </c>
      <c r="Q129" s="10">
        <f>CHOOSE(CONTROL!$C$42, 6.3454, 6.3454) * CHOOSE(CONTROL!$C$21, $C$9, 100%, $E$9)</f>
        <v>6.3453999999999997</v>
      </c>
      <c r="R129" s="10">
        <f>CHOOSE(CONTROL!$C$42, 6.9483, 6.9483) * CHOOSE(CONTROL!$C$21, $C$9, 100%, $E$9)</f>
        <v>6.9482999999999997</v>
      </c>
      <c r="S129" s="10">
        <f>CHOOSE(CONTROL!$C$42, 5.4093, 5.4093) * CHOOSE(CONTROL!$C$21, $C$9, 100%, $E$9)</f>
        <v>5.4093</v>
      </c>
      <c r="T129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29" s="58">
        <f>(1000*CHOOSE(CONTROL!$C$42, 695, 695)*CHOOSE(CONTROL!$C$42, 0.5599, 0.5599)*CHOOSE(CONTROL!$C$42, 30, 30))/1000000</f>
        <v>11.673914999999997</v>
      </c>
      <c r="V129" s="58">
        <f>(1000*CHOOSE(CONTROL!$C$42, 500, 500)*CHOOSE(CONTROL!$C$42, 0.275, 0.275)*CHOOSE(CONTROL!$C$42, 30, 30))/1000000</f>
        <v>4.125</v>
      </c>
      <c r="W129" s="58">
        <f>(1000*CHOOSE(CONTROL!$C$42, 0.1146, 0.1146)*CHOOSE(CONTROL!$C$42, 121.5, 121.5)*CHOOSE(CONTROL!$C$42, 30, 30))/1000000</f>
        <v>0.417717</v>
      </c>
      <c r="X129" s="58">
        <f>(30*0.1790888*245000/1000000)+(30*0.2374*100000/1000000)</f>
        <v>2.0285026799999999</v>
      </c>
      <c r="Y129" s="58"/>
      <c r="Z129" s="10"/>
      <c r="AA129" s="57"/>
      <c r="AB129" s="51">
        <f>(B129*194.205+C129*267.466+D129*133.845+E129*53.484+F129*40+G129*185+H129*0+I129*100+J129*300)/(194.205+267.466+133.845+53.484+0+40+185+100+300)</f>
        <v>5.5917104650706442</v>
      </c>
      <c r="AC129" s="27">
        <f>(M129*'RAP TEMPLATE-GAS AVAILABILITY'!O128+N129*'RAP TEMPLATE-GAS AVAILABILITY'!P128+O129*'RAP TEMPLATE-GAS AVAILABILITY'!Q128+P129*'RAP TEMPLATE-GAS AVAILABILITY'!R128)/('RAP TEMPLATE-GAS AVAILABILITY'!O128+'RAP TEMPLATE-GAS AVAILABILITY'!P128+'RAP TEMPLATE-GAS AVAILABILITY'!Q128+'RAP TEMPLATE-GAS AVAILABILITY'!R128)</f>
        <v>5.5696769784172657</v>
      </c>
    </row>
    <row r="130" spans="1:29" ht="15.75" x14ac:dyDescent="0.25">
      <c r="A130" s="16">
        <v>44835</v>
      </c>
      <c r="B130" s="10">
        <f>CHOOSE(CONTROL!$C$42, 5.4598, 5.4598) * CHOOSE(CONTROL!$C$21, $C$9, 100%, $E$9)</f>
        <v>5.4598000000000004</v>
      </c>
      <c r="C130" s="10">
        <f>CHOOSE(CONTROL!$C$42, 5.465, 5.465) * CHOOSE(CONTROL!$C$21, $C$9, 100%, $E$9)</f>
        <v>5.4649999999999999</v>
      </c>
      <c r="D130" s="10">
        <f>CHOOSE(CONTROL!$C$42, 5.6624, 5.6624) * CHOOSE(CONTROL!$C$21, $C$9, 100%, $E$9)</f>
        <v>5.6623999999999999</v>
      </c>
      <c r="E130" s="10">
        <f>CHOOSE(CONTROL!$C$42, 5.6912, 5.6912) * CHOOSE(CONTROL!$C$21, $C$9, 100%, $E$9)</f>
        <v>5.6912000000000003</v>
      </c>
      <c r="F130" s="10">
        <f>CHOOSE(CONTROL!$C$42, 5.4287, 5.4287)*CHOOSE(CONTROL!$C$21, $C$9, 100%, $E$9)</f>
        <v>5.4287000000000001</v>
      </c>
      <c r="G130" s="10">
        <f>CHOOSE(CONTROL!$C$42, 5.4457, 5.4457)*CHOOSE(CONTROL!$C$21, $C$9, 100%, $E$9)</f>
        <v>5.4457000000000004</v>
      </c>
      <c r="H130" s="10">
        <f>CHOOSE(CONTROL!$C$42, 5.6817, 5.6817) * CHOOSE(CONTROL!$C$21, $C$9, 100%, $E$9)</f>
        <v>5.6817000000000002</v>
      </c>
      <c r="I130" s="10">
        <f>CHOOSE(CONTROL!$C$42, 5.4281, 5.4281)* CHOOSE(CONTROL!$C$21, $C$9, 100%, $E$9)</f>
        <v>5.4280999999999997</v>
      </c>
      <c r="J130" s="10">
        <f>CHOOSE(CONTROL!$C$42, 5.4217, 5.4217)* CHOOSE(CONTROL!$C$21, $C$9, 100%, $E$9)</f>
        <v>5.4217000000000004</v>
      </c>
      <c r="K130" s="54">
        <f>CHOOSE(CONTROL!$C$42, 5.4243, 5.4243) * CHOOSE(CONTROL!$C$21, $C$9, 100%, $E$9)</f>
        <v>5.4242999999999997</v>
      </c>
      <c r="L130" s="10">
        <f>CHOOSE(CONTROL!$C$42, 6.2687, 6.2687) * CHOOSE(CONTROL!$C$21, $C$9, 100%, $E$9)</f>
        <v>6.2686999999999999</v>
      </c>
      <c r="M130" s="10">
        <f>CHOOSE(CONTROL!$C$42, 5.3808, 5.3808) * CHOOSE(CONTROL!$C$21, $C$9, 100%, $E$9)</f>
        <v>5.3807999999999998</v>
      </c>
      <c r="N130" s="10">
        <f>CHOOSE(CONTROL!$C$42, 5.3976, 5.3976) * CHOOSE(CONTROL!$C$21, $C$9, 100%, $E$9)</f>
        <v>5.3975999999999997</v>
      </c>
      <c r="O130" s="10">
        <f>CHOOSE(CONTROL!$C$42, 5.6382, 5.6382) * CHOOSE(CONTROL!$C$21, $C$9, 100%, $E$9)</f>
        <v>5.6382000000000003</v>
      </c>
      <c r="P130" s="10">
        <f>CHOOSE(CONTROL!$C$42, 5.3872, 5.3872) * CHOOSE(CONTROL!$C$21, $C$9, 100%, $E$9)</f>
        <v>5.3872</v>
      </c>
      <c r="Q130" s="10">
        <f>CHOOSE(CONTROL!$C$42, 6.2335, 6.2335) * CHOOSE(CONTROL!$C$21, $C$9, 100%, $E$9)</f>
        <v>6.2335000000000003</v>
      </c>
      <c r="R130" s="10">
        <f>CHOOSE(CONTROL!$C$42, 6.8361, 6.8361) * CHOOSE(CONTROL!$C$21, $C$9, 100%, $E$9)</f>
        <v>6.8361000000000001</v>
      </c>
      <c r="S130" s="10">
        <f>CHOOSE(CONTROL!$C$42, 5.2995, 5.2995) * CHOOSE(CONTROL!$C$21, $C$9, 100%, $E$9)</f>
        <v>5.2995000000000001</v>
      </c>
      <c r="T130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30" s="58">
        <f>(1000*CHOOSE(CONTROL!$C$42, 695, 695)*CHOOSE(CONTROL!$C$42, 0.5599, 0.5599)*CHOOSE(CONTROL!$C$42, 31, 31))/1000000</f>
        <v>12.063045499999998</v>
      </c>
      <c r="V130" s="58">
        <f>(1000*CHOOSE(CONTROL!$C$42, 500, 500)*CHOOSE(CONTROL!$C$42, 0.275, 0.275)*CHOOSE(CONTROL!$C$42, 31, 31))/1000000</f>
        <v>4.2625000000000002</v>
      </c>
      <c r="W130" s="58">
        <f>(1000*CHOOSE(CONTROL!$C$42, 0.1146, 0.1146)*CHOOSE(CONTROL!$C$42, 121.5, 121.5)*CHOOSE(CONTROL!$C$42, 31, 31))/1000000</f>
        <v>0.43164089999999994</v>
      </c>
      <c r="X130" s="58">
        <f>(31*0.1790888*245000/1000000)+(31*0.2374*100000/1000000)</f>
        <v>2.0961194359999999</v>
      </c>
      <c r="Y130" s="58"/>
      <c r="Z130" s="10"/>
      <c r="AA130" s="57"/>
      <c r="AB130" s="51">
        <f>(B130*131.881+C130*277.167+D130*79.08+E130*125.872+F130*40+G130*185+H130*0+I130*100+J130*300)/(131.881+277.167+79.08+125.872+0+40+185+100+300)</f>
        <v>5.4825095699757869</v>
      </c>
      <c r="AC130" s="27">
        <f>(M130*'RAP TEMPLATE-GAS AVAILABILITY'!O129+N130*'RAP TEMPLATE-GAS AVAILABILITY'!P129+O130*'RAP TEMPLATE-GAS AVAILABILITY'!Q129+P130*'RAP TEMPLATE-GAS AVAILABILITY'!R129)/('RAP TEMPLATE-GAS AVAILABILITY'!O129+'RAP TEMPLATE-GAS AVAILABILITY'!P129+'RAP TEMPLATE-GAS AVAILABILITY'!Q129+'RAP TEMPLATE-GAS AVAILABILITY'!R129)</f>
        <v>5.4578086330935252</v>
      </c>
    </row>
    <row r="131" spans="1:29" ht="15.75" x14ac:dyDescent="0.25">
      <c r="A131" s="16">
        <v>44866</v>
      </c>
      <c r="B131" s="10">
        <f>CHOOSE(CONTROL!$C$42, 5.6031, 5.6031) * CHOOSE(CONTROL!$C$21, $C$9, 100%, $E$9)</f>
        <v>5.6031000000000004</v>
      </c>
      <c r="C131" s="10">
        <f>CHOOSE(CONTROL!$C$42, 5.6081, 5.6081) * CHOOSE(CONTROL!$C$21, $C$9, 100%, $E$9)</f>
        <v>5.6081000000000003</v>
      </c>
      <c r="D131" s="10">
        <f>CHOOSE(CONTROL!$C$42, 5.6377, 5.6377) * CHOOSE(CONTROL!$C$21, $C$9, 100%, $E$9)</f>
        <v>5.6376999999999997</v>
      </c>
      <c r="E131" s="10">
        <f>CHOOSE(CONTROL!$C$42, 5.6715, 5.6715) * CHOOSE(CONTROL!$C$21, $C$9, 100%, $E$9)</f>
        <v>5.6715</v>
      </c>
      <c r="F131" s="10">
        <f>CHOOSE(CONTROL!$C$42, 5.5699, 5.5699)*CHOOSE(CONTROL!$C$21, $C$9, 100%, $E$9)</f>
        <v>5.5698999999999996</v>
      </c>
      <c r="G131" s="10">
        <f>CHOOSE(CONTROL!$C$42, 5.5871, 5.5871)*CHOOSE(CONTROL!$C$21, $C$9, 100%, $E$9)</f>
        <v>5.5871000000000004</v>
      </c>
      <c r="H131" s="10">
        <f>CHOOSE(CONTROL!$C$42, 5.6607, 5.6607) * CHOOSE(CONTROL!$C$21, $C$9, 100%, $E$9)</f>
        <v>5.6607000000000003</v>
      </c>
      <c r="I131" s="10">
        <f>CHOOSE(CONTROL!$C$42, 5.5667, 5.5667)* CHOOSE(CONTROL!$C$21, $C$9, 100%, $E$9)</f>
        <v>5.5667</v>
      </c>
      <c r="J131" s="10">
        <f>CHOOSE(CONTROL!$C$42, 5.5629, 5.5629)* CHOOSE(CONTROL!$C$21, $C$9, 100%, $E$9)</f>
        <v>5.5629</v>
      </c>
      <c r="K131" s="54">
        <f>CHOOSE(CONTROL!$C$42, 5.5628, 5.5628) * CHOOSE(CONTROL!$C$21, $C$9, 100%, $E$9)</f>
        <v>5.5628000000000002</v>
      </c>
      <c r="L131" s="10">
        <f>CHOOSE(CONTROL!$C$42, 6.2477, 6.2477) * CHOOSE(CONTROL!$C$21, $C$9, 100%, $E$9)</f>
        <v>6.2477</v>
      </c>
      <c r="M131" s="10">
        <f>CHOOSE(CONTROL!$C$42, 5.5206, 5.5206) * CHOOSE(CONTROL!$C$21, $C$9, 100%, $E$9)</f>
        <v>5.5206</v>
      </c>
      <c r="N131" s="10">
        <f>CHOOSE(CONTROL!$C$42, 5.5376, 5.5376) * CHOOSE(CONTROL!$C$21, $C$9, 100%, $E$9)</f>
        <v>5.5376000000000003</v>
      </c>
      <c r="O131" s="10">
        <f>CHOOSE(CONTROL!$C$42, 5.6174, 5.6174) * CHOOSE(CONTROL!$C$21, $C$9, 100%, $E$9)</f>
        <v>5.6173999999999999</v>
      </c>
      <c r="P131" s="10">
        <f>CHOOSE(CONTROL!$C$42, 5.5244, 5.5244) * CHOOSE(CONTROL!$C$21, $C$9, 100%, $E$9)</f>
        <v>5.5244</v>
      </c>
      <c r="Q131" s="10">
        <f>CHOOSE(CONTROL!$C$42, 6.2127, 6.2127) * CHOOSE(CONTROL!$C$21, $C$9, 100%, $E$9)</f>
        <v>6.2126999999999999</v>
      </c>
      <c r="R131" s="10">
        <f>CHOOSE(CONTROL!$C$42, 6.8152, 6.8152) * CHOOSE(CONTROL!$C$21, $C$9, 100%, $E$9)</f>
        <v>6.8151999999999999</v>
      </c>
      <c r="S131" s="10">
        <f>CHOOSE(CONTROL!$C$42, 5.4391, 5.4391) * CHOOSE(CONTROL!$C$21, $C$9, 100%, $E$9)</f>
        <v>5.4390999999999998</v>
      </c>
      <c r="T131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31" s="58">
        <f>(1000*CHOOSE(CONTROL!$C$42, 695, 695)*CHOOSE(CONTROL!$C$42, 0.5599, 0.5599)*CHOOSE(CONTROL!$C$42, 30, 30))/1000000</f>
        <v>11.673914999999997</v>
      </c>
      <c r="V131" s="58">
        <f>(1000*CHOOSE(CONTROL!$C$42, 500, 500)*CHOOSE(CONTROL!$C$42, 0.275, 0.275)*CHOOSE(CONTROL!$C$42, 30, 30))/1000000</f>
        <v>4.125</v>
      </c>
      <c r="W131" s="58">
        <f>(1000*CHOOSE(CONTROL!$C$42, 0.1146, 0.1146)*CHOOSE(CONTROL!$C$42, 121.5, 121.5)*CHOOSE(CONTROL!$C$42, 30, 30))/1000000</f>
        <v>0.417717</v>
      </c>
      <c r="X131" s="58">
        <f>(30*0.1790888*100000/1000000)+(30*0.2374*100000/1000000)</f>
        <v>1.2494664</v>
      </c>
      <c r="Y131" s="58"/>
      <c r="Z131" s="10"/>
      <c r="AA131" s="57"/>
      <c r="AB131" s="51">
        <f>(B131*122.58+C131*297.941+D131*89.177+E131*40.302+F131*40+G131*160+H131*0+I131*100+J131*300)/(122.58+297.941+89.177+40.302+0+40+160+100+300)</f>
        <v>5.5924425095652168</v>
      </c>
      <c r="AC131" s="27">
        <f>(M131*'RAP TEMPLATE-GAS AVAILABILITY'!O130+N131*'RAP TEMPLATE-GAS AVAILABILITY'!P130+O131*'RAP TEMPLATE-GAS AVAILABILITY'!Q130+P131*'RAP TEMPLATE-GAS AVAILABILITY'!R130)/('RAP TEMPLATE-GAS AVAILABILITY'!O130+'RAP TEMPLATE-GAS AVAILABILITY'!P130+'RAP TEMPLATE-GAS AVAILABILITY'!Q130+'RAP TEMPLATE-GAS AVAILABILITY'!R130)</f>
        <v>5.5659985611510789</v>
      </c>
    </row>
    <row r="132" spans="1:29" ht="15.75" x14ac:dyDescent="0.25">
      <c r="A132" s="16">
        <v>44896</v>
      </c>
      <c r="B132" s="10">
        <f>CHOOSE(CONTROL!$C$42, 5.985, 5.985) * CHOOSE(CONTROL!$C$21, $C$9, 100%, $E$9)</f>
        <v>5.9850000000000003</v>
      </c>
      <c r="C132" s="10">
        <f>CHOOSE(CONTROL!$C$42, 5.9899, 5.9899) * CHOOSE(CONTROL!$C$21, $C$9, 100%, $E$9)</f>
        <v>5.9898999999999996</v>
      </c>
      <c r="D132" s="10">
        <f>CHOOSE(CONTROL!$C$42, 6.0195, 6.0195) * CHOOSE(CONTROL!$C$21, $C$9, 100%, $E$9)</f>
        <v>6.0194999999999999</v>
      </c>
      <c r="E132" s="10">
        <f>CHOOSE(CONTROL!$C$42, 6.0533, 6.0533) * CHOOSE(CONTROL!$C$21, $C$9, 100%, $E$9)</f>
        <v>6.0533000000000001</v>
      </c>
      <c r="F132" s="10">
        <f>CHOOSE(CONTROL!$C$42, 5.9532, 5.9532)*CHOOSE(CONTROL!$C$21, $C$9, 100%, $E$9)</f>
        <v>5.9531999999999998</v>
      </c>
      <c r="G132" s="10">
        <f>CHOOSE(CONTROL!$C$42, 5.9707, 5.9707)*CHOOSE(CONTROL!$C$21, $C$9, 100%, $E$9)</f>
        <v>5.9706999999999999</v>
      </c>
      <c r="H132" s="10">
        <f>CHOOSE(CONTROL!$C$42, 6.0425, 6.0425) * CHOOSE(CONTROL!$C$21, $C$9, 100%, $E$9)</f>
        <v>6.0425000000000004</v>
      </c>
      <c r="I132" s="10">
        <f>CHOOSE(CONTROL!$C$42, 5.9486, 5.9486)* CHOOSE(CONTROL!$C$21, $C$9, 100%, $E$9)</f>
        <v>5.9485999999999999</v>
      </c>
      <c r="J132" s="10">
        <f>CHOOSE(CONTROL!$C$42, 5.9462, 5.9462)* CHOOSE(CONTROL!$C$21, $C$9, 100%, $E$9)</f>
        <v>5.9462000000000002</v>
      </c>
      <c r="K132" s="54">
        <f>CHOOSE(CONTROL!$C$42, 5.9447, 5.9447) * CHOOSE(CONTROL!$C$21, $C$9, 100%, $E$9)</f>
        <v>5.9447000000000001</v>
      </c>
      <c r="L132" s="10">
        <f>CHOOSE(CONTROL!$C$42, 6.6295, 6.6295) * CHOOSE(CONTROL!$C$21, $C$9, 100%, $E$9)</f>
        <v>6.6295000000000002</v>
      </c>
      <c r="M132" s="10">
        <f>CHOOSE(CONTROL!$C$42, 5.9, 5.9) * CHOOSE(CONTROL!$C$21, $C$9, 100%, $E$9)</f>
        <v>5.9</v>
      </c>
      <c r="N132" s="10">
        <f>CHOOSE(CONTROL!$C$42, 5.9173, 5.9173) * CHOOSE(CONTROL!$C$21, $C$9, 100%, $E$9)</f>
        <v>5.9173</v>
      </c>
      <c r="O132" s="10">
        <f>CHOOSE(CONTROL!$C$42, 5.9953, 5.9953) * CHOOSE(CONTROL!$C$21, $C$9, 100%, $E$9)</f>
        <v>5.9953000000000003</v>
      </c>
      <c r="P132" s="10">
        <f>CHOOSE(CONTROL!$C$42, 5.9024, 5.9024) * CHOOSE(CONTROL!$C$21, $C$9, 100%, $E$9)</f>
        <v>5.9024000000000001</v>
      </c>
      <c r="Q132" s="10">
        <f>CHOOSE(CONTROL!$C$42, 6.5906, 6.5906) * CHOOSE(CONTROL!$C$21, $C$9, 100%, $E$9)</f>
        <v>6.5906000000000002</v>
      </c>
      <c r="R132" s="10">
        <f>CHOOSE(CONTROL!$C$42, 7.1941, 7.1941) * CHOOSE(CONTROL!$C$21, $C$9, 100%, $E$9)</f>
        <v>7.1940999999999997</v>
      </c>
      <c r="S132" s="10">
        <f>CHOOSE(CONTROL!$C$42, 5.8099, 5.8099) * CHOOSE(CONTROL!$C$21, $C$9, 100%, $E$9)</f>
        <v>5.8098999999999998</v>
      </c>
      <c r="T132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32" s="58">
        <f>(1000*CHOOSE(CONTROL!$C$42, 695, 695)*CHOOSE(CONTROL!$C$42, 0.5599, 0.5599)*CHOOSE(CONTROL!$C$42, 31, 31))/1000000</f>
        <v>12.063045499999998</v>
      </c>
      <c r="V132" s="58">
        <f>(1000*CHOOSE(CONTROL!$C$42, 500, 500)*CHOOSE(CONTROL!$C$42, 0.275, 0.275)*CHOOSE(CONTROL!$C$42, 31, 31))/1000000</f>
        <v>4.2625000000000002</v>
      </c>
      <c r="W132" s="58">
        <f>(1000*CHOOSE(CONTROL!$C$42, 0.1146, 0.1146)*CHOOSE(CONTROL!$C$42, 121.5, 121.5)*CHOOSE(CONTROL!$C$42, 31, 31))/1000000</f>
        <v>0.43164089999999994</v>
      </c>
      <c r="X132" s="58">
        <f>(31*0.1790888*100000/1000000)+(31*0.2374*100000/1000000)</f>
        <v>1.2911152800000001</v>
      </c>
      <c r="Y132" s="58"/>
      <c r="Z132" s="10"/>
      <c r="AA132" s="57"/>
      <c r="AB132" s="51">
        <f>(B132*122.58+C132*297.941+D132*89.177+E132*40.302+F132*40+G132*160+H132*0+I132*100+J132*300)/(122.58+297.941+89.177+40.302+0+40+160+100+300)</f>
        <v>5.9749557773913047</v>
      </c>
      <c r="AC132" s="27">
        <f>(M132*'RAP TEMPLATE-GAS AVAILABILITY'!O131+N132*'RAP TEMPLATE-GAS AVAILABILITY'!P131+O132*'RAP TEMPLATE-GAS AVAILABILITY'!Q131+P132*'RAP TEMPLATE-GAS AVAILABILITY'!R131)/('RAP TEMPLATE-GAS AVAILABILITY'!O131+'RAP TEMPLATE-GAS AVAILABILITY'!P131+'RAP TEMPLATE-GAS AVAILABILITY'!Q131+'RAP TEMPLATE-GAS AVAILABILITY'!R131)</f>
        <v>5.9445345323741012</v>
      </c>
    </row>
    <row r="133" spans="1:29" ht="15.75" x14ac:dyDescent="0.25">
      <c r="A133" s="16">
        <v>44927</v>
      </c>
      <c r="B133" s="10">
        <f>CHOOSE(CONTROL!$C$42, 6.4521, 6.4521) * CHOOSE(CONTROL!$C$21, $C$9, 100%, $E$9)</f>
        <v>6.4520999999999997</v>
      </c>
      <c r="C133" s="10">
        <f>CHOOSE(CONTROL!$C$42, 6.457, 6.457) * CHOOSE(CONTROL!$C$21, $C$9, 100%, $E$9)</f>
        <v>6.4569999999999999</v>
      </c>
      <c r="D133" s="10">
        <f>CHOOSE(CONTROL!$C$42, 6.5072, 6.5072) * CHOOSE(CONTROL!$C$21, $C$9, 100%, $E$9)</f>
        <v>6.5072000000000001</v>
      </c>
      <c r="E133" s="10">
        <f>CHOOSE(CONTROL!$C$42, 6.541, 6.541) * CHOOSE(CONTROL!$C$21, $C$9, 100%, $E$9)</f>
        <v>6.5410000000000004</v>
      </c>
      <c r="F133" s="10">
        <f>CHOOSE(CONTROL!$C$42, 6.4174, 6.4174)*CHOOSE(CONTROL!$C$21, $C$9, 100%, $E$9)</f>
        <v>6.4173999999999998</v>
      </c>
      <c r="G133" s="10">
        <f>CHOOSE(CONTROL!$C$42, 6.435, 6.435)*CHOOSE(CONTROL!$C$21, $C$9, 100%, $E$9)</f>
        <v>6.4349999999999996</v>
      </c>
      <c r="H133" s="10">
        <f>CHOOSE(CONTROL!$C$42, 6.5302, 6.5302) * CHOOSE(CONTROL!$C$21, $C$9, 100%, $E$9)</f>
        <v>6.5301999999999998</v>
      </c>
      <c r="I133" s="10">
        <f>CHOOSE(CONTROL!$C$42, 6.426, 6.426)* CHOOSE(CONTROL!$C$21, $C$9, 100%, $E$9)</f>
        <v>6.4260000000000002</v>
      </c>
      <c r="J133" s="10">
        <f>CHOOSE(CONTROL!$C$42, 6.4104, 6.4104)* CHOOSE(CONTROL!$C$21, $C$9, 100%, $E$9)</f>
        <v>6.4104000000000001</v>
      </c>
      <c r="K133" s="54">
        <f>CHOOSE(CONTROL!$C$42, 6.4221, 6.4221) * CHOOSE(CONTROL!$C$21, $C$9, 100%, $E$9)</f>
        <v>6.4221000000000004</v>
      </c>
      <c r="L133" s="10">
        <f>CHOOSE(CONTROL!$C$42, 7.1172, 7.1172) * CHOOSE(CONTROL!$C$21, $C$9, 100%, $E$9)</f>
        <v>7.1172000000000004</v>
      </c>
      <c r="M133" s="10">
        <f>CHOOSE(CONTROL!$C$42, 6.3596, 6.3596) * CHOOSE(CONTROL!$C$21, $C$9, 100%, $E$9)</f>
        <v>6.3596000000000004</v>
      </c>
      <c r="N133" s="10">
        <f>CHOOSE(CONTROL!$C$42, 6.3769, 6.3769) * CHOOSE(CONTROL!$C$21, $C$9, 100%, $E$9)</f>
        <v>6.3769</v>
      </c>
      <c r="O133" s="10">
        <f>CHOOSE(CONTROL!$C$42, 6.4781, 6.4781) * CHOOSE(CONTROL!$C$21, $C$9, 100%, $E$9)</f>
        <v>6.4781000000000004</v>
      </c>
      <c r="P133" s="10">
        <f>CHOOSE(CONTROL!$C$42, 6.375, 6.375) * CHOOSE(CONTROL!$C$21, $C$9, 100%, $E$9)</f>
        <v>6.375</v>
      </c>
      <c r="Q133" s="10">
        <f>CHOOSE(CONTROL!$C$42, 7.0734, 7.0734) * CHOOSE(CONTROL!$C$21, $C$9, 100%, $E$9)</f>
        <v>7.0734000000000004</v>
      </c>
      <c r="R133" s="10">
        <f>CHOOSE(CONTROL!$C$42, 7.6781, 7.6781) * CHOOSE(CONTROL!$C$21, $C$9, 100%, $E$9)</f>
        <v>7.6780999999999997</v>
      </c>
      <c r="S133" s="10">
        <f>CHOOSE(CONTROL!$C$42, 6.2635, 6.2635) * CHOOSE(CONTROL!$C$21, $C$9, 100%, $E$9)</f>
        <v>6.2634999999999996</v>
      </c>
      <c r="T133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33" s="58">
        <f>(1000*CHOOSE(CONTROL!$C$42, 695, 695)*CHOOSE(CONTROL!$C$42, 0.5599, 0.5599)*CHOOSE(CONTROL!$C$42, 31, 31))/1000000</f>
        <v>12.063045499999998</v>
      </c>
      <c r="V133" s="58">
        <f>(1000*CHOOSE(CONTROL!$C$42, 500, 500)*CHOOSE(CONTROL!$C$42, 0.275, 0.275)*CHOOSE(CONTROL!$C$42, 31, 31))/1000000</f>
        <v>4.2625000000000002</v>
      </c>
      <c r="W133" s="58">
        <f>(1000*CHOOSE(CONTROL!$C$42, 0.1146, 0.1146)*CHOOSE(CONTROL!$C$42, 121.5, 121.5)*CHOOSE(CONTROL!$C$42, 31, 31))/1000000</f>
        <v>0.43164089999999994</v>
      </c>
      <c r="X133" s="58">
        <f>(31*0.1790888*100000/1000000)+(31*0.2374*100000/1000000)</f>
        <v>1.2911152800000001</v>
      </c>
      <c r="Y133" s="58"/>
      <c r="Z133" s="10"/>
      <c r="AA133" s="57"/>
      <c r="AB133" s="51">
        <f>(B133*122.58+C133*297.941+D133*89.177+E133*40.302+F133*40+G133*160+H133*0+I133*100+J133*300)/(122.58+297.941+89.177+40.302+0+40+160+100+300)</f>
        <v>6.4440238359999995</v>
      </c>
      <c r="AC133" s="27">
        <f>(M133*'RAP TEMPLATE-GAS AVAILABILITY'!O132+N133*'RAP TEMPLATE-GAS AVAILABILITY'!P132+O133*'RAP TEMPLATE-GAS AVAILABILITY'!Q132+P133*'RAP TEMPLATE-GAS AVAILABILITY'!R132)/('RAP TEMPLATE-GAS AVAILABILITY'!O132+'RAP TEMPLATE-GAS AVAILABILITY'!P132+'RAP TEMPLATE-GAS AVAILABILITY'!Q132+'RAP TEMPLATE-GAS AVAILABILITY'!R132)</f>
        <v>6.4165201438848918</v>
      </c>
    </row>
    <row r="134" spans="1:29" ht="15.75" x14ac:dyDescent="0.25">
      <c r="A134" s="16">
        <v>44958</v>
      </c>
      <c r="B134" s="10">
        <f>CHOOSE(CONTROL!$C$42, 6.5669, 6.5669) * CHOOSE(CONTROL!$C$21, $C$9, 100%, $E$9)</f>
        <v>6.5669000000000004</v>
      </c>
      <c r="C134" s="10">
        <f>CHOOSE(CONTROL!$C$42, 6.5718, 6.5718) * CHOOSE(CONTROL!$C$21, $C$9, 100%, $E$9)</f>
        <v>6.5717999999999996</v>
      </c>
      <c r="D134" s="10">
        <f>CHOOSE(CONTROL!$C$42, 6.6323, 6.6323) * CHOOSE(CONTROL!$C$21, $C$9, 100%, $E$9)</f>
        <v>6.6322999999999999</v>
      </c>
      <c r="E134" s="10">
        <f>CHOOSE(CONTROL!$C$42, 6.6661, 6.6661) * CHOOSE(CONTROL!$C$21, $C$9, 100%, $E$9)</f>
        <v>6.6661000000000001</v>
      </c>
      <c r="F134" s="10">
        <f>CHOOSE(CONTROL!$C$42, 6.5601, 6.5601)*CHOOSE(CONTROL!$C$21, $C$9, 100%, $E$9)</f>
        <v>6.5601000000000003</v>
      </c>
      <c r="G134" s="10">
        <f>CHOOSE(CONTROL!$C$42, 6.5774, 6.5774)*CHOOSE(CONTROL!$C$21, $C$9, 100%, $E$9)</f>
        <v>6.5773999999999999</v>
      </c>
      <c r="H134" s="10">
        <f>CHOOSE(CONTROL!$C$42, 6.6553, 6.6553) * CHOOSE(CONTROL!$C$21, $C$9, 100%, $E$9)</f>
        <v>6.6553000000000004</v>
      </c>
      <c r="I134" s="10">
        <f>CHOOSE(CONTROL!$C$42, 6.5536, 6.5536)* CHOOSE(CONTROL!$C$21, $C$9, 100%, $E$9)</f>
        <v>6.5536000000000003</v>
      </c>
      <c r="J134" s="10">
        <f>CHOOSE(CONTROL!$C$42, 6.5531, 6.5531)* CHOOSE(CONTROL!$C$21, $C$9, 100%, $E$9)</f>
        <v>6.5530999999999997</v>
      </c>
      <c r="K134" s="54">
        <f>CHOOSE(CONTROL!$C$42, 6.5497, 6.5497) * CHOOSE(CONTROL!$C$21, $C$9, 100%, $E$9)</f>
        <v>6.5496999999999996</v>
      </c>
      <c r="L134" s="10">
        <f>CHOOSE(CONTROL!$C$42, 7.2423, 7.2423) * CHOOSE(CONTROL!$C$21, $C$9, 100%, $E$9)</f>
        <v>7.2423000000000002</v>
      </c>
      <c r="M134" s="10">
        <f>CHOOSE(CONTROL!$C$42, 6.5008, 6.5008) * CHOOSE(CONTROL!$C$21, $C$9, 100%, $E$9)</f>
        <v>6.5007999999999999</v>
      </c>
      <c r="N134" s="10">
        <f>CHOOSE(CONTROL!$C$42, 6.5179, 6.5179) * CHOOSE(CONTROL!$C$21, $C$9, 100%, $E$9)</f>
        <v>6.5179</v>
      </c>
      <c r="O134" s="10">
        <f>CHOOSE(CONTROL!$C$42, 6.602, 6.602) * CHOOSE(CONTROL!$C$21, $C$9, 100%, $E$9)</f>
        <v>6.6020000000000003</v>
      </c>
      <c r="P134" s="10">
        <f>CHOOSE(CONTROL!$C$42, 6.5014, 6.5014) * CHOOSE(CONTROL!$C$21, $C$9, 100%, $E$9)</f>
        <v>6.5014000000000003</v>
      </c>
      <c r="Q134" s="10">
        <f>CHOOSE(CONTROL!$C$42, 7.1973, 7.1973) * CHOOSE(CONTROL!$C$21, $C$9, 100%, $E$9)</f>
        <v>7.1973000000000003</v>
      </c>
      <c r="R134" s="10">
        <f>CHOOSE(CONTROL!$C$42, 7.8023, 7.8023) * CHOOSE(CONTROL!$C$21, $C$9, 100%, $E$9)</f>
        <v>7.8022999999999998</v>
      </c>
      <c r="S134" s="10">
        <f>CHOOSE(CONTROL!$C$42, 6.3749, 6.3749) * CHOOSE(CONTROL!$C$21, $C$9, 100%, $E$9)</f>
        <v>6.3749000000000002</v>
      </c>
      <c r="T134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134" s="58">
        <f>(1000*CHOOSE(CONTROL!$C$42, 695, 695)*CHOOSE(CONTROL!$C$42, 0.5599, 0.5599)*CHOOSE(CONTROL!$C$42, 28, 28))/1000000</f>
        <v>10.895653999999999</v>
      </c>
      <c r="V134" s="58">
        <f>(1000*CHOOSE(CONTROL!$C$42, 500, 500)*CHOOSE(CONTROL!$C$42, 0.275, 0.275)*CHOOSE(CONTROL!$C$42, 28, 28))/1000000</f>
        <v>3.85</v>
      </c>
      <c r="W134" s="58">
        <f>(1000*CHOOSE(CONTROL!$C$42, 0.1146, 0.1146)*CHOOSE(CONTROL!$C$42, 121.5, 121.5)*CHOOSE(CONTROL!$C$42, 28, 28))/1000000</f>
        <v>0.38986920000000003</v>
      </c>
      <c r="X134" s="58">
        <f>(28*0.1790888*100000/1000000)+(28*0.2374*100000/1000000)</f>
        <v>1.16616864</v>
      </c>
      <c r="Y134" s="58"/>
      <c r="Z134" s="10"/>
      <c r="AA134" s="57"/>
      <c r="AB134" s="51">
        <f>(B134*122.58+C134*297.941+D134*89.177+E134*40.302+F134*40+G134*160+H134*0+I134*100+J134*300)/(122.58+297.941+89.177+40.302+0+40+160+100+300)</f>
        <v>6.5731852566086939</v>
      </c>
      <c r="AC134" s="27">
        <f>(M134*'RAP TEMPLATE-GAS AVAILABILITY'!O133+N134*'RAP TEMPLATE-GAS AVAILABILITY'!P133+O134*'RAP TEMPLATE-GAS AVAILABILITY'!Q133+P134*'RAP TEMPLATE-GAS AVAILABILITY'!R133)/('RAP TEMPLATE-GAS AVAILABILITY'!O133+'RAP TEMPLATE-GAS AVAILABILITY'!P133+'RAP TEMPLATE-GAS AVAILABILITY'!Q133+'RAP TEMPLATE-GAS AVAILABILITY'!R133)</f>
        <v>6.5477381294964028</v>
      </c>
    </row>
    <row r="135" spans="1:29" ht="15.75" x14ac:dyDescent="0.25">
      <c r="A135" s="16">
        <v>44986</v>
      </c>
      <c r="B135" s="10">
        <f>CHOOSE(CONTROL!$C$42, 6.3805, 6.3805) * CHOOSE(CONTROL!$C$21, $C$9, 100%, $E$9)</f>
        <v>6.3804999999999996</v>
      </c>
      <c r="C135" s="10">
        <f>CHOOSE(CONTROL!$C$42, 6.3855, 6.3855) * CHOOSE(CONTROL!$C$21, $C$9, 100%, $E$9)</f>
        <v>6.3855000000000004</v>
      </c>
      <c r="D135" s="10">
        <f>CHOOSE(CONTROL!$C$42, 6.446, 6.446) * CHOOSE(CONTROL!$C$21, $C$9, 100%, $E$9)</f>
        <v>6.4459999999999997</v>
      </c>
      <c r="E135" s="10">
        <f>CHOOSE(CONTROL!$C$42, 6.4797, 6.4797) * CHOOSE(CONTROL!$C$21, $C$9, 100%, $E$9)</f>
        <v>6.4797000000000002</v>
      </c>
      <c r="F135" s="10">
        <f>CHOOSE(CONTROL!$C$42, 6.3682, 6.3682)*CHOOSE(CONTROL!$C$21, $C$9, 100%, $E$9)</f>
        <v>6.3681999999999999</v>
      </c>
      <c r="G135" s="10">
        <f>CHOOSE(CONTROL!$C$42, 6.3854, 6.3854)*CHOOSE(CONTROL!$C$21, $C$9, 100%, $E$9)</f>
        <v>6.3853999999999997</v>
      </c>
      <c r="H135" s="10">
        <f>CHOOSE(CONTROL!$C$42, 6.4689, 6.4689) * CHOOSE(CONTROL!$C$21, $C$9, 100%, $E$9)</f>
        <v>6.4688999999999997</v>
      </c>
      <c r="I135" s="10">
        <f>CHOOSE(CONTROL!$C$42, 6.3544, 6.3544)* CHOOSE(CONTROL!$C$21, $C$9, 100%, $E$9)</f>
        <v>6.3544</v>
      </c>
      <c r="J135" s="10">
        <f>CHOOSE(CONTROL!$C$42, 6.3612, 6.3612)* CHOOSE(CONTROL!$C$21, $C$9, 100%, $E$9)</f>
        <v>6.3612000000000002</v>
      </c>
      <c r="K135" s="54">
        <f>CHOOSE(CONTROL!$C$42, 6.3505, 6.3505) * CHOOSE(CONTROL!$C$21, $C$9, 100%, $E$9)</f>
        <v>6.3505000000000003</v>
      </c>
      <c r="L135" s="10">
        <f>CHOOSE(CONTROL!$C$42, 7.0559, 7.0559) * CHOOSE(CONTROL!$C$21, $C$9, 100%, $E$9)</f>
        <v>7.0559000000000003</v>
      </c>
      <c r="M135" s="10">
        <f>CHOOSE(CONTROL!$C$42, 6.3109, 6.3109) * CHOOSE(CONTROL!$C$21, $C$9, 100%, $E$9)</f>
        <v>6.3109000000000002</v>
      </c>
      <c r="N135" s="10">
        <f>CHOOSE(CONTROL!$C$42, 6.3279, 6.3279) * CHOOSE(CONTROL!$C$21, $C$9, 100%, $E$9)</f>
        <v>6.3278999999999996</v>
      </c>
      <c r="O135" s="10">
        <f>CHOOSE(CONTROL!$C$42, 6.4175, 6.4175) * CHOOSE(CONTROL!$C$21, $C$9, 100%, $E$9)</f>
        <v>6.4175000000000004</v>
      </c>
      <c r="P135" s="10">
        <f>CHOOSE(CONTROL!$C$42, 6.3041, 6.3041) * CHOOSE(CONTROL!$C$21, $C$9, 100%, $E$9)</f>
        <v>6.3041</v>
      </c>
      <c r="Q135" s="10">
        <f>CHOOSE(CONTROL!$C$42, 7.0128, 7.0128) * CHOOSE(CONTROL!$C$21, $C$9, 100%, $E$9)</f>
        <v>7.0128000000000004</v>
      </c>
      <c r="R135" s="10">
        <f>CHOOSE(CONTROL!$C$42, 7.6173, 7.6173) * CHOOSE(CONTROL!$C$21, $C$9, 100%, $E$9)</f>
        <v>7.6173000000000002</v>
      </c>
      <c r="S135" s="10">
        <f>CHOOSE(CONTROL!$C$42, 6.194, 6.194) * CHOOSE(CONTROL!$C$21, $C$9, 100%, $E$9)</f>
        <v>6.194</v>
      </c>
      <c r="T135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35" s="58">
        <f>(1000*CHOOSE(CONTROL!$C$42, 695, 695)*CHOOSE(CONTROL!$C$42, 0.5599, 0.5599)*CHOOSE(CONTROL!$C$42, 31, 31))/1000000</f>
        <v>12.063045499999998</v>
      </c>
      <c r="V135" s="58">
        <f>(1000*CHOOSE(CONTROL!$C$42, 500, 500)*CHOOSE(CONTROL!$C$42, 0.275, 0.275)*CHOOSE(CONTROL!$C$42, 31, 31))/1000000</f>
        <v>4.2625000000000002</v>
      </c>
      <c r="W135" s="58">
        <f>(1000*CHOOSE(CONTROL!$C$42, 0.1146, 0.1146)*CHOOSE(CONTROL!$C$42, 121.5, 121.5)*CHOOSE(CONTROL!$C$42, 31, 31))/1000000</f>
        <v>0.43164089999999994</v>
      </c>
      <c r="X135" s="58">
        <f>(31*0.1790888*100000/1000000)+(31*0.2374*100000/1000000)</f>
        <v>1.2911152800000001</v>
      </c>
      <c r="Y135" s="58"/>
      <c r="Z135" s="10"/>
      <c r="AA135" s="57"/>
      <c r="AB135" s="51">
        <f>(B135*122.58+C135*297.941+D135*89.177+E135*40.302+F135*40+G135*160+H135*0+I135*100+J135*300)/(122.58+297.941+89.177+40.302+0+40+160+100+300)</f>
        <v>6.3833006581739138</v>
      </c>
      <c r="AC135" s="27">
        <f>(M135*'RAP TEMPLATE-GAS AVAILABILITY'!O134+N135*'RAP TEMPLATE-GAS AVAILABILITY'!P134+O135*'RAP TEMPLATE-GAS AVAILABILITY'!Q134+P135*'RAP TEMPLATE-GAS AVAILABILITY'!R134)/('RAP TEMPLATE-GAS AVAILABILITY'!O134+'RAP TEMPLATE-GAS AVAILABILITY'!P134+'RAP TEMPLATE-GAS AVAILABILITY'!Q134+'RAP TEMPLATE-GAS AVAILABILITY'!R134)</f>
        <v>6.359215107913669</v>
      </c>
    </row>
    <row r="136" spans="1:29" ht="15.75" x14ac:dyDescent="0.25">
      <c r="A136" s="16">
        <v>45017</v>
      </c>
      <c r="B136" s="10">
        <f>CHOOSE(CONTROL!$C$42, 6.3626, 6.3626) * CHOOSE(CONTROL!$C$21, $C$9, 100%, $E$9)</f>
        <v>6.3625999999999996</v>
      </c>
      <c r="C136" s="10">
        <f>CHOOSE(CONTROL!$C$42, 6.367, 6.367) * CHOOSE(CONTROL!$C$21, $C$9, 100%, $E$9)</f>
        <v>6.367</v>
      </c>
      <c r="D136" s="10">
        <f>CHOOSE(CONTROL!$C$42, 6.5625, 6.5625) * CHOOSE(CONTROL!$C$21, $C$9, 100%, $E$9)</f>
        <v>6.5625</v>
      </c>
      <c r="E136" s="10">
        <f>CHOOSE(CONTROL!$C$42, 6.5943, 6.5943) * CHOOSE(CONTROL!$C$21, $C$9, 100%, $E$9)</f>
        <v>6.5942999999999996</v>
      </c>
      <c r="F136" s="10">
        <f>CHOOSE(CONTROL!$C$42, 6.3304, 6.3304)*CHOOSE(CONTROL!$C$21, $C$9, 100%, $E$9)</f>
        <v>6.3304</v>
      </c>
      <c r="G136" s="10">
        <f>CHOOSE(CONTROL!$C$42, 6.3472, 6.3472)*CHOOSE(CONTROL!$C$21, $C$9, 100%, $E$9)</f>
        <v>6.3472</v>
      </c>
      <c r="H136" s="10">
        <f>CHOOSE(CONTROL!$C$42, 6.5841, 6.5841) * CHOOSE(CONTROL!$C$21, $C$9, 100%, $E$9)</f>
        <v>6.5841000000000003</v>
      </c>
      <c r="I136" s="10">
        <f>CHOOSE(CONTROL!$C$42, 6.3306, 6.3306)* CHOOSE(CONTROL!$C$21, $C$9, 100%, $E$9)</f>
        <v>6.3305999999999996</v>
      </c>
      <c r="J136" s="10">
        <f>CHOOSE(CONTROL!$C$42, 6.3234, 6.3234)* CHOOSE(CONTROL!$C$21, $C$9, 100%, $E$9)</f>
        <v>6.3234000000000004</v>
      </c>
      <c r="K136" s="54">
        <f>CHOOSE(CONTROL!$C$42, 6.3267, 6.3267) * CHOOSE(CONTROL!$C$21, $C$9, 100%, $E$9)</f>
        <v>6.3266999999999998</v>
      </c>
      <c r="L136" s="10">
        <f>CHOOSE(CONTROL!$C$42, 7.1711, 7.1711) * CHOOSE(CONTROL!$C$21, $C$9, 100%, $E$9)</f>
        <v>7.1711</v>
      </c>
      <c r="M136" s="10">
        <f>CHOOSE(CONTROL!$C$42, 6.2734, 6.2734) * CHOOSE(CONTROL!$C$21, $C$9, 100%, $E$9)</f>
        <v>6.2733999999999996</v>
      </c>
      <c r="N136" s="10">
        <f>CHOOSE(CONTROL!$C$42, 6.29, 6.29) * CHOOSE(CONTROL!$C$21, $C$9, 100%, $E$9)</f>
        <v>6.29</v>
      </c>
      <c r="O136" s="10">
        <f>CHOOSE(CONTROL!$C$42, 6.5315, 6.5315) * CHOOSE(CONTROL!$C$21, $C$9, 100%, $E$9)</f>
        <v>6.5315000000000003</v>
      </c>
      <c r="P136" s="10">
        <f>CHOOSE(CONTROL!$C$42, 6.2805, 6.2805) * CHOOSE(CONTROL!$C$21, $C$9, 100%, $E$9)</f>
        <v>6.2805</v>
      </c>
      <c r="Q136" s="10">
        <f>CHOOSE(CONTROL!$C$42, 7.1268, 7.1268) * CHOOSE(CONTROL!$C$21, $C$9, 100%, $E$9)</f>
        <v>7.1268000000000002</v>
      </c>
      <c r="R136" s="10">
        <f>CHOOSE(CONTROL!$C$42, 7.7316, 7.7316) * CHOOSE(CONTROL!$C$21, $C$9, 100%, $E$9)</f>
        <v>7.7316000000000003</v>
      </c>
      <c r="S136" s="10">
        <f>CHOOSE(CONTROL!$C$42, 6.1758, 6.1758) * CHOOSE(CONTROL!$C$21, $C$9, 100%, $E$9)</f>
        <v>6.1757999999999997</v>
      </c>
      <c r="T136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36" s="58">
        <f>(1000*CHOOSE(CONTROL!$C$42, 695, 695)*CHOOSE(CONTROL!$C$42, 0.5599, 0.5599)*CHOOSE(CONTROL!$C$42, 30, 30))/1000000</f>
        <v>11.673914999999997</v>
      </c>
      <c r="V136" s="58">
        <f>(1000*CHOOSE(CONTROL!$C$42, 500, 500)*CHOOSE(CONTROL!$C$42, 0.275, 0.275)*CHOOSE(CONTROL!$C$42, 30, 30))/1000000</f>
        <v>4.125</v>
      </c>
      <c r="W136" s="58">
        <f>(1000*CHOOSE(CONTROL!$C$42, 0.1146, 0.1146)*CHOOSE(CONTROL!$C$42, 121.5, 121.5)*CHOOSE(CONTROL!$C$42, 30, 30))/1000000</f>
        <v>0.417717</v>
      </c>
      <c r="X136" s="58">
        <f>(30*0.1790888*245000/1000000)+(30*0.2374*100000/1000000)</f>
        <v>2.0285026799999999</v>
      </c>
      <c r="Y136" s="58"/>
      <c r="Z136" s="10"/>
      <c r="AA136" s="57"/>
      <c r="AB136" s="51">
        <f>(B136*141.293+C136*267.993+D136*115.016+E136*89.698+F136*40+G136*185+H136*0+I136*100+J136*300)/(141.293+267.993+115.016+89.698+0+40+185+100+300)</f>
        <v>6.3834691640032277</v>
      </c>
      <c r="AC136" s="27">
        <f>(M136*'RAP TEMPLATE-GAS AVAILABILITY'!O135+N136*'RAP TEMPLATE-GAS AVAILABILITY'!P135+O136*'RAP TEMPLATE-GAS AVAILABILITY'!Q135+P136*'RAP TEMPLATE-GAS AVAILABILITY'!R135)/('RAP TEMPLATE-GAS AVAILABILITY'!O135+'RAP TEMPLATE-GAS AVAILABILITY'!P135+'RAP TEMPLATE-GAS AVAILABILITY'!Q135+'RAP TEMPLATE-GAS AVAILABILITY'!R135)</f>
        <v>6.3506597122302164</v>
      </c>
    </row>
    <row r="137" spans="1:29" ht="15.75" x14ac:dyDescent="0.25">
      <c r="A137" s="16">
        <v>45047</v>
      </c>
      <c r="B137" s="10">
        <f>CHOOSE(CONTROL!$C$42, 6.4201, 6.4201) * CHOOSE(CONTROL!$C$21, $C$9, 100%, $E$9)</f>
        <v>6.4200999999999997</v>
      </c>
      <c r="C137" s="10">
        <f>CHOOSE(CONTROL!$C$42, 6.428, 6.428) * CHOOSE(CONTROL!$C$21, $C$9, 100%, $E$9)</f>
        <v>6.4279999999999999</v>
      </c>
      <c r="D137" s="10">
        <f>CHOOSE(CONTROL!$C$42, 6.6205, 6.6205) * CHOOSE(CONTROL!$C$21, $C$9, 100%, $E$9)</f>
        <v>6.6204999999999998</v>
      </c>
      <c r="E137" s="10">
        <f>CHOOSE(CONTROL!$C$42, 6.6516, 6.6516) * CHOOSE(CONTROL!$C$21, $C$9, 100%, $E$9)</f>
        <v>6.6516000000000002</v>
      </c>
      <c r="F137" s="10">
        <f>CHOOSE(CONTROL!$C$42, 6.3864, 6.3864)*CHOOSE(CONTROL!$C$21, $C$9, 100%, $E$9)</f>
        <v>6.3864000000000001</v>
      </c>
      <c r="G137" s="10">
        <f>CHOOSE(CONTROL!$C$42, 6.4035, 6.4035)*CHOOSE(CONTROL!$C$21, $C$9, 100%, $E$9)</f>
        <v>6.4035000000000002</v>
      </c>
      <c r="H137" s="10">
        <f>CHOOSE(CONTROL!$C$42, 6.6402, 6.6402) * CHOOSE(CONTROL!$C$21, $C$9, 100%, $E$9)</f>
        <v>6.6402000000000001</v>
      </c>
      <c r="I137" s="10">
        <f>CHOOSE(CONTROL!$C$42, 6.3867, 6.3867)* CHOOSE(CONTROL!$C$21, $C$9, 100%, $E$9)</f>
        <v>6.3867000000000003</v>
      </c>
      <c r="J137" s="10">
        <f>CHOOSE(CONTROL!$C$42, 6.3794, 6.3794)* CHOOSE(CONTROL!$C$21, $C$9, 100%, $E$9)</f>
        <v>6.3794000000000004</v>
      </c>
      <c r="K137" s="54">
        <f>CHOOSE(CONTROL!$C$42, 6.3828, 6.3828) * CHOOSE(CONTROL!$C$21, $C$9, 100%, $E$9)</f>
        <v>6.3827999999999996</v>
      </c>
      <c r="L137" s="10">
        <f>CHOOSE(CONTROL!$C$42, 7.2272, 7.2272) * CHOOSE(CONTROL!$C$21, $C$9, 100%, $E$9)</f>
        <v>7.2271999999999998</v>
      </c>
      <c r="M137" s="10">
        <f>CHOOSE(CONTROL!$C$42, 6.3288, 6.3288) * CHOOSE(CONTROL!$C$21, $C$9, 100%, $E$9)</f>
        <v>6.3288000000000002</v>
      </c>
      <c r="N137" s="10">
        <f>CHOOSE(CONTROL!$C$42, 6.3458, 6.3458) * CHOOSE(CONTROL!$C$21, $C$9, 100%, $E$9)</f>
        <v>6.3457999999999997</v>
      </c>
      <c r="O137" s="10">
        <f>CHOOSE(CONTROL!$C$42, 6.587, 6.587) * CHOOSE(CONTROL!$C$21, $C$9, 100%, $E$9)</f>
        <v>6.5869999999999997</v>
      </c>
      <c r="P137" s="10">
        <f>CHOOSE(CONTROL!$C$42, 6.3361, 6.3361) * CHOOSE(CONTROL!$C$21, $C$9, 100%, $E$9)</f>
        <v>6.3361000000000001</v>
      </c>
      <c r="Q137" s="10">
        <f>CHOOSE(CONTROL!$C$42, 7.1823, 7.1823) * CHOOSE(CONTROL!$C$21, $C$9, 100%, $E$9)</f>
        <v>7.1822999999999997</v>
      </c>
      <c r="R137" s="10">
        <f>CHOOSE(CONTROL!$C$42, 7.7873, 7.7873) * CHOOSE(CONTROL!$C$21, $C$9, 100%, $E$9)</f>
        <v>7.7873000000000001</v>
      </c>
      <c r="S137" s="10">
        <f>CHOOSE(CONTROL!$C$42, 6.2303, 6.2303) * CHOOSE(CONTROL!$C$21, $C$9, 100%, $E$9)</f>
        <v>6.2302999999999997</v>
      </c>
      <c r="T137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37" s="58">
        <f>(1000*CHOOSE(CONTROL!$C$42, 695, 695)*CHOOSE(CONTROL!$C$42, 0.5599, 0.5599)*CHOOSE(CONTROL!$C$42, 31, 31))/1000000</f>
        <v>12.063045499999998</v>
      </c>
      <c r="V137" s="58">
        <f>(1000*CHOOSE(CONTROL!$C$42, 500, 500)*CHOOSE(CONTROL!$C$42, 0.275, 0.275)*CHOOSE(CONTROL!$C$42, 31, 31))/1000000</f>
        <v>4.2625000000000002</v>
      </c>
      <c r="W137" s="58">
        <f>(1000*CHOOSE(CONTROL!$C$42, 0.1146, 0.1146)*CHOOSE(CONTROL!$C$42, 121.5, 121.5)*CHOOSE(CONTROL!$C$42, 31, 31))/1000000</f>
        <v>0.43164089999999994</v>
      </c>
      <c r="X137" s="58">
        <f>(31*0.1790888*245000/1000000)+(31*0.2374*100000/1000000)</f>
        <v>2.0961194359999999</v>
      </c>
      <c r="Y137" s="58"/>
      <c r="Z137" s="10"/>
      <c r="AA137" s="57"/>
      <c r="AB137" s="51">
        <f>(B137*194.205+C137*267.466+D137*133.845+E137*53.484+F137*40+G137*185+H137*0+I137*100+J137*300)/(194.205+267.466+133.845+53.484+0+40+185+100+300)</f>
        <v>6.4368567232339098</v>
      </c>
      <c r="AC137" s="27">
        <f>(M137*'RAP TEMPLATE-GAS AVAILABILITY'!O136+N137*'RAP TEMPLATE-GAS AVAILABILITY'!P136+O137*'RAP TEMPLATE-GAS AVAILABILITY'!Q136+P137*'RAP TEMPLATE-GAS AVAILABILITY'!R136)/('RAP TEMPLATE-GAS AVAILABILITY'!O136+'RAP TEMPLATE-GAS AVAILABILITY'!P136+'RAP TEMPLATE-GAS AVAILABILITY'!Q136+'RAP TEMPLATE-GAS AVAILABILITY'!R136)</f>
        <v>6.4062086330935246</v>
      </c>
    </row>
    <row r="138" spans="1:29" ht="15.75" x14ac:dyDescent="0.25">
      <c r="A138" s="16">
        <v>45078</v>
      </c>
      <c r="B138" s="10">
        <f>CHOOSE(CONTROL!$C$42, 6.6021, 6.6021) * CHOOSE(CONTROL!$C$21, $C$9, 100%, $E$9)</f>
        <v>6.6021000000000001</v>
      </c>
      <c r="C138" s="10">
        <f>CHOOSE(CONTROL!$C$42, 6.61, 6.61) * CHOOSE(CONTROL!$C$21, $C$9, 100%, $E$9)</f>
        <v>6.61</v>
      </c>
      <c r="D138" s="10">
        <f>CHOOSE(CONTROL!$C$42, 6.8024, 6.8024) * CHOOSE(CONTROL!$C$21, $C$9, 100%, $E$9)</f>
        <v>6.8023999999999996</v>
      </c>
      <c r="E138" s="10">
        <f>CHOOSE(CONTROL!$C$42, 6.8336, 6.8336) * CHOOSE(CONTROL!$C$21, $C$9, 100%, $E$9)</f>
        <v>6.8335999999999997</v>
      </c>
      <c r="F138" s="10">
        <f>CHOOSE(CONTROL!$C$42, 6.5686, 6.5686)*CHOOSE(CONTROL!$C$21, $C$9, 100%, $E$9)</f>
        <v>6.5686</v>
      </c>
      <c r="G138" s="10">
        <f>CHOOSE(CONTROL!$C$42, 6.5857, 6.5857)*CHOOSE(CONTROL!$C$21, $C$9, 100%, $E$9)</f>
        <v>6.5857000000000001</v>
      </c>
      <c r="H138" s="10">
        <f>CHOOSE(CONTROL!$C$42, 6.8222, 6.8222) * CHOOSE(CONTROL!$C$21, $C$9, 100%, $E$9)</f>
        <v>6.8221999999999996</v>
      </c>
      <c r="I138" s="10">
        <f>CHOOSE(CONTROL!$C$42, 6.5686, 6.5686)* CHOOSE(CONTROL!$C$21, $C$9, 100%, $E$9)</f>
        <v>6.5686</v>
      </c>
      <c r="J138" s="10">
        <f>CHOOSE(CONTROL!$C$42, 6.5616, 6.5616)* CHOOSE(CONTROL!$C$21, $C$9, 100%, $E$9)</f>
        <v>6.5616000000000003</v>
      </c>
      <c r="K138" s="54">
        <f>CHOOSE(CONTROL!$C$42, 6.5647, 6.5647) * CHOOSE(CONTROL!$C$21, $C$9, 100%, $E$9)</f>
        <v>6.5647000000000002</v>
      </c>
      <c r="L138" s="10">
        <f>CHOOSE(CONTROL!$C$42, 7.4092, 7.4092) * CHOOSE(CONTROL!$C$21, $C$9, 100%, $E$9)</f>
        <v>7.4092000000000002</v>
      </c>
      <c r="M138" s="10">
        <f>CHOOSE(CONTROL!$C$42, 6.5092, 6.5092) * CHOOSE(CONTROL!$C$21, $C$9, 100%, $E$9)</f>
        <v>6.5091999999999999</v>
      </c>
      <c r="N138" s="10">
        <f>CHOOSE(CONTROL!$C$42, 6.5262, 6.5262) * CHOOSE(CONTROL!$C$21, $C$9, 100%, $E$9)</f>
        <v>6.5262000000000002</v>
      </c>
      <c r="O138" s="10">
        <f>CHOOSE(CONTROL!$C$42, 6.7672, 6.7672) * CHOOSE(CONTROL!$C$21, $C$9, 100%, $E$9)</f>
        <v>6.7671999999999999</v>
      </c>
      <c r="P138" s="10">
        <f>CHOOSE(CONTROL!$C$42, 6.5162, 6.5162) * CHOOSE(CONTROL!$C$21, $C$9, 100%, $E$9)</f>
        <v>6.5162000000000004</v>
      </c>
      <c r="Q138" s="10">
        <f>CHOOSE(CONTROL!$C$42, 7.3625, 7.3625) * CHOOSE(CONTROL!$C$21, $C$9, 100%, $E$9)</f>
        <v>7.3624999999999998</v>
      </c>
      <c r="R138" s="10">
        <f>CHOOSE(CONTROL!$C$42, 7.9679, 7.9679) * CHOOSE(CONTROL!$C$21, $C$9, 100%, $E$9)</f>
        <v>7.9679000000000002</v>
      </c>
      <c r="S138" s="10">
        <f>CHOOSE(CONTROL!$C$42, 6.407, 6.407) * CHOOSE(CONTROL!$C$21, $C$9, 100%, $E$9)</f>
        <v>6.407</v>
      </c>
      <c r="T138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38" s="58">
        <f>(1000*CHOOSE(CONTROL!$C$42, 695, 695)*CHOOSE(CONTROL!$C$42, 0.5599, 0.5599)*CHOOSE(CONTROL!$C$42, 30, 30))/1000000</f>
        <v>11.673914999999997</v>
      </c>
      <c r="V138" s="58">
        <f>(1000*CHOOSE(CONTROL!$C$42, 500, 500)*CHOOSE(CONTROL!$C$42, 0.275, 0.275)*CHOOSE(CONTROL!$C$42, 30, 30))/1000000</f>
        <v>4.125</v>
      </c>
      <c r="W138" s="58">
        <f>(1000*CHOOSE(CONTROL!$C$42, 0.1146, 0.1146)*CHOOSE(CONTROL!$C$42, 121.5, 121.5)*CHOOSE(CONTROL!$C$42, 30, 30))/1000000</f>
        <v>0.417717</v>
      </c>
      <c r="X138" s="58">
        <f>(30*0.1790888*245000/1000000)+(30*0.2374*100000/1000000)</f>
        <v>2.0285026799999999</v>
      </c>
      <c r="Y138" s="58"/>
      <c r="Z138" s="10"/>
      <c r="AA138" s="57"/>
      <c r="AB138" s="51">
        <f>(B138*194.205+C138*267.466+D138*133.845+E138*53.484+F138*40+G138*185+H138*0+I138*100+J138*300)/(194.205+267.466+133.845+53.484+0+40+185+100+300)</f>
        <v>6.618920785635793</v>
      </c>
      <c r="AC138" s="27">
        <f>(M138*'RAP TEMPLATE-GAS AVAILABILITY'!O137+N138*'RAP TEMPLATE-GAS AVAILABILITY'!P137+O138*'RAP TEMPLATE-GAS AVAILABILITY'!Q137+P138*'RAP TEMPLATE-GAS AVAILABILITY'!R137)/('RAP TEMPLATE-GAS AVAILABILITY'!O137+'RAP TEMPLATE-GAS AVAILABILITY'!P137+'RAP TEMPLATE-GAS AVAILABILITY'!Q137+'RAP TEMPLATE-GAS AVAILABILITY'!R137)</f>
        <v>6.586509352517985</v>
      </c>
    </row>
    <row r="139" spans="1:29" ht="15.75" x14ac:dyDescent="0.25">
      <c r="A139" s="16">
        <v>45108</v>
      </c>
      <c r="B139" s="10">
        <f>CHOOSE(CONTROL!$C$42, 6.4755, 6.4755) * CHOOSE(CONTROL!$C$21, $C$9, 100%, $E$9)</f>
        <v>6.4755000000000003</v>
      </c>
      <c r="C139" s="10">
        <f>CHOOSE(CONTROL!$C$42, 6.4834, 6.4834) * CHOOSE(CONTROL!$C$21, $C$9, 100%, $E$9)</f>
        <v>6.4833999999999996</v>
      </c>
      <c r="D139" s="10">
        <f>CHOOSE(CONTROL!$C$42, 6.6759, 6.6759) * CHOOSE(CONTROL!$C$21, $C$9, 100%, $E$9)</f>
        <v>6.6759000000000004</v>
      </c>
      <c r="E139" s="10">
        <f>CHOOSE(CONTROL!$C$42, 6.707, 6.707) * CHOOSE(CONTROL!$C$21, $C$9, 100%, $E$9)</f>
        <v>6.7069999999999999</v>
      </c>
      <c r="F139" s="10">
        <f>CHOOSE(CONTROL!$C$42, 6.4424, 6.4424)*CHOOSE(CONTROL!$C$21, $C$9, 100%, $E$9)</f>
        <v>6.4424000000000001</v>
      </c>
      <c r="G139" s="10">
        <f>CHOOSE(CONTROL!$C$42, 6.4597, 6.4597)*CHOOSE(CONTROL!$C$21, $C$9, 100%, $E$9)</f>
        <v>6.4596999999999998</v>
      </c>
      <c r="H139" s="10">
        <f>CHOOSE(CONTROL!$C$42, 6.6956, 6.6956) * CHOOSE(CONTROL!$C$21, $C$9, 100%, $E$9)</f>
        <v>6.6955999999999998</v>
      </c>
      <c r="I139" s="10">
        <f>CHOOSE(CONTROL!$C$42, 6.4421, 6.4421)* CHOOSE(CONTROL!$C$21, $C$9, 100%, $E$9)</f>
        <v>6.4420999999999999</v>
      </c>
      <c r="J139" s="10">
        <f>CHOOSE(CONTROL!$C$42, 6.4354, 6.4354)* CHOOSE(CONTROL!$C$21, $C$9, 100%, $E$9)</f>
        <v>6.4353999999999996</v>
      </c>
      <c r="K139" s="54">
        <f>CHOOSE(CONTROL!$C$42, 6.4382, 6.4382) * CHOOSE(CONTROL!$C$21, $C$9, 100%, $E$9)</f>
        <v>6.4382000000000001</v>
      </c>
      <c r="L139" s="10">
        <f>CHOOSE(CONTROL!$C$42, 7.2826, 7.2826) * CHOOSE(CONTROL!$C$21, $C$9, 100%, $E$9)</f>
        <v>7.2826000000000004</v>
      </c>
      <c r="M139" s="10">
        <f>CHOOSE(CONTROL!$C$42, 6.3843, 6.3843) * CHOOSE(CONTROL!$C$21, $C$9, 100%, $E$9)</f>
        <v>6.3842999999999996</v>
      </c>
      <c r="N139" s="10">
        <f>CHOOSE(CONTROL!$C$42, 6.4014, 6.4014) * CHOOSE(CONTROL!$C$21, $C$9, 100%, $E$9)</f>
        <v>6.4013999999999998</v>
      </c>
      <c r="O139" s="10">
        <f>CHOOSE(CONTROL!$C$42, 6.6419, 6.6419) * CHOOSE(CONTROL!$C$21, $C$9, 100%, $E$9)</f>
        <v>6.6418999999999997</v>
      </c>
      <c r="P139" s="10">
        <f>CHOOSE(CONTROL!$C$42, 6.3909, 6.3909) * CHOOSE(CONTROL!$C$21, $C$9, 100%, $E$9)</f>
        <v>6.3909000000000002</v>
      </c>
      <c r="Q139" s="10">
        <f>CHOOSE(CONTROL!$C$42, 7.2372, 7.2372) * CHOOSE(CONTROL!$C$21, $C$9, 100%, $E$9)</f>
        <v>7.2371999999999996</v>
      </c>
      <c r="R139" s="10">
        <f>CHOOSE(CONTROL!$C$42, 7.8423, 7.8423) * CHOOSE(CONTROL!$C$21, $C$9, 100%, $E$9)</f>
        <v>7.8422999999999998</v>
      </c>
      <c r="S139" s="10">
        <f>CHOOSE(CONTROL!$C$42, 6.2841, 6.2841) * CHOOSE(CONTROL!$C$21, $C$9, 100%, $E$9)</f>
        <v>6.2840999999999996</v>
      </c>
      <c r="T139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39" s="58">
        <f>(1000*CHOOSE(CONTROL!$C$42, 695, 695)*CHOOSE(CONTROL!$C$42, 0.5599, 0.5599)*CHOOSE(CONTROL!$C$42, 31, 31))/1000000</f>
        <v>12.063045499999998</v>
      </c>
      <c r="V139" s="58">
        <f>(1000*CHOOSE(CONTROL!$C$42, 500, 500)*CHOOSE(CONTROL!$C$42, 0.275, 0.275)*CHOOSE(CONTROL!$C$42, 31, 31))/1000000</f>
        <v>4.2625000000000002</v>
      </c>
      <c r="W139" s="58">
        <f>(1000*CHOOSE(CONTROL!$C$42, 0.1146, 0.1146)*CHOOSE(CONTROL!$C$42, 121.5, 121.5)*CHOOSE(CONTROL!$C$42, 31, 31))/1000000</f>
        <v>0.43164089999999994</v>
      </c>
      <c r="X139" s="58">
        <f>(31*0.1790888*245000/1000000)+(31*0.2374*100000/1000000)</f>
        <v>2.0961194359999999</v>
      </c>
      <c r="Y139" s="58"/>
      <c r="Z139" s="10"/>
      <c r="AA139" s="57"/>
      <c r="AB139" s="51">
        <f>(B139*194.205+C139*267.466+D139*133.845+E139*53.484+F139*40+G139*185+H139*0+I139*100+J139*300)/(194.205+267.466+133.845+53.484+0+40+185+100+300)</f>
        <v>6.4925330183673475</v>
      </c>
      <c r="AC139" s="27">
        <f>(M139*'RAP TEMPLATE-GAS AVAILABILITY'!O138+N139*'RAP TEMPLATE-GAS AVAILABILITY'!P138+O139*'RAP TEMPLATE-GAS AVAILABILITY'!Q138+P139*'RAP TEMPLATE-GAS AVAILABILITY'!R138)/('RAP TEMPLATE-GAS AVAILABILITY'!O138+'RAP TEMPLATE-GAS AVAILABILITY'!P138+'RAP TEMPLATE-GAS AVAILABILITY'!Q138+'RAP TEMPLATE-GAS AVAILABILITY'!R138)</f>
        <v>6.4614625899280584</v>
      </c>
    </row>
    <row r="140" spans="1:29" ht="15.75" x14ac:dyDescent="0.25">
      <c r="A140" s="16">
        <v>45139</v>
      </c>
      <c r="B140" s="10">
        <f>CHOOSE(CONTROL!$C$42, 6.1559, 6.1559) * CHOOSE(CONTROL!$C$21, $C$9, 100%, $E$9)</f>
        <v>6.1558999999999999</v>
      </c>
      <c r="C140" s="10">
        <f>CHOOSE(CONTROL!$C$42, 6.1638, 6.1638) * CHOOSE(CONTROL!$C$21, $C$9, 100%, $E$9)</f>
        <v>6.1638000000000002</v>
      </c>
      <c r="D140" s="10">
        <f>CHOOSE(CONTROL!$C$42, 6.3563, 6.3563) * CHOOSE(CONTROL!$C$21, $C$9, 100%, $E$9)</f>
        <v>6.3563000000000001</v>
      </c>
      <c r="E140" s="10">
        <f>CHOOSE(CONTROL!$C$42, 6.3874, 6.3874) * CHOOSE(CONTROL!$C$21, $C$9, 100%, $E$9)</f>
        <v>6.3874000000000004</v>
      </c>
      <c r="F140" s="10">
        <f>CHOOSE(CONTROL!$C$42, 6.123, 6.123)*CHOOSE(CONTROL!$C$21, $C$9, 100%, $E$9)</f>
        <v>6.1230000000000002</v>
      </c>
      <c r="G140" s="10">
        <f>CHOOSE(CONTROL!$C$42, 6.1403, 6.1403)*CHOOSE(CONTROL!$C$21, $C$9, 100%, $E$9)</f>
        <v>6.1402999999999999</v>
      </c>
      <c r="H140" s="10">
        <f>CHOOSE(CONTROL!$C$42, 6.376, 6.376) * CHOOSE(CONTROL!$C$21, $C$9, 100%, $E$9)</f>
        <v>6.3760000000000003</v>
      </c>
      <c r="I140" s="10">
        <f>CHOOSE(CONTROL!$C$42, 6.1225, 6.1225)* CHOOSE(CONTROL!$C$21, $C$9, 100%, $E$9)</f>
        <v>6.1224999999999996</v>
      </c>
      <c r="J140" s="10">
        <f>CHOOSE(CONTROL!$C$42, 6.116, 6.116)* CHOOSE(CONTROL!$C$21, $C$9, 100%, $E$9)</f>
        <v>6.1159999999999997</v>
      </c>
      <c r="K140" s="54">
        <f>CHOOSE(CONTROL!$C$42, 6.1186, 6.1186) * CHOOSE(CONTROL!$C$21, $C$9, 100%, $E$9)</f>
        <v>6.1185999999999998</v>
      </c>
      <c r="L140" s="10">
        <f>CHOOSE(CONTROL!$C$42, 6.963, 6.963) * CHOOSE(CONTROL!$C$21, $C$9, 100%, $E$9)</f>
        <v>6.9630000000000001</v>
      </c>
      <c r="M140" s="10">
        <f>CHOOSE(CONTROL!$C$42, 6.0681, 6.0681) * CHOOSE(CONTROL!$C$21, $C$9, 100%, $E$9)</f>
        <v>6.0681000000000003</v>
      </c>
      <c r="N140" s="10">
        <f>CHOOSE(CONTROL!$C$42, 6.0853, 6.0853) * CHOOSE(CONTROL!$C$21, $C$9, 100%, $E$9)</f>
        <v>6.0853000000000002</v>
      </c>
      <c r="O140" s="10">
        <f>CHOOSE(CONTROL!$C$42, 6.3255, 6.3255) * CHOOSE(CONTROL!$C$21, $C$9, 100%, $E$9)</f>
        <v>6.3254999999999999</v>
      </c>
      <c r="P140" s="10">
        <f>CHOOSE(CONTROL!$C$42, 6.0746, 6.0746) * CHOOSE(CONTROL!$C$21, $C$9, 100%, $E$9)</f>
        <v>6.0746000000000002</v>
      </c>
      <c r="Q140" s="10">
        <f>CHOOSE(CONTROL!$C$42, 6.9208, 6.9208) * CHOOSE(CONTROL!$C$21, $C$9, 100%, $E$9)</f>
        <v>6.9207999999999998</v>
      </c>
      <c r="R140" s="10">
        <f>CHOOSE(CONTROL!$C$42, 7.5251, 7.5251) * CHOOSE(CONTROL!$C$21, $C$9, 100%, $E$9)</f>
        <v>7.5251000000000001</v>
      </c>
      <c r="S140" s="10">
        <f>CHOOSE(CONTROL!$C$42, 5.9738, 5.9738) * CHOOSE(CONTROL!$C$21, $C$9, 100%, $E$9)</f>
        <v>5.9737999999999998</v>
      </c>
      <c r="T140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40" s="58">
        <f>(1000*CHOOSE(CONTROL!$C$42, 695, 695)*CHOOSE(CONTROL!$C$42, 0.5599, 0.5599)*CHOOSE(CONTROL!$C$42, 31, 31))/1000000</f>
        <v>12.063045499999998</v>
      </c>
      <c r="V140" s="58">
        <f>(1000*CHOOSE(CONTROL!$C$42, 500, 500)*CHOOSE(CONTROL!$C$42, 0.275, 0.275)*CHOOSE(CONTROL!$C$42, 31, 31))/1000000</f>
        <v>4.2625000000000002</v>
      </c>
      <c r="W140" s="58">
        <f>(1000*CHOOSE(CONTROL!$C$42, 0.1146, 0.1146)*CHOOSE(CONTROL!$C$42, 121.5, 121.5)*CHOOSE(CONTROL!$C$42, 31, 31))/1000000</f>
        <v>0.43164089999999994</v>
      </c>
      <c r="X140" s="58">
        <f>(31*0.1790888*245000/1000000)+(31*0.2374*100000/1000000)</f>
        <v>2.0961194359999999</v>
      </c>
      <c r="Y140" s="58"/>
      <c r="Z140" s="10"/>
      <c r="AA140" s="57"/>
      <c r="AB140" s="51">
        <f>(B140*194.205+C140*267.466+D140*133.845+E140*53.484+F140*40+G140*185+H140*0+I140*100+J140*300)/(194.205+267.466+133.845+53.484+0+40+185+100+300)</f>
        <v>6.1730154359497647</v>
      </c>
      <c r="AC140" s="27">
        <f>(M140*'RAP TEMPLATE-GAS AVAILABILITY'!O139+N140*'RAP TEMPLATE-GAS AVAILABILITY'!P139+O140*'RAP TEMPLATE-GAS AVAILABILITY'!Q139+P140*'RAP TEMPLATE-GAS AVAILABILITY'!R139)/('RAP TEMPLATE-GAS AVAILABILITY'!O139+'RAP TEMPLATE-GAS AVAILABILITY'!P139+'RAP TEMPLATE-GAS AVAILABILITY'!Q139+'RAP TEMPLATE-GAS AVAILABILITY'!R139)</f>
        <v>6.1452151079136694</v>
      </c>
    </row>
    <row r="141" spans="1:29" ht="15.75" x14ac:dyDescent="0.25">
      <c r="A141" s="16">
        <v>45170</v>
      </c>
      <c r="B141" s="10">
        <f>CHOOSE(CONTROL!$C$42, 5.7651, 5.7651) * CHOOSE(CONTROL!$C$21, $C$9, 100%, $E$9)</f>
        <v>5.7651000000000003</v>
      </c>
      <c r="C141" s="10">
        <f>CHOOSE(CONTROL!$C$42, 5.773, 5.773) * CHOOSE(CONTROL!$C$21, $C$9, 100%, $E$9)</f>
        <v>5.7729999999999997</v>
      </c>
      <c r="D141" s="10">
        <f>CHOOSE(CONTROL!$C$42, 5.9654, 5.9654) * CHOOSE(CONTROL!$C$21, $C$9, 100%, $E$9)</f>
        <v>5.9653999999999998</v>
      </c>
      <c r="E141" s="10">
        <f>CHOOSE(CONTROL!$C$42, 5.9965, 5.9965) * CHOOSE(CONTROL!$C$21, $C$9, 100%, $E$9)</f>
        <v>5.9965000000000002</v>
      </c>
      <c r="F141" s="10">
        <f>CHOOSE(CONTROL!$C$42, 5.732, 5.732)*CHOOSE(CONTROL!$C$21, $C$9, 100%, $E$9)</f>
        <v>5.7320000000000002</v>
      </c>
      <c r="G141" s="10">
        <f>CHOOSE(CONTROL!$C$42, 5.7493, 5.7493)*CHOOSE(CONTROL!$C$21, $C$9, 100%, $E$9)</f>
        <v>5.7492999999999999</v>
      </c>
      <c r="H141" s="10">
        <f>CHOOSE(CONTROL!$C$42, 5.9852, 5.9852) * CHOOSE(CONTROL!$C$21, $C$9, 100%, $E$9)</f>
        <v>5.9851999999999999</v>
      </c>
      <c r="I141" s="10">
        <f>CHOOSE(CONTROL!$C$42, 5.7316, 5.7316)* CHOOSE(CONTROL!$C$21, $C$9, 100%, $E$9)</f>
        <v>5.7316000000000003</v>
      </c>
      <c r="J141" s="10">
        <f>CHOOSE(CONTROL!$C$42, 5.725, 5.725)* CHOOSE(CONTROL!$C$21, $C$9, 100%, $E$9)</f>
        <v>5.7249999999999996</v>
      </c>
      <c r="K141" s="54">
        <f>CHOOSE(CONTROL!$C$42, 5.7277, 5.7277) * CHOOSE(CONTROL!$C$21, $C$9, 100%, $E$9)</f>
        <v>5.7276999999999996</v>
      </c>
      <c r="L141" s="10">
        <f>CHOOSE(CONTROL!$C$42, 6.5722, 6.5722) * CHOOSE(CONTROL!$C$21, $C$9, 100%, $E$9)</f>
        <v>6.5721999999999996</v>
      </c>
      <c r="M141" s="10">
        <f>CHOOSE(CONTROL!$C$42, 5.681, 5.681) * CHOOSE(CONTROL!$C$21, $C$9, 100%, $E$9)</f>
        <v>5.681</v>
      </c>
      <c r="N141" s="10">
        <f>CHOOSE(CONTROL!$C$42, 5.6981, 5.6981) * CHOOSE(CONTROL!$C$21, $C$9, 100%, $E$9)</f>
        <v>5.6981000000000002</v>
      </c>
      <c r="O141" s="10">
        <f>CHOOSE(CONTROL!$C$42, 5.9386, 5.9386) * CHOOSE(CONTROL!$C$21, $C$9, 100%, $E$9)</f>
        <v>5.9386000000000001</v>
      </c>
      <c r="P141" s="10">
        <f>CHOOSE(CONTROL!$C$42, 5.6877, 5.6877) * CHOOSE(CONTROL!$C$21, $C$9, 100%, $E$9)</f>
        <v>5.6877000000000004</v>
      </c>
      <c r="Q141" s="10">
        <f>CHOOSE(CONTROL!$C$42, 6.5339, 6.5339) * CHOOSE(CONTROL!$C$21, $C$9, 100%, $E$9)</f>
        <v>6.5339</v>
      </c>
      <c r="R141" s="10">
        <f>CHOOSE(CONTROL!$C$42, 7.1372, 7.1372) * CHOOSE(CONTROL!$C$21, $C$9, 100%, $E$9)</f>
        <v>7.1372</v>
      </c>
      <c r="S141" s="10">
        <f>CHOOSE(CONTROL!$C$42, 5.5942, 5.5942) * CHOOSE(CONTROL!$C$21, $C$9, 100%, $E$9)</f>
        <v>5.5941999999999998</v>
      </c>
      <c r="T141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41" s="58">
        <f>(1000*CHOOSE(CONTROL!$C$42, 695, 695)*CHOOSE(CONTROL!$C$42, 0.5599, 0.5599)*CHOOSE(CONTROL!$C$42, 30, 30))/1000000</f>
        <v>11.673914999999997</v>
      </c>
      <c r="V141" s="58">
        <f>(1000*CHOOSE(CONTROL!$C$42, 500, 500)*CHOOSE(CONTROL!$C$42, 0.275, 0.275)*CHOOSE(CONTROL!$C$42, 30, 30))/1000000</f>
        <v>4.125</v>
      </c>
      <c r="W141" s="58">
        <f>(1000*CHOOSE(CONTROL!$C$42, 0.1146, 0.1146)*CHOOSE(CONTROL!$C$42, 121.5, 121.5)*CHOOSE(CONTROL!$C$42, 30, 30))/1000000</f>
        <v>0.417717</v>
      </c>
      <c r="X141" s="58">
        <f>(30*0.1790888*245000/1000000)+(30*0.2374*100000/1000000)</f>
        <v>2.0285026799999999</v>
      </c>
      <c r="Y141" s="58"/>
      <c r="Z141" s="10"/>
      <c r="AA141" s="57"/>
      <c r="AB141" s="51">
        <f>(B141*194.205+C141*267.466+D141*133.845+E141*53.484+F141*40+G141*185+H141*0+I141*100+J141*300)/(194.205+267.466+133.845+53.484+0+40+185+100+300)</f>
        <v>5.7821104650706436</v>
      </c>
      <c r="AC141" s="27">
        <f>(M141*'RAP TEMPLATE-GAS AVAILABILITY'!O140+N141*'RAP TEMPLATE-GAS AVAILABILITY'!P140+O141*'RAP TEMPLATE-GAS AVAILABILITY'!Q140+P141*'RAP TEMPLATE-GAS AVAILABILITY'!R140)/('RAP TEMPLATE-GAS AVAILABILITY'!O140+'RAP TEMPLATE-GAS AVAILABILITY'!P140+'RAP TEMPLATE-GAS AVAILABILITY'!Q140+'RAP TEMPLATE-GAS AVAILABILITY'!R140)</f>
        <v>5.7581769784172661</v>
      </c>
    </row>
    <row r="142" spans="1:29" ht="15.75" x14ac:dyDescent="0.25">
      <c r="A142" s="16">
        <v>45200</v>
      </c>
      <c r="B142" s="10">
        <f>CHOOSE(CONTROL!$C$42, 5.6464, 5.6464) * CHOOSE(CONTROL!$C$21, $C$9, 100%, $E$9)</f>
        <v>5.6463999999999999</v>
      </c>
      <c r="C142" s="10">
        <f>CHOOSE(CONTROL!$C$42, 5.6516, 5.6516) * CHOOSE(CONTROL!$C$21, $C$9, 100%, $E$9)</f>
        <v>5.6516000000000002</v>
      </c>
      <c r="D142" s="10">
        <f>CHOOSE(CONTROL!$C$42, 5.849, 5.849) * CHOOSE(CONTROL!$C$21, $C$9, 100%, $E$9)</f>
        <v>5.8490000000000002</v>
      </c>
      <c r="E142" s="10">
        <f>CHOOSE(CONTROL!$C$42, 5.8778, 5.8778) * CHOOSE(CONTROL!$C$21, $C$9, 100%, $E$9)</f>
        <v>5.8777999999999997</v>
      </c>
      <c r="F142" s="10">
        <f>CHOOSE(CONTROL!$C$42, 5.6153, 5.6153)*CHOOSE(CONTROL!$C$21, $C$9, 100%, $E$9)</f>
        <v>5.6153000000000004</v>
      </c>
      <c r="G142" s="10">
        <f>CHOOSE(CONTROL!$C$42, 5.6322, 5.6322)*CHOOSE(CONTROL!$C$21, $C$9, 100%, $E$9)</f>
        <v>5.6322000000000001</v>
      </c>
      <c r="H142" s="10">
        <f>CHOOSE(CONTROL!$C$42, 5.8682, 5.8682) * CHOOSE(CONTROL!$C$21, $C$9, 100%, $E$9)</f>
        <v>5.8681999999999999</v>
      </c>
      <c r="I142" s="10">
        <f>CHOOSE(CONTROL!$C$42, 5.6147, 5.6147)* CHOOSE(CONTROL!$C$21, $C$9, 100%, $E$9)</f>
        <v>5.6147</v>
      </c>
      <c r="J142" s="10">
        <f>CHOOSE(CONTROL!$C$42, 5.6083, 5.6083)* CHOOSE(CONTROL!$C$21, $C$9, 100%, $E$9)</f>
        <v>5.6082999999999998</v>
      </c>
      <c r="K142" s="54">
        <f>CHOOSE(CONTROL!$C$42, 5.6108, 5.6108) * CHOOSE(CONTROL!$C$21, $C$9, 100%, $E$9)</f>
        <v>5.6108000000000002</v>
      </c>
      <c r="L142" s="10">
        <f>CHOOSE(CONTROL!$C$42, 6.4552, 6.4552) * CHOOSE(CONTROL!$C$21, $C$9, 100%, $E$9)</f>
        <v>6.4551999999999996</v>
      </c>
      <c r="M142" s="10">
        <f>CHOOSE(CONTROL!$C$42, 5.5655, 5.5655) * CHOOSE(CONTROL!$C$21, $C$9, 100%, $E$9)</f>
        <v>5.5655000000000001</v>
      </c>
      <c r="N142" s="10">
        <f>CHOOSE(CONTROL!$C$42, 5.5823, 5.5823) * CHOOSE(CONTROL!$C$21, $C$9, 100%, $E$9)</f>
        <v>5.5823</v>
      </c>
      <c r="O142" s="10">
        <f>CHOOSE(CONTROL!$C$42, 5.8228, 5.8228) * CHOOSE(CONTROL!$C$21, $C$9, 100%, $E$9)</f>
        <v>5.8228</v>
      </c>
      <c r="P142" s="10">
        <f>CHOOSE(CONTROL!$C$42, 5.5719, 5.5719) * CHOOSE(CONTROL!$C$21, $C$9, 100%, $E$9)</f>
        <v>5.5719000000000003</v>
      </c>
      <c r="Q142" s="10">
        <f>CHOOSE(CONTROL!$C$42, 6.4181, 6.4181) * CHOOSE(CONTROL!$C$21, $C$9, 100%, $E$9)</f>
        <v>6.4180999999999999</v>
      </c>
      <c r="R142" s="10">
        <f>CHOOSE(CONTROL!$C$42, 7.0212, 7.0212) * CHOOSE(CONTROL!$C$21, $C$9, 100%, $E$9)</f>
        <v>7.0212000000000003</v>
      </c>
      <c r="S142" s="10">
        <f>CHOOSE(CONTROL!$C$42, 5.4806, 5.4806) * CHOOSE(CONTROL!$C$21, $C$9, 100%, $E$9)</f>
        <v>5.4805999999999999</v>
      </c>
      <c r="T142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42" s="58">
        <f>(1000*CHOOSE(CONTROL!$C$42, 695, 695)*CHOOSE(CONTROL!$C$42, 0.5599, 0.5599)*CHOOSE(CONTROL!$C$42, 31, 31))/1000000</f>
        <v>12.063045499999998</v>
      </c>
      <c r="V142" s="58">
        <f>(1000*CHOOSE(CONTROL!$C$42, 500, 500)*CHOOSE(CONTROL!$C$42, 0.275, 0.275)*CHOOSE(CONTROL!$C$42, 31, 31))/1000000</f>
        <v>4.2625000000000002</v>
      </c>
      <c r="W142" s="58">
        <f>(1000*CHOOSE(CONTROL!$C$42, 0.1146, 0.1146)*CHOOSE(CONTROL!$C$42, 121.5, 121.5)*CHOOSE(CONTROL!$C$42, 31, 31))/1000000</f>
        <v>0.43164089999999994</v>
      </c>
      <c r="X142" s="58">
        <f>(31*0.1790888*245000/1000000)+(31*0.2374*100000/1000000)</f>
        <v>2.0961194359999999</v>
      </c>
      <c r="Y142" s="58"/>
      <c r="Z142" s="10"/>
      <c r="AA142" s="57"/>
      <c r="AB142" s="51">
        <f>(B142*131.881+C142*277.167+D142*79.08+E142*125.872+F142*40+G142*185+H142*0+I142*100+J142*300)/(131.881+277.167+79.08+125.872+0+40+185+100+300)</f>
        <v>5.6690946385794998</v>
      </c>
      <c r="AC142" s="27">
        <f>(M142*'RAP TEMPLATE-GAS AVAILABILITY'!O141+N142*'RAP TEMPLATE-GAS AVAILABILITY'!P141+O142*'RAP TEMPLATE-GAS AVAILABILITY'!Q141+P142*'RAP TEMPLATE-GAS AVAILABILITY'!R141)/('RAP TEMPLATE-GAS AVAILABILITY'!O141+'RAP TEMPLATE-GAS AVAILABILITY'!P141+'RAP TEMPLATE-GAS AVAILABILITY'!Q141+'RAP TEMPLATE-GAS AVAILABILITY'!R141)</f>
        <v>5.6424805755395679</v>
      </c>
    </row>
    <row r="143" spans="1:29" ht="15.75" x14ac:dyDescent="0.25">
      <c r="A143" s="16">
        <v>45231</v>
      </c>
      <c r="B143" s="10">
        <f>CHOOSE(CONTROL!$C$42, 5.7946, 5.7946) * CHOOSE(CONTROL!$C$21, $C$9, 100%, $E$9)</f>
        <v>5.7946</v>
      </c>
      <c r="C143" s="10">
        <f>CHOOSE(CONTROL!$C$42, 5.7996, 5.7996) * CHOOSE(CONTROL!$C$21, $C$9, 100%, $E$9)</f>
        <v>5.7995999999999999</v>
      </c>
      <c r="D143" s="10">
        <f>CHOOSE(CONTROL!$C$42, 5.8292, 5.8292) * CHOOSE(CONTROL!$C$21, $C$9, 100%, $E$9)</f>
        <v>5.8292000000000002</v>
      </c>
      <c r="E143" s="10">
        <f>CHOOSE(CONTROL!$C$42, 5.8629, 5.8629) * CHOOSE(CONTROL!$C$21, $C$9, 100%, $E$9)</f>
        <v>5.8628999999999998</v>
      </c>
      <c r="F143" s="10">
        <f>CHOOSE(CONTROL!$C$42, 5.7614, 5.7614)*CHOOSE(CONTROL!$C$21, $C$9, 100%, $E$9)</f>
        <v>5.7614000000000001</v>
      </c>
      <c r="G143" s="10">
        <f>CHOOSE(CONTROL!$C$42, 5.7785, 5.7785)*CHOOSE(CONTROL!$C$21, $C$9, 100%, $E$9)</f>
        <v>5.7785000000000002</v>
      </c>
      <c r="H143" s="10">
        <f>CHOOSE(CONTROL!$C$42, 5.8521, 5.8521) * CHOOSE(CONTROL!$C$21, $C$9, 100%, $E$9)</f>
        <v>5.8521000000000001</v>
      </c>
      <c r="I143" s="10">
        <f>CHOOSE(CONTROL!$C$42, 5.7582, 5.7582)* CHOOSE(CONTROL!$C$21, $C$9, 100%, $E$9)</f>
        <v>5.7582000000000004</v>
      </c>
      <c r="J143" s="10">
        <f>CHOOSE(CONTROL!$C$42, 5.7544, 5.7544)* CHOOSE(CONTROL!$C$21, $C$9, 100%, $E$9)</f>
        <v>5.7544000000000004</v>
      </c>
      <c r="K143" s="54">
        <f>CHOOSE(CONTROL!$C$42, 5.7543, 5.7543) * CHOOSE(CONTROL!$C$21, $C$9, 100%, $E$9)</f>
        <v>5.7542999999999997</v>
      </c>
      <c r="L143" s="10">
        <f>CHOOSE(CONTROL!$C$42, 6.4391, 6.4391) * CHOOSE(CONTROL!$C$21, $C$9, 100%, $E$9)</f>
        <v>6.4390999999999998</v>
      </c>
      <c r="M143" s="10">
        <f>CHOOSE(CONTROL!$C$42, 5.7101, 5.7101) * CHOOSE(CONTROL!$C$21, $C$9, 100%, $E$9)</f>
        <v>5.7100999999999997</v>
      </c>
      <c r="N143" s="10">
        <f>CHOOSE(CONTROL!$C$42, 5.7271, 5.7271) * CHOOSE(CONTROL!$C$21, $C$9, 100%, $E$9)</f>
        <v>5.7271000000000001</v>
      </c>
      <c r="O143" s="10">
        <f>CHOOSE(CONTROL!$C$42, 5.8069, 5.8069) * CHOOSE(CONTROL!$C$21, $C$9, 100%, $E$9)</f>
        <v>5.8068999999999997</v>
      </c>
      <c r="P143" s="10">
        <f>CHOOSE(CONTROL!$C$42, 5.714, 5.714) * CHOOSE(CONTROL!$C$21, $C$9, 100%, $E$9)</f>
        <v>5.7140000000000004</v>
      </c>
      <c r="Q143" s="10">
        <f>CHOOSE(CONTROL!$C$42, 6.4022, 6.4022) * CHOOSE(CONTROL!$C$21, $C$9, 100%, $E$9)</f>
        <v>6.4021999999999997</v>
      </c>
      <c r="R143" s="10">
        <f>CHOOSE(CONTROL!$C$42, 7.0052, 7.0052) * CHOOSE(CONTROL!$C$21, $C$9, 100%, $E$9)</f>
        <v>7.0052000000000003</v>
      </c>
      <c r="S143" s="10">
        <f>CHOOSE(CONTROL!$C$42, 5.625, 5.625) * CHOOSE(CONTROL!$C$21, $C$9, 100%, $E$9)</f>
        <v>5.625</v>
      </c>
      <c r="T143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43" s="58">
        <f>(1000*CHOOSE(CONTROL!$C$42, 695, 695)*CHOOSE(CONTROL!$C$42, 0.5599, 0.5599)*CHOOSE(CONTROL!$C$42, 30, 30))/1000000</f>
        <v>11.673914999999997</v>
      </c>
      <c r="V143" s="58">
        <f>(1000*CHOOSE(CONTROL!$C$42, 500, 500)*CHOOSE(CONTROL!$C$42, 0.275, 0.275)*CHOOSE(CONTROL!$C$42, 30, 30))/1000000</f>
        <v>4.125</v>
      </c>
      <c r="W143" s="58">
        <f>(1000*CHOOSE(CONTROL!$C$42, 0.1146, 0.1146)*CHOOSE(CONTROL!$C$42, 121.5, 121.5)*CHOOSE(CONTROL!$C$42, 30, 30))/1000000</f>
        <v>0.417717</v>
      </c>
      <c r="X143" s="58">
        <f>(30*0.1790888*100000/1000000)+(30*0.2374*100000/1000000)</f>
        <v>1.2494664</v>
      </c>
      <c r="Y143" s="58"/>
      <c r="Z143" s="10"/>
      <c r="AA143" s="57"/>
      <c r="AB143" s="51">
        <f>(B143*122.58+C143*297.941+D143*89.177+E143*40.302+F143*40+G143*160+H143*0+I143*100+J143*300)/(122.58+297.941+89.177+40.302+0+40+160+100+300)</f>
        <v>5.7839250919999996</v>
      </c>
      <c r="AC143" s="27">
        <f>(M143*'RAP TEMPLATE-GAS AVAILABILITY'!O142+N143*'RAP TEMPLATE-GAS AVAILABILITY'!P142+O143*'RAP TEMPLATE-GAS AVAILABILITY'!Q142+P143*'RAP TEMPLATE-GAS AVAILABILITY'!R142)/('RAP TEMPLATE-GAS AVAILABILITY'!O142+'RAP TEMPLATE-GAS AVAILABILITY'!P142+'RAP TEMPLATE-GAS AVAILABILITY'!Q142+'RAP TEMPLATE-GAS AVAILABILITY'!R142)</f>
        <v>5.7555129496402877</v>
      </c>
    </row>
    <row r="144" spans="1:29" ht="15.75" x14ac:dyDescent="0.25">
      <c r="A144" s="16">
        <v>45261</v>
      </c>
      <c r="B144" s="10">
        <f>CHOOSE(CONTROL!$C$42, 6.1895, 6.1895) * CHOOSE(CONTROL!$C$21, $C$9, 100%, $E$9)</f>
        <v>6.1894999999999998</v>
      </c>
      <c r="C144" s="10">
        <f>CHOOSE(CONTROL!$C$42, 6.1944, 6.1944) * CHOOSE(CONTROL!$C$21, $C$9, 100%, $E$9)</f>
        <v>6.1943999999999999</v>
      </c>
      <c r="D144" s="10">
        <f>CHOOSE(CONTROL!$C$42, 6.224, 6.224) * CHOOSE(CONTROL!$C$21, $C$9, 100%, $E$9)</f>
        <v>6.2240000000000002</v>
      </c>
      <c r="E144" s="10">
        <f>CHOOSE(CONTROL!$C$42, 6.2578, 6.2578) * CHOOSE(CONTROL!$C$21, $C$9, 100%, $E$9)</f>
        <v>6.2577999999999996</v>
      </c>
      <c r="F144" s="10">
        <f>CHOOSE(CONTROL!$C$42, 6.1577, 6.1577)*CHOOSE(CONTROL!$C$21, $C$9, 100%, $E$9)</f>
        <v>6.1577000000000002</v>
      </c>
      <c r="G144" s="10">
        <f>CHOOSE(CONTROL!$C$42, 6.1752, 6.1752)*CHOOSE(CONTROL!$C$21, $C$9, 100%, $E$9)</f>
        <v>6.1752000000000002</v>
      </c>
      <c r="H144" s="10">
        <f>CHOOSE(CONTROL!$C$42, 6.247, 6.247) * CHOOSE(CONTROL!$C$21, $C$9, 100%, $E$9)</f>
        <v>6.2469999999999999</v>
      </c>
      <c r="I144" s="10">
        <f>CHOOSE(CONTROL!$C$42, 6.1531, 6.1531)* CHOOSE(CONTROL!$C$21, $C$9, 100%, $E$9)</f>
        <v>6.1531000000000002</v>
      </c>
      <c r="J144" s="10">
        <f>CHOOSE(CONTROL!$C$42, 6.1507, 6.1507)* CHOOSE(CONTROL!$C$21, $C$9, 100%, $E$9)</f>
        <v>6.1506999999999996</v>
      </c>
      <c r="K144" s="54">
        <f>CHOOSE(CONTROL!$C$42, 6.1492, 6.1492) * CHOOSE(CONTROL!$C$21, $C$9, 100%, $E$9)</f>
        <v>6.1492000000000004</v>
      </c>
      <c r="L144" s="10">
        <f>CHOOSE(CONTROL!$C$42, 6.834, 6.834) * CHOOSE(CONTROL!$C$21, $C$9, 100%, $E$9)</f>
        <v>6.8339999999999996</v>
      </c>
      <c r="M144" s="10">
        <f>CHOOSE(CONTROL!$C$42, 6.1024, 6.1024) * CHOOSE(CONTROL!$C$21, $C$9, 100%, $E$9)</f>
        <v>6.1024000000000003</v>
      </c>
      <c r="N144" s="10">
        <f>CHOOSE(CONTROL!$C$42, 6.1198, 6.1198) * CHOOSE(CONTROL!$C$21, $C$9, 100%, $E$9)</f>
        <v>6.1197999999999997</v>
      </c>
      <c r="O144" s="10">
        <f>CHOOSE(CONTROL!$C$42, 6.1978, 6.1978) * CHOOSE(CONTROL!$C$21, $C$9, 100%, $E$9)</f>
        <v>6.1978</v>
      </c>
      <c r="P144" s="10">
        <f>CHOOSE(CONTROL!$C$42, 6.1048, 6.1048) * CHOOSE(CONTROL!$C$21, $C$9, 100%, $E$9)</f>
        <v>6.1048</v>
      </c>
      <c r="Q144" s="10">
        <f>CHOOSE(CONTROL!$C$42, 6.7931, 6.7931) * CHOOSE(CONTROL!$C$21, $C$9, 100%, $E$9)</f>
        <v>6.7930999999999999</v>
      </c>
      <c r="R144" s="10">
        <f>CHOOSE(CONTROL!$C$42, 7.3971, 7.3971) * CHOOSE(CONTROL!$C$21, $C$9, 100%, $E$9)</f>
        <v>7.3971</v>
      </c>
      <c r="S144" s="10">
        <f>CHOOSE(CONTROL!$C$42, 6.0085, 6.0085) * CHOOSE(CONTROL!$C$21, $C$9, 100%, $E$9)</f>
        <v>6.0084999999999997</v>
      </c>
      <c r="T144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44" s="58">
        <f>(1000*CHOOSE(CONTROL!$C$42, 695, 695)*CHOOSE(CONTROL!$C$42, 0.5599, 0.5599)*CHOOSE(CONTROL!$C$42, 31, 31))/1000000</f>
        <v>12.063045499999998</v>
      </c>
      <c r="V144" s="58">
        <f>(1000*CHOOSE(CONTROL!$C$42, 500, 500)*CHOOSE(CONTROL!$C$42, 0.275, 0.275)*CHOOSE(CONTROL!$C$42, 31, 31))/1000000</f>
        <v>4.2625000000000002</v>
      </c>
      <c r="W144" s="58">
        <f>(1000*CHOOSE(CONTROL!$C$42, 0.1146, 0.1146)*CHOOSE(CONTROL!$C$42, 121.5, 121.5)*CHOOSE(CONTROL!$C$42, 31, 31))/1000000</f>
        <v>0.43164089999999994</v>
      </c>
      <c r="X144" s="58">
        <f>(31*0.1790888*100000/1000000)+(31*0.2374*100000/1000000)</f>
        <v>1.2911152800000001</v>
      </c>
      <c r="Y144" s="58"/>
      <c r="Z144" s="10"/>
      <c r="AA144" s="57"/>
      <c r="AB144" s="51">
        <f>(B144*122.58+C144*297.941+D144*89.177+E144*40.302+F144*40+G144*160+H144*0+I144*100+J144*300)/(122.58+297.941+89.177+40.302+0+40+160+100+300)</f>
        <v>6.179455777391305</v>
      </c>
      <c r="AC144" s="27">
        <f>(M144*'RAP TEMPLATE-GAS AVAILABILITY'!O143+N144*'RAP TEMPLATE-GAS AVAILABILITY'!P143+O144*'RAP TEMPLATE-GAS AVAILABILITY'!Q143+P144*'RAP TEMPLATE-GAS AVAILABILITY'!R143)/('RAP TEMPLATE-GAS AVAILABILITY'!O143+'RAP TEMPLATE-GAS AVAILABILITY'!P143+'RAP TEMPLATE-GAS AVAILABILITY'!Q143+'RAP TEMPLATE-GAS AVAILABILITY'!R143)</f>
        <v>6.1469856115107921</v>
      </c>
    </row>
    <row r="145" spans="1:29" ht="15.75" x14ac:dyDescent="0.25">
      <c r="A145" s="16">
        <v>45292</v>
      </c>
      <c r="B145" s="10">
        <f>CHOOSE(CONTROL!$C$42, 6.6653, 6.6653) * CHOOSE(CONTROL!$C$21, $C$9, 100%, $E$9)</f>
        <v>6.6653000000000002</v>
      </c>
      <c r="C145" s="10">
        <f>CHOOSE(CONTROL!$C$42, 6.6702, 6.6702) * CHOOSE(CONTROL!$C$21, $C$9, 100%, $E$9)</f>
        <v>6.6702000000000004</v>
      </c>
      <c r="D145" s="10">
        <f>CHOOSE(CONTROL!$C$42, 6.7204, 6.7204) * CHOOSE(CONTROL!$C$21, $C$9, 100%, $E$9)</f>
        <v>6.7203999999999997</v>
      </c>
      <c r="E145" s="10">
        <f>CHOOSE(CONTROL!$C$42, 6.7542, 6.7542) * CHOOSE(CONTROL!$C$21, $C$9, 100%, $E$9)</f>
        <v>6.7542</v>
      </c>
      <c r="F145" s="10">
        <f>CHOOSE(CONTROL!$C$42, 6.6306, 6.6306)*CHOOSE(CONTROL!$C$21, $C$9, 100%, $E$9)</f>
        <v>6.6306000000000003</v>
      </c>
      <c r="G145" s="10">
        <f>CHOOSE(CONTROL!$C$42, 6.6482, 6.6482)*CHOOSE(CONTROL!$C$21, $C$9, 100%, $E$9)</f>
        <v>6.6482000000000001</v>
      </c>
      <c r="H145" s="10">
        <f>CHOOSE(CONTROL!$C$42, 6.7434, 6.7434) * CHOOSE(CONTROL!$C$21, $C$9, 100%, $E$9)</f>
        <v>6.7434000000000003</v>
      </c>
      <c r="I145" s="10">
        <f>CHOOSE(CONTROL!$C$42, 6.6392, 6.6392)* CHOOSE(CONTROL!$C$21, $C$9, 100%, $E$9)</f>
        <v>6.6391999999999998</v>
      </c>
      <c r="J145" s="10">
        <f>CHOOSE(CONTROL!$C$42, 6.6236, 6.6236)* CHOOSE(CONTROL!$C$21, $C$9, 100%, $E$9)</f>
        <v>6.6235999999999997</v>
      </c>
      <c r="K145" s="54">
        <f>CHOOSE(CONTROL!$C$42, 6.6353, 6.6353) * CHOOSE(CONTROL!$C$21, $C$9, 100%, $E$9)</f>
        <v>6.6353</v>
      </c>
      <c r="L145" s="10">
        <f>CHOOSE(CONTROL!$C$42, 7.3304, 7.3304) * CHOOSE(CONTROL!$C$21, $C$9, 100%, $E$9)</f>
        <v>7.3304</v>
      </c>
      <c r="M145" s="10">
        <f>CHOOSE(CONTROL!$C$42, 6.5706, 6.5706) * CHOOSE(CONTROL!$C$21, $C$9, 100%, $E$9)</f>
        <v>6.5705999999999998</v>
      </c>
      <c r="N145" s="10">
        <f>CHOOSE(CONTROL!$C$42, 6.588, 6.588) * CHOOSE(CONTROL!$C$21, $C$9, 100%, $E$9)</f>
        <v>6.5880000000000001</v>
      </c>
      <c r="O145" s="10">
        <f>CHOOSE(CONTROL!$C$42, 6.6892, 6.6892) * CHOOSE(CONTROL!$C$21, $C$9, 100%, $E$9)</f>
        <v>6.6891999999999996</v>
      </c>
      <c r="P145" s="10">
        <f>CHOOSE(CONTROL!$C$42, 6.586, 6.586) * CHOOSE(CONTROL!$C$21, $C$9, 100%, $E$9)</f>
        <v>6.5860000000000003</v>
      </c>
      <c r="Q145" s="10">
        <f>CHOOSE(CONTROL!$C$42, 7.2845, 7.2845) * CHOOSE(CONTROL!$C$21, $C$9, 100%, $E$9)</f>
        <v>7.2845000000000004</v>
      </c>
      <c r="R145" s="10">
        <f>CHOOSE(CONTROL!$C$42, 7.8897, 7.8897) * CHOOSE(CONTROL!$C$21, $C$9, 100%, $E$9)</f>
        <v>7.8897000000000004</v>
      </c>
      <c r="S145" s="10">
        <f>CHOOSE(CONTROL!$C$42, 6.4705, 6.4705) * CHOOSE(CONTROL!$C$21, $C$9, 100%, $E$9)</f>
        <v>6.4705000000000004</v>
      </c>
      <c r="T145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45" s="58">
        <f>(1000*CHOOSE(CONTROL!$C$42, 695, 695)*CHOOSE(CONTROL!$C$42, 0.5599, 0.5599)*CHOOSE(CONTROL!$C$42, 31, 31))/1000000</f>
        <v>12.063045499999998</v>
      </c>
      <c r="V145" s="58">
        <f>(1000*CHOOSE(CONTROL!$C$42, 500, 500)*CHOOSE(CONTROL!$C$42, 0.275, 0.275)*CHOOSE(CONTROL!$C$42, 31, 31))/1000000</f>
        <v>4.2625000000000002</v>
      </c>
      <c r="W145" s="58">
        <f>(1000*CHOOSE(CONTROL!$C$42, 0.1146, 0.1146)*CHOOSE(CONTROL!$C$42, 121.5, 121.5)*CHOOSE(CONTROL!$C$42, 31, 31))/1000000</f>
        <v>0.43164089999999994</v>
      </c>
      <c r="X145" s="58">
        <f>(31*0.1790888*100000/1000000)+(31*0.2374*100000/1000000)</f>
        <v>1.2911152800000001</v>
      </c>
      <c r="Y145" s="58"/>
      <c r="Z145" s="10"/>
      <c r="AA145" s="57"/>
      <c r="AB145" s="51">
        <f>(B145*122.58+C145*297.941+D145*89.177+E145*40.302+F145*40+G145*160+H145*0+I145*100+J145*300)/(122.58+297.941+89.177+40.302+0+40+160+100+300)</f>
        <v>6.657223836</v>
      </c>
      <c r="AC145" s="27">
        <f>(M145*'RAP TEMPLATE-GAS AVAILABILITY'!O144+N145*'RAP TEMPLATE-GAS AVAILABILITY'!P144+O145*'RAP TEMPLATE-GAS AVAILABILITY'!Q144+P145*'RAP TEMPLATE-GAS AVAILABILITY'!R144)/('RAP TEMPLATE-GAS AVAILABILITY'!O144+'RAP TEMPLATE-GAS AVAILABILITY'!P144+'RAP TEMPLATE-GAS AVAILABILITY'!Q144+'RAP TEMPLATE-GAS AVAILABILITY'!R144)</f>
        <v>6.6275712230215831</v>
      </c>
    </row>
    <row r="146" spans="1:29" ht="15.75" x14ac:dyDescent="0.25">
      <c r="A146" s="16">
        <v>45323</v>
      </c>
      <c r="B146" s="10">
        <f>CHOOSE(CONTROL!$C$42, 6.7839, 6.7839) * CHOOSE(CONTROL!$C$21, $C$9, 100%, $E$9)</f>
        <v>6.7839</v>
      </c>
      <c r="C146" s="10">
        <f>CHOOSE(CONTROL!$C$42, 6.7888, 6.7888) * CHOOSE(CONTROL!$C$21, $C$9, 100%, $E$9)</f>
        <v>6.7888000000000002</v>
      </c>
      <c r="D146" s="10">
        <f>CHOOSE(CONTROL!$C$42, 6.8493, 6.8493) * CHOOSE(CONTROL!$C$21, $C$9, 100%, $E$9)</f>
        <v>6.8493000000000004</v>
      </c>
      <c r="E146" s="10">
        <f>CHOOSE(CONTROL!$C$42, 6.8831, 6.8831) * CHOOSE(CONTROL!$C$21, $C$9, 100%, $E$9)</f>
        <v>6.8830999999999998</v>
      </c>
      <c r="F146" s="10">
        <f>CHOOSE(CONTROL!$C$42, 6.7771, 6.7771)*CHOOSE(CONTROL!$C$21, $C$9, 100%, $E$9)</f>
        <v>6.7770999999999999</v>
      </c>
      <c r="G146" s="10">
        <f>CHOOSE(CONTROL!$C$42, 6.7944, 6.7944)*CHOOSE(CONTROL!$C$21, $C$9, 100%, $E$9)</f>
        <v>6.7944000000000004</v>
      </c>
      <c r="H146" s="10">
        <f>CHOOSE(CONTROL!$C$42, 6.8723, 6.8723) * CHOOSE(CONTROL!$C$21, $C$9, 100%, $E$9)</f>
        <v>6.8723000000000001</v>
      </c>
      <c r="I146" s="10">
        <f>CHOOSE(CONTROL!$C$42, 6.7706, 6.7706)* CHOOSE(CONTROL!$C$21, $C$9, 100%, $E$9)</f>
        <v>6.7706</v>
      </c>
      <c r="J146" s="10">
        <f>CHOOSE(CONTROL!$C$42, 6.7701, 6.7701)* CHOOSE(CONTROL!$C$21, $C$9, 100%, $E$9)</f>
        <v>6.7701000000000002</v>
      </c>
      <c r="K146" s="54">
        <f>CHOOSE(CONTROL!$C$42, 6.7667, 6.7667) * CHOOSE(CONTROL!$C$21, $C$9, 100%, $E$9)</f>
        <v>6.7667000000000002</v>
      </c>
      <c r="L146" s="10">
        <f>CHOOSE(CONTROL!$C$42, 7.4593, 7.4593) * CHOOSE(CONTROL!$C$21, $C$9, 100%, $E$9)</f>
        <v>7.4592999999999998</v>
      </c>
      <c r="M146" s="10">
        <f>CHOOSE(CONTROL!$C$42, 6.7156, 6.7156) * CHOOSE(CONTROL!$C$21, $C$9, 100%, $E$9)</f>
        <v>6.7156000000000002</v>
      </c>
      <c r="N146" s="10">
        <f>CHOOSE(CONTROL!$C$42, 6.7327, 6.7327) * CHOOSE(CONTROL!$C$21, $C$9, 100%, $E$9)</f>
        <v>6.7327000000000004</v>
      </c>
      <c r="O146" s="10">
        <f>CHOOSE(CONTROL!$C$42, 6.8168, 6.8168) * CHOOSE(CONTROL!$C$21, $C$9, 100%, $E$9)</f>
        <v>6.8167999999999997</v>
      </c>
      <c r="P146" s="10">
        <f>CHOOSE(CONTROL!$C$42, 6.7162, 6.7162) * CHOOSE(CONTROL!$C$21, $C$9, 100%, $E$9)</f>
        <v>6.7161999999999997</v>
      </c>
      <c r="Q146" s="10">
        <f>CHOOSE(CONTROL!$C$42, 7.4121, 7.4121) * CHOOSE(CONTROL!$C$21, $C$9, 100%, $E$9)</f>
        <v>7.4120999999999997</v>
      </c>
      <c r="R146" s="10">
        <f>CHOOSE(CONTROL!$C$42, 8.0176, 8.0176) * CHOOSE(CONTROL!$C$21, $C$9, 100%, $E$9)</f>
        <v>8.0175999999999998</v>
      </c>
      <c r="S146" s="10">
        <f>CHOOSE(CONTROL!$C$42, 6.5857, 6.5857) * CHOOSE(CONTROL!$C$21, $C$9, 100%, $E$9)</f>
        <v>6.5857000000000001</v>
      </c>
      <c r="T146" s="5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146" s="58">
        <f>(1000*CHOOSE(CONTROL!$C$42, 695, 695)*CHOOSE(CONTROL!$C$42, 0.5599, 0.5599)*CHOOSE(CONTROL!$C$42, 29, 29))/1000000</f>
        <v>11.284784499999999</v>
      </c>
      <c r="V146" s="58">
        <f>(1000*CHOOSE(CONTROL!$C$42, 500, 500)*CHOOSE(CONTROL!$C$42, 0.275, 0.275)*CHOOSE(CONTROL!$C$42, 29, 29))/1000000</f>
        <v>3.9874999999999998</v>
      </c>
      <c r="W146" s="58">
        <f>(1000*CHOOSE(CONTROL!$C$42, 0.1146, 0.1146)*CHOOSE(CONTROL!$C$42, 121.5, 121.5)*CHOOSE(CONTROL!$C$42, 29, 29))/1000000</f>
        <v>0.40379309999999996</v>
      </c>
      <c r="X146" s="58">
        <f>(29*0.1790888*100000/1000000)+(29*0.2374*100000/1000000)</f>
        <v>1.2078175199999999</v>
      </c>
      <c r="Y146" s="58"/>
      <c r="Z146" s="10"/>
      <c r="AA146" s="57"/>
      <c r="AB146" s="51">
        <f>(B146*122.58+C146*297.941+D146*89.177+E146*40.302+F146*40+G146*160+H146*0+I146*100+J146*300)/(122.58+297.941+89.177+40.302+0+40+160+100+300)</f>
        <v>6.7901852566086962</v>
      </c>
      <c r="AC146" s="27">
        <f>(M146*'RAP TEMPLATE-GAS AVAILABILITY'!O145+N146*'RAP TEMPLATE-GAS AVAILABILITY'!P145+O146*'RAP TEMPLATE-GAS AVAILABILITY'!Q145+P146*'RAP TEMPLATE-GAS AVAILABILITY'!R145)/('RAP TEMPLATE-GAS AVAILABILITY'!O145+'RAP TEMPLATE-GAS AVAILABILITY'!P145+'RAP TEMPLATE-GAS AVAILABILITY'!Q145+'RAP TEMPLATE-GAS AVAILABILITY'!R145)</f>
        <v>6.7625381294964031</v>
      </c>
    </row>
    <row r="147" spans="1:29" ht="15.75" x14ac:dyDescent="0.25">
      <c r="A147" s="16">
        <v>45352</v>
      </c>
      <c r="B147" s="10">
        <f>CHOOSE(CONTROL!$C$42, 6.5913, 6.5913) * CHOOSE(CONTROL!$C$21, $C$9, 100%, $E$9)</f>
        <v>6.5913000000000004</v>
      </c>
      <c r="C147" s="10">
        <f>CHOOSE(CONTROL!$C$42, 6.5963, 6.5963) * CHOOSE(CONTROL!$C$21, $C$9, 100%, $E$9)</f>
        <v>6.5963000000000003</v>
      </c>
      <c r="D147" s="10">
        <f>CHOOSE(CONTROL!$C$42, 6.6568, 6.6568) * CHOOSE(CONTROL!$C$21, $C$9, 100%, $E$9)</f>
        <v>6.6567999999999996</v>
      </c>
      <c r="E147" s="10">
        <f>CHOOSE(CONTROL!$C$42, 6.6906, 6.6906) * CHOOSE(CONTROL!$C$21, $C$9, 100%, $E$9)</f>
        <v>6.6905999999999999</v>
      </c>
      <c r="F147" s="10">
        <f>CHOOSE(CONTROL!$C$42, 6.5791, 6.5791)*CHOOSE(CONTROL!$C$21, $C$9, 100%, $E$9)</f>
        <v>6.5791000000000004</v>
      </c>
      <c r="G147" s="10">
        <f>CHOOSE(CONTROL!$C$42, 6.5963, 6.5963)*CHOOSE(CONTROL!$C$21, $C$9, 100%, $E$9)</f>
        <v>6.5963000000000003</v>
      </c>
      <c r="H147" s="10">
        <f>CHOOSE(CONTROL!$C$42, 6.6798, 6.6798) * CHOOSE(CONTROL!$C$21, $C$9, 100%, $E$9)</f>
        <v>6.6798000000000002</v>
      </c>
      <c r="I147" s="10">
        <f>CHOOSE(CONTROL!$C$42, 6.5652, 6.5652)* CHOOSE(CONTROL!$C$21, $C$9, 100%, $E$9)</f>
        <v>6.5651999999999999</v>
      </c>
      <c r="J147" s="10">
        <f>CHOOSE(CONTROL!$C$42, 6.5721, 6.5721)* CHOOSE(CONTROL!$C$21, $C$9, 100%, $E$9)</f>
        <v>6.5720999999999998</v>
      </c>
      <c r="K147" s="54">
        <f>CHOOSE(CONTROL!$C$42, 6.5613, 6.5613) * CHOOSE(CONTROL!$C$21, $C$9, 100%, $E$9)</f>
        <v>6.5613000000000001</v>
      </c>
      <c r="L147" s="10">
        <f>CHOOSE(CONTROL!$C$42, 7.2668, 7.2668) * CHOOSE(CONTROL!$C$21, $C$9, 100%, $E$9)</f>
        <v>7.2667999999999999</v>
      </c>
      <c r="M147" s="10">
        <f>CHOOSE(CONTROL!$C$42, 6.5196, 6.5196) * CHOOSE(CONTROL!$C$21, $C$9, 100%, $E$9)</f>
        <v>6.5195999999999996</v>
      </c>
      <c r="N147" s="10">
        <f>CHOOSE(CONTROL!$C$42, 6.5366, 6.5366) * CHOOSE(CONTROL!$C$21, $C$9, 100%, $E$9)</f>
        <v>6.5366</v>
      </c>
      <c r="O147" s="10">
        <f>CHOOSE(CONTROL!$C$42, 6.6262, 6.6262) * CHOOSE(CONTROL!$C$21, $C$9, 100%, $E$9)</f>
        <v>6.6261999999999999</v>
      </c>
      <c r="P147" s="10">
        <f>CHOOSE(CONTROL!$C$42, 6.5128, 6.5128) * CHOOSE(CONTROL!$C$21, $C$9, 100%, $E$9)</f>
        <v>6.5128000000000004</v>
      </c>
      <c r="Q147" s="10">
        <f>CHOOSE(CONTROL!$C$42, 7.2215, 7.2215) * CHOOSE(CONTROL!$C$21, $C$9, 100%, $E$9)</f>
        <v>7.2214999999999998</v>
      </c>
      <c r="R147" s="10">
        <f>CHOOSE(CONTROL!$C$42, 7.8265, 7.8265) * CHOOSE(CONTROL!$C$21, $C$9, 100%, $E$9)</f>
        <v>7.8265000000000002</v>
      </c>
      <c r="S147" s="10">
        <f>CHOOSE(CONTROL!$C$42, 6.3987, 6.3987) * CHOOSE(CONTROL!$C$21, $C$9, 100%, $E$9)</f>
        <v>6.3986999999999998</v>
      </c>
      <c r="T147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47" s="58">
        <f>(1000*CHOOSE(CONTROL!$C$42, 695, 695)*CHOOSE(CONTROL!$C$42, 0.5599, 0.5599)*CHOOSE(CONTROL!$C$42, 31, 31))/1000000</f>
        <v>12.063045499999998</v>
      </c>
      <c r="V147" s="58">
        <f>(1000*CHOOSE(CONTROL!$C$42, 500, 500)*CHOOSE(CONTROL!$C$42, 0.275, 0.275)*CHOOSE(CONTROL!$C$42, 31, 31))/1000000</f>
        <v>4.2625000000000002</v>
      </c>
      <c r="W147" s="58">
        <f>(1000*CHOOSE(CONTROL!$C$42, 0.1146, 0.1146)*CHOOSE(CONTROL!$C$42, 121.5, 121.5)*CHOOSE(CONTROL!$C$42, 31, 31))/1000000</f>
        <v>0.43164089999999994</v>
      </c>
      <c r="X147" s="58">
        <f>(31*0.1790888*100000/1000000)+(31*0.2374*100000/1000000)</f>
        <v>1.2911152800000001</v>
      </c>
      <c r="Y147" s="58"/>
      <c r="Z147" s="10"/>
      <c r="AA147" s="57"/>
      <c r="AB147" s="51">
        <f>(B147*122.58+C147*297.941+D147*89.177+E147*40.302+F147*40+G147*160+H147*0+I147*100+J147*300)/(122.58+297.941+89.177+40.302+0+40+160+100+300)</f>
        <v>6.5941476409565229</v>
      </c>
      <c r="AC147" s="27">
        <f>(M147*'RAP TEMPLATE-GAS AVAILABILITY'!O146+N147*'RAP TEMPLATE-GAS AVAILABILITY'!P146+O147*'RAP TEMPLATE-GAS AVAILABILITY'!Q146+P147*'RAP TEMPLATE-GAS AVAILABILITY'!R146)/('RAP TEMPLATE-GAS AVAILABILITY'!O146+'RAP TEMPLATE-GAS AVAILABILITY'!P146+'RAP TEMPLATE-GAS AVAILABILITY'!Q146+'RAP TEMPLATE-GAS AVAILABILITY'!R146)</f>
        <v>6.5679151079136693</v>
      </c>
    </row>
    <row r="148" spans="1:29" ht="15.75" x14ac:dyDescent="0.25">
      <c r="A148" s="16">
        <v>45383</v>
      </c>
      <c r="B148" s="10">
        <f>CHOOSE(CONTROL!$C$42, 6.5728, 6.5728) * CHOOSE(CONTROL!$C$21, $C$9, 100%, $E$9)</f>
        <v>6.5728</v>
      </c>
      <c r="C148" s="10">
        <f>CHOOSE(CONTROL!$C$42, 6.5772, 6.5772) * CHOOSE(CONTROL!$C$21, $C$9, 100%, $E$9)</f>
        <v>6.5772000000000004</v>
      </c>
      <c r="D148" s="10">
        <f>CHOOSE(CONTROL!$C$42, 6.7727, 6.7727) * CHOOSE(CONTROL!$C$21, $C$9, 100%, $E$9)</f>
        <v>6.7727000000000004</v>
      </c>
      <c r="E148" s="10">
        <f>CHOOSE(CONTROL!$C$42, 6.8045, 6.8045) * CHOOSE(CONTROL!$C$21, $C$9, 100%, $E$9)</f>
        <v>6.8045</v>
      </c>
      <c r="F148" s="10">
        <f>CHOOSE(CONTROL!$C$42, 6.5406, 6.5406)*CHOOSE(CONTROL!$C$21, $C$9, 100%, $E$9)</f>
        <v>6.5406000000000004</v>
      </c>
      <c r="G148" s="10">
        <f>CHOOSE(CONTROL!$C$42, 6.5574, 6.5574)*CHOOSE(CONTROL!$C$21, $C$9, 100%, $E$9)</f>
        <v>6.5574000000000003</v>
      </c>
      <c r="H148" s="10">
        <f>CHOOSE(CONTROL!$C$42, 6.7943, 6.7943) * CHOOSE(CONTROL!$C$21, $C$9, 100%, $E$9)</f>
        <v>6.7942999999999998</v>
      </c>
      <c r="I148" s="10">
        <f>CHOOSE(CONTROL!$C$42, 6.5408, 6.5408)* CHOOSE(CONTROL!$C$21, $C$9, 100%, $E$9)</f>
        <v>6.5407999999999999</v>
      </c>
      <c r="J148" s="10">
        <f>CHOOSE(CONTROL!$C$42, 6.5336, 6.5336)* CHOOSE(CONTROL!$C$21, $C$9, 100%, $E$9)</f>
        <v>6.5335999999999999</v>
      </c>
      <c r="K148" s="54">
        <f>CHOOSE(CONTROL!$C$42, 6.5369, 6.5369) * CHOOSE(CONTROL!$C$21, $C$9, 100%, $E$9)</f>
        <v>6.5369000000000002</v>
      </c>
      <c r="L148" s="10">
        <f>CHOOSE(CONTROL!$C$42, 7.3813, 7.3813) * CHOOSE(CONTROL!$C$21, $C$9, 100%, $E$9)</f>
        <v>7.3813000000000004</v>
      </c>
      <c r="M148" s="10">
        <f>CHOOSE(CONTROL!$C$42, 6.4815, 6.4815) * CHOOSE(CONTROL!$C$21, $C$9, 100%, $E$9)</f>
        <v>6.4814999999999996</v>
      </c>
      <c r="N148" s="10">
        <f>CHOOSE(CONTROL!$C$42, 6.4981, 6.4981) * CHOOSE(CONTROL!$C$21, $C$9, 100%, $E$9)</f>
        <v>6.4981</v>
      </c>
      <c r="O148" s="10">
        <f>CHOOSE(CONTROL!$C$42, 6.7396, 6.7396) * CHOOSE(CONTROL!$C$21, $C$9, 100%, $E$9)</f>
        <v>6.7396000000000003</v>
      </c>
      <c r="P148" s="10">
        <f>CHOOSE(CONTROL!$C$42, 6.4886, 6.4886) * CHOOSE(CONTROL!$C$21, $C$9, 100%, $E$9)</f>
        <v>6.4885999999999999</v>
      </c>
      <c r="Q148" s="10">
        <f>CHOOSE(CONTROL!$C$42, 7.3349, 7.3349) * CHOOSE(CONTROL!$C$21, $C$9, 100%, $E$9)</f>
        <v>7.3349000000000002</v>
      </c>
      <c r="R148" s="10">
        <f>CHOOSE(CONTROL!$C$42, 7.9402, 7.9402) * CHOOSE(CONTROL!$C$21, $C$9, 100%, $E$9)</f>
        <v>7.9401999999999999</v>
      </c>
      <c r="S148" s="10">
        <f>CHOOSE(CONTROL!$C$42, 6.3799, 6.3799) * CHOOSE(CONTROL!$C$21, $C$9, 100%, $E$9)</f>
        <v>6.3799000000000001</v>
      </c>
      <c r="T148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48" s="58">
        <f>(1000*CHOOSE(CONTROL!$C$42, 695, 695)*CHOOSE(CONTROL!$C$42, 0.5599, 0.5599)*CHOOSE(CONTROL!$C$42, 30, 30))/1000000</f>
        <v>11.673914999999997</v>
      </c>
      <c r="V148" s="58">
        <f>(1000*CHOOSE(CONTROL!$C$42, 500, 500)*CHOOSE(CONTROL!$C$42, 0.275, 0.275)*CHOOSE(CONTROL!$C$42, 30, 30))/1000000</f>
        <v>4.125</v>
      </c>
      <c r="W148" s="58">
        <f>(1000*CHOOSE(CONTROL!$C$42, 0.1146, 0.1146)*CHOOSE(CONTROL!$C$42, 121.5, 121.5)*CHOOSE(CONTROL!$C$42, 30, 30))/1000000</f>
        <v>0.417717</v>
      </c>
      <c r="X148" s="58">
        <f>(30*0.1790888*245000/1000000)+(30*0.2374*100000/1000000)</f>
        <v>2.0285026799999999</v>
      </c>
      <c r="Y148" s="58"/>
      <c r="Z148" s="10"/>
      <c r="AA148" s="57"/>
      <c r="AB148" s="51">
        <f>(B148*141.293+C148*267.993+D148*115.016+E148*89.698+F148*40+G148*185+H148*0+I148*100+J148*300)/(141.293+267.993+115.016+89.698+0+40+185+100+300)</f>
        <v>6.5936691640032281</v>
      </c>
      <c r="AC148" s="27">
        <f>(M148*'RAP TEMPLATE-GAS AVAILABILITY'!O147+N148*'RAP TEMPLATE-GAS AVAILABILITY'!P147+O148*'RAP TEMPLATE-GAS AVAILABILITY'!Q147+P148*'RAP TEMPLATE-GAS AVAILABILITY'!R147)/('RAP TEMPLATE-GAS AVAILABILITY'!O147+'RAP TEMPLATE-GAS AVAILABILITY'!P147+'RAP TEMPLATE-GAS AVAILABILITY'!Q147+'RAP TEMPLATE-GAS AVAILABILITY'!R147)</f>
        <v>6.5587597122302155</v>
      </c>
    </row>
    <row r="149" spans="1:29" ht="15.75" x14ac:dyDescent="0.25">
      <c r="A149" s="16">
        <v>45413</v>
      </c>
      <c r="B149" s="10">
        <f>CHOOSE(CONTROL!$C$42, 6.6322, 6.6322) * CHOOSE(CONTROL!$C$21, $C$9, 100%, $E$9)</f>
        <v>6.6322000000000001</v>
      </c>
      <c r="C149" s="10">
        <f>CHOOSE(CONTROL!$C$42, 6.6401, 6.6401) * CHOOSE(CONTROL!$C$21, $C$9, 100%, $E$9)</f>
        <v>6.6401000000000003</v>
      </c>
      <c r="D149" s="10">
        <f>CHOOSE(CONTROL!$C$42, 6.8325, 6.8325) * CHOOSE(CONTROL!$C$21, $C$9, 100%, $E$9)</f>
        <v>6.8324999999999996</v>
      </c>
      <c r="E149" s="10">
        <f>CHOOSE(CONTROL!$C$42, 6.8636, 6.8636) * CHOOSE(CONTROL!$C$21, $C$9, 100%, $E$9)</f>
        <v>6.8635999999999999</v>
      </c>
      <c r="F149" s="10">
        <f>CHOOSE(CONTROL!$C$42, 6.5984, 6.5984)*CHOOSE(CONTROL!$C$21, $C$9, 100%, $E$9)</f>
        <v>6.5983999999999998</v>
      </c>
      <c r="G149" s="10">
        <f>CHOOSE(CONTROL!$C$42, 6.6155, 6.6155)*CHOOSE(CONTROL!$C$21, $C$9, 100%, $E$9)</f>
        <v>6.6154999999999999</v>
      </c>
      <c r="H149" s="10">
        <f>CHOOSE(CONTROL!$C$42, 6.8523, 6.8523) * CHOOSE(CONTROL!$C$21, $C$9, 100%, $E$9)</f>
        <v>6.8522999999999996</v>
      </c>
      <c r="I149" s="10">
        <f>CHOOSE(CONTROL!$C$42, 6.5987, 6.5987)* CHOOSE(CONTROL!$C$21, $C$9, 100%, $E$9)</f>
        <v>6.5987</v>
      </c>
      <c r="J149" s="10">
        <f>CHOOSE(CONTROL!$C$42, 6.5914, 6.5914)* CHOOSE(CONTROL!$C$21, $C$9, 100%, $E$9)</f>
        <v>6.5914000000000001</v>
      </c>
      <c r="K149" s="54">
        <f>CHOOSE(CONTROL!$C$42, 6.5948, 6.5948) * CHOOSE(CONTROL!$C$21, $C$9, 100%, $E$9)</f>
        <v>6.5948000000000002</v>
      </c>
      <c r="L149" s="10">
        <f>CHOOSE(CONTROL!$C$42, 7.4393, 7.4393) * CHOOSE(CONTROL!$C$21, $C$9, 100%, $E$9)</f>
        <v>7.4393000000000002</v>
      </c>
      <c r="M149" s="10">
        <f>CHOOSE(CONTROL!$C$42, 6.5387, 6.5387) * CHOOSE(CONTROL!$C$21, $C$9, 100%, $E$9)</f>
        <v>6.5387000000000004</v>
      </c>
      <c r="N149" s="10">
        <f>CHOOSE(CONTROL!$C$42, 6.5557, 6.5557) * CHOOSE(CONTROL!$C$21, $C$9, 100%, $E$9)</f>
        <v>6.5556999999999999</v>
      </c>
      <c r="O149" s="10">
        <f>CHOOSE(CONTROL!$C$42, 6.797, 6.797) * CHOOSE(CONTROL!$C$21, $C$9, 100%, $E$9)</f>
        <v>6.7969999999999997</v>
      </c>
      <c r="P149" s="10">
        <f>CHOOSE(CONTROL!$C$42, 6.546, 6.546) * CHOOSE(CONTROL!$C$21, $C$9, 100%, $E$9)</f>
        <v>6.5460000000000003</v>
      </c>
      <c r="Q149" s="10">
        <f>CHOOSE(CONTROL!$C$42, 7.3923, 7.3923) * CHOOSE(CONTROL!$C$21, $C$9, 100%, $E$9)</f>
        <v>7.3922999999999996</v>
      </c>
      <c r="R149" s="10">
        <f>CHOOSE(CONTROL!$C$42, 7.9977, 7.9977) * CHOOSE(CONTROL!$C$21, $C$9, 100%, $E$9)</f>
        <v>7.9977</v>
      </c>
      <c r="S149" s="10">
        <f>CHOOSE(CONTROL!$C$42, 6.4362, 6.4362) * CHOOSE(CONTROL!$C$21, $C$9, 100%, $E$9)</f>
        <v>6.4362000000000004</v>
      </c>
      <c r="T149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49" s="58">
        <f>(1000*CHOOSE(CONTROL!$C$42, 695, 695)*CHOOSE(CONTROL!$C$42, 0.5599, 0.5599)*CHOOSE(CONTROL!$C$42, 31, 31))/1000000</f>
        <v>12.063045499999998</v>
      </c>
      <c r="V149" s="58">
        <f>(1000*CHOOSE(CONTROL!$C$42, 500, 500)*CHOOSE(CONTROL!$C$42, 0.275, 0.275)*CHOOSE(CONTROL!$C$42, 31, 31))/1000000</f>
        <v>4.2625000000000002</v>
      </c>
      <c r="W149" s="58">
        <f>(1000*CHOOSE(CONTROL!$C$42, 0.1146, 0.1146)*CHOOSE(CONTROL!$C$42, 121.5, 121.5)*CHOOSE(CONTROL!$C$42, 31, 31))/1000000</f>
        <v>0.43164089999999994</v>
      </c>
      <c r="X149" s="58">
        <f>(31*0.1790888*245000/1000000)+(31*0.2374*100000/1000000)</f>
        <v>2.0961194359999999</v>
      </c>
      <c r="Y149" s="58"/>
      <c r="Z149" s="10"/>
      <c r="AA149" s="57"/>
      <c r="AB149" s="51">
        <f>(B149*194.205+C149*267.466+D149*133.845+E149*53.484+F149*40+G149*185+H149*0+I149*100+J149*300)/(194.205+267.466+133.845+53.484+0+40+185+100+300)</f>
        <v>6.6488929611459966</v>
      </c>
      <c r="AC149" s="27">
        <f>(M149*'RAP TEMPLATE-GAS AVAILABILITY'!O148+N149*'RAP TEMPLATE-GAS AVAILABILITY'!P148+O149*'RAP TEMPLATE-GAS AVAILABILITY'!Q148+P149*'RAP TEMPLATE-GAS AVAILABILITY'!R148)/('RAP TEMPLATE-GAS AVAILABILITY'!O148+'RAP TEMPLATE-GAS AVAILABILITY'!P148+'RAP TEMPLATE-GAS AVAILABILITY'!Q148+'RAP TEMPLATE-GAS AVAILABILITY'!R148)</f>
        <v>6.6161366906474823</v>
      </c>
    </row>
    <row r="150" spans="1:29" ht="15.75" x14ac:dyDescent="0.25">
      <c r="A150" s="16">
        <v>45444</v>
      </c>
      <c r="B150" s="10">
        <f>CHOOSE(CONTROL!$C$42, 6.8201, 6.8201) * CHOOSE(CONTROL!$C$21, $C$9, 100%, $E$9)</f>
        <v>6.8201000000000001</v>
      </c>
      <c r="C150" s="10">
        <f>CHOOSE(CONTROL!$C$42, 6.828, 6.828) * CHOOSE(CONTROL!$C$21, $C$9, 100%, $E$9)</f>
        <v>6.8280000000000003</v>
      </c>
      <c r="D150" s="10">
        <f>CHOOSE(CONTROL!$C$42, 7.0205, 7.0205) * CHOOSE(CONTROL!$C$21, $C$9, 100%, $E$9)</f>
        <v>7.0205000000000002</v>
      </c>
      <c r="E150" s="10">
        <f>CHOOSE(CONTROL!$C$42, 7.0516, 7.0516) * CHOOSE(CONTROL!$C$21, $C$9, 100%, $E$9)</f>
        <v>7.0515999999999996</v>
      </c>
      <c r="F150" s="10">
        <f>CHOOSE(CONTROL!$C$42, 6.7866, 6.7866)*CHOOSE(CONTROL!$C$21, $C$9, 100%, $E$9)</f>
        <v>6.7866</v>
      </c>
      <c r="G150" s="10">
        <f>CHOOSE(CONTROL!$C$42, 6.8038, 6.8038)*CHOOSE(CONTROL!$C$21, $C$9, 100%, $E$9)</f>
        <v>6.8037999999999998</v>
      </c>
      <c r="H150" s="10">
        <f>CHOOSE(CONTROL!$C$42, 7.0402, 7.0402) * CHOOSE(CONTROL!$C$21, $C$9, 100%, $E$9)</f>
        <v>7.0401999999999996</v>
      </c>
      <c r="I150" s="10">
        <f>CHOOSE(CONTROL!$C$42, 6.7867, 6.7867)* CHOOSE(CONTROL!$C$21, $C$9, 100%, $E$9)</f>
        <v>6.7866999999999997</v>
      </c>
      <c r="J150" s="10">
        <f>CHOOSE(CONTROL!$C$42, 6.7796, 6.7796)* CHOOSE(CONTROL!$C$21, $C$9, 100%, $E$9)</f>
        <v>6.7796000000000003</v>
      </c>
      <c r="K150" s="54">
        <f>CHOOSE(CONTROL!$C$42, 6.7828, 6.7828) * CHOOSE(CONTROL!$C$21, $C$9, 100%, $E$9)</f>
        <v>6.7827999999999999</v>
      </c>
      <c r="L150" s="10">
        <f>CHOOSE(CONTROL!$C$42, 7.6272, 7.6272) * CHOOSE(CONTROL!$C$21, $C$9, 100%, $E$9)</f>
        <v>7.6272000000000002</v>
      </c>
      <c r="M150" s="10">
        <f>CHOOSE(CONTROL!$C$42, 6.725, 6.725) * CHOOSE(CONTROL!$C$21, $C$9, 100%, $E$9)</f>
        <v>6.7249999999999996</v>
      </c>
      <c r="N150" s="10">
        <f>CHOOSE(CONTROL!$C$42, 6.742, 6.742) * CHOOSE(CONTROL!$C$21, $C$9, 100%, $E$9)</f>
        <v>6.742</v>
      </c>
      <c r="O150" s="10">
        <f>CHOOSE(CONTROL!$C$42, 6.983, 6.983) * CHOOSE(CONTROL!$C$21, $C$9, 100%, $E$9)</f>
        <v>6.9829999999999997</v>
      </c>
      <c r="P150" s="10">
        <f>CHOOSE(CONTROL!$C$42, 6.7321, 6.7321) * CHOOSE(CONTROL!$C$21, $C$9, 100%, $E$9)</f>
        <v>6.7321</v>
      </c>
      <c r="Q150" s="10">
        <f>CHOOSE(CONTROL!$C$42, 7.5783, 7.5783) * CHOOSE(CONTROL!$C$21, $C$9, 100%, $E$9)</f>
        <v>7.5782999999999996</v>
      </c>
      <c r="R150" s="10">
        <f>CHOOSE(CONTROL!$C$42, 8.1843, 8.1843) * CHOOSE(CONTROL!$C$21, $C$9, 100%, $E$9)</f>
        <v>8.1843000000000004</v>
      </c>
      <c r="S150" s="10">
        <f>CHOOSE(CONTROL!$C$42, 6.6188, 6.6188) * CHOOSE(CONTROL!$C$21, $C$9, 100%, $E$9)</f>
        <v>6.6188000000000002</v>
      </c>
      <c r="T150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50" s="58">
        <f>(1000*CHOOSE(CONTROL!$C$42, 695, 695)*CHOOSE(CONTROL!$C$42, 0.5599, 0.5599)*CHOOSE(CONTROL!$C$42, 30, 30))/1000000</f>
        <v>11.673914999999997</v>
      </c>
      <c r="V150" s="58">
        <f>(1000*CHOOSE(CONTROL!$C$42, 500, 500)*CHOOSE(CONTROL!$C$42, 0.275, 0.275)*CHOOSE(CONTROL!$C$42, 30, 30))/1000000</f>
        <v>4.125</v>
      </c>
      <c r="W150" s="58">
        <f>(1000*CHOOSE(CONTROL!$C$42, 0.1146, 0.1146)*CHOOSE(CONTROL!$C$42, 121.5, 121.5)*CHOOSE(CONTROL!$C$42, 30, 30))/1000000</f>
        <v>0.417717</v>
      </c>
      <c r="X150" s="58">
        <f>(30*0.1790888*245000/1000000)+(30*0.2374*100000/1000000)</f>
        <v>2.0285026799999999</v>
      </c>
      <c r="Y150" s="58"/>
      <c r="Z150" s="10"/>
      <c r="AA150" s="57"/>
      <c r="AB150" s="51">
        <f>(B150*194.205+C150*267.466+D150*133.845+E150*53.484+F150*40+G150*185+H150*0+I150*100+J150*300)/(194.205+267.466+133.845+53.484+0+40+185+100+300)</f>
        <v>6.83695366200942</v>
      </c>
      <c r="AC150" s="27">
        <f>(M150*'RAP TEMPLATE-GAS AVAILABILITY'!O149+N150*'RAP TEMPLATE-GAS AVAILABILITY'!P149+O150*'RAP TEMPLATE-GAS AVAILABILITY'!Q149+P150*'RAP TEMPLATE-GAS AVAILABILITY'!R149)/('RAP TEMPLATE-GAS AVAILABILITY'!O149+'RAP TEMPLATE-GAS AVAILABILITY'!P149+'RAP TEMPLATE-GAS AVAILABILITY'!Q149+'RAP TEMPLATE-GAS AVAILABILITY'!R149)</f>
        <v>6.8023237410071937</v>
      </c>
    </row>
    <row r="151" spans="1:29" ht="15.75" x14ac:dyDescent="0.25">
      <c r="A151" s="16">
        <v>45474</v>
      </c>
      <c r="B151" s="10">
        <f>CHOOSE(CONTROL!$C$42, 6.6894, 6.6894) * CHOOSE(CONTROL!$C$21, $C$9, 100%, $E$9)</f>
        <v>6.6894</v>
      </c>
      <c r="C151" s="10">
        <f>CHOOSE(CONTROL!$C$42, 6.6973, 6.6973) * CHOOSE(CONTROL!$C$21, $C$9, 100%, $E$9)</f>
        <v>6.6973000000000003</v>
      </c>
      <c r="D151" s="10">
        <f>CHOOSE(CONTROL!$C$42, 6.8897, 6.8897) * CHOOSE(CONTROL!$C$21, $C$9, 100%, $E$9)</f>
        <v>6.8897000000000004</v>
      </c>
      <c r="E151" s="10">
        <f>CHOOSE(CONTROL!$C$42, 6.9209, 6.9209) * CHOOSE(CONTROL!$C$21, $C$9, 100%, $E$9)</f>
        <v>6.9208999999999996</v>
      </c>
      <c r="F151" s="10">
        <f>CHOOSE(CONTROL!$C$42, 6.6563, 6.6563)*CHOOSE(CONTROL!$C$21, $C$9, 100%, $E$9)</f>
        <v>6.6562999999999999</v>
      </c>
      <c r="G151" s="10">
        <f>CHOOSE(CONTROL!$C$42, 6.6736, 6.6736)*CHOOSE(CONTROL!$C$21, $C$9, 100%, $E$9)</f>
        <v>6.6736000000000004</v>
      </c>
      <c r="H151" s="10">
        <f>CHOOSE(CONTROL!$C$42, 6.9095, 6.9095) * CHOOSE(CONTROL!$C$21, $C$9, 100%, $E$9)</f>
        <v>6.9095000000000004</v>
      </c>
      <c r="I151" s="10">
        <f>CHOOSE(CONTROL!$C$42, 6.656, 6.656)* CHOOSE(CONTROL!$C$21, $C$9, 100%, $E$9)</f>
        <v>6.6559999999999997</v>
      </c>
      <c r="J151" s="10">
        <f>CHOOSE(CONTROL!$C$42, 6.6493, 6.6493)* CHOOSE(CONTROL!$C$21, $C$9, 100%, $E$9)</f>
        <v>6.6493000000000002</v>
      </c>
      <c r="K151" s="54">
        <f>CHOOSE(CONTROL!$C$42, 6.6521, 6.6521) * CHOOSE(CONTROL!$C$21, $C$9, 100%, $E$9)</f>
        <v>6.6520999999999999</v>
      </c>
      <c r="L151" s="10">
        <f>CHOOSE(CONTROL!$C$42, 7.4965, 7.4965) * CHOOSE(CONTROL!$C$21, $C$9, 100%, $E$9)</f>
        <v>7.4965000000000002</v>
      </c>
      <c r="M151" s="10">
        <f>CHOOSE(CONTROL!$C$42, 6.596, 6.596) * CHOOSE(CONTROL!$C$21, $C$9, 100%, $E$9)</f>
        <v>6.5960000000000001</v>
      </c>
      <c r="N151" s="10">
        <f>CHOOSE(CONTROL!$C$42, 6.6131, 6.6131) * CHOOSE(CONTROL!$C$21, $C$9, 100%, $E$9)</f>
        <v>6.6131000000000002</v>
      </c>
      <c r="O151" s="10">
        <f>CHOOSE(CONTROL!$C$42, 6.8536, 6.8536) * CHOOSE(CONTROL!$C$21, $C$9, 100%, $E$9)</f>
        <v>6.8536000000000001</v>
      </c>
      <c r="P151" s="10">
        <f>CHOOSE(CONTROL!$C$42, 6.6027, 6.6027) * CHOOSE(CONTROL!$C$21, $C$9, 100%, $E$9)</f>
        <v>6.6026999999999996</v>
      </c>
      <c r="Q151" s="10">
        <f>CHOOSE(CONTROL!$C$42, 7.4489, 7.4489) * CHOOSE(CONTROL!$C$21, $C$9, 100%, $E$9)</f>
        <v>7.4489000000000001</v>
      </c>
      <c r="R151" s="10">
        <f>CHOOSE(CONTROL!$C$42, 8.0545, 8.0545) * CHOOSE(CONTROL!$C$21, $C$9, 100%, $E$9)</f>
        <v>8.0545000000000009</v>
      </c>
      <c r="S151" s="10">
        <f>CHOOSE(CONTROL!$C$42, 6.4918, 6.4918) * CHOOSE(CONTROL!$C$21, $C$9, 100%, $E$9)</f>
        <v>6.4917999999999996</v>
      </c>
      <c r="T151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51" s="58">
        <f>(1000*CHOOSE(CONTROL!$C$42, 695, 695)*CHOOSE(CONTROL!$C$42, 0.5599, 0.5599)*CHOOSE(CONTROL!$C$42, 31, 31))/1000000</f>
        <v>12.063045499999998</v>
      </c>
      <c r="V151" s="58">
        <f>(1000*CHOOSE(CONTROL!$C$42, 500, 500)*CHOOSE(CONTROL!$C$42, 0.275, 0.275)*CHOOSE(CONTROL!$C$42, 31, 31))/1000000</f>
        <v>4.2625000000000002</v>
      </c>
      <c r="W151" s="58">
        <f>(1000*CHOOSE(CONTROL!$C$42, 0.1146, 0.1146)*CHOOSE(CONTROL!$C$42, 121.5, 121.5)*CHOOSE(CONTROL!$C$42, 31, 31))/1000000</f>
        <v>0.43164089999999994</v>
      </c>
      <c r="X151" s="58">
        <f>(31*0.1790888*245000/1000000)+(31*0.2374*100000/1000000)</f>
        <v>2.0961194359999999</v>
      </c>
      <c r="Y151" s="58"/>
      <c r="Z151" s="10"/>
      <c r="AA151" s="57"/>
      <c r="AB151" s="51">
        <f>(B151*194.205+C151*267.466+D151*133.845+E151*53.484+F151*40+G151*185+H151*0+I151*100+J151*300)/(194.205+267.466+133.845+53.484+0+40+185+100+300)</f>
        <v>6.7064225124803762</v>
      </c>
      <c r="AC151" s="27">
        <f>(M151*'RAP TEMPLATE-GAS AVAILABILITY'!O150+N151*'RAP TEMPLATE-GAS AVAILABILITY'!P150+O151*'RAP TEMPLATE-GAS AVAILABILITY'!Q150+P151*'RAP TEMPLATE-GAS AVAILABILITY'!R150)/('RAP TEMPLATE-GAS AVAILABILITY'!O150+'RAP TEMPLATE-GAS AVAILABILITY'!P150+'RAP TEMPLATE-GAS AVAILABILITY'!Q150+'RAP TEMPLATE-GAS AVAILABILITY'!R150)</f>
        <v>6.6731769784172661</v>
      </c>
    </row>
    <row r="152" spans="1:29" ht="15.75" x14ac:dyDescent="0.25">
      <c r="A152" s="16">
        <v>45505</v>
      </c>
      <c r="B152" s="10">
        <f>CHOOSE(CONTROL!$C$42, 6.3592, 6.3592) * CHOOSE(CONTROL!$C$21, $C$9, 100%, $E$9)</f>
        <v>6.3592000000000004</v>
      </c>
      <c r="C152" s="10">
        <f>CHOOSE(CONTROL!$C$42, 6.3672, 6.3672) * CHOOSE(CONTROL!$C$21, $C$9, 100%, $E$9)</f>
        <v>6.3672000000000004</v>
      </c>
      <c r="D152" s="10">
        <f>CHOOSE(CONTROL!$C$42, 6.5596, 6.5596) * CHOOSE(CONTROL!$C$21, $C$9, 100%, $E$9)</f>
        <v>6.5595999999999997</v>
      </c>
      <c r="E152" s="10">
        <f>CHOOSE(CONTROL!$C$42, 6.5907, 6.5907) * CHOOSE(CONTROL!$C$21, $C$9, 100%, $E$9)</f>
        <v>6.5907</v>
      </c>
      <c r="F152" s="10">
        <f>CHOOSE(CONTROL!$C$42, 6.3263, 6.3263)*CHOOSE(CONTROL!$C$21, $C$9, 100%, $E$9)</f>
        <v>6.3262999999999998</v>
      </c>
      <c r="G152" s="10">
        <f>CHOOSE(CONTROL!$C$42, 6.3436, 6.3436)*CHOOSE(CONTROL!$C$21, $C$9, 100%, $E$9)</f>
        <v>6.3436000000000003</v>
      </c>
      <c r="H152" s="10">
        <f>CHOOSE(CONTROL!$C$42, 6.5794, 6.5794) * CHOOSE(CONTROL!$C$21, $C$9, 100%, $E$9)</f>
        <v>6.5793999999999997</v>
      </c>
      <c r="I152" s="10">
        <f>CHOOSE(CONTROL!$C$42, 6.3258, 6.3258)* CHOOSE(CONTROL!$C$21, $C$9, 100%, $E$9)</f>
        <v>6.3258000000000001</v>
      </c>
      <c r="J152" s="10">
        <f>CHOOSE(CONTROL!$C$42, 6.3193, 6.3193)* CHOOSE(CONTROL!$C$21, $C$9, 100%, $E$9)</f>
        <v>6.3193000000000001</v>
      </c>
      <c r="K152" s="54">
        <f>CHOOSE(CONTROL!$C$42, 6.3219, 6.3219) * CHOOSE(CONTROL!$C$21, $C$9, 100%, $E$9)</f>
        <v>6.3219000000000003</v>
      </c>
      <c r="L152" s="10">
        <f>CHOOSE(CONTROL!$C$42, 7.1664, 7.1664) * CHOOSE(CONTROL!$C$21, $C$9, 100%, $E$9)</f>
        <v>7.1664000000000003</v>
      </c>
      <c r="M152" s="10">
        <f>CHOOSE(CONTROL!$C$42, 6.2694, 6.2694) * CHOOSE(CONTROL!$C$21, $C$9, 100%, $E$9)</f>
        <v>6.2694000000000001</v>
      </c>
      <c r="N152" s="10">
        <f>CHOOSE(CONTROL!$C$42, 6.2865, 6.2865) * CHOOSE(CONTROL!$C$21, $C$9, 100%, $E$9)</f>
        <v>6.2865000000000002</v>
      </c>
      <c r="O152" s="10">
        <f>CHOOSE(CONTROL!$C$42, 6.5268, 6.5268) * CHOOSE(CONTROL!$C$21, $C$9, 100%, $E$9)</f>
        <v>6.5267999999999997</v>
      </c>
      <c r="P152" s="10">
        <f>CHOOSE(CONTROL!$C$42, 6.2758, 6.2758) * CHOOSE(CONTROL!$C$21, $C$9, 100%, $E$9)</f>
        <v>6.2758000000000003</v>
      </c>
      <c r="Q152" s="10">
        <f>CHOOSE(CONTROL!$C$42, 7.1221, 7.1221) * CHOOSE(CONTROL!$C$21, $C$9, 100%, $E$9)</f>
        <v>7.1220999999999997</v>
      </c>
      <c r="R152" s="10">
        <f>CHOOSE(CONTROL!$C$42, 7.7269, 7.7269) * CHOOSE(CONTROL!$C$21, $C$9, 100%, $E$9)</f>
        <v>7.7268999999999997</v>
      </c>
      <c r="S152" s="10">
        <f>CHOOSE(CONTROL!$C$42, 6.1712, 6.1712) * CHOOSE(CONTROL!$C$21, $C$9, 100%, $E$9)</f>
        <v>6.1711999999999998</v>
      </c>
      <c r="T152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52" s="58">
        <f>(1000*CHOOSE(CONTROL!$C$42, 695, 695)*CHOOSE(CONTROL!$C$42, 0.5599, 0.5599)*CHOOSE(CONTROL!$C$42, 31, 31))/1000000</f>
        <v>12.063045499999998</v>
      </c>
      <c r="V152" s="58">
        <f>(1000*CHOOSE(CONTROL!$C$42, 500, 500)*CHOOSE(CONTROL!$C$42, 0.275, 0.275)*CHOOSE(CONTROL!$C$42, 31, 31))/1000000</f>
        <v>4.2625000000000002</v>
      </c>
      <c r="W152" s="58">
        <f>(1000*CHOOSE(CONTROL!$C$42, 0.1146, 0.1146)*CHOOSE(CONTROL!$C$42, 121.5, 121.5)*CHOOSE(CONTROL!$C$42, 31, 31))/1000000</f>
        <v>0.43164089999999994</v>
      </c>
      <c r="X152" s="58">
        <f>(31*0.1790888*245000/1000000)+(31*0.2374*100000/1000000)</f>
        <v>2.0961194359999999</v>
      </c>
      <c r="Y152" s="58"/>
      <c r="Z152" s="10"/>
      <c r="AA152" s="57"/>
      <c r="AB152" s="51">
        <f>(B152*194.205+C152*267.466+D152*133.845+E152*53.484+F152*40+G152*185+H152*0+I152*100+J152*300)/(194.205+267.466+133.845+53.484+0+40+185+100+300)</f>
        <v>6.3763364301412864</v>
      </c>
      <c r="AC152" s="27">
        <f>(M152*'RAP TEMPLATE-GAS AVAILABILITY'!O151+N152*'RAP TEMPLATE-GAS AVAILABILITY'!P151+O152*'RAP TEMPLATE-GAS AVAILABILITY'!Q151+P152*'RAP TEMPLATE-GAS AVAILABILITY'!R151)/('RAP TEMPLATE-GAS AVAILABILITY'!O151+'RAP TEMPLATE-GAS AVAILABILITY'!P151+'RAP TEMPLATE-GAS AVAILABILITY'!Q151+'RAP TEMPLATE-GAS AVAILABILITY'!R151)</f>
        <v>6.3464776978417259</v>
      </c>
    </row>
    <row r="153" spans="1:29" ht="15.75" x14ac:dyDescent="0.25">
      <c r="A153" s="16">
        <v>45536</v>
      </c>
      <c r="B153" s="10">
        <f>CHOOSE(CONTROL!$C$42, 5.9555, 5.9555) * CHOOSE(CONTROL!$C$21, $C$9, 100%, $E$9)</f>
        <v>5.9554999999999998</v>
      </c>
      <c r="C153" s="10">
        <f>CHOOSE(CONTROL!$C$42, 5.9634, 5.9634) * CHOOSE(CONTROL!$C$21, $C$9, 100%, $E$9)</f>
        <v>5.9634</v>
      </c>
      <c r="D153" s="10">
        <f>CHOOSE(CONTROL!$C$42, 6.1558, 6.1558) * CHOOSE(CONTROL!$C$21, $C$9, 100%, $E$9)</f>
        <v>6.1558000000000002</v>
      </c>
      <c r="E153" s="10">
        <f>CHOOSE(CONTROL!$C$42, 6.187, 6.187) * CHOOSE(CONTROL!$C$21, $C$9, 100%, $E$9)</f>
        <v>6.1870000000000003</v>
      </c>
      <c r="F153" s="10">
        <f>CHOOSE(CONTROL!$C$42, 5.9224, 5.9224)*CHOOSE(CONTROL!$C$21, $C$9, 100%, $E$9)</f>
        <v>5.9223999999999997</v>
      </c>
      <c r="G153" s="10">
        <f>CHOOSE(CONTROL!$C$42, 5.9397, 5.9397)*CHOOSE(CONTROL!$C$21, $C$9, 100%, $E$9)</f>
        <v>5.9397000000000002</v>
      </c>
      <c r="H153" s="10">
        <f>CHOOSE(CONTROL!$C$42, 6.1756, 6.1756) * CHOOSE(CONTROL!$C$21, $C$9, 100%, $E$9)</f>
        <v>6.1756000000000002</v>
      </c>
      <c r="I153" s="10">
        <f>CHOOSE(CONTROL!$C$42, 5.922, 5.922)* CHOOSE(CONTROL!$C$21, $C$9, 100%, $E$9)</f>
        <v>5.9219999999999997</v>
      </c>
      <c r="J153" s="10">
        <f>CHOOSE(CONTROL!$C$42, 5.9154, 5.9154)* CHOOSE(CONTROL!$C$21, $C$9, 100%, $E$9)</f>
        <v>5.9154</v>
      </c>
      <c r="K153" s="54">
        <f>CHOOSE(CONTROL!$C$42, 5.9182, 5.9182) * CHOOSE(CONTROL!$C$21, $C$9, 100%, $E$9)</f>
        <v>5.9181999999999997</v>
      </c>
      <c r="L153" s="10">
        <f>CHOOSE(CONTROL!$C$42, 6.7626, 6.7626) * CHOOSE(CONTROL!$C$21, $C$9, 100%, $E$9)</f>
        <v>6.7625999999999999</v>
      </c>
      <c r="M153" s="10">
        <f>CHOOSE(CONTROL!$C$42, 5.8695, 5.8695) * CHOOSE(CONTROL!$C$21, $C$9, 100%, $E$9)</f>
        <v>5.8695000000000004</v>
      </c>
      <c r="N153" s="10">
        <f>CHOOSE(CONTROL!$C$42, 5.8866, 5.8866) * CHOOSE(CONTROL!$C$21, $C$9, 100%, $E$9)</f>
        <v>5.8865999999999996</v>
      </c>
      <c r="O153" s="10">
        <f>CHOOSE(CONTROL!$C$42, 6.1271, 6.1271) * CHOOSE(CONTROL!$C$21, $C$9, 100%, $E$9)</f>
        <v>6.1271000000000004</v>
      </c>
      <c r="P153" s="10">
        <f>CHOOSE(CONTROL!$C$42, 5.8761, 5.8761) * CHOOSE(CONTROL!$C$21, $C$9, 100%, $E$9)</f>
        <v>5.8761000000000001</v>
      </c>
      <c r="Q153" s="10">
        <f>CHOOSE(CONTROL!$C$42, 6.7224, 6.7224) * CHOOSE(CONTROL!$C$21, $C$9, 100%, $E$9)</f>
        <v>6.7224000000000004</v>
      </c>
      <c r="R153" s="10">
        <f>CHOOSE(CONTROL!$C$42, 7.3262, 7.3262) * CHOOSE(CONTROL!$C$21, $C$9, 100%, $E$9)</f>
        <v>7.3262</v>
      </c>
      <c r="S153" s="10">
        <f>CHOOSE(CONTROL!$C$42, 5.7791, 5.7791) * CHOOSE(CONTROL!$C$21, $C$9, 100%, $E$9)</f>
        <v>5.7790999999999997</v>
      </c>
      <c r="T153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53" s="58">
        <f>(1000*CHOOSE(CONTROL!$C$42, 695, 695)*CHOOSE(CONTROL!$C$42, 0.5599, 0.5599)*CHOOSE(CONTROL!$C$42, 30, 30))/1000000</f>
        <v>11.673914999999997</v>
      </c>
      <c r="V153" s="58">
        <f>(1000*CHOOSE(CONTROL!$C$42, 500, 500)*CHOOSE(CONTROL!$C$42, 0.275, 0.275)*CHOOSE(CONTROL!$C$42, 30, 30))/1000000</f>
        <v>4.125</v>
      </c>
      <c r="W153" s="58">
        <f>(1000*CHOOSE(CONTROL!$C$42, 0.1146, 0.1146)*CHOOSE(CONTROL!$C$42, 121.5, 121.5)*CHOOSE(CONTROL!$C$42, 30, 30))/1000000</f>
        <v>0.417717</v>
      </c>
      <c r="X153" s="58">
        <f>(30*0.1790888*245000/1000000)+(30*0.2374*100000/1000000)</f>
        <v>2.0285026799999999</v>
      </c>
      <c r="Y153" s="58"/>
      <c r="Z153" s="10"/>
      <c r="AA153" s="57"/>
      <c r="AB153" s="51">
        <f>(B153*194.205+C153*267.466+D153*133.845+E153*53.484+F153*40+G153*185+H153*0+I153*100+J153*300)/(194.205+267.466+133.845+53.484+0+40+185+100+300)</f>
        <v>5.9725146631868133</v>
      </c>
      <c r="AC153" s="27">
        <f>(M153*'RAP TEMPLATE-GAS AVAILABILITY'!O152+N153*'RAP TEMPLATE-GAS AVAILABILITY'!P152+O153*'RAP TEMPLATE-GAS AVAILABILITY'!Q152+P153*'RAP TEMPLATE-GAS AVAILABILITY'!R152)/('RAP TEMPLATE-GAS AVAILABILITY'!O152+'RAP TEMPLATE-GAS AVAILABILITY'!P152+'RAP TEMPLATE-GAS AVAILABILITY'!Q152+'RAP TEMPLATE-GAS AVAILABILITY'!R152)</f>
        <v>5.9466625899280565</v>
      </c>
    </row>
    <row r="154" spans="1:29" ht="15.75" x14ac:dyDescent="0.25">
      <c r="A154" s="16">
        <v>45566</v>
      </c>
      <c r="B154" s="10">
        <f>CHOOSE(CONTROL!$C$42, 5.8329, 5.8329) * CHOOSE(CONTROL!$C$21, $C$9, 100%, $E$9)</f>
        <v>5.8329000000000004</v>
      </c>
      <c r="C154" s="10">
        <f>CHOOSE(CONTROL!$C$42, 5.8381, 5.8381) * CHOOSE(CONTROL!$C$21, $C$9, 100%, $E$9)</f>
        <v>5.8380999999999998</v>
      </c>
      <c r="D154" s="10">
        <f>CHOOSE(CONTROL!$C$42, 6.0355, 6.0355) * CHOOSE(CONTROL!$C$21, $C$9, 100%, $E$9)</f>
        <v>6.0354999999999999</v>
      </c>
      <c r="E154" s="10">
        <f>CHOOSE(CONTROL!$C$42, 6.0643, 6.0643) * CHOOSE(CONTROL!$C$21, $C$9, 100%, $E$9)</f>
        <v>6.0643000000000002</v>
      </c>
      <c r="F154" s="10">
        <f>CHOOSE(CONTROL!$C$42, 5.8018, 5.8018)*CHOOSE(CONTROL!$C$21, $C$9, 100%, $E$9)</f>
        <v>5.8018000000000001</v>
      </c>
      <c r="G154" s="10">
        <f>CHOOSE(CONTROL!$C$42, 5.8188, 5.8188)*CHOOSE(CONTROL!$C$21, $C$9, 100%, $E$9)</f>
        <v>5.8188000000000004</v>
      </c>
      <c r="H154" s="10">
        <f>CHOOSE(CONTROL!$C$42, 6.0548, 6.0548) * CHOOSE(CONTROL!$C$21, $C$9, 100%, $E$9)</f>
        <v>6.0548000000000002</v>
      </c>
      <c r="I154" s="10">
        <f>CHOOSE(CONTROL!$C$42, 5.8012, 5.8012)* CHOOSE(CONTROL!$C$21, $C$9, 100%, $E$9)</f>
        <v>5.8011999999999997</v>
      </c>
      <c r="J154" s="10">
        <f>CHOOSE(CONTROL!$C$42, 5.7948, 5.7948)* CHOOSE(CONTROL!$C$21, $C$9, 100%, $E$9)</f>
        <v>5.7948000000000004</v>
      </c>
      <c r="K154" s="54">
        <f>CHOOSE(CONTROL!$C$42, 5.7973, 5.7973) * CHOOSE(CONTROL!$C$21, $C$9, 100%, $E$9)</f>
        <v>5.7972999999999999</v>
      </c>
      <c r="L154" s="10">
        <f>CHOOSE(CONTROL!$C$42, 6.6418, 6.6418) * CHOOSE(CONTROL!$C$21, $C$9, 100%, $E$9)</f>
        <v>6.6417999999999999</v>
      </c>
      <c r="M154" s="10">
        <f>CHOOSE(CONTROL!$C$42, 5.7501, 5.7501) * CHOOSE(CONTROL!$C$21, $C$9, 100%, $E$9)</f>
        <v>5.7500999999999998</v>
      </c>
      <c r="N154" s="10">
        <f>CHOOSE(CONTROL!$C$42, 5.7669, 5.7669) * CHOOSE(CONTROL!$C$21, $C$9, 100%, $E$9)</f>
        <v>5.7668999999999997</v>
      </c>
      <c r="O154" s="10">
        <f>CHOOSE(CONTROL!$C$42, 6.0075, 6.0075) * CHOOSE(CONTROL!$C$21, $C$9, 100%, $E$9)</f>
        <v>6.0075000000000003</v>
      </c>
      <c r="P154" s="10">
        <f>CHOOSE(CONTROL!$C$42, 5.7565, 5.7565) * CHOOSE(CONTROL!$C$21, $C$9, 100%, $E$9)</f>
        <v>5.7565</v>
      </c>
      <c r="Q154" s="10">
        <f>CHOOSE(CONTROL!$C$42, 6.6028, 6.6028) * CHOOSE(CONTROL!$C$21, $C$9, 100%, $E$9)</f>
        <v>6.6028000000000002</v>
      </c>
      <c r="R154" s="10">
        <f>CHOOSE(CONTROL!$C$42, 7.2063, 7.2063) * CHOOSE(CONTROL!$C$21, $C$9, 100%, $E$9)</f>
        <v>7.2062999999999997</v>
      </c>
      <c r="S154" s="10">
        <f>CHOOSE(CONTROL!$C$42, 5.6618, 5.6618) * CHOOSE(CONTROL!$C$21, $C$9, 100%, $E$9)</f>
        <v>5.6618000000000004</v>
      </c>
      <c r="T154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54" s="58">
        <f>(1000*CHOOSE(CONTROL!$C$42, 695, 695)*CHOOSE(CONTROL!$C$42, 0.5599, 0.5599)*CHOOSE(CONTROL!$C$42, 31, 31))/1000000</f>
        <v>12.063045499999998</v>
      </c>
      <c r="V154" s="58">
        <f>(1000*CHOOSE(CONTROL!$C$42, 500, 500)*CHOOSE(CONTROL!$C$42, 0.275, 0.275)*CHOOSE(CONTROL!$C$42, 31, 31))/1000000</f>
        <v>4.2625000000000002</v>
      </c>
      <c r="W154" s="58">
        <f>(1000*CHOOSE(CONTROL!$C$42, 0.1146, 0.1146)*CHOOSE(CONTROL!$C$42, 121.5, 121.5)*CHOOSE(CONTROL!$C$42, 31, 31))/1000000</f>
        <v>0.43164089999999994</v>
      </c>
      <c r="X154" s="58">
        <f>(31*0.1790888*245000/1000000)+(31*0.2374*100000/1000000)</f>
        <v>2.0961194359999999</v>
      </c>
      <c r="Y154" s="58"/>
      <c r="Z154" s="10"/>
      <c r="AA154" s="57"/>
      <c r="AB154" s="51">
        <f>(B154*131.881+C154*277.167+D154*79.08+E154*125.872+F154*40+G154*185+H154*0+I154*100+J154*300)/(131.881+277.167+79.08+125.872+0+40+185+100+300)</f>
        <v>5.8556095699757869</v>
      </c>
      <c r="AC154" s="27">
        <f>(M154*'RAP TEMPLATE-GAS AVAILABILITY'!O153+N154*'RAP TEMPLATE-GAS AVAILABILITY'!P153+O154*'RAP TEMPLATE-GAS AVAILABILITY'!Q153+P154*'RAP TEMPLATE-GAS AVAILABILITY'!R153)/('RAP TEMPLATE-GAS AVAILABILITY'!O153+'RAP TEMPLATE-GAS AVAILABILITY'!P153+'RAP TEMPLATE-GAS AVAILABILITY'!Q153+'RAP TEMPLATE-GAS AVAILABILITY'!R153)</f>
        <v>5.8271086330935251</v>
      </c>
    </row>
    <row r="155" spans="1:29" ht="15.75" x14ac:dyDescent="0.25">
      <c r="A155" s="16">
        <v>45597</v>
      </c>
      <c r="B155" s="10">
        <f>CHOOSE(CONTROL!$C$42, 5.9861, 5.9861) * CHOOSE(CONTROL!$C$21, $C$9, 100%, $E$9)</f>
        <v>5.9861000000000004</v>
      </c>
      <c r="C155" s="10">
        <f>CHOOSE(CONTROL!$C$42, 5.991, 5.991) * CHOOSE(CONTROL!$C$21, $C$9, 100%, $E$9)</f>
        <v>5.9909999999999997</v>
      </c>
      <c r="D155" s="10">
        <f>CHOOSE(CONTROL!$C$42, 6.0206, 6.0206) * CHOOSE(CONTROL!$C$21, $C$9, 100%, $E$9)</f>
        <v>6.0206</v>
      </c>
      <c r="E155" s="10">
        <f>CHOOSE(CONTROL!$C$42, 6.0544, 6.0544) * CHOOSE(CONTROL!$C$21, $C$9, 100%, $E$9)</f>
        <v>6.0544000000000002</v>
      </c>
      <c r="F155" s="10">
        <f>CHOOSE(CONTROL!$C$42, 5.9529, 5.9529)*CHOOSE(CONTROL!$C$21, $C$9, 100%, $E$9)</f>
        <v>5.9528999999999996</v>
      </c>
      <c r="G155" s="10">
        <f>CHOOSE(CONTROL!$C$42, 5.97, 5.97)*CHOOSE(CONTROL!$C$21, $C$9, 100%, $E$9)</f>
        <v>5.97</v>
      </c>
      <c r="H155" s="10">
        <f>CHOOSE(CONTROL!$C$42, 6.0436, 6.0436) * CHOOSE(CONTROL!$C$21, $C$9, 100%, $E$9)</f>
        <v>6.0435999999999996</v>
      </c>
      <c r="I155" s="10">
        <f>CHOOSE(CONTROL!$C$42, 5.9497, 5.9497)* CHOOSE(CONTROL!$C$21, $C$9, 100%, $E$9)</f>
        <v>5.9497</v>
      </c>
      <c r="J155" s="10">
        <f>CHOOSE(CONTROL!$C$42, 5.9459, 5.9459)* CHOOSE(CONTROL!$C$21, $C$9, 100%, $E$9)</f>
        <v>5.9459</v>
      </c>
      <c r="K155" s="54">
        <f>CHOOSE(CONTROL!$C$42, 5.9458, 5.9458) * CHOOSE(CONTROL!$C$21, $C$9, 100%, $E$9)</f>
        <v>5.9458000000000002</v>
      </c>
      <c r="L155" s="10">
        <f>CHOOSE(CONTROL!$C$42, 6.6306, 6.6306) * CHOOSE(CONTROL!$C$21, $C$9, 100%, $E$9)</f>
        <v>6.6306000000000003</v>
      </c>
      <c r="M155" s="10">
        <f>CHOOSE(CONTROL!$C$42, 5.8997, 5.8997) * CHOOSE(CONTROL!$C$21, $C$9, 100%, $E$9)</f>
        <v>5.8997000000000002</v>
      </c>
      <c r="N155" s="10">
        <f>CHOOSE(CONTROL!$C$42, 5.9166, 5.9166) * CHOOSE(CONTROL!$C$21, $C$9, 100%, $E$9)</f>
        <v>5.9165999999999999</v>
      </c>
      <c r="O155" s="10">
        <f>CHOOSE(CONTROL!$C$42, 5.9964, 5.9964) * CHOOSE(CONTROL!$C$21, $C$9, 100%, $E$9)</f>
        <v>5.9964000000000004</v>
      </c>
      <c r="P155" s="10">
        <f>CHOOSE(CONTROL!$C$42, 5.9035, 5.9035) * CHOOSE(CONTROL!$C$21, $C$9, 100%, $E$9)</f>
        <v>5.9035000000000002</v>
      </c>
      <c r="Q155" s="10">
        <f>CHOOSE(CONTROL!$C$42, 6.5917, 6.5917) * CHOOSE(CONTROL!$C$21, $C$9, 100%, $E$9)</f>
        <v>6.5917000000000003</v>
      </c>
      <c r="R155" s="10">
        <f>CHOOSE(CONTROL!$C$42, 7.1952, 7.1952) * CHOOSE(CONTROL!$C$21, $C$9, 100%, $E$9)</f>
        <v>7.1951999999999998</v>
      </c>
      <c r="S155" s="10">
        <f>CHOOSE(CONTROL!$C$42, 5.8109, 5.8109) * CHOOSE(CONTROL!$C$21, $C$9, 100%, $E$9)</f>
        <v>5.8109000000000002</v>
      </c>
      <c r="T155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55" s="58">
        <f>(1000*CHOOSE(CONTROL!$C$42, 695, 695)*CHOOSE(CONTROL!$C$42, 0.5599, 0.5599)*CHOOSE(CONTROL!$C$42, 30, 30))/1000000</f>
        <v>11.673914999999997</v>
      </c>
      <c r="V155" s="58">
        <f>(1000*CHOOSE(CONTROL!$C$42, 500, 500)*CHOOSE(CONTROL!$C$42, 0.275, 0.275)*CHOOSE(CONTROL!$C$42, 30, 30))/1000000</f>
        <v>4.125</v>
      </c>
      <c r="W155" s="58">
        <f>(1000*CHOOSE(CONTROL!$C$42, 0.1146, 0.1146)*CHOOSE(CONTROL!$C$42, 121.5, 121.5)*CHOOSE(CONTROL!$C$42, 30, 30))/1000000</f>
        <v>0.417717</v>
      </c>
      <c r="X155" s="58">
        <f>(30*0.1790888*100000/1000000)+(30*0.2374*100000/1000000)</f>
        <v>1.2494664</v>
      </c>
      <c r="Y155" s="58"/>
      <c r="Z155" s="10"/>
      <c r="AA155" s="57"/>
      <c r="AB155" s="51">
        <f>(B155*122.58+C155*297.941+D155*89.177+E155*40.302+F155*40+G155*160+H155*0+I155*100+J155*300)/(122.58+297.941+89.177+40.302+0+40+160+100+300)</f>
        <v>5.9753914295652173</v>
      </c>
      <c r="AC155" s="27">
        <f>(M155*'RAP TEMPLATE-GAS AVAILABILITY'!O154+N155*'RAP TEMPLATE-GAS AVAILABILITY'!P154+O155*'RAP TEMPLATE-GAS AVAILABILITY'!Q154+P155*'RAP TEMPLATE-GAS AVAILABILITY'!R154)/('RAP TEMPLATE-GAS AVAILABILITY'!O154+'RAP TEMPLATE-GAS AVAILABILITY'!P154+'RAP TEMPLATE-GAS AVAILABILITY'!Q154+'RAP TEMPLATE-GAS AVAILABILITY'!R154)</f>
        <v>5.9450474820143899</v>
      </c>
    </row>
    <row r="156" spans="1:29" ht="15.75" x14ac:dyDescent="0.25">
      <c r="A156" s="16">
        <v>45627</v>
      </c>
      <c r="B156" s="10">
        <f>CHOOSE(CONTROL!$C$42, 6.394, 6.394) * CHOOSE(CONTROL!$C$21, $C$9, 100%, $E$9)</f>
        <v>6.3940000000000001</v>
      </c>
      <c r="C156" s="10">
        <f>CHOOSE(CONTROL!$C$42, 6.3989, 6.3989) * CHOOSE(CONTROL!$C$21, $C$9, 100%, $E$9)</f>
        <v>6.3989000000000003</v>
      </c>
      <c r="D156" s="10">
        <f>CHOOSE(CONTROL!$C$42, 6.4285, 6.4285) * CHOOSE(CONTROL!$C$21, $C$9, 100%, $E$9)</f>
        <v>6.4284999999999997</v>
      </c>
      <c r="E156" s="10">
        <f>CHOOSE(CONTROL!$C$42, 6.4623, 6.4623) * CHOOSE(CONTROL!$C$21, $C$9, 100%, $E$9)</f>
        <v>6.4622999999999999</v>
      </c>
      <c r="F156" s="10">
        <f>CHOOSE(CONTROL!$C$42, 6.3622, 6.3622)*CHOOSE(CONTROL!$C$21, $C$9, 100%, $E$9)</f>
        <v>6.3621999999999996</v>
      </c>
      <c r="G156" s="10">
        <f>CHOOSE(CONTROL!$C$42, 6.3797, 6.3797)*CHOOSE(CONTROL!$C$21, $C$9, 100%, $E$9)</f>
        <v>6.3796999999999997</v>
      </c>
      <c r="H156" s="10">
        <f>CHOOSE(CONTROL!$C$42, 6.4515, 6.4515) * CHOOSE(CONTROL!$C$21, $C$9, 100%, $E$9)</f>
        <v>6.4515000000000002</v>
      </c>
      <c r="I156" s="10">
        <f>CHOOSE(CONTROL!$C$42, 6.3576, 6.3576)* CHOOSE(CONTROL!$C$21, $C$9, 100%, $E$9)</f>
        <v>6.3575999999999997</v>
      </c>
      <c r="J156" s="10">
        <f>CHOOSE(CONTROL!$C$42, 6.3552, 6.3552)* CHOOSE(CONTROL!$C$21, $C$9, 100%, $E$9)</f>
        <v>6.3552</v>
      </c>
      <c r="K156" s="54">
        <f>CHOOSE(CONTROL!$C$42, 6.3537, 6.3537) * CHOOSE(CONTROL!$C$21, $C$9, 100%, $E$9)</f>
        <v>6.3536999999999999</v>
      </c>
      <c r="L156" s="10">
        <f>CHOOSE(CONTROL!$C$42, 7.0385, 7.0385) * CHOOSE(CONTROL!$C$21, $C$9, 100%, $E$9)</f>
        <v>7.0385</v>
      </c>
      <c r="M156" s="10">
        <f>CHOOSE(CONTROL!$C$42, 6.3049, 6.3049) * CHOOSE(CONTROL!$C$21, $C$9, 100%, $E$9)</f>
        <v>6.3048999999999999</v>
      </c>
      <c r="N156" s="10">
        <f>CHOOSE(CONTROL!$C$42, 6.3222, 6.3222) * CHOOSE(CONTROL!$C$21, $C$9, 100%, $E$9)</f>
        <v>6.3221999999999996</v>
      </c>
      <c r="O156" s="10">
        <f>CHOOSE(CONTROL!$C$42, 6.4002, 6.4002) * CHOOSE(CONTROL!$C$21, $C$9, 100%, $E$9)</f>
        <v>6.4001999999999999</v>
      </c>
      <c r="P156" s="10">
        <f>CHOOSE(CONTROL!$C$42, 6.3073, 6.3073) * CHOOSE(CONTROL!$C$21, $C$9, 100%, $E$9)</f>
        <v>6.3072999999999997</v>
      </c>
      <c r="Q156" s="10">
        <f>CHOOSE(CONTROL!$C$42, 6.9955, 6.9955) * CHOOSE(CONTROL!$C$21, $C$9, 100%, $E$9)</f>
        <v>6.9954999999999998</v>
      </c>
      <c r="R156" s="10">
        <f>CHOOSE(CONTROL!$C$42, 7.6, 7.6) * CHOOSE(CONTROL!$C$21, $C$9, 100%, $E$9)</f>
        <v>7.6</v>
      </c>
      <c r="S156" s="10">
        <f>CHOOSE(CONTROL!$C$42, 6.2071, 6.2071) * CHOOSE(CONTROL!$C$21, $C$9, 100%, $E$9)</f>
        <v>6.2070999999999996</v>
      </c>
      <c r="T156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56" s="58">
        <f>(1000*CHOOSE(CONTROL!$C$42, 695, 695)*CHOOSE(CONTROL!$C$42, 0.5599, 0.5599)*CHOOSE(CONTROL!$C$42, 31, 31))/1000000</f>
        <v>12.063045499999998</v>
      </c>
      <c r="V156" s="58">
        <f>(1000*CHOOSE(CONTROL!$C$42, 500, 500)*CHOOSE(CONTROL!$C$42, 0.275, 0.275)*CHOOSE(CONTROL!$C$42, 31, 31))/1000000</f>
        <v>4.2625000000000002</v>
      </c>
      <c r="W156" s="58">
        <f>(1000*CHOOSE(CONTROL!$C$42, 0.1146, 0.1146)*CHOOSE(CONTROL!$C$42, 121.5, 121.5)*CHOOSE(CONTROL!$C$42, 31, 31))/1000000</f>
        <v>0.43164089999999994</v>
      </c>
      <c r="X156" s="58">
        <f>(31*0.1790888*100000/1000000)+(31*0.2374*100000/1000000)</f>
        <v>1.2911152800000001</v>
      </c>
      <c r="Y156" s="58"/>
      <c r="Z156" s="10"/>
      <c r="AA156" s="57"/>
      <c r="AB156" s="51">
        <f>(B156*122.58+C156*297.941+D156*89.177+E156*40.302+F156*40+G156*160+H156*0+I156*100+J156*300)/(122.58+297.941+89.177+40.302+0+40+160+100+300)</f>
        <v>6.3839557773913036</v>
      </c>
      <c r="AC156" s="27">
        <f>(M156*'RAP TEMPLATE-GAS AVAILABILITY'!O155+N156*'RAP TEMPLATE-GAS AVAILABILITY'!P155+O156*'RAP TEMPLATE-GAS AVAILABILITY'!Q155+P156*'RAP TEMPLATE-GAS AVAILABILITY'!R155)/('RAP TEMPLATE-GAS AVAILABILITY'!O155+'RAP TEMPLATE-GAS AVAILABILITY'!P155+'RAP TEMPLATE-GAS AVAILABILITY'!Q155+'RAP TEMPLATE-GAS AVAILABILITY'!R155)</f>
        <v>6.3494345323741008</v>
      </c>
    </row>
    <row r="157" spans="1:29" ht="15.75" x14ac:dyDescent="0.25">
      <c r="A157" s="16">
        <v>45658</v>
      </c>
      <c r="B157" s="10">
        <f>CHOOSE(CONTROL!$C$42, 6.8251, 6.8251) * CHOOSE(CONTROL!$C$21, $C$9, 100%, $E$9)</f>
        <v>6.8250999999999999</v>
      </c>
      <c r="C157" s="10">
        <f>CHOOSE(CONTROL!$C$42, 6.8301, 6.8301) * CHOOSE(CONTROL!$C$21, $C$9, 100%, $E$9)</f>
        <v>6.8300999999999998</v>
      </c>
      <c r="D157" s="10">
        <f>CHOOSE(CONTROL!$C$42, 6.8803, 6.8803) * CHOOSE(CONTROL!$C$21, $C$9, 100%, $E$9)</f>
        <v>6.8803000000000001</v>
      </c>
      <c r="E157" s="10">
        <f>CHOOSE(CONTROL!$C$42, 6.9141, 6.9141) * CHOOSE(CONTROL!$C$21, $C$9, 100%, $E$9)</f>
        <v>6.9141000000000004</v>
      </c>
      <c r="F157" s="10">
        <f>CHOOSE(CONTROL!$C$42, 6.7905, 6.7905)*CHOOSE(CONTROL!$C$21, $C$9, 100%, $E$9)</f>
        <v>6.7904999999999998</v>
      </c>
      <c r="G157" s="10">
        <f>CHOOSE(CONTROL!$C$42, 6.8081, 6.8081)*CHOOSE(CONTROL!$C$21, $C$9, 100%, $E$9)</f>
        <v>6.8080999999999996</v>
      </c>
      <c r="H157" s="10">
        <f>CHOOSE(CONTROL!$C$42, 6.9033, 6.9033) * CHOOSE(CONTROL!$C$21, $C$9, 100%, $E$9)</f>
        <v>6.9032999999999998</v>
      </c>
      <c r="I157" s="10">
        <f>CHOOSE(CONTROL!$C$42, 6.799, 6.799)* CHOOSE(CONTROL!$C$21, $C$9, 100%, $E$9)</f>
        <v>6.7990000000000004</v>
      </c>
      <c r="J157" s="10">
        <f>CHOOSE(CONTROL!$C$42, 6.7835, 6.7835)* CHOOSE(CONTROL!$C$21, $C$9, 100%, $E$9)</f>
        <v>6.7835000000000001</v>
      </c>
      <c r="K157" s="54">
        <f>CHOOSE(CONTROL!$C$42, 6.7952, 6.7952) * CHOOSE(CONTROL!$C$21, $C$9, 100%, $E$9)</f>
        <v>6.7952000000000004</v>
      </c>
      <c r="L157" s="10">
        <f>CHOOSE(CONTROL!$C$42, 7.4903, 7.4903) * CHOOSE(CONTROL!$C$21, $C$9, 100%, $E$9)</f>
        <v>7.4903000000000004</v>
      </c>
      <c r="M157" s="10">
        <f>CHOOSE(CONTROL!$C$42, 6.7289, 6.7289) * CHOOSE(CONTROL!$C$21, $C$9, 100%, $E$9)</f>
        <v>6.7289000000000003</v>
      </c>
      <c r="N157" s="10">
        <f>CHOOSE(CONTROL!$C$42, 6.7463, 6.7463) * CHOOSE(CONTROL!$C$21, $C$9, 100%, $E$9)</f>
        <v>6.7462999999999997</v>
      </c>
      <c r="O157" s="10">
        <f>CHOOSE(CONTROL!$C$42, 6.8474, 6.8474) * CHOOSE(CONTROL!$C$21, $C$9, 100%, $E$9)</f>
        <v>6.8474000000000004</v>
      </c>
      <c r="P157" s="10">
        <f>CHOOSE(CONTROL!$C$42, 6.7443, 6.7443) * CHOOSE(CONTROL!$C$21, $C$9, 100%, $E$9)</f>
        <v>6.7443</v>
      </c>
      <c r="Q157" s="10">
        <f>CHOOSE(CONTROL!$C$42, 7.4427, 7.4427) * CHOOSE(CONTROL!$C$21, $C$9, 100%, $E$9)</f>
        <v>7.4427000000000003</v>
      </c>
      <c r="R157" s="10">
        <f>CHOOSE(CONTROL!$C$42, 8.0483, 8.0483) * CHOOSE(CONTROL!$C$21, $C$9, 100%, $E$9)</f>
        <v>8.0482999999999993</v>
      </c>
      <c r="S157" s="10">
        <f>CHOOSE(CONTROL!$C$42, 6.6258, 6.6258) * CHOOSE(CONTROL!$C$21, $C$9, 100%, $E$9)</f>
        <v>6.6257999999999999</v>
      </c>
      <c r="T157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57" s="58">
        <f>(1000*CHOOSE(CONTROL!$C$42, 695, 695)*CHOOSE(CONTROL!$C$42, 0.5599, 0.5599)*CHOOSE(CONTROL!$C$42, 31, 31))/1000000</f>
        <v>12.063045499999998</v>
      </c>
      <c r="V157" s="58">
        <f>(1000*CHOOSE(CONTROL!$C$42, 500, 500)*CHOOSE(CONTROL!$C$42, 0.275, 0.275)*CHOOSE(CONTROL!$C$42, 31, 31))/1000000</f>
        <v>4.2625000000000002</v>
      </c>
      <c r="W157" s="58">
        <f>(1000*CHOOSE(CONTROL!$C$42, 0.1146, 0.1146)*CHOOSE(CONTROL!$C$42, 121.5, 121.5)*CHOOSE(CONTROL!$C$42, 31, 31))/1000000</f>
        <v>0.43164089999999994</v>
      </c>
      <c r="X157" s="58">
        <f>(31*0.1790888*100000/1000000)+(31*0.2374*100000/1000000)</f>
        <v>1.2911152800000001</v>
      </c>
      <c r="Y157" s="58"/>
      <c r="Z157" s="10"/>
      <c r="AA157" s="57"/>
      <c r="AB157" s="51">
        <f>(B157*122.58+C157*297.941+D157*89.177+E157*40.302+F157*40+G157*160+H157*0+I157*100+J157*300)/(122.58+297.941+89.177+40.302+0+40+160+100+300)</f>
        <v>6.8171044812173909</v>
      </c>
      <c r="AC157" s="27">
        <f>(M157*'RAP TEMPLATE-GAS AVAILABILITY'!O156+N157*'RAP TEMPLATE-GAS AVAILABILITY'!P156+O157*'RAP TEMPLATE-GAS AVAILABILITY'!Q156+P157*'RAP TEMPLATE-GAS AVAILABILITY'!R156)/('RAP TEMPLATE-GAS AVAILABILITY'!O156+'RAP TEMPLATE-GAS AVAILABILITY'!P156+'RAP TEMPLATE-GAS AVAILABILITY'!Q156+'RAP TEMPLATE-GAS AVAILABILITY'!R156)</f>
        <v>6.7858258992805762</v>
      </c>
    </row>
    <row r="158" spans="1:29" ht="15.75" x14ac:dyDescent="0.25">
      <c r="A158" s="16">
        <v>45689</v>
      </c>
      <c r="B158" s="10">
        <f>CHOOSE(CONTROL!$C$42, 6.9466, 6.9466) * CHOOSE(CONTROL!$C$21, $C$9, 100%, $E$9)</f>
        <v>6.9466000000000001</v>
      </c>
      <c r="C158" s="10">
        <f>CHOOSE(CONTROL!$C$42, 6.9515, 6.9515) * CHOOSE(CONTROL!$C$21, $C$9, 100%, $E$9)</f>
        <v>6.9515000000000002</v>
      </c>
      <c r="D158" s="10">
        <f>CHOOSE(CONTROL!$C$42, 7.012, 7.012) * CHOOSE(CONTROL!$C$21, $C$9, 100%, $E$9)</f>
        <v>7.0119999999999996</v>
      </c>
      <c r="E158" s="10">
        <f>CHOOSE(CONTROL!$C$42, 7.0458, 7.0458) * CHOOSE(CONTROL!$C$21, $C$9, 100%, $E$9)</f>
        <v>7.0457999999999998</v>
      </c>
      <c r="F158" s="10">
        <f>CHOOSE(CONTROL!$C$42, 6.9398, 6.9398)*CHOOSE(CONTROL!$C$21, $C$9, 100%, $E$9)</f>
        <v>6.9398</v>
      </c>
      <c r="G158" s="10">
        <f>CHOOSE(CONTROL!$C$42, 6.9571, 6.9571)*CHOOSE(CONTROL!$C$21, $C$9, 100%, $E$9)</f>
        <v>6.9570999999999996</v>
      </c>
      <c r="H158" s="10">
        <f>CHOOSE(CONTROL!$C$42, 7.035, 7.035) * CHOOSE(CONTROL!$C$21, $C$9, 100%, $E$9)</f>
        <v>7.0350000000000001</v>
      </c>
      <c r="I158" s="10">
        <f>CHOOSE(CONTROL!$C$42, 6.9334, 6.9334)* CHOOSE(CONTROL!$C$21, $C$9, 100%, $E$9)</f>
        <v>6.9333999999999998</v>
      </c>
      <c r="J158" s="10">
        <f>CHOOSE(CONTROL!$C$42, 6.9328, 6.9328)* CHOOSE(CONTROL!$C$21, $C$9, 100%, $E$9)</f>
        <v>6.9328000000000003</v>
      </c>
      <c r="K158" s="54">
        <f>CHOOSE(CONTROL!$C$42, 6.9295, 6.9295) * CHOOSE(CONTROL!$C$21, $C$9, 100%, $E$9)</f>
        <v>6.9295</v>
      </c>
      <c r="L158" s="10">
        <f>CHOOSE(CONTROL!$C$42, 7.622, 7.622) * CHOOSE(CONTROL!$C$21, $C$9, 100%, $E$9)</f>
        <v>7.6219999999999999</v>
      </c>
      <c r="M158" s="10">
        <f>CHOOSE(CONTROL!$C$42, 6.8767, 6.8767) * CHOOSE(CONTROL!$C$21, $C$9, 100%, $E$9)</f>
        <v>6.8766999999999996</v>
      </c>
      <c r="N158" s="10">
        <f>CHOOSE(CONTROL!$C$42, 6.8938, 6.8938) * CHOOSE(CONTROL!$C$21, $C$9, 100%, $E$9)</f>
        <v>6.8937999999999997</v>
      </c>
      <c r="O158" s="10">
        <f>CHOOSE(CONTROL!$C$42, 6.9779, 6.9779) * CHOOSE(CONTROL!$C$21, $C$9, 100%, $E$9)</f>
        <v>6.9779</v>
      </c>
      <c r="P158" s="10">
        <f>CHOOSE(CONTROL!$C$42, 6.8773, 6.8773) * CHOOSE(CONTROL!$C$21, $C$9, 100%, $E$9)</f>
        <v>6.8773</v>
      </c>
      <c r="Q158" s="10">
        <f>CHOOSE(CONTROL!$C$42, 7.5732, 7.5732) * CHOOSE(CONTROL!$C$21, $C$9, 100%, $E$9)</f>
        <v>7.5731999999999999</v>
      </c>
      <c r="R158" s="10">
        <f>CHOOSE(CONTROL!$C$42, 8.1791, 8.1791) * CHOOSE(CONTROL!$C$21, $C$9, 100%, $E$9)</f>
        <v>8.1791</v>
      </c>
      <c r="S158" s="10">
        <f>CHOOSE(CONTROL!$C$42, 6.7437, 6.7437) * CHOOSE(CONTROL!$C$21, $C$9, 100%, $E$9)</f>
        <v>6.7436999999999996</v>
      </c>
      <c r="T158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158" s="58">
        <f>(1000*CHOOSE(CONTROL!$C$42, 695, 695)*CHOOSE(CONTROL!$C$42, 0.5599, 0.5599)*CHOOSE(CONTROL!$C$42, 28, 28))/1000000</f>
        <v>10.895653999999999</v>
      </c>
      <c r="V158" s="58">
        <f>(1000*CHOOSE(CONTROL!$C$42, 500, 500)*CHOOSE(CONTROL!$C$42, 0.275, 0.275)*CHOOSE(CONTROL!$C$42, 28, 28))/1000000</f>
        <v>3.85</v>
      </c>
      <c r="W158" s="58">
        <f>(1000*CHOOSE(CONTROL!$C$42, 0.1146, 0.1146)*CHOOSE(CONTROL!$C$42, 121.5, 121.5)*CHOOSE(CONTROL!$C$42, 28, 28))/1000000</f>
        <v>0.38986920000000003</v>
      </c>
      <c r="X158" s="58">
        <f>(28*0.1790888*100000/1000000)+(28*0.2374*100000/1000000)</f>
        <v>1.16616864</v>
      </c>
      <c r="Y158" s="58"/>
      <c r="Z158" s="10"/>
      <c r="AA158" s="57"/>
      <c r="AB158" s="51">
        <f>(B158*122.58+C158*297.941+D158*89.177+E158*40.302+F158*40+G158*160+H158*0+I158*100+J158*300)/(122.58+297.941+89.177+40.302+0+40+160+100+300)</f>
        <v>6.9528939522608688</v>
      </c>
      <c r="AC158" s="27">
        <f>(M158*'RAP TEMPLATE-GAS AVAILABILITY'!O157+N158*'RAP TEMPLATE-GAS AVAILABILITY'!P157+O158*'RAP TEMPLATE-GAS AVAILABILITY'!Q157+P158*'RAP TEMPLATE-GAS AVAILABILITY'!R157)/('RAP TEMPLATE-GAS AVAILABILITY'!O157+'RAP TEMPLATE-GAS AVAILABILITY'!P157+'RAP TEMPLATE-GAS AVAILABILITY'!Q157+'RAP TEMPLATE-GAS AVAILABILITY'!R157)</f>
        <v>6.9236381294964024</v>
      </c>
    </row>
    <row r="159" spans="1:29" ht="15.75" x14ac:dyDescent="0.25">
      <c r="A159" s="16">
        <v>45717</v>
      </c>
      <c r="B159" s="10">
        <f>CHOOSE(CONTROL!$C$42, 6.7495, 6.7495) * CHOOSE(CONTROL!$C$21, $C$9, 100%, $E$9)</f>
        <v>6.7495000000000003</v>
      </c>
      <c r="C159" s="10">
        <f>CHOOSE(CONTROL!$C$42, 6.7544, 6.7544) * CHOOSE(CONTROL!$C$21, $C$9, 100%, $E$9)</f>
        <v>6.7544000000000004</v>
      </c>
      <c r="D159" s="10">
        <f>CHOOSE(CONTROL!$C$42, 6.8149, 6.8149) * CHOOSE(CONTROL!$C$21, $C$9, 100%, $E$9)</f>
        <v>6.8148999999999997</v>
      </c>
      <c r="E159" s="10">
        <f>CHOOSE(CONTROL!$C$42, 6.8487, 6.8487) * CHOOSE(CONTROL!$C$21, $C$9, 100%, $E$9)</f>
        <v>6.8487</v>
      </c>
      <c r="F159" s="10">
        <f>CHOOSE(CONTROL!$C$42, 6.7372, 6.7372)*CHOOSE(CONTROL!$C$21, $C$9, 100%, $E$9)</f>
        <v>6.7371999999999996</v>
      </c>
      <c r="G159" s="10">
        <f>CHOOSE(CONTROL!$C$42, 6.7544, 6.7544)*CHOOSE(CONTROL!$C$21, $C$9, 100%, $E$9)</f>
        <v>6.7544000000000004</v>
      </c>
      <c r="H159" s="10">
        <f>CHOOSE(CONTROL!$C$42, 6.8379, 6.8379) * CHOOSE(CONTROL!$C$21, $C$9, 100%, $E$9)</f>
        <v>6.8379000000000003</v>
      </c>
      <c r="I159" s="10">
        <f>CHOOSE(CONTROL!$C$42, 6.7234, 6.7234)* CHOOSE(CONTROL!$C$21, $C$9, 100%, $E$9)</f>
        <v>6.7233999999999998</v>
      </c>
      <c r="J159" s="10">
        <f>CHOOSE(CONTROL!$C$42, 6.7302, 6.7302)* CHOOSE(CONTROL!$C$21, $C$9, 100%, $E$9)</f>
        <v>6.7302</v>
      </c>
      <c r="K159" s="54">
        <f>CHOOSE(CONTROL!$C$42, 6.7195, 6.7195) * CHOOSE(CONTROL!$C$21, $C$9, 100%, $E$9)</f>
        <v>6.7195</v>
      </c>
      <c r="L159" s="10">
        <f>CHOOSE(CONTROL!$C$42, 7.4249, 7.4249) * CHOOSE(CONTROL!$C$21, $C$9, 100%, $E$9)</f>
        <v>7.4249000000000001</v>
      </c>
      <c r="M159" s="10">
        <f>CHOOSE(CONTROL!$C$42, 6.6761, 6.6761) * CHOOSE(CONTROL!$C$21, $C$9, 100%, $E$9)</f>
        <v>6.6760999999999999</v>
      </c>
      <c r="N159" s="10">
        <f>CHOOSE(CONTROL!$C$42, 6.6931, 6.6931) * CHOOSE(CONTROL!$C$21, $C$9, 100%, $E$9)</f>
        <v>6.6931000000000003</v>
      </c>
      <c r="O159" s="10">
        <f>CHOOSE(CONTROL!$C$42, 6.7827, 6.7827) * CHOOSE(CONTROL!$C$21, $C$9, 100%, $E$9)</f>
        <v>6.7827000000000002</v>
      </c>
      <c r="P159" s="10">
        <f>CHOOSE(CONTROL!$C$42, 6.6694, 6.6694) * CHOOSE(CONTROL!$C$21, $C$9, 100%, $E$9)</f>
        <v>6.6694000000000004</v>
      </c>
      <c r="Q159" s="10">
        <f>CHOOSE(CONTROL!$C$42, 7.378, 7.378) * CHOOSE(CONTROL!$C$21, $C$9, 100%, $E$9)</f>
        <v>7.3780000000000001</v>
      </c>
      <c r="R159" s="10">
        <f>CHOOSE(CONTROL!$C$42, 7.9835, 7.9835) * CHOOSE(CONTROL!$C$21, $C$9, 100%, $E$9)</f>
        <v>7.9835000000000003</v>
      </c>
      <c r="S159" s="10">
        <f>CHOOSE(CONTROL!$C$42, 6.5523, 6.5523) * CHOOSE(CONTROL!$C$21, $C$9, 100%, $E$9)</f>
        <v>6.5522999999999998</v>
      </c>
      <c r="T159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59" s="58">
        <f>(1000*CHOOSE(CONTROL!$C$42, 695, 695)*CHOOSE(CONTROL!$C$42, 0.5599, 0.5599)*CHOOSE(CONTROL!$C$42, 31, 31))/1000000</f>
        <v>12.063045499999998</v>
      </c>
      <c r="V159" s="58">
        <f>(1000*CHOOSE(CONTROL!$C$42, 500, 500)*CHOOSE(CONTROL!$C$42, 0.275, 0.275)*CHOOSE(CONTROL!$C$42, 31, 31))/1000000</f>
        <v>4.2625000000000002</v>
      </c>
      <c r="W159" s="58">
        <f>(1000*CHOOSE(CONTROL!$C$42, 0.1146, 0.1146)*CHOOSE(CONTROL!$C$42, 121.5, 121.5)*CHOOSE(CONTROL!$C$42, 31, 31))/1000000</f>
        <v>0.43164089999999994</v>
      </c>
      <c r="X159" s="58">
        <f>(31*0.1790888*100000/1000000)+(31*0.2374*100000/1000000)</f>
        <v>1.2911152800000001</v>
      </c>
      <c r="Y159" s="58"/>
      <c r="Z159" s="10"/>
      <c r="AA159" s="57"/>
      <c r="AB159" s="51">
        <f>(B159*122.58+C159*297.941+D159*89.177+E159*40.302+F159*40+G159*160+H159*0+I159*100+J159*300)/(122.58+297.941+89.177+40.302+0+40+160+100+300)</f>
        <v>6.7522669957391299</v>
      </c>
      <c r="AC159" s="27">
        <f>(M159*'RAP TEMPLATE-GAS AVAILABILITY'!O158+N159*'RAP TEMPLATE-GAS AVAILABILITY'!P158+O159*'RAP TEMPLATE-GAS AVAILABILITY'!Q158+P159*'RAP TEMPLATE-GAS AVAILABILITY'!R158)/('RAP TEMPLATE-GAS AVAILABILITY'!O158+'RAP TEMPLATE-GAS AVAILABILITY'!P158+'RAP TEMPLATE-GAS AVAILABILITY'!Q158+'RAP TEMPLATE-GAS AVAILABILITY'!R158)</f>
        <v>6.7244294964028768</v>
      </c>
    </row>
    <row r="160" spans="1:29" ht="15.75" x14ac:dyDescent="0.25">
      <c r="A160" s="16">
        <v>45748</v>
      </c>
      <c r="B160" s="10">
        <f>CHOOSE(CONTROL!$C$42, 6.7304, 6.7304) * CHOOSE(CONTROL!$C$21, $C$9, 100%, $E$9)</f>
        <v>6.7304000000000004</v>
      </c>
      <c r="C160" s="10">
        <f>CHOOSE(CONTROL!$C$42, 6.7348, 6.7348) * CHOOSE(CONTROL!$C$21, $C$9, 100%, $E$9)</f>
        <v>6.7347999999999999</v>
      </c>
      <c r="D160" s="10">
        <f>CHOOSE(CONTROL!$C$42, 6.9304, 6.9304) * CHOOSE(CONTROL!$C$21, $C$9, 100%, $E$9)</f>
        <v>6.9303999999999997</v>
      </c>
      <c r="E160" s="10">
        <f>CHOOSE(CONTROL!$C$42, 6.9622, 6.9622) * CHOOSE(CONTROL!$C$21, $C$9, 100%, $E$9)</f>
        <v>6.9622000000000002</v>
      </c>
      <c r="F160" s="10">
        <f>CHOOSE(CONTROL!$C$42, 6.6982, 6.6982)*CHOOSE(CONTROL!$C$21, $C$9, 100%, $E$9)</f>
        <v>6.6981999999999999</v>
      </c>
      <c r="G160" s="10">
        <f>CHOOSE(CONTROL!$C$42, 6.715, 6.715)*CHOOSE(CONTROL!$C$21, $C$9, 100%, $E$9)</f>
        <v>6.7149999999999999</v>
      </c>
      <c r="H160" s="10">
        <f>CHOOSE(CONTROL!$C$42, 6.9519, 6.9519) * CHOOSE(CONTROL!$C$21, $C$9, 100%, $E$9)</f>
        <v>6.9519000000000002</v>
      </c>
      <c r="I160" s="10">
        <f>CHOOSE(CONTROL!$C$42, 6.6984, 6.6984)* CHOOSE(CONTROL!$C$21, $C$9, 100%, $E$9)</f>
        <v>6.6984000000000004</v>
      </c>
      <c r="J160" s="10">
        <f>CHOOSE(CONTROL!$C$42, 6.6912, 6.6912)* CHOOSE(CONTROL!$C$21, $C$9, 100%, $E$9)</f>
        <v>6.6912000000000003</v>
      </c>
      <c r="K160" s="54">
        <f>CHOOSE(CONTROL!$C$42, 6.6945, 6.6945) * CHOOSE(CONTROL!$C$21, $C$9, 100%, $E$9)</f>
        <v>6.6944999999999997</v>
      </c>
      <c r="L160" s="10">
        <f>CHOOSE(CONTROL!$C$42, 7.5389, 7.5389) * CHOOSE(CONTROL!$C$21, $C$9, 100%, $E$9)</f>
        <v>7.5388999999999999</v>
      </c>
      <c r="M160" s="10">
        <f>CHOOSE(CONTROL!$C$42, 6.6375, 6.6375) * CHOOSE(CONTROL!$C$21, $C$9, 100%, $E$9)</f>
        <v>6.6375000000000002</v>
      </c>
      <c r="N160" s="10">
        <f>CHOOSE(CONTROL!$C$42, 6.6541, 6.6541) * CHOOSE(CONTROL!$C$21, $C$9, 100%, $E$9)</f>
        <v>6.6540999999999997</v>
      </c>
      <c r="O160" s="10">
        <f>CHOOSE(CONTROL!$C$42, 6.8956, 6.8956) * CHOOSE(CONTROL!$C$21, $C$9, 100%, $E$9)</f>
        <v>6.8956</v>
      </c>
      <c r="P160" s="10">
        <f>CHOOSE(CONTROL!$C$42, 6.6447, 6.6447) * CHOOSE(CONTROL!$C$21, $C$9, 100%, $E$9)</f>
        <v>6.6447000000000003</v>
      </c>
      <c r="Q160" s="10">
        <f>CHOOSE(CONTROL!$C$42, 7.4909, 7.4909) * CHOOSE(CONTROL!$C$21, $C$9, 100%, $E$9)</f>
        <v>7.4908999999999999</v>
      </c>
      <c r="R160" s="10">
        <f>CHOOSE(CONTROL!$C$42, 8.0966, 8.0966) * CHOOSE(CONTROL!$C$21, $C$9, 100%, $E$9)</f>
        <v>8.0966000000000005</v>
      </c>
      <c r="S160" s="10">
        <f>CHOOSE(CONTROL!$C$42, 6.533, 6.533) * CHOOSE(CONTROL!$C$21, $C$9, 100%, $E$9)</f>
        <v>6.5330000000000004</v>
      </c>
      <c r="T160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60" s="58">
        <f>(1000*CHOOSE(CONTROL!$C$42, 695, 695)*CHOOSE(CONTROL!$C$42, 0.5599, 0.5599)*CHOOSE(CONTROL!$C$42, 30, 30))/1000000</f>
        <v>11.673914999999997</v>
      </c>
      <c r="V160" s="58">
        <f>(1000*CHOOSE(CONTROL!$C$42, 500, 500)*CHOOSE(CONTROL!$C$42, 0.275, 0.275)*CHOOSE(CONTROL!$C$42, 30, 30))/1000000</f>
        <v>4.125</v>
      </c>
      <c r="W160" s="58">
        <f>(1000*CHOOSE(CONTROL!$C$42, 0.1146, 0.1146)*CHOOSE(CONTROL!$C$42, 121.5, 121.5)*CHOOSE(CONTROL!$C$42, 30, 30))/1000000</f>
        <v>0.417717</v>
      </c>
      <c r="X160" s="58">
        <f>(30*0.1790888*245000/1000000)+(30*0.2374*100000/1000000)</f>
        <v>2.0285026799999999</v>
      </c>
      <c r="Y160" s="58"/>
      <c r="Z160" s="10"/>
      <c r="AA160" s="57"/>
      <c r="AB160" s="51">
        <f>(B160*141.293+C160*267.993+D160*115.016+E160*89.698+F160*40+G160*185+H160*0+I160*100+J160*300)/(141.293+267.993+115.016+89.698+0+40+185+100+300)</f>
        <v>6.7512856865213884</v>
      </c>
      <c r="AC160" s="27">
        <f>(M160*'RAP TEMPLATE-GAS AVAILABILITY'!O159+N160*'RAP TEMPLATE-GAS AVAILABILITY'!P159+O160*'RAP TEMPLATE-GAS AVAILABILITY'!Q159+P160*'RAP TEMPLATE-GAS AVAILABILITY'!R159)/('RAP TEMPLATE-GAS AVAILABILITY'!O159+'RAP TEMPLATE-GAS AVAILABILITY'!P159+'RAP TEMPLATE-GAS AVAILABILITY'!Q159+'RAP TEMPLATE-GAS AVAILABILITY'!R159)</f>
        <v>6.7147741007194242</v>
      </c>
    </row>
    <row r="161" spans="1:29" ht="15.75" x14ac:dyDescent="0.25">
      <c r="A161" s="16">
        <v>45778</v>
      </c>
      <c r="B161" s="10">
        <f>CHOOSE(CONTROL!$C$42, 6.7912, 6.7912) * CHOOSE(CONTROL!$C$21, $C$9, 100%, $E$9)</f>
        <v>6.7911999999999999</v>
      </c>
      <c r="C161" s="10">
        <f>CHOOSE(CONTROL!$C$42, 6.7991, 6.7991) * CHOOSE(CONTROL!$C$21, $C$9, 100%, $E$9)</f>
        <v>6.7991000000000001</v>
      </c>
      <c r="D161" s="10">
        <f>CHOOSE(CONTROL!$C$42, 6.9915, 6.9915) * CHOOSE(CONTROL!$C$21, $C$9, 100%, $E$9)</f>
        <v>6.9915000000000003</v>
      </c>
      <c r="E161" s="10">
        <f>CHOOSE(CONTROL!$C$42, 7.0227, 7.0227) * CHOOSE(CONTROL!$C$21, $C$9, 100%, $E$9)</f>
        <v>7.0227000000000004</v>
      </c>
      <c r="F161" s="10">
        <f>CHOOSE(CONTROL!$C$42, 6.7574, 6.7574)*CHOOSE(CONTROL!$C$21, $C$9, 100%, $E$9)</f>
        <v>6.7573999999999996</v>
      </c>
      <c r="G161" s="10">
        <f>CHOOSE(CONTROL!$C$42, 6.7746, 6.7746)*CHOOSE(CONTROL!$C$21, $C$9, 100%, $E$9)</f>
        <v>6.7746000000000004</v>
      </c>
      <c r="H161" s="10">
        <f>CHOOSE(CONTROL!$C$42, 7.0113, 7.0113) * CHOOSE(CONTROL!$C$21, $C$9, 100%, $E$9)</f>
        <v>7.0113000000000003</v>
      </c>
      <c r="I161" s="10">
        <f>CHOOSE(CONTROL!$C$42, 6.7578, 6.7578)* CHOOSE(CONTROL!$C$21, $C$9, 100%, $E$9)</f>
        <v>6.7577999999999996</v>
      </c>
      <c r="J161" s="10">
        <f>CHOOSE(CONTROL!$C$42, 6.7504, 6.7504)* CHOOSE(CONTROL!$C$21, $C$9, 100%, $E$9)</f>
        <v>6.7504</v>
      </c>
      <c r="K161" s="54">
        <f>CHOOSE(CONTROL!$C$42, 6.7539, 6.7539) * CHOOSE(CONTROL!$C$21, $C$9, 100%, $E$9)</f>
        <v>6.7538999999999998</v>
      </c>
      <c r="L161" s="10">
        <f>CHOOSE(CONTROL!$C$42, 7.5983, 7.5983) * CHOOSE(CONTROL!$C$21, $C$9, 100%, $E$9)</f>
        <v>7.5983000000000001</v>
      </c>
      <c r="M161" s="10">
        <f>CHOOSE(CONTROL!$C$42, 6.6961, 6.6961) * CHOOSE(CONTROL!$C$21, $C$9, 100%, $E$9)</f>
        <v>6.6961000000000004</v>
      </c>
      <c r="N161" s="10">
        <f>CHOOSE(CONTROL!$C$42, 6.7131, 6.7131) * CHOOSE(CONTROL!$C$21, $C$9, 100%, $E$9)</f>
        <v>6.7130999999999998</v>
      </c>
      <c r="O161" s="10">
        <f>CHOOSE(CONTROL!$C$42, 6.9544, 6.9544) * CHOOSE(CONTROL!$C$21, $C$9, 100%, $E$9)</f>
        <v>6.9543999999999997</v>
      </c>
      <c r="P161" s="10">
        <f>CHOOSE(CONTROL!$C$42, 6.7034, 6.7034) * CHOOSE(CONTROL!$C$21, $C$9, 100%, $E$9)</f>
        <v>6.7034000000000002</v>
      </c>
      <c r="Q161" s="10">
        <f>CHOOSE(CONTROL!$C$42, 7.5497, 7.5497) * CHOOSE(CONTROL!$C$21, $C$9, 100%, $E$9)</f>
        <v>7.5496999999999996</v>
      </c>
      <c r="R161" s="10">
        <f>CHOOSE(CONTROL!$C$42, 8.1556, 8.1556) * CHOOSE(CONTROL!$C$21, $C$9, 100%, $E$9)</f>
        <v>8.1555999999999997</v>
      </c>
      <c r="S161" s="10">
        <f>CHOOSE(CONTROL!$C$42, 6.5907, 6.5907) * CHOOSE(CONTROL!$C$21, $C$9, 100%, $E$9)</f>
        <v>6.5907</v>
      </c>
      <c r="T161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61" s="58">
        <f>(1000*CHOOSE(CONTROL!$C$42, 695, 695)*CHOOSE(CONTROL!$C$42, 0.5599, 0.5599)*CHOOSE(CONTROL!$C$42, 31, 31))/1000000</f>
        <v>12.063045499999998</v>
      </c>
      <c r="V161" s="58">
        <f>(1000*CHOOSE(CONTROL!$C$42, 500, 500)*CHOOSE(CONTROL!$C$42, 0.275, 0.275)*CHOOSE(CONTROL!$C$42, 31, 31))/1000000</f>
        <v>4.2625000000000002</v>
      </c>
      <c r="W161" s="58">
        <f>(1000*CHOOSE(CONTROL!$C$42, 0.1146, 0.1146)*CHOOSE(CONTROL!$C$42, 121.5, 121.5)*CHOOSE(CONTROL!$C$42, 31, 31))/1000000</f>
        <v>0.43164089999999994</v>
      </c>
      <c r="X161" s="58">
        <f>(31*0.1790888*245000/1000000)+(31*0.2374*100000/1000000)</f>
        <v>2.0961194359999999</v>
      </c>
      <c r="Y161" s="58"/>
      <c r="Z161" s="10"/>
      <c r="AA161" s="57"/>
      <c r="AB161" s="51">
        <f>(B161*194.205+C161*267.466+D161*133.845+E161*53.484+F161*40+G161*185+H161*0+I161*100+J161*300)/(194.205+267.466+133.845+53.484+0+40+185+100+300)</f>
        <v>6.8079195297488218</v>
      </c>
      <c r="AC161" s="27">
        <f>(M161*'RAP TEMPLATE-GAS AVAILABILITY'!O160+N161*'RAP TEMPLATE-GAS AVAILABILITY'!P160+O161*'RAP TEMPLATE-GAS AVAILABILITY'!Q160+P161*'RAP TEMPLATE-GAS AVAILABILITY'!R160)/('RAP TEMPLATE-GAS AVAILABILITY'!O160+'RAP TEMPLATE-GAS AVAILABILITY'!P160+'RAP TEMPLATE-GAS AVAILABILITY'!Q160+'RAP TEMPLATE-GAS AVAILABILITY'!R160)</f>
        <v>6.7735366906474823</v>
      </c>
    </row>
    <row r="162" spans="1:29" ht="15.75" x14ac:dyDescent="0.25">
      <c r="A162" s="16">
        <v>45809</v>
      </c>
      <c r="B162" s="10">
        <f>CHOOSE(CONTROL!$C$42, 6.9837, 6.9837) * CHOOSE(CONTROL!$C$21, $C$9, 100%, $E$9)</f>
        <v>6.9836999999999998</v>
      </c>
      <c r="C162" s="10">
        <f>CHOOSE(CONTROL!$C$42, 6.9916, 6.9916) * CHOOSE(CONTROL!$C$21, $C$9, 100%, $E$9)</f>
        <v>6.9916</v>
      </c>
      <c r="D162" s="10">
        <f>CHOOSE(CONTROL!$C$42, 7.184, 7.184) * CHOOSE(CONTROL!$C$21, $C$9, 100%, $E$9)</f>
        <v>7.1840000000000002</v>
      </c>
      <c r="E162" s="10">
        <f>CHOOSE(CONTROL!$C$42, 7.2152, 7.2152) * CHOOSE(CONTROL!$C$21, $C$9, 100%, $E$9)</f>
        <v>7.2152000000000003</v>
      </c>
      <c r="F162" s="10">
        <f>CHOOSE(CONTROL!$C$42, 6.9502, 6.9502)*CHOOSE(CONTROL!$C$21, $C$9, 100%, $E$9)</f>
        <v>6.9501999999999997</v>
      </c>
      <c r="G162" s="10">
        <f>CHOOSE(CONTROL!$C$42, 6.9674, 6.9674)*CHOOSE(CONTROL!$C$21, $C$9, 100%, $E$9)</f>
        <v>6.9673999999999996</v>
      </c>
      <c r="H162" s="10">
        <f>CHOOSE(CONTROL!$C$42, 7.2038, 7.2038) * CHOOSE(CONTROL!$C$21, $C$9, 100%, $E$9)</f>
        <v>7.2038000000000002</v>
      </c>
      <c r="I162" s="10">
        <f>CHOOSE(CONTROL!$C$42, 6.9502, 6.9502)* CHOOSE(CONTROL!$C$21, $C$9, 100%, $E$9)</f>
        <v>6.9501999999999997</v>
      </c>
      <c r="J162" s="10">
        <f>CHOOSE(CONTROL!$C$42, 6.9432, 6.9432)* CHOOSE(CONTROL!$C$21, $C$9, 100%, $E$9)</f>
        <v>6.9432</v>
      </c>
      <c r="K162" s="54">
        <f>CHOOSE(CONTROL!$C$42, 6.9464, 6.9464) * CHOOSE(CONTROL!$C$21, $C$9, 100%, $E$9)</f>
        <v>6.9463999999999997</v>
      </c>
      <c r="L162" s="10">
        <f>CHOOSE(CONTROL!$C$42, 7.7908, 7.7908) * CHOOSE(CONTROL!$C$21, $C$9, 100%, $E$9)</f>
        <v>7.7907999999999999</v>
      </c>
      <c r="M162" s="10">
        <f>CHOOSE(CONTROL!$C$42, 6.8869, 6.8869) * CHOOSE(CONTROL!$C$21, $C$9, 100%, $E$9)</f>
        <v>6.8868999999999998</v>
      </c>
      <c r="N162" s="10">
        <f>CHOOSE(CONTROL!$C$42, 6.9039, 6.9039) * CHOOSE(CONTROL!$C$21, $C$9, 100%, $E$9)</f>
        <v>6.9039000000000001</v>
      </c>
      <c r="O162" s="10">
        <f>CHOOSE(CONTROL!$C$42, 7.1449, 7.1449) * CHOOSE(CONTROL!$C$21, $C$9, 100%, $E$9)</f>
        <v>7.1448999999999998</v>
      </c>
      <c r="P162" s="10">
        <f>CHOOSE(CONTROL!$C$42, 6.894, 6.894) * CHOOSE(CONTROL!$C$21, $C$9, 100%, $E$9)</f>
        <v>6.8940000000000001</v>
      </c>
      <c r="Q162" s="10">
        <f>CHOOSE(CONTROL!$C$42, 7.7402, 7.7402) * CHOOSE(CONTROL!$C$21, $C$9, 100%, $E$9)</f>
        <v>7.7401999999999997</v>
      </c>
      <c r="R162" s="10">
        <f>CHOOSE(CONTROL!$C$42, 8.3466, 8.3466) * CHOOSE(CONTROL!$C$21, $C$9, 100%, $E$9)</f>
        <v>8.3466000000000005</v>
      </c>
      <c r="S162" s="10">
        <f>CHOOSE(CONTROL!$C$42, 6.7776, 6.7776) * CHOOSE(CONTROL!$C$21, $C$9, 100%, $E$9)</f>
        <v>6.7775999999999996</v>
      </c>
      <c r="T162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62" s="58">
        <f>(1000*CHOOSE(CONTROL!$C$42, 695, 695)*CHOOSE(CONTROL!$C$42, 0.5599, 0.5599)*CHOOSE(CONTROL!$C$42, 30, 30))/1000000</f>
        <v>11.673914999999997</v>
      </c>
      <c r="V162" s="58">
        <f>(1000*CHOOSE(CONTROL!$C$42, 500, 500)*CHOOSE(CONTROL!$C$42, 0.275, 0.275)*CHOOSE(CONTROL!$C$42, 30, 30))/1000000</f>
        <v>4.125</v>
      </c>
      <c r="W162" s="58">
        <f>(1000*CHOOSE(CONTROL!$C$42, 0.1146, 0.1146)*CHOOSE(CONTROL!$C$42, 121.5, 121.5)*CHOOSE(CONTROL!$C$42, 30, 30))/1000000</f>
        <v>0.417717</v>
      </c>
      <c r="X162" s="58">
        <f>(30*0.1790888*245000/1000000)+(30*0.2374*100000/1000000)</f>
        <v>2.0285026799999999</v>
      </c>
      <c r="Y162" s="58"/>
      <c r="Z162" s="10"/>
      <c r="AA162" s="57"/>
      <c r="AB162" s="51">
        <f>(B162*194.205+C162*267.466+D162*133.845+E162*53.484+F162*40+G162*185+H162*0+I162*100+J162*300)/(194.205+267.466+133.845+53.484+0+40+185+100+300)</f>
        <v>7.000535306828886</v>
      </c>
      <c r="AC162" s="27">
        <f>(M162*'RAP TEMPLATE-GAS AVAILABILITY'!O161+N162*'RAP TEMPLATE-GAS AVAILABILITY'!P161+O162*'RAP TEMPLATE-GAS AVAILABILITY'!Q161+P162*'RAP TEMPLATE-GAS AVAILABILITY'!R161)/('RAP TEMPLATE-GAS AVAILABILITY'!O161+'RAP TEMPLATE-GAS AVAILABILITY'!P161+'RAP TEMPLATE-GAS AVAILABILITY'!Q161+'RAP TEMPLATE-GAS AVAILABILITY'!R161)</f>
        <v>6.964223741007193</v>
      </c>
    </row>
    <row r="163" spans="1:29" ht="15.75" x14ac:dyDescent="0.25">
      <c r="A163" s="16">
        <v>45839</v>
      </c>
      <c r="B163" s="10">
        <f>CHOOSE(CONTROL!$C$42, 6.8498, 6.8498) * CHOOSE(CONTROL!$C$21, $C$9, 100%, $E$9)</f>
        <v>6.8498000000000001</v>
      </c>
      <c r="C163" s="10">
        <f>CHOOSE(CONTROL!$C$42, 6.8577, 6.8577) * CHOOSE(CONTROL!$C$21, $C$9, 100%, $E$9)</f>
        <v>6.8577000000000004</v>
      </c>
      <c r="D163" s="10">
        <f>CHOOSE(CONTROL!$C$42, 7.0502, 7.0502) * CHOOSE(CONTROL!$C$21, $C$9, 100%, $E$9)</f>
        <v>7.0502000000000002</v>
      </c>
      <c r="E163" s="10">
        <f>CHOOSE(CONTROL!$C$42, 7.0813, 7.0813) * CHOOSE(CONTROL!$C$21, $C$9, 100%, $E$9)</f>
        <v>7.0812999999999997</v>
      </c>
      <c r="F163" s="10">
        <f>CHOOSE(CONTROL!$C$42, 6.8167, 6.8167)*CHOOSE(CONTROL!$C$21, $C$9, 100%, $E$9)</f>
        <v>6.8167</v>
      </c>
      <c r="G163" s="10">
        <f>CHOOSE(CONTROL!$C$42, 6.834, 6.834)*CHOOSE(CONTROL!$C$21, $C$9, 100%, $E$9)</f>
        <v>6.8339999999999996</v>
      </c>
      <c r="H163" s="10">
        <f>CHOOSE(CONTROL!$C$42, 7.0699, 7.0699) * CHOOSE(CONTROL!$C$21, $C$9, 100%, $E$9)</f>
        <v>7.0698999999999996</v>
      </c>
      <c r="I163" s="10">
        <f>CHOOSE(CONTROL!$C$42, 6.8164, 6.8164)* CHOOSE(CONTROL!$C$21, $C$9, 100%, $E$9)</f>
        <v>6.8163999999999998</v>
      </c>
      <c r="J163" s="10">
        <f>CHOOSE(CONTROL!$C$42, 6.8097, 6.8097)* CHOOSE(CONTROL!$C$21, $C$9, 100%, $E$9)</f>
        <v>6.8097000000000003</v>
      </c>
      <c r="K163" s="54">
        <f>CHOOSE(CONTROL!$C$42, 6.8125, 6.8125) * CHOOSE(CONTROL!$C$21, $C$9, 100%, $E$9)</f>
        <v>6.8125</v>
      </c>
      <c r="L163" s="10">
        <f>CHOOSE(CONTROL!$C$42, 7.6569, 7.6569) * CHOOSE(CONTROL!$C$21, $C$9, 100%, $E$9)</f>
        <v>7.6569000000000003</v>
      </c>
      <c r="M163" s="10">
        <f>CHOOSE(CONTROL!$C$42, 6.7548, 6.7548) * CHOOSE(CONTROL!$C$21, $C$9, 100%, $E$9)</f>
        <v>6.7548000000000004</v>
      </c>
      <c r="N163" s="10">
        <f>CHOOSE(CONTROL!$C$42, 6.7719, 6.7719) * CHOOSE(CONTROL!$C$21, $C$9, 100%, $E$9)</f>
        <v>6.7718999999999996</v>
      </c>
      <c r="O163" s="10">
        <f>CHOOSE(CONTROL!$C$42, 7.0124, 7.0124) * CHOOSE(CONTROL!$C$21, $C$9, 100%, $E$9)</f>
        <v>7.0124000000000004</v>
      </c>
      <c r="P163" s="10">
        <f>CHOOSE(CONTROL!$C$42, 6.7615, 6.7615) * CHOOSE(CONTROL!$C$21, $C$9, 100%, $E$9)</f>
        <v>6.7614999999999998</v>
      </c>
      <c r="Q163" s="10">
        <f>CHOOSE(CONTROL!$C$42, 7.6077, 7.6077) * CHOOSE(CONTROL!$C$21, $C$9, 100%, $E$9)</f>
        <v>7.6077000000000004</v>
      </c>
      <c r="R163" s="10">
        <f>CHOOSE(CONTROL!$C$42, 8.2137, 8.2137) * CHOOSE(CONTROL!$C$21, $C$9, 100%, $E$9)</f>
        <v>8.2136999999999993</v>
      </c>
      <c r="S163" s="10">
        <f>CHOOSE(CONTROL!$C$42, 6.6476, 6.6476) * CHOOSE(CONTROL!$C$21, $C$9, 100%, $E$9)</f>
        <v>6.6475999999999997</v>
      </c>
      <c r="T163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63" s="58">
        <f>(1000*CHOOSE(CONTROL!$C$42, 695, 695)*CHOOSE(CONTROL!$C$42, 0.5599, 0.5599)*CHOOSE(CONTROL!$C$42, 31, 31))/1000000</f>
        <v>12.063045499999998</v>
      </c>
      <c r="V163" s="58">
        <f>(1000*CHOOSE(CONTROL!$C$42, 500, 500)*CHOOSE(CONTROL!$C$42, 0.275, 0.275)*CHOOSE(CONTROL!$C$42, 31, 31))/1000000</f>
        <v>4.2625000000000002</v>
      </c>
      <c r="W163" s="58">
        <f>(1000*CHOOSE(CONTROL!$C$42, 0.1146, 0.1146)*CHOOSE(CONTROL!$C$42, 121.5, 121.5)*CHOOSE(CONTROL!$C$42, 31, 31))/1000000</f>
        <v>0.43164089999999994</v>
      </c>
      <c r="X163" s="58">
        <f>(31*0.1790888*245000/1000000)+(31*0.2374*100000/1000000)</f>
        <v>2.0961194359999999</v>
      </c>
      <c r="Y163" s="58"/>
      <c r="Z163" s="10"/>
      <c r="AA163" s="57"/>
      <c r="AB163" s="51">
        <f>(B163*194.205+C163*267.466+D163*133.845+E163*53.484+F163*40+G163*185+H163*0+I163*100+J163*300)/(194.205+267.466+133.845+53.484+0+40+185+100+300)</f>
        <v>6.8668330183673483</v>
      </c>
      <c r="AC163" s="27">
        <f>(M163*'RAP TEMPLATE-GAS AVAILABILITY'!O162+N163*'RAP TEMPLATE-GAS AVAILABILITY'!P162+O163*'RAP TEMPLATE-GAS AVAILABILITY'!Q162+P163*'RAP TEMPLATE-GAS AVAILABILITY'!R162)/('RAP TEMPLATE-GAS AVAILABILITY'!O162+'RAP TEMPLATE-GAS AVAILABILITY'!P162+'RAP TEMPLATE-GAS AVAILABILITY'!Q162+'RAP TEMPLATE-GAS AVAILABILITY'!R162)</f>
        <v>6.8319769784172664</v>
      </c>
    </row>
    <row r="164" spans="1:29" ht="15.75" x14ac:dyDescent="0.25">
      <c r="A164" s="16">
        <v>45870</v>
      </c>
      <c r="B164" s="10">
        <f>CHOOSE(CONTROL!$C$42, 6.5117, 6.5117) * CHOOSE(CONTROL!$C$21, $C$9, 100%, $E$9)</f>
        <v>6.5117000000000003</v>
      </c>
      <c r="C164" s="10">
        <f>CHOOSE(CONTROL!$C$42, 6.5196, 6.5196) * CHOOSE(CONTROL!$C$21, $C$9, 100%, $E$9)</f>
        <v>6.5195999999999996</v>
      </c>
      <c r="D164" s="10">
        <f>CHOOSE(CONTROL!$C$42, 6.7121, 6.7121) * CHOOSE(CONTROL!$C$21, $C$9, 100%, $E$9)</f>
        <v>6.7121000000000004</v>
      </c>
      <c r="E164" s="10">
        <f>CHOOSE(CONTROL!$C$42, 6.7432, 6.7432) * CHOOSE(CONTROL!$C$21, $C$9, 100%, $E$9)</f>
        <v>6.7431999999999999</v>
      </c>
      <c r="F164" s="10">
        <f>CHOOSE(CONTROL!$C$42, 6.4788, 6.4788)*CHOOSE(CONTROL!$C$21, $C$9, 100%, $E$9)</f>
        <v>6.4787999999999997</v>
      </c>
      <c r="G164" s="10">
        <f>CHOOSE(CONTROL!$C$42, 6.4961, 6.4961)*CHOOSE(CONTROL!$C$21, $C$9, 100%, $E$9)</f>
        <v>6.4961000000000002</v>
      </c>
      <c r="H164" s="10">
        <f>CHOOSE(CONTROL!$C$42, 6.7319, 6.7319) * CHOOSE(CONTROL!$C$21, $C$9, 100%, $E$9)</f>
        <v>6.7319000000000004</v>
      </c>
      <c r="I164" s="10">
        <f>CHOOSE(CONTROL!$C$42, 6.4783, 6.4783)* CHOOSE(CONTROL!$C$21, $C$9, 100%, $E$9)</f>
        <v>6.4782999999999999</v>
      </c>
      <c r="J164" s="10">
        <f>CHOOSE(CONTROL!$C$42, 6.4718, 6.4718)* CHOOSE(CONTROL!$C$21, $C$9, 100%, $E$9)</f>
        <v>6.4718</v>
      </c>
      <c r="K164" s="54">
        <f>CHOOSE(CONTROL!$C$42, 6.4744, 6.4744) * CHOOSE(CONTROL!$C$21, $C$9, 100%, $E$9)</f>
        <v>6.4744000000000002</v>
      </c>
      <c r="L164" s="10">
        <f>CHOOSE(CONTROL!$C$42, 7.3189, 7.3189) * CHOOSE(CONTROL!$C$21, $C$9, 100%, $E$9)</f>
        <v>7.3189000000000002</v>
      </c>
      <c r="M164" s="10">
        <f>CHOOSE(CONTROL!$C$42, 6.4203, 6.4203) * CHOOSE(CONTROL!$C$21, $C$9, 100%, $E$9)</f>
        <v>6.4203000000000001</v>
      </c>
      <c r="N164" s="10">
        <f>CHOOSE(CONTROL!$C$42, 6.4375, 6.4375) * CHOOSE(CONTROL!$C$21, $C$9, 100%, $E$9)</f>
        <v>6.4375</v>
      </c>
      <c r="O164" s="10">
        <f>CHOOSE(CONTROL!$C$42, 6.6777, 6.6777) * CHOOSE(CONTROL!$C$21, $C$9, 100%, $E$9)</f>
        <v>6.6776999999999997</v>
      </c>
      <c r="P164" s="10">
        <f>CHOOSE(CONTROL!$C$42, 6.4268, 6.4268) * CHOOSE(CONTROL!$C$21, $C$9, 100%, $E$9)</f>
        <v>6.4268000000000001</v>
      </c>
      <c r="Q164" s="10">
        <f>CHOOSE(CONTROL!$C$42, 7.273, 7.273) * CHOOSE(CONTROL!$C$21, $C$9, 100%, $E$9)</f>
        <v>7.2729999999999997</v>
      </c>
      <c r="R164" s="10">
        <f>CHOOSE(CONTROL!$C$42, 7.8782, 7.8782) * CHOOSE(CONTROL!$C$21, $C$9, 100%, $E$9)</f>
        <v>7.8781999999999996</v>
      </c>
      <c r="S164" s="10">
        <f>CHOOSE(CONTROL!$C$42, 6.3193, 6.3193) * CHOOSE(CONTROL!$C$21, $C$9, 100%, $E$9)</f>
        <v>6.3193000000000001</v>
      </c>
      <c r="T164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64" s="58">
        <f>(1000*CHOOSE(CONTROL!$C$42, 695, 695)*CHOOSE(CONTROL!$C$42, 0.5599, 0.5599)*CHOOSE(CONTROL!$C$42, 31, 31))/1000000</f>
        <v>12.063045499999998</v>
      </c>
      <c r="V164" s="58">
        <f>(1000*CHOOSE(CONTROL!$C$42, 500, 500)*CHOOSE(CONTROL!$C$42, 0.275, 0.275)*CHOOSE(CONTROL!$C$42, 31, 31))/1000000</f>
        <v>4.2625000000000002</v>
      </c>
      <c r="W164" s="58">
        <f>(1000*CHOOSE(CONTROL!$C$42, 0.1146, 0.1146)*CHOOSE(CONTROL!$C$42, 121.5, 121.5)*CHOOSE(CONTROL!$C$42, 31, 31))/1000000</f>
        <v>0.43164089999999994</v>
      </c>
      <c r="X164" s="58">
        <f>(31*0.1790888*245000/1000000)+(31*0.2374*100000/1000000)</f>
        <v>2.0961194359999999</v>
      </c>
      <c r="Y164" s="58"/>
      <c r="Z164" s="10"/>
      <c r="AA164" s="57"/>
      <c r="AB164" s="51">
        <f>(B164*194.205+C164*267.466+D164*133.845+E164*53.484+F164*40+G164*185+H164*0+I164*100+J164*300)/(194.205+267.466+133.845+53.484+0+40+185+100+300)</f>
        <v>6.528815435949765</v>
      </c>
      <c r="AC164" s="27">
        <f>(M164*'RAP TEMPLATE-GAS AVAILABILITY'!O163+N164*'RAP TEMPLATE-GAS AVAILABILITY'!P163+O164*'RAP TEMPLATE-GAS AVAILABILITY'!Q163+P164*'RAP TEMPLATE-GAS AVAILABILITY'!R163)/('RAP TEMPLATE-GAS AVAILABILITY'!O163+'RAP TEMPLATE-GAS AVAILABILITY'!P163+'RAP TEMPLATE-GAS AVAILABILITY'!Q163+'RAP TEMPLATE-GAS AVAILABILITY'!R163)</f>
        <v>6.4974151079136702</v>
      </c>
    </row>
    <row r="165" spans="1:29" ht="15.75" x14ac:dyDescent="0.25">
      <c r="A165" s="16">
        <v>45901</v>
      </c>
      <c r="B165" s="10">
        <f>CHOOSE(CONTROL!$C$42, 6.0983, 6.0983) * CHOOSE(CONTROL!$C$21, $C$9, 100%, $E$9)</f>
        <v>6.0983000000000001</v>
      </c>
      <c r="C165" s="10">
        <f>CHOOSE(CONTROL!$C$42, 6.1062, 6.1062) * CHOOSE(CONTROL!$C$21, $C$9, 100%, $E$9)</f>
        <v>6.1062000000000003</v>
      </c>
      <c r="D165" s="10">
        <f>CHOOSE(CONTROL!$C$42, 6.2986, 6.2986) * CHOOSE(CONTROL!$C$21, $C$9, 100%, $E$9)</f>
        <v>6.2986000000000004</v>
      </c>
      <c r="E165" s="10">
        <f>CHOOSE(CONTROL!$C$42, 6.3298, 6.3298) * CHOOSE(CONTROL!$C$21, $C$9, 100%, $E$9)</f>
        <v>6.3297999999999996</v>
      </c>
      <c r="F165" s="10">
        <f>CHOOSE(CONTROL!$C$42, 6.0652, 6.0652)*CHOOSE(CONTROL!$C$21, $C$9, 100%, $E$9)</f>
        <v>6.0651999999999999</v>
      </c>
      <c r="G165" s="10">
        <f>CHOOSE(CONTROL!$C$42, 6.0825, 6.0825)*CHOOSE(CONTROL!$C$21, $C$9, 100%, $E$9)</f>
        <v>6.0824999999999996</v>
      </c>
      <c r="H165" s="10">
        <f>CHOOSE(CONTROL!$C$42, 6.3184, 6.3184) * CHOOSE(CONTROL!$C$21, $C$9, 100%, $E$9)</f>
        <v>6.3183999999999996</v>
      </c>
      <c r="I165" s="10">
        <f>CHOOSE(CONTROL!$C$42, 6.0648, 6.0648)* CHOOSE(CONTROL!$C$21, $C$9, 100%, $E$9)</f>
        <v>6.0648</v>
      </c>
      <c r="J165" s="10">
        <f>CHOOSE(CONTROL!$C$42, 6.0582, 6.0582)* CHOOSE(CONTROL!$C$21, $C$9, 100%, $E$9)</f>
        <v>6.0582000000000003</v>
      </c>
      <c r="K165" s="54">
        <f>CHOOSE(CONTROL!$C$42, 6.061, 6.061) * CHOOSE(CONTROL!$C$21, $C$9, 100%, $E$9)</f>
        <v>6.0609999999999999</v>
      </c>
      <c r="L165" s="10">
        <f>CHOOSE(CONTROL!$C$42, 6.9054, 6.9054) * CHOOSE(CONTROL!$C$21, $C$9, 100%, $E$9)</f>
        <v>6.9054000000000002</v>
      </c>
      <c r="M165" s="10">
        <f>CHOOSE(CONTROL!$C$42, 6.0109, 6.0109) * CHOOSE(CONTROL!$C$21, $C$9, 100%, $E$9)</f>
        <v>6.0109000000000004</v>
      </c>
      <c r="N165" s="10">
        <f>CHOOSE(CONTROL!$C$42, 6.028, 6.028) * CHOOSE(CONTROL!$C$21, $C$9, 100%, $E$9)</f>
        <v>6.0279999999999996</v>
      </c>
      <c r="O165" s="10">
        <f>CHOOSE(CONTROL!$C$42, 6.2685, 6.2685) * CHOOSE(CONTROL!$C$21, $C$9, 100%, $E$9)</f>
        <v>6.2685000000000004</v>
      </c>
      <c r="P165" s="10">
        <f>CHOOSE(CONTROL!$C$42, 6.0175, 6.0175) * CHOOSE(CONTROL!$C$21, $C$9, 100%, $E$9)</f>
        <v>6.0175000000000001</v>
      </c>
      <c r="Q165" s="10">
        <f>CHOOSE(CONTROL!$C$42, 6.8638, 6.8638) * CHOOSE(CONTROL!$C$21, $C$9, 100%, $E$9)</f>
        <v>6.8638000000000003</v>
      </c>
      <c r="R165" s="10">
        <f>CHOOSE(CONTROL!$C$42, 7.4679, 7.4679) * CHOOSE(CONTROL!$C$21, $C$9, 100%, $E$9)</f>
        <v>7.4679000000000002</v>
      </c>
      <c r="S165" s="10">
        <f>CHOOSE(CONTROL!$C$42, 5.9178, 5.9178) * CHOOSE(CONTROL!$C$21, $C$9, 100%, $E$9)</f>
        <v>5.9177999999999997</v>
      </c>
      <c r="T165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65" s="58">
        <f>(1000*CHOOSE(CONTROL!$C$42, 695, 695)*CHOOSE(CONTROL!$C$42, 0.5599, 0.5599)*CHOOSE(CONTROL!$C$42, 30, 30))/1000000</f>
        <v>11.673914999999997</v>
      </c>
      <c r="V165" s="58">
        <f>(1000*CHOOSE(CONTROL!$C$42, 500, 500)*CHOOSE(CONTROL!$C$42, 0.275, 0.275)*CHOOSE(CONTROL!$C$42, 30, 30))/1000000</f>
        <v>4.125</v>
      </c>
      <c r="W165" s="58">
        <f>(1000*CHOOSE(CONTROL!$C$42, 0.1146, 0.1146)*CHOOSE(CONTROL!$C$42, 121.5, 121.5)*CHOOSE(CONTROL!$C$42, 30, 30))/1000000</f>
        <v>0.417717</v>
      </c>
      <c r="X165" s="58">
        <f>(30*0.1790888*245000/1000000)+(30*0.2374*100000/1000000)</f>
        <v>2.0285026799999999</v>
      </c>
      <c r="Y165" s="58"/>
      <c r="Z165" s="10"/>
      <c r="AA165" s="57"/>
      <c r="AB165" s="51">
        <f>(B165*194.205+C165*267.466+D165*133.845+E165*53.484+F165*40+G165*185+H165*0+I165*100+J165*300)/(194.205+267.466+133.845+53.484+0+40+185+100+300)</f>
        <v>6.1153146631868127</v>
      </c>
      <c r="AC165" s="27">
        <f>(M165*'RAP TEMPLATE-GAS AVAILABILITY'!O164+N165*'RAP TEMPLATE-GAS AVAILABILITY'!P164+O165*'RAP TEMPLATE-GAS AVAILABILITY'!Q164+P165*'RAP TEMPLATE-GAS AVAILABILITY'!R164)/('RAP TEMPLATE-GAS AVAILABILITY'!O164+'RAP TEMPLATE-GAS AVAILABILITY'!P164+'RAP TEMPLATE-GAS AVAILABILITY'!Q164+'RAP TEMPLATE-GAS AVAILABILITY'!R164)</f>
        <v>6.0880625899280574</v>
      </c>
    </row>
    <row r="166" spans="1:29" ht="15.75" x14ac:dyDescent="0.25">
      <c r="A166" s="16">
        <v>45931</v>
      </c>
      <c r="B166" s="10">
        <f>CHOOSE(CONTROL!$C$42, 5.9728, 5.9728) * CHOOSE(CONTROL!$C$21, $C$9, 100%, $E$9)</f>
        <v>5.9728000000000003</v>
      </c>
      <c r="C166" s="10">
        <f>CHOOSE(CONTROL!$C$42, 5.978, 5.978) * CHOOSE(CONTROL!$C$21, $C$9, 100%, $E$9)</f>
        <v>5.9779999999999998</v>
      </c>
      <c r="D166" s="10">
        <f>CHOOSE(CONTROL!$C$42, 6.1754, 6.1754) * CHOOSE(CONTROL!$C$21, $C$9, 100%, $E$9)</f>
        <v>6.1753999999999998</v>
      </c>
      <c r="E166" s="10">
        <f>CHOOSE(CONTROL!$C$42, 6.2042, 6.2042) * CHOOSE(CONTROL!$C$21, $C$9, 100%, $E$9)</f>
        <v>6.2042000000000002</v>
      </c>
      <c r="F166" s="10">
        <f>CHOOSE(CONTROL!$C$42, 5.9417, 5.9417)*CHOOSE(CONTROL!$C$21, $C$9, 100%, $E$9)</f>
        <v>5.9417</v>
      </c>
      <c r="G166" s="10">
        <f>CHOOSE(CONTROL!$C$42, 5.9587, 5.9587)*CHOOSE(CONTROL!$C$21, $C$9, 100%, $E$9)</f>
        <v>5.9587000000000003</v>
      </c>
      <c r="H166" s="10">
        <f>CHOOSE(CONTROL!$C$42, 6.1947, 6.1947) * CHOOSE(CONTROL!$C$21, $C$9, 100%, $E$9)</f>
        <v>6.1947000000000001</v>
      </c>
      <c r="I166" s="10">
        <f>CHOOSE(CONTROL!$C$42, 5.9411, 5.9411)* CHOOSE(CONTROL!$C$21, $C$9, 100%, $E$9)</f>
        <v>5.9410999999999996</v>
      </c>
      <c r="J166" s="10">
        <f>CHOOSE(CONTROL!$C$42, 5.9347, 5.9347)* CHOOSE(CONTROL!$C$21, $C$9, 100%, $E$9)</f>
        <v>5.9347000000000003</v>
      </c>
      <c r="K166" s="54">
        <f>CHOOSE(CONTROL!$C$42, 5.9372, 5.9372) * CHOOSE(CONTROL!$C$21, $C$9, 100%, $E$9)</f>
        <v>5.9371999999999998</v>
      </c>
      <c r="L166" s="10">
        <f>CHOOSE(CONTROL!$C$42, 6.7817, 6.7817) * CHOOSE(CONTROL!$C$21, $C$9, 100%, $E$9)</f>
        <v>6.7816999999999998</v>
      </c>
      <c r="M166" s="10">
        <f>CHOOSE(CONTROL!$C$42, 5.8886, 5.8886) * CHOOSE(CONTROL!$C$21, $C$9, 100%, $E$9)</f>
        <v>5.8886000000000003</v>
      </c>
      <c r="N166" s="10">
        <f>CHOOSE(CONTROL!$C$42, 5.9054, 5.9054) * CHOOSE(CONTROL!$C$21, $C$9, 100%, $E$9)</f>
        <v>5.9054000000000002</v>
      </c>
      <c r="O166" s="10">
        <f>CHOOSE(CONTROL!$C$42, 6.146, 6.146) * CHOOSE(CONTROL!$C$21, $C$9, 100%, $E$9)</f>
        <v>6.1459999999999999</v>
      </c>
      <c r="P166" s="10">
        <f>CHOOSE(CONTROL!$C$42, 5.895, 5.895) * CHOOSE(CONTROL!$C$21, $C$9, 100%, $E$9)</f>
        <v>5.8949999999999996</v>
      </c>
      <c r="Q166" s="10">
        <f>CHOOSE(CONTROL!$C$42, 6.7413, 6.7413) * CHOOSE(CONTROL!$C$21, $C$9, 100%, $E$9)</f>
        <v>6.7412999999999998</v>
      </c>
      <c r="R166" s="10">
        <f>CHOOSE(CONTROL!$C$42, 7.3451, 7.3451) * CHOOSE(CONTROL!$C$21, $C$9, 100%, $E$9)</f>
        <v>7.3451000000000004</v>
      </c>
      <c r="S166" s="10">
        <f>CHOOSE(CONTROL!$C$42, 5.7976, 5.7976) * CHOOSE(CONTROL!$C$21, $C$9, 100%, $E$9)</f>
        <v>5.7976000000000001</v>
      </c>
      <c r="T166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66" s="58">
        <f>(1000*CHOOSE(CONTROL!$C$42, 695, 695)*CHOOSE(CONTROL!$C$42, 0.5599, 0.5599)*CHOOSE(CONTROL!$C$42, 31, 31))/1000000</f>
        <v>12.063045499999998</v>
      </c>
      <c r="V166" s="58">
        <f>(1000*CHOOSE(CONTROL!$C$42, 500, 500)*CHOOSE(CONTROL!$C$42, 0.275, 0.275)*CHOOSE(CONTROL!$C$42, 31, 31))/1000000</f>
        <v>4.2625000000000002</v>
      </c>
      <c r="W166" s="58">
        <f>(1000*CHOOSE(CONTROL!$C$42, 0.1146, 0.1146)*CHOOSE(CONTROL!$C$42, 121.5, 121.5)*CHOOSE(CONTROL!$C$42, 31, 31))/1000000</f>
        <v>0.43164089999999994</v>
      </c>
      <c r="X166" s="58">
        <f>(31*0.1790888*245000/1000000)+(31*0.2374*100000/1000000)</f>
        <v>2.0961194359999999</v>
      </c>
      <c r="Y166" s="58"/>
      <c r="Z166" s="10"/>
      <c r="AA166" s="57"/>
      <c r="AB166" s="51">
        <f>(B166*131.881+C166*277.167+D166*79.08+E166*125.872+F166*40+G166*185+H166*0+I166*100+J166*300)/(131.881+277.167+79.08+125.872+0+40+185+100+300)</f>
        <v>5.9955095699757868</v>
      </c>
      <c r="AC166" s="27">
        <f>(M166*'RAP TEMPLATE-GAS AVAILABILITY'!O165+N166*'RAP TEMPLATE-GAS AVAILABILITY'!P165+O166*'RAP TEMPLATE-GAS AVAILABILITY'!Q165+P166*'RAP TEMPLATE-GAS AVAILABILITY'!R165)/('RAP TEMPLATE-GAS AVAILABILITY'!O165+'RAP TEMPLATE-GAS AVAILABILITY'!P165+'RAP TEMPLATE-GAS AVAILABILITY'!Q165+'RAP TEMPLATE-GAS AVAILABILITY'!R165)</f>
        <v>5.9656086330935247</v>
      </c>
    </row>
    <row r="167" spans="1:29" ht="15.75" x14ac:dyDescent="0.25">
      <c r="A167" s="16">
        <v>45962</v>
      </c>
      <c r="B167" s="10">
        <f>CHOOSE(CONTROL!$C$42, 6.1296, 6.1296) * CHOOSE(CONTROL!$C$21, $C$9, 100%, $E$9)</f>
        <v>6.1295999999999999</v>
      </c>
      <c r="C167" s="10">
        <f>CHOOSE(CONTROL!$C$42, 6.1346, 6.1346) * CHOOSE(CONTROL!$C$21, $C$9, 100%, $E$9)</f>
        <v>6.1345999999999998</v>
      </c>
      <c r="D167" s="10">
        <f>CHOOSE(CONTROL!$C$42, 6.1642, 6.1642) * CHOOSE(CONTROL!$C$21, $C$9, 100%, $E$9)</f>
        <v>6.1642000000000001</v>
      </c>
      <c r="E167" s="10">
        <f>CHOOSE(CONTROL!$C$42, 6.198, 6.198) * CHOOSE(CONTROL!$C$21, $C$9, 100%, $E$9)</f>
        <v>6.1980000000000004</v>
      </c>
      <c r="F167" s="10">
        <f>CHOOSE(CONTROL!$C$42, 6.0964, 6.0964)*CHOOSE(CONTROL!$C$21, $C$9, 100%, $E$9)</f>
        <v>6.0964</v>
      </c>
      <c r="G167" s="10">
        <f>CHOOSE(CONTROL!$C$42, 6.1136, 6.1136)*CHOOSE(CONTROL!$C$21, $C$9, 100%, $E$9)</f>
        <v>6.1135999999999999</v>
      </c>
      <c r="H167" s="10">
        <f>CHOOSE(CONTROL!$C$42, 6.1872, 6.1872) * CHOOSE(CONTROL!$C$21, $C$9, 100%, $E$9)</f>
        <v>6.1871999999999998</v>
      </c>
      <c r="I167" s="10">
        <f>CHOOSE(CONTROL!$C$42, 6.0932, 6.0932)* CHOOSE(CONTROL!$C$21, $C$9, 100%, $E$9)</f>
        <v>6.0932000000000004</v>
      </c>
      <c r="J167" s="10">
        <f>CHOOSE(CONTROL!$C$42, 6.0894, 6.0894)* CHOOSE(CONTROL!$C$21, $C$9, 100%, $E$9)</f>
        <v>6.0894000000000004</v>
      </c>
      <c r="K167" s="54">
        <f>CHOOSE(CONTROL!$C$42, 6.0894, 6.0894) * CHOOSE(CONTROL!$C$21, $C$9, 100%, $E$9)</f>
        <v>6.0894000000000004</v>
      </c>
      <c r="L167" s="10">
        <f>CHOOSE(CONTROL!$C$42, 6.7742, 6.7742) * CHOOSE(CONTROL!$C$21, $C$9, 100%, $E$9)</f>
        <v>6.7742000000000004</v>
      </c>
      <c r="M167" s="10">
        <f>CHOOSE(CONTROL!$C$42, 6.0418, 6.0418) * CHOOSE(CONTROL!$C$21, $C$9, 100%, $E$9)</f>
        <v>6.0418000000000003</v>
      </c>
      <c r="N167" s="10">
        <f>CHOOSE(CONTROL!$C$42, 6.0588, 6.0588) * CHOOSE(CONTROL!$C$21, $C$9, 100%, $E$9)</f>
        <v>6.0587999999999997</v>
      </c>
      <c r="O167" s="10">
        <f>CHOOSE(CONTROL!$C$42, 6.1386, 6.1386) * CHOOSE(CONTROL!$C$21, $C$9, 100%, $E$9)</f>
        <v>6.1386000000000003</v>
      </c>
      <c r="P167" s="10">
        <f>CHOOSE(CONTROL!$C$42, 6.0456, 6.0456) * CHOOSE(CONTROL!$C$21, $C$9, 100%, $E$9)</f>
        <v>6.0456000000000003</v>
      </c>
      <c r="Q167" s="10">
        <f>CHOOSE(CONTROL!$C$42, 6.7339, 6.7339) * CHOOSE(CONTROL!$C$21, $C$9, 100%, $E$9)</f>
        <v>6.7339000000000002</v>
      </c>
      <c r="R167" s="10">
        <f>CHOOSE(CONTROL!$C$42, 7.3377, 7.3377) * CHOOSE(CONTROL!$C$21, $C$9, 100%, $E$9)</f>
        <v>7.3376999999999999</v>
      </c>
      <c r="S167" s="10">
        <f>CHOOSE(CONTROL!$C$42, 5.9504, 5.9504) * CHOOSE(CONTROL!$C$21, $C$9, 100%, $E$9)</f>
        <v>5.9504000000000001</v>
      </c>
      <c r="T167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67" s="58">
        <f>(1000*CHOOSE(CONTROL!$C$42, 695, 695)*CHOOSE(CONTROL!$C$42, 0.5599, 0.5599)*CHOOSE(CONTROL!$C$42, 30, 30))/1000000</f>
        <v>11.673914999999997</v>
      </c>
      <c r="V167" s="58">
        <f>(1000*CHOOSE(CONTROL!$C$42, 500, 500)*CHOOSE(CONTROL!$C$42, 0.275, 0.275)*CHOOSE(CONTROL!$C$42, 30, 30))/1000000</f>
        <v>4.125</v>
      </c>
      <c r="W167" s="58">
        <f>(1000*CHOOSE(CONTROL!$C$42, 0.1146, 0.1146)*CHOOSE(CONTROL!$C$42, 121.5, 121.5)*CHOOSE(CONTROL!$C$42, 30, 30))/1000000</f>
        <v>0.417717</v>
      </c>
      <c r="X167" s="58">
        <f>(30*0.1790888*100000/1000000)+(30*0.2374*100000/1000000)</f>
        <v>1.2494664</v>
      </c>
      <c r="Y167" s="58"/>
      <c r="Z167" s="10"/>
      <c r="AA167" s="57"/>
      <c r="AB167" s="51">
        <f>(B167*122.58+C167*297.941+D167*89.177+E167*40.302+F167*40+G167*160+H167*0+I167*100+J167*300)/(122.58+297.941+89.177+40.302+0+40+160+100+300)</f>
        <v>6.1189425095652163</v>
      </c>
      <c r="AC167" s="27">
        <f>(M167*'RAP TEMPLATE-GAS AVAILABILITY'!O166+N167*'RAP TEMPLATE-GAS AVAILABILITY'!P166+O167*'RAP TEMPLATE-GAS AVAILABILITY'!Q166+P167*'RAP TEMPLATE-GAS AVAILABILITY'!R166)/('RAP TEMPLATE-GAS AVAILABILITY'!O166+'RAP TEMPLATE-GAS AVAILABILITY'!P166+'RAP TEMPLATE-GAS AVAILABILITY'!Q166+'RAP TEMPLATE-GAS AVAILABILITY'!R166)</f>
        <v>6.0871985611510793</v>
      </c>
    </row>
    <row r="168" spans="1:29" ht="15.75" x14ac:dyDescent="0.25">
      <c r="A168" s="16">
        <v>45992</v>
      </c>
      <c r="B168" s="10">
        <f>CHOOSE(CONTROL!$C$42, 6.5474, 6.5474) * CHOOSE(CONTROL!$C$21, $C$9, 100%, $E$9)</f>
        <v>6.5473999999999997</v>
      </c>
      <c r="C168" s="10">
        <f>CHOOSE(CONTROL!$C$42, 6.5523, 6.5523) * CHOOSE(CONTROL!$C$21, $C$9, 100%, $E$9)</f>
        <v>6.5522999999999998</v>
      </c>
      <c r="D168" s="10">
        <f>CHOOSE(CONTROL!$C$42, 6.5819, 6.5819) * CHOOSE(CONTROL!$C$21, $C$9, 100%, $E$9)</f>
        <v>6.5819000000000001</v>
      </c>
      <c r="E168" s="10">
        <f>CHOOSE(CONTROL!$C$42, 6.6157, 6.6157) * CHOOSE(CONTROL!$C$21, $C$9, 100%, $E$9)</f>
        <v>6.6157000000000004</v>
      </c>
      <c r="F168" s="10">
        <f>CHOOSE(CONTROL!$C$42, 6.5156, 6.5156)*CHOOSE(CONTROL!$C$21, $C$9, 100%, $E$9)</f>
        <v>6.5156000000000001</v>
      </c>
      <c r="G168" s="10">
        <f>CHOOSE(CONTROL!$C$42, 6.5331, 6.5331)*CHOOSE(CONTROL!$C$21, $C$9, 100%, $E$9)</f>
        <v>6.5331000000000001</v>
      </c>
      <c r="H168" s="10">
        <f>CHOOSE(CONTROL!$C$42, 6.6049, 6.6049) * CHOOSE(CONTROL!$C$21, $C$9, 100%, $E$9)</f>
        <v>6.6048999999999998</v>
      </c>
      <c r="I168" s="10">
        <f>CHOOSE(CONTROL!$C$42, 6.511, 6.511)* CHOOSE(CONTROL!$C$21, $C$9, 100%, $E$9)</f>
        <v>6.5110000000000001</v>
      </c>
      <c r="J168" s="10">
        <f>CHOOSE(CONTROL!$C$42, 6.5086, 6.5086)* CHOOSE(CONTROL!$C$21, $C$9, 100%, $E$9)</f>
        <v>6.5086000000000004</v>
      </c>
      <c r="K168" s="54">
        <f>CHOOSE(CONTROL!$C$42, 6.5071, 6.5071) * CHOOSE(CONTROL!$C$21, $C$9, 100%, $E$9)</f>
        <v>6.5071000000000003</v>
      </c>
      <c r="L168" s="10">
        <f>CHOOSE(CONTROL!$C$42, 7.1919, 7.1919) * CHOOSE(CONTROL!$C$21, $C$9, 100%, $E$9)</f>
        <v>7.1919000000000004</v>
      </c>
      <c r="M168" s="10">
        <f>CHOOSE(CONTROL!$C$42, 6.4567, 6.4567) * CHOOSE(CONTROL!$C$21, $C$9, 100%, $E$9)</f>
        <v>6.4566999999999997</v>
      </c>
      <c r="N168" s="10">
        <f>CHOOSE(CONTROL!$C$42, 6.474, 6.474) * CHOOSE(CONTROL!$C$21, $C$9, 100%, $E$9)</f>
        <v>6.4740000000000002</v>
      </c>
      <c r="O168" s="10">
        <f>CHOOSE(CONTROL!$C$42, 6.5521, 6.5521) * CHOOSE(CONTROL!$C$21, $C$9, 100%, $E$9)</f>
        <v>6.5521000000000003</v>
      </c>
      <c r="P168" s="10">
        <f>CHOOSE(CONTROL!$C$42, 6.4591, 6.4591) * CHOOSE(CONTROL!$C$21, $C$9, 100%, $E$9)</f>
        <v>6.4591000000000003</v>
      </c>
      <c r="Q168" s="10">
        <f>CHOOSE(CONTROL!$C$42, 7.1474, 7.1474) * CHOOSE(CONTROL!$C$21, $C$9, 100%, $E$9)</f>
        <v>7.1474000000000002</v>
      </c>
      <c r="R168" s="10">
        <f>CHOOSE(CONTROL!$C$42, 7.7522, 7.7522) * CHOOSE(CONTROL!$C$21, $C$9, 100%, $E$9)</f>
        <v>7.7522000000000002</v>
      </c>
      <c r="S168" s="10">
        <f>CHOOSE(CONTROL!$C$42, 6.356, 6.356) * CHOOSE(CONTROL!$C$21, $C$9, 100%, $E$9)</f>
        <v>6.3559999999999999</v>
      </c>
      <c r="T168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68" s="58">
        <f>(1000*CHOOSE(CONTROL!$C$42, 695, 695)*CHOOSE(CONTROL!$C$42, 0.5599, 0.5599)*CHOOSE(CONTROL!$C$42, 31, 31))/1000000</f>
        <v>12.063045499999998</v>
      </c>
      <c r="V168" s="58">
        <f>(1000*CHOOSE(CONTROL!$C$42, 500, 500)*CHOOSE(CONTROL!$C$42, 0.275, 0.275)*CHOOSE(CONTROL!$C$42, 31, 31))/1000000</f>
        <v>4.2625000000000002</v>
      </c>
      <c r="W168" s="58">
        <f>(1000*CHOOSE(CONTROL!$C$42, 0.1146, 0.1146)*CHOOSE(CONTROL!$C$42, 121.5, 121.5)*CHOOSE(CONTROL!$C$42, 31, 31))/1000000</f>
        <v>0.43164089999999994</v>
      </c>
      <c r="X168" s="58">
        <f>(31*0.1790888*100000/1000000)+(31*0.2374*100000/1000000)</f>
        <v>1.2911152800000001</v>
      </c>
      <c r="Y168" s="58"/>
      <c r="Z168" s="10"/>
      <c r="AA168" s="57"/>
      <c r="AB168" s="51">
        <f>(B168*122.58+C168*297.941+D168*89.177+E168*40.302+F168*40+G168*160+H168*0+I168*100+J168*300)/(122.58+297.941+89.177+40.302+0+40+160+100+300)</f>
        <v>6.5373557773913049</v>
      </c>
      <c r="AC168" s="27">
        <f>(M168*'RAP TEMPLATE-GAS AVAILABILITY'!O167+N168*'RAP TEMPLATE-GAS AVAILABILITY'!P167+O168*'RAP TEMPLATE-GAS AVAILABILITY'!Q167+P168*'RAP TEMPLATE-GAS AVAILABILITY'!R167)/('RAP TEMPLATE-GAS AVAILABILITY'!O167+'RAP TEMPLATE-GAS AVAILABILITY'!P167+'RAP TEMPLATE-GAS AVAILABILITY'!Q167+'RAP TEMPLATE-GAS AVAILABILITY'!R167)</f>
        <v>6.5012798561151079</v>
      </c>
    </row>
    <row r="169" spans="1:29" ht="15.75" x14ac:dyDescent="0.25">
      <c r="A169" s="16">
        <v>46023</v>
      </c>
      <c r="B169" s="10">
        <f>CHOOSE(CONTROL!$C$42, 7.0383, 7.0383) * CHOOSE(CONTROL!$C$21, $C$9, 100%, $E$9)</f>
        <v>7.0382999999999996</v>
      </c>
      <c r="C169" s="10">
        <f>CHOOSE(CONTROL!$C$42, 7.0433, 7.0433) * CHOOSE(CONTROL!$C$21, $C$9, 100%, $E$9)</f>
        <v>7.0433000000000003</v>
      </c>
      <c r="D169" s="10">
        <f>CHOOSE(CONTROL!$C$42, 7.0935, 7.0935) * CHOOSE(CONTROL!$C$21, $C$9, 100%, $E$9)</f>
        <v>7.0934999999999997</v>
      </c>
      <c r="E169" s="10">
        <f>CHOOSE(CONTROL!$C$42, 7.1273, 7.1273) * CHOOSE(CONTROL!$C$21, $C$9, 100%, $E$9)</f>
        <v>7.1273</v>
      </c>
      <c r="F169" s="10">
        <f>CHOOSE(CONTROL!$C$42, 7.0037, 7.0037)*CHOOSE(CONTROL!$C$21, $C$9, 100%, $E$9)</f>
        <v>7.0037000000000003</v>
      </c>
      <c r="G169" s="10">
        <f>CHOOSE(CONTROL!$C$42, 7.0213, 7.0213)*CHOOSE(CONTROL!$C$21, $C$9, 100%, $E$9)</f>
        <v>7.0213000000000001</v>
      </c>
      <c r="H169" s="10">
        <f>CHOOSE(CONTROL!$C$42, 7.1165, 7.1165) * CHOOSE(CONTROL!$C$21, $C$9, 100%, $E$9)</f>
        <v>7.1165000000000003</v>
      </c>
      <c r="I169" s="10">
        <f>CHOOSE(CONTROL!$C$42, 7.0122, 7.0122)* CHOOSE(CONTROL!$C$21, $C$9, 100%, $E$9)</f>
        <v>7.0122</v>
      </c>
      <c r="J169" s="10">
        <f>CHOOSE(CONTROL!$C$42, 6.9967, 6.9967)* CHOOSE(CONTROL!$C$21, $C$9, 100%, $E$9)</f>
        <v>6.9966999999999997</v>
      </c>
      <c r="K169" s="54">
        <f>CHOOSE(CONTROL!$C$42, 7.0083, 7.0083) * CHOOSE(CONTROL!$C$21, $C$9, 100%, $E$9)</f>
        <v>7.0083000000000002</v>
      </c>
      <c r="L169" s="10">
        <f>CHOOSE(CONTROL!$C$42, 7.7035, 7.7035) * CHOOSE(CONTROL!$C$21, $C$9, 100%, $E$9)</f>
        <v>7.7035</v>
      </c>
      <c r="M169" s="10">
        <f>CHOOSE(CONTROL!$C$42, 6.9399, 6.9399) * CHOOSE(CONTROL!$C$21, $C$9, 100%, $E$9)</f>
        <v>6.9398999999999997</v>
      </c>
      <c r="N169" s="10">
        <f>CHOOSE(CONTROL!$C$42, 6.9573, 6.9573) * CHOOSE(CONTROL!$C$21, $C$9, 100%, $E$9)</f>
        <v>6.9573</v>
      </c>
      <c r="O169" s="10">
        <f>CHOOSE(CONTROL!$C$42, 7.0585, 7.0585) * CHOOSE(CONTROL!$C$21, $C$9, 100%, $E$9)</f>
        <v>7.0585000000000004</v>
      </c>
      <c r="P169" s="10">
        <f>CHOOSE(CONTROL!$C$42, 6.9553, 6.9553) * CHOOSE(CONTROL!$C$21, $C$9, 100%, $E$9)</f>
        <v>6.9553000000000003</v>
      </c>
      <c r="Q169" s="10">
        <f>CHOOSE(CONTROL!$C$42, 7.6538, 7.6538) * CHOOSE(CONTROL!$C$21, $C$9, 100%, $E$9)</f>
        <v>7.6538000000000004</v>
      </c>
      <c r="R169" s="10">
        <f>CHOOSE(CONTROL!$C$42, 8.2599, 8.2599) * CHOOSE(CONTROL!$C$21, $C$9, 100%, $E$9)</f>
        <v>8.2599</v>
      </c>
      <c r="S169" s="10">
        <f>CHOOSE(CONTROL!$C$42, 6.8328, 6.8328) * CHOOSE(CONTROL!$C$21, $C$9, 100%, $E$9)</f>
        <v>6.8327999999999998</v>
      </c>
      <c r="T169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69" s="58">
        <f>(1000*CHOOSE(CONTROL!$C$42, 695, 695)*CHOOSE(CONTROL!$C$42, 0.5599, 0.5599)*CHOOSE(CONTROL!$C$42, 31, 31))/1000000</f>
        <v>12.063045499999998</v>
      </c>
      <c r="V169" s="58">
        <f>(1000*CHOOSE(CONTROL!$C$42, 500, 500)*CHOOSE(CONTROL!$C$42, 0.275, 0.275)*CHOOSE(CONTROL!$C$42, 31, 31))/1000000</f>
        <v>4.2625000000000002</v>
      </c>
      <c r="W169" s="58">
        <f>(1000*CHOOSE(CONTROL!$C$42, 0.1146, 0.1146)*CHOOSE(CONTROL!$C$42, 121.5, 121.5)*CHOOSE(CONTROL!$C$42, 31, 31))/1000000</f>
        <v>0.43164089999999994</v>
      </c>
      <c r="X169" s="58">
        <f>(31*0.1790888*100000/1000000)+(31*0.2374*100000/1000000)</f>
        <v>1.2911152800000001</v>
      </c>
      <c r="Y169" s="58"/>
      <c r="Z169" s="10"/>
      <c r="AA169" s="57"/>
      <c r="AB169" s="51">
        <f>(B169*122.58+C169*297.941+D169*89.177+E169*40.302+F169*40+G169*160+H169*0+I169*100+J169*300)/(122.58+297.941+89.177+40.302+0+40+160+100+300)</f>
        <v>7.0303044812173905</v>
      </c>
      <c r="AC169" s="27">
        <f>(M169*'RAP TEMPLATE-GAS AVAILABILITY'!O168+N169*'RAP TEMPLATE-GAS AVAILABILITY'!P168+O169*'RAP TEMPLATE-GAS AVAILABILITY'!Q168+P169*'RAP TEMPLATE-GAS AVAILABILITY'!R168)/('RAP TEMPLATE-GAS AVAILABILITY'!O168+'RAP TEMPLATE-GAS AVAILABILITY'!P168+'RAP TEMPLATE-GAS AVAILABILITY'!Q168+'RAP TEMPLATE-GAS AVAILABILITY'!R168)</f>
        <v>6.996871223021583</v>
      </c>
    </row>
    <row r="170" spans="1:29" ht="15.75" x14ac:dyDescent="0.25">
      <c r="A170" s="16">
        <v>46054</v>
      </c>
      <c r="B170" s="10">
        <f>CHOOSE(CONTROL!$C$42, 7.1636, 7.1636) * CHOOSE(CONTROL!$C$21, $C$9, 100%, $E$9)</f>
        <v>7.1635999999999997</v>
      </c>
      <c r="C170" s="10">
        <f>CHOOSE(CONTROL!$C$42, 7.1685, 7.1685) * CHOOSE(CONTROL!$C$21, $C$9, 100%, $E$9)</f>
        <v>7.1684999999999999</v>
      </c>
      <c r="D170" s="10">
        <f>CHOOSE(CONTROL!$C$42, 7.229, 7.229) * CHOOSE(CONTROL!$C$21, $C$9, 100%, $E$9)</f>
        <v>7.2290000000000001</v>
      </c>
      <c r="E170" s="10">
        <f>CHOOSE(CONTROL!$C$42, 7.2628, 7.2628) * CHOOSE(CONTROL!$C$21, $C$9, 100%, $E$9)</f>
        <v>7.2628000000000004</v>
      </c>
      <c r="F170" s="10">
        <f>CHOOSE(CONTROL!$C$42, 7.1568, 7.1568)*CHOOSE(CONTROL!$C$21, $C$9, 100%, $E$9)</f>
        <v>7.1567999999999996</v>
      </c>
      <c r="G170" s="10">
        <f>CHOOSE(CONTROL!$C$42, 7.1741, 7.1741)*CHOOSE(CONTROL!$C$21, $C$9, 100%, $E$9)</f>
        <v>7.1741000000000001</v>
      </c>
      <c r="H170" s="10">
        <f>CHOOSE(CONTROL!$C$42, 7.252, 7.252) * CHOOSE(CONTROL!$C$21, $C$9, 100%, $E$9)</f>
        <v>7.2519999999999998</v>
      </c>
      <c r="I170" s="10">
        <f>CHOOSE(CONTROL!$C$42, 7.1503, 7.1503)* CHOOSE(CONTROL!$C$21, $C$9, 100%, $E$9)</f>
        <v>7.1502999999999997</v>
      </c>
      <c r="J170" s="10">
        <f>CHOOSE(CONTROL!$C$42, 7.1498, 7.1498)* CHOOSE(CONTROL!$C$21, $C$9, 100%, $E$9)</f>
        <v>7.1497999999999999</v>
      </c>
      <c r="K170" s="54">
        <f>CHOOSE(CONTROL!$C$42, 7.1465, 7.1465) * CHOOSE(CONTROL!$C$21, $C$9, 100%, $E$9)</f>
        <v>7.1464999999999996</v>
      </c>
      <c r="L170" s="10">
        <f>CHOOSE(CONTROL!$C$42, 7.839, 7.839) * CHOOSE(CONTROL!$C$21, $C$9, 100%, $E$9)</f>
        <v>7.8390000000000004</v>
      </c>
      <c r="M170" s="10">
        <f>CHOOSE(CONTROL!$C$42, 7.0915, 7.0915) * CHOOSE(CONTROL!$C$21, $C$9, 100%, $E$9)</f>
        <v>7.0914999999999999</v>
      </c>
      <c r="N170" s="10">
        <f>CHOOSE(CONTROL!$C$42, 7.1086, 7.1086) * CHOOSE(CONTROL!$C$21, $C$9, 100%, $E$9)</f>
        <v>7.1086</v>
      </c>
      <c r="O170" s="10">
        <f>CHOOSE(CONTROL!$C$42, 7.1926, 7.1926) * CHOOSE(CONTROL!$C$21, $C$9, 100%, $E$9)</f>
        <v>7.1925999999999997</v>
      </c>
      <c r="P170" s="10">
        <f>CHOOSE(CONTROL!$C$42, 7.0921, 7.0921) * CHOOSE(CONTROL!$C$21, $C$9, 100%, $E$9)</f>
        <v>7.0921000000000003</v>
      </c>
      <c r="Q170" s="10">
        <f>CHOOSE(CONTROL!$C$42, 7.7879, 7.7879) * CHOOSE(CONTROL!$C$21, $C$9, 100%, $E$9)</f>
        <v>7.7878999999999996</v>
      </c>
      <c r="R170" s="10">
        <f>CHOOSE(CONTROL!$C$42, 8.3944, 8.3944) * CHOOSE(CONTROL!$C$21, $C$9, 100%, $E$9)</f>
        <v>8.3943999999999992</v>
      </c>
      <c r="S170" s="10">
        <f>CHOOSE(CONTROL!$C$42, 6.9544, 6.9544) * CHOOSE(CONTROL!$C$21, $C$9, 100%, $E$9)</f>
        <v>6.9543999999999997</v>
      </c>
      <c r="T170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170" s="58">
        <f>(1000*CHOOSE(CONTROL!$C$42, 695, 695)*CHOOSE(CONTROL!$C$42, 0.5599, 0.5599)*CHOOSE(CONTROL!$C$42, 28, 28))/1000000</f>
        <v>10.895653999999999</v>
      </c>
      <c r="V170" s="58">
        <f>(1000*CHOOSE(CONTROL!$C$42, 500, 500)*CHOOSE(CONTROL!$C$42, 0.275, 0.275)*CHOOSE(CONTROL!$C$42, 28, 28))/1000000</f>
        <v>3.85</v>
      </c>
      <c r="W170" s="58">
        <f>(1000*CHOOSE(CONTROL!$C$42, 0.1146, 0.1146)*CHOOSE(CONTROL!$C$42, 121.5, 121.5)*CHOOSE(CONTROL!$C$42, 28, 28))/1000000</f>
        <v>0.38986920000000003</v>
      </c>
      <c r="X170" s="58">
        <f>(28*0.1790888*100000/1000000)+(28*0.2374*100000/1000000)</f>
        <v>1.16616864</v>
      </c>
      <c r="Y170" s="58"/>
      <c r="Z170" s="10"/>
      <c r="AA170" s="57"/>
      <c r="AB170" s="51">
        <f>(B170*122.58+C170*297.941+D170*89.177+E170*40.302+F170*40+G170*160+H170*0+I170*100+J170*300)/(122.58+297.941+89.177+40.302+0+40+160+100+300)</f>
        <v>7.1698852566086959</v>
      </c>
      <c r="AC170" s="27">
        <f>(M170*'RAP TEMPLATE-GAS AVAILABILITY'!O169+N170*'RAP TEMPLATE-GAS AVAILABILITY'!P169+O170*'RAP TEMPLATE-GAS AVAILABILITY'!Q169+P170*'RAP TEMPLATE-GAS AVAILABILITY'!R169)/('RAP TEMPLATE-GAS AVAILABILITY'!O169+'RAP TEMPLATE-GAS AVAILABILITY'!P169+'RAP TEMPLATE-GAS AVAILABILITY'!Q169+'RAP TEMPLATE-GAS AVAILABILITY'!R169)</f>
        <v>7.1383928057553954</v>
      </c>
    </row>
    <row r="171" spans="1:29" ht="15.75" x14ac:dyDescent="0.25">
      <c r="A171" s="16">
        <v>46082</v>
      </c>
      <c r="B171" s="10">
        <f>CHOOSE(CONTROL!$C$42, 6.9603, 6.9603) * CHOOSE(CONTROL!$C$21, $C$9, 100%, $E$9)</f>
        <v>6.9603000000000002</v>
      </c>
      <c r="C171" s="10">
        <f>CHOOSE(CONTROL!$C$42, 6.9652, 6.9652) * CHOOSE(CONTROL!$C$21, $C$9, 100%, $E$9)</f>
        <v>6.9652000000000003</v>
      </c>
      <c r="D171" s="10">
        <f>CHOOSE(CONTROL!$C$42, 7.0257, 7.0257) * CHOOSE(CONTROL!$C$21, $C$9, 100%, $E$9)</f>
        <v>7.0256999999999996</v>
      </c>
      <c r="E171" s="10">
        <f>CHOOSE(CONTROL!$C$42, 7.0595, 7.0595) * CHOOSE(CONTROL!$C$21, $C$9, 100%, $E$9)</f>
        <v>7.0594999999999999</v>
      </c>
      <c r="F171" s="10">
        <f>CHOOSE(CONTROL!$C$42, 6.948, 6.948)*CHOOSE(CONTROL!$C$21, $C$9, 100%, $E$9)</f>
        <v>6.9480000000000004</v>
      </c>
      <c r="G171" s="10">
        <f>CHOOSE(CONTROL!$C$42, 6.9652, 6.9652)*CHOOSE(CONTROL!$C$21, $C$9, 100%, $E$9)</f>
        <v>6.9652000000000003</v>
      </c>
      <c r="H171" s="10">
        <f>CHOOSE(CONTROL!$C$42, 7.0487, 7.0487) * CHOOSE(CONTROL!$C$21, $C$9, 100%, $E$9)</f>
        <v>7.0487000000000002</v>
      </c>
      <c r="I171" s="10">
        <f>CHOOSE(CONTROL!$C$42, 6.9342, 6.9342)* CHOOSE(CONTROL!$C$21, $C$9, 100%, $E$9)</f>
        <v>6.9341999999999997</v>
      </c>
      <c r="J171" s="10">
        <f>CHOOSE(CONTROL!$C$42, 6.941, 6.941)* CHOOSE(CONTROL!$C$21, $C$9, 100%, $E$9)</f>
        <v>6.9409999999999998</v>
      </c>
      <c r="K171" s="54">
        <f>CHOOSE(CONTROL!$C$42, 6.9303, 6.9303) * CHOOSE(CONTROL!$C$21, $C$9, 100%, $E$9)</f>
        <v>6.9302999999999999</v>
      </c>
      <c r="L171" s="10">
        <f>CHOOSE(CONTROL!$C$42, 7.6357, 7.6357) * CHOOSE(CONTROL!$C$21, $C$9, 100%, $E$9)</f>
        <v>7.6356999999999999</v>
      </c>
      <c r="M171" s="10">
        <f>CHOOSE(CONTROL!$C$42, 6.8848, 6.8848) * CHOOSE(CONTROL!$C$21, $C$9, 100%, $E$9)</f>
        <v>6.8848000000000003</v>
      </c>
      <c r="N171" s="10">
        <f>CHOOSE(CONTROL!$C$42, 6.9018, 6.9018) * CHOOSE(CONTROL!$C$21, $C$9, 100%, $E$9)</f>
        <v>6.9017999999999997</v>
      </c>
      <c r="O171" s="10">
        <f>CHOOSE(CONTROL!$C$42, 6.9914, 6.9914) * CHOOSE(CONTROL!$C$21, $C$9, 100%, $E$9)</f>
        <v>6.9913999999999996</v>
      </c>
      <c r="P171" s="10">
        <f>CHOOSE(CONTROL!$C$42, 6.8781, 6.8781) * CHOOSE(CONTROL!$C$21, $C$9, 100%, $E$9)</f>
        <v>6.8780999999999999</v>
      </c>
      <c r="Q171" s="10">
        <f>CHOOSE(CONTROL!$C$42, 7.5867, 7.5867) * CHOOSE(CONTROL!$C$21, $C$9, 100%, $E$9)</f>
        <v>7.5867000000000004</v>
      </c>
      <c r="R171" s="10">
        <f>CHOOSE(CONTROL!$C$42, 8.1927, 8.1927) * CHOOSE(CONTROL!$C$21, $C$9, 100%, $E$9)</f>
        <v>8.1927000000000003</v>
      </c>
      <c r="S171" s="10">
        <f>CHOOSE(CONTROL!$C$42, 6.757, 6.757) * CHOOSE(CONTROL!$C$21, $C$9, 100%, $E$9)</f>
        <v>6.7569999999999997</v>
      </c>
      <c r="T171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71" s="58">
        <f>(1000*CHOOSE(CONTROL!$C$42, 695, 695)*CHOOSE(CONTROL!$C$42, 0.5599, 0.5599)*CHOOSE(CONTROL!$C$42, 31, 31))/1000000</f>
        <v>12.063045499999998</v>
      </c>
      <c r="V171" s="58">
        <f>(1000*CHOOSE(CONTROL!$C$42, 500, 500)*CHOOSE(CONTROL!$C$42, 0.275, 0.275)*CHOOSE(CONTROL!$C$42, 31, 31))/1000000</f>
        <v>4.2625000000000002</v>
      </c>
      <c r="W171" s="58">
        <f>(1000*CHOOSE(CONTROL!$C$42, 0.1146, 0.1146)*CHOOSE(CONTROL!$C$42, 121.5, 121.5)*CHOOSE(CONTROL!$C$42, 31, 31))/1000000</f>
        <v>0.43164089999999994</v>
      </c>
      <c r="X171" s="58">
        <f>(31*0.1790888*100000/1000000)+(31*0.2374*100000/1000000)</f>
        <v>1.2911152800000001</v>
      </c>
      <c r="Y171" s="58"/>
      <c r="Z171" s="10"/>
      <c r="AA171" s="57"/>
      <c r="AB171" s="51">
        <f>(B171*122.58+C171*297.941+D171*89.177+E171*40.302+F171*40+G171*160+H171*0+I171*100+J171*300)/(122.58+297.941+89.177+40.302+0+40+160+100+300)</f>
        <v>6.9630669957391298</v>
      </c>
      <c r="AC171" s="27">
        <f>(M171*'RAP TEMPLATE-GAS AVAILABILITY'!O170+N171*'RAP TEMPLATE-GAS AVAILABILITY'!P170+O171*'RAP TEMPLATE-GAS AVAILABILITY'!Q170+P171*'RAP TEMPLATE-GAS AVAILABILITY'!R170)/('RAP TEMPLATE-GAS AVAILABILITY'!O170+'RAP TEMPLATE-GAS AVAILABILITY'!P170+'RAP TEMPLATE-GAS AVAILABILITY'!Q170+'RAP TEMPLATE-GAS AVAILABILITY'!R170)</f>
        <v>6.9331294964028771</v>
      </c>
    </row>
    <row r="172" spans="1:29" ht="15.75" x14ac:dyDescent="0.25">
      <c r="A172" s="16">
        <v>46113</v>
      </c>
      <c r="B172" s="10">
        <f>CHOOSE(CONTROL!$C$42, 6.9406, 6.9406) * CHOOSE(CONTROL!$C$21, $C$9, 100%, $E$9)</f>
        <v>6.9405999999999999</v>
      </c>
      <c r="C172" s="10">
        <f>CHOOSE(CONTROL!$C$42, 6.945, 6.945) * CHOOSE(CONTROL!$C$21, $C$9, 100%, $E$9)</f>
        <v>6.9450000000000003</v>
      </c>
      <c r="D172" s="10">
        <f>CHOOSE(CONTROL!$C$42, 7.1406, 7.1406) * CHOOSE(CONTROL!$C$21, $C$9, 100%, $E$9)</f>
        <v>7.1406000000000001</v>
      </c>
      <c r="E172" s="10">
        <f>CHOOSE(CONTROL!$C$42, 7.1724, 7.1724) * CHOOSE(CONTROL!$C$21, $C$9, 100%, $E$9)</f>
        <v>7.1723999999999997</v>
      </c>
      <c r="F172" s="10">
        <f>CHOOSE(CONTROL!$C$42, 6.9084, 6.9084)*CHOOSE(CONTROL!$C$21, $C$9, 100%, $E$9)</f>
        <v>6.9084000000000003</v>
      </c>
      <c r="G172" s="10">
        <f>CHOOSE(CONTROL!$C$42, 6.9252, 6.9252)*CHOOSE(CONTROL!$C$21, $C$9, 100%, $E$9)</f>
        <v>6.9252000000000002</v>
      </c>
      <c r="H172" s="10">
        <f>CHOOSE(CONTROL!$C$42, 7.1621, 7.1621) * CHOOSE(CONTROL!$C$21, $C$9, 100%, $E$9)</f>
        <v>7.1620999999999997</v>
      </c>
      <c r="I172" s="10">
        <f>CHOOSE(CONTROL!$C$42, 6.9086, 6.9086)* CHOOSE(CONTROL!$C$21, $C$9, 100%, $E$9)</f>
        <v>6.9085999999999999</v>
      </c>
      <c r="J172" s="10">
        <f>CHOOSE(CONTROL!$C$42, 6.9014, 6.9014)* CHOOSE(CONTROL!$C$21, $C$9, 100%, $E$9)</f>
        <v>6.9013999999999998</v>
      </c>
      <c r="K172" s="54">
        <f>CHOOSE(CONTROL!$C$42, 6.9047, 6.9047) * CHOOSE(CONTROL!$C$21, $C$9, 100%, $E$9)</f>
        <v>6.9047000000000001</v>
      </c>
      <c r="L172" s="10">
        <f>CHOOSE(CONTROL!$C$42, 7.7491, 7.7491) * CHOOSE(CONTROL!$C$21, $C$9, 100%, $E$9)</f>
        <v>7.7491000000000003</v>
      </c>
      <c r="M172" s="10">
        <f>CHOOSE(CONTROL!$C$42, 6.8456, 6.8456) * CHOOSE(CONTROL!$C$21, $C$9, 100%, $E$9)</f>
        <v>6.8456000000000001</v>
      </c>
      <c r="N172" s="10">
        <f>CHOOSE(CONTROL!$C$42, 6.8622, 6.8622) * CHOOSE(CONTROL!$C$21, $C$9, 100%, $E$9)</f>
        <v>6.8621999999999996</v>
      </c>
      <c r="O172" s="10">
        <f>CHOOSE(CONTROL!$C$42, 7.1037, 7.1037) * CHOOSE(CONTROL!$C$21, $C$9, 100%, $E$9)</f>
        <v>7.1036999999999999</v>
      </c>
      <c r="P172" s="10">
        <f>CHOOSE(CONTROL!$C$42, 6.8527, 6.8527) * CHOOSE(CONTROL!$C$21, $C$9, 100%, $E$9)</f>
        <v>6.8526999999999996</v>
      </c>
      <c r="Q172" s="10">
        <f>CHOOSE(CONTROL!$C$42, 7.699, 7.699) * CHOOSE(CONTROL!$C$21, $C$9, 100%, $E$9)</f>
        <v>7.6989999999999998</v>
      </c>
      <c r="R172" s="10">
        <f>CHOOSE(CONTROL!$C$42, 8.3052, 8.3052) * CHOOSE(CONTROL!$C$21, $C$9, 100%, $E$9)</f>
        <v>8.3051999999999992</v>
      </c>
      <c r="S172" s="10">
        <f>CHOOSE(CONTROL!$C$42, 6.7371, 6.7371) * CHOOSE(CONTROL!$C$21, $C$9, 100%, $E$9)</f>
        <v>6.7370999999999999</v>
      </c>
      <c r="T172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72" s="58">
        <f>(1000*CHOOSE(CONTROL!$C$42, 695, 695)*CHOOSE(CONTROL!$C$42, 0.5599, 0.5599)*CHOOSE(CONTROL!$C$42, 30, 30))/1000000</f>
        <v>11.673914999999997</v>
      </c>
      <c r="V172" s="58">
        <f>(1000*CHOOSE(CONTROL!$C$42, 500, 500)*CHOOSE(CONTROL!$C$42, 0.275, 0.275)*CHOOSE(CONTROL!$C$42, 30, 30))/1000000</f>
        <v>4.125</v>
      </c>
      <c r="W172" s="58">
        <f>(1000*CHOOSE(CONTROL!$C$42, 0.1146, 0.1146)*CHOOSE(CONTROL!$C$42, 121.5, 121.5)*CHOOSE(CONTROL!$C$42, 30, 30))/1000000</f>
        <v>0.417717</v>
      </c>
      <c r="X172" s="58">
        <f>(30*0.1790888*245000/1000000)+(30*0.2374*100000/1000000)</f>
        <v>2.0285026799999999</v>
      </c>
      <c r="Y172" s="58"/>
      <c r="Z172" s="10"/>
      <c r="AA172" s="57"/>
      <c r="AB172" s="51">
        <f>(B172*141.293+C172*267.993+D172*115.016+E172*89.698+F172*40+G172*185+H172*0+I172*100+J172*300)/(141.293+267.993+115.016+89.698+0+40+185+100+300)</f>
        <v>6.9614856865213888</v>
      </c>
      <c r="AC172" s="27">
        <f>(M172*'RAP TEMPLATE-GAS AVAILABILITY'!O171+N172*'RAP TEMPLATE-GAS AVAILABILITY'!P171+O172*'RAP TEMPLATE-GAS AVAILABILITY'!Q171+P172*'RAP TEMPLATE-GAS AVAILABILITY'!R171)/('RAP TEMPLATE-GAS AVAILABILITY'!O171+'RAP TEMPLATE-GAS AVAILABILITY'!P171+'RAP TEMPLATE-GAS AVAILABILITY'!Q171+'RAP TEMPLATE-GAS AVAILABILITY'!R171)</f>
        <v>6.9228597122302142</v>
      </c>
    </row>
    <row r="173" spans="1:29" ht="15.75" x14ac:dyDescent="0.25">
      <c r="A173" s="16">
        <v>46143</v>
      </c>
      <c r="B173" s="10">
        <f>CHOOSE(CONTROL!$C$42, 7.0032, 7.0032) * CHOOSE(CONTROL!$C$21, $C$9, 100%, $E$9)</f>
        <v>7.0031999999999996</v>
      </c>
      <c r="C173" s="10">
        <f>CHOOSE(CONTROL!$C$42, 7.0112, 7.0112) * CHOOSE(CONTROL!$C$21, $C$9, 100%, $E$9)</f>
        <v>7.0111999999999997</v>
      </c>
      <c r="D173" s="10">
        <f>CHOOSE(CONTROL!$C$42, 7.2036, 7.2036) * CHOOSE(CONTROL!$C$21, $C$9, 100%, $E$9)</f>
        <v>7.2035999999999998</v>
      </c>
      <c r="E173" s="10">
        <f>CHOOSE(CONTROL!$C$42, 7.2347, 7.2347) * CHOOSE(CONTROL!$C$21, $C$9, 100%, $E$9)</f>
        <v>7.2347000000000001</v>
      </c>
      <c r="F173" s="10">
        <f>CHOOSE(CONTROL!$C$42, 6.9695, 6.9695)*CHOOSE(CONTROL!$C$21, $C$9, 100%, $E$9)</f>
        <v>6.9695</v>
      </c>
      <c r="G173" s="10">
        <f>CHOOSE(CONTROL!$C$42, 6.9866, 6.9866)*CHOOSE(CONTROL!$C$21, $C$9, 100%, $E$9)</f>
        <v>6.9866000000000001</v>
      </c>
      <c r="H173" s="10">
        <f>CHOOSE(CONTROL!$C$42, 7.2234, 7.2234) * CHOOSE(CONTROL!$C$21, $C$9, 100%, $E$9)</f>
        <v>7.2233999999999998</v>
      </c>
      <c r="I173" s="10">
        <f>CHOOSE(CONTROL!$C$42, 6.9698, 6.9698)* CHOOSE(CONTROL!$C$21, $C$9, 100%, $E$9)</f>
        <v>6.9698000000000002</v>
      </c>
      <c r="J173" s="10">
        <f>CHOOSE(CONTROL!$C$42, 6.9625, 6.9625)* CHOOSE(CONTROL!$C$21, $C$9, 100%, $E$9)</f>
        <v>6.9625000000000004</v>
      </c>
      <c r="K173" s="54">
        <f>CHOOSE(CONTROL!$C$42, 6.9659, 6.9659) * CHOOSE(CONTROL!$C$21, $C$9, 100%, $E$9)</f>
        <v>6.9659000000000004</v>
      </c>
      <c r="L173" s="10">
        <f>CHOOSE(CONTROL!$C$42, 7.8104, 7.8104) * CHOOSE(CONTROL!$C$21, $C$9, 100%, $E$9)</f>
        <v>7.8103999999999996</v>
      </c>
      <c r="M173" s="10">
        <f>CHOOSE(CONTROL!$C$42, 6.9061, 6.9061) * CHOOSE(CONTROL!$C$21, $C$9, 100%, $E$9)</f>
        <v>6.9061000000000003</v>
      </c>
      <c r="N173" s="10">
        <f>CHOOSE(CONTROL!$C$42, 6.923, 6.923) * CHOOSE(CONTROL!$C$21, $C$9, 100%, $E$9)</f>
        <v>6.923</v>
      </c>
      <c r="O173" s="10">
        <f>CHOOSE(CONTROL!$C$42, 7.1643, 7.1643) * CHOOSE(CONTROL!$C$21, $C$9, 100%, $E$9)</f>
        <v>7.1642999999999999</v>
      </c>
      <c r="P173" s="10">
        <f>CHOOSE(CONTROL!$C$42, 6.9133, 6.9133) * CHOOSE(CONTROL!$C$21, $C$9, 100%, $E$9)</f>
        <v>6.9132999999999996</v>
      </c>
      <c r="Q173" s="10">
        <f>CHOOSE(CONTROL!$C$42, 7.7596, 7.7596) * CHOOSE(CONTROL!$C$21, $C$9, 100%, $E$9)</f>
        <v>7.7595999999999998</v>
      </c>
      <c r="R173" s="10">
        <f>CHOOSE(CONTROL!$C$42, 8.366, 8.366) * CHOOSE(CONTROL!$C$21, $C$9, 100%, $E$9)</f>
        <v>8.3659999999999997</v>
      </c>
      <c r="S173" s="10">
        <f>CHOOSE(CONTROL!$C$42, 6.7966, 6.7966) * CHOOSE(CONTROL!$C$21, $C$9, 100%, $E$9)</f>
        <v>6.7965999999999998</v>
      </c>
      <c r="T173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73" s="58">
        <f>(1000*CHOOSE(CONTROL!$C$42, 695, 695)*CHOOSE(CONTROL!$C$42, 0.5599, 0.5599)*CHOOSE(CONTROL!$C$42, 31, 31))/1000000</f>
        <v>12.063045499999998</v>
      </c>
      <c r="V173" s="58">
        <f>(1000*CHOOSE(CONTROL!$C$42, 500, 500)*CHOOSE(CONTROL!$C$42, 0.275, 0.275)*CHOOSE(CONTROL!$C$42, 31, 31))/1000000</f>
        <v>4.2625000000000002</v>
      </c>
      <c r="W173" s="58">
        <f>(1000*CHOOSE(CONTROL!$C$42, 0.1146, 0.1146)*CHOOSE(CONTROL!$C$42, 121.5, 121.5)*CHOOSE(CONTROL!$C$42, 31, 31))/1000000</f>
        <v>0.43164089999999994</v>
      </c>
      <c r="X173" s="58">
        <f>(31*0.1790888*245000/1000000)+(31*0.2374*100000/1000000)</f>
        <v>2.0961194359999999</v>
      </c>
      <c r="Y173" s="58"/>
      <c r="Z173" s="10"/>
      <c r="AA173" s="57"/>
      <c r="AB173" s="51">
        <f>(B173*194.205+C173*267.466+D173*133.845+E173*53.484+F173*40+G173*185+H173*0+I173*100+J173*300)/(194.205+267.466+133.845+53.484+0+40+185+100+300)</f>
        <v>7.019977717425431</v>
      </c>
      <c r="AC173" s="27">
        <f>(M173*'RAP TEMPLATE-GAS AVAILABILITY'!O172+N173*'RAP TEMPLATE-GAS AVAILABILITY'!P172+O173*'RAP TEMPLATE-GAS AVAILABILITY'!Q172+P173*'RAP TEMPLATE-GAS AVAILABILITY'!R172)/('RAP TEMPLATE-GAS AVAILABILITY'!O172+'RAP TEMPLATE-GAS AVAILABILITY'!P172+'RAP TEMPLATE-GAS AVAILABILITY'!Q172+'RAP TEMPLATE-GAS AVAILABILITY'!R172)</f>
        <v>6.9834712230215823</v>
      </c>
    </row>
    <row r="174" spans="1:29" ht="15.75" x14ac:dyDescent="0.25">
      <c r="A174" s="16">
        <v>46174</v>
      </c>
      <c r="B174" s="10">
        <f>CHOOSE(CONTROL!$C$42, 7.2017, 7.2017) * CHOOSE(CONTROL!$C$21, $C$9, 100%, $E$9)</f>
        <v>7.2016999999999998</v>
      </c>
      <c r="C174" s="10">
        <f>CHOOSE(CONTROL!$C$42, 7.2097, 7.2097) * CHOOSE(CONTROL!$C$21, $C$9, 100%, $E$9)</f>
        <v>7.2096999999999998</v>
      </c>
      <c r="D174" s="10">
        <f>CHOOSE(CONTROL!$C$42, 7.4021, 7.4021) * CHOOSE(CONTROL!$C$21, $C$9, 100%, $E$9)</f>
        <v>7.4020999999999999</v>
      </c>
      <c r="E174" s="10">
        <f>CHOOSE(CONTROL!$C$42, 7.4332, 7.4332) * CHOOSE(CONTROL!$C$21, $C$9, 100%, $E$9)</f>
        <v>7.4332000000000003</v>
      </c>
      <c r="F174" s="10">
        <f>CHOOSE(CONTROL!$C$42, 7.1682, 7.1682)*CHOOSE(CONTROL!$C$21, $C$9, 100%, $E$9)</f>
        <v>7.1681999999999997</v>
      </c>
      <c r="G174" s="10">
        <f>CHOOSE(CONTROL!$C$42, 7.1854, 7.1854)*CHOOSE(CONTROL!$C$21, $C$9, 100%, $E$9)</f>
        <v>7.1853999999999996</v>
      </c>
      <c r="H174" s="10">
        <f>CHOOSE(CONTROL!$C$42, 7.4219, 7.4219) * CHOOSE(CONTROL!$C$21, $C$9, 100%, $E$9)</f>
        <v>7.4218999999999999</v>
      </c>
      <c r="I174" s="10">
        <f>CHOOSE(CONTROL!$C$42, 7.1683, 7.1683)* CHOOSE(CONTROL!$C$21, $C$9, 100%, $E$9)</f>
        <v>7.1683000000000003</v>
      </c>
      <c r="J174" s="10">
        <f>CHOOSE(CONTROL!$C$42, 7.1612, 7.1612)* CHOOSE(CONTROL!$C$21, $C$9, 100%, $E$9)</f>
        <v>7.1612</v>
      </c>
      <c r="K174" s="54">
        <f>CHOOSE(CONTROL!$C$42, 7.1644, 7.1644) * CHOOSE(CONTROL!$C$21, $C$9, 100%, $E$9)</f>
        <v>7.1643999999999997</v>
      </c>
      <c r="L174" s="10">
        <f>CHOOSE(CONTROL!$C$42, 8.0089, 8.0089) * CHOOSE(CONTROL!$C$21, $C$9, 100%, $E$9)</f>
        <v>8.0089000000000006</v>
      </c>
      <c r="M174" s="10">
        <f>CHOOSE(CONTROL!$C$42, 7.1028, 7.1028) * CHOOSE(CONTROL!$C$21, $C$9, 100%, $E$9)</f>
        <v>7.1028000000000002</v>
      </c>
      <c r="N174" s="10">
        <f>CHOOSE(CONTROL!$C$42, 7.1198, 7.1198) * CHOOSE(CONTROL!$C$21, $C$9, 100%, $E$9)</f>
        <v>7.1197999999999997</v>
      </c>
      <c r="O174" s="10">
        <f>CHOOSE(CONTROL!$C$42, 7.3608, 7.3608) * CHOOSE(CONTROL!$C$21, $C$9, 100%, $E$9)</f>
        <v>7.3608000000000002</v>
      </c>
      <c r="P174" s="10">
        <f>CHOOSE(CONTROL!$C$42, 7.1098, 7.1098) * CHOOSE(CONTROL!$C$21, $C$9, 100%, $E$9)</f>
        <v>7.1097999999999999</v>
      </c>
      <c r="Q174" s="10">
        <f>CHOOSE(CONTROL!$C$42, 7.9561, 7.9561) * CHOOSE(CONTROL!$C$21, $C$9, 100%, $E$9)</f>
        <v>7.9561000000000002</v>
      </c>
      <c r="R174" s="10">
        <f>CHOOSE(CONTROL!$C$42, 8.563, 8.563) * CHOOSE(CONTROL!$C$21, $C$9, 100%, $E$9)</f>
        <v>8.5630000000000006</v>
      </c>
      <c r="S174" s="10">
        <f>CHOOSE(CONTROL!$C$42, 6.9894, 6.9894) * CHOOSE(CONTROL!$C$21, $C$9, 100%, $E$9)</f>
        <v>6.9893999999999998</v>
      </c>
      <c r="T174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74" s="58">
        <f>(1000*CHOOSE(CONTROL!$C$42, 695, 695)*CHOOSE(CONTROL!$C$42, 0.5599, 0.5599)*CHOOSE(CONTROL!$C$42, 30, 30))/1000000</f>
        <v>11.673914999999997</v>
      </c>
      <c r="V174" s="58">
        <f>(1000*CHOOSE(CONTROL!$C$42, 500, 500)*CHOOSE(CONTROL!$C$42, 0.275, 0.275)*CHOOSE(CONTROL!$C$42, 30, 30))/1000000</f>
        <v>4.125</v>
      </c>
      <c r="W174" s="58">
        <f>(1000*CHOOSE(CONTROL!$C$42, 0.1146, 0.1146)*CHOOSE(CONTROL!$C$42, 121.5, 121.5)*CHOOSE(CONTROL!$C$42, 30, 30))/1000000</f>
        <v>0.417717</v>
      </c>
      <c r="X174" s="58">
        <f>(30*0.1790888*245000/1000000)+(30*0.2374*100000/1000000)</f>
        <v>2.0285026799999999</v>
      </c>
      <c r="Y174" s="58"/>
      <c r="Z174" s="10"/>
      <c r="AA174" s="57"/>
      <c r="AB174" s="51">
        <f>(B174*194.205+C174*267.466+D174*133.845+E174*53.484+F174*40+G174*185+H174*0+I174*100+J174*300)/(194.205+267.466+133.845+53.484+0+40+185+100+300)</f>
        <v>7.2185746562009419</v>
      </c>
      <c r="AC174" s="27">
        <f>(M174*'RAP TEMPLATE-GAS AVAILABILITY'!O173+N174*'RAP TEMPLATE-GAS AVAILABILITY'!P173+O174*'RAP TEMPLATE-GAS AVAILABILITY'!Q173+P174*'RAP TEMPLATE-GAS AVAILABILITY'!R173)/('RAP TEMPLATE-GAS AVAILABILITY'!O173+'RAP TEMPLATE-GAS AVAILABILITY'!P173+'RAP TEMPLATE-GAS AVAILABILITY'!Q173+'RAP TEMPLATE-GAS AVAILABILITY'!R173)</f>
        <v>7.1801093525179844</v>
      </c>
    </row>
    <row r="175" spans="1:29" ht="15.75" x14ac:dyDescent="0.25">
      <c r="A175" s="16">
        <v>46204</v>
      </c>
      <c r="B175" s="10">
        <f>CHOOSE(CONTROL!$C$42, 7.0637, 7.0637) * CHOOSE(CONTROL!$C$21, $C$9, 100%, $E$9)</f>
        <v>7.0636999999999999</v>
      </c>
      <c r="C175" s="10">
        <f>CHOOSE(CONTROL!$C$42, 7.0716, 7.0716) * CHOOSE(CONTROL!$C$21, $C$9, 100%, $E$9)</f>
        <v>7.0716000000000001</v>
      </c>
      <c r="D175" s="10">
        <f>CHOOSE(CONTROL!$C$42, 7.264, 7.264) * CHOOSE(CONTROL!$C$21, $C$9, 100%, $E$9)</f>
        <v>7.2640000000000002</v>
      </c>
      <c r="E175" s="10">
        <f>CHOOSE(CONTROL!$C$42, 7.2952, 7.2952) * CHOOSE(CONTROL!$C$21, $C$9, 100%, $E$9)</f>
        <v>7.2952000000000004</v>
      </c>
      <c r="F175" s="10">
        <f>CHOOSE(CONTROL!$C$42, 7.0306, 7.0306)*CHOOSE(CONTROL!$C$21, $C$9, 100%, $E$9)</f>
        <v>7.0305999999999997</v>
      </c>
      <c r="G175" s="10">
        <f>CHOOSE(CONTROL!$C$42, 7.0479, 7.0479)*CHOOSE(CONTROL!$C$21, $C$9, 100%, $E$9)</f>
        <v>7.0479000000000003</v>
      </c>
      <c r="H175" s="10">
        <f>CHOOSE(CONTROL!$C$42, 7.2838, 7.2838) * CHOOSE(CONTROL!$C$21, $C$9, 100%, $E$9)</f>
        <v>7.2838000000000003</v>
      </c>
      <c r="I175" s="10">
        <f>CHOOSE(CONTROL!$C$42, 7.0303, 7.0303)* CHOOSE(CONTROL!$C$21, $C$9, 100%, $E$9)</f>
        <v>7.0303000000000004</v>
      </c>
      <c r="J175" s="10">
        <f>CHOOSE(CONTROL!$C$42, 7.0236, 7.0236)* CHOOSE(CONTROL!$C$21, $C$9, 100%, $E$9)</f>
        <v>7.0236000000000001</v>
      </c>
      <c r="K175" s="54">
        <f>CHOOSE(CONTROL!$C$42, 7.0264, 7.0264) * CHOOSE(CONTROL!$C$21, $C$9, 100%, $E$9)</f>
        <v>7.0263999999999998</v>
      </c>
      <c r="L175" s="10">
        <f>CHOOSE(CONTROL!$C$42, 7.8708, 7.8708) * CHOOSE(CONTROL!$C$21, $C$9, 100%, $E$9)</f>
        <v>7.8708</v>
      </c>
      <c r="M175" s="10">
        <f>CHOOSE(CONTROL!$C$42, 6.9665, 6.9665) * CHOOSE(CONTROL!$C$21, $C$9, 100%, $E$9)</f>
        <v>6.9664999999999999</v>
      </c>
      <c r="N175" s="10">
        <f>CHOOSE(CONTROL!$C$42, 6.9836, 6.9836) * CHOOSE(CONTROL!$C$21, $C$9, 100%, $E$9)</f>
        <v>6.9836</v>
      </c>
      <c r="O175" s="10">
        <f>CHOOSE(CONTROL!$C$42, 7.2241, 7.2241) * CHOOSE(CONTROL!$C$21, $C$9, 100%, $E$9)</f>
        <v>7.2241</v>
      </c>
      <c r="P175" s="10">
        <f>CHOOSE(CONTROL!$C$42, 6.9732, 6.9732) * CHOOSE(CONTROL!$C$21, $C$9, 100%, $E$9)</f>
        <v>6.9732000000000003</v>
      </c>
      <c r="Q175" s="10">
        <f>CHOOSE(CONTROL!$C$42, 7.8194, 7.8194) * CHOOSE(CONTROL!$C$21, $C$9, 100%, $E$9)</f>
        <v>7.8193999999999999</v>
      </c>
      <c r="R175" s="10">
        <f>CHOOSE(CONTROL!$C$42, 8.426, 8.426) * CHOOSE(CONTROL!$C$21, $C$9, 100%, $E$9)</f>
        <v>8.4260000000000002</v>
      </c>
      <c r="S175" s="10">
        <f>CHOOSE(CONTROL!$C$42, 6.8553, 6.8553) * CHOOSE(CONTROL!$C$21, $C$9, 100%, $E$9)</f>
        <v>6.8552999999999997</v>
      </c>
      <c r="T175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75" s="58">
        <f>(1000*CHOOSE(CONTROL!$C$42, 695, 695)*CHOOSE(CONTROL!$C$42, 0.5599, 0.5599)*CHOOSE(CONTROL!$C$42, 31, 31))/1000000</f>
        <v>12.063045499999998</v>
      </c>
      <c r="V175" s="58">
        <f>(1000*CHOOSE(CONTROL!$C$42, 500, 500)*CHOOSE(CONTROL!$C$42, 0.275, 0.275)*CHOOSE(CONTROL!$C$42, 31, 31))/1000000</f>
        <v>4.2625000000000002</v>
      </c>
      <c r="W175" s="58">
        <f>(1000*CHOOSE(CONTROL!$C$42, 0.1146, 0.1146)*CHOOSE(CONTROL!$C$42, 121.5, 121.5)*CHOOSE(CONTROL!$C$42, 31, 31))/1000000</f>
        <v>0.43164089999999994</v>
      </c>
      <c r="X175" s="58">
        <f>(31*0.1790888*245000/1000000)+(31*0.2374*100000/1000000)</f>
        <v>2.0961194359999999</v>
      </c>
      <c r="Y175" s="58"/>
      <c r="Z175" s="10"/>
      <c r="AA175" s="57"/>
      <c r="AB175" s="51">
        <f>(B175*194.205+C175*267.466+D175*133.845+E175*53.484+F175*40+G175*185+H175*0+I175*100+J175*300)/(194.205+267.466+133.845+53.484+0+40+185+100+300)</f>
        <v>7.080722512480377</v>
      </c>
      <c r="AC175" s="27">
        <f>(M175*'RAP TEMPLATE-GAS AVAILABILITY'!O174+N175*'RAP TEMPLATE-GAS AVAILABILITY'!P174+O175*'RAP TEMPLATE-GAS AVAILABILITY'!Q174+P175*'RAP TEMPLATE-GAS AVAILABILITY'!R174)/('RAP TEMPLATE-GAS AVAILABILITY'!O174+'RAP TEMPLATE-GAS AVAILABILITY'!P174+'RAP TEMPLATE-GAS AVAILABILITY'!Q174+'RAP TEMPLATE-GAS AVAILABILITY'!R174)</f>
        <v>7.0436769784172659</v>
      </c>
    </row>
    <row r="176" spans="1:29" ht="15.75" x14ac:dyDescent="0.25">
      <c r="A176" s="16">
        <v>46235</v>
      </c>
      <c r="B176" s="10">
        <f>CHOOSE(CONTROL!$C$42, 6.715, 6.715) * CHOOSE(CONTROL!$C$21, $C$9, 100%, $E$9)</f>
        <v>6.7149999999999999</v>
      </c>
      <c r="C176" s="10">
        <f>CHOOSE(CONTROL!$C$42, 6.723, 6.723) * CHOOSE(CONTROL!$C$21, $C$9, 100%, $E$9)</f>
        <v>6.7229999999999999</v>
      </c>
      <c r="D176" s="10">
        <f>CHOOSE(CONTROL!$C$42, 6.9154, 6.9154) * CHOOSE(CONTROL!$C$21, $C$9, 100%, $E$9)</f>
        <v>6.9154</v>
      </c>
      <c r="E176" s="10">
        <f>CHOOSE(CONTROL!$C$42, 6.9465, 6.9465) * CHOOSE(CONTROL!$C$21, $C$9, 100%, $E$9)</f>
        <v>6.9465000000000003</v>
      </c>
      <c r="F176" s="10">
        <f>CHOOSE(CONTROL!$C$42, 6.6821, 6.6821)*CHOOSE(CONTROL!$C$21, $C$9, 100%, $E$9)</f>
        <v>6.6821000000000002</v>
      </c>
      <c r="G176" s="10">
        <f>CHOOSE(CONTROL!$C$42, 6.6994, 6.6994)*CHOOSE(CONTROL!$C$21, $C$9, 100%, $E$9)</f>
        <v>6.6993999999999998</v>
      </c>
      <c r="H176" s="10">
        <f>CHOOSE(CONTROL!$C$42, 6.9352, 6.9352) * CHOOSE(CONTROL!$C$21, $C$9, 100%, $E$9)</f>
        <v>6.9352</v>
      </c>
      <c r="I176" s="10">
        <f>CHOOSE(CONTROL!$C$42, 6.6816, 6.6816)* CHOOSE(CONTROL!$C$21, $C$9, 100%, $E$9)</f>
        <v>6.6816000000000004</v>
      </c>
      <c r="J176" s="10">
        <f>CHOOSE(CONTROL!$C$42, 6.6751, 6.6751)* CHOOSE(CONTROL!$C$21, $C$9, 100%, $E$9)</f>
        <v>6.6750999999999996</v>
      </c>
      <c r="K176" s="54">
        <f>CHOOSE(CONTROL!$C$42, 6.6777, 6.6777) * CHOOSE(CONTROL!$C$21, $C$9, 100%, $E$9)</f>
        <v>6.6776999999999997</v>
      </c>
      <c r="L176" s="10">
        <f>CHOOSE(CONTROL!$C$42, 7.5222, 7.5222) * CHOOSE(CONTROL!$C$21, $C$9, 100%, $E$9)</f>
        <v>7.5221999999999998</v>
      </c>
      <c r="M176" s="10">
        <f>CHOOSE(CONTROL!$C$42, 6.6216, 6.6216) * CHOOSE(CONTROL!$C$21, $C$9, 100%, $E$9)</f>
        <v>6.6215999999999999</v>
      </c>
      <c r="N176" s="10">
        <f>CHOOSE(CONTROL!$C$42, 6.6387, 6.6387) * CHOOSE(CONTROL!$C$21, $C$9, 100%, $E$9)</f>
        <v>6.6387</v>
      </c>
      <c r="O176" s="10">
        <f>CHOOSE(CONTROL!$C$42, 6.879, 6.879) * CHOOSE(CONTROL!$C$21, $C$9, 100%, $E$9)</f>
        <v>6.8789999999999996</v>
      </c>
      <c r="P176" s="10">
        <f>CHOOSE(CONTROL!$C$42, 6.6281, 6.6281) * CHOOSE(CONTROL!$C$21, $C$9, 100%, $E$9)</f>
        <v>6.6280999999999999</v>
      </c>
      <c r="Q176" s="10">
        <f>CHOOSE(CONTROL!$C$42, 7.4743, 7.4743) * CHOOSE(CONTROL!$C$21, $C$9, 100%, $E$9)</f>
        <v>7.4743000000000004</v>
      </c>
      <c r="R176" s="10">
        <f>CHOOSE(CONTROL!$C$42, 8.08, 8.08) * CHOOSE(CONTROL!$C$21, $C$9, 100%, $E$9)</f>
        <v>8.08</v>
      </c>
      <c r="S176" s="10">
        <f>CHOOSE(CONTROL!$C$42, 6.5167, 6.5167) * CHOOSE(CONTROL!$C$21, $C$9, 100%, $E$9)</f>
        <v>6.5167000000000002</v>
      </c>
      <c r="T176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76" s="58">
        <f>(1000*CHOOSE(CONTROL!$C$42, 695, 695)*CHOOSE(CONTROL!$C$42, 0.5599, 0.5599)*CHOOSE(CONTROL!$C$42, 31, 31))/1000000</f>
        <v>12.063045499999998</v>
      </c>
      <c r="V176" s="58">
        <f>(1000*CHOOSE(CONTROL!$C$42, 500, 500)*CHOOSE(CONTROL!$C$42, 0.275, 0.275)*CHOOSE(CONTROL!$C$42, 31, 31))/1000000</f>
        <v>4.2625000000000002</v>
      </c>
      <c r="W176" s="58">
        <f>(1000*CHOOSE(CONTROL!$C$42, 0.1146, 0.1146)*CHOOSE(CONTROL!$C$42, 121.5, 121.5)*CHOOSE(CONTROL!$C$42, 31, 31))/1000000</f>
        <v>0.43164089999999994</v>
      </c>
      <c r="X176" s="58">
        <f>(31*0.1790888*245000/1000000)+(31*0.2374*100000/1000000)</f>
        <v>2.0961194359999999</v>
      </c>
      <c r="Y176" s="58"/>
      <c r="Z176" s="10"/>
      <c r="AA176" s="57"/>
      <c r="AB176" s="51">
        <f>(B176*194.205+C176*267.466+D176*133.845+E176*53.484+F176*40+G176*185+H176*0+I176*100+J176*300)/(194.205+267.466+133.845+53.484+0+40+185+100+300)</f>
        <v>6.7321364301412876</v>
      </c>
      <c r="AC176" s="27">
        <f>(M176*'RAP TEMPLATE-GAS AVAILABILITY'!O175+N176*'RAP TEMPLATE-GAS AVAILABILITY'!P175+O176*'RAP TEMPLATE-GAS AVAILABILITY'!Q175+P176*'RAP TEMPLATE-GAS AVAILABILITY'!R175)/('RAP TEMPLATE-GAS AVAILABILITY'!O175+'RAP TEMPLATE-GAS AVAILABILITY'!P175+'RAP TEMPLATE-GAS AVAILABILITY'!Q175+'RAP TEMPLATE-GAS AVAILABILITY'!R175)</f>
        <v>6.6986920863309356</v>
      </c>
    </row>
    <row r="177" spans="1:29" ht="15.75" x14ac:dyDescent="0.25">
      <c r="A177" s="16">
        <v>46266</v>
      </c>
      <c r="B177" s="10">
        <f>CHOOSE(CONTROL!$C$42, 6.2887, 6.2887) * CHOOSE(CONTROL!$C$21, $C$9, 100%, $E$9)</f>
        <v>6.2887000000000004</v>
      </c>
      <c r="C177" s="10">
        <f>CHOOSE(CONTROL!$C$42, 6.2966, 6.2966) * CHOOSE(CONTROL!$C$21, $C$9, 100%, $E$9)</f>
        <v>6.2965999999999998</v>
      </c>
      <c r="D177" s="10">
        <f>CHOOSE(CONTROL!$C$42, 6.489, 6.489) * CHOOSE(CONTROL!$C$21, $C$9, 100%, $E$9)</f>
        <v>6.4889999999999999</v>
      </c>
      <c r="E177" s="10">
        <f>CHOOSE(CONTROL!$C$42, 6.5202, 6.5202) * CHOOSE(CONTROL!$C$21, $C$9, 100%, $E$9)</f>
        <v>6.5202</v>
      </c>
      <c r="F177" s="10">
        <f>CHOOSE(CONTROL!$C$42, 6.2556, 6.2556)*CHOOSE(CONTROL!$C$21, $C$9, 100%, $E$9)</f>
        <v>6.2556000000000003</v>
      </c>
      <c r="G177" s="10">
        <f>CHOOSE(CONTROL!$C$42, 6.2729, 6.2729)*CHOOSE(CONTROL!$C$21, $C$9, 100%, $E$9)</f>
        <v>6.2728999999999999</v>
      </c>
      <c r="H177" s="10">
        <f>CHOOSE(CONTROL!$C$42, 6.5088, 6.5088) * CHOOSE(CONTROL!$C$21, $C$9, 100%, $E$9)</f>
        <v>6.5087999999999999</v>
      </c>
      <c r="I177" s="10">
        <f>CHOOSE(CONTROL!$C$42, 6.2553, 6.2553)* CHOOSE(CONTROL!$C$21, $C$9, 100%, $E$9)</f>
        <v>6.2553000000000001</v>
      </c>
      <c r="J177" s="10">
        <f>CHOOSE(CONTROL!$C$42, 6.2486, 6.2486)* CHOOSE(CONTROL!$C$21, $C$9, 100%, $E$9)</f>
        <v>6.2485999999999997</v>
      </c>
      <c r="K177" s="54">
        <f>CHOOSE(CONTROL!$C$42, 6.2514, 6.2514) * CHOOSE(CONTROL!$C$21, $C$9, 100%, $E$9)</f>
        <v>6.2514000000000003</v>
      </c>
      <c r="L177" s="10">
        <f>CHOOSE(CONTROL!$C$42, 7.0958, 7.0958) * CHOOSE(CONTROL!$C$21, $C$9, 100%, $E$9)</f>
        <v>7.0957999999999997</v>
      </c>
      <c r="M177" s="10">
        <f>CHOOSE(CONTROL!$C$42, 6.1994, 6.1994) * CHOOSE(CONTROL!$C$21, $C$9, 100%, $E$9)</f>
        <v>6.1993999999999998</v>
      </c>
      <c r="N177" s="10">
        <f>CHOOSE(CONTROL!$C$42, 6.2165, 6.2165) * CHOOSE(CONTROL!$C$21, $C$9, 100%, $E$9)</f>
        <v>6.2164999999999999</v>
      </c>
      <c r="O177" s="10">
        <f>CHOOSE(CONTROL!$C$42, 6.4569, 6.4569) * CHOOSE(CONTROL!$C$21, $C$9, 100%, $E$9)</f>
        <v>6.4569000000000001</v>
      </c>
      <c r="P177" s="10">
        <f>CHOOSE(CONTROL!$C$42, 6.206, 6.206) * CHOOSE(CONTROL!$C$21, $C$9, 100%, $E$9)</f>
        <v>6.2060000000000004</v>
      </c>
      <c r="Q177" s="10">
        <f>CHOOSE(CONTROL!$C$42, 7.0522, 7.0522) * CHOOSE(CONTROL!$C$21, $C$9, 100%, $E$9)</f>
        <v>7.0522</v>
      </c>
      <c r="R177" s="10">
        <f>CHOOSE(CONTROL!$C$42, 7.6569, 7.6569) * CHOOSE(CONTROL!$C$21, $C$9, 100%, $E$9)</f>
        <v>7.6569000000000003</v>
      </c>
      <c r="S177" s="10">
        <f>CHOOSE(CONTROL!$C$42, 6.1027, 6.1027) * CHOOSE(CONTROL!$C$21, $C$9, 100%, $E$9)</f>
        <v>6.1026999999999996</v>
      </c>
      <c r="T177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77" s="58">
        <f>(1000*CHOOSE(CONTROL!$C$42, 695, 695)*CHOOSE(CONTROL!$C$42, 0.5599, 0.5599)*CHOOSE(CONTROL!$C$42, 30, 30))/1000000</f>
        <v>11.673914999999997</v>
      </c>
      <c r="V177" s="58">
        <f>(1000*CHOOSE(CONTROL!$C$42, 500, 500)*CHOOSE(CONTROL!$C$42, 0.275, 0.275)*CHOOSE(CONTROL!$C$42, 30, 30))/1000000</f>
        <v>4.125</v>
      </c>
      <c r="W177" s="58">
        <f>(1000*CHOOSE(CONTROL!$C$42, 0.1146, 0.1146)*CHOOSE(CONTROL!$C$42, 121.5, 121.5)*CHOOSE(CONTROL!$C$42, 30, 30))/1000000</f>
        <v>0.417717</v>
      </c>
      <c r="X177" s="58">
        <f>(30*0.1790888*245000/1000000)+(30*0.2374*100000/1000000)</f>
        <v>2.0285026799999999</v>
      </c>
      <c r="Y177" s="58"/>
      <c r="Z177" s="10"/>
      <c r="AA177" s="57"/>
      <c r="AB177" s="51">
        <f>(B177*194.205+C177*267.466+D177*133.845+E177*53.484+F177*40+G177*185+H177*0+I177*100+J177*300)/(194.205+267.466+133.845+53.484+0+40+185+100+300)</f>
        <v>6.3057225124803766</v>
      </c>
      <c r="AC177" s="27">
        <f>(M177*'RAP TEMPLATE-GAS AVAILABILITY'!O176+N177*'RAP TEMPLATE-GAS AVAILABILITY'!P176+O177*'RAP TEMPLATE-GAS AVAILABILITY'!Q176+P177*'RAP TEMPLATE-GAS AVAILABILITY'!R176)/('RAP TEMPLATE-GAS AVAILABILITY'!O176+'RAP TEMPLATE-GAS AVAILABILITY'!P176+'RAP TEMPLATE-GAS AVAILABILITY'!Q176+'RAP TEMPLATE-GAS AVAILABILITY'!R176)</f>
        <v>6.276534532374102</v>
      </c>
    </row>
    <row r="178" spans="1:29" ht="15.75" x14ac:dyDescent="0.25">
      <c r="A178" s="16">
        <v>46296</v>
      </c>
      <c r="B178" s="10">
        <f>CHOOSE(CONTROL!$C$42, 6.1593, 6.1593) * CHOOSE(CONTROL!$C$21, $C$9, 100%, $E$9)</f>
        <v>6.1593</v>
      </c>
      <c r="C178" s="10">
        <f>CHOOSE(CONTROL!$C$42, 6.1646, 6.1646) * CHOOSE(CONTROL!$C$21, $C$9, 100%, $E$9)</f>
        <v>6.1646000000000001</v>
      </c>
      <c r="D178" s="10">
        <f>CHOOSE(CONTROL!$C$42, 6.362, 6.362) * CHOOSE(CONTROL!$C$21, $C$9, 100%, $E$9)</f>
        <v>6.3620000000000001</v>
      </c>
      <c r="E178" s="10">
        <f>CHOOSE(CONTROL!$C$42, 6.3908, 6.3908) * CHOOSE(CONTROL!$C$21, $C$9, 100%, $E$9)</f>
        <v>6.3907999999999996</v>
      </c>
      <c r="F178" s="10">
        <f>CHOOSE(CONTROL!$C$42, 6.1282, 6.1282)*CHOOSE(CONTROL!$C$21, $C$9, 100%, $E$9)</f>
        <v>6.1281999999999996</v>
      </c>
      <c r="G178" s="10">
        <f>CHOOSE(CONTROL!$C$42, 6.1452, 6.1452)*CHOOSE(CONTROL!$C$21, $C$9, 100%, $E$9)</f>
        <v>6.1452</v>
      </c>
      <c r="H178" s="10">
        <f>CHOOSE(CONTROL!$C$42, 6.3812, 6.3812) * CHOOSE(CONTROL!$C$21, $C$9, 100%, $E$9)</f>
        <v>6.3811999999999998</v>
      </c>
      <c r="I178" s="10">
        <f>CHOOSE(CONTROL!$C$42, 6.1277, 6.1277)* CHOOSE(CONTROL!$C$21, $C$9, 100%, $E$9)</f>
        <v>6.1276999999999999</v>
      </c>
      <c r="J178" s="10">
        <f>CHOOSE(CONTROL!$C$42, 6.1212, 6.1212)* CHOOSE(CONTROL!$C$21, $C$9, 100%, $E$9)</f>
        <v>6.1212</v>
      </c>
      <c r="K178" s="54">
        <f>CHOOSE(CONTROL!$C$42, 6.1238, 6.1238) * CHOOSE(CONTROL!$C$21, $C$9, 100%, $E$9)</f>
        <v>6.1238000000000001</v>
      </c>
      <c r="L178" s="10">
        <f>CHOOSE(CONTROL!$C$42, 6.9682, 6.9682) * CHOOSE(CONTROL!$C$21, $C$9, 100%, $E$9)</f>
        <v>6.9682000000000004</v>
      </c>
      <c r="M178" s="10">
        <f>CHOOSE(CONTROL!$C$42, 6.0733, 6.0733) * CHOOSE(CONTROL!$C$21, $C$9, 100%, $E$9)</f>
        <v>6.0732999999999997</v>
      </c>
      <c r="N178" s="10">
        <f>CHOOSE(CONTROL!$C$42, 6.0901, 6.0901) * CHOOSE(CONTROL!$C$21, $C$9, 100%, $E$9)</f>
        <v>6.0900999999999996</v>
      </c>
      <c r="O178" s="10">
        <f>CHOOSE(CONTROL!$C$42, 6.3307, 6.3307) * CHOOSE(CONTROL!$C$21, $C$9, 100%, $E$9)</f>
        <v>6.3307000000000002</v>
      </c>
      <c r="P178" s="10">
        <f>CHOOSE(CONTROL!$C$42, 6.0797, 6.0797) * CHOOSE(CONTROL!$C$21, $C$9, 100%, $E$9)</f>
        <v>6.0796999999999999</v>
      </c>
      <c r="Q178" s="10">
        <f>CHOOSE(CONTROL!$C$42, 6.926, 6.926) * CHOOSE(CONTROL!$C$21, $C$9, 100%, $E$9)</f>
        <v>6.9260000000000002</v>
      </c>
      <c r="R178" s="10">
        <f>CHOOSE(CONTROL!$C$42, 7.5303, 7.5303) * CHOOSE(CONTROL!$C$21, $C$9, 100%, $E$9)</f>
        <v>7.5303000000000004</v>
      </c>
      <c r="S178" s="10">
        <f>CHOOSE(CONTROL!$C$42, 5.9788, 5.9788) * CHOOSE(CONTROL!$C$21, $C$9, 100%, $E$9)</f>
        <v>5.9787999999999997</v>
      </c>
      <c r="T178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78" s="58">
        <f>(1000*CHOOSE(CONTROL!$C$42, 695, 695)*CHOOSE(CONTROL!$C$42, 0.5599, 0.5599)*CHOOSE(CONTROL!$C$42, 31, 31))/1000000</f>
        <v>12.063045499999998</v>
      </c>
      <c r="V178" s="58">
        <f>(1000*CHOOSE(CONTROL!$C$42, 500, 500)*CHOOSE(CONTROL!$C$42, 0.275, 0.275)*CHOOSE(CONTROL!$C$42, 31, 31))/1000000</f>
        <v>4.2625000000000002</v>
      </c>
      <c r="W178" s="58">
        <f>(1000*CHOOSE(CONTROL!$C$42, 0.1146, 0.1146)*CHOOSE(CONTROL!$C$42, 121.5, 121.5)*CHOOSE(CONTROL!$C$42, 31, 31))/1000000</f>
        <v>0.43164089999999994</v>
      </c>
      <c r="X178" s="58">
        <f>(31*0.1790888*245000/1000000)+(31*0.2374*100000/1000000)</f>
        <v>2.0961194359999999</v>
      </c>
      <c r="Y178" s="58"/>
      <c r="Z178" s="10"/>
      <c r="AA178" s="57"/>
      <c r="AB178" s="51">
        <f>(B178*131.881+C178*277.167+D178*79.08+E178*125.872+F178*40+G178*185+H178*0+I178*100+J178*300)/(131.881+277.167+79.08+125.872+0+40+185+100+300)</f>
        <v>6.1820565529459248</v>
      </c>
      <c r="AC178" s="27">
        <f>(M178*'RAP TEMPLATE-GAS AVAILABILITY'!O177+N178*'RAP TEMPLATE-GAS AVAILABILITY'!P177+O178*'RAP TEMPLATE-GAS AVAILABILITY'!Q177+P178*'RAP TEMPLATE-GAS AVAILABILITY'!R177)/('RAP TEMPLATE-GAS AVAILABILITY'!O177+'RAP TEMPLATE-GAS AVAILABILITY'!P177+'RAP TEMPLATE-GAS AVAILABILITY'!Q177+'RAP TEMPLATE-GAS AVAILABILITY'!R177)</f>
        <v>6.150308633093525</v>
      </c>
    </row>
    <row r="179" spans="1:29" ht="15.75" x14ac:dyDescent="0.25">
      <c r="A179" s="16">
        <v>46327</v>
      </c>
      <c r="B179" s="10">
        <f>CHOOSE(CONTROL!$C$42, 6.3211, 6.3211) * CHOOSE(CONTROL!$C$21, $C$9, 100%, $E$9)</f>
        <v>6.3211000000000004</v>
      </c>
      <c r="C179" s="10">
        <f>CHOOSE(CONTROL!$C$42, 6.3261, 6.3261) * CHOOSE(CONTROL!$C$21, $C$9, 100%, $E$9)</f>
        <v>6.3261000000000003</v>
      </c>
      <c r="D179" s="10">
        <f>CHOOSE(CONTROL!$C$42, 6.3557, 6.3557) * CHOOSE(CONTROL!$C$21, $C$9, 100%, $E$9)</f>
        <v>6.3556999999999997</v>
      </c>
      <c r="E179" s="10">
        <f>CHOOSE(CONTROL!$C$42, 6.3894, 6.3894) * CHOOSE(CONTROL!$C$21, $C$9, 100%, $E$9)</f>
        <v>6.3894000000000002</v>
      </c>
      <c r="F179" s="10">
        <f>CHOOSE(CONTROL!$C$42, 6.2879, 6.2879)*CHOOSE(CONTROL!$C$21, $C$9, 100%, $E$9)</f>
        <v>6.2878999999999996</v>
      </c>
      <c r="G179" s="10">
        <f>CHOOSE(CONTROL!$C$42, 6.305, 6.305)*CHOOSE(CONTROL!$C$21, $C$9, 100%, $E$9)</f>
        <v>6.3049999999999997</v>
      </c>
      <c r="H179" s="10">
        <f>CHOOSE(CONTROL!$C$42, 6.3786, 6.3786) * CHOOSE(CONTROL!$C$21, $C$9, 100%, $E$9)</f>
        <v>6.3785999999999996</v>
      </c>
      <c r="I179" s="10">
        <f>CHOOSE(CONTROL!$C$42, 6.2847, 6.2847)* CHOOSE(CONTROL!$C$21, $C$9, 100%, $E$9)</f>
        <v>6.2847</v>
      </c>
      <c r="J179" s="10">
        <f>CHOOSE(CONTROL!$C$42, 6.2809, 6.2809)* CHOOSE(CONTROL!$C$21, $C$9, 100%, $E$9)</f>
        <v>6.2808999999999999</v>
      </c>
      <c r="K179" s="54">
        <f>CHOOSE(CONTROL!$C$42, 6.2808, 6.2808) * CHOOSE(CONTROL!$C$21, $C$9, 100%, $E$9)</f>
        <v>6.2808000000000002</v>
      </c>
      <c r="L179" s="10">
        <f>CHOOSE(CONTROL!$C$42, 6.9656, 6.9656) * CHOOSE(CONTROL!$C$21, $C$9, 100%, $E$9)</f>
        <v>6.9656000000000002</v>
      </c>
      <c r="M179" s="10">
        <f>CHOOSE(CONTROL!$C$42, 6.2313, 6.2313) * CHOOSE(CONTROL!$C$21, $C$9, 100%, $E$9)</f>
        <v>6.2313000000000001</v>
      </c>
      <c r="N179" s="10">
        <f>CHOOSE(CONTROL!$C$42, 6.2483, 6.2483) * CHOOSE(CONTROL!$C$21, $C$9, 100%, $E$9)</f>
        <v>6.2483000000000004</v>
      </c>
      <c r="O179" s="10">
        <f>CHOOSE(CONTROL!$C$42, 6.3281, 6.3281) * CHOOSE(CONTROL!$C$21, $C$9, 100%, $E$9)</f>
        <v>6.3281000000000001</v>
      </c>
      <c r="P179" s="10">
        <f>CHOOSE(CONTROL!$C$42, 6.2351, 6.2351) * CHOOSE(CONTROL!$C$21, $C$9, 100%, $E$9)</f>
        <v>6.2351000000000001</v>
      </c>
      <c r="Q179" s="10">
        <f>CHOOSE(CONTROL!$C$42, 6.9234, 6.9234) * CHOOSE(CONTROL!$C$21, $C$9, 100%, $E$9)</f>
        <v>6.9234</v>
      </c>
      <c r="R179" s="10">
        <f>CHOOSE(CONTROL!$C$42, 7.5277, 7.5277) * CHOOSE(CONTROL!$C$21, $C$9, 100%, $E$9)</f>
        <v>7.5277000000000003</v>
      </c>
      <c r="S179" s="10">
        <f>CHOOSE(CONTROL!$C$42, 6.1363, 6.1363) * CHOOSE(CONTROL!$C$21, $C$9, 100%, $E$9)</f>
        <v>6.1363000000000003</v>
      </c>
      <c r="T179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79" s="58">
        <f>(1000*CHOOSE(CONTROL!$C$42, 695, 695)*CHOOSE(CONTROL!$C$42, 0.5599, 0.5599)*CHOOSE(CONTROL!$C$42, 30, 30))/1000000</f>
        <v>11.673914999999997</v>
      </c>
      <c r="V179" s="58">
        <f>(1000*CHOOSE(CONTROL!$C$42, 500, 500)*CHOOSE(CONTROL!$C$42, 0.275, 0.275)*CHOOSE(CONTROL!$C$42, 30, 30))/1000000</f>
        <v>4.125</v>
      </c>
      <c r="W179" s="58">
        <f>(1000*CHOOSE(CONTROL!$C$42, 0.1146, 0.1146)*CHOOSE(CONTROL!$C$42, 121.5, 121.5)*CHOOSE(CONTROL!$C$42, 30, 30))/1000000</f>
        <v>0.417717</v>
      </c>
      <c r="X179" s="58">
        <f>(30*0.1790888*100000/1000000)+(30*0.2374*100000/1000000)</f>
        <v>1.2494664</v>
      </c>
      <c r="Y179" s="58"/>
      <c r="Z179" s="10"/>
      <c r="AA179" s="57"/>
      <c r="AB179" s="51">
        <f>(B179*122.58+C179*297.941+D179*89.177+E179*40.302+F179*40+G179*160+H179*0+I179*100+J179*300)/(122.58+297.941+89.177+40.302+0+40+160+100+300)</f>
        <v>6.310425092</v>
      </c>
      <c r="AC179" s="27">
        <f>(M179*'RAP TEMPLATE-GAS AVAILABILITY'!O178+N179*'RAP TEMPLATE-GAS AVAILABILITY'!P178+O179*'RAP TEMPLATE-GAS AVAILABILITY'!Q178+P179*'RAP TEMPLATE-GAS AVAILABILITY'!R178)/('RAP TEMPLATE-GAS AVAILABILITY'!O178+'RAP TEMPLATE-GAS AVAILABILITY'!P178+'RAP TEMPLATE-GAS AVAILABILITY'!Q178+'RAP TEMPLATE-GAS AVAILABILITY'!R178)</f>
        <v>6.2766985611510799</v>
      </c>
    </row>
    <row r="180" spans="1:29" ht="15.75" x14ac:dyDescent="0.25">
      <c r="A180" s="16">
        <v>46357</v>
      </c>
      <c r="B180" s="10">
        <f>CHOOSE(CONTROL!$C$42, 6.7519, 6.7519) * CHOOSE(CONTROL!$C$21, $C$9, 100%, $E$9)</f>
        <v>6.7519</v>
      </c>
      <c r="C180" s="10">
        <f>CHOOSE(CONTROL!$C$42, 6.7568, 6.7568) * CHOOSE(CONTROL!$C$21, $C$9, 100%, $E$9)</f>
        <v>6.7568000000000001</v>
      </c>
      <c r="D180" s="10">
        <f>CHOOSE(CONTROL!$C$42, 6.7864, 6.7864) * CHOOSE(CONTROL!$C$21, $C$9, 100%, $E$9)</f>
        <v>6.7864000000000004</v>
      </c>
      <c r="E180" s="10">
        <f>CHOOSE(CONTROL!$C$42, 6.8202, 6.8202) * CHOOSE(CONTROL!$C$21, $C$9, 100%, $E$9)</f>
        <v>6.8201999999999998</v>
      </c>
      <c r="F180" s="10">
        <f>CHOOSE(CONTROL!$C$42, 6.7201, 6.7201)*CHOOSE(CONTROL!$C$21, $C$9, 100%, $E$9)</f>
        <v>6.7201000000000004</v>
      </c>
      <c r="G180" s="10">
        <f>CHOOSE(CONTROL!$C$42, 6.7376, 6.7376)*CHOOSE(CONTROL!$C$21, $C$9, 100%, $E$9)</f>
        <v>6.7375999999999996</v>
      </c>
      <c r="H180" s="10">
        <f>CHOOSE(CONTROL!$C$42, 6.8094, 6.8094) * CHOOSE(CONTROL!$C$21, $C$9, 100%, $E$9)</f>
        <v>6.8094000000000001</v>
      </c>
      <c r="I180" s="10">
        <f>CHOOSE(CONTROL!$C$42, 6.7155, 6.7155)* CHOOSE(CONTROL!$C$21, $C$9, 100%, $E$9)</f>
        <v>6.7154999999999996</v>
      </c>
      <c r="J180" s="10">
        <f>CHOOSE(CONTROL!$C$42, 6.7131, 6.7131)* CHOOSE(CONTROL!$C$21, $C$9, 100%, $E$9)</f>
        <v>6.7130999999999998</v>
      </c>
      <c r="K180" s="54">
        <f>CHOOSE(CONTROL!$C$42, 6.7116, 6.7116) * CHOOSE(CONTROL!$C$21, $C$9, 100%, $E$9)</f>
        <v>6.7115999999999998</v>
      </c>
      <c r="L180" s="10">
        <f>CHOOSE(CONTROL!$C$42, 7.3964, 7.3964) * CHOOSE(CONTROL!$C$21, $C$9, 100%, $E$9)</f>
        <v>7.3963999999999999</v>
      </c>
      <c r="M180" s="10">
        <f>CHOOSE(CONTROL!$C$42, 6.6592, 6.6592) * CHOOSE(CONTROL!$C$21, $C$9, 100%, $E$9)</f>
        <v>6.6592000000000002</v>
      </c>
      <c r="N180" s="10">
        <f>CHOOSE(CONTROL!$C$42, 6.6765, 6.6765) * CHOOSE(CONTROL!$C$21, $C$9, 100%, $E$9)</f>
        <v>6.6764999999999999</v>
      </c>
      <c r="O180" s="10">
        <f>CHOOSE(CONTROL!$C$42, 6.7545, 6.7545) * CHOOSE(CONTROL!$C$21, $C$9, 100%, $E$9)</f>
        <v>6.7545000000000002</v>
      </c>
      <c r="P180" s="10">
        <f>CHOOSE(CONTROL!$C$42, 6.6616, 6.6616) * CHOOSE(CONTROL!$C$21, $C$9, 100%, $E$9)</f>
        <v>6.6616</v>
      </c>
      <c r="Q180" s="10">
        <f>CHOOSE(CONTROL!$C$42, 7.3498, 7.3498) * CHOOSE(CONTROL!$C$21, $C$9, 100%, $E$9)</f>
        <v>7.3498000000000001</v>
      </c>
      <c r="R180" s="10">
        <f>CHOOSE(CONTROL!$C$42, 7.9552, 7.9552) * CHOOSE(CONTROL!$C$21, $C$9, 100%, $E$9)</f>
        <v>7.9551999999999996</v>
      </c>
      <c r="S180" s="10">
        <f>CHOOSE(CONTROL!$C$42, 6.5546, 6.5546) * CHOOSE(CONTROL!$C$21, $C$9, 100%, $E$9)</f>
        <v>6.5545999999999998</v>
      </c>
      <c r="T180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80" s="58">
        <f>(1000*CHOOSE(CONTROL!$C$42, 695, 695)*CHOOSE(CONTROL!$C$42, 0.5599, 0.5599)*CHOOSE(CONTROL!$C$42, 31, 31))/1000000</f>
        <v>12.063045499999998</v>
      </c>
      <c r="V180" s="58">
        <f>(1000*CHOOSE(CONTROL!$C$42, 500, 500)*CHOOSE(CONTROL!$C$42, 0.275, 0.275)*CHOOSE(CONTROL!$C$42, 31, 31))/1000000</f>
        <v>4.2625000000000002</v>
      </c>
      <c r="W180" s="58">
        <f>(1000*CHOOSE(CONTROL!$C$42, 0.1146, 0.1146)*CHOOSE(CONTROL!$C$42, 121.5, 121.5)*CHOOSE(CONTROL!$C$42, 31, 31))/1000000</f>
        <v>0.43164089999999994</v>
      </c>
      <c r="X180" s="58">
        <f>(31*0.1790888*100000/1000000)+(31*0.2374*100000/1000000)</f>
        <v>1.2911152800000001</v>
      </c>
      <c r="Y180" s="58"/>
      <c r="Z180" s="10"/>
      <c r="AA180" s="57"/>
      <c r="AB180" s="51">
        <f>(B180*122.58+C180*297.941+D180*89.177+E180*40.302+F180*40+G180*160+H180*0+I180*100+J180*300)/(122.58+297.941+89.177+40.302+0+40+160+100+300)</f>
        <v>6.7418557773913053</v>
      </c>
      <c r="AC180" s="27">
        <f>(M180*'RAP TEMPLATE-GAS AVAILABILITY'!O179+N180*'RAP TEMPLATE-GAS AVAILABILITY'!P179+O180*'RAP TEMPLATE-GAS AVAILABILITY'!Q179+P180*'RAP TEMPLATE-GAS AVAILABILITY'!R179)/('RAP TEMPLATE-GAS AVAILABILITY'!O179+'RAP TEMPLATE-GAS AVAILABILITY'!P179+'RAP TEMPLATE-GAS AVAILABILITY'!Q179+'RAP TEMPLATE-GAS AVAILABILITY'!R179)</f>
        <v>6.7037345323741011</v>
      </c>
    </row>
    <row r="181" spans="1:29" ht="15.75" x14ac:dyDescent="0.25">
      <c r="A181" s="16">
        <v>46388</v>
      </c>
      <c r="B181" s="10">
        <f>CHOOSE(CONTROL!$C$42, 7.3048, 7.3048) * CHOOSE(CONTROL!$C$21, $C$9, 100%, $E$9)</f>
        <v>7.3048000000000002</v>
      </c>
      <c r="C181" s="10">
        <f>CHOOSE(CONTROL!$C$42, 7.3098, 7.3098) * CHOOSE(CONTROL!$C$21, $C$9, 100%, $E$9)</f>
        <v>7.3098000000000001</v>
      </c>
      <c r="D181" s="10">
        <f>CHOOSE(CONTROL!$C$42, 7.36, 7.36) * CHOOSE(CONTROL!$C$21, $C$9, 100%, $E$9)</f>
        <v>7.36</v>
      </c>
      <c r="E181" s="10">
        <f>CHOOSE(CONTROL!$C$42, 7.3938, 7.3938) * CHOOSE(CONTROL!$C$21, $C$9, 100%, $E$9)</f>
        <v>7.3937999999999997</v>
      </c>
      <c r="F181" s="10">
        <f>CHOOSE(CONTROL!$C$42, 7.2702, 7.2702)*CHOOSE(CONTROL!$C$21, $C$9, 100%, $E$9)</f>
        <v>7.2702</v>
      </c>
      <c r="G181" s="10">
        <f>CHOOSE(CONTROL!$C$42, 7.2877, 7.2877)*CHOOSE(CONTROL!$C$21, $C$9, 100%, $E$9)</f>
        <v>7.2877000000000001</v>
      </c>
      <c r="H181" s="10">
        <f>CHOOSE(CONTROL!$C$42, 7.383, 7.383) * CHOOSE(CONTROL!$C$21, $C$9, 100%, $E$9)</f>
        <v>7.383</v>
      </c>
      <c r="I181" s="10">
        <f>CHOOSE(CONTROL!$C$42, 7.2787, 7.2787)* CHOOSE(CONTROL!$C$21, $C$9, 100%, $E$9)</f>
        <v>7.2786999999999997</v>
      </c>
      <c r="J181" s="10">
        <f>CHOOSE(CONTROL!$C$42, 7.2632, 7.2632)* CHOOSE(CONTROL!$C$21, $C$9, 100%, $E$9)</f>
        <v>7.2632000000000003</v>
      </c>
      <c r="K181" s="54">
        <f>CHOOSE(CONTROL!$C$42, 7.2748, 7.2748) * CHOOSE(CONTROL!$C$21, $C$9, 100%, $E$9)</f>
        <v>7.2747999999999999</v>
      </c>
      <c r="L181" s="10">
        <f>CHOOSE(CONTROL!$C$42, 7.97, 7.97) * CHOOSE(CONTROL!$C$21, $C$9, 100%, $E$9)</f>
        <v>7.97</v>
      </c>
      <c r="M181" s="10">
        <f>CHOOSE(CONTROL!$C$42, 7.2037, 7.2037) * CHOOSE(CONTROL!$C$21, $C$9, 100%, $E$9)</f>
        <v>7.2037000000000004</v>
      </c>
      <c r="N181" s="10">
        <f>CHOOSE(CONTROL!$C$42, 7.2211, 7.2211) * CHOOSE(CONTROL!$C$21, $C$9, 100%, $E$9)</f>
        <v>7.2210999999999999</v>
      </c>
      <c r="O181" s="10">
        <f>CHOOSE(CONTROL!$C$42, 7.3223, 7.3223) * CHOOSE(CONTROL!$C$21, $C$9, 100%, $E$9)</f>
        <v>7.3223000000000003</v>
      </c>
      <c r="P181" s="10">
        <f>CHOOSE(CONTROL!$C$42, 7.2191, 7.2191) * CHOOSE(CONTROL!$C$21, $C$9, 100%, $E$9)</f>
        <v>7.2191000000000001</v>
      </c>
      <c r="Q181" s="10">
        <f>CHOOSE(CONTROL!$C$42, 7.9176, 7.9176) * CHOOSE(CONTROL!$C$21, $C$9, 100%, $E$9)</f>
        <v>7.9176000000000002</v>
      </c>
      <c r="R181" s="10">
        <f>CHOOSE(CONTROL!$C$42, 8.5244, 8.5244) * CHOOSE(CONTROL!$C$21, $C$9, 100%, $E$9)</f>
        <v>8.5244</v>
      </c>
      <c r="S181" s="10">
        <f>CHOOSE(CONTROL!$C$42, 7.0916, 7.0916) * CHOOSE(CONTROL!$C$21, $C$9, 100%, $E$9)</f>
        <v>7.0915999999999997</v>
      </c>
      <c r="T181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81" s="58">
        <f>(1000*CHOOSE(CONTROL!$C$42, 695, 695)*CHOOSE(CONTROL!$C$42, 0.5599, 0.5599)*CHOOSE(CONTROL!$C$42, 31, 31))/1000000</f>
        <v>12.063045499999998</v>
      </c>
      <c r="V181" s="58">
        <f>(1000*CHOOSE(CONTROL!$C$42, 500, 500)*CHOOSE(CONTROL!$C$42, 0.275, 0.275)*CHOOSE(CONTROL!$C$42, 31, 31))/1000000</f>
        <v>4.2625000000000002</v>
      </c>
      <c r="W181" s="58">
        <f>(1000*CHOOSE(CONTROL!$C$42, 0.1146, 0.1146)*CHOOSE(CONTROL!$C$42, 121.5, 121.5)*CHOOSE(CONTROL!$C$42, 31, 31))/1000000</f>
        <v>0.43164089999999994</v>
      </c>
      <c r="X181" s="58">
        <f>(31*0.1790888*100000/1000000)+(31*0.2374*100000/1000000)</f>
        <v>1.2911152800000001</v>
      </c>
      <c r="Y181" s="58"/>
      <c r="Z181" s="10"/>
      <c r="AA181" s="57"/>
      <c r="AB181" s="51">
        <f>(B181*122.58+C181*297.941+D181*89.177+E181*40.302+F181*40+G181*160+H181*0+I181*100+J181*300)/(122.58+297.941+89.177+40.302+0+40+160+100+300)</f>
        <v>7.2967905681739138</v>
      </c>
      <c r="AC181" s="27">
        <f>(M181*'RAP TEMPLATE-GAS AVAILABILITY'!O180+N181*'RAP TEMPLATE-GAS AVAILABILITY'!P180+O181*'RAP TEMPLATE-GAS AVAILABILITY'!Q180+P181*'RAP TEMPLATE-GAS AVAILABILITY'!R180)/('RAP TEMPLATE-GAS AVAILABILITY'!O180+'RAP TEMPLATE-GAS AVAILABILITY'!P180+'RAP TEMPLATE-GAS AVAILABILITY'!Q180+'RAP TEMPLATE-GAS AVAILABILITY'!R180)</f>
        <v>7.2606712230215829</v>
      </c>
    </row>
    <row r="182" spans="1:29" ht="15.75" x14ac:dyDescent="0.25">
      <c r="A182" s="16">
        <v>46419</v>
      </c>
      <c r="B182" s="10">
        <f>CHOOSE(CONTROL!$C$42, 7.4348, 7.4348) * CHOOSE(CONTROL!$C$21, $C$9, 100%, $E$9)</f>
        <v>7.4348000000000001</v>
      </c>
      <c r="C182" s="10">
        <f>CHOOSE(CONTROL!$C$42, 7.4398, 7.4398) * CHOOSE(CONTROL!$C$21, $C$9, 100%, $E$9)</f>
        <v>7.4398</v>
      </c>
      <c r="D182" s="10">
        <f>CHOOSE(CONTROL!$C$42, 7.5003, 7.5003) * CHOOSE(CONTROL!$C$21, $C$9, 100%, $E$9)</f>
        <v>7.5003000000000002</v>
      </c>
      <c r="E182" s="10">
        <f>CHOOSE(CONTROL!$C$42, 7.534, 7.534) * CHOOSE(CONTROL!$C$21, $C$9, 100%, $E$9)</f>
        <v>7.5339999999999998</v>
      </c>
      <c r="F182" s="10">
        <f>CHOOSE(CONTROL!$C$42, 7.428, 7.428)*CHOOSE(CONTROL!$C$21, $C$9, 100%, $E$9)</f>
        <v>7.4279999999999999</v>
      </c>
      <c r="G182" s="10">
        <f>CHOOSE(CONTROL!$C$42, 7.4453, 7.4453)*CHOOSE(CONTROL!$C$21, $C$9, 100%, $E$9)</f>
        <v>7.4452999999999996</v>
      </c>
      <c r="H182" s="10">
        <f>CHOOSE(CONTROL!$C$42, 7.5232, 7.5232) * CHOOSE(CONTROL!$C$21, $C$9, 100%, $E$9)</f>
        <v>7.5232000000000001</v>
      </c>
      <c r="I182" s="10">
        <f>CHOOSE(CONTROL!$C$42, 7.4216, 7.4216)* CHOOSE(CONTROL!$C$21, $C$9, 100%, $E$9)</f>
        <v>7.4215999999999998</v>
      </c>
      <c r="J182" s="10">
        <f>CHOOSE(CONTROL!$C$42, 7.421, 7.421)* CHOOSE(CONTROL!$C$21, $C$9, 100%, $E$9)</f>
        <v>7.4210000000000003</v>
      </c>
      <c r="K182" s="54">
        <f>CHOOSE(CONTROL!$C$42, 7.4177, 7.4177) * CHOOSE(CONTROL!$C$21, $C$9, 100%, $E$9)</f>
        <v>7.4177</v>
      </c>
      <c r="L182" s="10">
        <f>CHOOSE(CONTROL!$C$42, 8.1102, 8.1102) * CHOOSE(CONTROL!$C$21, $C$9, 100%, $E$9)</f>
        <v>8.1102000000000007</v>
      </c>
      <c r="M182" s="10">
        <f>CHOOSE(CONTROL!$C$42, 7.36, 7.36) * CHOOSE(CONTROL!$C$21, $C$9, 100%, $E$9)</f>
        <v>7.36</v>
      </c>
      <c r="N182" s="10">
        <f>CHOOSE(CONTROL!$C$42, 7.3771, 7.3771) * CHOOSE(CONTROL!$C$21, $C$9, 100%, $E$9)</f>
        <v>7.3771000000000004</v>
      </c>
      <c r="O182" s="10">
        <f>CHOOSE(CONTROL!$C$42, 7.4611, 7.4611) * CHOOSE(CONTROL!$C$21, $C$9, 100%, $E$9)</f>
        <v>7.4611000000000001</v>
      </c>
      <c r="P182" s="10">
        <f>CHOOSE(CONTROL!$C$42, 7.3605, 7.3605) * CHOOSE(CONTROL!$C$21, $C$9, 100%, $E$9)</f>
        <v>7.3605</v>
      </c>
      <c r="Q182" s="10">
        <f>CHOOSE(CONTROL!$C$42, 8.0564, 8.0564) * CHOOSE(CONTROL!$C$21, $C$9, 100%, $E$9)</f>
        <v>8.0564</v>
      </c>
      <c r="R182" s="10">
        <f>CHOOSE(CONTROL!$C$42, 8.6636, 8.6636) * CHOOSE(CONTROL!$C$21, $C$9, 100%, $E$9)</f>
        <v>8.6636000000000006</v>
      </c>
      <c r="S182" s="10">
        <f>CHOOSE(CONTROL!$C$42, 7.2178, 7.2178) * CHOOSE(CONTROL!$C$21, $C$9, 100%, $E$9)</f>
        <v>7.2178000000000004</v>
      </c>
      <c r="T182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182" s="58">
        <f>(1000*CHOOSE(CONTROL!$C$42, 695, 695)*CHOOSE(CONTROL!$C$42, 0.5599, 0.5599)*CHOOSE(CONTROL!$C$42, 28, 28))/1000000</f>
        <v>10.895653999999999</v>
      </c>
      <c r="V182" s="58">
        <f>(1000*CHOOSE(CONTROL!$C$42, 500, 500)*CHOOSE(CONTROL!$C$42, 0.275, 0.275)*CHOOSE(CONTROL!$C$42, 28, 28))/1000000</f>
        <v>3.85</v>
      </c>
      <c r="W182" s="58">
        <f>(1000*CHOOSE(CONTROL!$C$42, 0.1146, 0.1146)*CHOOSE(CONTROL!$C$42, 121.5, 121.5)*CHOOSE(CONTROL!$C$42, 28, 28))/1000000</f>
        <v>0.38986920000000003</v>
      </c>
      <c r="X182" s="58">
        <f>(28*0.1790888*100000/1000000)+(28*0.2374*100000/1000000)</f>
        <v>1.16616864</v>
      </c>
      <c r="Y182" s="58"/>
      <c r="Z182" s="10"/>
      <c r="AA182" s="57"/>
      <c r="AB182" s="51">
        <f>(B182*122.58+C182*297.941+D182*89.177+E182*40.302+F182*40+G182*160+H182*0+I182*100+J182*300)/(122.58+297.941+89.177+40.302+0+40+160+100+300)</f>
        <v>7.4411276146956515</v>
      </c>
      <c r="AC182" s="27">
        <f>(M182*'RAP TEMPLATE-GAS AVAILABILITY'!O181+N182*'RAP TEMPLATE-GAS AVAILABILITY'!P181+O182*'RAP TEMPLATE-GAS AVAILABILITY'!Q181+P182*'RAP TEMPLATE-GAS AVAILABILITY'!R181)/('RAP TEMPLATE-GAS AVAILABILITY'!O181+'RAP TEMPLATE-GAS AVAILABILITY'!P181+'RAP TEMPLATE-GAS AVAILABILITY'!Q181+'RAP TEMPLATE-GAS AVAILABILITY'!R181)</f>
        <v>7.4068784172661868</v>
      </c>
    </row>
    <row r="183" spans="1:29" ht="15.75" x14ac:dyDescent="0.25">
      <c r="A183" s="16">
        <v>46447</v>
      </c>
      <c r="B183" s="10">
        <f>CHOOSE(CONTROL!$C$42, 7.2238, 7.2238) * CHOOSE(CONTROL!$C$21, $C$9, 100%, $E$9)</f>
        <v>7.2237999999999998</v>
      </c>
      <c r="C183" s="10">
        <f>CHOOSE(CONTROL!$C$42, 7.2288, 7.2288) * CHOOSE(CONTROL!$C$21, $C$9, 100%, $E$9)</f>
        <v>7.2287999999999997</v>
      </c>
      <c r="D183" s="10">
        <f>CHOOSE(CONTROL!$C$42, 7.2893, 7.2893) * CHOOSE(CONTROL!$C$21, $C$9, 100%, $E$9)</f>
        <v>7.2892999999999999</v>
      </c>
      <c r="E183" s="10">
        <f>CHOOSE(CONTROL!$C$42, 7.3231, 7.3231) * CHOOSE(CONTROL!$C$21, $C$9, 100%, $E$9)</f>
        <v>7.3231000000000002</v>
      </c>
      <c r="F183" s="10">
        <f>CHOOSE(CONTROL!$C$42, 7.2115, 7.2115)*CHOOSE(CONTROL!$C$21, $C$9, 100%, $E$9)</f>
        <v>7.2115</v>
      </c>
      <c r="G183" s="10">
        <f>CHOOSE(CONTROL!$C$42, 7.2287, 7.2287)*CHOOSE(CONTROL!$C$21, $C$9, 100%, $E$9)</f>
        <v>7.2286999999999999</v>
      </c>
      <c r="H183" s="10">
        <f>CHOOSE(CONTROL!$C$42, 7.3122, 7.3122) * CHOOSE(CONTROL!$C$21, $C$9, 100%, $E$9)</f>
        <v>7.3121999999999998</v>
      </c>
      <c r="I183" s="10">
        <f>CHOOSE(CONTROL!$C$42, 7.1977, 7.1977)* CHOOSE(CONTROL!$C$21, $C$9, 100%, $E$9)</f>
        <v>7.1977000000000002</v>
      </c>
      <c r="J183" s="10">
        <f>CHOOSE(CONTROL!$C$42, 7.2045, 7.2045)* CHOOSE(CONTROL!$C$21, $C$9, 100%, $E$9)</f>
        <v>7.2045000000000003</v>
      </c>
      <c r="K183" s="54">
        <f>CHOOSE(CONTROL!$C$42, 7.1938, 7.1938) * CHOOSE(CONTROL!$C$21, $C$9, 100%, $E$9)</f>
        <v>7.1938000000000004</v>
      </c>
      <c r="L183" s="10">
        <f>CHOOSE(CONTROL!$C$42, 7.8992, 7.8992) * CHOOSE(CONTROL!$C$21, $C$9, 100%, $E$9)</f>
        <v>7.8992000000000004</v>
      </c>
      <c r="M183" s="10">
        <f>CHOOSE(CONTROL!$C$42, 7.1457, 7.1457) * CHOOSE(CONTROL!$C$21, $C$9, 100%, $E$9)</f>
        <v>7.1456999999999997</v>
      </c>
      <c r="N183" s="10">
        <f>CHOOSE(CONTROL!$C$42, 7.1627, 7.1627) * CHOOSE(CONTROL!$C$21, $C$9, 100%, $E$9)</f>
        <v>7.1627000000000001</v>
      </c>
      <c r="O183" s="10">
        <f>CHOOSE(CONTROL!$C$42, 7.2523, 7.2523) * CHOOSE(CONTROL!$C$21, $C$9, 100%, $E$9)</f>
        <v>7.2523</v>
      </c>
      <c r="P183" s="10">
        <f>CHOOSE(CONTROL!$C$42, 7.1389, 7.1389) * CHOOSE(CONTROL!$C$21, $C$9, 100%, $E$9)</f>
        <v>7.1388999999999996</v>
      </c>
      <c r="Q183" s="10">
        <f>CHOOSE(CONTROL!$C$42, 7.8476, 7.8476) * CHOOSE(CONTROL!$C$21, $C$9, 100%, $E$9)</f>
        <v>7.8475999999999999</v>
      </c>
      <c r="R183" s="10">
        <f>CHOOSE(CONTROL!$C$42, 8.4542, 8.4542) * CHOOSE(CONTROL!$C$21, $C$9, 100%, $E$9)</f>
        <v>8.4542000000000002</v>
      </c>
      <c r="S183" s="10">
        <f>CHOOSE(CONTROL!$C$42, 7.0129, 7.0129) * CHOOSE(CONTROL!$C$21, $C$9, 100%, $E$9)</f>
        <v>7.0129000000000001</v>
      </c>
      <c r="T183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83" s="58">
        <f>(1000*CHOOSE(CONTROL!$C$42, 695, 695)*CHOOSE(CONTROL!$C$42, 0.5599, 0.5599)*CHOOSE(CONTROL!$C$42, 31, 31))/1000000</f>
        <v>12.063045499999998</v>
      </c>
      <c r="V183" s="58">
        <f>(1000*CHOOSE(CONTROL!$C$42, 500, 500)*CHOOSE(CONTROL!$C$42, 0.275, 0.275)*CHOOSE(CONTROL!$C$42, 31, 31))/1000000</f>
        <v>4.2625000000000002</v>
      </c>
      <c r="W183" s="58">
        <f>(1000*CHOOSE(CONTROL!$C$42, 0.1146, 0.1146)*CHOOSE(CONTROL!$C$42, 121.5, 121.5)*CHOOSE(CONTROL!$C$42, 31, 31))/1000000</f>
        <v>0.43164089999999994</v>
      </c>
      <c r="X183" s="58">
        <f>(31*0.1790888*100000/1000000)+(31*0.2374*100000/1000000)</f>
        <v>1.2911152800000001</v>
      </c>
      <c r="Y183" s="58"/>
      <c r="Z183" s="10"/>
      <c r="AA183" s="57"/>
      <c r="AB183" s="51">
        <f>(B183*122.58+C183*297.941+D183*89.177+E183*40.302+F183*40+G183*160+H183*0+I183*100+J183*300)/(122.58+297.941+89.177+40.302+0+40+160+100+300)</f>
        <v>7.2266041626956525</v>
      </c>
      <c r="AC183" s="27">
        <f>(M183*'RAP TEMPLATE-GAS AVAILABILITY'!O182+N183*'RAP TEMPLATE-GAS AVAILABILITY'!P182+O183*'RAP TEMPLATE-GAS AVAILABILITY'!Q182+P183*'RAP TEMPLATE-GAS AVAILABILITY'!R182)/('RAP TEMPLATE-GAS AVAILABILITY'!O182+'RAP TEMPLATE-GAS AVAILABILITY'!P182+'RAP TEMPLATE-GAS AVAILABILITY'!Q182+'RAP TEMPLATE-GAS AVAILABILITY'!R182)</f>
        <v>7.1940151079136694</v>
      </c>
    </row>
    <row r="184" spans="1:29" ht="15.75" x14ac:dyDescent="0.25">
      <c r="A184" s="16">
        <v>46478</v>
      </c>
      <c r="B184" s="10">
        <f>CHOOSE(CONTROL!$C$42, 7.2034, 7.2034) * CHOOSE(CONTROL!$C$21, $C$9, 100%, $E$9)</f>
        <v>7.2034000000000002</v>
      </c>
      <c r="C184" s="10">
        <f>CHOOSE(CONTROL!$C$42, 7.2077, 7.2077) * CHOOSE(CONTROL!$C$21, $C$9, 100%, $E$9)</f>
        <v>7.2077</v>
      </c>
      <c r="D184" s="10">
        <f>CHOOSE(CONTROL!$C$42, 7.4033, 7.4033) * CHOOSE(CONTROL!$C$21, $C$9, 100%, $E$9)</f>
        <v>7.4032999999999998</v>
      </c>
      <c r="E184" s="10">
        <f>CHOOSE(CONTROL!$C$42, 7.4351, 7.4351) * CHOOSE(CONTROL!$C$21, $C$9, 100%, $E$9)</f>
        <v>7.4351000000000003</v>
      </c>
      <c r="F184" s="10">
        <f>CHOOSE(CONTROL!$C$42, 7.1712, 7.1712)*CHOOSE(CONTROL!$C$21, $C$9, 100%, $E$9)</f>
        <v>7.1711999999999998</v>
      </c>
      <c r="G184" s="10">
        <f>CHOOSE(CONTROL!$C$42, 7.188, 7.188)*CHOOSE(CONTROL!$C$21, $C$9, 100%, $E$9)</f>
        <v>7.1879999999999997</v>
      </c>
      <c r="H184" s="10">
        <f>CHOOSE(CONTROL!$C$42, 7.4249, 7.4249) * CHOOSE(CONTROL!$C$21, $C$9, 100%, $E$9)</f>
        <v>7.4249000000000001</v>
      </c>
      <c r="I184" s="10">
        <f>CHOOSE(CONTROL!$C$42, 7.1713, 7.1713)* CHOOSE(CONTROL!$C$21, $C$9, 100%, $E$9)</f>
        <v>7.1712999999999996</v>
      </c>
      <c r="J184" s="10">
        <f>CHOOSE(CONTROL!$C$42, 7.1642, 7.1642)* CHOOSE(CONTROL!$C$21, $C$9, 100%, $E$9)</f>
        <v>7.1642000000000001</v>
      </c>
      <c r="K184" s="54">
        <f>CHOOSE(CONTROL!$C$42, 7.1674, 7.1674) * CHOOSE(CONTROL!$C$21, $C$9, 100%, $E$9)</f>
        <v>7.1673999999999998</v>
      </c>
      <c r="L184" s="10">
        <f>CHOOSE(CONTROL!$C$42, 8.0119, 8.0119) * CHOOSE(CONTROL!$C$21, $C$9, 100%, $E$9)</f>
        <v>8.0119000000000007</v>
      </c>
      <c r="M184" s="10">
        <f>CHOOSE(CONTROL!$C$42, 7.1057, 7.1057) * CHOOSE(CONTROL!$C$21, $C$9, 100%, $E$9)</f>
        <v>7.1056999999999997</v>
      </c>
      <c r="N184" s="10">
        <f>CHOOSE(CONTROL!$C$42, 7.1223, 7.1223) * CHOOSE(CONTROL!$C$21, $C$9, 100%, $E$9)</f>
        <v>7.1223000000000001</v>
      </c>
      <c r="O184" s="10">
        <f>CHOOSE(CONTROL!$C$42, 7.3638, 7.3638) * CHOOSE(CONTROL!$C$21, $C$9, 100%, $E$9)</f>
        <v>7.3638000000000003</v>
      </c>
      <c r="P184" s="10">
        <f>CHOOSE(CONTROL!$C$42, 7.1128, 7.1128) * CHOOSE(CONTROL!$C$21, $C$9, 100%, $E$9)</f>
        <v>7.1128</v>
      </c>
      <c r="Q184" s="10">
        <f>CHOOSE(CONTROL!$C$42, 7.9591, 7.9591) * CHOOSE(CONTROL!$C$21, $C$9, 100%, $E$9)</f>
        <v>7.9591000000000003</v>
      </c>
      <c r="R184" s="10">
        <f>CHOOSE(CONTROL!$C$42, 8.566, 8.566) * CHOOSE(CONTROL!$C$21, $C$9, 100%, $E$9)</f>
        <v>8.5660000000000007</v>
      </c>
      <c r="S184" s="10">
        <f>CHOOSE(CONTROL!$C$42, 6.9923, 6.9923) * CHOOSE(CONTROL!$C$21, $C$9, 100%, $E$9)</f>
        <v>6.9923000000000002</v>
      </c>
      <c r="T184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84" s="58">
        <f>(1000*CHOOSE(CONTROL!$C$42, 695, 695)*CHOOSE(CONTROL!$C$42, 0.5599, 0.5599)*CHOOSE(CONTROL!$C$42, 30, 30))/1000000</f>
        <v>11.673914999999997</v>
      </c>
      <c r="V184" s="58">
        <f>(1000*CHOOSE(CONTROL!$C$42, 500, 500)*CHOOSE(CONTROL!$C$42, 0.275, 0.275)*CHOOSE(CONTROL!$C$42, 30, 30))/1000000</f>
        <v>4.125</v>
      </c>
      <c r="W184" s="58">
        <f>(1000*CHOOSE(CONTROL!$C$42, 0.1146, 0.1146)*CHOOSE(CONTROL!$C$42, 121.5, 121.5)*CHOOSE(CONTROL!$C$42, 30, 30))/1000000</f>
        <v>0.417717</v>
      </c>
      <c r="X184" s="58">
        <f>(30*0.1790888*245000/1000000)+(30*0.2374*100000/1000000)</f>
        <v>2.0285026799999999</v>
      </c>
      <c r="Y184" s="58"/>
      <c r="Z184" s="10"/>
      <c r="AA184" s="57"/>
      <c r="AB184" s="51">
        <f>(B184*141.293+C184*267.993+D184*115.016+E184*89.698+F184*40+G184*185+H184*0+I184*100+J184*300)/(141.293+267.993+115.016+89.698+0+40+185+100+300)</f>
        <v>7.2242394631961258</v>
      </c>
      <c r="AC184" s="27">
        <f>(M184*'RAP TEMPLATE-GAS AVAILABILITY'!O183+N184*'RAP TEMPLATE-GAS AVAILABILITY'!P183+O184*'RAP TEMPLATE-GAS AVAILABILITY'!Q183+P184*'RAP TEMPLATE-GAS AVAILABILITY'!R183)/('RAP TEMPLATE-GAS AVAILABILITY'!O183+'RAP TEMPLATE-GAS AVAILABILITY'!P183+'RAP TEMPLATE-GAS AVAILABILITY'!Q183+'RAP TEMPLATE-GAS AVAILABILITY'!R183)</f>
        <v>7.1829597122302147</v>
      </c>
    </row>
    <row r="185" spans="1:29" ht="15.75" x14ac:dyDescent="0.25">
      <c r="A185" s="16">
        <v>46508</v>
      </c>
      <c r="B185" s="10">
        <f>CHOOSE(CONTROL!$C$42, 7.2683, 7.2683) * CHOOSE(CONTROL!$C$21, $C$9, 100%, $E$9)</f>
        <v>7.2683</v>
      </c>
      <c r="C185" s="10">
        <f>CHOOSE(CONTROL!$C$42, 7.2762, 7.2762) * CHOOSE(CONTROL!$C$21, $C$9, 100%, $E$9)</f>
        <v>7.2762000000000002</v>
      </c>
      <c r="D185" s="10">
        <f>CHOOSE(CONTROL!$C$42, 7.4687, 7.4687) * CHOOSE(CONTROL!$C$21, $C$9, 100%, $E$9)</f>
        <v>7.4687000000000001</v>
      </c>
      <c r="E185" s="10">
        <f>CHOOSE(CONTROL!$C$42, 7.4998, 7.4998) * CHOOSE(CONTROL!$C$21, $C$9, 100%, $E$9)</f>
        <v>7.4997999999999996</v>
      </c>
      <c r="F185" s="10">
        <f>CHOOSE(CONTROL!$C$42, 7.2346, 7.2346)*CHOOSE(CONTROL!$C$21, $C$9, 100%, $E$9)</f>
        <v>7.2346000000000004</v>
      </c>
      <c r="G185" s="10">
        <f>CHOOSE(CONTROL!$C$42, 7.2517, 7.2517)*CHOOSE(CONTROL!$C$21, $C$9, 100%, $E$9)</f>
        <v>7.2516999999999996</v>
      </c>
      <c r="H185" s="10">
        <f>CHOOSE(CONTROL!$C$42, 7.4884, 7.4884) * CHOOSE(CONTROL!$C$21, $C$9, 100%, $E$9)</f>
        <v>7.4884000000000004</v>
      </c>
      <c r="I185" s="10">
        <f>CHOOSE(CONTROL!$C$42, 7.2349, 7.2349)* CHOOSE(CONTROL!$C$21, $C$9, 100%, $E$9)</f>
        <v>7.2348999999999997</v>
      </c>
      <c r="J185" s="10">
        <f>CHOOSE(CONTROL!$C$42, 7.2276, 7.2276)* CHOOSE(CONTROL!$C$21, $C$9, 100%, $E$9)</f>
        <v>7.2275999999999998</v>
      </c>
      <c r="K185" s="54">
        <f>CHOOSE(CONTROL!$C$42, 7.231, 7.231) * CHOOSE(CONTROL!$C$21, $C$9, 100%, $E$9)</f>
        <v>7.2309999999999999</v>
      </c>
      <c r="L185" s="10">
        <f>CHOOSE(CONTROL!$C$42, 8.0754, 8.0754) * CHOOSE(CONTROL!$C$21, $C$9, 100%, $E$9)</f>
        <v>8.0754000000000001</v>
      </c>
      <c r="M185" s="10">
        <f>CHOOSE(CONTROL!$C$42, 7.1684, 7.1684) * CHOOSE(CONTROL!$C$21, $C$9, 100%, $E$9)</f>
        <v>7.1684000000000001</v>
      </c>
      <c r="N185" s="10">
        <f>CHOOSE(CONTROL!$C$42, 7.1854, 7.1854) * CHOOSE(CONTROL!$C$21, $C$9, 100%, $E$9)</f>
        <v>7.1853999999999996</v>
      </c>
      <c r="O185" s="10">
        <f>CHOOSE(CONTROL!$C$42, 7.4267, 7.4267) * CHOOSE(CONTROL!$C$21, $C$9, 100%, $E$9)</f>
        <v>7.4267000000000003</v>
      </c>
      <c r="P185" s="10">
        <f>CHOOSE(CONTROL!$C$42, 7.1757, 7.1757) * CHOOSE(CONTROL!$C$21, $C$9, 100%, $E$9)</f>
        <v>7.1757</v>
      </c>
      <c r="Q185" s="10">
        <f>CHOOSE(CONTROL!$C$42, 8.022, 8.022) * CHOOSE(CONTROL!$C$21, $C$9, 100%, $E$9)</f>
        <v>8.0220000000000002</v>
      </c>
      <c r="R185" s="10">
        <f>CHOOSE(CONTROL!$C$42, 8.629, 8.629) * CHOOSE(CONTROL!$C$21, $C$9, 100%, $E$9)</f>
        <v>8.6289999999999996</v>
      </c>
      <c r="S185" s="10">
        <f>CHOOSE(CONTROL!$C$42, 7.054, 7.054) * CHOOSE(CONTROL!$C$21, $C$9, 100%, $E$9)</f>
        <v>7.0540000000000003</v>
      </c>
      <c r="T185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85" s="58">
        <f>(1000*CHOOSE(CONTROL!$C$42, 695, 695)*CHOOSE(CONTROL!$C$42, 0.5599, 0.5599)*CHOOSE(CONTROL!$C$42, 31, 31))/1000000</f>
        <v>12.063045499999998</v>
      </c>
      <c r="V185" s="58">
        <f>(1000*CHOOSE(CONTROL!$C$42, 500, 500)*CHOOSE(CONTROL!$C$42, 0.275, 0.275)*CHOOSE(CONTROL!$C$42, 31, 31))/1000000</f>
        <v>4.2625000000000002</v>
      </c>
      <c r="W185" s="58">
        <f>(1000*CHOOSE(CONTROL!$C$42, 0.1146, 0.1146)*CHOOSE(CONTROL!$C$42, 121.5, 121.5)*CHOOSE(CONTROL!$C$42, 31, 31))/1000000</f>
        <v>0.43164089999999994</v>
      </c>
      <c r="X185" s="58">
        <f>(31*0.1790888*245000/1000000)+(31*0.2374*100000/1000000)</f>
        <v>2.0961194359999999</v>
      </c>
      <c r="Y185" s="58"/>
      <c r="Z185" s="10"/>
      <c r="AA185" s="57"/>
      <c r="AB185" s="51">
        <f>(B185*194.205+C185*267.466+D185*133.845+E185*53.484+F185*40+G185*185+H185*0+I185*100+J185*300)/(194.205+267.466+133.845+53.484+0+40+185+100+300)</f>
        <v>7.2850567232339074</v>
      </c>
      <c r="AC185" s="27">
        <f>(M185*'RAP TEMPLATE-GAS AVAILABILITY'!O184+N185*'RAP TEMPLATE-GAS AVAILABILITY'!P184+O185*'RAP TEMPLATE-GAS AVAILABILITY'!Q184+P185*'RAP TEMPLATE-GAS AVAILABILITY'!R184)/('RAP TEMPLATE-GAS AVAILABILITY'!O184+'RAP TEMPLATE-GAS AVAILABILITY'!P184+'RAP TEMPLATE-GAS AVAILABILITY'!Q184+'RAP TEMPLATE-GAS AVAILABILITY'!R184)</f>
        <v>7.245836690647482</v>
      </c>
    </row>
    <row r="186" spans="1:29" ht="15.75" x14ac:dyDescent="0.25">
      <c r="A186" s="16">
        <v>46539</v>
      </c>
      <c r="B186" s="10">
        <f>CHOOSE(CONTROL!$C$42, 7.4743, 7.4743) * CHOOSE(CONTROL!$C$21, $C$9, 100%, $E$9)</f>
        <v>7.4743000000000004</v>
      </c>
      <c r="C186" s="10">
        <f>CHOOSE(CONTROL!$C$42, 7.4822, 7.4822) * CHOOSE(CONTROL!$C$21, $C$9, 100%, $E$9)</f>
        <v>7.4821999999999997</v>
      </c>
      <c r="D186" s="10">
        <f>CHOOSE(CONTROL!$C$42, 7.6747, 7.6747) * CHOOSE(CONTROL!$C$21, $C$9, 100%, $E$9)</f>
        <v>7.6746999999999996</v>
      </c>
      <c r="E186" s="10">
        <f>CHOOSE(CONTROL!$C$42, 7.7058, 7.7058) * CHOOSE(CONTROL!$C$21, $C$9, 100%, $E$9)</f>
        <v>7.7058</v>
      </c>
      <c r="F186" s="10">
        <f>CHOOSE(CONTROL!$C$42, 7.4408, 7.4408)*CHOOSE(CONTROL!$C$21, $C$9, 100%, $E$9)</f>
        <v>7.4408000000000003</v>
      </c>
      <c r="G186" s="10">
        <f>CHOOSE(CONTROL!$C$42, 7.458, 7.458)*CHOOSE(CONTROL!$C$21, $C$9, 100%, $E$9)</f>
        <v>7.4580000000000002</v>
      </c>
      <c r="H186" s="10">
        <f>CHOOSE(CONTROL!$C$42, 7.6944, 7.6944) * CHOOSE(CONTROL!$C$21, $C$9, 100%, $E$9)</f>
        <v>7.6943999999999999</v>
      </c>
      <c r="I186" s="10">
        <f>CHOOSE(CONTROL!$C$42, 7.4409, 7.4409)* CHOOSE(CONTROL!$C$21, $C$9, 100%, $E$9)</f>
        <v>7.4409000000000001</v>
      </c>
      <c r="J186" s="10">
        <f>CHOOSE(CONTROL!$C$42, 7.4338, 7.4338)* CHOOSE(CONTROL!$C$21, $C$9, 100%, $E$9)</f>
        <v>7.4337999999999997</v>
      </c>
      <c r="K186" s="54">
        <f>CHOOSE(CONTROL!$C$42, 7.437, 7.437) * CHOOSE(CONTROL!$C$21, $C$9, 100%, $E$9)</f>
        <v>7.4370000000000003</v>
      </c>
      <c r="L186" s="10">
        <f>CHOOSE(CONTROL!$C$42, 8.2814, 8.2814) * CHOOSE(CONTROL!$C$21, $C$9, 100%, $E$9)</f>
        <v>8.2813999999999997</v>
      </c>
      <c r="M186" s="10">
        <f>CHOOSE(CONTROL!$C$42, 7.3726, 7.3726) * CHOOSE(CONTROL!$C$21, $C$9, 100%, $E$9)</f>
        <v>7.3726000000000003</v>
      </c>
      <c r="N186" s="10">
        <f>CHOOSE(CONTROL!$C$42, 7.3896, 7.3896) * CHOOSE(CONTROL!$C$21, $C$9, 100%, $E$9)</f>
        <v>7.3895999999999997</v>
      </c>
      <c r="O186" s="10">
        <f>CHOOSE(CONTROL!$C$42, 7.6306, 7.6306) * CHOOSE(CONTROL!$C$21, $C$9, 100%, $E$9)</f>
        <v>7.6306000000000003</v>
      </c>
      <c r="P186" s="10">
        <f>CHOOSE(CONTROL!$C$42, 7.3797, 7.3797) * CHOOSE(CONTROL!$C$21, $C$9, 100%, $E$9)</f>
        <v>7.3796999999999997</v>
      </c>
      <c r="Q186" s="10">
        <f>CHOOSE(CONTROL!$C$42, 8.2259, 8.2259) * CHOOSE(CONTROL!$C$21, $C$9, 100%, $E$9)</f>
        <v>8.2258999999999993</v>
      </c>
      <c r="R186" s="10">
        <f>CHOOSE(CONTROL!$C$42, 8.8335, 8.8335) * CHOOSE(CONTROL!$C$21, $C$9, 100%, $E$9)</f>
        <v>8.8335000000000008</v>
      </c>
      <c r="S186" s="10">
        <f>CHOOSE(CONTROL!$C$42, 7.2541, 7.2541) * CHOOSE(CONTROL!$C$21, $C$9, 100%, $E$9)</f>
        <v>7.2541000000000002</v>
      </c>
      <c r="T186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86" s="58">
        <f>(1000*CHOOSE(CONTROL!$C$42, 695, 695)*CHOOSE(CONTROL!$C$42, 0.5599, 0.5599)*CHOOSE(CONTROL!$C$42, 30, 30))/1000000</f>
        <v>11.673914999999997</v>
      </c>
      <c r="V186" s="58">
        <f>(1000*CHOOSE(CONTROL!$C$42, 500, 500)*CHOOSE(CONTROL!$C$42, 0.275, 0.275)*CHOOSE(CONTROL!$C$42, 30, 30))/1000000</f>
        <v>4.125</v>
      </c>
      <c r="W186" s="58">
        <f>(1000*CHOOSE(CONTROL!$C$42, 0.1146, 0.1146)*CHOOSE(CONTROL!$C$42, 121.5, 121.5)*CHOOSE(CONTROL!$C$42, 30, 30))/1000000</f>
        <v>0.417717</v>
      </c>
      <c r="X186" s="58">
        <f>(30*0.1790888*245000/1000000)+(30*0.2374*100000/1000000)</f>
        <v>2.0285026799999999</v>
      </c>
      <c r="Y186" s="58"/>
      <c r="Z186" s="10"/>
      <c r="AA186" s="57"/>
      <c r="AB186" s="51">
        <f>(B186*194.205+C186*267.466+D186*133.845+E186*53.484+F186*40+G186*185+H186*0+I186*100+J186*300)/(194.205+267.466+133.845+53.484+0+40+185+100+300)</f>
        <v>7.4911536620094186</v>
      </c>
      <c r="AC186" s="27">
        <f>(M186*'RAP TEMPLATE-GAS AVAILABILITY'!O185+N186*'RAP TEMPLATE-GAS AVAILABILITY'!P185+O186*'RAP TEMPLATE-GAS AVAILABILITY'!Q185+P186*'RAP TEMPLATE-GAS AVAILABILITY'!R185)/('RAP TEMPLATE-GAS AVAILABILITY'!O185+'RAP TEMPLATE-GAS AVAILABILITY'!P185+'RAP TEMPLATE-GAS AVAILABILITY'!Q185+'RAP TEMPLATE-GAS AVAILABILITY'!R185)</f>
        <v>7.4499237410071961</v>
      </c>
    </row>
    <row r="187" spans="1:29" ht="15.75" x14ac:dyDescent="0.25">
      <c r="A187" s="16">
        <v>46569</v>
      </c>
      <c r="B187" s="10">
        <f>CHOOSE(CONTROL!$C$42, 7.331, 7.331) * CHOOSE(CONTROL!$C$21, $C$9, 100%, $E$9)</f>
        <v>7.3310000000000004</v>
      </c>
      <c r="C187" s="10">
        <f>CHOOSE(CONTROL!$C$42, 7.339, 7.339) * CHOOSE(CONTROL!$C$21, $C$9, 100%, $E$9)</f>
        <v>7.3390000000000004</v>
      </c>
      <c r="D187" s="10">
        <f>CHOOSE(CONTROL!$C$42, 7.5314, 7.5314) * CHOOSE(CONTROL!$C$21, $C$9, 100%, $E$9)</f>
        <v>7.5313999999999997</v>
      </c>
      <c r="E187" s="10">
        <f>CHOOSE(CONTROL!$C$42, 7.5625, 7.5625) * CHOOSE(CONTROL!$C$21, $C$9, 100%, $E$9)</f>
        <v>7.5625</v>
      </c>
      <c r="F187" s="10">
        <f>CHOOSE(CONTROL!$C$42, 7.2979, 7.2979)*CHOOSE(CONTROL!$C$21, $C$9, 100%, $E$9)</f>
        <v>7.2979000000000003</v>
      </c>
      <c r="G187" s="10">
        <f>CHOOSE(CONTROL!$C$42, 7.3152, 7.3152)*CHOOSE(CONTROL!$C$21, $C$9, 100%, $E$9)</f>
        <v>7.3151999999999999</v>
      </c>
      <c r="H187" s="10">
        <f>CHOOSE(CONTROL!$C$42, 7.5512, 7.5512) * CHOOSE(CONTROL!$C$21, $C$9, 100%, $E$9)</f>
        <v>7.5511999999999997</v>
      </c>
      <c r="I187" s="10">
        <f>CHOOSE(CONTROL!$C$42, 7.2976, 7.2976)* CHOOSE(CONTROL!$C$21, $C$9, 100%, $E$9)</f>
        <v>7.2976000000000001</v>
      </c>
      <c r="J187" s="10">
        <f>CHOOSE(CONTROL!$C$42, 7.2909, 7.2909)* CHOOSE(CONTROL!$C$21, $C$9, 100%, $E$9)</f>
        <v>7.2908999999999997</v>
      </c>
      <c r="K187" s="54">
        <f>CHOOSE(CONTROL!$C$42, 7.2937, 7.2937) * CHOOSE(CONTROL!$C$21, $C$9, 100%, $E$9)</f>
        <v>7.2937000000000003</v>
      </c>
      <c r="L187" s="10">
        <f>CHOOSE(CONTROL!$C$42, 8.1382, 8.1382) * CHOOSE(CONTROL!$C$21, $C$9, 100%, $E$9)</f>
        <v>8.1381999999999994</v>
      </c>
      <c r="M187" s="10">
        <f>CHOOSE(CONTROL!$C$42, 7.2312, 7.2312) * CHOOSE(CONTROL!$C$21, $C$9, 100%, $E$9)</f>
        <v>7.2312000000000003</v>
      </c>
      <c r="N187" s="10">
        <f>CHOOSE(CONTROL!$C$42, 7.2483, 7.2483) * CHOOSE(CONTROL!$C$21, $C$9, 100%, $E$9)</f>
        <v>7.2483000000000004</v>
      </c>
      <c r="O187" s="10">
        <f>CHOOSE(CONTROL!$C$42, 7.4888, 7.4888) * CHOOSE(CONTROL!$C$21, $C$9, 100%, $E$9)</f>
        <v>7.4888000000000003</v>
      </c>
      <c r="P187" s="10">
        <f>CHOOSE(CONTROL!$C$42, 7.2378, 7.2378) * CHOOSE(CONTROL!$C$21, $C$9, 100%, $E$9)</f>
        <v>7.2378</v>
      </c>
      <c r="Q187" s="10">
        <f>CHOOSE(CONTROL!$C$42, 8.0841, 8.0841) * CHOOSE(CONTROL!$C$21, $C$9, 100%, $E$9)</f>
        <v>8.0840999999999994</v>
      </c>
      <c r="R187" s="10">
        <f>CHOOSE(CONTROL!$C$42, 8.6913, 8.6913) * CHOOSE(CONTROL!$C$21, $C$9, 100%, $E$9)</f>
        <v>8.6913</v>
      </c>
      <c r="S187" s="10">
        <f>CHOOSE(CONTROL!$C$42, 7.1149, 7.1149) * CHOOSE(CONTROL!$C$21, $C$9, 100%, $E$9)</f>
        <v>7.1148999999999996</v>
      </c>
      <c r="T187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87" s="58">
        <f>(1000*CHOOSE(CONTROL!$C$42, 695, 695)*CHOOSE(CONTROL!$C$42, 0.5599, 0.5599)*CHOOSE(CONTROL!$C$42, 31, 31))/1000000</f>
        <v>12.063045499999998</v>
      </c>
      <c r="V187" s="58">
        <f>(1000*CHOOSE(CONTROL!$C$42, 500, 500)*CHOOSE(CONTROL!$C$42, 0.275, 0.275)*CHOOSE(CONTROL!$C$42, 31, 31))/1000000</f>
        <v>4.2625000000000002</v>
      </c>
      <c r="W187" s="58">
        <f>(1000*CHOOSE(CONTROL!$C$42, 0.1146, 0.1146)*CHOOSE(CONTROL!$C$42, 121.5, 121.5)*CHOOSE(CONTROL!$C$42, 31, 31))/1000000</f>
        <v>0.43164089999999994</v>
      </c>
      <c r="X187" s="58">
        <f>(31*0.1790888*245000/1000000)+(31*0.2374*100000/1000000)</f>
        <v>2.0961194359999999</v>
      </c>
      <c r="Y187" s="58"/>
      <c r="Z187" s="10"/>
      <c r="AA187" s="57"/>
      <c r="AB187" s="51">
        <f>(B187*194.205+C187*267.466+D187*133.845+E187*53.484+F187*40+G187*185+H187*0+I187*100+J187*300)/(194.205+267.466+133.845+53.484+0+40+185+100+300)</f>
        <v>7.3480540125588698</v>
      </c>
      <c r="AC187" s="27">
        <f>(M187*'RAP TEMPLATE-GAS AVAILABILITY'!O186+N187*'RAP TEMPLATE-GAS AVAILABILITY'!P186+O187*'RAP TEMPLATE-GAS AVAILABILITY'!Q186+P187*'RAP TEMPLATE-GAS AVAILABILITY'!R186)/('RAP TEMPLATE-GAS AVAILABILITY'!O186+'RAP TEMPLATE-GAS AVAILABILITY'!P186+'RAP TEMPLATE-GAS AVAILABILITY'!Q186+'RAP TEMPLATE-GAS AVAILABILITY'!R186)</f>
        <v>7.3083625899280573</v>
      </c>
    </row>
    <row r="188" spans="1:29" ht="15.75" x14ac:dyDescent="0.25">
      <c r="A188" s="16">
        <v>46600</v>
      </c>
      <c r="B188" s="10">
        <f>CHOOSE(CONTROL!$C$42, 6.9692, 6.9692) * CHOOSE(CONTROL!$C$21, $C$9, 100%, $E$9)</f>
        <v>6.9691999999999998</v>
      </c>
      <c r="C188" s="10">
        <f>CHOOSE(CONTROL!$C$42, 6.9771, 6.9771) * CHOOSE(CONTROL!$C$21, $C$9, 100%, $E$9)</f>
        <v>6.9771000000000001</v>
      </c>
      <c r="D188" s="10">
        <f>CHOOSE(CONTROL!$C$42, 7.1695, 7.1695) * CHOOSE(CONTROL!$C$21, $C$9, 100%, $E$9)</f>
        <v>7.1695000000000002</v>
      </c>
      <c r="E188" s="10">
        <f>CHOOSE(CONTROL!$C$42, 7.2007, 7.2007) * CHOOSE(CONTROL!$C$21, $C$9, 100%, $E$9)</f>
        <v>7.2007000000000003</v>
      </c>
      <c r="F188" s="10">
        <f>CHOOSE(CONTROL!$C$42, 6.9363, 6.9363)*CHOOSE(CONTROL!$C$21, $C$9, 100%, $E$9)</f>
        <v>6.9363000000000001</v>
      </c>
      <c r="G188" s="10">
        <f>CHOOSE(CONTROL!$C$42, 6.9536, 6.9536)*CHOOSE(CONTROL!$C$21, $C$9, 100%, $E$9)</f>
        <v>6.9535999999999998</v>
      </c>
      <c r="H188" s="10">
        <f>CHOOSE(CONTROL!$C$42, 7.1893, 7.1893) * CHOOSE(CONTROL!$C$21, $C$9, 100%, $E$9)</f>
        <v>7.1893000000000002</v>
      </c>
      <c r="I188" s="10">
        <f>CHOOSE(CONTROL!$C$42, 6.9358, 6.9358)* CHOOSE(CONTROL!$C$21, $C$9, 100%, $E$9)</f>
        <v>6.9358000000000004</v>
      </c>
      <c r="J188" s="10">
        <f>CHOOSE(CONTROL!$C$42, 6.9293, 6.9293)* CHOOSE(CONTROL!$C$21, $C$9, 100%, $E$9)</f>
        <v>6.9292999999999996</v>
      </c>
      <c r="K188" s="54">
        <f>CHOOSE(CONTROL!$C$42, 6.9319, 6.9319) * CHOOSE(CONTROL!$C$21, $C$9, 100%, $E$9)</f>
        <v>6.9318999999999997</v>
      </c>
      <c r="L188" s="10">
        <f>CHOOSE(CONTROL!$C$42, 7.7763, 7.7763) * CHOOSE(CONTROL!$C$21, $C$9, 100%, $E$9)</f>
        <v>7.7763</v>
      </c>
      <c r="M188" s="10">
        <f>CHOOSE(CONTROL!$C$42, 6.8732, 6.8732) * CHOOSE(CONTROL!$C$21, $C$9, 100%, $E$9)</f>
        <v>6.8731999999999998</v>
      </c>
      <c r="N188" s="10">
        <f>CHOOSE(CONTROL!$C$42, 6.8903, 6.8903) * CHOOSE(CONTROL!$C$21, $C$9, 100%, $E$9)</f>
        <v>6.8902999999999999</v>
      </c>
      <c r="O188" s="10">
        <f>CHOOSE(CONTROL!$C$42, 7.1306, 7.1306) * CHOOSE(CONTROL!$C$21, $C$9, 100%, $E$9)</f>
        <v>7.1306000000000003</v>
      </c>
      <c r="P188" s="10">
        <f>CHOOSE(CONTROL!$C$42, 6.8796, 6.8796) * CHOOSE(CONTROL!$C$21, $C$9, 100%, $E$9)</f>
        <v>6.8795999999999999</v>
      </c>
      <c r="Q188" s="10">
        <f>CHOOSE(CONTROL!$C$42, 7.7259, 7.7259) * CHOOSE(CONTROL!$C$21, $C$9, 100%, $E$9)</f>
        <v>7.7259000000000002</v>
      </c>
      <c r="R188" s="10">
        <f>CHOOSE(CONTROL!$C$42, 8.3322, 8.3322) * CHOOSE(CONTROL!$C$21, $C$9, 100%, $E$9)</f>
        <v>8.3322000000000003</v>
      </c>
      <c r="S188" s="10">
        <f>CHOOSE(CONTROL!$C$42, 6.7635, 6.7635) * CHOOSE(CONTROL!$C$21, $C$9, 100%, $E$9)</f>
        <v>6.7634999999999996</v>
      </c>
      <c r="T188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88" s="58">
        <f>(1000*CHOOSE(CONTROL!$C$42, 695, 695)*CHOOSE(CONTROL!$C$42, 0.5599, 0.5599)*CHOOSE(CONTROL!$C$42, 31, 31))/1000000</f>
        <v>12.063045499999998</v>
      </c>
      <c r="V188" s="58">
        <f>(1000*CHOOSE(CONTROL!$C$42, 500, 500)*CHOOSE(CONTROL!$C$42, 0.275, 0.275)*CHOOSE(CONTROL!$C$42, 31, 31))/1000000</f>
        <v>4.2625000000000002</v>
      </c>
      <c r="W188" s="58">
        <f>(1000*CHOOSE(CONTROL!$C$42, 0.1146, 0.1146)*CHOOSE(CONTROL!$C$42, 121.5, 121.5)*CHOOSE(CONTROL!$C$42, 31, 31))/1000000</f>
        <v>0.43164089999999994</v>
      </c>
      <c r="X188" s="58">
        <f>(31*0.1790888*245000/1000000)+(31*0.2374*100000/1000000)</f>
        <v>2.0961194359999999</v>
      </c>
      <c r="Y188" s="58"/>
      <c r="Z188" s="10"/>
      <c r="AA188" s="57"/>
      <c r="AB188" s="51">
        <f>(B188*194.205+C188*267.466+D188*133.845+E188*53.484+F188*40+G188*185+H188*0+I188*100+J188*300)/(194.205+267.466+133.845+53.484+0+40+185+100+300)</f>
        <v>6.9863049300627953</v>
      </c>
      <c r="AC188" s="27">
        <f>(M188*'RAP TEMPLATE-GAS AVAILABILITY'!O187+N188*'RAP TEMPLATE-GAS AVAILABILITY'!P187+O188*'RAP TEMPLATE-GAS AVAILABILITY'!Q187+P188*'RAP TEMPLATE-GAS AVAILABILITY'!R187)/('RAP TEMPLATE-GAS AVAILABILITY'!O187+'RAP TEMPLATE-GAS AVAILABILITY'!P187+'RAP TEMPLATE-GAS AVAILABILITY'!Q187+'RAP TEMPLATE-GAS AVAILABILITY'!R187)</f>
        <v>6.9502776978417273</v>
      </c>
    </row>
    <row r="189" spans="1:29" ht="15.75" x14ac:dyDescent="0.25">
      <c r="A189" s="16">
        <v>46631</v>
      </c>
      <c r="B189" s="10">
        <f>CHOOSE(CONTROL!$C$42, 6.5267, 6.5267) * CHOOSE(CONTROL!$C$21, $C$9, 100%, $E$9)</f>
        <v>6.5266999999999999</v>
      </c>
      <c r="C189" s="10">
        <f>CHOOSE(CONTROL!$C$42, 6.5346, 6.5346) * CHOOSE(CONTROL!$C$21, $C$9, 100%, $E$9)</f>
        <v>6.5346000000000002</v>
      </c>
      <c r="D189" s="10">
        <f>CHOOSE(CONTROL!$C$42, 6.727, 6.727) * CHOOSE(CONTROL!$C$21, $C$9, 100%, $E$9)</f>
        <v>6.7270000000000003</v>
      </c>
      <c r="E189" s="10">
        <f>CHOOSE(CONTROL!$C$42, 6.7582, 6.7582) * CHOOSE(CONTROL!$C$21, $C$9, 100%, $E$9)</f>
        <v>6.7582000000000004</v>
      </c>
      <c r="F189" s="10">
        <f>CHOOSE(CONTROL!$C$42, 6.4936, 6.4936)*CHOOSE(CONTROL!$C$21, $C$9, 100%, $E$9)</f>
        <v>6.4935999999999998</v>
      </c>
      <c r="G189" s="10">
        <f>CHOOSE(CONTROL!$C$42, 6.5109, 6.5109)*CHOOSE(CONTROL!$C$21, $C$9, 100%, $E$9)</f>
        <v>6.5109000000000004</v>
      </c>
      <c r="H189" s="10">
        <f>CHOOSE(CONTROL!$C$42, 6.7468, 6.7468) * CHOOSE(CONTROL!$C$21, $C$9, 100%, $E$9)</f>
        <v>6.7468000000000004</v>
      </c>
      <c r="I189" s="10">
        <f>CHOOSE(CONTROL!$C$42, 6.4933, 6.4933)* CHOOSE(CONTROL!$C$21, $C$9, 100%, $E$9)</f>
        <v>6.4932999999999996</v>
      </c>
      <c r="J189" s="10">
        <f>CHOOSE(CONTROL!$C$42, 6.4866, 6.4866)* CHOOSE(CONTROL!$C$21, $C$9, 100%, $E$9)</f>
        <v>6.4866000000000001</v>
      </c>
      <c r="K189" s="54">
        <f>CHOOSE(CONTROL!$C$42, 6.4894, 6.4894) * CHOOSE(CONTROL!$C$21, $C$9, 100%, $E$9)</f>
        <v>6.4893999999999998</v>
      </c>
      <c r="L189" s="10">
        <f>CHOOSE(CONTROL!$C$42, 7.3338, 7.3338) * CHOOSE(CONTROL!$C$21, $C$9, 100%, $E$9)</f>
        <v>7.3338000000000001</v>
      </c>
      <c r="M189" s="10">
        <f>CHOOSE(CONTROL!$C$42, 6.435, 6.435) * CHOOSE(CONTROL!$C$21, $C$9, 100%, $E$9)</f>
        <v>6.4349999999999996</v>
      </c>
      <c r="N189" s="10">
        <f>CHOOSE(CONTROL!$C$42, 6.4521, 6.4521) * CHOOSE(CONTROL!$C$21, $C$9, 100%, $E$9)</f>
        <v>6.4520999999999997</v>
      </c>
      <c r="O189" s="10">
        <f>CHOOSE(CONTROL!$C$42, 6.6926, 6.6926) * CHOOSE(CONTROL!$C$21, $C$9, 100%, $E$9)</f>
        <v>6.6925999999999997</v>
      </c>
      <c r="P189" s="10">
        <f>CHOOSE(CONTROL!$C$42, 6.4416, 6.4416) * CHOOSE(CONTROL!$C$21, $C$9, 100%, $E$9)</f>
        <v>6.4416000000000002</v>
      </c>
      <c r="Q189" s="10">
        <f>CHOOSE(CONTROL!$C$42, 7.2879, 7.2879) * CHOOSE(CONTROL!$C$21, $C$9, 100%, $E$9)</f>
        <v>7.2878999999999996</v>
      </c>
      <c r="R189" s="10">
        <f>CHOOSE(CONTROL!$C$42, 7.8931, 7.8931) * CHOOSE(CONTROL!$C$21, $C$9, 100%, $E$9)</f>
        <v>7.8930999999999996</v>
      </c>
      <c r="S189" s="10">
        <f>CHOOSE(CONTROL!$C$42, 6.3338, 6.3338) * CHOOSE(CONTROL!$C$21, $C$9, 100%, $E$9)</f>
        <v>6.3338000000000001</v>
      </c>
      <c r="T189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89" s="58">
        <f>(1000*CHOOSE(CONTROL!$C$42, 695, 695)*CHOOSE(CONTROL!$C$42, 0.5599, 0.5599)*CHOOSE(CONTROL!$C$42, 30, 30))/1000000</f>
        <v>11.673914999999997</v>
      </c>
      <c r="V189" s="58">
        <f>(1000*CHOOSE(CONTROL!$C$42, 500, 500)*CHOOSE(CONTROL!$C$42, 0.275, 0.275)*CHOOSE(CONTROL!$C$42, 30, 30))/1000000</f>
        <v>4.125</v>
      </c>
      <c r="W189" s="58">
        <f>(1000*CHOOSE(CONTROL!$C$42, 0.1146, 0.1146)*CHOOSE(CONTROL!$C$42, 121.5, 121.5)*CHOOSE(CONTROL!$C$42, 30, 30))/1000000</f>
        <v>0.417717</v>
      </c>
      <c r="X189" s="58">
        <f>(30*0.1790888*245000/1000000)+(30*0.2374*100000/1000000)</f>
        <v>2.0285026799999999</v>
      </c>
      <c r="Y189" s="58"/>
      <c r="Z189" s="10"/>
      <c r="AA189" s="57"/>
      <c r="AB189" s="51">
        <f>(B189*194.205+C189*267.466+D189*133.845+E189*53.484+F189*40+G189*185+H189*0+I189*100+J189*300)/(194.205+267.466+133.845+53.484+0+40+185+100+300)</f>
        <v>6.5437225124803762</v>
      </c>
      <c r="AC189" s="27">
        <f>(M189*'RAP TEMPLATE-GAS AVAILABILITY'!O188+N189*'RAP TEMPLATE-GAS AVAILABILITY'!P188+O189*'RAP TEMPLATE-GAS AVAILABILITY'!Q188+P189*'RAP TEMPLATE-GAS AVAILABILITY'!R188)/('RAP TEMPLATE-GAS AVAILABILITY'!O188+'RAP TEMPLATE-GAS AVAILABILITY'!P188+'RAP TEMPLATE-GAS AVAILABILITY'!Q188+'RAP TEMPLATE-GAS AVAILABILITY'!R188)</f>
        <v>6.5121625899280566</v>
      </c>
    </row>
    <row r="190" spans="1:29" ht="15.75" x14ac:dyDescent="0.25">
      <c r="A190" s="16">
        <v>46661</v>
      </c>
      <c r="B190" s="10">
        <f>CHOOSE(CONTROL!$C$42, 6.3925, 6.3925) * CHOOSE(CONTROL!$C$21, $C$9, 100%, $E$9)</f>
        <v>6.3925000000000001</v>
      </c>
      <c r="C190" s="10">
        <f>CHOOSE(CONTROL!$C$42, 6.3977, 6.3977) * CHOOSE(CONTROL!$C$21, $C$9, 100%, $E$9)</f>
        <v>6.3977000000000004</v>
      </c>
      <c r="D190" s="10">
        <f>CHOOSE(CONTROL!$C$42, 6.5951, 6.5951) * CHOOSE(CONTROL!$C$21, $C$9, 100%, $E$9)</f>
        <v>6.5951000000000004</v>
      </c>
      <c r="E190" s="10">
        <f>CHOOSE(CONTROL!$C$42, 6.6239, 6.6239) * CHOOSE(CONTROL!$C$21, $C$9, 100%, $E$9)</f>
        <v>6.6238999999999999</v>
      </c>
      <c r="F190" s="10">
        <f>CHOOSE(CONTROL!$C$42, 6.3614, 6.3614)*CHOOSE(CONTROL!$C$21, $C$9, 100%, $E$9)</f>
        <v>6.3613999999999997</v>
      </c>
      <c r="G190" s="10">
        <f>CHOOSE(CONTROL!$C$42, 6.3784, 6.3784)*CHOOSE(CONTROL!$C$21, $C$9, 100%, $E$9)</f>
        <v>6.3784000000000001</v>
      </c>
      <c r="H190" s="10">
        <f>CHOOSE(CONTROL!$C$42, 6.6144, 6.6144) * CHOOSE(CONTROL!$C$21, $C$9, 100%, $E$9)</f>
        <v>6.6143999999999998</v>
      </c>
      <c r="I190" s="10">
        <f>CHOOSE(CONTROL!$C$42, 6.3609, 6.3609)* CHOOSE(CONTROL!$C$21, $C$9, 100%, $E$9)</f>
        <v>6.3609</v>
      </c>
      <c r="J190" s="10">
        <f>CHOOSE(CONTROL!$C$42, 6.3544, 6.3544)* CHOOSE(CONTROL!$C$21, $C$9, 100%, $E$9)</f>
        <v>6.3544</v>
      </c>
      <c r="K190" s="54">
        <f>CHOOSE(CONTROL!$C$42, 6.357, 6.357) * CHOOSE(CONTROL!$C$21, $C$9, 100%, $E$9)</f>
        <v>6.3570000000000002</v>
      </c>
      <c r="L190" s="10">
        <f>CHOOSE(CONTROL!$C$42, 7.2014, 7.2014) * CHOOSE(CONTROL!$C$21, $C$9, 100%, $E$9)</f>
        <v>7.2013999999999996</v>
      </c>
      <c r="M190" s="10">
        <f>CHOOSE(CONTROL!$C$42, 6.3041, 6.3041) * CHOOSE(CONTROL!$C$21, $C$9, 100%, $E$9)</f>
        <v>6.3041</v>
      </c>
      <c r="N190" s="10">
        <f>CHOOSE(CONTROL!$C$42, 6.3209, 6.3209) * CHOOSE(CONTROL!$C$21, $C$9, 100%, $E$9)</f>
        <v>6.3209</v>
      </c>
      <c r="O190" s="10">
        <f>CHOOSE(CONTROL!$C$42, 6.5615, 6.5615) * CHOOSE(CONTROL!$C$21, $C$9, 100%, $E$9)</f>
        <v>6.5614999999999997</v>
      </c>
      <c r="P190" s="10">
        <f>CHOOSE(CONTROL!$C$42, 6.3105, 6.3105) * CHOOSE(CONTROL!$C$21, $C$9, 100%, $E$9)</f>
        <v>6.3105000000000002</v>
      </c>
      <c r="Q190" s="10">
        <f>CHOOSE(CONTROL!$C$42, 7.1568, 7.1568) * CHOOSE(CONTROL!$C$21, $C$9, 100%, $E$9)</f>
        <v>7.1567999999999996</v>
      </c>
      <c r="R190" s="10">
        <f>CHOOSE(CONTROL!$C$42, 7.7617, 7.7617) * CHOOSE(CONTROL!$C$21, $C$9, 100%, $E$9)</f>
        <v>7.7617000000000003</v>
      </c>
      <c r="S190" s="10">
        <f>CHOOSE(CONTROL!$C$42, 6.2052, 6.2052) * CHOOSE(CONTROL!$C$21, $C$9, 100%, $E$9)</f>
        <v>6.2051999999999996</v>
      </c>
      <c r="T190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90" s="58">
        <f>(1000*CHOOSE(CONTROL!$C$42, 695, 695)*CHOOSE(CONTROL!$C$42, 0.5599, 0.5599)*CHOOSE(CONTROL!$C$42, 31, 31))/1000000</f>
        <v>12.063045499999998</v>
      </c>
      <c r="V190" s="58">
        <f>(1000*CHOOSE(CONTROL!$C$42, 500, 500)*CHOOSE(CONTROL!$C$42, 0.275, 0.275)*CHOOSE(CONTROL!$C$42, 31, 31))/1000000</f>
        <v>4.2625000000000002</v>
      </c>
      <c r="W190" s="58">
        <f>(1000*CHOOSE(CONTROL!$C$42, 0.1146, 0.1146)*CHOOSE(CONTROL!$C$42, 121.5, 121.5)*CHOOSE(CONTROL!$C$42, 31, 31))/1000000</f>
        <v>0.43164089999999994</v>
      </c>
      <c r="X190" s="58">
        <f>(31*0.1790888*245000/1000000)+(31*0.2374*100000/1000000)</f>
        <v>2.0961194359999999</v>
      </c>
      <c r="Y190" s="58"/>
      <c r="Z190" s="10"/>
      <c r="AA190" s="57"/>
      <c r="AB190" s="51">
        <f>(B190*131.881+C190*277.167+D190*79.08+E190*125.872+F190*40+G190*185+H190*0+I190*100+J190*300)/(131.881+277.167+79.08+125.872+0+40+185+100+300)</f>
        <v>6.4152176410008073</v>
      </c>
      <c r="AC190" s="27">
        <f>(M190*'RAP TEMPLATE-GAS AVAILABILITY'!O189+N190*'RAP TEMPLATE-GAS AVAILABILITY'!P189+O190*'RAP TEMPLATE-GAS AVAILABILITY'!Q189+P190*'RAP TEMPLATE-GAS AVAILABILITY'!R189)/('RAP TEMPLATE-GAS AVAILABILITY'!O189+'RAP TEMPLATE-GAS AVAILABILITY'!P189+'RAP TEMPLATE-GAS AVAILABILITY'!Q189+'RAP TEMPLATE-GAS AVAILABILITY'!R189)</f>
        <v>6.3811086330935254</v>
      </c>
    </row>
    <row r="191" spans="1:29" ht="15.75" x14ac:dyDescent="0.25">
      <c r="A191" s="16">
        <v>46692</v>
      </c>
      <c r="B191" s="10">
        <f>CHOOSE(CONTROL!$C$42, 6.5604, 6.5604) * CHOOSE(CONTROL!$C$21, $C$9, 100%, $E$9)</f>
        <v>6.5603999999999996</v>
      </c>
      <c r="C191" s="10">
        <f>CHOOSE(CONTROL!$C$42, 6.5654, 6.5654) * CHOOSE(CONTROL!$C$21, $C$9, 100%, $E$9)</f>
        <v>6.5654000000000003</v>
      </c>
      <c r="D191" s="10">
        <f>CHOOSE(CONTROL!$C$42, 6.595, 6.595) * CHOOSE(CONTROL!$C$21, $C$9, 100%, $E$9)</f>
        <v>6.5949999999999998</v>
      </c>
      <c r="E191" s="10">
        <f>CHOOSE(CONTROL!$C$42, 6.6288, 6.6288) * CHOOSE(CONTROL!$C$21, $C$9, 100%, $E$9)</f>
        <v>6.6288</v>
      </c>
      <c r="F191" s="10">
        <f>CHOOSE(CONTROL!$C$42, 6.5272, 6.5272)*CHOOSE(CONTROL!$C$21, $C$9, 100%, $E$9)</f>
        <v>6.5271999999999997</v>
      </c>
      <c r="G191" s="10">
        <f>CHOOSE(CONTROL!$C$42, 6.5443, 6.5443)*CHOOSE(CONTROL!$C$21, $C$9, 100%, $E$9)</f>
        <v>6.5442999999999998</v>
      </c>
      <c r="H191" s="10">
        <f>CHOOSE(CONTROL!$C$42, 6.618, 6.618) * CHOOSE(CONTROL!$C$21, $C$9, 100%, $E$9)</f>
        <v>6.6180000000000003</v>
      </c>
      <c r="I191" s="10">
        <f>CHOOSE(CONTROL!$C$42, 6.524, 6.524)* CHOOSE(CONTROL!$C$21, $C$9, 100%, $E$9)</f>
        <v>6.524</v>
      </c>
      <c r="J191" s="10">
        <f>CHOOSE(CONTROL!$C$42, 6.5202, 6.5202)* CHOOSE(CONTROL!$C$21, $C$9, 100%, $E$9)</f>
        <v>6.5202</v>
      </c>
      <c r="K191" s="54">
        <f>CHOOSE(CONTROL!$C$42, 6.5201, 6.5201) * CHOOSE(CONTROL!$C$21, $C$9, 100%, $E$9)</f>
        <v>6.5201000000000002</v>
      </c>
      <c r="L191" s="10">
        <f>CHOOSE(CONTROL!$C$42, 7.205, 7.205) * CHOOSE(CONTROL!$C$21, $C$9, 100%, $E$9)</f>
        <v>7.2050000000000001</v>
      </c>
      <c r="M191" s="10">
        <f>CHOOSE(CONTROL!$C$42, 6.4682, 6.4682) * CHOOSE(CONTROL!$C$21, $C$9, 100%, $E$9)</f>
        <v>6.4682000000000004</v>
      </c>
      <c r="N191" s="10">
        <f>CHOOSE(CONTROL!$C$42, 6.4852, 6.4852) * CHOOSE(CONTROL!$C$21, $C$9, 100%, $E$9)</f>
        <v>6.4851999999999999</v>
      </c>
      <c r="O191" s="10">
        <f>CHOOSE(CONTROL!$C$42, 6.565, 6.565) * CHOOSE(CONTROL!$C$21, $C$9, 100%, $E$9)</f>
        <v>6.5650000000000004</v>
      </c>
      <c r="P191" s="10">
        <f>CHOOSE(CONTROL!$C$42, 6.4721, 6.4721) * CHOOSE(CONTROL!$C$21, $C$9, 100%, $E$9)</f>
        <v>6.4721000000000002</v>
      </c>
      <c r="Q191" s="10">
        <f>CHOOSE(CONTROL!$C$42, 7.1603, 7.1603) * CHOOSE(CONTROL!$C$21, $C$9, 100%, $E$9)</f>
        <v>7.1603000000000003</v>
      </c>
      <c r="R191" s="10">
        <f>CHOOSE(CONTROL!$C$42, 7.7652, 7.7652) * CHOOSE(CONTROL!$C$21, $C$9, 100%, $E$9)</f>
        <v>7.7652000000000001</v>
      </c>
      <c r="S191" s="10">
        <f>CHOOSE(CONTROL!$C$42, 6.3687, 6.3687) * CHOOSE(CONTROL!$C$21, $C$9, 100%, $E$9)</f>
        <v>6.3686999999999996</v>
      </c>
      <c r="T191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91" s="58">
        <f>(1000*CHOOSE(CONTROL!$C$42, 695, 695)*CHOOSE(CONTROL!$C$42, 0.5599, 0.5599)*CHOOSE(CONTROL!$C$42, 30, 30))/1000000</f>
        <v>11.673914999999997</v>
      </c>
      <c r="V191" s="58">
        <f>(1000*CHOOSE(CONTROL!$C$42, 500, 500)*CHOOSE(CONTROL!$C$42, 0.275, 0.275)*CHOOSE(CONTROL!$C$42, 30, 30))/1000000</f>
        <v>4.125</v>
      </c>
      <c r="W191" s="58">
        <f>(1000*CHOOSE(CONTROL!$C$42, 0.1146, 0.1146)*CHOOSE(CONTROL!$C$42, 121.5, 121.5)*CHOOSE(CONTROL!$C$42, 30, 30))/1000000</f>
        <v>0.417717</v>
      </c>
      <c r="X191" s="58">
        <f>(30*0.1790888*100000/1000000)+(30*0.2374*100000/1000000)</f>
        <v>1.2494664</v>
      </c>
      <c r="Y191" s="58"/>
      <c r="Z191" s="10"/>
      <c r="AA191" s="57"/>
      <c r="AB191" s="51">
        <f>(B191*122.58+C191*297.941+D191*89.177+E191*40.302+F191*40+G191*160+H191*0+I191*100+J191*300)/(122.58+297.941+89.177+40.302+0+40+160+100+300)</f>
        <v>6.5497285965217387</v>
      </c>
      <c r="AC191" s="27">
        <f>(M191*'RAP TEMPLATE-GAS AVAILABILITY'!O190+N191*'RAP TEMPLATE-GAS AVAILABILITY'!P190+O191*'RAP TEMPLATE-GAS AVAILABILITY'!Q190+P191*'RAP TEMPLATE-GAS AVAILABILITY'!R190)/('RAP TEMPLATE-GAS AVAILABILITY'!O190+'RAP TEMPLATE-GAS AVAILABILITY'!P190+'RAP TEMPLATE-GAS AVAILABILITY'!Q190+'RAP TEMPLATE-GAS AVAILABILITY'!R190)</f>
        <v>6.5136129496402884</v>
      </c>
    </row>
    <row r="192" spans="1:29" ht="15.75" x14ac:dyDescent="0.25">
      <c r="A192" s="16">
        <v>46722</v>
      </c>
      <c r="B192" s="10">
        <f>CHOOSE(CONTROL!$C$42, 7.0075, 7.0075) * CHOOSE(CONTROL!$C$21, $C$9, 100%, $E$9)</f>
        <v>7.0075000000000003</v>
      </c>
      <c r="C192" s="10">
        <f>CHOOSE(CONTROL!$C$42, 7.0125, 7.0125) * CHOOSE(CONTROL!$C$21, $C$9, 100%, $E$9)</f>
        <v>7.0125000000000002</v>
      </c>
      <c r="D192" s="10">
        <f>CHOOSE(CONTROL!$C$42, 7.0421, 7.0421) * CHOOSE(CONTROL!$C$21, $C$9, 100%, $E$9)</f>
        <v>7.0420999999999996</v>
      </c>
      <c r="E192" s="10">
        <f>CHOOSE(CONTROL!$C$42, 7.0758, 7.0758) * CHOOSE(CONTROL!$C$21, $C$9, 100%, $E$9)</f>
        <v>7.0758000000000001</v>
      </c>
      <c r="F192" s="10">
        <f>CHOOSE(CONTROL!$C$42, 6.9757, 6.9757)*CHOOSE(CONTROL!$C$21, $C$9, 100%, $E$9)</f>
        <v>6.9756999999999998</v>
      </c>
      <c r="G192" s="10">
        <f>CHOOSE(CONTROL!$C$42, 6.9932, 6.9932)*CHOOSE(CONTROL!$C$21, $C$9, 100%, $E$9)</f>
        <v>6.9931999999999999</v>
      </c>
      <c r="H192" s="10">
        <f>CHOOSE(CONTROL!$C$42, 7.065, 7.065) * CHOOSE(CONTROL!$C$21, $C$9, 100%, $E$9)</f>
        <v>7.0650000000000004</v>
      </c>
      <c r="I192" s="10">
        <f>CHOOSE(CONTROL!$C$42, 6.9711, 6.9711)* CHOOSE(CONTROL!$C$21, $C$9, 100%, $E$9)</f>
        <v>6.9710999999999999</v>
      </c>
      <c r="J192" s="10">
        <f>CHOOSE(CONTROL!$C$42, 6.9687, 6.9687)* CHOOSE(CONTROL!$C$21, $C$9, 100%, $E$9)</f>
        <v>6.9687000000000001</v>
      </c>
      <c r="K192" s="54">
        <f>CHOOSE(CONTROL!$C$42, 6.9672, 6.9672) * CHOOSE(CONTROL!$C$21, $C$9, 100%, $E$9)</f>
        <v>6.9672000000000001</v>
      </c>
      <c r="L192" s="10">
        <f>CHOOSE(CONTROL!$C$42, 7.652, 7.652) * CHOOSE(CONTROL!$C$21, $C$9, 100%, $E$9)</f>
        <v>7.6520000000000001</v>
      </c>
      <c r="M192" s="10">
        <f>CHOOSE(CONTROL!$C$42, 6.9122, 6.9122) * CHOOSE(CONTROL!$C$21, $C$9, 100%, $E$9)</f>
        <v>6.9122000000000003</v>
      </c>
      <c r="N192" s="10">
        <f>CHOOSE(CONTROL!$C$42, 6.9295, 6.9295) * CHOOSE(CONTROL!$C$21, $C$9, 100%, $E$9)</f>
        <v>6.9295</v>
      </c>
      <c r="O192" s="10">
        <f>CHOOSE(CONTROL!$C$42, 7.0076, 7.0076) * CHOOSE(CONTROL!$C$21, $C$9, 100%, $E$9)</f>
        <v>7.0076000000000001</v>
      </c>
      <c r="P192" s="10">
        <f>CHOOSE(CONTROL!$C$42, 6.9146, 6.9146) * CHOOSE(CONTROL!$C$21, $C$9, 100%, $E$9)</f>
        <v>6.9146000000000001</v>
      </c>
      <c r="Q192" s="10">
        <f>CHOOSE(CONTROL!$C$42, 7.6029, 7.6029) * CHOOSE(CONTROL!$C$21, $C$9, 100%, $E$9)</f>
        <v>7.6029</v>
      </c>
      <c r="R192" s="10">
        <f>CHOOSE(CONTROL!$C$42, 8.2089, 8.2089) * CHOOSE(CONTROL!$C$21, $C$9, 100%, $E$9)</f>
        <v>8.2088999999999999</v>
      </c>
      <c r="S192" s="10">
        <f>CHOOSE(CONTROL!$C$42, 6.8029, 6.8029) * CHOOSE(CONTROL!$C$21, $C$9, 100%, $E$9)</f>
        <v>6.8029000000000002</v>
      </c>
      <c r="T192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92" s="58">
        <f>(1000*CHOOSE(CONTROL!$C$42, 695, 695)*CHOOSE(CONTROL!$C$42, 0.5599, 0.5599)*CHOOSE(CONTROL!$C$42, 31, 31))/1000000</f>
        <v>12.063045499999998</v>
      </c>
      <c r="V192" s="58">
        <f>(1000*CHOOSE(CONTROL!$C$42, 500, 500)*CHOOSE(CONTROL!$C$42, 0.275, 0.275)*CHOOSE(CONTROL!$C$42, 31, 31))/1000000</f>
        <v>4.2625000000000002</v>
      </c>
      <c r="W192" s="58">
        <f>(1000*CHOOSE(CONTROL!$C$42, 0.1146, 0.1146)*CHOOSE(CONTROL!$C$42, 121.5, 121.5)*CHOOSE(CONTROL!$C$42, 31, 31))/1000000</f>
        <v>0.43164089999999994</v>
      </c>
      <c r="X192" s="58">
        <f>(31*0.1790888*100000/1000000)+(31*0.2374*100000/1000000)</f>
        <v>1.2911152800000001</v>
      </c>
      <c r="Y192" s="58"/>
      <c r="Z192" s="10"/>
      <c r="AA192" s="57"/>
      <c r="AB192" s="51">
        <f>(B192*122.58+C192*297.941+D192*89.177+E192*40.302+F192*40+G192*160+H192*0+I192*100+J192*300)/(122.58+297.941+89.177+40.302+0+40+160+100+300)</f>
        <v>6.9974894398260874</v>
      </c>
      <c r="AC192" s="27">
        <f>(M192*'RAP TEMPLATE-GAS AVAILABILITY'!O191+N192*'RAP TEMPLATE-GAS AVAILABILITY'!P191+O192*'RAP TEMPLATE-GAS AVAILABILITY'!Q191+P192*'RAP TEMPLATE-GAS AVAILABILITY'!R191)/('RAP TEMPLATE-GAS AVAILABILITY'!O191+'RAP TEMPLATE-GAS AVAILABILITY'!P191+'RAP TEMPLATE-GAS AVAILABILITY'!Q191+'RAP TEMPLATE-GAS AVAILABILITY'!R191)</f>
        <v>6.9567798561151086</v>
      </c>
    </row>
    <row r="193" spans="1:29" ht="15.75" x14ac:dyDescent="0.25">
      <c r="A193" s="16">
        <v>46753</v>
      </c>
      <c r="B193" s="10">
        <f>CHOOSE(CONTROL!$C$42, 7.5713, 7.5713) * CHOOSE(CONTROL!$C$21, $C$9, 100%, $E$9)</f>
        <v>7.5712999999999999</v>
      </c>
      <c r="C193" s="10">
        <f>CHOOSE(CONTROL!$C$42, 7.5763, 7.5763) * CHOOSE(CONTROL!$C$21, $C$9, 100%, $E$9)</f>
        <v>7.5762999999999998</v>
      </c>
      <c r="D193" s="10">
        <f>CHOOSE(CONTROL!$C$42, 7.6265, 7.6265) * CHOOSE(CONTROL!$C$21, $C$9, 100%, $E$9)</f>
        <v>7.6265000000000001</v>
      </c>
      <c r="E193" s="10">
        <f>CHOOSE(CONTROL!$C$42, 7.6603, 7.6603) * CHOOSE(CONTROL!$C$21, $C$9, 100%, $E$9)</f>
        <v>7.6603000000000003</v>
      </c>
      <c r="F193" s="10">
        <f>CHOOSE(CONTROL!$C$42, 7.5367, 7.5367)*CHOOSE(CONTROL!$C$21, $C$9, 100%, $E$9)</f>
        <v>7.5366999999999997</v>
      </c>
      <c r="G193" s="10">
        <f>CHOOSE(CONTROL!$C$42, 7.5542, 7.5542)*CHOOSE(CONTROL!$C$21, $C$9, 100%, $E$9)</f>
        <v>7.5541999999999998</v>
      </c>
      <c r="H193" s="10">
        <f>CHOOSE(CONTROL!$C$42, 7.6494, 7.6494) * CHOOSE(CONTROL!$C$21, $C$9, 100%, $E$9)</f>
        <v>7.6494</v>
      </c>
      <c r="I193" s="10">
        <f>CHOOSE(CONTROL!$C$42, 7.5452, 7.5452)* CHOOSE(CONTROL!$C$21, $C$9, 100%, $E$9)</f>
        <v>7.5452000000000004</v>
      </c>
      <c r="J193" s="10">
        <f>CHOOSE(CONTROL!$C$42, 7.5297, 7.5297)* CHOOSE(CONTROL!$C$21, $C$9, 100%, $E$9)</f>
        <v>7.5297000000000001</v>
      </c>
      <c r="K193" s="54">
        <f>CHOOSE(CONTROL!$C$42, 7.5413, 7.5413) * CHOOSE(CONTROL!$C$21, $C$9, 100%, $E$9)</f>
        <v>7.5412999999999997</v>
      </c>
      <c r="L193" s="10">
        <f>CHOOSE(CONTROL!$C$42, 8.2364, 8.2364) * CHOOSE(CONTROL!$C$21, $C$9, 100%, $E$9)</f>
        <v>8.2363999999999997</v>
      </c>
      <c r="M193" s="10">
        <f>CHOOSE(CONTROL!$C$42, 7.4675, 7.4675) * CHOOSE(CONTROL!$C$21, $C$9, 100%, $E$9)</f>
        <v>7.4675000000000002</v>
      </c>
      <c r="N193" s="10">
        <f>CHOOSE(CONTROL!$C$42, 7.4849, 7.4849) * CHOOSE(CONTROL!$C$21, $C$9, 100%, $E$9)</f>
        <v>7.4848999999999997</v>
      </c>
      <c r="O193" s="10">
        <f>CHOOSE(CONTROL!$C$42, 7.5861, 7.5861) * CHOOSE(CONTROL!$C$21, $C$9, 100%, $E$9)</f>
        <v>7.5861000000000001</v>
      </c>
      <c r="P193" s="10">
        <f>CHOOSE(CONTROL!$C$42, 7.4829, 7.4829) * CHOOSE(CONTROL!$C$21, $C$9, 100%, $E$9)</f>
        <v>7.4828999999999999</v>
      </c>
      <c r="Q193" s="10">
        <f>CHOOSE(CONTROL!$C$42, 8.1814, 8.1814) * CHOOSE(CONTROL!$C$21, $C$9, 100%, $E$9)</f>
        <v>8.1814</v>
      </c>
      <c r="R193" s="10">
        <f>CHOOSE(CONTROL!$C$42, 8.7888, 8.7888) * CHOOSE(CONTROL!$C$21, $C$9, 100%, $E$9)</f>
        <v>8.7888000000000002</v>
      </c>
      <c r="S193" s="10">
        <f>CHOOSE(CONTROL!$C$42, 7.3504, 7.3504) * CHOOSE(CONTROL!$C$21, $C$9, 100%, $E$9)</f>
        <v>7.3503999999999996</v>
      </c>
      <c r="T193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93" s="58">
        <f>(1000*CHOOSE(CONTROL!$C$42, 695, 695)*CHOOSE(CONTROL!$C$42, 0.5599, 0.5599)*CHOOSE(CONTROL!$C$42, 31, 31))/1000000</f>
        <v>12.063045499999998</v>
      </c>
      <c r="V193" s="58">
        <f>(1000*CHOOSE(CONTROL!$C$42, 500, 500)*CHOOSE(CONTROL!$C$42, 0.275, 0.275)*CHOOSE(CONTROL!$C$42, 31, 31))/1000000</f>
        <v>4.2625000000000002</v>
      </c>
      <c r="W193" s="58">
        <f>(1000*CHOOSE(CONTROL!$C$42, 0.1146, 0.1146)*CHOOSE(CONTROL!$C$42, 121.5, 121.5)*CHOOSE(CONTROL!$C$42, 31, 31))/1000000</f>
        <v>0.43164089999999994</v>
      </c>
      <c r="X193" s="58">
        <f>(31*0.1790888*100000/1000000)+(31*0.2374*100000/1000000)</f>
        <v>1.2911152800000001</v>
      </c>
      <c r="Y193" s="58"/>
      <c r="Z193" s="10"/>
      <c r="AA193" s="57"/>
      <c r="AB193" s="51">
        <f>(B193*122.58+C193*297.941+D193*89.177+E193*40.302+F193*40+G193*160+H193*0+I193*100+J193*300)/(122.58+297.941+89.177+40.302+0+40+160+100+300)</f>
        <v>7.5632905681739127</v>
      </c>
      <c r="AC193" s="27">
        <f>(M193*'RAP TEMPLATE-GAS AVAILABILITY'!O192+N193*'RAP TEMPLATE-GAS AVAILABILITY'!P192+O193*'RAP TEMPLATE-GAS AVAILABILITY'!Q192+P193*'RAP TEMPLATE-GAS AVAILABILITY'!R192)/('RAP TEMPLATE-GAS AVAILABILITY'!O192+'RAP TEMPLATE-GAS AVAILABILITY'!P192+'RAP TEMPLATE-GAS AVAILABILITY'!Q192+'RAP TEMPLATE-GAS AVAILABILITY'!R192)</f>
        <v>7.5244712230215836</v>
      </c>
    </row>
    <row r="194" spans="1:29" ht="15.75" x14ac:dyDescent="0.25">
      <c r="A194" s="16">
        <v>46784</v>
      </c>
      <c r="B194" s="10">
        <f>CHOOSE(CONTROL!$C$42, 7.706, 7.706) * CHOOSE(CONTROL!$C$21, $C$9, 100%, $E$9)</f>
        <v>7.7060000000000004</v>
      </c>
      <c r="C194" s="10">
        <f>CHOOSE(CONTROL!$C$42, 7.711, 7.711) * CHOOSE(CONTROL!$C$21, $C$9, 100%, $E$9)</f>
        <v>7.7110000000000003</v>
      </c>
      <c r="D194" s="10">
        <f>CHOOSE(CONTROL!$C$42, 7.7715, 7.7715) * CHOOSE(CONTROL!$C$21, $C$9, 100%, $E$9)</f>
        <v>7.7714999999999996</v>
      </c>
      <c r="E194" s="10">
        <f>CHOOSE(CONTROL!$C$42, 7.8053, 7.8053) * CHOOSE(CONTROL!$C$21, $C$9, 100%, $E$9)</f>
        <v>7.8052999999999999</v>
      </c>
      <c r="F194" s="10">
        <f>CHOOSE(CONTROL!$C$42, 7.6993, 7.6993)*CHOOSE(CONTROL!$C$21, $C$9, 100%, $E$9)</f>
        <v>7.6993</v>
      </c>
      <c r="G194" s="10">
        <f>CHOOSE(CONTROL!$C$42, 7.7166, 7.7166)*CHOOSE(CONTROL!$C$21, $C$9, 100%, $E$9)</f>
        <v>7.7165999999999997</v>
      </c>
      <c r="H194" s="10">
        <f>CHOOSE(CONTROL!$C$42, 7.7945, 7.7945) * CHOOSE(CONTROL!$C$21, $C$9, 100%, $E$9)</f>
        <v>7.7945000000000002</v>
      </c>
      <c r="I194" s="10">
        <f>CHOOSE(CONTROL!$C$42, 7.6928, 7.6928)* CHOOSE(CONTROL!$C$21, $C$9, 100%, $E$9)</f>
        <v>7.6928000000000001</v>
      </c>
      <c r="J194" s="10">
        <f>CHOOSE(CONTROL!$C$42, 7.6923, 7.6923)* CHOOSE(CONTROL!$C$21, $C$9, 100%, $E$9)</f>
        <v>7.6923000000000004</v>
      </c>
      <c r="K194" s="54">
        <f>CHOOSE(CONTROL!$C$42, 7.6889, 7.6889) * CHOOSE(CONTROL!$C$21, $C$9, 100%, $E$9)</f>
        <v>7.6889000000000003</v>
      </c>
      <c r="L194" s="10">
        <f>CHOOSE(CONTROL!$C$42, 8.3815, 8.3815) * CHOOSE(CONTROL!$C$21, $C$9, 100%, $E$9)</f>
        <v>8.3815000000000008</v>
      </c>
      <c r="M194" s="10">
        <f>CHOOSE(CONTROL!$C$42, 7.6285, 7.6285) * CHOOSE(CONTROL!$C$21, $C$9, 100%, $E$9)</f>
        <v>7.6284999999999998</v>
      </c>
      <c r="N194" s="10">
        <f>CHOOSE(CONTROL!$C$42, 7.6456, 7.6456) * CHOOSE(CONTROL!$C$21, $C$9, 100%, $E$9)</f>
        <v>7.6456</v>
      </c>
      <c r="O194" s="10">
        <f>CHOOSE(CONTROL!$C$42, 7.7296, 7.7296) * CHOOSE(CONTROL!$C$21, $C$9, 100%, $E$9)</f>
        <v>7.7295999999999996</v>
      </c>
      <c r="P194" s="10">
        <f>CHOOSE(CONTROL!$C$42, 7.629, 7.629) * CHOOSE(CONTROL!$C$21, $C$9, 100%, $E$9)</f>
        <v>7.6289999999999996</v>
      </c>
      <c r="Q194" s="10">
        <f>CHOOSE(CONTROL!$C$42, 8.3249, 8.3249) * CHOOSE(CONTROL!$C$21, $C$9, 100%, $E$9)</f>
        <v>8.3248999999999995</v>
      </c>
      <c r="R194" s="10">
        <f>CHOOSE(CONTROL!$C$42, 8.9328, 8.9328) * CHOOSE(CONTROL!$C$21, $C$9, 100%, $E$9)</f>
        <v>8.9328000000000003</v>
      </c>
      <c r="S194" s="10">
        <f>CHOOSE(CONTROL!$C$42, 7.4812, 7.4812) * CHOOSE(CONTROL!$C$21, $C$9, 100%, $E$9)</f>
        <v>7.4812000000000003</v>
      </c>
      <c r="T194" s="5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194" s="58">
        <f>(1000*CHOOSE(CONTROL!$C$42, 695, 695)*CHOOSE(CONTROL!$C$42, 0.5599, 0.5599)*CHOOSE(CONTROL!$C$42, 29, 29))/1000000</f>
        <v>11.284784499999999</v>
      </c>
      <c r="V194" s="58">
        <f>(1000*CHOOSE(CONTROL!$C$42, 500, 500)*CHOOSE(CONTROL!$C$42, 0.275, 0.275)*CHOOSE(CONTROL!$C$42, 29, 29))/1000000</f>
        <v>3.9874999999999998</v>
      </c>
      <c r="W194" s="58">
        <f>(1000*CHOOSE(CONTROL!$C$42, 0.1146, 0.1146)*CHOOSE(CONTROL!$C$42, 121.5, 121.5)*CHOOSE(CONTROL!$C$42, 29, 29))/1000000</f>
        <v>0.40379309999999996</v>
      </c>
      <c r="X194" s="58">
        <f>(29*0.1790888*100000/1000000)+(29*0.2374*100000/1000000)</f>
        <v>1.2078175199999999</v>
      </c>
      <c r="Y194" s="58"/>
      <c r="Z194" s="10"/>
      <c r="AA194" s="57"/>
      <c r="AB194" s="51">
        <f>(B194*122.58+C194*297.941+D194*89.177+E194*40.302+F194*40+G194*160+H194*0+I194*100+J194*300)/(122.58+297.941+89.177+40.302+0+40+160+100+300)</f>
        <v>7.7123745974782603</v>
      </c>
      <c r="AC194" s="27">
        <f>(M194*'RAP TEMPLATE-GAS AVAILABILITY'!O193+N194*'RAP TEMPLATE-GAS AVAILABILITY'!P193+O194*'RAP TEMPLATE-GAS AVAILABILITY'!Q193+P194*'RAP TEMPLATE-GAS AVAILABILITY'!R193)/('RAP TEMPLATE-GAS AVAILABILITY'!O193+'RAP TEMPLATE-GAS AVAILABILITY'!P193+'RAP TEMPLATE-GAS AVAILABILITY'!Q193+'RAP TEMPLATE-GAS AVAILABILITY'!R193)</f>
        <v>7.6753784172661854</v>
      </c>
    </row>
    <row r="195" spans="1:29" ht="15.75" x14ac:dyDescent="0.25">
      <c r="A195" s="16">
        <v>46813</v>
      </c>
      <c r="B195" s="10">
        <f>CHOOSE(CONTROL!$C$42, 7.4874, 7.4874) * CHOOSE(CONTROL!$C$21, $C$9, 100%, $E$9)</f>
        <v>7.4874000000000001</v>
      </c>
      <c r="C195" s="10">
        <f>CHOOSE(CONTROL!$C$42, 7.4923, 7.4923) * CHOOSE(CONTROL!$C$21, $C$9, 100%, $E$9)</f>
        <v>7.4923000000000002</v>
      </c>
      <c r="D195" s="10">
        <f>CHOOSE(CONTROL!$C$42, 7.5528, 7.5528) * CHOOSE(CONTROL!$C$21, $C$9, 100%, $E$9)</f>
        <v>7.5528000000000004</v>
      </c>
      <c r="E195" s="10">
        <f>CHOOSE(CONTROL!$C$42, 7.5866, 7.5866) * CHOOSE(CONTROL!$C$21, $C$9, 100%, $E$9)</f>
        <v>7.5865999999999998</v>
      </c>
      <c r="F195" s="10">
        <f>CHOOSE(CONTROL!$C$42, 7.4751, 7.4751)*CHOOSE(CONTROL!$C$21, $C$9, 100%, $E$9)</f>
        <v>7.4751000000000003</v>
      </c>
      <c r="G195" s="10">
        <f>CHOOSE(CONTROL!$C$42, 7.4923, 7.4923)*CHOOSE(CONTROL!$C$21, $C$9, 100%, $E$9)</f>
        <v>7.4923000000000002</v>
      </c>
      <c r="H195" s="10">
        <f>CHOOSE(CONTROL!$C$42, 7.5758, 7.5758) * CHOOSE(CONTROL!$C$21, $C$9, 100%, $E$9)</f>
        <v>7.5758000000000001</v>
      </c>
      <c r="I195" s="10">
        <f>CHOOSE(CONTROL!$C$42, 7.4612, 7.4612)* CHOOSE(CONTROL!$C$21, $C$9, 100%, $E$9)</f>
        <v>7.4611999999999998</v>
      </c>
      <c r="J195" s="10">
        <f>CHOOSE(CONTROL!$C$42, 7.4681, 7.4681)* CHOOSE(CONTROL!$C$21, $C$9, 100%, $E$9)</f>
        <v>7.4680999999999997</v>
      </c>
      <c r="K195" s="54">
        <f>CHOOSE(CONTROL!$C$42, 7.4574, 7.4574) * CHOOSE(CONTROL!$C$21, $C$9, 100%, $E$9)</f>
        <v>7.4573999999999998</v>
      </c>
      <c r="L195" s="10">
        <f>CHOOSE(CONTROL!$C$42, 8.1628, 8.1628) * CHOOSE(CONTROL!$C$21, $C$9, 100%, $E$9)</f>
        <v>8.1628000000000007</v>
      </c>
      <c r="M195" s="10">
        <f>CHOOSE(CONTROL!$C$42, 7.4065, 7.4065) * CHOOSE(CONTROL!$C$21, $C$9, 100%, $E$9)</f>
        <v>7.4065000000000003</v>
      </c>
      <c r="N195" s="10">
        <f>CHOOSE(CONTROL!$C$42, 7.4236, 7.4236) * CHOOSE(CONTROL!$C$21, $C$9, 100%, $E$9)</f>
        <v>7.4236000000000004</v>
      </c>
      <c r="O195" s="10">
        <f>CHOOSE(CONTROL!$C$42, 7.5132, 7.5132) * CHOOSE(CONTROL!$C$21, $C$9, 100%, $E$9)</f>
        <v>7.5132000000000003</v>
      </c>
      <c r="P195" s="10">
        <f>CHOOSE(CONTROL!$C$42, 7.3998, 7.3998) * CHOOSE(CONTROL!$C$21, $C$9, 100%, $E$9)</f>
        <v>7.3997999999999999</v>
      </c>
      <c r="Q195" s="10">
        <f>CHOOSE(CONTROL!$C$42, 8.1085, 8.1085) * CHOOSE(CONTROL!$C$21, $C$9, 100%, $E$9)</f>
        <v>8.1084999999999994</v>
      </c>
      <c r="R195" s="10">
        <f>CHOOSE(CONTROL!$C$42, 8.7157, 8.7157) * CHOOSE(CONTROL!$C$21, $C$9, 100%, $E$9)</f>
        <v>8.7157</v>
      </c>
      <c r="S195" s="10">
        <f>CHOOSE(CONTROL!$C$42, 7.2688, 7.2688) * CHOOSE(CONTROL!$C$21, $C$9, 100%, $E$9)</f>
        <v>7.2687999999999997</v>
      </c>
      <c r="T195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95" s="58">
        <f>(1000*CHOOSE(CONTROL!$C$42, 695, 695)*CHOOSE(CONTROL!$C$42, 0.5599, 0.5599)*CHOOSE(CONTROL!$C$42, 31, 31))/1000000</f>
        <v>12.063045499999998</v>
      </c>
      <c r="V195" s="58">
        <f>(1000*CHOOSE(CONTROL!$C$42, 500, 500)*CHOOSE(CONTROL!$C$42, 0.275, 0.275)*CHOOSE(CONTROL!$C$42, 31, 31))/1000000</f>
        <v>4.2625000000000002</v>
      </c>
      <c r="W195" s="58">
        <f>(1000*CHOOSE(CONTROL!$C$42, 0.1146, 0.1146)*CHOOSE(CONTROL!$C$42, 121.5, 121.5)*CHOOSE(CONTROL!$C$42, 31, 31))/1000000</f>
        <v>0.43164089999999994</v>
      </c>
      <c r="X195" s="58">
        <f>(31*0.1790888*100000/1000000)+(31*0.2374*100000/1000000)</f>
        <v>1.2911152800000001</v>
      </c>
      <c r="Y195" s="58"/>
      <c r="Z195" s="10"/>
      <c r="AA195" s="57"/>
      <c r="AB195" s="51">
        <f>(B195*122.58+C195*297.941+D195*89.177+E195*40.302+F195*40+G195*160+H195*0+I195*100+J195*300)/(122.58+297.941+89.177+40.302+0+40+160+100+300)</f>
        <v>7.4901583000869554</v>
      </c>
      <c r="AC195" s="27">
        <f>(M195*'RAP TEMPLATE-GAS AVAILABILITY'!O194+N195*'RAP TEMPLATE-GAS AVAILABILITY'!P194+O195*'RAP TEMPLATE-GAS AVAILABILITY'!Q194+P195*'RAP TEMPLATE-GAS AVAILABILITY'!R194)/('RAP TEMPLATE-GAS AVAILABILITY'!O194+'RAP TEMPLATE-GAS AVAILABILITY'!P194+'RAP TEMPLATE-GAS AVAILABILITY'!Q194+'RAP TEMPLATE-GAS AVAILABILITY'!R194)</f>
        <v>7.4548805755395682</v>
      </c>
    </row>
    <row r="196" spans="1:29" ht="15.75" x14ac:dyDescent="0.25">
      <c r="A196" s="16">
        <v>46844</v>
      </c>
      <c r="B196" s="10">
        <f>CHOOSE(CONTROL!$C$42, 7.4661, 7.4661) * CHOOSE(CONTROL!$C$21, $C$9, 100%, $E$9)</f>
        <v>7.4661</v>
      </c>
      <c r="C196" s="10">
        <f>CHOOSE(CONTROL!$C$42, 7.4705, 7.4705) * CHOOSE(CONTROL!$C$21, $C$9, 100%, $E$9)</f>
        <v>7.4705000000000004</v>
      </c>
      <c r="D196" s="10">
        <f>CHOOSE(CONTROL!$C$42, 7.6661, 7.6661) * CHOOSE(CONTROL!$C$21, $C$9, 100%, $E$9)</f>
        <v>7.6661000000000001</v>
      </c>
      <c r="E196" s="10">
        <f>CHOOSE(CONTROL!$C$42, 7.6978, 7.6978) * CHOOSE(CONTROL!$C$21, $C$9, 100%, $E$9)</f>
        <v>7.6978</v>
      </c>
      <c r="F196" s="10">
        <f>CHOOSE(CONTROL!$C$42, 7.4339, 7.4339)*CHOOSE(CONTROL!$C$21, $C$9, 100%, $E$9)</f>
        <v>7.4339000000000004</v>
      </c>
      <c r="G196" s="10">
        <f>CHOOSE(CONTROL!$C$42, 7.4507, 7.4507)*CHOOSE(CONTROL!$C$21, $C$9, 100%, $E$9)</f>
        <v>7.4507000000000003</v>
      </c>
      <c r="H196" s="10">
        <f>CHOOSE(CONTROL!$C$42, 7.6876, 7.6876) * CHOOSE(CONTROL!$C$21, $C$9, 100%, $E$9)</f>
        <v>7.6875999999999998</v>
      </c>
      <c r="I196" s="10">
        <f>CHOOSE(CONTROL!$C$42, 7.4341, 7.4341)* CHOOSE(CONTROL!$C$21, $C$9, 100%, $E$9)</f>
        <v>7.4340999999999999</v>
      </c>
      <c r="J196" s="10">
        <f>CHOOSE(CONTROL!$C$42, 7.4269, 7.4269)* CHOOSE(CONTROL!$C$21, $C$9, 100%, $E$9)</f>
        <v>7.4268999999999998</v>
      </c>
      <c r="K196" s="54">
        <f>CHOOSE(CONTROL!$C$42, 7.4302, 7.4302) * CHOOSE(CONTROL!$C$21, $C$9, 100%, $E$9)</f>
        <v>7.4302000000000001</v>
      </c>
      <c r="L196" s="10">
        <f>CHOOSE(CONTROL!$C$42, 8.2746, 8.2746) * CHOOSE(CONTROL!$C$21, $C$9, 100%, $E$9)</f>
        <v>8.2745999999999995</v>
      </c>
      <c r="M196" s="10">
        <f>CHOOSE(CONTROL!$C$42, 7.3658, 7.3658) * CHOOSE(CONTROL!$C$21, $C$9, 100%, $E$9)</f>
        <v>7.3658000000000001</v>
      </c>
      <c r="N196" s="10">
        <f>CHOOSE(CONTROL!$C$42, 7.3824, 7.3824) * CHOOSE(CONTROL!$C$21, $C$9, 100%, $E$9)</f>
        <v>7.3823999999999996</v>
      </c>
      <c r="O196" s="10">
        <f>CHOOSE(CONTROL!$C$42, 7.6239, 7.6239) * CHOOSE(CONTROL!$C$21, $C$9, 100%, $E$9)</f>
        <v>7.6238999999999999</v>
      </c>
      <c r="P196" s="10">
        <f>CHOOSE(CONTROL!$C$42, 7.3729, 7.3729) * CHOOSE(CONTROL!$C$21, $C$9, 100%, $E$9)</f>
        <v>7.3728999999999996</v>
      </c>
      <c r="Q196" s="10">
        <f>CHOOSE(CONTROL!$C$42, 8.2192, 8.2192) * CHOOSE(CONTROL!$C$21, $C$9, 100%, $E$9)</f>
        <v>8.2192000000000007</v>
      </c>
      <c r="R196" s="10">
        <f>CHOOSE(CONTROL!$C$42, 8.8267, 8.8267) * CHOOSE(CONTROL!$C$21, $C$9, 100%, $E$9)</f>
        <v>8.8267000000000007</v>
      </c>
      <c r="S196" s="10">
        <f>CHOOSE(CONTROL!$C$42, 7.2474, 7.2474) * CHOOSE(CONTROL!$C$21, $C$9, 100%, $E$9)</f>
        <v>7.2473999999999998</v>
      </c>
      <c r="T196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96" s="58">
        <f>(1000*CHOOSE(CONTROL!$C$42, 695, 695)*CHOOSE(CONTROL!$C$42, 0.5599, 0.5599)*CHOOSE(CONTROL!$C$42, 30, 30))/1000000</f>
        <v>11.673914999999997</v>
      </c>
      <c r="V196" s="58">
        <f>(1000*CHOOSE(CONTROL!$C$42, 500, 500)*CHOOSE(CONTROL!$C$42, 0.275, 0.275)*CHOOSE(CONTROL!$C$42, 30, 30))/1000000</f>
        <v>4.125</v>
      </c>
      <c r="W196" s="58">
        <f>(1000*CHOOSE(CONTROL!$C$42, 0.1146, 0.1146)*CHOOSE(CONTROL!$C$42, 121.5, 121.5)*CHOOSE(CONTROL!$C$42, 30, 30))/1000000</f>
        <v>0.417717</v>
      </c>
      <c r="X196" s="58">
        <f>(30*0.1790888*245000/1000000)+(30*0.2374*100000/1000000)</f>
        <v>2.0285026799999999</v>
      </c>
      <c r="Y196" s="58"/>
      <c r="Z196" s="10"/>
      <c r="AA196" s="57"/>
      <c r="AB196" s="51">
        <f>(B196*141.293+C196*267.993+D196*115.016+E196*89.698+F196*40+G196*185+H196*0+I196*100+J196*300)/(141.293+267.993+115.016+89.698+0+40+185+100+300)</f>
        <v>7.4869784469733656</v>
      </c>
      <c r="AC196" s="27">
        <f>(M196*'RAP TEMPLATE-GAS AVAILABILITY'!O195+N196*'RAP TEMPLATE-GAS AVAILABILITY'!P195+O196*'RAP TEMPLATE-GAS AVAILABILITY'!Q195+P196*'RAP TEMPLATE-GAS AVAILABILITY'!R195)/('RAP TEMPLATE-GAS AVAILABILITY'!O195+'RAP TEMPLATE-GAS AVAILABILITY'!P195+'RAP TEMPLATE-GAS AVAILABILITY'!Q195+'RAP TEMPLATE-GAS AVAILABILITY'!R195)</f>
        <v>7.4430597122302151</v>
      </c>
    </row>
    <row r="197" spans="1:29" ht="15.75" x14ac:dyDescent="0.25">
      <c r="A197" s="16">
        <v>46874</v>
      </c>
      <c r="B197" s="10">
        <f>CHOOSE(CONTROL!$C$42, 7.5334, 7.5334) * CHOOSE(CONTROL!$C$21, $C$9, 100%, $E$9)</f>
        <v>7.5334000000000003</v>
      </c>
      <c r="C197" s="10">
        <f>CHOOSE(CONTROL!$C$42, 7.5413, 7.5413) * CHOOSE(CONTROL!$C$21, $C$9, 100%, $E$9)</f>
        <v>7.5412999999999997</v>
      </c>
      <c r="D197" s="10">
        <f>CHOOSE(CONTROL!$C$42, 7.7337, 7.7337) * CHOOSE(CONTROL!$C$21, $C$9, 100%, $E$9)</f>
        <v>7.7336999999999998</v>
      </c>
      <c r="E197" s="10">
        <f>CHOOSE(CONTROL!$C$42, 7.7649, 7.7649) * CHOOSE(CONTROL!$C$21, $C$9, 100%, $E$9)</f>
        <v>7.7648999999999999</v>
      </c>
      <c r="F197" s="10">
        <f>CHOOSE(CONTROL!$C$42, 7.4996, 7.4996)*CHOOSE(CONTROL!$C$21, $C$9, 100%, $E$9)</f>
        <v>7.4996</v>
      </c>
      <c r="G197" s="10">
        <f>CHOOSE(CONTROL!$C$42, 7.5167, 7.5167)*CHOOSE(CONTROL!$C$21, $C$9, 100%, $E$9)</f>
        <v>7.5167000000000002</v>
      </c>
      <c r="H197" s="10">
        <f>CHOOSE(CONTROL!$C$42, 7.7535, 7.7535) * CHOOSE(CONTROL!$C$21, $C$9, 100%, $E$9)</f>
        <v>7.7534999999999998</v>
      </c>
      <c r="I197" s="10">
        <f>CHOOSE(CONTROL!$C$42, 7.4999, 7.4999)* CHOOSE(CONTROL!$C$21, $C$9, 100%, $E$9)</f>
        <v>7.4999000000000002</v>
      </c>
      <c r="J197" s="10">
        <f>CHOOSE(CONTROL!$C$42, 7.4926, 7.4926)* CHOOSE(CONTROL!$C$21, $C$9, 100%, $E$9)</f>
        <v>7.4926000000000004</v>
      </c>
      <c r="K197" s="54">
        <f>CHOOSE(CONTROL!$C$42, 7.496, 7.496) * CHOOSE(CONTROL!$C$21, $C$9, 100%, $E$9)</f>
        <v>7.4960000000000004</v>
      </c>
      <c r="L197" s="10">
        <f>CHOOSE(CONTROL!$C$42, 8.3405, 8.3405) * CHOOSE(CONTROL!$C$21, $C$9, 100%, $E$9)</f>
        <v>8.3405000000000005</v>
      </c>
      <c r="M197" s="10">
        <f>CHOOSE(CONTROL!$C$42, 7.4308, 7.4308) * CHOOSE(CONTROL!$C$21, $C$9, 100%, $E$9)</f>
        <v>7.4307999999999996</v>
      </c>
      <c r="N197" s="10">
        <f>CHOOSE(CONTROL!$C$42, 7.4478, 7.4478) * CHOOSE(CONTROL!$C$21, $C$9, 100%, $E$9)</f>
        <v>7.4478</v>
      </c>
      <c r="O197" s="10">
        <f>CHOOSE(CONTROL!$C$42, 7.6891, 7.6891) * CHOOSE(CONTROL!$C$21, $C$9, 100%, $E$9)</f>
        <v>7.6890999999999998</v>
      </c>
      <c r="P197" s="10">
        <f>CHOOSE(CONTROL!$C$42, 7.4381, 7.4381) * CHOOSE(CONTROL!$C$21, $C$9, 100%, $E$9)</f>
        <v>7.4381000000000004</v>
      </c>
      <c r="Q197" s="10">
        <f>CHOOSE(CONTROL!$C$42, 8.2844, 8.2844) * CHOOSE(CONTROL!$C$21, $C$9, 100%, $E$9)</f>
        <v>8.2843999999999998</v>
      </c>
      <c r="R197" s="10">
        <f>CHOOSE(CONTROL!$C$42, 8.8921, 8.8921) * CHOOSE(CONTROL!$C$21, $C$9, 100%, $E$9)</f>
        <v>8.8920999999999992</v>
      </c>
      <c r="S197" s="10">
        <f>CHOOSE(CONTROL!$C$42, 7.3114, 7.3114) * CHOOSE(CONTROL!$C$21, $C$9, 100%, $E$9)</f>
        <v>7.3113999999999999</v>
      </c>
      <c r="T197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97" s="58">
        <f>(1000*CHOOSE(CONTROL!$C$42, 695, 695)*CHOOSE(CONTROL!$C$42, 0.5599, 0.5599)*CHOOSE(CONTROL!$C$42, 31, 31))/1000000</f>
        <v>12.063045499999998</v>
      </c>
      <c r="V197" s="58">
        <f>(1000*CHOOSE(CONTROL!$C$42, 500, 500)*CHOOSE(CONTROL!$C$42, 0.275, 0.275)*CHOOSE(CONTROL!$C$42, 31, 31))/1000000</f>
        <v>4.2625000000000002</v>
      </c>
      <c r="W197" s="58">
        <f>(1000*CHOOSE(CONTROL!$C$42, 0.1146, 0.1146)*CHOOSE(CONTROL!$C$42, 121.5, 121.5)*CHOOSE(CONTROL!$C$42, 31, 31))/1000000</f>
        <v>0.43164089999999994</v>
      </c>
      <c r="X197" s="58">
        <f>(31*0.1790888*245000/1000000)+(31*0.2374*100000/1000000)</f>
        <v>2.0961194359999999</v>
      </c>
      <c r="Y197" s="58"/>
      <c r="Z197" s="10"/>
      <c r="AA197" s="57"/>
      <c r="AB197" s="51">
        <f>(B197*194.205+C197*267.466+D197*133.845+E197*53.484+F197*40+G197*185+H197*0+I197*100+J197*300)/(194.205+267.466+133.845+53.484+0+40+185+100+300)</f>
        <v>7.5500971592621662</v>
      </c>
      <c r="AC197" s="27">
        <f>(M197*'RAP TEMPLATE-GAS AVAILABILITY'!O196+N197*'RAP TEMPLATE-GAS AVAILABILITY'!P196+O197*'RAP TEMPLATE-GAS AVAILABILITY'!Q196+P197*'RAP TEMPLATE-GAS AVAILABILITY'!R196)/('RAP TEMPLATE-GAS AVAILABILITY'!O196+'RAP TEMPLATE-GAS AVAILABILITY'!P196+'RAP TEMPLATE-GAS AVAILABILITY'!Q196+'RAP TEMPLATE-GAS AVAILABILITY'!R196)</f>
        <v>7.5082366906474824</v>
      </c>
    </row>
    <row r="198" spans="1:29" ht="15.75" x14ac:dyDescent="0.25">
      <c r="A198" s="16">
        <v>46905</v>
      </c>
      <c r="B198" s="10">
        <f>CHOOSE(CONTROL!$C$42, 7.7469, 7.7469) * CHOOSE(CONTROL!$C$21, $C$9, 100%, $E$9)</f>
        <v>7.7469000000000001</v>
      </c>
      <c r="C198" s="10">
        <f>CHOOSE(CONTROL!$C$42, 7.7548, 7.7548) * CHOOSE(CONTROL!$C$21, $C$9, 100%, $E$9)</f>
        <v>7.7548000000000004</v>
      </c>
      <c r="D198" s="10">
        <f>CHOOSE(CONTROL!$C$42, 7.9473, 7.9473) * CHOOSE(CONTROL!$C$21, $C$9, 100%, $E$9)</f>
        <v>7.9473000000000003</v>
      </c>
      <c r="E198" s="10">
        <f>CHOOSE(CONTROL!$C$42, 7.9784, 7.9784) * CHOOSE(CONTROL!$C$21, $C$9, 100%, $E$9)</f>
        <v>7.9783999999999997</v>
      </c>
      <c r="F198" s="10">
        <f>CHOOSE(CONTROL!$C$42, 7.7134, 7.7134)*CHOOSE(CONTROL!$C$21, $C$9, 100%, $E$9)</f>
        <v>7.7134</v>
      </c>
      <c r="G198" s="10">
        <f>CHOOSE(CONTROL!$C$42, 7.7306, 7.7306)*CHOOSE(CONTROL!$C$21, $C$9, 100%, $E$9)</f>
        <v>7.7305999999999999</v>
      </c>
      <c r="H198" s="10">
        <f>CHOOSE(CONTROL!$C$42, 7.967, 7.967) * CHOOSE(CONTROL!$C$21, $C$9, 100%, $E$9)</f>
        <v>7.9669999999999996</v>
      </c>
      <c r="I198" s="10">
        <f>CHOOSE(CONTROL!$C$42, 7.7135, 7.7135)* CHOOSE(CONTROL!$C$21, $C$9, 100%, $E$9)</f>
        <v>7.7134999999999998</v>
      </c>
      <c r="J198" s="10">
        <f>CHOOSE(CONTROL!$C$42, 7.7064, 7.7064)* CHOOSE(CONTROL!$C$21, $C$9, 100%, $E$9)</f>
        <v>7.7064000000000004</v>
      </c>
      <c r="K198" s="54">
        <f>CHOOSE(CONTROL!$C$42, 7.7096, 7.7096) * CHOOSE(CONTROL!$C$21, $C$9, 100%, $E$9)</f>
        <v>7.7096</v>
      </c>
      <c r="L198" s="10">
        <f>CHOOSE(CONTROL!$C$42, 8.554, 8.554) * CHOOSE(CONTROL!$C$21, $C$9, 100%, $E$9)</f>
        <v>8.5540000000000003</v>
      </c>
      <c r="M198" s="10">
        <f>CHOOSE(CONTROL!$C$42, 7.6425, 7.6425) * CHOOSE(CONTROL!$C$21, $C$9, 100%, $E$9)</f>
        <v>7.6425000000000001</v>
      </c>
      <c r="N198" s="10">
        <f>CHOOSE(CONTROL!$C$42, 7.6595, 7.6595) * CHOOSE(CONTROL!$C$21, $C$9, 100%, $E$9)</f>
        <v>7.6595000000000004</v>
      </c>
      <c r="O198" s="10">
        <f>CHOOSE(CONTROL!$C$42, 7.9005, 7.9005) * CHOOSE(CONTROL!$C$21, $C$9, 100%, $E$9)</f>
        <v>7.9005000000000001</v>
      </c>
      <c r="P198" s="10">
        <f>CHOOSE(CONTROL!$C$42, 7.6495, 7.6495) * CHOOSE(CONTROL!$C$21, $C$9, 100%, $E$9)</f>
        <v>7.6494999999999997</v>
      </c>
      <c r="Q198" s="10">
        <f>CHOOSE(CONTROL!$C$42, 8.4958, 8.4958) * CHOOSE(CONTROL!$C$21, $C$9, 100%, $E$9)</f>
        <v>8.4957999999999991</v>
      </c>
      <c r="R198" s="10">
        <f>CHOOSE(CONTROL!$C$42, 9.104, 9.104) * CHOOSE(CONTROL!$C$21, $C$9, 100%, $E$9)</f>
        <v>9.1039999999999992</v>
      </c>
      <c r="S198" s="10">
        <f>CHOOSE(CONTROL!$C$42, 7.5188, 7.5188) * CHOOSE(CONTROL!$C$21, $C$9, 100%, $E$9)</f>
        <v>7.5187999999999997</v>
      </c>
      <c r="T198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98" s="58">
        <f>(1000*CHOOSE(CONTROL!$C$42, 695, 695)*CHOOSE(CONTROL!$C$42, 0.5599, 0.5599)*CHOOSE(CONTROL!$C$42, 30, 30))/1000000</f>
        <v>11.673914999999997</v>
      </c>
      <c r="V198" s="58">
        <f>(1000*CHOOSE(CONTROL!$C$42, 500, 500)*CHOOSE(CONTROL!$C$42, 0.275, 0.275)*CHOOSE(CONTROL!$C$42, 30, 30))/1000000</f>
        <v>4.125</v>
      </c>
      <c r="W198" s="58">
        <f>(1000*CHOOSE(CONTROL!$C$42, 0.1146, 0.1146)*CHOOSE(CONTROL!$C$42, 121.5, 121.5)*CHOOSE(CONTROL!$C$42, 30, 30))/1000000</f>
        <v>0.417717</v>
      </c>
      <c r="X198" s="58">
        <f>(30*0.1790888*245000/1000000)+(30*0.2374*100000/1000000)</f>
        <v>2.0285026799999999</v>
      </c>
      <c r="Y198" s="58"/>
      <c r="Z198" s="10"/>
      <c r="AA198" s="57"/>
      <c r="AB198" s="51">
        <f>(B198*194.205+C198*267.466+D198*133.845+E198*53.484+F198*40+G198*185+H198*0+I198*100+J198*300)/(194.205+267.466+133.845+53.484+0+40+185+100+300)</f>
        <v>7.7637536620094201</v>
      </c>
      <c r="AC198" s="27">
        <f>(M198*'RAP TEMPLATE-GAS AVAILABILITY'!O197+N198*'RAP TEMPLATE-GAS AVAILABILITY'!P197+O198*'RAP TEMPLATE-GAS AVAILABILITY'!Q197+P198*'RAP TEMPLATE-GAS AVAILABILITY'!R197)/('RAP TEMPLATE-GAS AVAILABILITY'!O197+'RAP TEMPLATE-GAS AVAILABILITY'!P197+'RAP TEMPLATE-GAS AVAILABILITY'!Q197+'RAP TEMPLATE-GAS AVAILABILITY'!R197)</f>
        <v>7.7198093525179852</v>
      </c>
    </row>
    <row r="199" spans="1:29" ht="15.75" x14ac:dyDescent="0.25">
      <c r="A199" s="16">
        <v>46935</v>
      </c>
      <c r="B199" s="10">
        <f>CHOOSE(CONTROL!$C$42, 7.5984, 7.5984) * CHOOSE(CONTROL!$C$21, $C$9, 100%, $E$9)</f>
        <v>7.5983999999999998</v>
      </c>
      <c r="C199" s="10">
        <f>CHOOSE(CONTROL!$C$42, 7.6063, 7.6063) * CHOOSE(CONTROL!$C$21, $C$9, 100%, $E$9)</f>
        <v>7.6063000000000001</v>
      </c>
      <c r="D199" s="10">
        <f>CHOOSE(CONTROL!$C$42, 7.7987, 7.7987) * CHOOSE(CONTROL!$C$21, $C$9, 100%, $E$9)</f>
        <v>7.7987000000000002</v>
      </c>
      <c r="E199" s="10">
        <f>CHOOSE(CONTROL!$C$42, 7.8299, 7.8299) * CHOOSE(CONTROL!$C$21, $C$9, 100%, $E$9)</f>
        <v>7.8299000000000003</v>
      </c>
      <c r="F199" s="10">
        <f>CHOOSE(CONTROL!$C$42, 7.5653, 7.5653)*CHOOSE(CONTROL!$C$21, $C$9, 100%, $E$9)</f>
        <v>7.5652999999999997</v>
      </c>
      <c r="G199" s="10">
        <f>CHOOSE(CONTROL!$C$42, 7.5826, 7.5826)*CHOOSE(CONTROL!$C$21, $C$9, 100%, $E$9)</f>
        <v>7.5826000000000002</v>
      </c>
      <c r="H199" s="10">
        <f>CHOOSE(CONTROL!$C$42, 7.8185, 7.8185) * CHOOSE(CONTROL!$C$21, $C$9, 100%, $E$9)</f>
        <v>7.8185000000000002</v>
      </c>
      <c r="I199" s="10">
        <f>CHOOSE(CONTROL!$C$42, 7.565, 7.565)* CHOOSE(CONTROL!$C$21, $C$9, 100%, $E$9)</f>
        <v>7.5650000000000004</v>
      </c>
      <c r="J199" s="10">
        <f>CHOOSE(CONTROL!$C$42, 7.5583, 7.5583)* CHOOSE(CONTROL!$C$21, $C$9, 100%, $E$9)</f>
        <v>7.5583</v>
      </c>
      <c r="K199" s="54">
        <f>CHOOSE(CONTROL!$C$42, 7.5611, 7.5611) * CHOOSE(CONTROL!$C$21, $C$9, 100%, $E$9)</f>
        <v>7.5610999999999997</v>
      </c>
      <c r="L199" s="10">
        <f>CHOOSE(CONTROL!$C$42, 8.4055, 8.4055) * CHOOSE(CONTROL!$C$21, $C$9, 100%, $E$9)</f>
        <v>8.4055</v>
      </c>
      <c r="M199" s="10">
        <f>CHOOSE(CONTROL!$C$42, 7.4958, 7.4958) * CHOOSE(CONTROL!$C$21, $C$9, 100%, $E$9)</f>
        <v>7.4958</v>
      </c>
      <c r="N199" s="10">
        <f>CHOOSE(CONTROL!$C$42, 7.5129, 7.5129) * CHOOSE(CONTROL!$C$21, $C$9, 100%, $E$9)</f>
        <v>7.5129000000000001</v>
      </c>
      <c r="O199" s="10">
        <f>CHOOSE(CONTROL!$C$42, 7.7534, 7.7534) * CHOOSE(CONTROL!$C$21, $C$9, 100%, $E$9)</f>
        <v>7.7534000000000001</v>
      </c>
      <c r="P199" s="10">
        <f>CHOOSE(CONTROL!$C$42, 7.5025, 7.5025) * CHOOSE(CONTROL!$C$21, $C$9, 100%, $E$9)</f>
        <v>7.5025000000000004</v>
      </c>
      <c r="Q199" s="10">
        <f>CHOOSE(CONTROL!$C$42, 8.3487, 8.3487) * CHOOSE(CONTROL!$C$21, $C$9, 100%, $E$9)</f>
        <v>8.3486999999999991</v>
      </c>
      <c r="R199" s="10">
        <f>CHOOSE(CONTROL!$C$42, 8.9566, 8.9566) * CHOOSE(CONTROL!$C$21, $C$9, 100%, $E$9)</f>
        <v>8.9565999999999999</v>
      </c>
      <c r="S199" s="10">
        <f>CHOOSE(CONTROL!$C$42, 7.3745, 7.3745) * CHOOSE(CONTROL!$C$21, $C$9, 100%, $E$9)</f>
        <v>7.3745000000000003</v>
      </c>
      <c r="T199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99" s="58">
        <f>(1000*CHOOSE(CONTROL!$C$42, 695, 695)*CHOOSE(CONTROL!$C$42, 0.5599, 0.5599)*CHOOSE(CONTROL!$C$42, 31, 31))/1000000</f>
        <v>12.063045499999998</v>
      </c>
      <c r="V199" s="58">
        <f>(1000*CHOOSE(CONTROL!$C$42, 500, 500)*CHOOSE(CONTROL!$C$42, 0.275, 0.275)*CHOOSE(CONTROL!$C$42, 31, 31))/1000000</f>
        <v>4.2625000000000002</v>
      </c>
      <c r="W199" s="58">
        <f>(1000*CHOOSE(CONTROL!$C$42, 0.1146, 0.1146)*CHOOSE(CONTROL!$C$42, 121.5, 121.5)*CHOOSE(CONTROL!$C$42, 31, 31))/1000000</f>
        <v>0.43164089999999994</v>
      </c>
      <c r="X199" s="58">
        <f>(31*0.1790888*245000/1000000)+(31*0.2374*100000/1000000)</f>
        <v>2.0961194359999999</v>
      </c>
      <c r="Y199" s="58"/>
      <c r="Z199" s="10"/>
      <c r="AA199" s="57"/>
      <c r="AB199" s="51">
        <f>(B199*194.205+C199*267.466+D199*133.845+E199*53.484+F199*40+G199*185+H199*0+I199*100+J199*300)/(194.205+267.466+133.845+53.484+0+40+185+100+300)</f>
        <v>7.6154225124803769</v>
      </c>
      <c r="AC199" s="27">
        <f>(M199*'RAP TEMPLATE-GAS AVAILABILITY'!O198+N199*'RAP TEMPLATE-GAS AVAILABILITY'!P198+O199*'RAP TEMPLATE-GAS AVAILABILITY'!Q198+P199*'RAP TEMPLATE-GAS AVAILABILITY'!R198)/('RAP TEMPLATE-GAS AVAILABILITY'!O198+'RAP TEMPLATE-GAS AVAILABILITY'!P198+'RAP TEMPLATE-GAS AVAILABILITY'!Q198+'RAP TEMPLATE-GAS AVAILABILITY'!R198)</f>
        <v>7.572976978417266</v>
      </c>
    </row>
    <row r="200" spans="1:29" ht="15.75" x14ac:dyDescent="0.25">
      <c r="A200" s="16">
        <v>46966</v>
      </c>
      <c r="B200" s="10">
        <f>CHOOSE(CONTROL!$C$42, 7.2233, 7.2233) * CHOOSE(CONTROL!$C$21, $C$9, 100%, $E$9)</f>
        <v>7.2233000000000001</v>
      </c>
      <c r="C200" s="10">
        <f>CHOOSE(CONTROL!$C$42, 7.2313, 7.2313) * CHOOSE(CONTROL!$C$21, $C$9, 100%, $E$9)</f>
        <v>7.2313000000000001</v>
      </c>
      <c r="D200" s="10">
        <f>CHOOSE(CONTROL!$C$42, 7.4237, 7.4237) * CHOOSE(CONTROL!$C$21, $C$9, 100%, $E$9)</f>
        <v>7.4237000000000002</v>
      </c>
      <c r="E200" s="10">
        <f>CHOOSE(CONTROL!$C$42, 7.4548, 7.4548) * CHOOSE(CONTROL!$C$21, $C$9, 100%, $E$9)</f>
        <v>7.4547999999999996</v>
      </c>
      <c r="F200" s="10">
        <f>CHOOSE(CONTROL!$C$42, 7.1904, 7.1904)*CHOOSE(CONTROL!$C$21, $C$9, 100%, $E$9)</f>
        <v>7.1904000000000003</v>
      </c>
      <c r="G200" s="10">
        <f>CHOOSE(CONTROL!$C$42, 7.2077, 7.2077)*CHOOSE(CONTROL!$C$21, $C$9, 100%, $E$9)</f>
        <v>7.2077</v>
      </c>
      <c r="H200" s="10">
        <f>CHOOSE(CONTROL!$C$42, 7.4435, 7.4435) * CHOOSE(CONTROL!$C$21, $C$9, 100%, $E$9)</f>
        <v>7.4435000000000002</v>
      </c>
      <c r="I200" s="10">
        <f>CHOOSE(CONTROL!$C$42, 7.1899, 7.1899)* CHOOSE(CONTROL!$C$21, $C$9, 100%, $E$9)</f>
        <v>7.1898999999999997</v>
      </c>
      <c r="J200" s="10">
        <f>CHOOSE(CONTROL!$C$42, 7.1834, 7.1834)* CHOOSE(CONTROL!$C$21, $C$9, 100%, $E$9)</f>
        <v>7.1833999999999998</v>
      </c>
      <c r="K200" s="54">
        <f>CHOOSE(CONTROL!$C$42, 7.186, 7.186) * CHOOSE(CONTROL!$C$21, $C$9, 100%, $E$9)</f>
        <v>7.1859999999999999</v>
      </c>
      <c r="L200" s="10">
        <f>CHOOSE(CONTROL!$C$42, 8.0305, 8.0305) * CHOOSE(CONTROL!$C$21, $C$9, 100%, $E$9)</f>
        <v>8.0305</v>
      </c>
      <c r="M200" s="10">
        <f>CHOOSE(CONTROL!$C$42, 7.1247, 7.1247) * CHOOSE(CONTROL!$C$21, $C$9, 100%, $E$9)</f>
        <v>7.1246999999999998</v>
      </c>
      <c r="N200" s="10">
        <f>CHOOSE(CONTROL!$C$42, 7.1419, 7.1419) * CHOOSE(CONTROL!$C$21, $C$9, 100%, $E$9)</f>
        <v>7.1418999999999997</v>
      </c>
      <c r="O200" s="10">
        <f>CHOOSE(CONTROL!$C$42, 7.3822, 7.3822) * CHOOSE(CONTROL!$C$21, $C$9, 100%, $E$9)</f>
        <v>7.3822000000000001</v>
      </c>
      <c r="P200" s="10">
        <f>CHOOSE(CONTROL!$C$42, 7.1312, 7.1312) * CHOOSE(CONTROL!$C$21, $C$9, 100%, $E$9)</f>
        <v>7.1311999999999998</v>
      </c>
      <c r="Q200" s="10">
        <f>CHOOSE(CONTROL!$C$42, 7.9775, 7.9775) * CHOOSE(CONTROL!$C$21, $C$9, 100%, $E$9)</f>
        <v>7.9775</v>
      </c>
      <c r="R200" s="10">
        <f>CHOOSE(CONTROL!$C$42, 8.5844, 8.5844) * CHOOSE(CONTROL!$C$21, $C$9, 100%, $E$9)</f>
        <v>8.5844000000000005</v>
      </c>
      <c r="S200" s="10">
        <f>CHOOSE(CONTROL!$C$42, 7.0103, 7.0103) * CHOOSE(CONTROL!$C$21, $C$9, 100%, $E$9)</f>
        <v>7.0103</v>
      </c>
      <c r="T200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200" s="58">
        <f>(1000*CHOOSE(CONTROL!$C$42, 695, 695)*CHOOSE(CONTROL!$C$42, 0.5599, 0.5599)*CHOOSE(CONTROL!$C$42, 31, 31))/1000000</f>
        <v>12.063045499999998</v>
      </c>
      <c r="V200" s="58">
        <f>(1000*CHOOSE(CONTROL!$C$42, 500, 500)*CHOOSE(CONTROL!$C$42, 0.275, 0.275)*CHOOSE(CONTROL!$C$42, 31, 31))/1000000</f>
        <v>4.2625000000000002</v>
      </c>
      <c r="W200" s="58">
        <f>(1000*CHOOSE(CONTROL!$C$42, 0.1146, 0.1146)*CHOOSE(CONTROL!$C$42, 121.5, 121.5)*CHOOSE(CONTROL!$C$42, 31, 31))/1000000</f>
        <v>0.43164089999999994</v>
      </c>
      <c r="X200" s="58">
        <f>(31*0.1790888*245000/1000000)+(31*0.2374*100000/1000000)</f>
        <v>2.0961194359999999</v>
      </c>
      <c r="Y200" s="58"/>
      <c r="Z200" s="10"/>
      <c r="AA200" s="57"/>
      <c r="AB200" s="51">
        <f>(B200*194.205+C200*267.466+D200*133.845+E200*53.484+F200*40+G200*185+H200*0+I200*100+J200*300)/(194.205+267.466+133.845+53.484+0+40+185+100+300)</f>
        <v>7.2404364301412869</v>
      </c>
      <c r="AC200" s="27">
        <f>(M200*'RAP TEMPLATE-GAS AVAILABILITY'!O199+N200*'RAP TEMPLATE-GAS AVAILABILITY'!P199+O200*'RAP TEMPLATE-GAS AVAILABILITY'!Q199+P200*'RAP TEMPLATE-GAS AVAILABILITY'!R199)/('RAP TEMPLATE-GAS AVAILABILITY'!O199+'RAP TEMPLATE-GAS AVAILABILITY'!P199+'RAP TEMPLATE-GAS AVAILABILITY'!Q199+'RAP TEMPLATE-GAS AVAILABILITY'!R199)</f>
        <v>7.2018431654676256</v>
      </c>
    </row>
    <row r="201" spans="1:29" ht="15.75" x14ac:dyDescent="0.25">
      <c r="A201" s="16">
        <v>46997</v>
      </c>
      <c r="B201" s="10">
        <f>CHOOSE(CONTROL!$C$42, 6.7647, 6.7647) * CHOOSE(CONTROL!$C$21, $C$9, 100%, $E$9)</f>
        <v>6.7647000000000004</v>
      </c>
      <c r="C201" s="10">
        <f>CHOOSE(CONTROL!$C$42, 6.7726, 6.7726) * CHOOSE(CONTROL!$C$21, $C$9, 100%, $E$9)</f>
        <v>6.7725999999999997</v>
      </c>
      <c r="D201" s="10">
        <f>CHOOSE(CONTROL!$C$42, 6.9651, 6.9651) * CHOOSE(CONTROL!$C$21, $C$9, 100%, $E$9)</f>
        <v>6.9650999999999996</v>
      </c>
      <c r="E201" s="10">
        <f>CHOOSE(CONTROL!$C$42, 6.9962, 6.9962) * CHOOSE(CONTROL!$C$21, $C$9, 100%, $E$9)</f>
        <v>6.9962</v>
      </c>
      <c r="F201" s="10">
        <f>CHOOSE(CONTROL!$C$42, 6.7316, 6.7316)*CHOOSE(CONTROL!$C$21, $C$9, 100%, $E$9)</f>
        <v>6.7316000000000003</v>
      </c>
      <c r="G201" s="10">
        <f>CHOOSE(CONTROL!$C$42, 6.7489, 6.7489)*CHOOSE(CONTROL!$C$21, $C$9, 100%, $E$9)</f>
        <v>6.7488999999999999</v>
      </c>
      <c r="H201" s="10">
        <f>CHOOSE(CONTROL!$C$42, 6.9848, 6.9848) * CHOOSE(CONTROL!$C$21, $C$9, 100%, $E$9)</f>
        <v>6.9847999999999999</v>
      </c>
      <c r="I201" s="10">
        <f>CHOOSE(CONTROL!$C$42, 6.7313, 6.7313)* CHOOSE(CONTROL!$C$21, $C$9, 100%, $E$9)</f>
        <v>6.7313000000000001</v>
      </c>
      <c r="J201" s="10">
        <f>CHOOSE(CONTROL!$C$42, 6.7246, 6.7246)* CHOOSE(CONTROL!$C$21, $C$9, 100%, $E$9)</f>
        <v>6.7245999999999997</v>
      </c>
      <c r="K201" s="54">
        <f>CHOOSE(CONTROL!$C$42, 6.7274, 6.7274) * CHOOSE(CONTROL!$C$21, $C$9, 100%, $E$9)</f>
        <v>6.7274000000000003</v>
      </c>
      <c r="L201" s="10">
        <f>CHOOSE(CONTROL!$C$42, 7.5718, 7.5718) * CHOOSE(CONTROL!$C$21, $C$9, 100%, $E$9)</f>
        <v>7.5717999999999996</v>
      </c>
      <c r="M201" s="10">
        <f>CHOOSE(CONTROL!$C$42, 6.6706, 6.6706) * CHOOSE(CONTROL!$C$21, $C$9, 100%, $E$9)</f>
        <v>6.6706000000000003</v>
      </c>
      <c r="N201" s="10">
        <f>CHOOSE(CONTROL!$C$42, 6.6877, 6.6877) * CHOOSE(CONTROL!$C$21, $C$9, 100%, $E$9)</f>
        <v>6.6877000000000004</v>
      </c>
      <c r="O201" s="10">
        <f>CHOOSE(CONTROL!$C$42, 6.9282, 6.9282) * CHOOSE(CONTROL!$C$21, $C$9, 100%, $E$9)</f>
        <v>6.9282000000000004</v>
      </c>
      <c r="P201" s="10">
        <f>CHOOSE(CONTROL!$C$42, 6.6772, 6.6772) * CHOOSE(CONTROL!$C$21, $C$9, 100%, $E$9)</f>
        <v>6.6772</v>
      </c>
      <c r="Q201" s="10">
        <f>CHOOSE(CONTROL!$C$42, 7.5235, 7.5235) * CHOOSE(CONTROL!$C$21, $C$9, 100%, $E$9)</f>
        <v>7.5235000000000003</v>
      </c>
      <c r="R201" s="10">
        <f>CHOOSE(CONTROL!$C$42, 8.1293, 8.1293) * CHOOSE(CONTROL!$C$21, $C$9, 100%, $E$9)</f>
        <v>8.1293000000000006</v>
      </c>
      <c r="S201" s="10">
        <f>CHOOSE(CONTROL!$C$42, 6.565, 6.565) * CHOOSE(CONTROL!$C$21, $C$9, 100%, $E$9)</f>
        <v>6.5650000000000004</v>
      </c>
      <c r="T201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201" s="58">
        <f>(1000*CHOOSE(CONTROL!$C$42, 695, 695)*CHOOSE(CONTROL!$C$42, 0.5599, 0.5599)*CHOOSE(CONTROL!$C$42, 30, 30))/1000000</f>
        <v>11.673914999999997</v>
      </c>
      <c r="V201" s="58">
        <f>(1000*CHOOSE(CONTROL!$C$42, 500, 500)*CHOOSE(CONTROL!$C$42, 0.275, 0.275)*CHOOSE(CONTROL!$C$42, 30, 30))/1000000</f>
        <v>4.125</v>
      </c>
      <c r="W201" s="58">
        <f>(1000*CHOOSE(CONTROL!$C$42, 0.1146, 0.1146)*CHOOSE(CONTROL!$C$42, 121.5, 121.5)*CHOOSE(CONTROL!$C$42, 30, 30))/1000000</f>
        <v>0.417717</v>
      </c>
      <c r="X201" s="58">
        <f>(30*0.1790888*245000/1000000)+(30*0.2374*100000/1000000)</f>
        <v>2.0285026799999999</v>
      </c>
      <c r="Y201" s="58"/>
      <c r="Z201" s="10"/>
      <c r="AA201" s="57"/>
      <c r="AB201" s="51">
        <f>(B201*194.205+C201*267.466+D201*133.845+E201*53.484+F201*40+G201*185+H201*0+I201*100+J201*300)/(194.205+267.466+133.845+53.484+0+40+185+100+300)</f>
        <v>6.7817330183673477</v>
      </c>
      <c r="AC201" s="27">
        <f>(M201*'RAP TEMPLATE-GAS AVAILABILITY'!O200+N201*'RAP TEMPLATE-GAS AVAILABILITY'!P200+O201*'RAP TEMPLATE-GAS AVAILABILITY'!Q200+P201*'RAP TEMPLATE-GAS AVAILABILITY'!R200)/('RAP TEMPLATE-GAS AVAILABILITY'!O200+'RAP TEMPLATE-GAS AVAILABILITY'!P200+'RAP TEMPLATE-GAS AVAILABILITY'!Q200+'RAP TEMPLATE-GAS AVAILABILITY'!R200)</f>
        <v>6.7477625899280582</v>
      </c>
    </row>
    <row r="202" spans="1:29" ht="15.75" x14ac:dyDescent="0.25">
      <c r="A202" s="16">
        <v>47027</v>
      </c>
      <c r="B202" s="10">
        <f>CHOOSE(CONTROL!$C$42, 6.6257, 6.6257) * CHOOSE(CONTROL!$C$21, $C$9, 100%, $E$9)</f>
        <v>6.6257000000000001</v>
      </c>
      <c r="C202" s="10">
        <f>CHOOSE(CONTROL!$C$42, 6.6309, 6.6309) * CHOOSE(CONTROL!$C$21, $C$9, 100%, $E$9)</f>
        <v>6.6308999999999996</v>
      </c>
      <c r="D202" s="10">
        <f>CHOOSE(CONTROL!$C$42, 6.8283, 6.8283) * CHOOSE(CONTROL!$C$21, $C$9, 100%, $E$9)</f>
        <v>6.8282999999999996</v>
      </c>
      <c r="E202" s="10">
        <f>CHOOSE(CONTROL!$C$42, 6.8571, 6.8571) * CHOOSE(CONTROL!$C$21, $C$9, 100%, $E$9)</f>
        <v>6.8571</v>
      </c>
      <c r="F202" s="10">
        <f>CHOOSE(CONTROL!$C$42, 6.5946, 6.5946)*CHOOSE(CONTROL!$C$21, $C$9, 100%, $E$9)</f>
        <v>6.5945999999999998</v>
      </c>
      <c r="G202" s="10">
        <f>CHOOSE(CONTROL!$C$42, 6.6116, 6.6116)*CHOOSE(CONTROL!$C$21, $C$9, 100%, $E$9)</f>
        <v>6.6116000000000001</v>
      </c>
      <c r="H202" s="10">
        <f>CHOOSE(CONTROL!$C$42, 6.8476, 6.8476) * CHOOSE(CONTROL!$C$21, $C$9, 100%, $E$9)</f>
        <v>6.8475999999999999</v>
      </c>
      <c r="I202" s="10">
        <f>CHOOSE(CONTROL!$C$42, 6.594, 6.594)* CHOOSE(CONTROL!$C$21, $C$9, 100%, $E$9)</f>
        <v>6.5940000000000003</v>
      </c>
      <c r="J202" s="10">
        <f>CHOOSE(CONTROL!$C$42, 6.5876, 6.5876)* CHOOSE(CONTROL!$C$21, $C$9, 100%, $E$9)</f>
        <v>6.5876000000000001</v>
      </c>
      <c r="K202" s="54">
        <f>CHOOSE(CONTROL!$C$42, 6.5901, 6.5901) * CHOOSE(CONTROL!$C$21, $C$9, 100%, $E$9)</f>
        <v>6.5900999999999996</v>
      </c>
      <c r="L202" s="10">
        <f>CHOOSE(CONTROL!$C$42, 7.4346, 7.4346) * CHOOSE(CONTROL!$C$21, $C$9, 100%, $E$9)</f>
        <v>7.4345999999999997</v>
      </c>
      <c r="M202" s="10">
        <f>CHOOSE(CONTROL!$C$42, 6.5349, 6.5349) * CHOOSE(CONTROL!$C$21, $C$9, 100%, $E$9)</f>
        <v>6.5349000000000004</v>
      </c>
      <c r="N202" s="10">
        <f>CHOOSE(CONTROL!$C$42, 6.5517, 6.5517) * CHOOSE(CONTROL!$C$21, $C$9, 100%, $E$9)</f>
        <v>6.5517000000000003</v>
      </c>
      <c r="O202" s="10">
        <f>CHOOSE(CONTROL!$C$42, 6.7923, 6.7923) * CHOOSE(CONTROL!$C$21, $C$9, 100%, $E$9)</f>
        <v>6.7923</v>
      </c>
      <c r="P202" s="10">
        <f>CHOOSE(CONTROL!$C$42, 6.5414, 6.5414) * CHOOSE(CONTROL!$C$21, $C$9, 100%, $E$9)</f>
        <v>6.5414000000000003</v>
      </c>
      <c r="Q202" s="10">
        <f>CHOOSE(CONTROL!$C$42, 7.3876, 7.3876) * CHOOSE(CONTROL!$C$21, $C$9, 100%, $E$9)</f>
        <v>7.3875999999999999</v>
      </c>
      <c r="R202" s="10">
        <f>CHOOSE(CONTROL!$C$42, 7.9931, 7.9931) * CHOOSE(CONTROL!$C$21, $C$9, 100%, $E$9)</f>
        <v>7.9931000000000001</v>
      </c>
      <c r="S202" s="10">
        <f>CHOOSE(CONTROL!$C$42, 6.4317, 6.4317) * CHOOSE(CONTROL!$C$21, $C$9, 100%, $E$9)</f>
        <v>6.4317000000000002</v>
      </c>
      <c r="T202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202" s="58">
        <f>(1000*CHOOSE(CONTROL!$C$42, 695, 695)*CHOOSE(CONTROL!$C$42, 0.5599, 0.5599)*CHOOSE(CONTROL!$C$42, 31, 31))/1000000</f>
        <v>12.063045499999998</v>
      </c>
      <c r="V202" s="58">
        <f>(1000*CHOOSE(CONTROL!$C$42, 500, 500)*CHOOSE(CONTROL!$C$42, 0.275, 0.275)*CHOOSE(CONTROL!$C$42, 31, 31))/1000000</f>
        <v>4.2625000000000002</v>
      </c>
      <c r="W202" s="58">
        <f>(1000*CHOOSE(CONTROL!$C$42, 0.1146, 0.1146)*CHOOSE(CONTROL!$C$42, 121.5, 121.5)*CHOOSE(CONTROL!$C$42, 31, 31))/1000000</f>
        <v>0.43164089999999994</v>
      </c>
      <c r="X202" s="58">
        <f>(31*0.1790888*245000/1000000)+(31*0.2374*100000/1000000)</f>
        <v>2.0961194359999999</v>
      </c>
      <c r="Y202" s="58"/>
      <c r="Z202" s="10"/>
      <c r="AA202" s="57"/>
      <c r="AB202" s="51">
        <f>(B202*131.881+C202*277.167+D202*79.08+E202*125.872+F202*40+G202*185+H202*0+I202*100+J202*300)/(131.881+277.167+79.08+125.872+0+40+185+100+300)</f>
        <v>6.6484095699757857</v>
      </c>
      <c r="AC202" s="27">
        <f>(M202*'RAP TEMPLATE-GAS AVAILABILITY'!O201+N202*'RAP TEMPLATE-GAS AVAILABILITY'!P201+O202*'RAP TEMPLATE-GAS AVAILABILITY'!Q201+P202*'RAP TEMPLATE-GAS AVAILABILITY'!R201)/('RAP TEMPLATE-GAS AVAILABILITY'!O201+'RAP TEMPLATE-GAS AVAILABILITY'!P201+'RAP TEMPLATE-GAS AVAILABILITY'!Q201+'RAP TEMPLATE-GAS AVAILABILITY'!R201)</f>
        <v>6.6119230215827338</v>
      </c>
    </row>
    <row r="203" spans="1:29" ht="15.75" x14ac:dyDescent="0.25">
      <c r="A203" s="16">
        <v>47058</v>
      </c>
      <c r="B203" s="10">
        <f>CHOOSE(CONTROL!$C$42, 6.7997, 6.7997) * CHOOSE(CONTROL!$C$21, $C$9, 100%, $E$9)</f>
        <v>6.7996999999999996</v>
      </c>
      <c r="C203" s="10">
        <f>CHOOSE(CONTROL!$C$42, 6.8047, 6.8047) * CHOOSE(CONTROL!$C$21, $C$9, 100%, $E$9)</f>
        <v>6.8047000000000004</v>
      </c>
      <c r="D203" s="10">
        <f>CHOOSE(CONTROL!$C$42, 6.8343, 6.8343) * CHOOSE(CONTROL!$C$21, $C$9, 100%, $E$9)</f>
        <v>6.8342999999999998</v>
      </c>
      <c r="E203" s="10">
        <f>CHOOSE(CONTROL!$C$42, 6.8681, 6.8681) * CHOOSE(CONTROL!$C$21, $C$9, 100%, $E$9)</f>
        <v>6.8681000000000001</v>
      </c>
      <c r="F203" s="10">
        <f>CHOOSE(CONTROL!$C$42, 6.7665, 6.7665)*CHOOSE(CONTROL!$C$21, $C$9, 100%, $E$9)</f>
        <v>6.7664999999999997</v>
      </c>
      <c r="G203" s="10">
        <f>CHOOSE(CONTROL!$C$42, 6.7837, 6.7837)*CHOOSE(CONTROL!$C$21, $C$9, 100%, $E$9)</f>
        <v>6.7836999999999996</v>
      </c>
      <c r="H203" s="10">
        <f>CHOOSE(CONTROL!$C$42, 6.8573, 6.8573) * CHOOSE(CONTROL!$C$21, $C$9, 100%, $E$9)</f>
        <v>6.8573000000000004</v>
      </c>
      <c r="I203" s="10">
        <f>CHOOSE(CONTROL!$C$42, 6.7633, 6.7633)* CHOOSE(CONTROL!$C$21, $C$9, 100%, $E$9)</f>
        <v>6.7633000000000001</v>
      </c>
      <c r="J203" s="10">
        <f>CHOOSE(CONTROL!$C$42, 6.7595, 6.7595)* CHOOSE(CONTROL!$C$21, $C$9, 100%, $E$9)</f>
        <v>6.7595000000000001</v>
      </c>
      <c r="K203" s="54">
        <f>CHOOSE(CONTROL!$C$42, 6.7595, 6.7595) * CHOOSE(CONTROL!$C$21, $C$9, 100%, $E$9)</f>
        <v>6.7595000000000001</v>
      </c>
      <c r="L203" s="10">
        <f>CHOOSE(CONTROL!$C$42, 7.4443, 7.4443) * CHOOSE(CONTROL!$C$21, $C$9, 100%, $E$9)</f>
        <v>7.4443000000000001</v>
      </c>
      <c r="M203" s="10">
        <f>CHOOSE(CONTROL!$C$42, 6.7052, 6.7052) * CHOOSE(CONTROL!$C$21, $C$9, 100%, $E$9)</f>
        <v>6.7051999999999996</v>
      </c>
      <c r="N203" s="10">
        <f>CHOOSE(CONTROL!$C$42, 6.7221, 6.7221) * CHOOSE(CONTROL!$C$21, $C$9, 100%, $E$9)</f>
        <v>6.7221000000000002</v>
      </c>
      <c r="O203" s="10">
        <f>CHOOSE(CONTROL!$C$42, 6.8019, 6.8019) * CHOOSE(CONTROL!$C$21, $C$9, 100%, $E$9)</f>
        <v>6.8018999999999998</v>
      </c>
      <c r="P203" s="10">
        <f>CHOOSE(CONTROL!$C$42, 6.709, 6.709) * CHOOSE(CONTROL!$C$21, $C$9, 100%, $E$9)</f>
        <v>6.7089999999999996</v>
      </c>
      <c r="Q203" s="10">
        <f>CHOOSE(CONTROL!$C$42, 7.3972, 7.3972) * CHOOSE(CONTROL!$C$21, $C$9, 100%, $E$9)</f>
        <v>7.3971999999999998</v>
      </c>
      <c r="R203" s="10">
        <f>CHOOSE(CONTROL!$C$42, 8.0027, 8.0027) * CHOOSE(CONTROL!$C$21, $C$9, 100%, $E$9)</f>
        <v>8.0027000000000008</v>
      </c>
      <c r="S203" s="10">
        <f>CHOOSE(CONTROL!$C$42, 6.6011, 6.6011) * CHOOSE(CONTROL!$C$21, $C$9, 100%, $E$9)</f>
        <v>6.6010999999999997</v>
      </c>
      <c r="T203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203" s="58">
        <f>(1000*CHOOSE(CONTROL!$C$42, 695, 695)*CHOOSE(CONTROL!$C$42, 0.5599, 0.5599)*CHOOSE(CONTROL!$C$42, 30, 30))/1000000</f>
        <v>11.673914999999997</v>
      </c>
      <c r="V203" s="58">
        <f>(1000*CHOOSE(CONTROL!$C$42, 500, 500)*CHOOSE(CONTROL!$C$42, 0.275, 0.275)*CHOOSE(CONTROL!$C$42, 30, 30))/1000000</f>
        <v>4.125</v>
      </c>
      <c r="W203" s="58">
        <f>(1000*CHOOSE(CONTROL!$C$42, 0.1146, 0.1146)*CHOOSE(CONTROL!$C$42, 121.5, 121.5)*CHOOSE(CONTROL!$C$42, 30, 30))/1000000</f>
        <v>0.417717</v>
      </c>
      <c r="X203" s="58">
        <f>(30*0.1790888*100000/1000000)+(30*0.2374*100000/1000000)</f>
        <v>1.2494664</v>
      </c>
      <c r="Y203" s="58"/>
      <c r="Z203" s="10"/>
      <c r="AA203" s="57"/>
      <c r="AB203" s="51">
        <f>(B203*122.58+C203*297.941+D203*89.177+E203*40.302+F203*40+G203*160+H203*0+I203*100+J203*300)/(122.58+297.941+89.177+40.302+0+40+160+100+300)</f>
        <v>6.7890425095652169</v>
      </c>
      <c r="AC203" s="27">
        <f>(M203*'RAP TEMPLATE-GAS AVAILABILITY'!O202+N203*'RAP TEMPLATE-GAS AVAILABILITY'!P202+O203*'RAP TEMPLATE-GAS AVAILABILITY'!Q202+P203*'RAP TEMPLATE-GAS AVAILABILITY'!R202)/('RAP TEMPLATE-GAS AVAILABILITY'!O202+'RAP TEMPLATE-GAS AVAILABILITY'!P202+'RAP TEMPLATE-GAS AVAILABILITY'!Q202+'RAP TEMPLATE-GAS AVAILABILITY'!R202)</f>
        <v>6.7505474820143876</v>
      </c>
    </row>
    <row r="204" spans="1:29" ht="15.75" x14ac:dyDescent="0.25">
      <c r="A204" s="16">
        <v>47088</v>
      </c>
      <c r="B204" s="10">
        <f>CHOOSE(CONTROL!$C$42, 7.2631, 7.2631) * CHOOSE(CONTROL!$C$21, $C$9, 100%, $E$9)</f>
        <v>7.2630999999999997</v>
      </c>
      <c r="C204" s="10">
        <f>CHOOSE(CONTROL!$C$42, 7.2681, 7.2681) * CHOOSE(CONTROL!$C$21, $C$9, 100%, $E$9)</f>
        <v>7.2680999999999996</v>
      </c>
      <c r="D204" s="10">
        <f>CHOOSE(CONTROL!$C$42, 7.2977, 7.2977) * CHOOSE(CONTROL!$C$21, $C$9, 100%, $E$9)</f>
        <v>7.2976999999999999</v>
      </c>
      <c r="E204" s="10">
        <f>CHOOSE(CONTROL!$C$42, 7.3315, 7.3315) * CHOOSE(CONTROL!$C$21, $C$9, 100%, $E$9)</f>
        <v>7.3315000000000001</v>
      </c>
      <c r="F204" s="10">
        <f>CHOOSE(CONTROL!$C$42, 7.2314, 7.2314)*CHOOSE(CONTROL!$C$21, $C$9, 100%, $E$9)</f>
        <v>7.2313999999999998</v>
      </c>
      <c r="G204" s="10">
        <f>CHOOSE(CONTROL!$C$42, 7.2489, 7.2489)*CHOOSE(CONTROL!$C$21, $C$9, 100%, $E$9)</f>
        <v>7.2488999999999999</v>
      </c>
      <c r="H204" s="10">
        <f>CHOOSE(CONTROL!$C$42, 7.3207, 7.3207) * CHOOSE(CONTROL!$C$21, $C$9, 100%, $E$9)</f>
        <v>7.3207000000000004</v>
      </c>
      <c r="I204" s="10">
        <f>CHOOSE(CONTROL!$C$42, 7.2267, 7.2267)* CHOOSE(CONTROL!$C$21, $C$9, 100%, $E$9)</f>
        <v>7.2267000000000001</v>
      </c>
      <c r="J204" s="10">
        <f>CHOOSE(CONTROL!$C$42, 7.2244, 7.2244)* CHOOSE(CONTROL!$C$21, $C$9, 100%, $E$9)</f>
        <v>7.2244000000000002</v>
      </c>
      <c r="K204" s="54">
        <f>CHOOSE(CONTROL!$C$42, 7.2229, 7.2229) * CHOOSE(CONTROL!$C$21, $C$9, 100%, $E$9)</f>
        <v>7.2229000000000001</v>
      </c>
      <c r="L204" s="10">
        <f>CHOOSE(CONTROL!$C$42, 7.9077, 7.9077) * CHOOSE(CONTROL!$C$21, $C$9, 100%, $E$9)</f>
        <v>7.9077000000000002</v>
      </c>
      <c r="M204" s="10">
        <f>CHOOSE(CONTROL!$C$42, 7.1653, 7.1653) * CHOOSE(CONTROL!$C$21, $C$9, 100%, $E$9)</f>
        <v>7.1653000000000002</v>
      </c>
      <c r="N204" s="10">
        <f>CHOOSE(CONTROL!$C$42, 7.1826, 7.1826) * CHOOSE(CONTROL!$C$21, $C$9, 100%, $E$9)</f>
        <v>7.1825999999999999</v>
      </c>
      <c r="O204" s="10">
        <f>CHOOSE(CONTROL!$C$42, 7.2606, 7.2606) * CHOOSE(CONTROL!$C$21, $C$9, 100%, $E$9)</f>
        <v>7.2606000000000002</v>
      </c>
      <c r="P204" s="10">
        <f>CHOOSE(CONTROL!$C$42, 7.1677, 7.1677) * CHOOSE(CONTROL!$C$21, $C$9, 100%, $E$9)</f>
        <v>7.1677</v>
      </c>
      <c r="Q204" s="10">
        <f>CHOOSE(CONTROL!$C$42, 7.8559, 7.8559) * CHOOSE(CONTROL!$C$21, $C$9, 100%, $E$9)</f>
        <v>7.8559000000000001</v>
      </c>
      <c r="R204" s="10">
        <f>CHOOSE(CONTROL!$C$42, 8.4626, 8.4626) * CHOOSE(CONTROL!$C$21, $C$9, 100%, $E$9)</f>
        <v>8.4626000000000001</v>
      </c>
      <c r="S204" s="10">
        <f>CHOOSE(CONTROL!$C$42, 7.0511, 7.0511) * CHOOSE(CONTROL!$C$21, $C$9, 100%, $E$9)</f>
        <v>7.0510999999999999</v>
      </c>
      <c r="T204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204" s="58">
        <f>(1000*CHOOSE(CONTROL!$C$42, 695, 695)*CHOOSE(CONTROL!$C$42, 0.5599, 0.5599)*CHOOSE(CONTROL!$C$42, 31, 31))/1000000</f>
        <v>12.063045499999998</v>
      </c>
      <c r="V204" s="58">
        <f>(1000*CHOOSE(CONTROL!$C$42, 500, 500)*CHOOSE(CONTROL!$C$42, 0.275, 0.275)*CHOOSE(CONTROL!$C$42, 31, 31))/1000000</f>
        <v>4.2625000000000002</v>
      </c>
      <c r="W204" s="58">
        <f>(1000*CHOOSE(CONTROL!$C$42, 0.1146, 0.1146)*CHOOSE(CONTROL!$C$42, 121.5, 121.5)*CHOOSE(CONTROL!$C$42, 31, 31))/1000000</f>
        <v>0.43164089999999994</v>
      </c>
      <c r="X204" s="58">
        <f>(31*0.1790888*100000/1000000)+(31*0.2374*100000/1000000)</f>
        <v>1.2911152800000001</v>
      </c>
      <c r="Y204" s="58"/>
      <c r="Z204" s="10"/>
      <c r="AA204" s="57"/>
      <c r="AB204" s="51">
        <f>(B204*122.58+C204*297.941+D204*89.177+E204*40.302+F204*40+G204*160+H204*0+I204*100+J204*300)/(122.58+297.941+89.177+40.302+0+40+160+100+300)</f>
        <v>7.2531364226086952</v>
      </c>
      <c r="AC204" s="27">
        <f>(M204*'RAP TEMPLATE-GAS AVAILABILITY'!O203+N204*'RAP TEMPLATE-GAS AVAILABILITY'!P203+O204*'RAP TEMPLATE-GAS AVAILABILITY'!Q203+P204*'RAP TEMPLATE-GAS AVAILABILITY'!R203)/('RAP TEMPLATE-GAS AVAILABILITY'!O203+'RAP TEMPLATE-GAS AVAILABILITY'!P203+'RAP TEMPLATE-GAS AVAILABILITY'!Q203+'RAP TEMPLATE-GAS AVAILABILITY'!R203)</f>
        <v>7.209834532374102</v>
      </c>
    </row>
    <row r="205" spans="1:29" ht="15.75" x14ac:dyDescent="0.25">
      <c r="A205" s="16">
        <v>47119</v>
      </c>
      <c r="B205" s="10">
        <f>CHOOSE(CONTROL!$C$42, 7.8911, 7.8911) * CHOOSE(CONTROL!$C$21, $C$9, 100%, $E$9)</f>
        <v>7.8910999999999998</v>
      </c>
      <c r="C205" s="10">
        <f>CHOOSE(CONTROL!$C$42, 7.8961, 7.8961) * CHOOSE(CONTROL!$C$21, $C$9, 100%, $E$9)</f>
        <v>7.8960999999999997</v>
      </c>
      <c r="D205" s="10">
        <f>CHOOSE(CONTROL!$C$42, 7.9463, 7.9463) * CHOOSE(CONTROL!$C$21, $C$9, 100%, $E$9)</f>
        <v>7.9462999999999999</v>
      </c>
      <c r="E205" s="10">
        <f>CHOOSE(CONTROL!$C$42, 7.98, 7.98) * CHOOSE(CONTROL!$C$21, $C$9, 100%, $E$9)</f>
        <v>7.98</v>
      </c>
      <c r="F205" s="10">
        <f>CHOOSE(CONTROL!$C$42, 7.8565, 7.8565)*CHOOSE(CONTROL!$C$21, $C$9, 100%, $E$9)</f>
        <v>7.8564999999999996</v>
      </c>
      <c r="G205" s="10">
        <f>CHOOSE(CONTROL!$C$42, 7.874, 7.874)*CHOOSE(CONTROL!$C$21, $C$9, 100%, $E$9)</f>
        <v>7.8739999999999997</v>
      </c>
      <c r="H205" s="10">
        <f>CHOOSE(CONTROL!$C$42, 7.9692, 7.9692) * CHOOSE(CONTROL!$C$21, $C$9, 100%, $E$9)</f>
        <v>7.9691999999999998</v>
      </c>
      <c r="I205" s="10">
        <f>CHOOSE(CONTROL!$C$42, 7.865, 7.865)* CHOOSE(CONTROL!$C$21, $C$9, 100%, $E$9)</f>
        <v>7.8650000000000002</v>
      </c>
      <c r="J205" s="10">
        <f>CHOOSE(CONTROL!$C$42, 7.8495, 7.8495)* CHOOSE(CONTROL!$C$21, $C$9, 100%, $E$9)</f>
        <v>7.8494999999999999</v>
      </c>
      <c r="K205" s="54">
        <f>CHOOSE(CONTROL!$C$42, 7.8611, 7.8611) * CHOOSE(CONTROL!$C$21, $C$9, 100%, $E$9)</f>
        <v>7.8611000000000004</v>
      </c>
      <c r="L205" s="10">
        <f>CHOOSE(CONTROL!$C$42, 8.5562, 8.5562) * CHOOSE(CONTROL!$C$21, $C$9, 100%, $E$9)</f>
        <v>8.5562000000000005</v>
      </c>
      <c r="M205" s="10">
        <f>CHOOSE(CONTROL!$C$42, 7.7841, 7.7841) * CHOOSE(CONTROL!$C$21, $C$9, 100%, $E$9)</f>
        <v>7.7840999999999996</v>
      </c>
      <c r="N205" s="10">
        <f>CHOOSE(CONTROL!$C$42, 7.8015, 7.8015) * CHOOSE(CONTROL!$C$21, $C$9, 100%, $E$9)</f>
        <v>7.8014999999999999</v>
      </c>
      <c r="O205" s="10">
        <f>CHOOSE(CONTROL!$C$42, 7.9026, 7.9026) * CHOOSE(CONTROL!$C$21, $C$9, 100%, $E$9)</f>
        <v>7.9025999999999996</v>
      </c>
      <c r="P205" s="10">
        <f>CHOOSE(CONTROL!$C$42, 7.7995, 7.7995) * CHOOSE(CONTROL!$C$21, $C$9, 100%, $E$9)</f>
        <v>7.7995000000000001</v>
      </c>
      <c r="Q205" s="10">
        <f>CHOOSE(CONTROL!$C$42, 8.4979, 8.4979) * CHOOSE(CONTROL!$C$21, $C$9, 100%, $E$9)</f>
        <v>8.4978999999999996</v>
      </c>
      <c r="R205" s="10">
        <f>CHOOSE(CONTROL!$C$42, 9.1062, 9.1062) * CHOOSE(CONTROL!$C$21, $C$9, 100%, $E$9)</f>
        <v>9.1061999999999994</v>
      </c>
      <c r="S205" s="10">
        <f>CHOOSE(CONTROL!$C$42, 7.6609, 7.6609) * CHOOSE(CONTROL!$C$21, $C$9, 100%, $E$9)</f>
        <v>7.6608999999999998</v>
      </c>
      <c r="T205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205" s="58">
        <f>(1000*CHOOSE(CONTROL!$C$42, 695, 695)*CHOOSE(CONTROL!$C$42, 0.5599, 0.5599)*CHOOSE(CONTROL!$C$42, 31, 31))/1000000</f>
        <v>12.063045499999998</v>
      </c>
      <c r="V205" s="58">
        <f>(1000*CHOOSE(CONTROL!$C$42, 500, 500)*CHOOSE(CONTROL!$C$42, 0.275, 0.275)*CHOOSE(CONTROL!$C$42, 31, 31))/1000000</f>
        <v>4.2625000000000002</v>
      </c>
      <c r="W205" s="58">
        <f>(1000*CHOOSE(CONTROL!$C$42, 0.1146, 0.1146)*CHOOSE(CONTROL!$C$42, 121.5, 121.5)*CHOOSE(CONTROL!$C$42, 31, 31))/1000000</f>
        <v>0.43164089999999994</v>
      </c>
      <c r="X205" s="58">
        <f>(31*0.1790888*100000/1000000)+(31*0.2374*100000/1000000)</f>
        <v>1.2911152800000001</v>
      </c>
      <c r="Y205" s="58"/>
      <c r="Z205" s="10"/>
      <c r="AA205" s="57"/>
      <c r="AB205" s="51">
        <f>(B205*122.58+C205*297.941+D205*89.177+E205*40.302+F205*40+G205*160+H205*0+I205*100+J205*300)/(122.58+297.941+89.177+40.302+0+40+160+100+300)</f>
        <v>7.8830870636521748</v>
      </c>
      <c r="AC205" s="27">
        <f>(M205*'RAP TEMPLATE-GAS AVAILABILITY'!O204+N205*'RAP TEMPLATE-GAS AVAILABILITY'!P204+O205*'RAP TEMPLATE-GAS AVAILABILITY'!Q204+P205*'RAP TEMPLATE-GAS AVAILABILITY'!R204)/('RAP TEMPLATE-GAS AVAILABILITY'!O204+'RAP TEMPLATE-GAS AVAILABILITY'!P204+'RAP TEMPLATE-GAS AVAILABILITY'!Q204+'RAP TEMPLATE-GAS AVAILABILITY'!R204)</f>
        <v>7.8410258992805755</v>
      </c>
    </row>
    <row r="206" spans="1:29" ht="15.75" x14ac:dyDescent="0.25">
      <c r="A206" s="16">
        <v>47150</v>
      </c>
      <c r="B206" s="10">
        <f>CHOOSE(CONTROL!$C$42, 8.0315, 8.0315) * CHOOSE(CONTROL!$C$21, $C$9, 100%, $E$9)</f>
        <v>8.0314999999999994</v>
      </c>
      <c r="C206" s="10">
        <f>CHOOSE(CONTROL!$C$42, 8.0365, 8.0365) * CHOOSE(CONTROL!$C$21, $C$9, 100%, $E$9)</f>
        <v>8.0365000000000002</v>
      </c>
      <c r="D206" s="10">
        <f>CHOOSE(CONTROL!$C$42, 8.097, 8.097) * CHOOSE(CONTROL!$C$21, $C$9, 100%, $E$9)</f>
        <v>8.0969999999999995</v>
      </c>
      <c r="E206" s="10">
        <f>CHOOSE(CONTROL!$C$42, 8.1308, 8.1308) * CHOOSE(CONTROL!$C$21, $C$9, 100%, $E$9)</f>
        <v>8.1308000000000007</v>
      </c>
      <c r="F206" s="10">
        <f>CHOOSE(CONTROL!$C$42, 8.0248, 8.0248)*CHOOSE(CONTROL!$C$21, $C$9, 100%, $E$9)</f>
        <v>8.0248000000000008</v>
      </c>
      <c r="G206" s="10">
        <f>CHOOSE(CONTROL!$C$42, 8.0421, 8.0421)*CHOOSE(CONTROL!$C$21, $C$9, 100%, $E$9)</f>
        <v>8.0420999999999996</v>
      </c>
      <c r="H206" s="10">
        <f>CHOOSE(CONTROL!$C$42, 8.12, 8.12) * CHOOSE(CONTROL!$C$21, $C$9, 100%, $E$9)</f>
        <v>8.1199999999999992</v>
      </c>
      <c r="I206" s="10">
        <f>CHOOSE(CONTROL!$C$42, 8.0183, 8.0183)* CHOOSE(CONTROL!$C$21, $C$9, 100%, $E$9)</f>
        <v>8.0183</v>
      </c>
      <c r="J206" s="10">
        <f>CHOOSE(CONTROL!$C$42, 8.0178, 8.0178)* CHOOSE(CONTROL!$C$21, $C$9, 100%, $E$9)</f>
        <v>8.0177999999999994</v>
      </c>
      <c r="K206" s="54">
        <f>CHOOSE(CONTROL!$C$42, 8.0144, 8.0144) * CHOOSE(CONTROL!$C$21, $C$9, 100%, $E$9)</f>
        <v>8.0144000000000002</v>
      </c>
      <c r="L206" s="10">
        <f>CHOOSE(CONTROL!$C$42, 8.707, 8.707) * CHOOSE(CONTROL!$C$21, $C$9, 100%, $E$9)</f>
        <v>8.7070000000000007</v>
      </c>
      <c r="M206" s="10">
        <f>CHOOSE(CONTROL!$C$42, 7.9507, 7.9507) * CHOOSE(CONTROL!$C$21, $C$9, 100%, $E$9)</f>
        <v>7.9507000000000003</v>
      </c>
      <c r="N206" s="10">
        <f>CHOOSE(CONTROL!$C$42, 7.9678, 7.9678) * CHOOSE(CONTROL!$C$21, $C$9, 100%, $E$9)</f>
        <v>7.9678000000000004</v>
      </c>
      <c r="O206" s="10">
        <f>CHOOSE(CONTROL!$C$42, 8.0518, 8.0518) * CHOOSE(CONTROL!$C$21, $C$9, 100%, $E$9)</f>
        <v>8.0518000000000001</v>
      </c>
      <c r="P206" s="10">
        <f>CHOOSE(CONTROL!$C$42, 7.9512, 7.9512) * CHOOSE(CONTROL!$C$21, $C$9, 100%, $E$9)</f>
        <v>7.9512</v>
      </c>
      <c r="Q206" s="10">
        <f>CHOOSE(CONTROL!$C$42, 8.6471, 8.6471) * CHOOSE(CONTROL!$C$21, $C$9, 100%, $E$9)</f>
        <v>8.6471</v>
      </c>
      <c r="R206" s="10">
        <f>CHOOSE(CONTROL!$C$42, 9.2558, 9.2558) * CHOOSE(CONTROL!$C$21, $C$9, 100%, $E$9)</f>
        <v>9.2558000000000007</v>
      </c>
      <c r="S206" s="10">
        <f>CHOOSE(CONTROL!$C$42, 7.7973, 7.7973) * CHOOSE(CONTROL!$C$21, $C$9, 100%, $E$9)</f>
        <v>7.7972999999999999</v>
      </c>
      <c r="T206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206" s="58">
        <f>(1000*CHOOSE(CONTROL!$C$42, 695, 695)*CHOOSE(CONTROL!$C$42, 0.5599, 0.5599)*CHOOSE(CONTROL!$C$42, 28, 28))/1000000</f>
        <v>10.895653999999999</v>
      </c>
      <c r="V206" s="58">
        <f>(1000*CHOOSE(CONTROL!$C$42, 500, 500)*CHOOSE(CONTROL!$C$42, 0.275, 0.275)*CHOOSE(CONTROL!$C$42, 28, 28))/1000000</f>
        <v>3.85</v>
      </c>
      <c r="W206" s="58">
        <f>(1000*CHOOSE(CONTROL!$C$42, 0.1146, 0.1146)*CHOOSE(CONTROL!$C$42, 121.5, 121.5)*CHOOSE(CONTROL!$C$42, 28, 28))/1000000</f>
        <v>0.38986920000000003</v>
      </c>
      <c r="X206" s="58">
        <f>(28*0.1790888*100000/1000000)+(28*0.2374*100000/1000000)</f>
        <v>1.16616864</v>
      </c>
      <c r="Y206" s="58"/>
      <c r="Z206" s="10"/>
      <c r="AA206" s="57"/>
      <c r="AB206" s="51">
        <f>(B206*122.58+C206*297.941+D206*89.177+E206*40.302+F206*40+G206*160+H206*0+I206*100+J206*300)/(122.58+297.941+89.177+40.302+0+40+160+100+300)</f>
        <v>8.0378745974782611</v>
      </c>
      <c r="AC206" s="27">
        <f>(M206*'RAP TEMPLATE-GAS AVAILABILITY'!O205+N206*'RAP TEMPLATE-GAS AVAILABILITY'!P205+O206*'RAP TEMPLATE-GAS AVAILABILITY'!Q205+P206*'RAP TEMPLATE-GAS AVAILABILITY'!R205)/('RAP TEMPLATE-GAS AVAILABILITY'!O205+'RAP TEMPLATE-GAS AVAILABILITY'!P205+'RAP TEMPLATE-GAS AVAILABILITY'!Q205+'RAP TEMPLATE-GAS AVAILABILITY'!R205)</f>
        <v>7.9975784172661868</v>
      </c>
    </row>
    <row r="207" spans="1:29" ht="15.75" x14ac:dyDescent="0.25">
      <c r="A207" s="16">
        <v>47178</v>
      </c>
      <c r="B207" s="10">
        <f>CHOOSE(CONTROL!$C$42, 7.8036, 7.8036) * CHOOSE(CONTROL!$C$21, $C$9, 100%, $E$9)</f>
        <v>7.8036000000000003</v>
      </c>
      <c r="C207" s="10">
        <f>CHOOSE(CONTROL!$C$42, 7.8085, 7.8085) * CHOOSE(CONTROL!$C$21, $C$9, 100%, $E$9)</f>
        <v>7.8085000000000004</v>
      </c>
      <c r="D207" s="10">
        <f>CHOOSE(CONTROL!$C$42, 7.869, 7.869) * CHOOSE(CONTROL!$C$21, $C$9, 100%, $E$9)</f>
        <v>7.8689999999999998</v>
      </c>
      <c r="E207" s="10">
        <f>CHOOSE(CONTROL!$C$42, 7.9028, 7.9028) * CHOOSE(CONTROL!$C$21, $C$9, 100%, $E$9)</f>
        <v>7.9028</v>
      </c>
      <c r="F207" s="10">
        <f>CHOOSE(CONTROL!$C$42, 7.7913, 7.7913)*CHOOSE(CONTROL!$C$21, $C$9, 100%, $E$9)</f>
        <v>7.7912999999999997</v>
      </c>
      <c r="G207" s="10">
        <f>CHOOSE(CONTROL!$C$42, 7.8085, 7.8085)*CHOOSE(CONTROL!$C$21, $C$9, 100%, $E$9)</f>
        <v>7.8085000000000004</v>
      </c>
      <c r="H207" s="10">
        <f>CHOOSE(CONTROL!$C$42, 7.892, 7.892) * CHOOSE(CONTROL!$C$21, $C$9, 100%, $E$9)</f>
        <v>7.8920000000000003</v>
      </c>
      <c r="I207" s="10">
        <f>CHOOSE(CONTROL!$C$42, 7.7775, 7.7775)* CHOOSE(CONTROL!$C$21, $C$9, 100%, $E$9)</f>
        <v>7.7774999999999999</v>
      </c>
      <c r="J207" s="10">
        <f>CHOOSE(CONTROL!$C$42, 7.7843, 7.7843)* CHOOSE(CONTROL!$C$21, $C$9, 100%, $E$9)</f>
        <v>7.7843</v>
      </c>
      <c r="K207" s="54">
        <f>CHOOSE(CONTROL!$C$42, 7.7736, 7.7736) * CHOOSE(CONTROL!$C$21, $C$9, 100%, $E$9)</f>
        <v>7.7736000000000001</v>
      </c>
      <c r="L207" s="10">
        <f>CHOOSE(CONTROL!$C$42, 8.479, 8.479) * CHOOSE(CONTROL!$C$21, $C$9, 100%, $E$9)</f>
        <v>8.4789999999999992</v>
      </c>
      <c r="M207" s="10">
        <f>CHOOSE(CONTROL!$C$42, 7.7196, 7.7196) * CHOOSE(CONTROL!$C$21, $C$9, 100%, $E$9)</f>
        <v>7.7195999999999998</v>
      </c>
      <c r="N207" s="10">
        <f>CHOOSE(CONTROL!$C$42, 7.7366, 7.7366) * CHOOSE(CONTROL!$C$21, $C$9, 100%, $E$9)</f>
        <v>7.7366000000000001</v>
      </c>
      <c r="O207" s="10">
        <f>CHOOSE(CONTROL!$C$42, 7.8262, 7.8262) * CHOOSE(CONTROL!$C$21, $C$9, 100%, $E$9)</f>
        <v>7.8262</v>
      </c>
      <c r="P207" s="10">
        <f>CHOOSE(CONTROL!$C$42, 7.7129, 7.7129) * CHOOSE(CONTROL!$C$21, $C$9, 100%, $E$9)</f>
        <v>7.7129000000000003</v>
      </c>
      <c r="Q207" s="10">
        <f>CHOOSE(CONTROL!$C$42, 8.4215, 8.4215) * CHOOSE(CONTROL!$C$21, $C$9, 100%, $E$9)</f>
        <v>8.4215</v>
      </c>
      <c r="R207" s="10">
        <f>CHOOSE(CONTROL!$C$42, 9.0296, 9.0296) * CHOOSE(CONTROL!$C$21, $C$9, 100%, $E$9)</f>
        <v>9.0296000000000003</v>
      </c>
      <c r="S207" s="10">
        <f>CHOOSE(CONTROL!$C$42, 7.5759, 7.5759) * CHOOSE(CONTROL!$C$21, $C$9, 100%, $E$9)</f>
        <v>7.5758999999999999</v>
      </c>
      <c r="T207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207" s="58">
        <f>(1000*CHOOSE(CONTROL!$C$42, 695, 695)*CHOOSE(CONTROL!$C$42, 0.5599, 0.5599)*CHOOSE(CONTROL!$C$42, 31, 31))/1000000</f>
        <v>12.063045499999998</v>
      </c>
      <c r="V207" s="58">
        <f>(1000*CHOOSE(CONTROL!$C$42, 500, 500)*CHOOSE(CONTROL!$C$42, 0.275, 0.275)*CHOOSE(CONTROL!$C$42, 31, 31))/1000000</f>
        <v>4.2625000000000002</v>
      </c>
      <c r="W207" s="58">
        <f>(1000*CHOOSE(CONTROL!$C$42, 0.1146, 0.1146)*CHOOSE(CONTROL!$C$42, 121.5, 121.5)*CHOOSE(CONTROL!$C$42, 31, 31))/1000000</f>
        <v>0.43164089999999994</v>
      </c>
      <c r="X207" s="58">
        <f>(31*0.1790888*100000/1000000)+(31*0.2374*100000/1000000)</f>
        <v>1.2911152800000001</v>
      </c>
      <c r="Y207" s="58"/>
      <c r="Z207" s="10"/>
      <c r="AA207" s="57"/>
      <c r="AB207" s="51">
        <f>(B207*122.58+C207*297.941+D207*89.177+E207*40.302+F207*40+G207*160+H207*0+I207*100+J207*300)/(122.58+297.941+89.177+40.302+0+40+160+100+300)</f>
        <v>7.8063669957391291</v>
      </c>
      <c r="AC207" s="27">
        <f>(M207*'RAP TEMPLATE-GAS AVAILABILITY'!O206+N207*'RAP TEMPLATE-GAS AVAILABILITY'!P206+O207*'RAP TEMPLATE-GAS AVAILABILITY'!Q206+P207*'RAP TEMPLATE-GAS AVAILABILITY'!R206)/('RAP TEMPLATE-GAS AVAILABILITY'!O206+'RAP TEMPLATE-GAS AVAILABILITY'!P206+'RAP TEMPLATE-GAS AVAILABILITY'!Q206+'RAP TEMPLATE-GAS AVAILABILITY'!R206)</f>
        <v>7.7679294964028784</v>
      </c>
    </row>
    <row r="208" spans="1:29" ht="15.75" x14ac:dyDescent="0.25">
      <c r="A208" s="16">
        <v>47209</v>
      </c>
      <c r="B208" s="10">
        <f>CHOOSE(CONTROL!$C$42, 7.7814, 7.7814) * CHOOSE(CONTROL!$C$21, $C$9, 100%, $E$9)</f>
        <v>7.7813999999999997</v>
      </c>
      <c r="C208" s="10">
        <f>CHOOSE(CONTROL!$C$42, 7.7858, 7.7858) * CHOOSE(CONTROL!$C$21, $C$9, 100%, $E$9)</f>
        <v>7.7858000000000001</v>
      </c>
      <c r="D208" s="10">
        <f>CHOOSE(CONTROL!$C$42, 7.9814, 7.9814) * CHOOSE(CONTROL!$C$21, $C$9, 100%, $E$9)</f>
        <v>7.9813999999999998</v>
      </c>
      <c r="E208" s="10">
        <f>CHOOSE(CONTROL!$C$42, 8.0131, 8.0131) * CHOOSE(CONTROL!$C$21, $C$9, 100%, $E$9)</f>
        <v>8.0130999999999997</v>
      </c>
      <c r="F208" s="10">
        <f>CHOOSE(CONTROL!$C$42, 7.7492, 7.7492)*CHOOSE(CONTROL!$C$21, $C$9, 100%, $E$9)</f>
        <v>7.7492000000000001</v>
      </c>
      <c r="G208" s="10">
        <f>CHOOSE(CONTROL!$C$42, 7.766, 7.766)*CHOOSE(CONTROL!$C$21, $C$9, 100%, $E$9)</f>
        <v>7.766</v>
      </c>
      <c r="H208" s="10">
        <f>CHOOSE(CONTROL!$C$42, 8.0029, 8.0029) * CHOOSE(CONTROL!$C$21, $C$9, 100%, $E$9)</f>
        <v>8.0029000000000003</v>
      </c>
      <c r="I208" s="10">
        <f>CHOOSE(CONTROL!$C$42, 7.7494, 7.7494)* CHOOSE(CONTROL!$C$21, $C$9, 100%, $E$9)</f>
        <v>7.7493999999999996</v>
      </c>
      <c r="J208" s="10">
        <f>CHOOSE(CONTROL!$C$42, 7.7422, 7.7422)* CHOOSE(CONTROL!$C$21, $C$9, 100%, $E$9)</f>
        <v>7.7422000000000004</v>
      </c>
      <c r="K208" s="54">
        <f>CHOOSE(CONTROL!$C$42, 7.7455, 7.7455) * CHOOSE(CONTROL!$C$21, $C$9, 100%, $E$9)</f>
        <v>7.7454999999999998</v>
      </c>
      <c r="L208" s="10">
        <f>CHOOSE(CONTROL!$C$42, 8.5899, 8.5899) * CHOOSE(CONTROL!$C$21, $C$9, 100%, $E$9)</f>
        <v>8.5899000000000001</v>
      </c>
      <c r="M208" s="10">
        <f>CHOOSE(CONTROL!$C$42, 7.6779, 7.6779) * CHOOSE(CONTROL!$C$21, $C$9, 100%, $E$9)</f>
        <v>7.6779000000000002</v>
      </c>
      <c r="N208" s="10">
        <f>CHOOSE(CONTROL!$C$42, 7.6945, 7.6945) * CHOOSE(CONTROL!$C$21, $C$9, 100%, $E$9)</f>
        <v>7.6944999999999997</v>
      </c>
      <c r="O208" s="10">
        <f>CHOOSE(CONTROL!$C$42, 7.936, 7.936) * CHOOSE(CONTROL!$C$21, $C$9, 100%, $E$9)</f>
        <v>7.9359999999999999</v>
      </c>
      <c r="P208" s="10">
        <f>CHOOSE(CONTROL!$C$42, 7.685, 7.685) * CHOOSE(CONTROL!$C$21, $C$9, 100%, $E$9)</f>
        <v>7.6849999999999996</v>
      </c>
      <c r="Q208" s="10">
        <f>CHOOSE(CONTROL!$C$42, 8.5313, 8.5313) * CHOOSE(CONTROL!$C$21, $C$9, 100%, $E$9)</f>
        <v>8.5312999999999999</v>
      </c>
      <c r="R208" s="10">
        <f>CHOOSE(CONTROL!$C$42, 9.1396, 9.1396) * CHOOSE(CONTROL!$C$21, $C$9, 100%, $E$9)</f>
        <v>9.1395999999999997</v>
      </c>
      <c r="S208" s="10">
        <f>CHOOSE(CONTROL!$C$42, 7.5536, 7.5536) * CHOOSE(CONTROL!$C$21, $C$9, 100%, $E$9)</f>
        <v>7.5536000000000003</v>
      </c>
      <c r="T208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208" s="58">
        <f>(1000*CHOOSE(CONTROL!$C$42, 695, 695)*CHOOSE(CONTROL!$C$42, 0.5599, 0.5599)*CHOOSE(CONTROL!$C$42, 30, 30))/1000000</f>
        <v>11.673914999999997</v>
      </c>
      <c r="V208" s="58">
        <f>(1000*CHOOSE(CONTROL!$C$42, 500, 500)*CHOOSE(CONTROL!$C$42, 0.275, 0.275)*CHOOSE(CONTROL!$C$42, 30, 30))/1000000</f>
        <v>4.125</v>
      </c>
      <c r="W208" s="58">
        <f>(1000*CHOOSE(CONTROL!$C$42, 0.1146, 0.1146)*CHOOSE(CONTROL!$C$42, 121.5, 121.5)*CHOOSE(CONTROL!$C$42, 30, 30))/1000000</f>
        <v>0.417717</v>
      </c>
      <c r="X208" s="58">
        <f>(30*0.1790888*245000/1000000)+(30*0.2374*100000/1000000)</f>
        <v>2.0285026799999999</v>
      </c>
      <c r="Y208" s="58"/>
      <c r="Z208" s="10"/>
      <c r="AA208" s="57"/>
      <c r="AB208" s="51">
        <f>(B208*141.293+C208*267.993+D208*115.016+E208*89.698+F208*40+G208*185+H208*0+I208*100+J208*300)/(141.293+267.993+115.016+89.698+0+40+185+100+300)</f>
        <v>7.8022784469733653</v>
      </c>
      <c r="AC208" s="27">
        <f>(M208*'RAP TEMPLATE-GAS AVAILABILITY'!O207+N208*'RAP TEMPLATE-GAS AVAILABILITY'!P207+O208*'RAP TEMPLATE-GAS AVAILABILITY'!Q207+P208*'RAP TEMPLATE-GAS AVAILABILITY'!R207)/('RAP TEMPLATE-GAS AVAILABILITY'!O207+'RAP TEMPLATE-GAS AVAILABILITY'!P207+'RAP TEMPLATE-GAS AVAILABILITY'!Q207+'RAP TEMPLATE-GAS AVAILABILITY'!R207)</f>
        <v>7.7551597122302152</v>
      </c>
    </row>
    <row r="209" spans="1:29" ht="15.75" x14ac:dyDescent="0.25">
      <c r="A209" s="16">
        <v>47239</v>
      </c>
      <c r="B209" s="10">
        <f>CHOOSE(CONTROL!$C$42, 7.8514, 7.8514) * CHOOSE(CONTROL!$C$21, $C$9, 100%, $E$9)</f>
        <v>7.8513999999999999</v>
      </c>
      <c r="C209" s="10">
        <f>CHOOSE(CONTROL!$C$42, 7.8594, 7.8594) * CHOOSE(CONTROL!$C$21, $C$9, 100%, $E$9)</f>
        <v>7.8593999999999999</v>
      </c>
      <c r="D209" s="10">
        <f>CHOOSE(CONTROL!$C$42, 8.0518, 8.0518) * CHOOSE(CONTROL!$C$21, $C$9, 100%, $E$9)</f>
        <v>8.0518000000000001</v>
      </c>
      <c r="E209" s="10">
        <f>CHOOSE(CONTROL!$C$42, 8.0829, 8.0829) * CHOOSE(CONTROL!$C$21, $C$9, 100%, $E$9)</f>
        <v>8.0829000000000004</v>
      </c>
      <c r="F209" s="10">
        <f>CHOOSE(CONTROL!$C$42, 7.8177, 7.8177)*CHOOSE(CONTROL!$C$21, $C$9, 100%, $E$9)</f>
        <v>7.8177000000000003</v>
      </c>
      <c r="G209" s="10">
        <f>CHOOSE(CONTROL!$C$42, 7.8348, 7.8348)*CHOOSE(CONTROL!$C$21, $C$9, 100%, $E$9)</f>
        <v>7.8348000000000004</v>
      </c>
      <c r="H209" s="10">
        <f>CHOOSE(CONTROL!$C$42, 8.0716, 8.0716) * CHOOSE(CONTROL!$C$21, $C$9, 100%, $E$9)</f>
        <v>8.0716000000000001</v>
      </c>
      <c r="I209" s="10">
        <f>CHOOSE(CONTROL!$C$42, 7.818, 7.818)* CHOOSE(CONTROL!$C$21, $C$9, 100%, $E$9)</f>
        <v>7.8179999999999996</v>
      </c>
      <c r="J209" s="10">
        <f>CHOOSE(CONTROL!$C$42, 7.8107, 7.8107)* CHOOSE(CONTROL!$C$21, $C$9, 100%, $E$9)</f>
        <v>7.8106999999999998</v>
      </c>
      <c r="K209" s="54">
        <f>CHOOSE(CONTROL!$C$42, 7.8141, 7.8141) * CHOOSE(CONTROL!$C$21, $C$9, 100%, $E$9)</f>
        <v>7.8140999999999998</v>
      </c>
      <c r="L209" s="10">
        <f>CHOOSE(CONTROL!$C$42, 8.6586, 8.6586) * CHOOSE(CONTROL!$C$21, $C$9, 100%, $E$9)</f>
        <v>8.6585999999999999</v>
      </c>
      <c r="M209" s="10">
        <f>CHOOSE(CONTROL!$C$42, 7.7457, 7.7457) * CHOOSE(CONTROL!$C$21, $C$9, 100%, $E$9)</f>
        <v>7.7457000000000003</v>
      </c>
      <c r="N209" s="10">
        <f>CHOOSE(CONTROL!$C$42, 7.7627, 7.7627) * CHOOSE(CONTROL!$C$21, $C$9, 100%, $E$9)</f>
        <v>7.7626999999999997</v>
      </c>
      <c r="O209" s="10">
        <f>CHOOSE(CONTROL!$C$42, 8.0039, 8.0039) * CHOOSE(CONTROL!$C$21, $C$9, 100%, $E$9)</f>
        <v>8.0038999999999998</v>
      </c>
      <c r="P209" s="10">
        <f>CHOOSE(CONTROL!$C$42, 7.753, 7.753) * CHOOSE(CONTROL!$C$21, $C$9, 100%, $E$9)</f>
        <v>7.7530000000000001</v>
      </c>
      <c r="Q209" s="10">
        <f>CHOOSE(CONTROL!$C$42, 8.5992, 8.5992) * CHOOSE(CONTROL!$C$21, $C$9, 100%, $E$9)</f>
        <v>8.5991999999999997</v>
      </c>
      <c r="R209" s="10">
        <f>CHOOSE(CONTROL!$C$42, 9.2077, 9.2077) * CHOOSE(CONTROL!$C$21, $C$9, 100%, $E$9)</f>
        <v>9.2077000000000009</v>
      </c>
      <c r="S209" s="10">
        <f>CHOOSE(CONTROL!$C$42, 7.6203, 7.6203) * CHOOSE(CONTROL!$C$21, $C$9, 100%, $E$9)</f>
        <v>7.6203000000000003</v>
      </c>
      <c r="T209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209" s="58">
        <f>(1000*CHOOSE(CONTROL!$C$42, 695, 695)*CHOOSE(CONTROL!$C$42, 0.5599, 0.5599)*CHOOSE(CONTROL!$C$42, 31, 31))/1000000</f>
        <v>12.063045499999998</v>
      </c>
      <c r="V209" s="58">
        <f>(1000*CHOOSE(CONTROL!$C$42, 500, 500)*CHOOSE(CONTROL!$C$42, 0.275, 0.275)*CHOOSE(CONTROL!$C$42, 31, 31))/1000000</f>
        <v>4.2625000000000002</v>
      </c>
      <c r="W209" s="58">
        <f>(1000*CHOOSE(CONTROL!$C$42, 0.1146, 0.1146)*CHOOSE(CONTROL!$C$42, 121.5, 121.5)*CHOOSE(CONTROL!$C$42, 31, 31))/1000000</f>
        <v>0.43164089999999994</v>
      </c>
      <c r="X209" s="58">
        <f>(31*0.1790888*245000/1000000)+(31*0.2374*100000/1000000)</f>
        <v>2.0961194359999999</v>
      </c>
      <c r="Y209" s="58"/>
      <c r="Z209" s="10"/>
      <c r="AA209" s="57"/>
      <c r="AB209" s="51">
        <f>(B209*194.205+C209*267.466+D209*133.845+E209*53.484+F209*40+G209*185+H209*0+I209*100+J209*300)/(194.205+267.466+133.845+53.484+0+40+185+100+300)</f>
        <v>7.8681777174254304</v>
      </c>
      <c r="AC209" s="27">
        <f>(M209*'RAP TEMPLATE-GAS AVAILABILITY'!O208+N209*'RAP TEMPLATE-GAS AVAILABILITY'!P208+O209*'RAP TEMPLATE-GAS AVAILABILITY'!Q208+P209*'RAP TEMPLATE-GAS AVAILABILITY'!R208)/('RAP TEMPLATE-GAS AVAILABILITY'!O208+'RAP TEMPLATE-GAS AVAILABILITY'!P208+'RAP TEMPLATE-GAS AVAILABILITY'!Q208+'RAP TEMPLATE-GAS AVAILABILITY'!R208)</f>
        <v>7.8231086330935256</v>
      </c>
    </row>
    <row r="210" spans="1:29" ht="15.75" x14ac:dyDescent="0.25">
      <c r="A210" s="16">
        <v>47270</v>
      </c>
      <c r="B210" s="10">
        <f>CHOOSE(CONTROL!$C$42, 8.074, 8.074) * CHOOSE(CONTROL!$C$21, $C$9, 100%, $E$9)</f>
        <v>8.0739999999999998</v>
      </c>
      <c r="C210" s="10">
        <f>CHOOSE(CONTROL!$C$42, 8.0819, 8.0819) * CHOOSE(CONTROL!$C$21, $C$9, 100%, $E$9)</f>
        <v>8.0818999999999992</v>
      </c>
      <c r="D210" s="10">
        <f>CHOOSE(CONTROL!$C$42, 8.2744, 8.2744) * CHOOSE(CONTROL!$C$21, $C$9, 100%, $E$9)</f>
        <v>8.2744</v>
      </c>
      <c r="E210" s="10">
        <f>CHOOSE(CONTROL!$C$42, 8.3055, 8.3055) * CHOOSE(CONTROL!$C$21, $C$9, 100%, $E$9)</f>
        <v>8.3055000000000003</v>
      </c>
      <c r="F210" s="10">
        <f>CHOOSE(CONTROL!$C$42, 8.0405, 8.0405)*CHOOSE(CONTROL!$C$21, $C$9, 100%, $E$9)</f>
        <v>8.0404999999999998</v>
      </c>
      <c r="G210" s="10">
        <f>CHOOSE(CONTROL!$C$42, 8.0577, 8.0577)*CHOOSE(CONTROL!$C$21, $C$9, 100%, $E$9)</f>
        <v>8.0577000000000005</v>
      </c>
      <c r="H210" s="10">
        <f>CHOOSE(CONTROL!$C$42, 8.2941, 8.2941) * CHOOSE(CONTROL!$C$21, $C$9, 100%, $E$9)</f>
        <v>8.2941000000000003</v>
      </c>
      <c r="I210" s="10">
        <f>CHOOSE(CONTROL!$C$42, 8.0406, 8.0406)* CHOOSE(CONTROL!$C$21, $C$9, 100%, $E$9)</f>
        <v>8.0405999999999995</v>
      </c>
      <c r="J210" s="10">
        <f>CHOOSE(CONTROL!$C$42, 8.0335, 8.0335)* CHOOSE(CONTROL!$C$21, $C$9, 100%, $E$9)</f>
        <v>8.0335000000000001</v>
      </c>
      <c r="K210" s="54">
        <f>CHOOSE(CONTROL!$C$42, 8.0367, 8.0367) * CHOOSE(CONTROL!$C$21, $C$9, 100%, $E$9)</f>
        <v>8.0366999999999997</v>
      </c>
      <c r="L210" s="10">
        <f>CHOOSE(CONTROL!$C$42, 8.8811, 8.8811) * CHOOSE(CONTROL!$C$21, $C$9, 100%, $E$9)</f>
        <v>8.8811</v>
      </c>
      <c r="M210" s="10">
        <f>CHOOSE(CONTROL!$C$42, 7.9662, 7.9662) * CHOOSE(CONTROL!$C$21, $C$9, 100%, $E$9)</f>
        <v>7.9661999999999997</v>
      </c>
      <c r="N210" s="10">
        <f>CHOOSE(CONTROL!$C$42, 7.9833, 7.9833) * CHOOSE(CONTROL!$C$21, $C$9, 100%, $E$9)</f>
        <v>7.9832999999999998</v>
      </c>
      <c r="O210" s="10">
        <f>CHOOSE(CONTROL!$C$42, 8.2242, 8.2242) * CHOOSE(CONTROL!$C$21, $C$9, 100%, $E$9)</f>
        <v>8.2241999999999997</v>
      </c>
      <c r="P210" s="10">
        <f>CHOOSE(CONTROL!$C$42, 7.9733, 7.9733) * CHOOSE(CONTROL!$C$21, $C$9, 100%, $E$9)</f>
        <v>7.9733000000000001</v>
      </c>
      <c r="Q210" s="10">
        <f>CHOOSE(CONTROL!$C$42, 8.8195, 8.8195) * CHOOSE(CONTROL!$C$21, $C$9, 100%, $E$9)</f>
        <v>8.8194999999999997</v>
      </c>
      <c r="R210" s="10">
        <f>CHOOSE(CONTROL!$C$42, 9.4286, 9.4286) * CHOOSE(CONTROL!$C$21, $C$9, 100%, $E$9)</f>
        <v>9.4285999999999994</v>
      </c>
      <c r="S210" s="10">
        <f>CHOOSE(CONTROL!$C$42, 7.8364, 7.8364) * CHOOSE(CONTROL!$C$21, $C$9, 100%, $E$9)</f>
        <v>7.8364000000000003</v>
      </c>
      <c r="T210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210" s="58">
        <f>(1000*CHOOSE(CONTROL!$C$42, 695, 695)*CHOOSE(CONTROL!$C$42, 0.5599, 0.5599)*CHOOSE(CONTROL!$C$42, 30, 30))/1000000</f>
        <v>11.673914999999997</v>
      </c>
      <c r="V210" s="58">
        <f>(1000*CHOOSE(CONTROL!$C$42, 500, 500)*CHOOSE(CONTROL!$C$42, 0.275, 0.275)*CHOOSE(CONTROL!$C$42, 30, 30))/1000000</f>
        <v>4.125</v>
      </c>
      <c r="W210" s="58">
        <f>(1000*CHOOSE(CONTROL!$C$42, 0.1146, 0.1146)*CHOOSE(CONTROL!$C$42, 121.5, 121.5)*CHOOSE(CONTROL!$C$42, 30, 30))/1000000</f>
        <v>0.417717</v>
      </c>
      <c r="X210" s="58">
        <f>(30*0.1790888*245000/1000000)+(30*0.2374*100000/1000000)</f>
        <v>2.0285026799999999</v>
      </c>
      <c r="Y210" s="58"/>
      <c r="Z210" s="10"/>
      <c r="AA210" s="57"/>
      <c r="AB210" s="51">
        <f>(B210*194.205+C210*267.466+D210*133.845+E210*53.484+F210*40+G210*185+H210*0+I210*100+J210*300)/(194.205+267.466+133.845+53.484+0+40+185+100+300)</f>
        <v>8.0908536620094207</v>
      </c>
      <c r="AC210" s="27">
        <f>(M210*'RAP TEMPLATE-GAS AVAILABILITY'!O209+N210*'RAP TEMPLATE-GAS AVAILABILITY'!P209+O210*'RAP TEMPLATE-GAS AVAILABILITY'!Q209+P210*'RAP TEMPLATE-GAS AVAILABILITY'!R209)/('RAP TEMPLATE-GAS AVAILABILITY'!O209+'RAP TEMPLATE-GAS AVAILABILITY'!P209+'RAP TEMPLATE-GAS AVAILABILITY'!Q209+'RAP TEMPLATE-GAS AVAILABILITY'!R209)</f>
        <v>8.0435467625899264</v>
      </c>
    </row>
    <row r="211" spans="1:29" ht="15.75" x14ac:dyDescent="0.25">
      <c r="A211" s="16">
        <v>47300</v>
      </c>
      <c r="B211" s="10">
        <f>CHOOSE(CONTROL!$C$42, 7.9192, 7.9192) * CHOOSE(CONTROL!$C$21, $C$9, 100%, $E$9)</f>
        <v>7.9192</v>
      </c>
      <c r="C211" s="10">
        <f>CHOOSE(CONTROL!$C$42, 7.9271, 7.9271) * CHOOSE(CONTROL!$C$21, $C$9, 100%, $E$9)</f>
        <v>7.9271000000000003</v>
      </c>
      <c r="D211" s="10">
        <f>CHOOSE(CONTROL!$C$42, 8.1196, 8.1196) * CHOOSE(CONTROL!$C$21, $C$9, 100%, $E$9)</f>
        <v>8.1196000000000002</v>
      </c>
      <c r="E211" s="10">
        <f>CHOOSE(CONTROL!$C$42, 8.1507, 8.1507) * CHOOSE(CONTROL!$C$21, $C$9, 100%, $E$9)</f>
        <v>8.1507000000000005</v>
      </c>
      <c r="F211" s="10">
        <f>CHOOSE(CONTROL!$C$42, 7.8861, 7.8861)*CHOOSE(CONTROL!$C$21, $C$9, 100%, $E$9)</f>
        <v>7.8860999999999999</v>
      </c>
      <c r="G211" s="10">
        <f>CHOOSE(CONTROL!$C$42, 7.9034, 7.9034)*CHOOSE(CONTROL!$C$21, $C$9, 100%, $E$9)</f>
        <v>7.9034000000000004</v>
      </c>
      <c r="H211" s="10">
        <f>CHOOSE(CONTROL!$C$42, 8.1393, 8.1393) * CHOOSE(CONTROL!$C$21, $C$9, 100%, $E$9)</f>
        <v>8.1393000000000004</v>
      </c>
      <c r="I211" s="10">
        <f>CHOOSE(CONTROL!$C$42, 7.8858, 7.8858)* CHOOSE(CONTROL!$C$21, $C$9, 100%, $E$9)</f>
        <v>7.8857999999999997</v>
      </c>
      <c r="J211" s="10">
        <f>CHOOSE(CONTROL!$C$42, 7.8791, 7.8791)* CHOOSE(CONTROL!$C$21, $C$9, 100%, $E$9)</f>
        <v>7.8791000000000002</v>
      </c>
      <c r="K211" s="54">
        <f>CHOOSE(CONTROL!$C$42, 7.8819, 7.8819) * CHOOSE(CONTROL!$C$21, $C$9, 100%, $E$9)</f>
        <v>7.8818999999999999</v>
      </c>
      <c r="L211" s="10">
        <f>CHOOSE(CONTROL!$C$42, 8.7263, 8.7263) * CHOOSE(CONTROL!$C$21, $C$9, 100%, $E$9)</f>
        <v>8.7263000000000002</v>
      </c>
      <c r="M211" s="10">
        <f>CHOOSE(CONTROL!$C$42, 7.8134, 7.8134) * CHOOSE(CONTROL!$C$21, $C$9, 100%, $E$9)</f>
        <v>7.8133999999999997</v>
      </c>
      <c r="N211" s="10">
        <f>CHOOSE(CONTROL!$C$42, 7.8305, 7.8305) * CHOOSE(CONTROL!$C$21, $C$9, 100%, $E$9)</f>
        <v>7.8304999999999998</v>
      </c>
      <c r="O211" s="10">
        <f>CHOOSE(CONTROL!$C$42, 8.071, 8.071) * CHOOSE(CONTROL!$C$21, $C$9, 100%, $E$9)</f>
        <v>8.0709999999999997</v>
      </c>
      <c r="P211" s="10">
        <f>CHOOSE(CONTROL!$C$42, 7.8201, 7.8201) * CHOOSE(CONTROL!$C$21, $C$9, 100%, $E$9)</f>
        <v>7.8201000000000001</v>
      </c>
      <c r="Q211" s="10">
        <f>CHOOSE(CONTROL!$C$42, 8.6663, 8.6663) * CHOOSE(CONTROL!$C$21, $C$9, 100%, $E$9)</f>
        <v>8.6662999999999997</v>
      </c>
      <c r="R211" s="10">
        <f>CHOOSE(CONTROL!$C$42, 9.275, 9.275) * CHOOSE(CONTROL!$C$21, $C$9, 100%, $E$9)</f>
        <v>9.2750000000000004</v>
      </c>
      <c r="S211" s="10">
        <f>CHOOSE(CONTROL!$C$42, 7.6861, 7.6861) * CHOOSE(CONTROL!$C$21, $C$9, 100%, $E$9)</f>
        <v>7.6860999999999997</v>
      </c>
      <c r="T211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211" s="58">
        <f>(1000*CHOOSE(CONTROL!$C$42, 695, 695)*CHOOSE(CONTROL!$C$42, 0.5599, 0.5599)*CHOOSE(CONTROL!$C$42, 31, 31))/1000000</f>
        <v>12.063045499999998</v>
      </c>
      <c r="V211" s="58">
        <f>(1000*CHOOSE(CONTROL!$C$42, 500, 500)*CHOOSE(CONTROL!$C$42, 0.275, 0.275)*CHOOSE(CONTROL!$C$42, 31, 31))/1000000</f>
        <v>4.2625000000000002</v>
      </c>
      <c r="W211" s="58">
        <f>(1000*CHOOSE(CONTROL!$C$42, 0.1146, 0.1146)*CHOOSE(CONTROL!$C$42, 121.5, 121.5)*CHOOSE(CONTROL!$C$42, 31, 31))/1000000</f>
        <v>0.43164089999999994</v>
      </c>
      <c r="X211" s="58">
        <f>(31*0.1790888*245000/1000000)+(31*0.2374*100000/1000000)</f>
        <v>2.0961194359999999</v>
      </c>
      <c r="Y211" s="58"/>
      <c r="Z211" s="10"/>
      <c r="AA211" s="57"/>
      <c r="AB211" s="51">
        <f>(B211*194.205+C211*267.466+D211*133.845+E211*53.484+F211*40+G211*185+H211*0+I211*100+J211*300)/(194.205+267.466+133.845+53.484+0+40+185+100+300)</f>
        <v>7.9362330183673464</v>
      </c>
      <c r="AC211" s="27">
        <f>(M211*'RAP TEMPLATE-GAS AVAILABILITY'!O210+N211*'RAP TEMPLATE-GAS AVAILABILITY'!P210+O211*'RAP TEMPLATE-GAS AVAILABILITY'!Q210+P211*'RAP TEMPLATE-GAS AVAILABILITY'!R210)/('RAP TEMPLATE-GAS AVAILABILITY'!O210+'RAP TEMPLATE-GAS AVAILABILITY'!P210+'RAP TEMPLATE-GAS AVAILABILITY'!Q210+'RAP TEMPLATE-GAS AVAILABILITY'!R210)</f>
        <v>7.8905769784172666</v>
      </c>
    </row>
    <row r="212" spans="1:29" ht="15.75" x14ac:dyDescent="0.25">
      <c r="A212" s="16">
        <v>47331</v>
      </c>
      <c r="B212" s="10">
        <f>CHOOSE(CONTROL!$C$42, 7.5283, 7.5283) * CHOOSE(CONTROL!$C$21, $C$9, 100%, $E$9)</f>
        <v>7.5282999999999998</v>
      </c>
      <c r="C212" s="10">
        <f>CHOOSE(CONTROL!$C$42, 7.5362, 7.5362) * CHOOSE(CONTROL!$C$21, $C$9, 100%, $E$9)</f>
        <v>7.5362</v>
      </c>
      <c r="D212" s="10">
        <f>CHOOSE(CONTROL!$C$42, 7.7287, 7.7287) * CHOOSE(CONTROL!$C$21, $C$9, 100%, $E$9)</f>
        <v>7.7286999999999999</v>
      </c>
      <c r="E212" s="10">
        <f>CHOOSE(CONTROL!$C$42, 7.7598, 7.7598) * CHOOSE(CONTROL!$C$21, $C$9, 100%, $E$9)</f>
        <v>7.7598000000000003</v>
      </c>
      <c r="F212" s="10">
        <f>CHOOSE(CONTROL!$C$42, 7.4954, 7.4954)*CHOOSE(CONTROL!$C$21, $C$9, 100%, $E$9)</f>
        <v>7.4954000000000001</v>
      </c>
      <c r="G212" s="10">
        <f>CHOOSE(CONTROL!$C$42, 7.5127, 7.5127)*CHOOSE(CONTROL!$C$21, $C$9, 100%, $E$9)</f>
        <v>7.5126999999999997</v>
      </c>
      <c r="H212" s="10">
        <f>CHOOSE(CONTROL!$C$42, 7.7484, 7.7484) * CHOOSE(CONTROL!$C$21, $C$9, 100%, $E$9)</f>
        <v>7.7484000000000002</v>
      </c>
      <c r="I212" s="10">
        <f>CHOOSE(CONTROL!$C$42, 7.4949, 7.4949)* CHOOSE(CONTROL!$C$21, $C$9, 100%, $E$9)</f>
        <v>7.4949000000000003</v>
      </c>
      <c r="J212" s="10">
        <f>CHOOSE(CONTROL!$C$42, 7.4884, 7.4884)* CHOOSE(CONTROL!$C$21, $C$9, 100%, $E$9)</f>
        <v>7.4884000000000004</v>
      </c>
      <c r="K212" s="54">
        <f>CHOOSE(CONTROL!$C$42, 7.491, 7.491) * CHOOSE(CONTROL!$C$21, $C$9, 100%, $E$9)</f>
        <v>7.4909999999999997</v>
      </c>
      <c r="L212" s="10">
        <f>CHOOSE(CONTROL!$C$42, 8.3354, 8.3354) * CHOOSE(CONTROL!$C$21, $C$9, 100%, $E$9)</f>
        <v>8.3353999999999999</v>
      </c>
      <c r="M212" s="10">
        <f>CHOOSE(CONTROL!$C$42, 7.4266, 7.4266) * CHOOSE(CONTROL!$C$21, $C$9, 100%, $E$9)</f>
        <v>7.4265999999999996</v>
      </c>
      <c r="N212" s="10">
        <f>CHOOSE(CONTROL!$C$42, 7.4438, 7.4438) * CHOOSE(CONTROL!$C$21, $C$9, 100%, $E$9)</f>
        <v>7.4438000000000004</v>
      </c>
      <c r="O212" s="10">
        <f>CHOOSE(CONTROL!$C$42, 7.6841, 7.6841) * CHOOSE(CONTROL!$C$21, $C$9, 100%, $E$9)</f>
        <v>7.6840999999999999</v>
      </c>
      <c r="P212" s="10">
        <f>CHOOSE(CONTROL!$C$42, 7.4331, 7.4331) * CHOOSE(CONTROL!$C$21, $C$9, 100%, $E$9)</f>
        <v>7.4330999999999996</v>
      </c>
      <c r="Q212" s="10">
        <f>CHOOSE(CONTROL!$C$42, 8.2794, 8.2794) * CHOOSE(CONTROL!$C$21, $C$9, 100%, $E$9)</f>
        <v>8.2794000000000008</v>
      </c>
      <c r="R212" s="10">
        <f>CHOOSE(CONTROL!$C$42, 8.8871, 8.8871) * CHOOSE(CONTROL!$C$21, $C$9, 100%, $E$9)</f>
        <v>8.8871000000000002</v>
      </c>
      <c r="S212" s="10">
        <f>CHOOSE(CONTROL!$C$42, 7.3065, 7.3065) * CHOOSE(CONTROL!$C$21, $C$9, 100%, $E$9)</f>
        <v>7.3064999999999998</v>
      </c>
      <c r="T212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212" s="58">
        <f>(1000*CHOOSE(CONTROL!$C$42, 695, 695)*CHOOSE(CONTROL!$C$42, 0.5599, 0.5599)*CHOOSE(CONTROL!$C$42, 31, 31))/1000000</f>
        <v>12.063045499999998</v>
      </c>
      <c r="V212" s="58">
        <f>(1000*CHOOSE(CONTROL!$C$42, 500, 500)*CHOOSE(CONTROL!$C$42, 0.275, 0.275)*CHOOSE(CONTROL!$C$42, 31, 31))/1000000</f>
        <v>4.2625000000000002</v>
      </c>
      <c r="W212" s="58">
        <f>(1000*CHOOSE(CONTROL!$C$42, 0.1146, 0.1146)*CHOOSE(CONTROL!$C$42, 121.5, 121.5)*CHOOSE(CONTROL!$C$42, 31, 31))/1000000</f>
        <v>0.43164089999999994</v>
      </c>
      <c r="X212" s="58">
        <f>(31*0.1790888*245000/1000000)+(31*0.2374*100000/1000000)</f>
        <v>2.0961194359999999</v>
      </c>
      <c r="Y212" s="58"/>
      <c r="Z212" s="10"/>
      <c r="AA212" s="57"/>
      <c r="AB212" s="51">
        <f>(B212*194.205+C212*267.466+D212*133.845+E212*53.484+F212*40+G212*185+H212*0+I212*100+J212*300)/(194.205+267.466+133.845+53.484+0+40+185+100+300)</f>
        <v>7.5454154359497645</v>
      </c>
      <c r="AC212" s="27">
        <f>(M212*'RAP TEMPLATE-GAS AVAILABILITY'!O211+N212*'RAP TEMPLATE-GAS AVAILABILITY'!P211+O212*'RAP TEMPLATE-GAS AVAILABILITY'!Q211+P212*'RAP TEMPLATE-GAS AVAILABILITY'!R211)/('RAP TEMPLATE-GAS AVAILABILITY'!O211+'RAP TEMPLATE-GAS AVAILABILITY'!P211+'RAP TEMPLATE-GAS AVAILABILITY'!Q211+'RAP TEMPLATE-GAS AVAILABILITY'!R211)</f>
        <v>7.5037431654676245</v>
      </c>
    </row>
    <row r="213" spans="1:29" ht="15.75" x14ac:dyDescent="0.25">
      <c r="A213" s="16">
        <v>47362</v>
      </c>
      <c r="B213" s="10">
        <f>CHOOSE(CONTROL!$C$42, 7.0503, 7.0503) * CHOOSE(CONTROL!$C$21, $C$9, 100%, $E$9)</f>
        <v>7.0503</v>
      </c>
      <c r="C213" s="10">
        <f>CHOOSE(CONTROL!$C$42, 7.0582, 7.0582) * CHOOSE(CONTROL!$C$21, $C$9, 100%, $E$9)</f>
        <v>7.0582000000000003</v>
      </c>
      <c r="D213" s="10">
        <f>CHOOSE(CONTROL!$C$42, 7.2507, 7.2507) * CHOOSE(CONTROL!$C$21, $C$9, 100%, $E$9)</f>
        <v>7.2507000000000001</v>
      </c>
      <c r="E213" s="10">
        <f>CHOOSE(CONTROL!$C$42, 7.2818, 7.2818) * CHOOSE(CONTROL!$C$21, $C$9, 100%, $E$9)</f>
        <v>7.2817999999999996</v>
      </c>
      <c r="F213" s="10">
        <f>CHOOSE(CONTROL!$C$42, 7.0172, 7.0172)*CHOOSE(CONTROL!$C$21, $C$9, 100%, $E$9)</f>
        <v>7.0171999999999999</v>
      </c>
      <c r="G213" s="10">
        <f>CHOOSE(CONTROL!$C$42, 7.0345, 7.0345)*CHOOSE(CONTROL!$C$21, $C$9, 100%, $E$9)</f>
        <v>7.0345000000000004</v>
      </c>
      <c r="H213" s="10">
        <f>CHOOSE(CONTROL!$C$42, 7.2704, 7.2704) * CHOOSE(CONTROL!$C$21, $C$9, 100%, $E$9)</f>
        <v>7.2704000000000004</v>
      </c>
      <c r="I213" s="10">
        <f>CHOOSE(CONTROL!$C$42, 7.0169, 7.0169)* CHOOSE(CONTROL!$C$21, $C$9, 100%, $E$9)</f>
        <v>7.0168999999999997</v>
      </c>
      <c r="J213" s="10">
        <f>CHOOSE(CONTROL!$C$42, 7.0102, 7.0102)* CHOOSE(CONTROL!$C$21, $C$9, 100%, $E$9)</f>
        <v>7.0102000000000002</v>
      </c>
      <c r="K213" s="54">
        <f>CHOOSE(CONTROL!$C$42, 7.013, 7.013) * CHOOSE(CONTROL!$C$21, $C$9, 100%, $E$9)</f>
        <v>7.0129999999999999</v>
      </c>
      <c r="L213" s="10">
        <f>CHOOSE(CONTROL!$C$42, 7.8574, 7.8574) * CHOOSE(CONTROL!$C$21, $C$9, 100%, $E$9)</f>
        <v>7.8574000000000002</v>
      </c>
      <c r="M213" s="10">
        <f>CHOOSE(CONTROL!$C$42, 6.9533, 6.9533) * CHOOSE(CONTROL!$C$21, $C$9, 100%, $E$9)</f>
        <v>6.9532999999999996</v>
      </c>
      <c r="N213" s="10">
        <f>CHOOSE(CONTROL!$C$42, 6.9704, 6.9704) * CHOOSE(CONTROL!$C$21, $C$9, 100%, $E$9)</f>
        <v>6.9703999999999997</v>
      </c>
      <c r="O213" s="10">
        <f>CHOOSE(CONTROL!$C$42, 7.2109, 7.2109) * CHOOSE(CONTROL!$C$21, $C$9, 100%, $E$9)</f>
        <v>7.2108999999999996</v>
      </c>
      <c r="P213" s="10">
        <f>CHOOSE(CONTROL!$C$42, 6.9599, 6.9599) * CHOOSE(CONTROL!$C$21, $C$9, 100%, $E$9)</f>
        <v>6.9599000000000002</v>
      </c>
      <c r="Q213" s="10">
        <f>CHOOSE(CONTROL!$C$42, 7.8062, 7.8062) * CHOOSE(CONTROL!$C$21, $C$9, 100%, $E$9)</f>
        <v>7.8061999999999996</v>
      </c>
      <c r="R213" s="10">
        <f>CHOOSE(CONTROL!$C$42, 8.4127, 8.4127) * CHOOSE(CONTROL!$C$21, $C$9, 100%, $E$9)</f>
        <v>8.4126999999999992</v>
      </c>
      <c r="S213" s="10">
        <f>CHOOSE(CONTROL!$C$42, 6.8423, 6.8423) * CHOOSE(CONTROL!$C$21, $C$9, 100%, $E$9)</f>
        <v>6.8422999999999998</v>
      </c>
      <c r="T213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213" s="58">
        <f>(1000*CHOOSE(CONTROL!$C$42, 695, 695)*CHOOSE(CONTROL!$C$42, 0.5599, 0.5599)*CHOOSE(CONTROL!$C$42, 30, 30))/1000000</f>
        <v>11.673914999999997</v>
      </c>
      <c r="V213" s="58">
        <f>(1000*CHOOSE(CONTROL!$C$42, 500, 500)*CHOOSE(CONTROL!$C$42, 0.275, 0.275)*CHOOSE(CONTROL!$C$42, 30, 30))/1000000</f>
        <v>4.125</v>
      </c>
      <c r="W213" s="58">
        <f>(1000*CHOOSE(CONTROL!$C$42, 0.1146, 0.1146)*CHOOSE(CONTROL!$C$42, 121.5, 121.5)*CHOOSE(CONTROL!$C$42, 30, 30))/1000000</f>
        <v>0.417717</v>
      </c>
      <c r="X213" s="58">
        <f>(30*0.1790888*245000/1000000)+(30*0.2374*100000/1000000)</f>
        <v>2.0285026799999999</v>
      </c>
      <c r="Y213" s="58"/>
      <c r="Z213" s="10"/>
      <c r="AA213" s="57"/>
      <c r="AB213" s="51">
        <f>(B213*194.205+C213*267.466+D213*133.845+E213*53.484+F213*40+G213*185+H213*0+I213*100+J213*300)/(194.205+267.466+133.845+53.484+0+40+185+100+300)</f>
        <v>7.0673330183673482</v>
      </c>
      <c r="AC213" s="27">
        <f>(M213*'RAP TEMPLATE-GAS AVAILABILITY'!O212+N213*'RAP TEMPLATE-GAS AVAILABILITY'!P212+O213*'RAP TEMPLATE-GAS AVAILABILITY'!Q212+P213*'RAP TEMPLATE-GAS AVAILABILITY'!R212)/('RAP TEMPLATE-GAS AVAILABILITY'!O212+'RAP TEMPLATE-GAS AVAILABILITY'!P212+'RAP TEMPLATE-GAS AVAILABILITY'!Q212+'RAP TEMPLATE-GAS AVAILABILITY'!R212)</f>
        <v>7.0304625899280566</v>
      </c>
    </row>
    <row r="214" spans="1:29" ht="15.75" x14ac:dyDescent="0.25">
      <c r="A214" s="16">
        <v>47392</v>
      </c>
      <c r="B214" s="10">
        <f>CHOOSE(CONTROL!$C$42, 6.9055, 6.9055) * CHOOSE(CONTROL!$C$21, $C$9, 100%, $E$9)</f>
        <v>6.9055</v>
      </c>
      <c r="C214" s="10">
        <f>CHOOSE(CONTROL!$C$42, 6.9107, 6.9107) * CHOOSE(CONTROL!$C$21, $C$9, 100%, $E$9)</f>
        <v>6.9107000000000003</v>
      </c>
      <c r="D214" s="10">
        <f>CHOOSE(CONTROL!$C$42, 7.1081, 7.1081) * CHOOSE(CONTROL!$C$21, $C$9, 100%, $E$9)</f>
        <v>7.1081000000000003</v>
      </c>
      <c r="E214" s="10">
        <f>CHOOSE(CONTROL!$C$42, 7.1369, 7.1369) * CHOOSE(CONTROL!$C$21, $C$9, 100%, $E$9)</f>
        <v>7.1368999999999998</v>
      </c>
      <c r="F214" s="10">
        <f>CHOOSE(CONTROL!$C$42, 6.8744, 6.8744)*CHOOSE(CONTROL!$C$21, $C$9, 100%, $E$9)</f>
        <v>6.8743999999999996</v>
      </c>
      <c r="G214" s="10">
        <f>CHOOSE(CONTROL!$C$42, 6.8914, 6.8914)*CHOOSE(CONTROL!$C$21, $C$9, 100%, $E$9)</f>
        <v>6.8914</v>
      </c>
      <c r="H214" s="10">
        <f>CHOOSE(CONTROL!$C$42, 7.1274, 7.1274) * CHOOSE(CONTROL!$C$21, $C$9, 100%, $E$9)</f>
        <v>7.1273999999999997</v>
      </c>
      <c r="I214" s="10">
        <f>CHOOSE(CONTROL!$C$42, 6.8738, 6.8738)* CHOOSE(CONTROL!$C$21, $C$9, 100%, $E$9)</f>
        <v>6.8738000000000001</v>
      </c>
      <c r="J214" s="10">
        <f>CHOOSE(CONTROL!$C$42, 6.8674, 6.8674)* CHOOSE(CONTROL!$C$21, $C$9, 100%, $E$9)</f>
        <v>6.8673999999999999</v>
      </c>
      <c r="K214" s="54">
        <f>CHOOSE(CONTROL!$C$42, 6.87, 6.87) * CHOOSE(CONTROL!$C$21, $C$9, 100%, $E$9)</f>
        <v>6.87</v>
      </c>
      <c r="L214" s="10">
        <f>CHOOSE(CONTROL!$C$42, 7.7144, 7.7144) * CHOOSE(CONTROL!$C$21, $C$9, 100%, $E$9)</f>
        <v>7.7144000000000004</v>
      </c>
      <c r="M214" s="10">
        <f>CHOOSE(CONTROL!$C$42, 6.8119, 6.8119) * CHOOSE(CONTROL!$C$21, $C$9, 100%, $E$9)</f>
        <v>6.8118999999999996</v>
      </c>
      <c r="N214" s="10">
        <f>CHOOSE(CONTROL!$C$42, 6.8287, 6.8287) * CHOOSE(CONTROL!$C$21, $C$9, 100%, $E$9)</f>
        <v>6.8287000000000004</v>
      </c>
      <c r="O214" s="10">
        <f>CHOOSE(CONTROL!$C$42, 7.0693, 7.0693) * CHOOSE(CONTROL!$C$21, $C$9, 100%, $E$9)</f>
        <v>7.0693000000000001</v>
      </c>
      <c r="P214" s="10">
        <f>CHOOSE(CONTROL!$C$42, 6.8183, 6.8183) * CHOOSE(CONTROL!$C$21, $C$9, 100%, $E$9)</f>
        <v>6.8182999999999998</v>
      </c>
      <c r="Q214" s="10">
        <f>CHOOSE(CONTROL!$C$42, 7.6646, 7.6646) * CHOOSE(CONTROL!$C$21, $C$9, 100%, $E$9)</f>
        <v>7.6646000000000001</v>
      </c>
      <c r="R214" s="10">
        <f>CHOOSE(CONTROL!$C$42, 8.2708, 8.2708) * CHOOSE(CONTROL!$C$21, $C$9, 100%, $E$9)</f>
        <v>8.2707999999999995</v>
      </c>
      <c r="S214" s="10">
        <f>CHOOSE(CONTROL!$C$42, 6.7034, 6.7034) * CHOOSE(CONTROL!$C$21, $C$9, 100%, $E$9)</f>
        <v>6.7034000000000002</v>
      </c>
      <c r="T214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214" s="58">
        <f>(1000*CHOOSE(CONTROL!$C$42, 695, 695)*CHOOSE(CONTROL!$C$42, 0.5599, 0.5599)*CHOOSE(CONTROL!$C$42, 31, 31))/1000000</f>
        <v>12.063045499999998</v>
      </c>
      <c r="V214" s="58">
        <f>(1000*CHOOSE(CONTROL!$C$42, 500, 500)*CHOOSE(CONTROL!$C$42, 0.275, 0.275)*CHOOSE(CONTROL!$C$42, 31, 31))/1000000</f>
        <v>4.2625000000000002</v>
      </c>
      <c r="W214" s="58">
        <f>(1000*CHOOSE(CONTROL!$C$42, 0.1146, 0.1146)*CHOOSE(CONTROL!$C$42, 121.5, 121.5)*CHOOSE(CONTROL!$C$42, 31, 31))/1000000</f>
        <v>0.43164089999999994</v>
      </c>
      <c r="X214" s="58">
        <f>(31*0.1790888*245000/1000000)+(31*0.2374*100000/1000000)</f>
        <v>2.0961194359999999</v>
      </c>
      <c r="Y214" s="58"/>
      <c r="Z214" s="10"/>
      <c r="AA214" s="57"/>
      <c r="AB214" s="51">
        <f>(B214*131.881+C214*277.167+D214*79.08+E214*125.872+F214*40+G214*185+H214*0+I214*100+J214*300)/(131.881+277.167+79.08+125.872+0+40+185+100+300)</f>
        <v>6.9282095699757864</v>
      </c>
      <c r="AC214" s="27">
        <f>(M214*'RAP TEMPLATE-GAS AVAILABILITY'!O213+N214*'RAP TEMPLATE-GAS AVAILABILITY'!P213+O214*'RAP TEMPLATE-GAS AVAILABILITY'!Q213+P214*'RAP TEMPLATE-GAS AVAILABILITY'!R213)/('RAP TEMPLATE-GAS AVAILABILITY'!O213+'RAP TEMPLATE-GAS AVAILABILITY'!P213+'RAP TEMPLATE-GAS AVAILABILITY'!Q213+'RAP TEMPLATE-GAS AVAILABILITY'!R213)</f>
        <v>6.8889086330935259</v>
      </c>
    </row>
    <row r="215" spans="1:29" ht="15.75" x14ac:dyDescent="0.25">
      <c r="A215" s="16">
        <v>47423</v>
      </c>
      <c r="B215" s="10">
        <f>CHOOSE(CONTROL!$C$42, 7.0869, 7.0869) * CHOOSE(CONTROL!$C$21, $C$9, 100%, $E$9)</f>
        <v>7.0869</v>
      </c>
      <c r="C215" s="10">
        <f>CHOOSE(CONTROL!$C$42, 7.0919, 7.0919) * CHOOSE(CONTROL!$C$21, $C$9, 100%, $E$9)</f>
        <v>7.0918999999999999</v>
      </c>
      <c r="D215" s="10">
        <f>CHOOSE(CONTROL!$C$42, 7.1215, 7.1215) * CHOOSE(CONTROL!$C$21, $C$9, 100%, $E$9)</f>
        <v>7.1215000000000002</v>
      </c>
      <c r="E215" s="10">
        <f>CHOOSE(CONTROL!$C$42, 7.1553, 7.1553) * CHOOSE(CONTROL!$C$21, $C$9, 100%, $E$9)</f>
        <v>7.1553000000000004</v>
      </c>
      <c r="F215" s="10">
        <f>CHOOSE(CONTROL!$C$42, 7.0537, 7.0537)*CHOOSE(CONTROL!$C$21, $C$9, 100%, $E$9)</f>
        <v>7.0537000000000001</v>
      </c>
      <c r="G215" s="10">
        <f>CHOOSE(CONTROL!$C$42, 7.0708, 7.0708)*CHOOSE(CONTROL!$C$21, $C$9, 100%, $E$9)</f>
        <v>7.0708000000000002</v>
      </c>
      <c r="H215" s="10">
        <f>CHOOSE(CONTROL!$C$42, 7.1445, 7.1445) * CHOOSE(CONTROL!$C$21, $C$9, 100%, $E$9)</f>
        <v>7.1444999999999999</v>
      </c>
      <c r="I215" s="10">
        <f>CHOOSE(CONTROL!$C$42, 7.0505, 7.0505)* CHOOSE(CONTROL!$C$21, $C$9, 100%, $E$9)</f>
        <v>7.0505000000000004</v>
      </c>
      <c r="J215" s="10">
        <f>CHOOSE(CONTROL!$C$42, 7.0467, 7.0467)* CHOOSE(CONTROL!$C$21, $C$9, 100%, $E$9)</f>
        <v>7.0467000000000004</v>
      </c>
      <c r="K215" s="54">
        <f>CHOOSE(CONTROL!$C$42, 7.0466, 7.0466) * CHOOSE(CONTROL!$C$21, $C$9, 100%, $E$9)</f>
        <v>7.0465999999999998</v>
      </c>
      <c r="L215" s="10">
        <f>CHOOSE(CONTROL!$C$42, 7.7315, 7.7315) * CHOOSE(CONTROL!$C$21, $C$9, 100%, $E$9)</f>
        <v>7.7314999999999996</v>
      </c>
      <c r="M215" s="10">
        <f>CHOOSE(CONTROL!$C$42, 6.9894, 6.9894) * CHOOSE(CONTROL!$C$21, $C$9, 100%, $E$9)</f>
        <v>6.9893999999999998</v>
      </c>
      <c r="N215" s="10">
        <f>CHOOSE(CONTROL!$C$42, 7.0064, 7.0064) * CHOOSE(CONTROL!$C$21, $C$9, 100%, $E$9)</f>
        <v>7.0064000000000002</v>
      </c>
      <c r="O215" s="10">
        <f>CHOOSE(CONTROL!$C$42, 7.0862, 7.0862) * CHOOSE(CONTROL!$C$21, $C$9, 100%, $E$9)</f>
        <v>7.0861999999999998</v>
      </c>
      <c r="P215" s="10">
        <f>CHOOSE(CONTROL!$C$42, 6.9932, 6.9932) * CHOOSE(CONTROL!$C$21, $C$9, 100%, $E$9)</f>
        <v>6.9931999999999999</v>
      </c>
      <c r="Q215" s="10">
        <f>CHOOSE(CONTROL!$C$42, 7.6815, 7.6815) * CHOOSE(CONTROL!$C$21, $C$9, 100%, $E$9)</f>
        <v>7.6814999999999998</v>
      </c>
      <c r="R215" s="10">
        <f>CHOOSE(CONTROL!$C$42, 8.2877, 8.2877) * CHOOSE(CONTROL!$C$21, $C$9, 100%, $E$9)</f>
        <v>8.2876999999999992</v>
      </c>
      <c r="S215" s="10">
        <f>CHOOSE(CONTROL!$C$42, 6.88, 6.88) * CHOOSE(CONTROL!$C$21, $C$9, 100%, $E$9)</f>
        <v>6.88</v>
      </c>
      <c r="T215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215" s="58">
        <f>(1000*CHOOSE(CONTROL!$C$42, 695, 695)*CHOOSE(CONTROL!$C$42, 0.5599, 0.5599)*CHOOSE(CONTROL!$C$42, 30, 30))/1000000</f>
        <v>11.673914999999997</v>
      </c>
      <c r="V215" s="58">
        <f>(1000*CHOOSE(CONTROL!$C$42, 500, 500)*CHOOSE(CONTROL!$C$42, 0.275, 0.275)*CHOOSE(CONTROL!$C$42, 30, 30))/1000000</f>
        <v>4.125</v>
      </c>
      <c r="W215" s="58">
        <f>(1000*CHOOSE(CONTROL!$C$42, 0.1146, 0.1146)*CHOOSE(CONTROL!$C$42, 121.5, 121.5)*CHOOSE(CONTROL!$C$42, 30, 30))/1000000</f>
        <v>0.417717</v>
      </c>
      <c r="X215" s="58">
        <f>(30*0.1790888*100000/1000000)+(30*0.2374*100000/1000000)</f>
        <v>1.2494664</v>
      </c>
      <c r="Y215" s="58"/>
      <c r="Z215" s="10"/>
      <c r="AA215" s="57"/>
      <c r="AB215" s="51">
        <f>(B215*122.58+C215*297.941+D215*89.177+E215*40.302+F215*40+G215*160+H215*0+I215*100+J215*300)/(122.58+297.941+89.177+40.302+0+40+160+100+300)</f>
        <v>7.07622859652174</v>
      </c>
      <c r="AC215" s="27">
        <f>(M215*'RAP TEMPLATE-GAS AVAILABILITY'!O214+N215*'RAP TEMPLATE-GAS AVAILABILITY'!P214+O215*'RAP TEMPLATE-GAS AVAILABILITY'!Q214+P215*'RAP TEMPLATE-GAS AVAILABILITY'!R214)/('RAP TEMPLATE-GAS AVAILABILITY'!O214+'RAP TEMPLATE-GAS AVAILABILITY'!P214+'RAP TEMPLATE-GAS AVAILABILITY'!Q214+'RAP TEMPLATE-GAS AVAILABILITY'!R214)</f>
        <v>7.0347985611510788</v>
      </c>
    </row>
    <row r="216" spans="1:29" ht="15.75" x14ac:dyDescent="0.25">
      <c r="A216" s="16">
        <v>47453</v>
      </c>
      <c r="B216" s="10">
        <f>CHOOSE(CONTROL!$C$42, 7.5699, 7.5699) * CHOOSE(CONTROL!$C$21, $C$9, 100%, $E$9)</f>
        <v>7.5698999999999996</v>
      </c>
      <c r="C216" s="10">
        <f>CHOOSE(CONTROL!$C$42, 7.5749, 7.5749) * CHOOSE(CONTROL!$C$21, $C$9, 100%, $E$9)</f>
        <v>7.5749000000000004</v>
      </c>
      <c r="D216" s="10">
        <f>CHOOSE(CONTROL!$C$42, 7.6045, 7.6045) * CHOOSE(CONTROL!$C$21, $C$9, 100%, $E$9)</f>
        <v>7.6044999999999998</v>
      </c>
      <c r="E216" s="10">
        <f>CHOOSE(CONTROL!$C$42, 7.6383, 7.6383) * CHOOSE(CONTROL!$C$21, $C$9, 100%, $E$9)</f>
        <v>7.6383000000000001</v>
      </c>
      <c r="F216" s="10">
        <f>CHOOSE(CONTROL!$C$42, 7.5381, 7.5381)*CHOOSE(CONTROL!$C$21, $C$9, 100%, $E$9)</f>
        <v>7.5381</v>
      </c>
      <c r="G216" s="10">
        <f>CHOOSE(CONTROL!$C$42, 7.5556, 7.5556)*CHOOSE(CONTROL!$C$21, $C$9, 100%, $E$9)</f>
        <v>7.5556000000000001</v>
      </c>
      <c r="H216" s="10">
        <f>CHOOSE(CONTROL!$C$42, 7.6274, 7.6274) * CHOOSE(CONTROL!$C$21, $C$9, 100%, $E$9)</f>
        <v>7.6273999999999997</v>
      </c>
      <c r="I216" s="10">
        <f>CHOOSE(CONTROL!$C$42, 7.5335, 7.5335)* CHOOSE(CONTROL!$C$21, $C$9, 100%, $E$9)</f>
        <v>7.5335000000000001</v>
      </c>
      <c r="J216" s="10">
        <f>CHOOSE(CONTROL!$C$42, 7.5311, 7.5311)* CHOOSE(CONTROL!$C$21, $C$9, 100%, $E$9)</f>
        <v>7.5311000000000003</v>
      </c>
      <c r="K216" s="54">
        <f>CHOOSE(CONTROL!$C$42, 7.5296, 7.5296) * CHOOSE(CONTROL!$C$21, $C$9, 100%, $E$9)</f>
        <v>7.5296000000000003</v>
      </c>
      <c r="L216" s="10">
        <f>CHOOSE(CONTROL!$C$42, 8.2144, 8.2144) * CHOOSE(CONTROL!$C$21, $C$9, 100%, $E$9)</f>
        <v>8.2143999999999995</v>
      </c>
      <c r="M216" s="10">
        <f>CHOOSE(CONTROL!$C$42, 7.469, 7.469) * CHOOSE(CONTROL!$C$21, $C$9, 100%, $E$9)</f>
        <v>7.4690000000000003</v>
      </c>
      <c r="N216" s="10">
        <f>CHOOSE(CONTROL!$C$42, 7.4863, 7.4863) * CHOOSE(CONTROL!$C$21, $C$9, 100%, $E$9)</f>
        <v>7.4863</v>
      </c>
      <c r="O216" s="10">
        <f>CHOOSE(CONTROL!$C$42, 7.5643, 7.5643) * CHOOSE(CONTROL!$C$21, $C$9, 100%, $E$9)</f>
        <v>7.5643000000000002</v>
      </c>
      <c r="P216" s="10">
        <f>CHOOSE(CONTROL!$C$42, 7.4714, 7.4714) * CHOOSE(CONTROL!$C$21, $C$9, 100%, $E$9)</f>
        <v>7.4714</v>
      </c>
      <c r="Q216" s="10">
        <f>CHOOSE(CONTROL!$C$42, 8.1596, 8.1596) * CHOOSE(CONTROL!$C$21, $C$9, 100%, $E$9)</f>
        <v>8.1595999999999993</v>
      </c>
      <c r="R216" s="10">
        <f>CHOOSE(CONTROL!$C$42, 8.767, 8.767) * CHOOSE(CONTROL!$C$21, $C$9, 100%, $E$9)</f>
        <v>8.7669999999999995</v>
      </c>
      <c r="S216" s="10">
        <f>CHOOSE(CONTROL!$C$42, 7.349, 7.349) * CHOOSE(CONTROL!$C$21, $C$9, 100%, $E$9)</f>
        <v>7.3490000000000002</v>
      </c>
      <c r="T216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216" s="58">
        <f>(1000*CHOOSE(CONTROL!$C$42, 695, 695)*CHOOSE(CONTROL!$C$42, 0.5599, 0.5599)*CHOOSE(CONTROL!$C$42, 31, 31))/1000000</f>
        <v>12.063045499999998</v>
      </c>
      <c r="V216" s="58">
        <f>(1000*CHOOSE(CONTROL!$C$42, 500, 500)*CHOOSE(CONTROL!$C$42, 0.275, 0.275)*CHOOSE(CONTROL!$C$42, 31, 31))/1000000</f>
        <v>4.2625000000000002</v>
      </c>
      <c r="W216" s="58">
        <f>(1000*CHOOSE(CONTROL!$C$42, 0.1146, 0.1146)*CHOOSE(CONTROL!$C$42, 121.5, 121.5)*CHOOSE(CONTROL!$C$42, 31, 31))/1000000</f>
        <v>0.43164089999999994</v>
      </c>
      <c r="X216" s="58">
        <f>(31*0.1790888*100000/1000000)+(31*0.2374*100000/1000000)</f>
        <v>1.2911152800000001</v>
      </c>
      <c r="Y216" s="58"/>
      <c r="Z216" s="10"/>
      <c r="AA216" s="57"/>
      <c r="AB216" s="51">
        <f>(B216*122.58+C216*297.941+D216*89.177+E216*40.302+F216*40+G216*160+H216*0+I216*100+J216*300)/(122.58+297.941+89.177+40.302+0+40+160+100+300)</f>
        <v>7.5598929443478262</v>
      </c>
      <c r="AC216" s="27">
        <f>(M216*'RAP TEMPLATE-GAS AVAILABILITY'!O215+N216*'RAP TEMPLATE-GAS AVAILABILITY'!P215+O216*'RAP TEMPLATE-GAS AVAILABILITY'!Q215+P216*'RAP TEMPLATE-GAS AVAILABILITY'!R215)/('RAP TEMPLATE-GAS AVAILABILITY'!O215+'RAP TEMPLATE-GAS AVAILABILITY'!P215+'RAP TEMPLATE-GAS AVAILABILITY'!Q215+'RAP TEMPLATE-GAS AVAILABILITY'!R215)</f>
        <v>7.5135345323741012</v>
      </c>
    </row>
    <row r="217" spans="1:29" ht="15.75" x14ac:dyDescent="0.25">
      <c r="A217" s="16">
        <v>47484</v>
      </c>
      <c r="B217" s="10">
        <f>CHOOSE(CONTROL!$C$42, 8.2109, 8.2109) * CHOOSE(CONTROL!$C$21, $C$9, 100%, $E$9)</f>
        <v>8.2109000000000005</v>
      </c>
      <c r="C217" s="10">
        <f>CHOOSE(CONTROL!$C$42, 8.2158, 8.2158) * CHOOSE(CONTROL!$C$21, $C$9, 100%, $E$9)</f>
        <v>8.2157999999999998</v>
      </c>
      <c r="D217" s="10">
        <f>CHOOSE(CONTROL!$C$42, 8.2661, 8.2661) * CHOOSE(CONTROL!$C$21, $C$9, 100%, $E$9)</f>
        <v>8.2660999999999998</v>
      </c>
      <c r="E217" s="10">
        <f>CHOOSE(CONTROL!$C$42, 8.2998, 8.2998) * CHOOSE(CONTROL!$C$21, $C$9, 100%, $E$9)</f>
        <v>8.2997999999999994</v>
      </c>
      <c r="F217" s="10">
        <f>CHOOSE(CONTROL!$C$42, 8.1763, 8.1763)*CHOOSE(CONTROL!$C$21, $C$9, 100%, $E$9)</f>
        <v>8.1762999999999995</v>
      </c>
      <c r="G217" s="10">
        <f>CHOOSE(CONTROL!$C$42, 8.1938, 8.1938)*CHOOSE(CONTROL!$C$21, $C$9, 100%, $E$9)</f>
        <v>8.1937999999999995</v>
      </c>
      <c r="H217" s="10">
        <f>CHOOSE(CONTROL!$C$42, 8.289, 8.289) * CHOOSE(CONTROL!$C$21, $C$9, 100%, $E$9)</f>
        <v>8.2889999999999997</v>
      </c>
      <c r="I217" s="10">
        <f>CHOOSE(CONTROL!$C$42, 8.1848, 8.1848)* CHOOSE(CONTROL!$C$21, $C$9, 100%, $E$9)</f>
        <v>8.1847999999999992</v>
      </c>
      <c r="J217" s="10">
        <f>CHOOSE(CONTROL!$C$42, 8.1693, 8.1693)* CHOOSE(CONTROL!$C$21, $C$9, 100%, $E$9)</f>
        <v>8.1692999999999998</v>
      </c>
      <c r="K217" s="54">
        <f>CHOOSE(CONTROL!$C$42, 8.1809, 8.1809) * CHOOSE(CONTROL!$C$21, $C$9, 100%, $E$9)</f>
        <v>8.1808999999999994</v>
      </c>
      <c r="L217" s="10">
        <f>CHOOSE(CONTROL!$C$42, 8.876, 8.876) * CHOOSE(CONTROL!$C$21, $C$9, 100%, $E$9)</f>
        <v>8.8759999999999994</v>
      </c>
      <c r="M217" s="10">
        <f>CHOOSE(CONTROL!$C$42, 8.1006, 8.1006) * CHOOSE(CONTROL!$C$21, $C$9, 100%, $E$9)</f>
        <v>8.1006</v>
      </c>
      <c r="N217" s="10">
        <f>CHOOSE(CONTROL!$C$42, 8.118, 8.118) * CHOOSE(CONTROL!$C$21, $C$9, 100%, $E$9)</f>
        <v>8.1180000000000003</v>
      </c>
      <c r="O217" s="10">
        <f>CHOOSE(CONTROL!$C$42, 8.2192, 8.2192) * CHOOSE(CONTROL!$C$21, $C$9, 100%, $E$9)</f>
        <v>8.2192000000000007</v>
      </c>
      <c r="P217" s="10">
        <f>CHOOSE(CONTROL!$C$42, 8.1161, 8.1161) * CHOOSE(CONTROL!$C$21, $C$9, 100%, $E$9)</f>
        <v>8.1160999999999994</v>
      </c>
      <c r="Q217" s="10">
        <f>CHOOSE(CONTROL!$C$42, 8.8145, 8.8145) * CHOOSE(CONTROL!$C$21, $C$9, 100%, $E$9)</f>
        <v>8.8145000000000007</v>
      </c>
      <c r="R217" s="10">
        <f>CHOOSE(CONTROL!$C$42, 9.4235, 9.4235) * CHOOSE(CONTROL!$C$21, $C$9, 100%, $E$9)</f>
        <v>9.4235000000000007</v>
      </c>
      <c r="S217" s="10">
        <f>CHOOSE(CONTROL!$C$42, 7.9715, 7.9715) * CHOOSE(CONTROL!$C$21, $C$9, 100%, $E$9)</f>
        <v>7.9714999999999998</v>
      </c>
      <c r="T217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217" s="58">
        <f>(1000*CHOOSE(CONTROL!$C$42, 695, 695)*CHOOSE(CONTROL!$C$42, 0.5599, 0.5599)*CHOOSE(CONTROL!$C$42, 31, 31))/1000000</f>
        <v>12.063045499999998</v>
      </c>
      <c r="V217" s="58">
        <f>(1000*CHOOSE(CONTROL!$C$42, 500, 500)*CHOOSE(CONTROL!$C$42, 0.275, 0.275)*CHOOSE(CONTROL!$C$42, 31, 31))/1000000</f>
        <v>4.2625000000000002</v>
      </c>
      <c r="W217" s="58">
        <f>(1000*CHOOSE(CONTROL!$C$42, 0.1146, 0.1146)*CHOOSE(CONTROL!$C$42, 121.5, 121.5)*CHOOSE(CONTROL!$C$42, 31, 31))/1000000</f>
        <v>0.43164089999999994</v>
      </c>
      <c r="X217" s="58">
        <f>(31*0.1790888*100000/1000000)+(31*0.2374*100000/1000000)</f>
        <v>1.2911152800000001</v>
      </c>
      <c r="Y217" s="58"/>
      <c r="Z217" s="10"/>
      <c r="AA217" s="57"/>
      <c r="AB217" s="51">
        <f>(B217*122.58+C217*297.941+D217*89.177+E217*40.302+F217*40+G217*160+H217*0+I217*100+J217*300)/(122.58+297.941+89.177+40.302+0+40+160+100+300)</f>
        <v>8.2028611557391304</v>
      </c>
      <c r="AC217" s="27">
        <f>(M217*'RAP TEMPLATE-GAS AVAILABILITY'!O216+N217*'RAP TEMPLATE-GAS AVAILABILITY'!P216+O217*'RAP TEMPLATE-GAS AVAILABILITY'!Q216+P217*'RAP TEMPLATE-GAS AVAILABILITY'!R216)/('RAP TEMPLATE-GAS AVAILABILITY'!O216+'RAP TEMPLATE-GAS AVAILABILITY'!P216+'RAP TEMPLATE-GAS AVAILABILITY'!Q216+'RAP TEMPLATE-GAS AVAILABILITY'!R216)</f>
        <v>8.1575856115107914</v>
      </c>
    </row>
    <row r="218" spans="1:29" ht="15.75" x14ac:dyDescent="0.25">
      <c r="A218" s="16">
        <v>47515</v>
      </c>
      <c r="B218" s="10">
        <f>CHOOSE(CONTROL!$C$42, 8.357, 8.357) * CHOOSE(CONTROL!$C$21, $C$9, 100%, $E$9)</f>
        <v>8.3569999999999993</v>
      </c>
      <c r="C218" s="10">
        <f>CHOOSE(CONTROL!$C$42, 8.362, 8.362) * CHOOSE(CONTROL!$C$21, $C$9, 100%, $E$9)</f>
        <v>8.3620000000000001</v>
      </c>
      <c r="D218" s="10">
        <f>CHOOSE(CONTROL!$C$42, 8.4225, 8.4225) * CHOOSE(CONTROL!$C$21, $C$9, 100%, $E$9)</f>
        <v>8.4224999999999994</v>
      </c>
      <c r="E218" s="10">
        <f>CHOOSE(CONTROL!$C$42, 8.4562, 8.4562) * CHOOSE(CONTROL!$C$21, $C$9, 100%, $E$9)</f>
        <v>8.4562000000000008</v>
      </c>
      <c r="F218" s="10">
        <f>CHOOSE(CONTROL!$C$42, 8.3502, 8.3502)*CHOOSE(CONTROL!$C$21, $C$9, 100%, $E$9)</f>
        <v>8.3501999999999992</v>
      </c>
      <c r="G218" s="10">
        <f>CHOOSE(CONTROL!$C$42, 8.3675, 8.3675)*CHOOSE(CONTROL!$C$21, $C$9, 100%, $E$9)</f>
        <v>8.3674999999999997</v>
      </c>
      <c r="H218" s="10">
        <f>CHOOSE(CONTROL!$C$42, 8.4454, 8.4454) * CHOOSE(CONTROL!$C$21, $C$9, 100%, $E$9)</f>
        <v>8.4453999999999994</v>
      </c>
      <c r="I218" s="10">
        <f>CHOOSE(CONTROL!$C$42, 8.3438, 8.3438)* CHOOSE(CONTROL!$C$21, $C$9, 100%, $E$9)</f>
        <v>8.3437999999999999</v>
      </c>
      <c r="J218" s="10">
        <f>CHOOSE(CONTROL!$C$42, 8.3432, 8.3432)* CHOOSE(CONTROL!$C$21, $C$9, 100%, $E$9)</f>
        <v>8.3431999999999995</v>
      </c>
      <c r="K218" s="54">
        <f>CHOOSE(CONTROL!$C$42, 8.3399, 8.3399) * CHOOSE(CONTROL!$C$21, $C$9, 100%, $E$9)</f>
        <v>8.3399000000000001</v>
      </c>
      <c r="L218" s="10">
        <f>CHOOSE(CONTROL!$C$42, 9.0324, 9.0324) * CHOOSE(CONTROL!$C$21, $C$9, 100%, $E$9)</f>
        <v>9.0324000000000009</v>
      </c>
      <c r="M218" s="10">
        <f>CHOOSE(CONTROL!$C$42, 8.2729, 8.2729) * CHOOSE(CONTROL!$C$21, $C$9, 100%, $E$9)</f>
        <v>8.2728999999999999</v>
      </c>
      <c r="N218" s="10">
        <f>CHOOSE(CONTROL!$C$42, 8.29, 8.29) * CHOOSE(CONTROL!$C$21, $C$9, 100%, $E$9)</f>
        <v>8.2899999999999991</v>
      </c>
      <c r="O218" s="10">
        <f>CHOOSE(CONTROL!$C$42, 8.374, 8.374) * CHOOSE(CONTROL!$C$21, $C$9, 100%, $E$9)</f>
        <v>8.3740000000000006</v>
      </c>
      <c r="P218" s="10">
        <f>CHOOSE(CONTROL!$C$42, 8.2734, 8.2734) * CHOOSE(CONTROL!$C$21, $C$9, 100%, $E$9)</f>
        <v>8.2734000000000005</v>
      </c>
      <c r="Q218" s="10">
        <f>CHOOSE(CONTROL!$C$42, 8.9693, 8.9693) * CHOOSE(CONTROL!$C$21, $C$9, 100%, $E$9)</f>
        <v>8.9693000000000005</v>
      </c>
      <c r="R218" s="10">
        <f>CHOOSE(CONTROL!$C$42, 9.5788, 9.5788) * CHOOSE(CONTROL!$C$21, $C$9, 100%, $E$9)</f>
        <v>9.5787999999999993</v>
      </c>
      <c r="S218" s="10">
        <f>CHOOSE(CONTROL!$C$42, 8.1134, 8.1134) * CHOOSE(CONTROL!$C$21, $C$9, 100%, $E$9)</f>
        <v>8.1134000000000004</v>
      </c>
      <c r="T218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218" s="58">
        <f>(1000*CHOOSE(CONTROL!$C$42, 695, 695)*CHOOSE(CONTROL!$C$42, 0.5599, 0.5599)*CHOOSE(CONTROL!$C$42, 28, 28))/1000000</f>
        <v>10.895653999999999</v>
      </c>
      <c r="V218" s="58">
        <f>(1000*CHOOSE(CONTROL!$C$42, 500, 500)*CHOOSE(CONTROL!$C$42, 0.275, 0.275)*CHOOSE(CONTROL!$C$42, 28, 28))/1000000</f>
        <v>3.85</v>
      </c>
      <c r="W218" s="58">
        <f>(1000*CHOOSE(CONTROL!$C$42, 0.1146, 0.1146)*CHOOSE(CONTROL!$C$42, 121.5, 121.5)*CHOOSE(CONTROL!$C$42, 28, 28))/1000000</f>
        <v>0.38986920000000003</v>
      </c>
      <c r="X218" s="58">
        <f>(28*0.1790888*100000/1000000)+(28*0.2374*100000/1000000)</f>
        <v>1.16616864</v>
      </c>
      <c r="Y218" s="58"/>
      <c r="Z218" s="10"/>
      <c r="AA218" s="57"/>
      <c r="AB218" s="51">
        <f>(B218*122.58+C218*297.941+D218*89.177+E218*40.302+F218*40+G218*160+H218*0+I218*100+J218*300)/(122.58+297.941+89.177+40.302+0+40+160+100+300)</f>
        <v>8.3633276146956526</v>
      </c>
      <c r="AC218" s="27">
        <f>(M218*'RAP TEMPLATE-GAS AVAILABILITY'!O217+N218*'RAP TEMPLATE-GAS AVAILABILITY'!P217+O218*'RAP TEMPLATE-GAS AVAILABILITY'!Q217+P218*'RAP TEMPLATE-GAS AVAILABILITY'!R217)/('RAP TEMPLATE-GAS AVAILABILITY'!O217+'RAP TEMPLATE-GAS AVAILABILITY'!P217+'RAP TEMPLATE-GAS AVAILABILITY'!Q217+'RAP TEMPLATE-GAS AVAILABILITY'!R217)</f>
        <v>8.3197784172661891</v>
      </c>
    </row>
    <row r="219" spans="1:29" ht="15.75" x14ac:dyDescent="0.25">
      <c r="A219" s="16">
        <v>47543</v>
      </c>
      <c r="B219" s="10">
        <f>CHOOSE(CONTROL!$C$42, 8.1198, 8.1198) * CHOOSE(CONTROL!$C$21, $C$9, 100%, $E$9)</f>
        <v>8.1197999999999997</v>
      </c>
      <c r="C219" s="10">
        <f>CHOOSE(CONTROL!$C$42, 8.1248, 8.1248) * CHOOSE(CONTROL!$C$21, $C$9, 100%, $E$9)</f>
        <v>8.1248000000000005</v>
      </c>
      <c r="D219" s="10">
        <f>CHOOSE(CONTROL!$C$42, 8.1853, 8.1853) * CHOOSE(CONTROL!$C$21, $C$9, 100%, $E$9)</f>
        <v>8.1852999999999998</v>
      </c>
      <c r="E219" s="10">
        <f>CHOOSE(CONTROL!$C$42, 8.2191, 8.2191) * CHOOSE(CONTROL!$C$21, $C$9, 100%, $E$9)</f>
        <v>8.2190999999999992</v>
      </c>
      <c r="F219" s="10">
        <f>CHOOSE(CONTROL!$C$42, 8.1076, 8.1076)*CHOOSE(CONTROL!$C$21, $C$9, 100%, $E$9)</f>
        <v>8.1075999999999997</v>
      </c>
      <c r="G219" s="10">
        <f>CHOOSE(CONTROL!$C$42, 8.1248, 8.1248)*CHOOSE(CONTROL!$C$21, $C$9, 100%, $E$9)</f>
        <v>8.1248000000000005</v>
      </c>
      <c r="H219" s="10">
        <f>CHOOSE(CONTROL!$C$42, 8.2083, 8.2083) * CHOOSE(CONTROL!$C$21, $C$9, 100%, $E$9)</f>
        <v>8.2082999999999995</v>
      </c>
      <c r="I219" s="10">
        <f>CHOOSE(CONTROL!$C$42, 8.0937, 8.0937)* CHOOSE(CONTROL!$C$21, $C$9, 100%, $E$9)</f>
        <v>8.0937000000000001</v>
      </c>
      <c r="J219" s="10">
        <f>CHOOSE(CONTROL!$C$42, 8.1006, 8.1006)* CHOOSE(CONTROL!$C$21, $C$9, 100%, $E$9)</f>
        <v>8.1006</v>
      </c>
      <c r="K219" s="54">
        <f>CHOOSE(CONTROL!$C$42, 8.0898, 8.0898) * CHOOSE(CONTROL!$C$21, $C$9, 100%, $E$9)</f>
        <v>8.0898000000000003</v>
      </c>
      <c r="L219" s="10">
        <f>CHOOSE(CONTROL!$C$42, 8.7953, 8.7953) * CHOOSE(CONTROL!$C$21, $C$9, 100%, $E$9)</f>
        <v>8.7952999999999992</v>
      </c>
      <c r="M219" s="10">
        <f>CHOOSE(CONTROL!$C$42, 8.0326, 8.0326) * CHOOSE(CONTROL!$C$21, $C$9, 100%, $E$9)</f>
        <v>8.0326000000000004</v>
      </c>
      <c r="N219" s="10">
        <f>CHOOSE(CONTROL!$C$42, 8.0497, 8.0497) * CHOOSE(CONTROL!$C$21, $C$9, 100%, $E$9)</f>
        <v>8.0496999999999996</v>
      </c>
      <c r="O219" s="10">
        <f>CHOOSE(CONTROL!$C$42, 8.1392, 8.1392) * CHOOSE(CONTROL!$C$21, $C$9, 100%, $E$9)</f>
        <v>8.1392000000000007</v>
      </c>
      <c r="P219" s="10">
        <f>CHOOSE(CONTROL!$C$42, 8.0259, 8.0259) * CHOOSE(CONTROL!$C$21, $C$9, 100%, $E$9)</f>
        <v>8.0259</v>
      </c>
      <c r="Q219" s="10">
        <f>CHOOSE(CONTROL!$C$42, 8.7345, 8.7345) * CHOOSE(CONTROL!$C$21, $C$9, 100%, $E$9)</f>
        <v>8.7345000000000006</v>
      </c>
      <c r="R219" s="10">
        <f>CHOOSE(CONTROL!$C$42, 9.3434, 9.3434) * CHOOSE(CONTROL!$C$21, $C$9, 100%, $E$9)</f>
        <v>9.3434000000000008</v>
      </c>
      <c r="S219" s="10">
        <f>CHOOSE(CONTROL!$C$42, 7.883, 7.883) * CHOOSE(CONTROL!$C$21, $C$9, 100%, $E$9)</f>
        <v>7.883</v>
      </c>
      <c r="T219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219" s="58">
        <f>(1000*CHOOSE(CONTROL!$C$42, 695, 695)*CHOOSE(CONTROL!$C$42, 0.5599, 0.5599)*CHOOSE(CONTROL!$C$42, 31, 31))/1000000</f>
        <v>12.063045499999998</v>
      </c>
      <c r="V219" s="58">
        <f>(1000*CHOOSE(CONTROL!$C$42, 500, 500)*CHOOSE(CONTROL!$C$42, 0.275, 0.275)*CHOOSE(CONTROL!$C$42, 31, 31))/1000000</f>
        <v>4.2625000000000002</v>
      </c>
      <c r="W219" s="58">
        <f>(1000*CHOOSE(CONTROL!$C$42, 0.1146, 0.1146)*CHOOSE(CONTROL!$C$42, 121.5, 121.5)*CHOOSE(CONTROL!$C$42, 31, 31))/1000000</f>
        <v>0.43164089999999994</v>
      </c>
      <c r="X219" s="58">
        <f>(31*0.1790888*100000/1000000)+(31*0.2374*100000/1000000)</f>
        <v>1.2911152800000001</v>
      </c>
      <c r="Y219" s="58"/>
      <c r="Z219" s="10"/>
      <c r="AA219" s="57"/>
      <c r="AB219" s="51">
        <f>(B219*122.58+C219*297.941+D219*89.177+E219*40.302+F219*40+G219*160+H219*0+I219*100+J219*300)/(122.58+297.941+89.177+40.302+0+40+160+100+300)</f>
        <v>8.1226476409565223</v>
      </c>
      <c r="AC219" s="27">
        <f>(M219*'RAP TEMPLATE-GAS AVAILABILITY'!O218+N219*'RAP TEMPLATE-GAS AVAILABILITY'!P218+O219*'RAP TEMPLATE-GAS AVAILABILITY'!Q218+P219*'RAP TEMPLATE-GAS AVAILABILITY'!R218)/('RAP TEMPLATE-GAS AVAILABILITY'!O218+'RAP TEMPLATE-GAS AVAILABILITY'!P218+'RAP TEMPLATE-GAS AVAILABILITY'!Q218+'RAP TEMPLATE-GAS AVAILABILITY'!R218)</f>
        <v>8.0809352517985609</v>
      </c>
    </row>
    <row r="220" spans="1:29" ht="15.75" x14ac:dyDescent="0.25">
      <c r="A220" s="16">
        <v>47574</v>
      </c>
      <c r="B220" s="10">
        <f>CHOOSE(CONTROL!$C$42, 8.0967, 8.0967) * CHOOSE(CONTROL!$C$21, $C$9, 100%, $E$9)</f>
        <v>8.0967000000000002</v>
      </c>
      <c r="C220" s="10">
        <f>CHOOSE(CONTROL!$C$42, 8.1011, 8.1011) * CHOOSE(CONTROL!$C$21, $C$9, 100%, $E$9)</f>
        <v>8.1011000000000006</v>
      </c>
      <c r="D220" s="10">
        <f>CHOOSE(CONTROL!$C$42, 8.2967, 8.2967) * CHOOSE(CONTROL!$C$21, $C$9, 100%, $E$9)</f>
        <v>8.2966999999999995</v>
      </c>
      <c r="E220" s="10">
        <f>CHOOSE(CONTROL!$C$42, 8.3284, 8.3284) * CHOOSE(CONTROL!$C$21, $C$9, 100%, $E$9)</f>
        <v>8.3284000000000002</v>
      </c>
      <c r="F220" s="10">
        <f>CHOOSE(CONTROL!$C$42, 8.0645, 8.0645)*CHOOSE(CONTROL!$C$21, $C$9, 100%, $E$9)</f>
        <v>8.0645000000000007</v>
      </c>
      <c r="G220" s="10">
        <f>CHOOSE(CONTROL!$C$42, 8.0813, 8.0813)*CHOOSE(CONTROL!$C$21, $C$9, 100%, $E$9)</f>
        <v>8.0813000000000006</v>
      </c>
      <c r="H220" s="10">
        <f>CHOOSE(CONTROL!$C$42, 8.3182, 8.3182) * CHOOSE(CONTROL!$C$21, $C$9, 100%, $E$9)</f>
        <v>8.3181999999999992</v>
      </c>
      <c r="I220" s="10">
        <f>CHOOSE(CONTROL!$C$42, 8.0647, 8.0647)* CHOOSE(CONTROL!$C$21, $C$9, 100%, $E$9)</f>
        <v>8.0647000000000002</v>
      </c>
      <c r="J220" s="10">
        <f>CHOOSE(CONTROL!$C$42, 8.0575, 8.0575)* CHOOSE(CONTROL!$C$21, $C$9, 100%, $E$9)</f>
        <v>8.0574999999999992</v>
      </c>
      <c r="K220" s="54">
        <f>CHOOSE(CONTROL!$C$42, 8.0608, 8.0608) * CHOOSE(CONTROL!$C$21, $C$9, 100%, $E$9)</f>
        <v>8.0608000000000004</v>
      </c>
      <c r="L220" s="10">
        <f>CHOOSE(CONTROL!$C$42, 8.9052, 8.9052) * CHOOSE(CONTROL!$C$21, $C$9, 100%, $E$9)</f>
        <v>8.9052000000000007</v>
      </c>
      <c r="M220" s="10">
        <f>CHOOSE(CONTROL!$C$42, 7.99, 7.99) * CHOOSE(CONTROL!$C$21, $C$9, 100%, $E$9)</f>
        <v>7.99</v>
      </c>
      <c r="N220" s="10">
        <f>CHOOSE(CONTROL!$C$42, 8.0066, 8.0066) * CHOOSE(CONTROL!$C$21, $C$9, 100%, $E$9)</f>
        <v>8.0066000000000006</v>
      </c>
      <c r="O220" s="10">
        <f>CHOOSE(CONTROL!$C$42, 8.2481, 8.2481) * CHOOSE(CONTROL!$C$21, $C$9, 100%, $E$9)</f>
        <v>8.2481000000000009</v>
      </c>
      <c r="P220" s="10">
        <f>CHOOSE(CONTROL!$C$42, 7.9971, 7.9971) * CHOOSE(CONTROL!$C$21, $C$9, 100%, $E$9)</f>
        <v>7.9970999999999997</v>
      </c>
      <c r="Q220" s="10">
        <f>CHOOSE(CONTROL!$C$42, 8.8434, 8.8434) * CHOOSE(CONTROL!$C$21, $C$9, 100%, $E$9)</f>
        <v>8.8434000000000008</v>
      </c>
      <c r="R220" s="10">
        <f>CHOOSE(CONTROL!$C$42, 9.4525, 9.4525) * CHOOSE(CONTROL!$C$21, $C$9, 100%, $E$9)</f>
        <v>9.4525000000000006</v>
      </c>
      <c r="S220" s="10">
        <f>CHOOSE(CONTROL!$C$42, 7.8598, 7.8598) * CHOOSE(CONTROL!$C$21, $C$9, 100%, $E$9)</f>
        <v>7.8597999999999999</v>
      </c>
      <c r="T220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220" s="58">
        <f>(1000*CHOOSE(CONTROL!$C$42, 695, 695)*CHOOSE(CONTROL!$C$42, 0.5599, 0.5599)*CHOOSE(CONTROL!$C$42, 30, 30))/1000000</f>
        <v>11.673914999999997</v>
      </c>
      <c r="V220" s="58">
        <f>(1000*CHOOSE(CONTROL!$C$42, 500, 500)*CHOOSE(CONTROL!$C$42, 0.275, 0.275)*CHOOSE(CONTROL!$C$42, 30, 30))/1000000</f>
        <v>4.125</v>
      </c>
      <c r="W220" s="58">
        <f>(1000*CHOOSE(CONTROL!$C$42, 0.1146, 0.1146)*CHOOSE(CONTROL!$C$42, 121.5, 121.5)*CHOOSE(CONTROL!$C$42, 30, 30))/1000000</f>
        <v>0.417717</v>
      </c>
      <c r="X220" s="58">
        <f>(30*0.1790888*245000/1000000)+(30*0.2374*100000/1000000)</f>
        <v>2.0285026799999999</v>
      </c>
      <c r="Y220" s="58"/>
      <c r="Z220" s="10"/>
      <c r="AA220" s="57"/>
      <c r="AB220" s="51">
        <f>(B220*141.293+C220*267.993+D220*115.016+E220*89.698+F220*40+G220*185+H220*0+I220*100+J220*300)/(141.293+267.993+115.016+89.698+0+40+185+100+300)</f>
        <v>8.1175784469733649</v>
      </c>
      <c r="AC220" s="27">
        <f>(M220*'RAP TEMPLATE-GAS AVAILABILITY'!O219+N220*'RAP TEMPLATE-GAS AVAILABILITY'!P219+O220*'RAP TEMPLATE-GAS AVAILABILITY'!Q219+P220*'RAP TEMPLATE-GAS AVAILABILITY'!R219)/('RAP TEMPLATE-GAS AVAILABILITY'!O219+'RAP TEMPLATE-GAS AVAILABILITY'!P219+'RAP TEMPLATE-GAS AVAILABILITY'!Q219+'RAP TEMPLATE-GAS AVAILABILITY'!R219)</f>
        <v>8.0672597122302161</v>
      </c>
    </row>
    <row r="221" spans="1:29" ht="15.75" x14ac:dyDescent="0.25">
      <c r="A221" s="16">
        <v>47604</v>
      </c>
      <c r="B221" s="10">
        <f>CHOOSE(CONTROL!$C$42, 8.1695, 8.1695) * CHOOSE(CONTROL!$C$21, $C$9, 100%, $E$9)</f>
        <v>8.1694999999999993</v>
      </c>
      <c r="C221" s="10">
        <f>CHOOSE(CONTROL!$C$42, 8.1774, 8.1774) * CHOOSE(CONTROL!$C$21, $C$9, 100%, $E$9)</f>
        <v>8.1774000000000004</v>
      </c>
      <c r="D221" s="10">
        <f>CHOOSE(CONTROL!$C$42, 8.3699, 8.3699) * CHOOSE(CONTROL!$C$21, $C$9, 100%, $E$9)</f>
        <v>8.3698999999999995</v>
      </c>
      <c r="E221" s="10">
        <f>CHOOSE(CONTROL!$C$42, 8.401, 8.401) * CHOOSE(CONTROL!$C$21, $C$9, 100%, $E$9)</f>
        <v>8.4009999999999998</v>
      </c>
      <c r="F221" s="10">
        <f>CHOOSE(CONTROL!$C$42, 8.1358, 8.1358)*CHOOSE(CONTROL!$C$21, $C$9, 100%, $E$9)</f>
        <v>8.1357999999999997</v>
      </c>
      <c r="G221" s="10">
        <f>CHOOSE(CONTROL!$C$42, 8.1529, 8.1529)*CHOOSE(CONTROL!$C$21, $C$9, 100%, $E$9)</f>
        <v>8.1529000000000007</v>
      </c>
      <c r="H221" s="10">
        <f>CHOOSE(CONTROL!$C$42, 8.3896, 8.3896) * CHOOSE(CONTROL!$C$21, $C$9, 100%, $E$9)</f>
        <v>8.3895999999999997</v>
      </c>
      <c r="I221" s="10">
        <f>CHOOSE(CONTROL!$C$42, 8.1361, 8.1361)* CHOOSE(CONTROL!$C$21, $C$9, 100%, $E$9)</f>
        <v>8.1361000000000008</v>
      </c>
      <c r="J221" s="10">
        <f>CHOOSE(CONTROL!$C$42, 8.1288, 8.1288)* CHOOSE(CONTROL!$C$21, $C$9, 100%, $E$9)</f>
        <v>8.1288</v>
      </c>
      <c r="K221" s="54">
        <f>CHOOSE(CONTROL!$C$42, 8.1322, 8.1322) * CHOOSE(CONTROL!$C$21, $C$9, 100%, $E$9)</f>
        <v>8.1321999999999992</v>
      </c>
      <c r="L221" s="10">
        <f>CHOOSE(CONTROL!$C$42, 8.9766, 8.9766) * CHOOSE(CONTROL!$C$21, $C$9, 100%, $E$9)</f>
        <v>8.9765999999999995</v>
      </c>
      <c r="M221" s="10">
        <f>CHOOSE(CONTROL!$C$42, 8.0606, 8.0606) * CHOOSE(CONTROL!$C$21, $C$9, 100%, $E$9)</f>
        <v>8.0606000000000009</v>
      </c>
      <c r="N221" s="10">
        <f>CHOOSE(CONTROL!$C$42, 8.0775, 8.0775) * CHOOSE(CONTROL!$C$21, $C$9, 100%, $E$9)</f>
        <v>8.0775000000000006</v>
      </c>
      <c r="O221" s="10">
        <f>CHOOSE(CONTROL!$C$42, 8.3188, 8.3188) * CHOOSE(CONTROL!$C$21, $C$9, 100%, $E$9)</f>
        <v>8.3187999999999995</v>
      </c>
      <c r="P221" s="10">
        <f>CHOOSE(CONTROL!$C$42, 8.0678, 8.0678) * CHOOSE(CONTROL!$C$21, $C$9, 100%, $E$9)</f>
        <v>8.0678000000000001</v>
      </c>
      <c r="Q221" s="10">
        <f>CHOOSE(CONTROL!$C$42, 8.9141, 8.9141) * CHOOSE(CONTROL!$C$21, $C$9, 100%, $E$9)</f>
        <v>8.9140999999999995</v>
      </c>
      <c r="R221" s="10">
        <f>CHOOSE(CONTROL!$C$42, 9.5234, 9.5234) * CHOOSE(CONTROL!$C$21, $C$9, 100%, $E$9)</f>
        <v>9.5234000000000005</v>
      </c>
      <c r="S221" s="10">
        <f>CHOOSE(CONTROL!$C$42, 7.9292, 7.9292) * CHOOSE(CONTROL!$C$21, $C$9, 100%, $E$9)</f>
        <v>7.9291999999999998</v>
      </c>
      <c r="T221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221" s="58">
        <f>(1000*CHOOSE(CONTROL!$C$42, 695, 695)*CHOOSE(CONTROL!$C$42, 0.5599, 0.5599)*CHOOSE(CONTROL!$C$42, 31, 31))/1000000</f>
        <v>12.063045499999998</v>
      </c>
      <c r="V221" s="58">
        <f>(1000*CHOOSE(CONTROL!$C$42, 500, 500)*CHOOSE(CONTROL!$C$42, 0.275, 0.275)*CHOOSE(CONTROL!$C$42, 31, 31))/1000000</f>
        <v>4.2625000000000002</v>
      </c>
      <c r="W221" s="58">
        <f>(1000*CHOOSE(CONTROL!$C$42, 0.1146, 0.1146)*CHOOSE(CONTROL!$C$42, 121.5, 121.5)*CHOOSE(CONTROL!$C$42, 31, 31))/1000000</f>
        <v>0.43164089999999994</v>
      </c>
      <c r="X221" s="58">
        <f>(31*0.1790888*245000/1000000)+(31*0.2374*100000/1000000)</f>
        <v>2.0961194359999999</v>
      </c>
      <c r="Y221" s="58"/>
      <c r="Z221" s="10"/>
      <c r="AA221" s="57"/>
      <c r="AB221" s="51">
        <f>(B221*194.205+C221*267.466+D221*133.845+E221*53.484+F221*40+G221*185+H221*0+I221*100+J221*300)/(194.205+267.466+133.845+53.484+0+40+185+100+300)</f>
        <v>8.1862567232339085</v>
      </c>
      <c r="AC221" s="27">
        <f>(M221*'RAP TEMPLATE-GAS AVAILABILITY'!O220+N221*'RAP TEMPLATE-GAS AVAILABILITY'!P220+O221*'RAP TEMPLATE-GAS AVAILABILITY'!Q220+P221*'RAP TEMPLATE-GAS AVAILABILITY'!R220)/('RAP TEMPLATE-GAS AVAILABILITY'!O220+'RAP TEMPLATE-GAS AVAILABILITY'!P220+'RAP TEMPLATE-GAS AVAILABILITY'!Q220+'RAP TEMPLATE-GAS AVAILABILITY'!R220)</f>
        <v>8.1379712230215837</v>
      </c>
    </row>
    <row r="222" spans="1:29" ht="15.75" x14ac:dyDescent="0.25">
      <c r="A222" s="16">
        <v>47635</v>
      </c>
      <c r="B222" s="10">
        <f>CHOOSE(CONTROL!$C$42, 8.4011, 8.4011) * CHOOSE(CONTROL!$C$21, $C$9, 100%, $E$9)</f>
        <v>8.4010999999999996</v>
      </c>
      <c r="C222" s="10">
        <f>CHOOSE(CONTROL!$C$42, 8.409, 8.409) * CHOOSE(CONTROL!$C$21, $C$9, 100%, $E$9)</f>
        <v>8.4090000000000007</v>
      </c>
      <c r="D222" s="10">
        <f>CHOOSE(CONTROL!$C$42, 8.6015, 8.6015) * CHOOSE(CONTROL!$C$21, $C$9, 100%, $E$9)</f>
        <v>8.6014999999999997</v>
      </c>
      <c r="E222" s="10">
        <f>CHOOSE(CONTROL!$C$42, 8.6326, 8.6326) * CHOOSE(CONTROL!$C$21, $C$9, 100%, $E$9)</f>
        <v>8.6326000000000001</v>
      </c>
      <c r="F222" s="10">
        <f>CHOOSE(CONTROL!$C$42, 8.3676, 8.3676)*CHOOSE(CONTROL!$C$21, $C$9, 100%, $E$9)</f>
        <v>8.3675999999999995</v>
      </c>
      <c r="G222" s="10">
        <f>CHOOSE(CONTROL!$C$42, 8.3848, 8.3848)*CHOOSE(CONTROL!$C$21, $C$9, 100%, $E$9)</f>
        <v>8.3848000000000003</v>
      </c>
      <c r="H222" s="10">
        <f>CHOOSE(CONTROL!$C$42, 8.6212, 8.6212) * CHOOSE(CONTROL!$C$21, $C$9, 100%, $E$9)</f>
        <v>8.6212</v>
      </c>
      <c r="I222" s="10">
        <f>CHOOSE(CONTROL!$C$42, 8.3677, 8.3677)* CHOOSE(CONTROL!$C$21, $C$9, 100%, $E$9)</f>
        <v>8.3676999999999992</v>
      </c>
      <c r="J222" s="10">
        <f>CHOOSE(CONTROL!$C$42, 8.3606, 8.3606)* CHOOSE(CONTROL!$C$21, $C$9, 100%, $E$9)</f>
        <v>8.3605999999999998</v>
      </c>
      <c r="K222" s="54">
        <f>CHOOSE(CONTROL!$C$42, 8.3638, 8.3638) * CHOOSE(CONTROL!$C$21, $C$9, 100%, $E$9)</f>
        <v>8.3637999999999995</v>
      </c>
      <c r="L222" s="10">
        <f>CHOOSE(CONTROL!$C$42, 9.2082, 9.2082) * CHOOSE(CONTROL!$C$21, $C$9, 100%, $E$9)</f>
        <v>9.2081999999999997</v>
      </c>
      <c r="M222" s="10">
        <f>CHOOSE(CONTROL!$C$42, 8.29, 8.29) * CHOOSE(CONTROL!$C$21, $C$9, 100%, $E$9)</f>
        <v>8.2899999999999991</v>
      </c>
      <c r="N222" s="10">
        <f>CHOOSE(CONTROL!$C$42, 8.3071, 8.3071) * CHOOSE(CONTROL!$C$21, $C$9, 100%, $E$9)</f>
        <v>8.3071000000000002</v>
      </c>
      <c r="O222" s="10">
        <f>CHOOSE(CONTROL!$C$42, 8.548, 8.548) * CHOOSE(CONTROL!$C$21, $C$9, 100%, $E$9)</f>
        <v>8.548</v>
      </c>
      <c r="P222" s="10">
        <f>CHOOSE(CONTROL!$C$42, 8.2971, 8.2971) * CHOOSE(CONTROL!$C$21, $C$9, 100%, $E$9)</f>
        <v>8.2971000000000004</v>
      </c>
      <c r="Q222" s="10">
        <f>CHOOSE(CONTROL!$C$42, 9.1433, 9.1433) * CHOOSE(CONTROL!$C$21, $C$9, 100%, $E$9)</f>
        <v>9.1433</v>
      </c>
      <c r="R222" s="10">
        <f>CHOOSE(CONTROL!$C$42, 9.7532, 9.7532) * CHOOSE(CONTROL!$C$21, $C$9, 100%, $E$9)</f>
        <v>9.7531999999999996</v>
      </c>
      <c r="S222" s="10">
        <f>CHOOSE(CONTROL!$C$42, 8.1541, 8.1541) * CHOOSE(CONTROL!$C$21, $C$9, 100%, $E$9)</f>
        <v>8.1540999999999997</v>
      </c>
      <c r="T222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222" s="58">
        <f>(1000*CHOOSE(CONTROL!$C$42, 695, 695)*CHOOSE(CONTROL!$C$42, 0.5599, 0.5599)*CHOOSE(CONTROL!$C$42, 30, 30))/1000000</f>
        <v>11.673914999999997</v>
      </c>
      <c r="V222" s="58">
        <f>(1000*CHOOSE(CONTROL!$C$42, 500, 500)*CHOOSE(CONTROL!$C$42, 0.275, 0.275)*CHOOSE(CONTROL!$C$42, 30, 30))/1000000</f>
        <v>4.125</v>
      </c>
      <c r="W222" s="58">
        <f>(1000*CHOOSE(CONTROL!$C$42, 0.1146, 0.1146)*CHOOSE(CONTROL!$C$42, 121.5, 121.5)*CHOOSE(CONTROL!$C$42, 30, 30))/1000000</f>
        <v>0.417717</v>
      </c>
      <c r="X222" s="58">
        <f>(30*0.1790888*245000/1000000)+(30*0.2374*100000/1000000)</f>
        <v>2.0285026799999999</v>
      </c>
      <c r="Y222" s="58"/>
      <c r="Z222" s="10"/>
      <c r="AA222" s="57"/>
      <c r="AB222" s="51">
        <f>(B222*194.205+C222*267.466+D222*133.845+E222*53.484+F222*40+G222*185+H222*0+I222*100+J222*300)/(194.205+267.466+133.845+53.484+0+40+185+100+300)</f>
        <v>8.4179536620094186</v>
      </c>
      <c r="AC222" s="27">
        <f>(M222*'RAP TEMPLATE-GAS AVAILABILITY'!O221+N222*'RAP TEMPLATE-GAS AVAILABILITY'!P221+O222*'RAP TEMPLATE-GAS AVAILABILITY'!Q221+P222*'RAP TEMPLATE-GAS AVAILABILITY'!R221)/('RAP TEMPLATE-GAS AVAILABILITY'!O221+'RAP TEMPLATE-GAS AVAILABILITY'!P221+'RAP TEMPLATE-GAS AVAILABILITY'!Q221+'RAP TEMPLATE-GAS AVAILABILITY'!R221)</f>
        <v>8.3673467625899267</v>
      </c>
    </row>
    <row r="223" spans="1:29" ht="15.75" x14ac:dyDescent="0.25">
      <c r="A223" s="16">
        <v>47665</v>
      </c>
      <c r="B223" s="10">
        <f>CHOOSE(CONTROL!$C$42, 8.24, 8.24) * CHOOSE(CONTROL!$C$21, $C$9, 100%, $E$9)</f>
        <v>8.24</v>
      </c>
      <c r="C223" s="10">
        <f>CHOOSE(CONTROL!$C$42, 8.248, 8.248) * CHOOSE(CONTROL!$C$21, $C$9, 100%, $E$9)</f>
        <v>8.2479999999999993</v>
      </c>
      <c r="D223" s="10">
        <f>CHOOSE(CONTROL!$C$42, 8.4404, 8.4404) * CHOOSE(CONTROL!$C$21, $C$9, 100%, $E$9)</f>
        <v>8.4404000000000003</v>
      </c>
      <c r="E223" s="10">
        <f>CHOOSE(CONTROL!$C$42, 8.4715, 8.4715) * CHOOSE(CONTROL!$C$21, $C$9, 100%, $E$9)</f>
        <v>8.4715000000000007</v>
      </c>
      <c r="F223" s="10">
        <f>CHOOSE(CONTROL!$C$42, 8.2069, 8.2069)*CHOOSE(CONTROL!$C$21, $C$9, 100%, $E$9)</f>
        <v>8.2068999999999992</v>
      </c>
      <c r="G223" s="10">
        <f>CHOOSE(CONTROL!$C$42, 8.2242, 8.2242)*CHOOSE(CONTROL!$C$21, $C$9, 100%, $E$9)</f>
        <v>8.2241999999999997</v>
      </c>
      <c r="H223" s="10">
        <f>CHOOSE(CONTROL!$C$42, 8.4602, 8.4602) * CHOOSE(CONTROL!$C$21, $C$9, 100%, $E$9)</f>
        <v>8.4602000000000004</v>
      </c>
      <c r="I223" s="10">
        <f>CHOOSE(CONTROL!$C$42, 8.2066, 8.2066)* CHOOSE(CONTROL!$C$21, $C$9, 100%, $E$9)</f>
        <v>8.2065999999999999</v>
      </c>
      <c r="J223" s="10">
        <f>CHOOSE(CONTROL!$C$42, 8.1999, 8.1999)* CHOOSE(CONTROL!$C$21, $C$9, 100%, $E$9)</f>
        <v>8.1998999999999995</v>
      </c>
      <c r="K223" s="54">
        <f>CHOOSE(CONTROL!$C$42, 8.2027, 8.2027) * CHOOSE(CONTROL!$C$21, $C$9, 100%, $E$9)</f>
        <v>8.2027000000000001</v>
      </c>
      <c r="L223" s="10">
        <f>CHOOSE(CONTROL!$C$42, 9.0472, 9.0472) * CHOOSE(CONTROL!$C$21, $C$9, 100%, $E$9)</f>
        <v>9.0472000000000001</v>
      </c>
      <c r="M223" s="10">
        <f>CHOOSE(CONTROL!$C$42, 8.131, 8.131) * CHOOSE(CONTROL!$C$21, $C$9, 100%, $E$9)</f>
        <v>8.1310000000000002</v>
      </c>
      <c r="N223" s="10">
        <f>CHOOSE(CONTROL!$C$42, 8.1481, 8.1481) * CHOOSE(CONTROL!$C$21, $C$9, 100%, $E$9)</f>
        <v>8.1480999999999995</v>
      </c>
      <c r="O223" s="10">
        <f>CHOOSE(CONTROL!$C$42, 8.3886, 8.3886) * CHOOSE(CONTROL!$C$21, $C$9, 100%, $E$9)</f>
        <v>8.3886000000000003</v>
      </c>
      <c r="P223" s="10">
        <f>CHOOSE(CONTROL!$C$42, 8.1377, 8.1377) * CHOOSE(CONTROL!$C$21, $C$9, 100%, $E$9)</f>
        <v>8.1377000000000006</v>
      </c>
      <c r="Q223" s="10">
        <f>CHOOSE(CONTROL!$C$42, 8.9839, 8.9839) * CHOOSE(CONTROL!$C$21, $C$9, 100%, $E$9)</f>
        <v>8.9839000000000002</v>
      </c>
      <c r="R223" s="10">
        <f>CHOOSE(CONTROL!$C$42, 9.5934, 9.5934) * CHOOSE(CONTROL!$C$21, $C$9, 100%, $E$9)</f>
        <v>9.5934000000000008</v>
      </c>
      <c r="S223" s="10">
        <f>CHOOSE(CONTROL!$C$42, 7.9976, 7.9976) * CHOOSE(CONTROL!$C$21, $C$9, 100%, $E$9)</f>
        <v>7.9976000000000003</v>
      </c>
      <c r="T223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223" s="58">
        <f>(1000*CHOOSE(CONTROL!$C$42, 695, 695)*CHOOSE(CONTROL!$C$42, 0.5599, 0.5599)*CHOOSE(CONTROL!$C$42, 31, 31))/1000000</f>
        <v>12.063045499999998</v>
      </c>
      <c r="V223" s="58">
        <f>(1000*CHOOSE(CONTROL!$C$42, 500, 500)*CHOOSE(CONTROL!$C$42, 0.275, 0.275)*CHOOSE(CONTROL!$C$42, 31, 31))/1000000</f>
        <v>4.2625000000000002</v>
      </c>
      <c r="W223" s="58">
        <f>(1000*CHOOSE(CONTROL!$C$42, 0.1146, 0.1146)*CHOOSE(CONTROL!$C$42, 121.5, 121.5)*CHOOSE(CONTROL!$C$42, 31, 31))/1000000</f>
        <v>0.43164089999999994</v>
      </c>
      <c r="X223" s="58">
        <f>(31*0.1790888*245000/1000000)+(31*0.2374*100000/1000000)</f>
        <v>2.0961194359999999</v>
      </c>
      <c r="Y223" s="58"/>
      <c r="Z223" s="10"/>
      <c r="AA223" s="57"/>
      <c r="AB223" s="51">
        <f>(B223*194.205+C223*267.466+D223*133.845+E223*53.484+F223*40+G223*185+H223*0+I223*100+J223*300)/(194.205+267.466+133.845+53.484+0+40+185+100+300)</f>
        <v>8.2570540125588696</v>
      </c>
      <c r="AC223" s="27">
        <f>(M223*'RAP TEMPLATE-GAS AVAILABILITY'!O222+N223*'RAP TEMPLATE-GAS AVAILABILITY'!P222+O223*'RAP TEMPLATE-GAS AVAILABILITY'!Q222+P223*'RAP TEMPLATE-GAS AVAILABILITY'!R222)/('RAP TEMPLATE-GAS AVAILABILITY'!O222+'RAP TEMPLATE-GAS AVAILABILITY'!P222+'RAP TEMPLATE-GAS AVAILABILITY'!Q222+'RAP TEMPLATE-GAS AVAILABILITY'!R222)</f>
        <v>8.2081769784172671</v>
      </c>
    </row>
    <row r="224" spans="1:29" ht="15.75" x14ac:dyDescent="0.25">
      <c r="A224" s="16">
        <v>47696</v>
      </c>
      <c r="B224" s="10">
        <f>CHOOSE(CONTROL!$C$42, 7.8333, 7.8333) * CHOOSE(CONTROL!$C$21, $C$9, 100%, $E$9)</f>
        <v>7.8333000000000004</v>
      </c>
      <c r="C224" s="10">
        <f>CHOOSE(CONTROL!$C$42, 7.8412, 7.8412) * CHOOSE(CONTROL!$C$21, $C$9, 100%, $E$9)</f>
        <v>7.8411999999999997</v>
      </c>
      <c r="D224" s="10">
        <f>CHOOSE(CONTROL!$C$42, 8.0336, 8.0336) * CHOOSE(CONTROL!$C$21, $C$9, 100%, $E$9)</f>
        <v>8.0335999999999999</v>
      </c>
      <c r="E224" s="10">
        <f>CHOOSE(CONTROL!$C$42, 8.0648, 8.0648) * CHOOSE(CONTROL!$C$21, $C$9, 100%, $E$9)</f>
        <v>8.0648</v>
      </c>
      <c r="F224" s="10">
        <f>CHOOSE(CONTROL!$C$42, 7.8004, 7.8004)*CHOOSE(CONTROL!$C$21, $C$9, 100%, $E$9)</f>
        <v>7.8003999999999998</v>
      </c>
      <c r="G224" s="10">
        <f>CHOOSE(CONTROL!$C$42, 7.8177, 7.8177)*CHOOSE(CONTROL!$C$21, $C$9, 100%, $E$9)</f>
        <v>7.8177000000000003</v>
      </c>
      <c r="H224" s="10">
        <f>CHOOSE(CONTROL!$C$42, 8.0534, 8.0534) * CHOOSE(CONTROL!$C$21, $C$9, 100%, $E$9)</f>
        <v>8.0533999999999999</v>
      </c>
      <c r="I224" s="10">
        <f>CHOOSE(CONTROL!$C$42, 7.7999, 7.7999)* CHOOSE(CONTROL!$C$21, $C$9, 100%, $E$9)</f>
        <v>7.7999000000000001</v>
      </c>
      <c r="J224" s="10">
        <f>CHOOSE(CONTROL!$C$42, 7.7934, 7.7934)* CHOOSE(CONTROL!$C$21, $C$9, 100%, $E$9)</f>
        <v>7.7934000000000001</v>
      </c>
      <c r="K224" s="54">
        <f>CHOOSE(CONTROL!$C$42, 7.796, 7.796) * CHOOSE(CONTROL!$C$21, $C$9, 100%, $E$9)</f>
        <v>7.7960000000000003</v>
      </c>
      <c r="L224" s="10">
        <f>CHOOSE(CONTROL!$C$42, 8.6404, 8.6404) * CHOOSE(CONTROL!$C$21, $C$9, 100%, $E$9)</f>
        <v>8.6403999999999996</v>
      </c>
      <c r="M224" s="10">
        <f>CHOOSE(CONTROL!$C$42, 7.7285, 7.7285) * CHOOSE(CONTROL!$C$21, $C$9, 100%, $E$9)</f>
        <v>7.7285000000000004</v>
      </c>
      <c r="N224" s="10">
        <f>CHOOSE(CONTROL!$C$42, 7.7457, 7.7457) * CHOOSE(CONTROL!$C$21, $C$9, 100%, $E$9)</f>
        <v>7.7457000000000003</v>
      </c>
      <c r="O224" s="10">
        <f>CHOOSE(CONTROL!$C$42, 7.986, 7.986) * CHOOSE(CONTROL!$C$21, $C$9, 100%, $E$9)</f>
        <v>7.9859999999999998</v>
      </c>
      <c r="P224" s="10">
        <f>CHOOSE(CONTROL!$C$42, 7.735, 7.735) * CHOOSE(CONTROL!$C$21, $C$9, 100%, $E$9)</f>
        <v>7.7350000000000003</v>
      </c>
      <c r="Q224" s="10">
        <f>CHOOSE(CONTROL!$C$42, 8.5813, 8.5813) * CHOOSE(CONTROL!$C$21, $C$9, 100%, $E$9)</f>
        <v>8.5813000000000006</v>
      </c>
      <c r="R224" s="10">
        <f>CHOOSE(CONTROL!$C$42, 9.1897, 9.1897) * CHOOSE(CONTROL!$C$21, $C$9, 100%, $E$9)</f>
        <v>9.1897000000000002</v>
      </c>
      <c r="S224" s="10">
        <f>CHOOSE(CONTROL!$C$42, 7.6027, 7.6027) * CHOOSE(CONTROL!$C$21, $C$9, 100%, $E$9)</f>
        <v>7.6026999999999996</v>
      </c>
      <c r="T224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224" s="58">
        <f>(1000*CHOOSE(CONTROL!$C$42, 695, 695)*CHOOSE(CONTROL!$C$42, 0.5599, 0.5599)*CHOOSE(CONTROL!$C$42, 31, 31))/1000000</f>
        <v>12.063045499999998</v>
      </c>
      <c r="V224" s="58">
        <f>(1000*CHOOSE(CONTROL!$C$42, 500, 500)*CHOOSE(CONTROL!$C$42, 0.275, 0.275)*CHOOSE(CONTROL!$C$42, 31, 31))/1000000</f>
        <v>4.2625000000000002</v>
      </c>
      <c r="W224" s="58">
        <f>(1000*CHOOSE(CONTROL!$C$42, 0.1146, 0.1146)*CHOOSE(CONTROL!$C$42, 121.5, 121.5)*CHOOSE(CONTROL!$C$42, 31, 31))/1000000</f>
        <v>0.43164089999999994</v>
      </c>
      <c r="X224" s="58">
        <f>(31*0.1790888*245000/1000000)+(31*0.2374*100000/1000000)</f>
        <v>2.0961194359999999</v>
      </c>
      <c r="Y224" s="58"/>
      <c r="Z224" s="10"/>
      <c r="AA224" s="57"/>
      <c r="AB224" s="51">
        <f>(B224*194.205+C224*267.466+D224*133.845+E224*53.484+F224*40+G224*185+H224*0+I224*100+J224*300)/(194.205+267.466+133.845+53.484+0+40+185+100+300)</f>
        <v>7.8504049300627941</v>
      </c>
      <c r="AC224" s="27">
        <f>(M224*'RAP TEMPLATE-GAS AVAILABILITY'!O223+N224*'RAP TEMPLATE-GAS AVAILABILITY'!P223+O224*'RAP TEMPLATE-GAS AVAILABILITY'!Q223+P224*'RAP TEMPLATE-GAS AVAILABILITY'!R223)/('RAP TEMPLATE-GAS AVAILABILITY'!O223+'RAP TEMPLATE-GAS AVAILABILITY'!P223+'RAP TEMPLATE-GAS AVAILABILITY'!Q223+'RAP TEMPLATE-GAS AVAILABILITY'!R223)</f>
        <v>7.8056431654676262</v>
      </c>
    </row>
    <row r="225" spans="1:29" ht="15.75" x14ac:dyDescent="0.25">
      <c r="A225" s="16">
        <v>47727</v>
      </c>
      <c r="B225" s="10">
        <f>CHOOSE(CONTROL!$C$42, 7.3359, 7.3359) * CHOOSE(CONTROL!$C$21, $C$9, 100%, $E$9)</f>
        <v>7.3358999999999996</v>
      </c>
      <c r="C225" s="10">
        <f>CHOOSE(CONTROL!$C$42, 7.3439, 7.3439) * CHOOSE(CONTROL!$C$21, $C$9, 100%, $E$9)</f>
        <v>7.3438999999999997</v>
      </c>
      <c r="D225" s="10">
        <f>CHOOSE(CONTROL!$C$42, 7.5363, 7.5363) * CHOOSE(CONTROL!$C$21, $C$9, 100%, $E$9)</f>
        <v>7.5362999999999998</v>
      </c>
      <c r="E225" s="10">
        <f>CHOOSE(CONTROL!$C$42, 7.5674, 7.5674) * CHOOSE(CONTROL!$C$21, $C$9, 100%, $E$9)</f>
        <v>7.5674000000000001</v>
      </c>
      <c r="F225" s="10">
        <f>CHOOSE(CONTROL!$C$42, 7.3028, 7.3028)*CHOOSE(CONTROL!$C$21, $C$9, 100%, $E$9)</f>
        <v>7.3028000000000004</v>
      </c>
      <c r="G225" s="10">
        <f>CHOOSE(CONTROL!$C$42, 7.3201, 7.3201)*CHOOSE(CONTROL!$C$21, $C$9, 100%, $E$9)</f>
        <v>7.3201000000000001</v>
      </c>
      <c r="H225" s="10">
        <f>CHOOSE(CONTROL!$C$42, 7.5561, 7.5561) * CHOOSE(CONTROL!$C$21, $C$9, 100%, $E$9)</f>
        <v>7.5560999999999998</v>
      </c>
      <c r="I225" s="10">
        <f>CHOOSE(CONTROL!$C$42, 7.3025, 7.3025)* CHOOSE(CONTROL!$C$21, $C$9, 100%, $E$9)</f>
        <v>7.3025000000000002</v>
      </c>
      <c r="J225" s="10">
        <f>CHOOSE(CONTROL!$C$42, 7.2958, 7.2958)* CHOOSE(CONTROL!$C$21, $C$9, 100%, $E$9)</f>
        <v>7.2957999999999998</v>
      </c>
      <c r="K225" s="54">
        <f>CHOOSE(CONTROL!$C$42, 7.2986, 7.2986) * CHOOSE(CONTROL!$C$21, $C$9, 100%, $E$9)</f>
        <v>7.2986000000000004</v>
      </c>
      <c r="L225" s="10">
        <f>CHOOSE(CONTROL!$C$42, 8.1431, 8.1431) * CHOOSE(CONTROL!$C$21, $C$9, 100%, $E$9)</f>
        <v>8.1431000000000004</v>
      </c>
      <c r="M225" s="10">
        <f>CHOOSE(CONTROL!$C$42, 7.236, 7.236) * CHOOSE(CONTROL!$C$21, $C$9, 100%, $E$9)</f>
        <v>7.2359999999999998</v>
      </c>
      <c r="N225" s="10">
        <f>CHOOSE(CONTROL!$C$42, 7.2532, 7.2532) * CHOOSE(CONTROL!$C$21, $C$9, 100%, $E$9)</f>
        <v>7.2531999999999996</v>
      </c>
      <c r="O225" s="10">
        <f>CHOOSE(CONTROL!$C$42, 7.4936, 7.4936) * CHOOSE(CONTROL!$C$21, $C$9, 100%, $E$9)</f>
        <v>7.4935999999999998</v>
      </c>
      <c r="P225" s="10">
        <f>CHOOSE(CONTROL!$C$42, 7.2427, 7.2427) * CHOOSE(CONTROL!$C$21, $C$9, 100%, $E$9)</f>
        <v>7.2427000000000001</v>
      </c>
      <c r="Q225" s="10">
        <f>CHOOSE(CONTROL!$C$42, 8.0889, 8.0889) * CHOOSE(CONTROL!$C$21, $C$9, 100%, $E$9)</f>
        <v>8.0889000000000006</v>
      </c>
      <c r="R225" s="10">
        <f>CHOOSE(CONTROL!$C$42, 8.6962, 8.6962) * CHOOSE(CONTROL!$C$21, $C$9, 100%, $E$9)</f>
        <v>8.6961999999999993</v>
      </c>
      <c r="S225" s="10">
        <f>CHOOSE(CONTROL!$C$42, 7.1197, 7.1197) * CHOOSE(CONTROL!$C$21, $C$9, 100%, $E$9)</f>
        <v>7.1196999999999999</v>
      </c>
      <c r="T225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225" s="58">
        <f>(1000*CHOOSE(CONTROL!$C$42, 695, 695)*CHOOSE(CONTROL!$C$42, 0.5599, 0.5599)*CHOOSE(CONTROL!$C$42, 30, 30))/1000000</f>
        <v>11.673914999999997</v>
      </c>
      <c r="V225" s="58">
        <f>(1000*CHOOSE(CONTROL!$C$42, 500, 500)*CHOOSE(CONTROL!$C$42, 0.275, 0.275)*CHOOSE(CONTROL!$C$42, 30, 30))/1000000</f>
        <v>4.125</v>
      </c>
      <c r="W225" s="58">
        <f>(1000*CHOOSE(CONTROL!$C$42, 0.1146, 0.1146)*CHOOSE(CONTROL!$C$42, 121.5, 121.5)*CHOOSE(CONTROL!$C$42, 30, 30))/1000000</f>
        <v>0.417717</v>
      </c>
      <c r="X225" s="58">
        <f>(30*0.1790888*245000/1000000)+(30*0.2374*100000/1000000)</f>
        <v>2.0285026799999999</v>
      </c>
      <c r="Y225" s="58"/>
      <c r="Z225" s="10"/>
      <c r="AA225" s="57"/>
      <c r="AB225" s="51">
        <f>(B225*194.205+C225*267.466+D225*133.845+E225*53.484+F225*40+G225*185+H225*0+I225*100+J225*300)/(194.205+267.466+133.845+53.484+0+40+185+100+300)</f>
        <v>7.3529540125588699</v>
      </c>
      <c r="AC225" s="27">
        <f>(M225*'RAP TEMPLATE-GAS AVAILABILITY'!O224+N225*'RAP TEMPLATE-GAS AVAILABILITY'!P224+O225*'RAP TEMPLATE-GAS AVAILABILITY'!Q224+P225*'RAP TEMPLATE-GAS AVAILABILITY'!R224)/('RAP TEMPLATE-GAS AVAILABILITY'!O224+'RAP TEMPLATE-GAS AVAILABILITY'!P224+'RAP TEMPLATE-GAS AVAILABILITY'!Q224+'RAP TEMPLATE-GAS AVAILABILITY'!R224)</f>
        <v>7.313200000000001</v>
      </c>
    </row>
    <row r="226" spans="1:29" ht="15.75" x14ac:dyDescent="0.25">
      <c r="A226" s="16">
        <v>47757</v>
      </c>
      <c r="B226" s="10">
        <f>CHOOSE(CONTROL!$C$42, 7.1853, 7.1853) * CHOOSE(CONTROL!$C$21, $C$9, 100%, $E$9)</f>
        <v>7.1852999999999998</v>
      </c>
      <c r="C226" s="10">
        <f>CHOOSE(CONTROL!$C$42, 7.1905, 7.1905) * CHOOSE(CONTROL!$C$21, $C$9, 100%, $E$9)</f>
        <v>7.1905000000000001</v>
      </c>
      <c r="D226" s="10">
        <f>CHOOSE(CONTROL!$C$42, 7.3879, 7.3879) * CHOOSE(CONTROL!$C$21, $C$9, 100%, $E$9)</f>
        <v>7.3879000000000001</v>
      </c>
      <c r="E226" s="10">
        <f>CHOOSE(CONTROL!$C$42, 7.4167, 7.4167) * CHOOSE(CONTROL!$C$21, $C$9, 100%, $E$9)</f>
        <v>7.4166999999999996</v>
      </c>
      <c r="F226" s="10">
        <f>CHOOSE(CONTROL!$C$42, 7.1542, 7.1542)*CHOOSE(CONTROL!$C$21, $C$9, 100%, $E$9)</f>
        <v>7.1542000000000003</v>
      </c>
      <c r="G226" s="10">
        <f>CHOOSE(CONTROL!$C$42, 7.1712, 7.1712)*CHOOSE(CONTROL!$C$21, $C$9, 100%, $E$9)</f>
        <v>7.1711999999999998</v>
      </c>
      <c r="H226" s="10">
        <f>CHOOSE(CONTROL!$C$42, 7.4072, 7.4072) * CHOOSE(CONTROL!$C$21, $C$9, 100%, $E$9)</f>
        <v>7.4071999999999996</v>
      </c>
      <c r="I226" s="10">
        <f>CHOOSE(CONTROL!$C$42, 7.1537, 7.1537)* CHOOSE(CONTROL!$C$21, $C$9, 100%, $E$9)</f>
        <v>7.1536999999999997</v>
      </c>
      <c r="J226" s="10">
        <f>CHOOSE(CONTROL!$C$42, 7.1472, 7.1472)* CHOOSE(CONTROL!$C$21, $C$9, 100%, $E$9)</f>
        <v>7.1471999999999998</v>
      </c>
      <c r="K226" s="54">
        <f>CHOOSE(CONTROL!$C$42, 7.1498, 7.1498) * CHOOSE(CONTROL!$C$21, $C$9, 100%, $E$9)</f>
        <v>7.1497999999999999</v>
      </c>
      <c r="L226" s="10">
        <f>CHOOSE(CONTROL!$C$42, 7.9942, 7.9942) * CHOOSE(CONTROL!$C$21, $C$9, 100%, $E$9)</f>
        <v>7.9942000000000002</v>
      </c>
      <c r="M226" s="10">
        <f>CHOOSE(CONTROL!$C$42, 7.0889, 7.0889) * CHOOSE(CONTROL!$C$21, $C$9, 100%, $E$9)</f>
        <v>7.0888999999999998</v>
      </c>
      <c r="N226" s="10">
        <f>CHOOSE(CONTROL!$C$42, 7.1057, 7.1057) * CHOOSE(CONTROL!$C$21, $C$9, 100%, $E$9)</f>
        <v>7.1056999999999997</v>
      </c>
      <c r="O226" s="10">
        <f>CHOOSE(CONTROL!$C$42, 7.3463, 7.3463) * CHOOSE(CONTROL!$C$21, $C$9, 100%, $E$9)</f>
        <v>7.3463000000000003</v>
      </c>
      <c r="P226" s="10">
        <f>CHOOSE(CONTROL!$C$42, 7.0953, 7.0953) * CHOOSE(CONTROL!$C$21, $C$9, 100%, $E$9)</f>
        <v>7.0952999999999999</v>
      </c>
      <c r="Q226" s="10">
        <f>CHOOSE(CONTROL!$C$42, 7.9416, 7.9416) * CHOOSE(CONTROL!$C$21, $C$9, 100%, $E$9)</f>
        <v>7.9416000000000002</v>
      </c>
      <c r="R226" s="10">
        <f>CHOOSE(CONTROL!$C$42, 8.5484, 8.5484) * CHOOSE(CONTROL!$C$21, $C$9, 100%, $E$9)</f>
        <v>8.5484000000000009</v>
      </c>
      <c r="S226" s="10">
        <f>CHOOSE(CONTROL!$C$42, 6.9751, 6.9751) * CHOOSE(CONTROL!$C$21, $C$9, 100%, $E$9)</f>
        <v>6.9751000000000003</v>
      </c>
      <c r="T226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226" s="58">
        <f>(1000*CHOOSE(CONTROL!$C$42, 695, 695)*CHOOSE(CONTROL!$C$42, 0.5599, 0.5599)*CHOOSE(CONTROL!$C$42, 31, 31))/1000000</f>
        <v>12.063045499999998</v>
      </c>
      <c r="V226" s="58">
        <f>(1000*CHOOSE(CONTROL!$C$42, 500, 500)*CHOOSE(CONTROL!$C$42, 0.275, 0.275)*CHOOSE(CONTROL!$C$42, 31, 31))/1000000</f>
        <v>4.2625000000000002</v>
      </c>
      <c r="W226" s="58">
        <f>(1000*CHOOSE(CONTROL!$C$42, 0.1146, 0.1146)*CHOOSE(CONTROL!$C$42, 121.5, 121.5)*CHOOSE(CONTROL!$C$42, 31, 31))/1000000</f>
        <v>0.43164089999999994</v>
      </c>
      <c r="X226" s="58">
        <f>(31*0.1790888*245000/1000000)+(31*0.2374*100000/1000000)</f>
        <v>2.0961194359999999</v>
      </c>
      <c r="Y226" s="58"/>
      <c r="Z226" s="10"/>
      <c r="AA226" s="57"/>
      <c r="AB226" s="51">
        <f>(B226*131.881+C226*277.167+D226*79.08+E226*125.872+F226*40+G226*185+H226*0+I226*100+J226*300)/(131.881+277.167+79.08+125.872+0+40+185+100+300)</f>
        <v>7.2080176410008079</v>
      </c>
      <c r="AC226" s="27">
        <f>(M226*'RAP TEMPLATE-GAS AVAILABILITY'!O225+N226*'RAP TEMPLATE-GAS AVAILABILITY'!P225+O226*'RAP TEMPLATE-GAS AVAILABILITY'!Q225+P226*'RAP TEMPLATE-GAS AVAILABILITY'!R225)/('RAP TEMPLATE-GAS AVAILABILITY'!O225+'RAP TEMPLATE-GAS AVAILABILITY'!P225+'RAP TEMPLATE-GAS AVAILABILITY'!Q225+'RAP TEMPLATE-GAS AVAILABILITY'!R225)</f>
        <v>7.1659086330935251</v>
      </c>
    </row>
    <row r="227" spans="1:29" ht="15.75" x14ac:dyDescent="0.25">
      <c r="A227" s="16">
        <v>47788</v>
      </c>
      <c r="B227" s="10">
        <f>CHOOSE(CONTROL!$C$42, 7.3741, 7.3741) * CHOOSE(CONTROL!$C$21, $C$9, 100%, $E$9)</f>
        <v>7.3741000000000003</v>
      </c>
      <c r="C227" s="10">
        <f>CHOOSE(CONTROL!$C$42, 7.3791, 7.3791) * CHOOSE(CONTROL!$C$21, $C$9, 100%, $E$9)</f>
        <v>7.3791000000000002</v>
      </c>
      <c r="D227" s="10">
        <f>CHOOSE(CONTROL!$C$42, 7.4087, 7.4087) * CHOOSE(CONTROL!$C$21, $C$9, 100%, $E$9)</f>
        <v>7.4086999999999996</v>
      </c>
      <c r="E227" s="10">
        <f>CHOOSE(CONTROL!$C$42, 7.4425, 7.4425) * CHOOSE(CONTROL!$C$21, $C$9, 100%, $E$9)</f>
        <v>7.4424999999999999</v>
      </c>
      <c r="F227" s="10">
        <f>CHOOSE(CONTROL!$C$42, 7.3409, 7.3409)*CHOOSE(CONTROL!$C$21, $C$9, 100%, $E$9)</f>
        <v>7.3409000000000004</v>
      </c>
      <c r="G227" s="10">
        <f>CHOOSE(CONTROL!$C$42, 7.358, 7.358)*CHOOSE(CONTROL!$C$21, $C$9, 100%, $E$9)</f>
        <v>7.3579999999999997</v>
      </c>
      <c r="H227" s="10">
        <f>CHOOSE(CONTROL!$C$42, 7.4317, 7.4317) * CHOOSE(CONTROL!$C$21, $C$9, 100%, $E$9)</f>
        <v>7.4317000000000002</v>
      </c>
      <c r="I227" s="10">
        <f>CHOOSE(CONTROL!$C$42, 7.3377, 7.3377)* CHOOSE(CONTROL!$C$21, $C$9, 100%, $E$9)</f>
        <v>7.3376999999999999</v>
      </c>
      <c r="J227" s="10">
        <f>CHOOSE(CONTROL!$C$42, 7.3339, 7.3339)* CHOOSE(CONTROL!$C$21, $C$9, 100%, $E$9)</f>
        <v>7.3338999999999999</v>
      </c>
      <c r="K227" s="54">
        <f>CHOOSE(CONTROL!$C$42, 7.3338, 7.3338) * CHOOSE(CONTROL!$C$21, $C$9, 100%, $E$9)</f>
        <v>7.3338000000000001</v>
      </c>
      <c r="L227" s="10">
        <f>CHOOSE(CONTROL!$C$42, 8.0187, 8.0187) * CHOOSE(CONTROL!$C$21, $C$9, 100%, $E$9)</f>
        <v>8.0187000000000008</v>
      </c>
      <c r="M227" s="10">
        <f>CHOOSE(CONTROL!$C$42, 7.2737, 7.2737) * CHOOSE(CONTROL!$C$21, $C$9, 100%, $E$9)</f>
        <v>7.2736999999999998</v>
      </c>
      <c r="N227" s="10">
        <f>CHOOSE(CONTROL!$C$42, 7.2907, 7.2907) * CHOOSE(CONTROL!$C$21, $C$9, 100%, $E$9)</f>
        <v>7.2907000000000002</v>
      </c>
      <c r="O227" s="10">
        <f>CHOOSE(CONTROL!$C$42, 7.3705, 7.3705) * CHOOSE(CONTROL!$C$21, $C$9, 100%, $E$9)</f>
        <v>7.3704999999999998</v>
      </c>
      <c r="P227" s="10">
        <f>CHOOSE(CONTROL!$C$42, 7.2775, 7.2775) * CHOOSE(CONTROL!$C$21, $C$9, 100%, $E$9)</f>
        <v>7.2774999999999999</v>
      </c>
      <c r="Q227" s="10">
        <f>CHOOSE(CONTROL!$C$42, 7.9658, 7.9658) * CHOOSE(CONTROL!$C$21, $C$9, 100%, $E$9)</f>
        <v>7.9657999999999998</v>
      </c>
      <c r="R227" s="10">
        <f>CHOOSE(CONTROL!$C$42, 8.5727, 8.5727) * CHOOSE(CONTROL!$C$21, $C$9, 100%, $E$9)</f>
        <v>8.5726999999999993</v>
      </c>
      <c r="S227" s="10">
        <f>CHOOSE(CONTROL!$C$42, 7.1589, 7.1589) * CHOOSE(CONTROL!$C$21, $C$9, 100%, $E$9)</f>
        <v>7.1589</v>
      </c>
      <c r="T227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227" s="58">
        <f>(1000*CHOOSE(CONTROL!$C$42, 695, 695)*CHOOSE(CONTROL!$C$42, 0.5599, 0.5599)*CHOOSE(CONTROL!$C$42, 30, 30))/1000000</f>
        <v>11.673914999999997</v>
      </c>
      <c r="V227" s="58">
        <f>(1000*CHOOSE(CONTROL!$C$42, 500, 500)*CHOOSE(CONTROL!$C$42, 0.275, 0.275)*CHOOSE(CONTROL!$C$42, 30, 30))/1000000</f>
        <v>4.125</v>
      </c>
      <c r="W227" s="58">
        <f>(1000*CHOOSE(CONTROL!$C$42, 0.1146, 0.1146)*CHOOSE(CONTROL!$C$42, 121.5, 121.5)*CHOOSE(CONTROL!$C$42, 30, 30))/1000000</f>
        <v>0.417717</v>
      </c>
      <c r="X227" s="58">
        <f>(30*0.1790888*100000/1000000)+(30*0.2374*100000/1000000)</f>
        <v>1.2494664</v>
      </c>
      <c r="Y227" s="58"/>
      <c r="Z227" s="10"/>
      <c r="AA227" s="57"/>
      <c r="AB227" s="51">
        <f>(B227*122.58+C227*297.941+D227*89.177+E227*40.302+F227*40+G227*160+H227*0+I227*100+J227*300)/(122.58+297.941+89.177+40.302+0+40+160+100+300)</f>
        <v>7.3634285965217394</v>
      </c>
      <c r="AC227" s="27">
        <f>(M227*'RAP TEMPLATE-GAS AVAILABILITY'!O226+N227*'RAP TEMPLATE-GAS AVAILABILITY'!P226+O227*'RAP TEMPLATE-GAS AVAILABILITY'!Q226+P227*'RAP TEMPLATE-GAS AVAILABILITY'!R226)/('RAP TEMPLATE-GAS AVAILABILITY'!O226+'RAP TEMPLATE-GAS AVAILABILITY'!P226+'RAP TEMPLATE-GAS AVAILABILITY'!Q226+'RAP TEMPLATE-GAS AVAILABILITY'!R226)</f>
        <v>7.3190985611510779</v>
      </c>
    </row>
    <row r="228" spans="1:29" ht="15.75" x14ac:dyDescent="0.25">
      <c r="A228" s="16">
        <v>47818</v>
      </c>
      <c r="B228" s="10">
        <f>CHOOSE(CONTROL!$C$42, 7.8767, 7.8767) * CHOOSE(CONTROL!$C$21, $C$9, 100%, $E$9)</f>
        <v>7.8766999999999996</v>
      </c>
      <c r="C228" s="10">
        <f>CHOOSE(CONTROL!$C$42, 7.8816, 7.8816) * CHOOSE(CONTROL!$C$21, $C$9, 100%, $E$9)</f>
        <v>7.8815999999999997</v>
      </c>
      <c r="D228" s="10">
        <f>CHOOSE(CONTROL!$C$42, 7.9112, 7.9112) * CHOOSE(CONTROL!$C$21, $C$9, 100%, $E$9)</f>
        <v>7.9112</v>
      </c>
      <c r="E228" s="10">
        <f>CHOOSE(CONTROL!$C$42, 7.945, 7.945) * CHOOSE(CONTROL!$C$21, $C$9, 100%, $E$9)</f>
        <v>7.9450000000000003</v>
      </c>
      <c r="F228" s="10">
        <f>CHOOSE(CONTROL!$C$42, 7.8449, 7.8449)*CHOOSE(CONTROL!$C$21, $C$9, 100%, $E$9)</f>
        <v>7.8449</v>
      </c>
      <c r="G228" s="10">
        <f>CHOOSE(CONTROL!$C$42, 7.8624, 7.8624)*CHOOSE(CONTROL!$C$21, $C$9, 100%, $E$9)</f>
        <v>7.8624000000000001</v>
      </c>
      <c r="H228" s="10">
        <f>CHOOSE(CONTROL!$C$42, 7.9342, 7.9342) * CHOOSE(CONTROL!$C$21, $C$9, 100%, $E$9)</f>
        <v>7.9341999999999997</v>
      </c>
      <c r="I228" s="10">
        <f>CHOOSE(CONTROL!$C$42, 7.8403, 7.8403)* CHOOSE(CONTROL!$C$21, $C$9, 100%, $E$9)</f>
        <v>7.8403</v>
      </c>
      <c r="J228" s="10">
        <f>CHOOSE(CONTROL!$C$42, 7.8379, 7.8379)* CHOOSE(CONTROL!$C$21, $C$9, 100%, $E$9)</f>
        <v>7.8379000000000003</v>
      </c>
      <c r="K228" s="54">
        <f>CHOOSE(CONTROL!$C$42, 7.8364, 7.8364) * CHOOSE(CONTROL!$C$21, $C$9, 100%, $E$9)</f>
        <v>7.8364000000000003</v>
      </c>
      <c r="L228" s="10">
        <f>CHOOSE(CONTROL!$C$42, 8.5212, 8.5212) * CHOOSE(CONTROL!$C$21, $C$9, 100%, $E$9)</f>
        <v>8.5212000000000003</v>
      </c>
      <c r="M228" s="10">
        <f>CHOOSE(CONTROL!$C$42, 7.7726, 7.7726) * CHOOSE(CONTROL!$C$21, $C$9, 100%, $E$9)</f>
        <v>7.7725999999999997</v>
      </c>
      <c r="N228" s="10">
        <f>CHOOSE(CONTROL!$C$42, 7.7899, 7.7899) * CHOOSE(CONTROL!$C$21, $C$9, 100%, $E$9)</f>
        <v>7.7899000000000003</v>
      </c>
      <c r="O228" s="10">
        <f>CHOOSE(CONTROL!$C$42, 7.868, 7.868) * CHOOSE(CONTROL!$C$21, $C$9, 100%, $E$9)</f>
        <v>7.8680000000000003</v>
      </c>
      <c r="P228" s="10">
        <f>CHOOSE(CONTROL!$C$42, 7.775, 7.775) * CHOOSE(CONTROL!$C$21, $C$9, 100%, $E$9)</f>
        <v>7.7750000000000004</v>
      </c>
      <c r="Q228" s="10">
        <f>CHOOSE(CONTROL!$C$42, 8.4633, 8.4633) * CHOOSE(CONTROL!$C$21, $C$9, 100%, $E$9)</f>
        <v>8.4633000000000003</v>
      </c>
      <c r="R228" s="10">
        <f>CHOOSE(CONTROL!$C$42, 9.0714, 9.0714) * CHOOSE(CONTROL!$C$21, $C$9, 100%, $E$9)</f>
        <v>9.0714000000000006</v>
      </c>
      <c r="S228" s="10">
        <f>CHOOSE(CONTROL!$C$42, 7.6469, 7.6469) * CHOOSE(CONTROL!$C$21, $C$9, 100%, $E$9)</f>
        <v>7.6468999999999996</v>
      </c>
      <c r="T228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228" s="58">
        <f>(1000*CHOOSE(CONTROL!$C$42, 695, 695)*CHOOSE(CONTROL!$C$42, 0.5599, 0.5599)*CHOOSE(CONTROL!$C$42, 31, 31))/1000000</f>
        <v>12.063045499999998</v>
      </c>
      <c r="V228" s="58">
        <f>(1000*CHOOSE(CONTROL!$C$42, 500, 500)*CHOOSE(CONTROL!$C$42, 0.275, 0.275)*CHOOSE(CONTROL!$C$42, 31, 31))/1000000</f>
        <v>4.2625000000000002</v>
      </c>
      <c r="W228" s="58">
        <f>(1000*CHOOSE(CONTROL!$C$42, 0.1146, 0.1146)*CHOOSE(CONTROL!$C$42, 121.5, 121.5)*CHOOSE(CONTROL!$C$42, 31, 31))/1000000</f>
        <v>0.43164089999999994</v>
      </c>
      <c r="X228" s="58">
        <f>(31*0.1790888*100000/1000000)+(31*0.2374*100000/1000000)</f>
        <v>1.2911152800000001</v>
      </c>
      <c r="Y228" s="58"/>
      <c r="Z228" s="10"/>
      <c r="AA228" s="57"/>
      <c r="AB228" s="51">
        <f>(B228*122.58+C228*297.941+D228*89.177+E228*40.302+F228*40+G228*160+H228*0+I228*100+J228*300)/(122.58+297.941+89.177+40.302+0+40+160+100+300)</f>
        <v>7.8666557773913048</v>
      </c>
      <c r="AC228" s="27">
        <f>(M228*'RAP TEMPLATE-GAS AVAILABILITY'!O227+N228*'RAP TEMPLATE-GAS AVAILABILITY'!P227+O228*'RAP TEMPLATE-GAS AVAILABILITY'!Q227+P228*'RAP TEMPLATE-GAS AVAILABILITY'!R227)/('RAP TEMPLATE-GAS AVAILABILITY'!O227+'RAP TEMPLATE-GAS AVAILABILITY'!P227+'RAP TEMPLATE-GAS AVAILABILITY'!Q227+'RAP TEMPLATE-GAS AVAILABILITY'!R227)</f>
        <v>7.8171798561151089</v>
      </c>
    </row>
    <row r="229" spans="1:29" ht="15.75" x14ac:dyDescent="0.25">
      <c r="A229" s="16">
        <v>47849</v>
      </c>
      <c r="B229" s="10">
        <f>CHOOSE(CONTROL!$C$42, 8.5218, 8.5218) * CHOOSE(CONTROL!$C$21, $C$9, 100%, $E$9)</f>
        <v>8.5218000000000007</v>
      </c>
      <c r="C229" s="10">
        <f>CHOOSE(CONTROL!$C$42, 8.5268, 8.5268) * CHOOSE(CONTROL!$C$21, $C$9, 100%, $E$9)</f>
        <v>8.5267999999999997</v>
      </c>
      <c r="D229" s="10">
        <f>CHOOSE(CONTROL!$C$42, 8.577, 8.577) * CHOOSE(CONTROL!$C$21, $C$9, 100%, $E$9)</f>
        <v>8.577</v>
      </c>
      <c r="E229" s="10">
        <f>CHOOSE(CONTROL!$C$42, 8.6108, 8.6108) * CHOOSE(CONTROL!$C$21, $C$9, 100%, $E$9)</f>
        <v>8.6107999999999993</v>
      </c>
      <c r="F229" s="10">
        <f>CHOOSE(CONTROL!$C$42, 8.4872, 8.4872)*CHOOSE(CONTROL!$C$21, $C$9, 100%, $E$9)</f>
        <v>8.4871999999999996</v>
      </c>
      <c r="G229" s="10">
        <f>CHOOSE(CONTROL!$C$42, 8.5047, 8.5047)*CHOOSE(CONTROL!$C$21, $C$9, 100%, $E$9)</f>
        <v>8.5046999999999997</v>
      </c>
      <c r="H229" s="10">
        <f>CHOOSE(CONTROL!$C$42, 8.6, 8.6) * CHOOSE(CONTROL!$C$21, $C$9, 100%, $E$9)</f>
        <v>8.6</v>
      </c>
      <c r="I229" s="10">
        <f>CHOOSE(CONTROL!$C$42, 8.4957, 8.4957)* CHOOSE(CONTROL!$C$21, $C$9, 100%, $E$9)</f>
        <v>8.4956999999999994</v>
      </c>
      <c r="J229" s="10">
        <f>CHOOSE(CONTROL!$C$42, 8.4802, 8.4802)* CHOOSE(CONTROL!$C$21, $C$9, 100%, $E$9)</f>
        <v>8.4802</v>
      </c>
      <c r="K229" s="54">
        <f>CHOOSE(CONTROL!$C$42, 8.4918, 8.4918) * CHOOSE(CONTROL!$C$21, $C$9, 100%, $E$9)</f>
        <v>8.4917999999999996</v>
      </c>
      <c r="L229" s="10">
        <f>CHOOSE(CONTROL!$C$42, 9.187, 9.187) * CHOOSE(CONTROL!$C$21, $C$9, 100%, $E$9)</f>
        <v>9.1869999999999994</v>
      </c>
      <c r="M229" s="10">
        <f>CHOOSE(CONTROL!$C$42, 8.4084, 8.4084) * CHOOSE(CONTROL!$C$21, $C$9, 100%, $E$9)</f>
        <v>8.4084000000000003</v>
      </c>
      <c r="N229" s="10">
        <f>CHOOSE(CONTROL!$C$42, 8.4258, 8.4258) * CHOOSE(CONTROL!$C$21, $C$9, 100%, $E$9)</f>
        <v>8.4258000000000006</v>
      </c>
      <c r="O229" s="10">
        <f>CHOOSE(CONTROL!$C$42, 8.527, 8.527) * CHOOSE(CONTROL!$C$21, $C$9, 100%, $E$9)</f>
        <v>8.5269999999999992</v>
      </c>
      <c r="P229" s="10">
        <f>CHOOSE(CONTROL!$C$42, 8.4238, 8.4238) * CHOOSE(CONTROL!$C$21, $C$9, 100%, $E$9)</f>
        <v>8.4238</v>
      </c>
      <c r="Q229" s="10">
        <f>CHOOSE(CONTROL!$C$42, 9.1223, 9.1223) * CHOOSE(CONTROL!$C$21, $C$9, 100%, $E$9)</f>
        <v>9.1222999999999992</v>
      </c>
      <c r="R229" s="10">
        <f>CHOOSE(CONTROL!$C$42, 9.7321, 9.7321) * CHOOSE(CONTROL!$C$21, $C$9, 100%, $E$9)</f>
        <v>9.7321000000000009</v>
      </c>
      <c r="S229" s="10">
        <f>CHOOSE(CONTROL!$C$42, 8.2734, 8.2734) * CHOOSE(CONTROL!$C$21, $C$9, 100%, $E$9)</f>
        <v>8.2734000000000005</v>
      </c>
      <c r="T229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229" s="58">
        <f>(1000*CHOOSE(CONTROL!$C$42, 695, 695)*CHOOSE(CONTROL!$C$42, 0.5599, 0.5599)*CHOOSE(CONTROL!$C$42, 31, 31))/1000000</f>
        <v>12.063045499999998</v>
      </c>
      <c r="V229" s="58">
        <f>(1000*CHOOSE(CONTROL!$C$42, 500, 500)*CHOOSE(CONTROL!$C$42, 0.275, 0.275)*CHOOSE(CONTROL!$C$42, 31, 31))/1000000</f>
        <v>4.2625000000000002</v>
      </c>
      <c r="W229" s="58">
        <f>(1000*CHOOSE(CONTROL!$C$42, 0.1146, 0.1146)*CHOOSE(CONTROL!$C$42, 121.5, 121.5)*CHOOSE(CONTROL!$C$42, 31, 31))/1000000</f>
        <v>0.43164089999999994</v>
      </c>
      <c r="X229" s="58">
        <f>(31*0.1790888*100000/1000000)+(31*0.2374*100000/1000000)</f>
        <v>1.2911152800000001</v>
      </c>
      <c r="Y229" s="58"/>
      <c r="Z229" s="10"/>
      <c r="AA229" s="57"/>
      <c r="AB229" s="51">
        <f>(B229*122.58+C229*297.941+D229*89.177+E229*40.302+F229*40+G229*160+H229*0+I229*100+J229*300)/(122.58+297.941+89.177+40.302+0+40+160+100+300)</f>
        <v>8.5137905681739117</v>
      </c>
      <c r="AC229" s="27">
        <f>(M229*'RAP TEMPLATE-GAS AVAILABILITY'!O228+N229*'RAP TEMPLATE-GAS AVAILABILITY'!P228+O229*'RAP TEMPLATE-GAS AVAILABILITY'!Q228+P229*'RAP TEMPLATE-GAS AVAILABILITY'!R228)/('RAP TEMPLATE-GAS AVAILABILITY'!O228+'RAP TEMPLATE-GAS AVAILABILITY'!P228+'RAP TEMPLATE-GAS AVAILABILITY'!Q228+'RAP TEMPLATE-GAS AVAILABILITY'!R228)</f>
        <v>8.4653712230215827</v>
      </c>
    </row>
    <row r="230" spans="1:29" ht="15.75" x14ac:dyDescent="0.25">
      <c r="A230" s="16">
        <v>47880</v>
      </c>
      <c r="B230" s="10">
        <f>CHOOSE(CONTROL!$C$42, 8.6735, 8.6735) * CHOOSE(CONTROL!$C$21, $C$9, 100%, $E$9)</f>
        <v>8.6735000000000007</v>
      </c>
      <c r="C230" s="10">
        <f>CHOOSE(CONTROL!$C$42, 8.6784, 8.6784) * CHOOSE(CONTROL!$C$21, $C$9, 100%, $E$9)</f>
        <v>8.6783999999999999</v>
      </c>
      <c r="D230" s="10">
        <f>CHOOSE(CONTROL!$C$42, 8.7389, 8.7389) * CHOOSE(CONTROL!$C$21, $C$9, 100%, $E$9)</f>
        <v>8.7388999999999992</v>
      </c>
      <c r="E230" s="10">
        <f>CHOOSE(CONTROL!$C$42, 8.7727, 8.7727) * CHOOSE(CONTROL!$C$21, $C$9, 100%, $E$9)</f>
        <v>8.7727000000000004</v>
      </c>
      <c r="F230" s="10">
        <f>CHOOSE(CONTROL!$C$42, 8.6667, 8.6667)*CHOOSE(CONTROL!$C$21, $C$9, 100%, $E$9)</f>
        <v>8.6667000000000005</v>
      </c>
      <c r="G230" s="10">
        <f>CHOOSE(CONTROL!$C$42, 8.684, 8.684)*CHOOSE(CONTROL!$C$21, $C$9, 100%, $E$9)</f>
        <v>8.6839999999999993</v>
      </c>
      <c r="H230" s="10">
        <f>CHOOSE(CONTROL!$C$42, 8.7619, 8.7619) * CHOOSE(CONTROL!$C$21, $C$9, 100%, $E$9)</f>
        <v>8.7619000000000007</v>
      </c>
      <c r="I230" s="10">
        <f>CHOOSE(CONTROL!$C$42, 8.6602, 8.6602)* CHOOSE(CONTROL!$C$21, $C$9, 100%, $E$9)</f>
        <v>8.6601999999999997</v>
      </c>
      <c r="J230" s="10">
        <f>CHOOSE(CONTROL!$C$42, 8.6597, 8.6597)* CHOOSE(CONTROL!$C$21, $C$9, 100%, $E$9)</f>
        <v>8.6597000000000008</v>
      </c>
      <c r="K230" s="54">
        <f>CHOOSE(CONTROL!$C$42, 8.6563, 8.6563) * CHOOSE(CONTROL!$C$21, $C$9, 100%, $E$9)</f>
        <v>8.6562999999999999</v>
      </c>
      <c r="L230" s="10">
        <f>CHOOSE(CONTROL!$C$42, 9.3489, 9.3489) * CHOOSE(CONTROL!$C$21, $C$9, 100%, $E$9)</f>
        <v>9.3489000000000004</v>
      </c>
      <c r="M230" s="10">
        <f>CHOOSE(CONTROL!$C$42, 8.5861, 8.5861) * CHOOSE(CONTROL!$C$21, $C$9, 100%, $E$9)</f>
        <v>8.5861000000000001</v>
      </c>
      <c r="N230" s="10">
        <f>CHOOSE(CONTROL!$C$42, 8.6033, 8.6033) * CHOOSE(CONTROL!$C$21, $C$9, 100%, $E$9)</f>
        <v>8.6033000000000008</v>
      </c>
      <c r="O230" s="10">
        <f>CHOOSE(CONTROL!$C$42, 8.6873, 8.6873) * CHOOSE(CONTROL!$C$21, $C$9, 100%, $E$9)</f>
        <v>8.6873000000000005</v>
      </c>
      <c r="P230" s="10">
        <f>CHOOSE(CONTROL!$C$42, 8.5867, 8.5867) * CHOOSE(CONTROL!$C$21, $C$9, 100%, $E$9)</f>
        <v>8.5867000000000004</v>
      </c>
      <c r="Q230" s="10">
        <f>CHOOSE(CONTROL!$C$42, 9.2826, 9.2826) * CHOOSE(CONTROL!$C$21, $C$9, 100%, $E$9)</f>
        <v>9.2826000000000004</v>
      </c>
      <c r="R230" s="10">
        <f>CHOOSE(CONTROL!$C$42, 9.8928, 9.8928) * CHOOSE(CONTROL!$C$21, $C$9, 100%, $E$9)</f>
        <v>9.8927999999999994</v>
      </c>
      <c r="S230" s="10">
        <f>CHOOSE(CONTROL!$C$42, 8.4207, 8.4207) * CHOOSE(CONTROL!$C$21, $C$9, 100%, $E$9)</f>
        <v>8.4207000000000001</v>
      </c>
      <c r="T230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230" s="58">
        <f>(1000*CHOOSE(CONTROL!$C$42, 695, 695)*CHOOSE(CONTROL!$C$42, 0.5599, 0.5599)*CHOOSE(CONTROL!$C$42, 28, 28))/1000000</f>
        <v>10.895653999999999</v>
      </c>
      <c r="V230" s="58">
        <f>(1000*CHOOSE(CONTROL!$C$42, 500, 500)*CHOOSE(CONTROL!$C$42, 0.275, 0.275)*CHOOSE(CONTROL!$C$42, 28, 28))/1000000</f>
        <v>3.85</v>
      </c>
      <c r="W230" s="58">
        <f>(1000*CHOOSE(CONTROL!$C$42, 0.1146, 0.1146)*CHOOSE(CONTROL!$C$42, 121.5, 121.5)*CHOOSE(CONTROL!$C$42, 28, 28))/1000000</f>
        <v>0.38986920000000003</v>
      </c>
      <c r="X230" s="58">
        <f>(28*0.1790888*100000/1000000)+(28*0.2374*100000/1000000)</f>
        <v>1.16616864</v>
      </c>
      <c r="Y230" s="58"/>
      <c r="Z230" s="10"/>
      <c r="AA230" s="57"/>
      <c r="AB230" s="51">
        <f>(B230*122.58+C230*297.941+D230*89.177+E230*40.302+F230*40+G230*160+H230*0+I230*100+J230*300)/(122.58+297.941+89.177+40.302+0+40+160+100+300)</f>
        <v>8.6797852566086959</v>
      </c>
      <c r="AC230" s="27">
        <f>(M230*'RAP TEMPLATE-GAS AVAILABILITY'!O229+N230*'RAP TEMPLATE-GAS AVAILABILITY'!P229+O230*'RAP TEMPLATE-GAS AVAILABILITY'!Q229+P230*'RAP TEMPLATE-GAS AVAILABILITY'!R229)/('RAP TEMPLATE-GAS AVAILABILITY'!O229+'RAP TEMPLATE-GAS AVAILABILITY'!P229+'RAP TEMPLATE-GAS AVAILABILITY'!Q229+'RAP TEMPLATE-GAS AVAILABILITY'!R229)</f>
        <v>8.6330438848920874</v>
      </c>
    </row>
    <row r="231" spans="1:29" ht="15.75" x14ac:dyDescent="0.25">
      <c r="A231" s="16">
        <v>47908</v>
      </c>
      <c r="B231" s="10">
        <f>CHOOSE(CONTROL!$C$42, 8.4273, 8.4273) * CHOOSE(CONTROL!$C$21, $C$9, 100%, $E$9)</f>
        <v>8.4273000000000007</v>
      </c>
      <c r="C231" s="10">
        <f>CHOOSE(CONTROL!$C$42, 8.4323, 8.4323) * CHOOSE(CONTROL!$C$21, $C$9, 100%, $E$9)</f>
        <v>8.4322999999999997</v>
      </c>
      <c r="D231" s="10">
        <f>CHOOSE(CONTROL!$C$42, 8.4928, 8.4928) * CHOOSE(CONTROL!$C$21, $C$9, 100%, $E$9)</f>
        <v>8.4928000000000008</v>
      </c>
      <c r="E231" s="10">
        <f>CHOOSE(CONTROL!$C$42, 8.5265, 8.5265) * CHOOSE(CONTROL!$C$21, $C$9, 100%, $E$9)</f>
        <v>8.5265000000000004</v>
      </c>
      <c r="F231" s="10">
        <f>CHOOSE(CONTROL!$C$42, 8.415, 8.415)*CHOOSE(CONTROL!$C$21, $C$9, 100%, $E$9)</f>
        <v>8.4149999999999991</v>
      </c>
      <c r="G231" s="10">
        <f>CHOOSE(CONTROL!$C$42, 8.4322, 8.4322)*CHOOSE(CONTROL!$C$21, $C$9, 100%, $E$9)</f>
        <v>8.4321999999999999</v>
      </c>
      <c r="H231" s="10">
        <f>CHOOSE(CONTROL!$C$42, 8.5157, 8.5157) * CHOOSE(CONTROL!$C$21, $C$9, 100%, $E$9)</f>
        <v>8.5157000000000007</v>
      </c>
      <c r="I231" s="10">
        <f>CHOOSE(CONTROL!$C$42, 8.4012, 8.4012)* CHOOSE(CONTROL!$C$21, $C$9, 100%, $E$9)</f>
        <v>8.4011999999999993</v>
      </c>
      <c r="J231" s="10">
        <f>CHOOSE(CONTROL!$C$42, 8.408, 8.408)* CHOOSE(CONTROL!$C$21, $C$9, 100%, $E$9)</f>
        <v>8.4079999999999995</v>
      </c>
      <c r="K231" s="54">
        <f>CHOOSE(CONTROL!$C$42, 8.3973, 8.3973) * CHOOSE(CONTROL!$C$21, $C$9, 100%, $E$9)</f>
        <v>8.3972999999999995</v>
      </c>
      <c r="L231" s="10">
        <f>CHOOSE(CONTROL!$C$42, 9.1027, 9.1027) * CHOOSE(CONTROL!$C$21, $C$9, 100%, $E$9)</f>
        <v>9.1027000000000005</v>
      </c>
      <c r="M231" s="10">
        <f>CHOOSE(CONTROL!$C$42, 8.337, 8.337) * CHOOSE(CONTROL!$C$21, $C$9, 100%, $E$9)</f>
        <v>8.3369999999999997</v>
      </c>
      <c r="N231" s="10">
        <f>CHOOSE(CONTROL!$C$42, 8.354, 8.354) * CHOOSE(CONTROL!$C$21, $C$9, 100%, $E$9)</f>
        <v>8.3539999999999992</v>
      </c>
      <c r="O231" s="10">
        <f>CHOOSE(CONTROL!$C$42, 8.4436, 8.4436) * CHOOSE(CONTROL!$C$21, $C$9, 100%, $E$9)</f>
        <v>8.4436</v>
      </c>
      <c r="P231" s="10">
        <f>CHOOSE(CONTROL!$C$42, 8.3303, 8.3303) * CHOOSE(CONTROL!$C$21, $C$9, 100%, $E$9)</f>
        <v>8.3302999999999994</v>
      </c>
      <c r="Q231" s="10">
        <f>CHOOSE(CONTROL!$C$42, 9.0389, 9.0389) * CHOOSE(CONTROL!$C$21, $C$9, 100%, $E$9)</f>
        <v>9.0388999999999999</v>
      </c>
      <c r="R231" s="10">
        <f>CHOOSE(CONTROL!$C$42, 9.6485, 9.6485) * CHOOSE(CONTROL!$C$21, $C$9, 100%, $E$9)</f>
        <v>9.6485000000000003</v>
      </c>
      <c r="S231" s="10">
        <f>CHOOSE(CONTROL!$C$42, 8.1816, 8.1816) * CHOOSE(CONTROL!$C$21, $C$9, 100%, $E$9)</f>
        <v>8.1815999999999995</v>
      </c>
      <c r="T231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231" s="58">
        <f>(1000*CHOOSE(CONTROL!$C$42, 695, 695)*CHOOSE(CONTROL!$C$42, 0.5599, 0.5599)*CHOOSE(CONTROL!$C$42, 31, 31))/1000000</f>
        <v>12.063045499999998</v>
      </c>
      <c r="V231" s="58">
        <f>(1000*CHOOSE(CONTROL!$C$42, 500, 500)*CHOOSE(CONTROL!$C$42, 0.275, 0.275)*CHOOSE(CONTROL!$C$42, 31, 31))/1000000</f>
        <v>4.2625000000000002</v>
      </c>
      <c r="W231" s="58">
        <f>(1000*CHOOSE(CONTROL!$C$42, 0.1146, 0.1146)*CHOOSE(CONTROL!$C$42, 121.5, 121.5)*CHOOSE(CONTROL!$C$42, 31, 31))/1000000</f>
        <v>0.43164089999999994</v>
      </c>
      <c r="X231" s="58">
        <f>(31*0.1790888*100000/1000000)+(31*0.2374*100000/1000000)</f>
        <v>1.2911152800000001</v>
      </c>
      <c r="Y231" s="58"/>
      <c r="Z231" s="10"/>
      <c r="AA231" s="57"/>
      <c r="AB231" s="51">
        <f>(B231*122.58+C231*297.941+D231*89.177+E231*40.302+F231*40+G231*160+H231*0+I231*100+J231*300)/(122.58+297.941+89.177+40.302+0+40+160+100+300)</f>
        <v>8.4301006581739113</v>
      </c>
      <c r="AC231" s="27">
        <f>(M231*'RAP TEMPLATE-GAS AVAILABILITY'!O230+N231*'RAP TEMPLATE-GAS AVAILABILITY'!P230+O231*'RAP TEMPLATE-GAS AVAILABILITY'!Q230+P231*'RAP TEMPLATE-GAS AVAILABILITY'!R230)/('RAP TEMPLATE-GAS AVAILABILITY'!O230+'RAP TEMPLATE-GAS AVAILABILITY'!P230+'RAP TEMPLATE-GAS AVAILABILITY'!Q230+'RAP TEMPLATE-GAS AVAILABILITY'!R230)</f>
        <v>8.3853294964028766</v>
      </c>
    </row>
    <row r="232" spans="1:29" ht="15.75" x14ac:dyDescent="0.25">
      <c r="A232" s="16">
        <v>47939</v>
      </c>
      <c r="B232" s="10">
        <f>CHOOSE(CONTROL!$C$42, 8.4033, 8.4033) * CHOOSE(CONTROL!$C$21, $C$9, 100%, $E$9)</f>
        <v>8.4032999999999998</v>
      </c>
      <c r="C232" s="10">
        <f>CHOOSE(CONTROL!$C$42, 8.4076, 8.4076) * CHOOSE(CONTROL!$C$21, $C$9, 100%, $E$9)</f>
        <v>8.4076000000000004</v>
      </c>
      <c r="D232" s="10">
        <f>CHOOSE(CONTROL!$C$42, 8.6032, 8.6032) * CHOOSE(CONTROL!$C$21, $C$9, 100%, $E$9)</f>
        <v>8.6031999999999993</v>
      </c>
      <c r="E232" s="10">
        <f>CHOOSE(CONTROL!$C$42, 8.635, 8.635) * CHOOSE(CONTROL!$C$21, $C$9, 100%, $E$9)</f>
        <v>8.6349999999999998</v>
      </c>
      <c r="F232" s="10">
        <f>CHOOSE(CONTROL!$C$42, 8.3711, 8.3711)*CHOOSE(CONTROL!$C$21, $C$9, 100%, $E$9)</f>
        <v>8.3711000000000002</v>
      </c>
      <c r="G232" s="10">
        <f>CHOOSE(CONTROL!$C$42, 8.3878, 8.3878)*CHOOSE(CONTROL!$C$21, $C$9, 100%, $E$9)</f>
        <v>8.3878000000000004</v>
      </c>
      <c r="H232" s="10">
        <f>CHOOSE(CONTROL!$C$42, 8.6248, 8.6248) * CHOOSE(CONTROL!$C$21, $C$9, 100%, $E$9)</f>
        <v>8.6248000000000005</v>
      </c>
      <c r="I232" s="10">
        <f>CHOOSE(CONTROL!$C$42, 8.3712, 8.3712)* CHOOSE(CONTROL!$C$21, $C$9, 100%, $E$9)</f>
        <v>8.3712</v>
      </c>
      <c r="J232" s="10">
        <f>CHOOSE(CONTROL!$C$42, 8.3641, 8.3641)* CHOOSE(CONTROL!$C$21, $C$9, 100%, $E$9)</f>
        <v>8.3641000000000005</v>
      </c>
      <c r="K232" s="54">
        <f>CHOOSE(CONTROL!$C$42, 8.3673, 8.3673) * CHOOSE(CONTROL!$C$21, $C$9, 100%, $E$9)</f>
        <v>8.3673000000000002</v>
      </c>
      <c r="L232" s="10">
        <f>CHOOSE(CONTROL!$C$42, 9.2118, 9.2118) * CHOOSE(CONTROL!$C$21, $C$9, 100%, $E$9)</f>
        <v>9.2118000000000002</v>
      </c>
      <c r="M232" s="10">
        <f>CHOOSE(CONTROL!$C$42, 8.2935, 8.2935) * CHOOSE(CONTROL!$C$21, $C$9, 100%, $E$9)</f>
        <v>8.2934999999999999</v>
      </c>
      <c r="N232" s="10">
        <f>CHOOSE(CONTROL!$C$42, 8.3101, 8.3101) * CHOOSE(CONTROL!$C$21, $C$9, 100%, $E$9)</f>
        <v>8.3101000000000003</v>
      </c>
      <c r="O232" s="10">
        <f>CHOOSE(CONTROL!$C$42, 8.5516, 8.5516) * CHOOSE(CONTROL!$C$21, $C$9, 100%, $E$9)</f>
        <v>8.5516000000000005</v>
      </c>
      <c r="P232" s="10">
        <f>CHOOSE(CONTROL!$C$42, 8.3006, 8.3006) * CHOOSE(CONTROL!$C$21, $C$9, 100%, $E$9)</f>
        <v>8.3005999999999993</v>
      </c>
      <c r="Q232" s="10">
        <f>CHOOSE(CONTROL!$C$42, 9.1469, 9.1469) * CHOOSE(CONTROL!$C$21, $C$9, 100%, $E$9)</f>
        <v>9.1469000000000005</v>
      </c>
      <c r="R232" s="10">
        <f>CHOOSE(CONTROL!$C$42, 9.7567, 9.7567) * CHOOSE(CONTROL!$C$21, $C$9, 100%, $E$9)</f>
        <v>9.7567000000000004</v>
      </c>
      <c r="S232" s="10">
        <f>CHOOSE(CONTROL!$C$42, 8.1575, 8.1575) * CHOOSE(CONTROL!$C$21, $C$9, 100%, $E$9)</f>
        <v>8.1575000000000006</v>
      </c>
      <c r="T232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232" s="58">
        <f>(1000*CHOOSE(CONTROL!$C$42, 695, 695)*CHOOSE(CONTROL!$C$42, 0.5599, 0.5599)*CHOOSE(CONTROL!$C$42, 30, 30))/1000000</f>
        <v>11.673914999999997</v>
      </c>
      <c r="V232" s="58">
        <f>(1000*CHOOSE(CONTROL!$C$42, 500, 500)*CHOOSE(CONTROL!$C$42, 0.275, 0.275)*CHOOSE(CONTROL!$C$42, 30, 30))/1000000</f>
        <v>4.125</v>
      </c>
      <c r="W232" s="58">
        <f>(1000*CHOOSE(CONTROL!$C$42, 0.1146, 0.1146)*CHOOSE(CONTROL!$C$42, 121.5, 121.5)*CHOOSE(CONTROL!$C$42, 30, 30))/1000000</f>
        <v>0.417717</v>
      </c>
      <c r="X232" s="58">
        <f>(30*0.1790888*245000/1000000)+(30*0.2374*100000/1000000)</f>
        <v>2.0285026799999999</v>
      </c>
      <c r="Y232" s="58"/>
      <c r="Z232" s="10"/>
      <c r="AA232" s="57"/>
      <c r="AB232" s="51">
        <f>(B232*141.293+C232*267.993+D232*115.016+E232*89.698+F232*40+G232*185+H232*0+I232*100+J232*300)/(141.293+267.993+115.016+89.698+0+40+185+100+300)</f>
        <v>8.4241245317998388</v>
      </c>
      <c r="AC232" s="27">
        <f>(M232*'RAP TEMPLATE-GAS AVAILABILITY'!O231+N232*'RAP TEMPLATE-GAS AVAILABILITY'!P231+O232*'RAP TEMPLATE-GAS AVAILABILITY'!Q231+P232*'RAP TEMPLATE-GAS AVAILABILITY'!R231)/('RAP TEMPLATE-GAS AVAILABILITY'!O231+'RAP TEMPLATE-GAS AVAILABILITY'!P231+'RAP TEMPLATE-GAS AVAILABILITY'!Q231+'RAP TEMPLATE-GAS AVAILABILITY'!R231)</f>
        <v>8.3707597122302158</v>
      </c>
    </row>
    <row r="233" spans="1:29" ht="15.75" x14ac:dyDescent="0.25">
      <c r="A233" s="16">
        <v>47969</v>
      </c>
      <c r="B233" s="10">
        <f>CHOOSE(CONTROL!$C$42, 8.4788, 8.4788) * CHOOSE(CONTROL!$C$21, $C$9, 100%, $E$9)</f>
        <v>8.4787999999999997</v>
      </c>
      <c r="C233" s="10">
        <f>CHOOSE(CONTROL!$C$42, 8.4867, 8.4867) * CHOOSE(CONTROL!$C$21, $C$9, 100%, $E$9)</f>
        <v>8.4867000000000008</v>
      </c>
      <c r="D233" s="10">
        <f>CHOOSE(CONTROL!$C$42, 8.6791, 8.6791) * CHOOSE(CONTROL!$C$21, $C$9, 100%, $E$9)</f>
        <v>8.6791</v>
      </c>
      <c r="E233" s="10">
        <f>CHOOSE(CONTROL!$C$42, 8.7103, 8.7103) * CHOOSE(CONTROL!$C$21, $C$9, 100%, $E$9)</f>
        <v>8.7103000000000002</v>
      </c>
      <c r="F233" s="10">
        <f>CHOOSE(CONTROL!$C$42, 8.445, 8.445)*CHOOSE(CONTROL!$C$21, $C$9, 100%, $E$9)</f>
        <v>8.4450000000000003</v>
      </c>
      <c r="G233" s="10">
        <f>CHOOSE(CONTROL!$C$42, 8.4622, 8.4622)*CHOOSE(CONTROL!$C$21, $C$9, 100%, $E$9)</f>
        <v>8.4621999999999993</v>
      </c>
      <c r="H233" s="10">
        <f>CHOOSE(CONTROL!$C$42, 8.6989, 8.6989) * CHOOSE(CONTROL!$C$21, $C$9, 100%, $E$9)</f>
        <v>8.6989000000000001</v>
      </c>
      <c r="I233" s="10">
        <f>CHOOSE(CONTROL!$C$42, 8.4454, 8.4454)* CHOOSE(CONTROL!$C$21, $C$9, 100%, $E$9)</f>
        <v>8.4453999999999994</v>
      </c>
      <c r="J233" s="10">
        <f>CHOOSE(CONTROL!$C$42, 8.438, 8.438)* CHOOSE(CONTROL!$C$21, $C$9, 100%, $E$9)</f>
        <v>8.4380000000000006</v>
      </c>
      <c r="K233" s="54">
        <f>CHOOSE(CONTROL!$C$42, 8.4415, 8.4415) * CHOOSE(CONTROL!$C$21, $C$9, 100%, $E$9)</f>
        <v>8.4414999999999996</v>
      </c>
      <c r="L233" s="10">
        <f>CHOOSE(CONTROL!$C$42, 9.2859, 9.2859) * CHOOSE(CONTROL!$C$21, $C$9, 100%, $E$9)</f>
        <v>9.2858999999999998</v>
      </c>
      <c r="M233" s="10">
        <f>CHOOSE(CONTROL!$C$42, 8.3667, 8.3667) * CHOOSE(CONTROL!$C$21, $C$9, 100%, $E$9)</f>
        <v>8.3666999999999998</v>
      </c>
      <c r="N233" s="10">
        <f>CHOOSE(CONTROL!$C$42, 8.3837, 8.3837) * CHOOSE(CONTROL!$C$21, $C$9, 100%, $E$9)</f>
        <v>8.3836999999999993</v>
      </c>
      <c r="O233" s="10">
        <f>CHOOSE(CONTROL!$C$42, 8.6249, 8.6249) * CHOOSE(CONTROL!$C$21, $C$9, 100%, $E$9)</f>
        <v>8.6249000000000002</v>
      </c>
      <c r="P233" s="10">
        <f>CHOOSE(CONTROL!$C$42, 8.374, 8.374) * CHOOSE(CONTROL!$C$21, $C$9, 100%, $E$9)</f>
        <v>8.3740000000000006</v>
      </c>
      <c r="Q233" s="10">
        <f>CHOOSE(CONTROL!$C$42, 9.2202, 9.2202) * CHOOSE(CONTROL!$C$21, $C$9, 100%, $E$9)</f>
        <v>9.2202000000000002</v>
      </c>
      <c r="R233" s="10">
        <f>CHOOSE(CONTROL!$C$42, 9.8303, 9.8303) * CHOOSE(CONTROL!$C$21, $C$9, 100%, $E$9)</f>
        <v>9.8302999999999994</v>
      </c>
      <c r="S233" s="10">
        <f>CHOOSE(CONTROL!$C$42, 8.2295, 8.2295) * CHOOSE(CONTROL!$C$21, $C$9, 100%, $E$9)</f>
        <v>8.2294999999999998</v>
      </c>
      <c r="T233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233" s="58">
        <f>(1000*CHOOSE(CONTROL!$C$42, 695, 695)*CHOOSE(CONTROL!$C$42, 0.5599, 0.5599)*CHOOSE(CONTROL!$C$42, 31, 31))/1000000</f>
        <v>12.063045499999998</v>
      </c>
      <c r="V233" s="58">
        <f>(1000*CHOOSE(CONTROL!$C$42, 500, 500)*CHOOSE(CONTROL!$C$42, 0.275, 0.275)*CHOOSE(CONTROL!$C$42, 31, 31))/1000000</f>
        <v>4.2625000000000002</v>
      </c>
      <c r="W233" s="58">
        <f>(1000*CHOOSE(CONTROL!$C$42, 0.1146, 0.1146)*CHOOSE(CONTROL!$C$42, 121.5, 121.5)*CHOOSE(CONTROL!$C$42, 31, 31))/1000000</f>
        <v>0.43164089999999994</v>
      </c>
      <c r="X233" s="58">
        <f>(31*0.1790888*245000/1000000)+(31*0.2374*100000/1000000)</f>
        <v>2.0961194359999999</v>
      </c>
      <c r="Y233" s="58"/>
      <c r="Z233" s="10"/>
      <c r="AA233" s="57"/>
      <c r="AB233" s="51">
        <f>(B233*194.205+C233*267.466+D233*133.845+E233*53.484+F233*40+G233*185+H233*0+I233*100+J233*300)/(194.205+267.466+133.845+53.484+0+40+185+100+300)</f>
        <v>8.4955195297488206</v>
      </c>
      <c r="AC233" s="27">
        <f>(M233*'RAP TEMPLATE-GAS AVAILABILITY'!O232+N233*'RAP TEMPLATE-GAS AVAILABILITY'!P232+O233*'RAP TEMPLATE-GAS AVAILABILITY'!Q232+P233*'RAP TEMPLATE-GAS AVAILABILITY'!R232)/('RAP TEMPLATE-GAS AVAILABILITY'!O232+'RAP TEMPLATE-GAS AVAILABILITY'!P232+'RAP TEMPLATE-GAS AVAILABILITY'!Q232+'RAP TEMPLATE-GAS AVAILABILITY'!R232)</f>
        <v>8.4441086330935242</v>
      </c>
    </row>
    <row r="234" spans="1:29" ht="15.75" x14ac:dyDescent="0.25">
      <c r="A234" s="16">
        <v>48000</v>
      </c>
      <c r="B234" s="10">
        <f>CHOOSE(CONTROL!$C$42, 8.7191, 8.7191) * CHOOSE(CONTROL!$C$21, $C$9, 100%, $E$9)</f>
        <v>8.7190999999999992</v>
      </c>
      <c r="C234" s="10">
        <f>CHOOSE(CONTROL!$C$42, 8.7271, 8.7271) * CHOOSE(CONTROL!$C$21, $C$9, 100%, $E$9)</f>
        <v>8.7271000000000001</v>
      </c>
      <c r="D234" s="10">
        <f>CHOOSE(CONTROL!$C$42, 8.9195, 8.9195) * CHOOSE(CONTROL!$C$21, $C$9, 100%, $E$9)</f>
        <v>8.9194999999999993</v>
      </c>
      <c r="E234" s="10">
        <f>CHOOSE(CONTROL!$C$42, 8.9506, 8.9506) * CHOOSE(CONTROL!$C$21, $C$9, 100%, $E$9)</f>
        <v>8.9505999999999997</v>
      </c>
      <c r="F234" s="10">
        <f>CHOOSE(CONTROL!$C$42, 8.6856, 8.6856)*CHOOSE(CONTROL!$C$21, $C$9, 100%, $E$9)</f>
        <v>8.6856000000000009</v>
      </c>
      <c r="G234" s="10">
        <f>CHOOSE(CONTROL!$C$42, 8.7028, 8.7028)*CHOOSE(CONTROL!$C$21, $C$9, 100%, $E$9)</f>
        <v>8.7027999999999999</v>
      </c>
      <c r="H234" s="10">
        <f>CHOOSE(CONTROL!$C$42, 8.9393, 8.9393) * CHOOSE(CONTROL!$C$21, $C$9, 100%, $E$9)</f>
        <v>8.9392999999999994</v>
      </c>
      <c r="I234" s="10">
        <f>CHOOSE(CONTROL!$C$42, 8.6857, 8.6857)* CHOOSE(CONTROL!$C$21, $C$9, 100%, $E$9)</f>
        <v>8.6857000000000006</v>
      </c>
      <c r="J234" s="10">
        <f>CHOOSE(CONTROL!$C$42, 8.6786, 8.6786)* CHOOSE(CONTROL!$C$21, $C$9, 100%, $E$9)</f>
        <v>8.6785999999999994</v>
      </c>
      <c r="K234" s="54">
        <f>CHOOSE(CONTROL!$C$42, 8.6818, 8.6818) * CHOOSE(CONTROL!$C$21, $C$9, 100%, $E$9)</f>
        <v>8.6818000000000008</v>
      </c>
      <c r="L234" s="10">
        <f>CHOOSE(CONTROL!$C$42, 9.5263, 9.5263) * CHOOSE(CONTROL!$C$21, $C$9, 100%, $E$9)</f>
        <v>9.5263000000000009</v>
      </c>
      <c r="M234" s="10">
        <f>CHOOSE(CONTROL!$C$42, 8.6049, 8.6049) * CHOOSE(CONTROL!$C$21, $C$9, 100%, $E$9)</f>
        <v>8.6049000000000007</v>
      </c>
      <c r="N234" s="10">
        <f>CHOOSE(CONTROL!$C$42, 8.6219, 8.6219) * CHOOSE(CONTROL!$C$21, $C$9, 100%, $E$9)</f>
        <v>8.6219000000000001</v>
      </c>
      <c r="O234" s="10">
        <f>CHOOSE(CONTROL!$C$42, 8.8629, 8.8629) * CHOOSE(CONTROL!$C$21, $C$9, 100%, $E$9)</f>
        <v>8.8628999999999998</v>
      </c>
      <c r="P234" s="10">
        <f>CHOOSE(CONTROL!$C$42, 8.6119, 8.6119) * CHOOSE(CONTROL!$C$21, $C$9, 100%, $E$9)</f>
        <v>8.6119000000000003</v>
      </c>
      <c r="Q234" s="10">
        <f>CHOOSE(CONTROL!$C$42, 9.4582, 9.4582) * CHOOSE(CONTROL!$C$21, $C$9, 100%, $E$9)</f>
        <v>9.4581999999999997</v>
      </c>
      <c r="R234" s="10">
        <f>CHOOSE(CONTROL!$C$42, 10.0688, 10.0688) * CHOOSE(CONTROL!$C$21, $C$9, 100%, $E$9)</f>
        <v>10.0688</v>
      </c>
      <c r="S234" s="10">
        <f>CHOOSE(CONTROL!$C$42, 8.4629, 8.4629) * CHOOSE(CONTROL!$C$21, $C$9, 100%, $E$9)</f>
        <v>8.4628999999999994</v>
      </c>
      <c r="T234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234" s="58">
        <f>(1000*CHOOSE(CONTROL!$C$42, 695, 695)*CHOOSE(CONTROL!$C$42, 0.5599, 0.5599)*CHOOSE(CONTROL!$C$42, 30, 30))/1000000</f>
        <v>11.673914999999997</v>
      </c>
      <c r="V234" s="58">
        <f>(1000*CHOOSE(CONTROL!$C$42, 500, 500)*CHOOSE(CONTROL!$C$42, 0.275, 0.275)*CHOOSE(CONTROL!$C$42, 30, 30))/1000000</f>
        <v>4.125</v>
      </c>
      <c r="W234" s="58">
        <f>(1000*CHOOSE(CONTROL!$C$42, 0.1146, 0.1146)*CHOOSE(CONTROL!$C$42, 121.5, 121.5)*CHOOSE(CONTROL!$C$42, 30, 30))/1000000</f>
        <v>0.417717</v>
      </c>
      <c r="X234" s="58">
        <f>(30*0.1790888*245000/1000000)+(30*0.2374*100000/1000000)</f>
        <v>2.0285026799999999</v>
      </c>
      <c r="Y234" s="58"/>
      <c r="Z234" s="10"/>
      <c r="AA234" s="57"/>
      <c r="AB234" s="51">
        <f>(B234*194.205+C234*267.466+D234*133.845+E234*53.484+F234*40+G234*185+H234*0+I234*100+J234*300)/(194.205+267.466+133.845+53.484+0+40+185+100+300)</f>
        <v>8.735974656200943</v>
      </c>
      <c r="AC234" s="27">
        <f>(M234*'RAP TEMPLATE-GAS AVAILABILITY'!O233+N234*'RAP TEMPLATE-GAS AVAILABILITY'!P233+O234*'RAP TEMPLATE-GAS AVAILABILITY'!Q233+P234*'RAP TEMPLATE-GAS AVAILABILITY'!R233)/('RAP TEMPLATE-GAS AVAILABILITY'!O233+'RAP TEMPLATE-GAS AVAILABILITY'!P233+'RAP TEMPLATE-GAS AVAILABILITY'!Q233+'RAP TEMPLATE-GAS AVAILABILITY'!R233)</f>
        <v>8.6822093525179866</v>
      </c>
    </row>
    <row r="235" spans="1:29" ht="15.75" x14ac:dyDescent="0.25">
      <c r="A235" s="16">
        <v>48030</v>
      </c>
      <c r="B235" s="10">
        <f>CHOOSE(CONTROL!$C$42, 8.552, 8.552) * CHOOSE(CONTROL!$C$21, $C$9, 100%, $E$9)</f>
        <v>8.5519999999999996</v>
      </c>
      <c r="C235" s="10">
        <f>CHOOSE(CONTROL!$C$42, 8.5599, 8.5599) * CHOOSE(CONTROL!$C$21, $C$9, 100%, $E$9)</f>
        <v>8.5599000000000007</v>
      </c>
      <c r="D235" s="10">
        <f>CHOOSE(CONTROL!$C$42, 8.7523, 8.7523) * CHOOSE(CONTROL!$C$21, $C$9, 100%, $E$9)</f>
        <v>8.7523</v>
      </c>
      <c r="E235" s="10">
        <f>CHOOSE(CONTROL!$C$42, 8.7835, 8.7835) * CHOOSE(CONTROL!$C$21, $C$9, 100%, $E$9)</f>
        <v>8.7835000000000001</v>
      </c>
      <c r="F235" s="10">
        <f>CHOOSE(CONTROL!$C$42, 8.5189, 8.5189)*CHOOSE(CONTROL!$C$21, $C$9, 100%, $E$9)</f>
        <v>8.5189000000000004</v>
      </c>
      <c r="G235" s="10">
        <f>CHOOSE(CONTROL!$C$42, 8.5362, 8.5362)*CHOOSE(CONTROL!$C$21, $C$9, 100%, $E$9)</f>
        <v>8.5361999999999991</v>
      </c>
      <c r="H235" s="10">
        <f>CHOOSE(CONTROL!$C$42, 8.7721, 8.7721) * CHOOSE(CONTROL!$C$21, $C$9, 100%, $E$9)</f>
        <v>8.7721</v>
      </c>
      <c r="I235" s="10">
        <f>CHOOSE(CONTROL!$C$42, 8.5185, 8.5185)* CHOOSE(CONTROL!$C$21, $C$9, 100%, $E$9)</f>
        <v>8.5184999999999995</v>
      </c>
      <c r="J235" s="10">
        <f>CHOOSE(CONTROL!$C$42, 8.5119, 8.5119)* CHOOSE(CONTROL!$C$21, $C$9, 100%, $E$9)</f>
        <v>8.5119000000000007</v>
      </c>
      <c r="K235" s="54">
        <f>CHOOSE(CONTROL!$C$42, 8.5147, 8.5147) * CHOOSE(CONTROL!$C$21, $C$9, 100%, $E$9)</f>
        <v>8.5146999999999995</v>
      </c>
      <c r="L235" s="10">
        <f>CHOOSE(CONTROL!$C$42, 9.3591, 9.3591) * CHOOSE(CONTROL!$C$21, $C$9, 100%, $E$9)</f>
        <v>9.3590999999999998</v>
      </c>
      <c r="M235" s="10">
        <f>CHOOSE(CONTROL!$C$42, 8.4398, 8.4398) * CHOOSE(CONTROL!$C$21, $C$9, 100%, $E$9)</f>
        <v>8.4398</v>
      </c>
      <c r="N235" s="10">
        <f>CHOOSE(CONTROL!$C$42, 8.4569, 8.4569) * CHOOSE(CONTROL!$C$21, $C$9, 100%, $E$9)</f>
        <v>8.4568999999999992</v>
      </c>
      <c r="O235" s="10">
        <f>CHOOSE(CONTROL!$C$42, 8.6974, 8.6974) * CHOOSE(CONTROL!$C$21, $C$9, 100%, $E$9)</f>
        <v>8.6974</v>
      </c>
      <c r="P235" s="10">
        <f>CHOOSE(CONTROL!$C$42, 8.4464, 8.4464) * CHOOSE(CONTROL!$C$21, $C$9, 100%, $E$9)</f>
        <v>8.4464000000000006</v>
      </c>
      <c r="Q235" s="10">
        <f>CHOOSE(CONTROL!$C$42, 9.2927, 9.2927) * CHOOSE(CONTROL!$C$21, $C$9, 100%, $E$9)</f>
        <v>9.2927</v>
      </c>
      <c r="R235" s="10">
        <f>CHOOSE(CONTROL!$C$42, 9.9029, 9.9029) * CHOOSE(CONTROL!$C$21, $C$9, 100%, $E$9)</f>
        <v>9.9029000000000007</v>
      </c>
      <c r="S235" s="10">
        <f>CHOOSE(CONTROL!$C$42, 8.3006, 8.3006) * CHOOSE(CONTROL!$C$21, $C$9, 100%, $E$9)</f>
        <v>8.3005999999999993</v>
      </c>
      <c r="T235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235" s="58">
        <f>(1000*CHOOSE(CONTROL!$C$42, 695, 695)*CHOOSE(CONTROL!$C$42, 0.5599, 0.5599)*CHOOSE(CONTROL!$C$42, 31, 31))/1000000</f>
        <v>12.063045499999998</v>
      </c>
      <c r="V235" s="58">
        <f>(1000*CHOOSE(CONTROL!$C$42, 500, 500)*CHOOSE(CONTROL!$C$42, 0.275, 0.275)*CHOOSE(CONTROL!$C$42, 31, 31))/1000000</f>
        <v>4.2625000000000002</v>
      </c>
      <c r="W235" s="58">
        <f>(1000*CHOOSE(CONTROL!$C$42, 0.1146, 0.1146)*CHOOSE(CONTROL!$C$42, 121.5, 121.5)*CHOOSE(CONTROL!$C$42, 31, 31))/1000000</f>
        <v>0.43164089999999994</v>
      </c>
      <c r="X235" s="58">
        <f>(31*0.1790888*245000/1000000)+(31*0.2374*100000/1000000)</f>
        <v>2.0961194359999999</v>
      </c>
      <c r="Y235" s="58"/>
      <c r="Z235" s="10"/>
      <c r="AA235" s="57"/>
      <c r="AB235" s="51">
        <f>(B235*194.205+C235*267.466+D235*133.845+E235*53.484+F235*40+G235*185+H235*0+I235*100+J235*300)/(194.205+267.466+133.845+53.484+0+40+185+100+300)</f>
        <v>8.5690146631868132</v>
      </c>
      <c r="AC235" s="27">
        <f>(M235*'RAP TEMPLATE-GAS AVAILABILITY'!O234+N235*'RAP TEMPLATE-GAS AVAILABILITY'!P234+O235*'RAP TEMPLATE-GAS AVAILABILITY'!Q234+P235*'RAP TEMPLATE-GAS AVAILABILITY'!R234)/('RAP TEMPLATE-GAS AVAILABILITY'!O234+'RAP TEMPLATE-GAS AVAILABILITY'!P234+'RAP TEMPLATE-GAS AVAILABILITY'!Q234+'RAP TEMPLATE-GAS AVAILABILITY'!R234)</f>
        <v>8.5169625899280579</v>
      </c>
    </row>
    <row r="236" spans="1:29" ht="15.75" x14ac:dyDescent="0.25">
      <c r="A236" s="16">
        <v>48061</v>
      </c>
      <c r="B236" s="10">
        <f>CHOOSE(CONTROL!$C$42, 8.1298, 8.1298) * CHOOSE(CONTROL!$C$21, $C$9, 100%, $E$9)</f>
        <v>8.1297999999999995</v>
      </c>
      <c r="C236" s="10">
        <f>CHOOSE(CONTROL!$C$42, 8.1377, 8.1377) * CHOOSE(CONTROL!$C$21, $C$9, 100%, $E$9)</f>
        <v>8.1377000000000006</v>
      </c>
      <c r="D236" s="10">
        <f>CHOOSE(CONTROL!$C$42, 8.3302, 8.3302) * CHOOSE(CONTROL!$C$21, $C$9, 100%, $E$9)</f>
        <v>8.3301999999999996</v>
      </c>
      <c r="E236" s="10">
        <f>CHOOSE(CONTROL!$C$42, 8.3613, 8.3613) * CHOOSE(CONTROL!$C$21, $C$9, 100%, $E$9)</f>
        <v>8.3613</v>
      </c>
      <c r="F236" s="10">
        <f>CHOOSE(CONTROL!$C$42, 8.0969, 8.0969)*CHOOSE(CONTROL!$C$21, $C$9, 100%, $E$9)</f>
        <v>8.0968999999999998</v>
      </c>
      <c r="G236" s="10">
        <f>CHOOSE(CONTROL!$C$42, 8.1142, 8.1142)*CHOOSE(CONTROL!$C$21, $C$9, 100%, $E$9)</f>
        <v>8.1142000000000003</v>
      </c>
      <c r="H236" s="10">
        <f>CHOOSE(CONTROL!$C$42, 8.3499, 8.3499) * CHOOSE(CONTROL!$C$21, $C$9, 100%, $E$9)</f>
        <v>8.3498999999999999</v>
      </c>
      <c r="I236" s="10">
        <f>CHOOSE(CONTROL!$C$42, 8.0964, 8.0964)* CHOOSE(CONTROL!$C$21, $C$9, 100%, $E$9)</f>
        <v>8.0963999999999992</v>
      </c>
      <c r="J236" s="10">
        <f>CHOOSE(CONTROL!$C$42, 8.0899, 8.0899)* CHOOSE(CONTROL!$C$21, $C$9, 100%, $E$9)</f>
        <v>8.0899000000000001</v>
      </c>
      <c r="K236" s="54">
        <f>CHOOSE(CONTROL!$C$42, 8.0925, 8.0925) * CHOOSE(CONTROL!$C$21, $C$9, 100%, $E$9)</f>
        <v>8.0924999999999994</v>
      </c>
      <c r="L236" s="10">
        <f>CHOOSE(CONTROL!$C$42, 8.9369, 8.9369) * CHOOSE(CONTROL!$C$21, $C$9, 100%, $E$9)</f>
        <v>8.9368999999999996</v>
      </c>
      <c r="M236" s="10">
        <f>CHOOSE(CONTROL!$C$42, 8.0221, 8.0221) * CHOOSE(CONTROL!$C$21, $C$9, 100%, $E$9)</f>
        <v>8.0221</v>
      </c>
      <c r="N236" s="10">
        <f>CHOOSE(CONTROL!$C$42, 8.0392, 8.0392) * CHOOSE(CONTROL!$C$21, $C$9, 100%, $E$9)</f>
        <v>8.0391999999999992</v>
      </c>
      <c r="O236" s="10">
        <f>CHOOSE(CONTROL!$C$42, 8.2795, 8.2795) * CHOOSE(CONTROL!$C$21, $C$9, 100%, $E$9)</f>
        <v>8.2795000000000005</v>
      </c>
      <c r="P236" s="10">
        <f>CHOOSE(CONTROL!$C$42, 8.0286, 8.0286) * CHOOSE(CONTROL!$C$21, $C$9, 100%, $E$9)</f>
        <v>8.0286000000000008</v>
      </c>
      <c r="Q236" s="10">
        <f>CHOOSE(CONTROL!$C$42, 8.8748, 8.8748) * CHOOSE(CONTROL!$C$21, $C$9, 100%, $E$9)</f>
        <v>8.8748000000000005</v>
      </c>
      <c r="R236" s="10">
        <f>CHOOSE(CONTROL!$C$42, 9.484, 9.484) * CHOOSE(CONTROL!$C$21, $C$9, 100%, $E$9)</f>
        <v>9.484</v>
      </c>
      <c r="S236" s="10">
        <f>CHOOSE(CONTROL!$C$42, 7.8906, 7.8906) * CHOOSE(CONTROL!$C$21, $C$9, 100%, $E$9)</f>
        <v>7.8906000000000001</v>
      </c>
      <c r="T236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236" s="58">
        <f>(1000*CHOOSE(CONTROL!$C$42, 695, 695)*CHOOSE(CONTROL!$C$42, 0.5599, 0.5599)*CHOOSE(CONTROL!$C$42, 31, 31))/1000000</f>
        <v>12.063045499999998</v>
      </c>
      <c r="V236" s="58">
        <f>(1000*CHOOSE(CONTROL!$C$42, 500, 500)*CHOOSE(CONTROL!$C$42, 0.275, 0.275)*CHOOSE(CONTROL!$C$42, 31, 31))/1000000</f>
        <v>4.2625000000000002</v>
      </c>
      <c r="W236" s="58">
        <f>(1000*CHOOSE(CONTROL!$C$42, 0.1146, 0.1146)*CHOOSE(CONTROL!$C$42, 121.5, 121.5)*CHOOSE(CONTROL!$C$42, 31, 31))/1000000</f>
        <v>0.43164089999999994</v>
      </c>
      <c r="X236" s="58">
        <f>(31*0.1790888*245000/1000000)+(31*0.2374*100000/1000000)</f>
        <v>2.0961194359999999</v>
      </c>
      <c r="Y236" s="58"/>
      <c r="Z236" s="10"/>
      <c r="AA236" s="57"/>
      <c r="AB236" s="51">
        <f>(B236*194.205+C236*267.466+D236*133.845+E236*53.484+F236*40+G236*185+H236*0+I236*100+J236*300)/(194.205+267.466+133.845+53.484+0+40+185+100+300)</f>
        <v>8.1469154359497651</v>
      </c>
      <c r="AC236" s="27">
        <f>(M236*'RAP TEMPLATE-GAS AVAILABILITY'!O235+N236*'RAP TEMPLATE-GAS AVAILABILITY'!P235+O236*'RAP TEMPLATE-GAS AVAILABILITY'!Q235+P236*'RAP TEMPLATE-GAS AVAILABILITY'!R235)/('RAP TEMPLATE-GAS AVAILABILITY'!O235+'RAP TEMPLATE-GAS AVAILABILITY'!P235+'RAP TEMPLATE-GAS AVAILABILITY'!Q235+'RAP TEMPLATE-GAS AVAILABILITY'!R235)</f>
        <v>8.0991920863309357</v>
      </c>
    </row>
    <row r="237" spans="1:29" ht="15.75" x14ac:dyDescent="0.25">
      <c r="A237" s="16">
        <v>48092</v>
      </c>
      <c r="B237" s="10">
        <f>CHOOSE(CONTROL!$C$42, 7.6136, 7.6136) * CHOOSE(CONTROL!$C$21, $C$9, 100%, $E$9)</f>
        <v>7.6135999999999999</v>
      </c>
      <c r="C237" s="10">
        <f>CHOOSE(CONTROL!$C$42, 7.6216, 7.6216) * CHOOSE(CONTROL!$C$21, $C$9, 100%, $E$9)</f>
        <v>7.6215999999999999</v>
      </c>
      <c r="D237" s="10">
        <f>CHOOSE(CONTROL!$C$42, 7.814, 7.814) * CHOOSE(CONTROL!$C$21, $C$9, 100%, $E$9)</f>
        <v>7.8140000000000001</v>
      </c>
      <c r="E237" s="10">
        <f>CHOOSE(CONTROL!$C$42, 7.8451, 7.8451) * CHOOSE(CONTROL!$C$21, $C$9, 100%, $E$9)</f>
        <v>7.8451000000000004</v>
      </c>
      <c r="F237" s="10">
        <f>CHOOSE(CONTROL!$C$42, 7.5805, 7.5805)*CHOOSE(CONTROL!$C$21, $C$9, 100%, $E$9)</f>
        <v>7.5804999999999998</v>
      </c>
      <c r="G237" s="10">
        <f>CHOOSE(CONTROL!$C$42, 7.5978, 7.5978)*CHOOSE(CONTROL!$C$21, $C$9, 100%, $E$9)</f>
        <v>7.5978000000000003</v>
      </c>
      <c r="H237" s="10">
        <f>CHOOSE(CONTROL!$C$42, 7.8338, 7.8338) * CHOOSE(CONTROL!$C$21, $C$9, 100%, $E$9)</f>
        <v>7.8338000000000001</v>
      </c>
      <c r="I237" s="10">
        <f>CHOOSE(CONTROL!$C$42, 7.5802, 7.5802)* CHOOSE(CONTROL!$C$21, $C$9, 100%, $E$9)</f>
        <v>7.5801999999999996</v>
      </c>
      <c r="J237" s="10">
        <f>CHOOSE(CONTROL!$C$42, 7.5735, 7.5735)* CHOOSE(CONTROL!$C$21, $C$9, 100%, $E$9)</f>
        <v>7.5735000000000001</v>
      </c>
      <c r="K237" s="54">
        <f>CHOOSE(CONTROL!$C$42, 7.5763, 7.5763) * CHOOSE(CONTROL!$C$21, $C$9, 100%, $E$9)</f>
        <v>7.5762999999999998</v>
      </c>
      <c r="L237" s="10">
        <f>CHOOSE(CONTROL!$C$42, 8.4208, 8.4208) * CHOOSE(CONTROL!$C$21, $C$9, 100%, $E$9)</f>
        <v>8.4207999999999998</v>
      </c>
      <c r="M237" s="10">
        <f>CHOOSE(CONTROL!$C$42, 7.5109, 7.5109) * CHOOSE(CONTROL!$C$21, $C$9, 100%, $E$9)</f>
        <v>7.5109000000000004</v>
      </c>
      <c r="N237" s="10">
        <f>CHOOSE(CONTROL!$C$42, 7.5281, 7.5281) * CHOOSE(CONTROL!$C$21, $C$9, 100%, $E$9)</f>
        <v>7.5281000000000002</v>
      </c>
      <c r="O237" s="10">
        <f>CHOOSE(CONTROL!$C$42, 7.7685, 7.7685) * CHOOSE(CONTROL!$C$21, $C$9, 100%, $E$9)</f>
        <v>7.7685000000000004</v>
      </c>
      <c r="P237" s="10">
        <f>CHOOSE(CONTROL!$C$42, 7.5176, 7.5176) * CHOOSE(CONTROL!$C$21, $C$9, 100%, $E$9)</f>
        <v>7.5175999999999998</v>
      </c>
      <c r="Q237" s="10">
        <f>CHOOSE(CONTROL!$C$42, 8.3638, 8.3638) * CHOOSE(CONTROL!$C$21, $C$9, 100%, $E$9)</f>
        <v>8.3637999999999995</v>
      </c>
      <c r="R237" s="10">
        <f>CHOOSE(CONTROL!$C$42, 8.9717, 8.9717) * CHOOSE(CONTROL!$C$21, $C$9, 100%, $E$9)</f>
        <v>8.9717000000000002</v>
      </c>
      <c r="S237" s="10">
        <f>CHOOSE(CONTROL!$C$42, 7.3894, 7.3894) * CHOOSE(CONTROL!$C$21, $C$9, 100%, $E$9)</f>
        <v>7.3894000000000002</v>
      </c>
      <c r="T237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237" s="58">
        <f>(1000*CHOOSE(CONTROL!$C$42, 695, 695)*CHOOSE(CONTROL!$C$42, 0.5599, 0.5599)*CHOOSE(CONTROL!$C$42, 30, 30))/1000000</f>
        <v>11.673914999999997</v>
      </c>
      <c r="V237" s="58">
        <f>(1000*CHOOSE(CONTROL!$C$42, 500, 500)*CHOOSE(CONTROL!$C$42, 0.275, 0.275)*CHOOSE(CONTROL!$C$42, 30, 30))/1000000</f>
        <v>4.125</v>
      </c>
      <c r="W237" s="58">
        <f>(1000*CHOOSE(CONTROL!$C$42, 0.1146, 0.1146)*CHOOSE(CONTROL!$C$42, 121.5, 121.5)*CHOOSE(CONTROL!$C$42, 30, 30))/1000000</f>
        <v>0.417717</v>
      </c>
      <c r="X237" s="58">
        <f>(30*0.1790888*245000/1000000)+(30*0.2374*100000/1000000)</f>
        <v>2.0285026799999999</v>
      </c>
      <c r="Y237" s="58"/>
      <c r="Z237" s="10"/>
      <c r="AA237" s="57"/>
      <c r="AB237" s="51">
        <f>(B237*194.205+C237*267.466+D237*133.845+E237*53.484+F237*40+G237*185+H237*0+I237*100+J237*300)/(194.205+267.466+133.845+53.484+0+40+185+100+300)</f>
        <v>7.6306540125588702</v>
      </c>
      <c r="AC237" s="27">
        <f>(M237*'RAP TEMPLATE-GAS AVAILABILITY'!O236+N237*'RAP TEMPLATE-GAS AVAILABILITY'!P236+O237*'RAP TEMPLATE-GAS AVAILABILITY'!Q236+P237*'RAP TEMPLATE-GAS AVAILABILITY'!R236)/('RAP TEMPLATE-GAS AVAILABILITY'!O236+'RAP TEMPLATE-GAS AVAILABILITY'!P236+'RAP TEMPLATE-GAS AVAILABILITY'!Q236+'RAP TEMPLATE-GAS AVAILABILITY'!R236)</f>
        <v>7.5881000000000007</v>
      </c>
    </row>
    <row r="238" spans="1:29" ht="15.75" x14ac:dyDescent="0.25">
      <c r="A238" s="16">
        <v>48122</v>
      </c>
      <c r="B238" s="10">
        <f>CHOOSE(CONTROL!$C$42, 7.4574, 7.4574) * CHOOSE(CONTROL!$C$21, $C$9, 100%, $E$9)</f>
        <v>7.4573999999999998</v>
      </c>
      <c r="C238" s="10">
        <f>CHOOSE(CONTROL!$C$42, 7.4626, 7.4626) * CHOOSE(CONTROL!$C$21, $C$9, 100%, $E$9)</f>
        <v>7.4626000000000001</v>
      </c>
      <c r="D238" s="10">
        <f>CHOOSE(CONTROL!$C$42, 7.66, 7.66) * CHOOSE(CONTROL!$C$21, $C$9, 100%, $E$9)</f>
        <v>7.66</v>
      </c>
      <c r="E238" s="10">
        <f>CHOOSE(CONTROL!$C$42, 7.6888, 7.6888) * CHOOSE(CONTROL!$C$21, $C$9, 100%, $E$9)</f>
        <v>7.6887999999999996</v>
      </c>
      <c r="F238" s="10">
        <f>CHOOSE(CONTROL!$C$42, 7.4263, 7.4263)*CHOOSE(CONTROL!$C$21, $C$9, 100%, $E$9)</f>
        <v>7.4263000000000003</v>
      </c>
      <c r="G238" s="10">
        <f>CHOOSE(CONTROL!$C$42, 7.4433, 7.4433)*CHOOSE(CONTROL!$C$21, $C$9, 100%, $E$9)</f>
        <v>7.4432999999999998</v>
      </c>
      <c r="H238" s="10">
        <f>CHOOSE(CONTROL!$C$42, 7.6793, 7.6793) * CHOOSE(CONTROL!$C$21, $C$9, 100%, $E$9)</f>
        <v>7.6792999999999996</v>
      </c>
      <c r="I238" s="10">
        <f>CHOOSE(CONTROL!$C$42, 7.4257, 7.4257)* CHOOSE(CONTROL!$C$21, $C$9, 100%, $E$9)</f>
        <v>7.4257</v>
      </c>
      <c r="J238" s="10">
        <f>CHOOSE(CONTROL!$C$42, 7.4193, 7.4193)* CHOOSE(CONTROL!$C$21, $C$9, 100%, $E$9)</f>
        <v>7.4192999999999998</v>
      </c>
      <c r="K238" s="54">
        <f>CHOOSE(CONTROL!$C$42, 7.4218, 7.4218) * CHOOSE(CONTROL!$C$21, $C$9, 100%, $E$9)</f>
        <v>7.4218000000000002</v>
      </c>
      <c r="L238" s="10">
        <f>CHOOSE(CONTROL!$C$42, 8.2663, 8.2663) * CHOOSE(CONTROL!$C$21, $C$9, 100%, $E$9)</f>
        <v>8.2662999999999993</v>
      </c>
      <c r="M238" s="10">
        <f>CHOOSE(CONTROL!$C$42, 7.3582, 7.3582) * CHOOSE(CONTROL!$C$21, $C$9, 100%, $E$9)</f>
        <v>7.3582000000000001</v>
      </c>
      <c r="N238" s="10">
        <f>CHOOSE(CONTROL!$C$42, 7.375, 7.375) * CHOOSE(CONTROL!$C$21, $C$9, 100%, $E$9)</f>
        <v>7.375</v>
      </c>
      <c r="O238" s="10">
        <f>CHOOSE(CONTROL!$C$42, 7.6156, 7.6156) * CHOOSE(CONTROL!$C$21, $C$9, 100%, $E$9)</f>
        <v>7.6155999999999997</v>
      </c>
      <c r="P238" s="10">
        <f>CHOOSE(CONTROL!$C$42, 7.3647, 7.3647) * CHOOSE(CONTROL!$C$21, $C$9, 100%, $E$9)</f>
        <v>7.3647</v>
      </c>
      <c r="Q238" s="10">
        <f>CHOOSE(CONTROL!$C$42, 8.2109, 8.2109) * CHOOSE(CONTROL!$C$21, $C$9, 100%, $E$9)</f>
        <v>8.2109000000000005</v>
      </c>
      <c r="R238" s="10">
        <f>CHOOSE(CONTROL!$C$42, 8.8184, 8.8184) * CHOOSE(CONTROL!$C$21, $C$9, 100%, $E$9)</f>
        <v>8.8184000000000005</v>
      </c>
      <c r="S238" s="10">
        <f>CHOOSE(CONTROL!$C$42, 7.2393, 7.2393) * CHOOSE(CONTROL!$C$21, $C$9, 100%, $E$9)</f>
        <v>7.2393000000000001</v>
      </c>
      <c r="T238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238" s="58">
        <f>(1000*CHOOSE(CONTROL!$C$42, 695, 695)*CHOOSE(CONTROL!$C$42, 0.5599, 0.5599)*CHOOSE(CONTROL!$C$42, 31, 31))/1000000</f>
        <v>12.063045499999998</v>
      </c>
      <c r="V238" s="58">
        <f>(1000*CHOOSE(CONTROL!$C$42, 500, 500)*CHOOSE(CONTROL!$C$42, 0.275, 0.275)*CHOOSE(CONTROL!$C$42, 31, 31))/1000000</f>
        <v>4.2625000000000002</v>
      </c>
      <c r="W238" s="58">
        <f>(1000*CHOOSE(CONTROL!$C$42, 0.1146, 0.1146)*CHOOSE(CONTROL!$C$42, 121.5, 121.5)*CHOOSE(CONTROL!$C$42, 31, 31))/1000000</f>
        <v>0.43164089999999994</v>
      </c>
      <c r="X238" s="58">
        <f>(31*0.1790888*245000/1000000)+(31*0.2374*100000/1000000)</f>
        <v>2.0961194359999999</v>
      </c>
      <c r="Y238" s="58"/>
      <c r="Z238" s="10"/>
      <c r="AA238" s="57"/>
      <c r="AB238" s="51">
        <f>(B238*131.881+C238*277.167+D238*79.08+E238*125.872+F238*40+G238*185+H238*0+I238*100+J238*300)/(131.881+277.167+79.08+125.872+0+40+185+100+300)</f>
        <v>7.4801095699757862</v>
      </c>
      <c r="AC238" s="27">
        <f>(M238*'RAP TEMPLATE-GAS AVAILABILITY'!O237+N238*'RAP TEMPLATE-GAS AVAILABILITY'!P237+O238*'RAP TEMPLATE-GAS AVAILABILITY'!Q237+P238*'RAP TEMPLATE-GAS AVAILABILITY'!R237)/('RAP TEMPLATE-GAS AVAILABILITY'!O237+'RAP TEMPLATE-GAS AVAILABILITY'!P237+'RAP TEMPLATE-GAS AVAILABILITY'!Q237+'RAP TEMPLATE-GAS AVAILABILITY'!R237)</f>
        <v>7.4352230215827344</v>
      </c>
    </row>
    <row r="239" spans="1:29" ht="15.75" x14ac:dyDescent="0.25">
      <c r="A239" s="16">
        <v>48153</v>
      </c>
      <c r="B239" s="10">
        <f>CHOOSE(CONTROL!$C$42, 7.6534, 7.6534) * CHOOSE(CONTROL!$C$21, $C$9, 100%, $E$9)</f>
        <v>7.6534000000000004</v>
      </c>
      <c r="C239" s="10">
        <f>CHOOSE(CONTROL!$C$42, 7.6583, 7.6583) * CHOOSE(CONTROL!$C$21, $C$9, 100%, $E$9)</f>
        <v>7.6582999999999997</v>
      </c>
      <c r="D239" s="10">
        <f>CHOOSE(CONTROL!$C$42, 7.6879, 7.6879) * CHOOSE(CONTROL!$C$21, $C$9, 100%, $E$9)</f>
        <v>7.6879</v>
      </c>
      <c r="E239" s="10">
        <f>CHOOSE(CONTROL!$C$42, 7.7217, 7.7217) * CHOOSE(CONTROL!$C$21, $C$9, 100%, $E$9)</f>
        <v>7.7217000000000002</v>
      </c>
      <c r="F239" s="10">
        <f>CHOOSE(CONTROL!$C$42, 7.6201, 7.6201)*CHOOSE(CONTROL!$C$21, $C$9, 100%, $E$9)</f>
        <v>7.6200999999999999</v>
      </c>
      <c r="G239" s="10">
        <f>CHOOSE(CONTROL!$C$42, 7.6373, 7.6373)*CHOOSE(CONTROL!$C$21, $C$9, 100%, $E$9)</f>
        <v>7.6372999999999998</v>
      </c>
      <c r="H239" s="10">
        <f>CHOOSE(CONTROL!$C$42, 7.7109, 7.7109) * CHOOSE(CONTROL!$C$21, $C$9, 100%, $E$9)</f>
        <v>7.7108999999999996</v>
      </c>
      <c r="I239" s="10">
        <f>CHOOSE(CONTROL!$C$42, 7.617, 7.617)* CHOOSE(CONTROL!$C$21, $C$9, 100%, $E$9)</f>
        <v>7.617</v>
      </c>
      <c r="J239" s="10">
        <f>CHOOSE(CONTROL!$C$42, 7.6131, 7.6131)* CHOOSE(CONTROL!$C$21, $C$9, 100%, $E$9)</f>
        <v>7.6131000000000002</v>
      </c>
      <c r="K239" s="54">
        <f>CHOOSE(CONTROL!$C$42, 7.6131, 7.6131) * CHOOSE(CONTROL!$C$21, $C$9, 100%, $E$9)</f>
        <v>7.6131000000000002</v>
      </c>
      <c r="L239" s="10">
        <f>CHOOSE(CONTROL!$C$42, 8.2979, 8.2979) * CHOOSE(CONTROL!$C$21, $C$9, 100%, $E$9)</f>
        <v>8.2979000000000003</v>
      </c>
      <c r="M239" s="10">
        <f>CHOOSE(CONTROL!$C$42, 7.5501, 7.5501) * CHOOSE(CONTROL!$C$21, $C$9, 100%, $E$9)</f>
        <v>7.5500999999999996</v>
      </c>
      <c r="N239" s="10">
        <f>CHOOSE(CONTROL!$C$42, 7.5671, 7.5671) * CHOOSE(CONTROL!$C$21, $C$9, 100%, $E$9)</f>
        <v>7.5670999999999999</v>
      </c>
      <c r="O239" s="10">
        <f>CHOOSE(CONTROL!$C$42, 7.6469, 7.6469) * CHOOSE(CONTROL!$C$21, $C$9, 100%, $E$9)</f>
        <v>7.6468999999999996</v>
      </c>
      <c r="P239" s="10">
        <f>CHOOSE(CONTROL!$C$42, 7.5539, 7.5539) * CHOOSE(CONTROL!$C$21, $C$9, 100%, $E$9)</f>
        <v>7.5538999999999996</v>
      </c>
      <c r="Q239" s="10">
        <f>CHOOSE(CONTROL!$C$42, 8.2422, 8.2422) * CHOOSE(CONTROL!$C$21, $C$9, 100%, $E$9)</f>
        <v>8.2422000000000004</v>
      </c>
      <c r="R239" s="10">
        <f>CHOOSE(CONTROL!$C$42, 8.8498, 8.8498) * CHOOSE(CONTROL!$C$21, $C$9, 100%, $E$9)</f>
        <v>8.8498000000000001</v>
      </c>
      <c r="S239" s="10">
        <f>CHOOSE(CONTROL!$C$42, 7.43, 7.43) * CHOOSE(CONTROL!$C$21, $C$9, 100%, $E$9)</f>
        <v>7.43</v>
      </c>
      <c r="T239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239" s="58">
        <f>(1000*CHOOSE(CONTROL!$C$42, 695, 695)*CHOOSE(CONTROL!$C$42, 0.5599, 0.5599)*CHOOSE(CONTROL!$C$42, 30, 30))/1000000</f>
        <v>11.673914999999997</v>
      </c>
      <c r="V239" s="58">
        <f>(1000*CHOOSE(CONTROL!$C$42, 500, 500)*CHOOSE(CONTROL!$C$42, 0.275, 0.275)*CHOOSE(CONTROL!$C$42, 30, 30))/1000000</f>
        <v>4.125</v>
      </c>
      <c r="W239" s="58">
        <f>(1000*CHOOSE(CONTROL!$C$42, 0.1146, 0.1146)*CHOOSE(CONTROL!$C$42, 121.5, 121.5)*CHOOSE(CONTROL!$C$42, 30, 30))/1000000</f>
        <v>0.417717</v>
      </c>
      <c r="X239" s="58">
        <f>(30*0.1790888*100000/1000000)+(30*0.2374*100000/1000000)</f>
        <v>1.2494664</v>
      </c>
      <c r="Y239" s="58"/>
      <c r="Z239" s="10"/>
      <c r="AA239" s="57"/>
      <c r="AB239" s="51">
        <f>(B239*122.58+C239*297.941+D239*89.177+E239*40.302+F239*40+G239*160+H239*0+I239*100+J239*300)/(122.58+297.941+89.177+40.302+0+40+160+100+300)</f>
        <v>7.6426618643478257</v>
      </c>
      <c r="AC239" s="27">
        <f>(M239*'RAP TEMPLATE-GAS AVAILABILITY'!O238+N239*'RAP TEMPLATE-GAS AVAILABILITY'!P238+O239*'RAP TEMPLATE-GAS AVAILABILITY'!Q238+P239*'RAP TEMPLATE-GAS AVAILABILITY'!R238)/('RAP TEMPLATE-GAS AVAILABILITY'!O238+'RAP TEMPLATE-GAS AVAILABILITY'!P238+'RAP TEMPLATE-GAS AVAILABILITY'!Q238+'RAP TEMPLATE-GAS AVAILABILITY'!R238)</f>
        <v>7.5954985611510795</v>
      </c>
    </row>
    <row r="240" spans="1:29" ht="15.75" x14ac:dyDescent="0.25">
      <c r="A240" s="16">
        <v>48183</v>
      </c>
      <c r="B240" s="10">
        <f>CHOOSE(CONTROL!$C$42, 8.1749, 8.1749) * CHOOSE(CONTROL!$C$21, $C$9, 100%, $E$9)</f>
        <v>8.1748999999999992</v>
      </c>
      <c r="C240" s="10">
        <f>CHOOSE(CONTROL!$C$42, 8.1799, 8.1799) * CHOOSE(CONTROL!$C$21, $C$9, 100%, $E$9)</f>
        <v>8.1798999999999999</v>
      </c>
      <c r="D240" s="10">
        <f>CHOOSE(CONTROL!$C$42, 8.2095, 8.2095) * CHOOSE(CONTROL!$C$21, $C$9, 100%, $E$9)</f>
        <v>8.2095000000000002</v>
      </c>
      <c r="E240" s="10">
        <f>CHOOSE(CONTROL!$C$42, 8.2433, 8.2433) * CHOOSE(CONTROL!$C$21, $C$9, 100%, $E$9)</f>
        <v>8.2432999999999996</v>
      </c>
      <c r="F240" s="10">
        <f>CHOOSE(CONTROL!$C$42, 8.1432, 8.1432)*CHOOSE(CONTROL!$C$21, $C$9, 100%, $E$9)</f>
        <v>8.1432000000000002</v>
      </c>
      <c r="G240" s="10">
        <f>CHOOSE(CONTROL!$C$42, 8.1607, 8.1607)*CHOOSE(CONTROL!$C$21, $C$9, 100%, $E$9)</f>
        <v>8.1607000000000003</v>
      </c>
      <c r="H240" s="10">
        <f>CHOOSE(CONTROL!$C$42, 8.2325, 8.2325) * CHOOSE(CONTROL!$C$21, $C$9, 100%, $E$9)</f>
        <v>8.2324999999999999</v>
      </c>
      <c r="I240" s="10">
        <f>CHOOSE(CONTROL!$C$42, 8.1385, 8.1385)* CHOOSE(CONTROL!$C$21, $C$9, 100%, $E$9)</f>
        <v>8.1385000000000005</v>
      </c>
      <c r="J240" s="10">
        <f>CHOOSE(CONTROL!$C$42, 8.1362, 8.1362)* CHOOSE(CONTROL!$C$21, $C$9, 100%, $E$9)</f>
        <v>8.1362000000000005</v>
      </c>
      <c r="K240" s="54">
        <f>CHOOSE(CONTROL!$C$42, 8.1347, 8.1347) * CHOOSE(CONTROL!$C$21, $C$9, 100%, $E$9)</f>
        <v>8.1347000000000005</v>
      </c>
      <c r="L240" s="10">
        <f>CHOOSE(CONTROL!$C$42, 8.8195, 8.8195) * CHOOSE(CONTROL!$C$21, $C$9, 100%, $E$9)</f>
        <v>8.8194999999999997</v>
      </c>
      <c r="M240" s="10">
        <f>CHOOSE(CONTROL!$C$42, 8.0679, 8.0679) * CHOOSE(CONTROL!$C$21, $C$9, 100%, $E$9)</f>
        <v>8.0678999999999998</v>
      </c>
      <c r="N240" s="10">
        <f>CHOOSE(CONTROL!$C$42, 8.0852, 8.0852) * CHOOSE(CONTROL!$C$21, $C$9, 100%, $E$9)</f>
        <v>8.0852000000000004</v>
      </c>
      <c r="O240" s="10">
        <f>CHOOSE(CONTROL!$C$42, 8.1632, 8.1632) * CHOOSE(CONTROL!$C$21, $C$9, 100%, $E$9)</f>
        <v>8.1631999999999998</v>
      </c>
      <c r="P240" s="10">
        <f>CHOOSE(CONTROL!$C$42, 8.0703, 8.0703) * CHOOSE(CONTROL!$C$21, $C$9, 100%, $E$9)</f>
        <v>8.0702999999999996</v>
      </c>
      <c r="Q240" s="10">
        <f>CHOOSE(CONTROL!$C$42, 8.7585, 8.7585) * CHOOSE(CONTROL!$C$21, $C$9, 100%, $E$9)</f>
        <v>8.7584999999999997</v>
      </c>
      <c r="R240" s="10">
        <f>CHOOSE(CONTROL!$C$42, 9.3674, 9.3674) * CHOOSE(CONTROL!$C$21, $C$9, 100%, $E$9)</f>
        <v>9.3673999999999999</v>
      </c>
      <c r="S240" s="10">
        <f>CHOOSE(CONTROL!$C$42, 7.9366, 7.9366) * CHOOSE(CONTROL!$C$21, $C$9, 100%, $E$9)</f>
        <v>7.9366000000000003</v>
      </c>
      <c r="T240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240" s="58">
        <f>(1000*CHOOSE(CONTROL!$C$42, 695, 695)*CHOOSE(CONTROL!$C$42, 0.5599, 0.5599)*CHOOSE(CONTROL!$C$42, 31, 31))/1000000</f>
        <v>12.063045499999998</v>
      </c>
      <c r="V240" s="58">
        <f>(1000*CHOOSE(CONTROL!$C$42, 500, 500)*CHOOSE(CONTROL!$C$42, 0.275, 0.275)*CHOOSE(CONTROL!$C$42, 31, 31))/1000000</f>
        <v>4.2625000000000002</v>
      </c>
      <c r="W240" s="58">
        <f>(1000*CHOOSE(CONTROL!$C$42, 0.1146, 0.1146)*CHOOSE(CONTROL!$C$42, 121.5, 121.5)*CHOOSE(CONTROL!$C$42, 31, 31))/1000000</f>
        <v>0.43164089999999994</v>
      </c>
      <c r="X240" s="58">
        <f>(31*0.1790888*100000/1000000)+(31*0.2374*100000/1000000)</f>
        <v>1.2911152800000001</v>
      </c>
      <c r="Y240" s="58"/>
      <c r="Z240" s="10"/>
      <c r="AA240" s="57"/>
      <c r="AB240" s="51">
        <f>(B240*122.58+C240*297.941+D240*89.177+E240*40.302+F240*40+G240*160+H240*0+I240*100+J240*300)/(122.58+297.941+89.177+40.302+0+40+160+100+300)</f>
        <v>8.1649364226086973</v>
      </c>
      <c r="AC240" s="27">
        <f>(M240*'RAP TEMPLATE-GAS AVAILABILITY'!O239+N240*'RAP TEMPLATE-GAS AVAILABILITY'!P239+O240*'RAP TEMPLATE-GAS AVAILABILITY'!Q239+P240*'RAP TEMPLATE-GAS AVAILABILITY'!R239)/('RAP TEMPLATE-GAS AVAILABILITY'!O239+'RAP TEMPLATE-GAS AVAILABILITY'!P239+'RAP TEMPLATE-GAS AVAILABILITY'!Q239+'RAP TEMPLATE-GAS AVAILABILITY'!R239)</f>
        <v>8.1124345323741007</v>
      </c>
    </row>
    <row r="241" spans="1:29" ht="15.75" x14ac:dyDescent="0.25">
      <c r="A241" s="16">
        <v>48214</v>
      </c>
      <c r="B241" s="10">
        <f>CHOOSE(CONTROL!$C$42, 8.8445, 8.8445) * CHOOSE(CONTROL!$C$21, $C$9, 100%, $E$9)</f>
        <v>8.8445</v>
      </c>
      <c r="C241" s="10">
        <f>CHOOSE(CONTROL!$C$42, 8.8495, 8.8495) * CHOOSE(CONTROL!$C$21, $C$9, 100%, $E$9)</f>
        <v>8.8495000000000008</v>
      </c>
      <c r="D241" s="10">
        <f>CHOOSE(CONTROL!$C$42, 8.8997, 8.8997) * CHOOSE(CONTROL!$C$21, $C$9, 100%, $E$9)</f>
        <v>8.8996999999999993</v>
      </c>
      <c r="E241" s="10">
        <f>CHOOSE(CONTROL!$C$42, 8.9335, 8.9335) * CHOOSE(CONTROL!$C$21, $C$9, 100%, $E$9)</f>
        <v>8.9335000000000004</v>
      </c>
      <c r="F241" s="10">
        <f>CHOOSE(CONTROL!$C$42, 8.8099, 8.8099)*CHOOSE(CONTROL!$C$21, $C$9, 100%, $E$9)</f>
        <v>8.8099000000000007</v>
      </c>
      <c r="G241" s="10">
        <f>CHOOSE(CONTROL!$C$42, 8.8275, 8.8275)*CHOOSE(CONTROL!$C$21, $C$9, 100%, $E$9)</f>
        <v>8.8275000000000006</v>
      </c>
      <c r="H241" s="10">
        <f>CHOOSE(CONTROL!$C$42, 8.9227, 8.9227) * CHOOSE(CONTROL!$C$21, $C$9, 100%, $E$9)</f>
        <v>8.9227000000000007</v>
      </c>
      <c r="I241" s="10">
        <f>CHOOSE(CONTROL!$C$42, 8.8184, 8.8184)* CHOOSE(CONTROL!$C$21, $C$9, 100%, $E$9)</f>
        <v>8.8184000000000005</v>
      </c>
      <c r="J241" s="10">
        <f>CHOOSE(CONTROL!$C$42, 8.8029, 8.8029)* CHOOSE(CONTROL!$C$21, $C$9, 100%, $E$9)</f>
        <v>8.8028999999999993</v>
      </c>
      <c r="K241" s="54">
        <f>CHOOSE(CONTROL!$C$42, 8.8145, 8.8145) * CHOOSE(CONTROL!$C$21, $C$9, 100%, $E$9)</f>
        <v>8.8145000000000007</v>
      </c>
      <c r="L241" s="10">
        <f>CHOOSE(CONTROL!$C$42, 9.5097, 9.5097) * CHOOSE(CONTROL!$C$21, $C$9, 100%, $E$9)</f>
        <v>9.5097000000000005</v>
      </c>
      <c r="M241" s="10">
        <f>CHOOSE(CONTROL!$C$42, 8.7279, 8.7279) * CHOOSE(CONTROL!$C$21, $C$9, 100%, $E$9)</f>
        <v>8.7279</v>
      </c>
      <c r="N241" s="10">
        <f>CHOOSE(CONTROL!$C$42, 8.7453, 8.7453) * CHOOSE(CONTROL!$C$21, $C$9, 100%, $E$9)</f>
        <v>8.7453000000000003</v>
      </c>
      <c r="O241" s="10">
        <f>CHOOSE(CONTROL!$C$42, 8.8464, 8.8464) * CHOOSE(CONTROL!$C$21, $C$9, 100%, $E$9)</f>
        <v>8.8463999999999992</v>
      </c>
      <c r="P241" s="10">
        <f>CHOOSE(CONTROL!$C$42, 8.7433, 8.7433) * CHOOSE(CONTROL!$C$21, $C$9, 100%, $E$9)</f>
        <v>8.7432999999999996</v>
      </c>
      <c r="Q241" s="10">
        <f>CHOOSE(CONTROL!$C$42, 9.4417, 9.4417) * CHOOSE(CONTROL!$C$21, $C$9, 100%, $E$9)</f>
        <v>9.4417000000000009</v>
      </c>
      <c r="R241" s="10">
        <f>CHOOSE(CONTROL!$C$42, 10.0523, 10.0523) * CHOOSE(CONTROL!$C$21, $C$9, 100%, $E$9)</f>
        <v>10.052300000000001</v>
      </c>
      <c r="S241" s="10">
        <f>CHOOSE(CONTROL!$C$42, 8.5868, 8.5868) * CHOOSE(CONTROL!$C$21, $C$9, 100%, $E$9)</f>
        <v>8.5868000000000002</v>
      </c>
      <c r="T241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241" s="58">
        <f>(1000*CHOOSE(CONTROL!$C$42, 695, 695)*CHOOSE(CONTROL!$C$42, 0.5599, 0.5599)*CHOOSE(CONTROL!$C$42, 31, 31))/1000000</f>
        <v>12.063045499999998</v>
      </c>
      <c r="V241" s="58">
        <f>(1000*CHOOSE(CONTROL!$C$42, 500, 500)*CHOOSE(CONTROL!$C$42, 0.275, 0.275)*CHOOSE(CONTROL!$C$42, 31, 31))/1000000</f>
        <v>4.2625000000000002</v>
      </c>
      <c r="W241" s="58">
        <f>(1000*CHOOSE(CONTROL!$C$42, 0.1146, 0.1146)*CHOOSE(CONTROL!$C$42, 121.5, 121.5)*CHOOSE(CONTROL!$C$42, 31, 31))/1000000</f>
        <v>0.43164089999999994</v>
      </c>
      <c r="X241" s="58">
        <f>(31*0.1790888*100000/1000000)+(31*0.2374*100000/1000000)</f>
        <v>1.2911152800000001</v>
      </c>
      <c r="Y241" s="58"/>
      <c r="Z241" s="10"/>
      <c r="AA241" s="57"/>
      <c r="AB241" s="51">
        <f>(B241*122.58+C241*297.941+D241*89.177+E241*40.302+F241*40+G241*160+H241*0+I241*100+J241*300)/(122.58+297.941+89.177+40.302+0+40+160+100+300)</f>
        <v>8.836504481217391</v>
      </c>
      <c r="AC241" s="27">
        <f>(M241*'RAP TEMPLATE-GAS AVAILABILITY'!O240+N241*'RAP TEMPLATE-GAS AVAILABILITY'!P240+O241*'RAP TEMPLATE-GAS AVAILABILITY'!Q240+P241*'RAP TEMPLATE-GAS AVAILABILITY'!R240)/('RAP TEMPLATE-GAS AVAILABILITY'!O240+'RAP TEMPLATE-GAS AVAILABILITY'!P240+'RAP TEMPLATE-GAS AVAILABILITY'!Q240+'RAP TEMPLATE-GAS AVAILABILITY'!R240)</f>
        <v>8.784825899280575</v>
      </c>
    </row>
    <row r="242" spans="1:29" ht="15.75" x14ac:dyDescent="0.25">
      <c r="A242" s="16">
        <v>48245</v>
      </c>
      <c r="B242" s="10">
        <f>CHOOSE(CONTROL!$C$42, 9.0019, 9.0019) * CHOOSE(CONTROL!$C$21, $C$9, 100%, $E$9)</f>
        <v>9.0018999999999991</v>
      </c>
      <c r="C242" s="10">
        <f>CHOOSE(CONTROL!$C$42, 9.0069, 9.0069) * CHOOSE(CONTROL!$C$21, $C$9, 100%, $E$9)</f>
        <v>9.0068999999999999</v>
      </c>
      <c r="D242" s="10">
        <f>CHOOSE(CONTROL!$C$42, 9.0674, 9.0674) * CHOOSE(CONTROL!$C$21, $C$9, 100%, $E$9)</f>
        <v>9.0673999999999992</v>
      </c>
      <c r="E242" s="10">
        <f>CHOOSE(CONTROL!$C$42, 9.1012, 9.1012) * CHOOSE(CONTROL!$C$21, $C$9, 100%, $E$9)</f>
        <v>9.1012000000000004</v>
      </c>
      <c r="F242" s="10">
        <f>CHOOSE(CONTROL!$C$42, 8.9952, 8.9952)*CHOOSE(CONTROL!$C$21, $C$9, 100%, $E$9)</f>
        <v>8.9952000000000005</v>
      </c>
      <c r="G242" s="10">
        <f>CHOOSE(CONTROL!$C$42, 9.0125, 9.0125)*CHOOSE(CONTROL!$C$21, $C$9, 100%, $E$9)</f>
        <v>9.0124999999999993</v>
      </c>
      <c r="H242" s="10">
        <f>CHOOSE(CONTROL!$C$42, 9.0904, 9.0904) * CHOOSE(CONTROL!$C$21, $C$9, 100%, $E$9)</f>
        <v>9.0904000000000007</v>
      </c>
      <c r="I242" s="10">
        <f>CHOOSE(CONTROL!$C$42, 8.9887, 8.9887)* CHOOSE(CONTROL!$C$21, $C$9, 100%, $E$9)</f>
        <v>8.9886999999999997</v>
      </c>
      <c r="J242" s="10">
        <f>CHOOSE(CONTROL!$C$42, 8.9882, 8.9882)* CHOOSE(CONTROL!$C$21, $C$9, 100%, $E$9)</f>
        <v>8.9882000000000009</v>
      </c>
      <c r="K242" s="54">
        <f>CHOOSE(CONTROL!$C$42, 8.9848, 8.9848) * CHOOSE(CONTROL!$C$21, $C$9, 100%, $E$9)</f>
        <v>8.9847999999999999</v>
      </c>
      <c r="L242" s="10">
        <f>CHOOSE(CONTROL!$C$42, 9.6774, 9.6774) * CHOOSE(CONTROL!$C$21, $C$9, 100%, $E$9)</f>
        <v>9.6774000000000004</v>
      </c>
      <c r="M242" s="10">
        <f>CHOOSE(CONTROL!$C$42, 8.9113, 8.9113) * CHOOSE(CONTROL!$C$21, $C$9, 100%, $E$9)</f>
        <v>8.9113000000000007</v>
      </c>
      <c r="N242" s="10">
        <f>CHOOSE(CONTROL!$C$42, 8.9284, 8.9284) * CHOOSE(CONTROL!$C$21, $C$9, 100%, $E$9)</f>
        <v>8.9283999999999999</v>
      </c>
      <c r="O242" s="10">
        <f>CHOOSE(CONTROL!$C$42, 9.0124, 9.0124) * CHOOSE(CONTROL!$C$21, $C$9, 100%, $E$9)</f>
        <v>9.0123999999999995</v>
      </c>
      <c r="P242" s="10">
        <f>CHOOSE(CONTROL!$C$42, 8.9118, 8.9118) * CHOOSE(CONTROL!$C$21, $C$9, 100%, $E$9)</f>
        <v>8.9117999999999995</v>
      </c>
      <c r="Q242" s="10">
        <f>CHOOSE(CONTROL!$C$42, 9.6077, 9.6077) * CHOOSE(CONTROL!$C$21, $C$9, 100%, $E$9)</f>
        <v>9.6076999999999995</v>
      </c>
      <c r="R242" s="10">
        <f>CHOOSE(CONTROL!$C$42, 10.2188, 10.2188) * CHOOSE(CONTROL!$C$21, $C$9, 100%, $E$9)</f>
        <v>10.2188</v>
      </c>
      <c r="S242" s="10">
        <f>CHOOSE(CONTROL!$C$42, 8.7396, 8.7396) * CHOOSE(CONTROL!$C$21, $C$9, 100%, $E$9)</f>
        <v>8.7395999999999994</v>
      </c>
      <c r="T242" s="5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242" s="58">
        <f>(1000*CHOOSE(CONTROL!$C$42, 695, 695)*CHOOSE(CONTROL!$C$42, 0.5599, 0.5599)*CHOOSE(CONTROL!$C$42, 29, 29))/1000000</f>
        <v>11.284784499999999</v>
      </c>
      <c r="V242" s="58">
        <f>(1000*CHOOSE(CONTROL!$C$42, 500, 500)*CHOOSE(CONTROL!$C$42, 0.275, 0.275)*CHOOSE(CONTROL!$C$42, 29, 29))/1000000</f>
        <v>3.9874999999999998</v>
      </c>
      <c r="W242" s="58">
        <f>(1000*CHOOSE(CONTROL!$C$42, 0.1146, 0.1146)*CHOOSE(CONTROL!$C$42, 121.5, 121.5)*CHOOSE(CONTROL!$C$42, 29, 29))/1000000</f>
        <v>0.40379309999999996</v>
      </c>
      <c r="X242" s="58">
        <f>(29*0.1790888*100000/1000000)+(29*0.2374*100000/1000000)</f>
        <v>1.2078175199999999</v>
      </c>
      <c r="Y242" s="58"/>
      <c r="Z242" s="10"/>
      <c r="AA242" s="57"/>
      <c r="AB242" s="51">
        <f>(B242*122.58+C242*297.941+D242*89.177+E242*40.302+F242*40+G242*160+H242*0+I242*100+J242*300)/(122.58+297.941+89.177+40.302+0+40+160+100+300)</f>
        <v>9.0082745974782608</v>
      </c>
      <c r="AC242" s="27">
        <f>(M242*'RAP TEMPLATE-GAS AVAILABILITY'!O241+N242*'RAP TEMPLATE-GAS AVAILABILITY'!P241+O242*'RAP TEMPLATE-GAS AVAILABILITY'!Q241+P242*'RAP TEMPLATE-GAS AVAILABILITY'!R241)/('RAP TEMPLATE-GAS AVAILABILITY'!O241+'RAP TEMPLATE-GAS AVAILABILITY'!P241+'RAP TEMPLATE-GAS AVAILABILITY'!Q241+'RAP TEMPLATE-GAS AVAILABILITY'!R241)</f>
        <v>8.958178417266188</v>
      </c>
    </row>
    <row r="243" spans="1:29" ht="15.75" x14ac:dyDescent="0.25">
      <c r="A243" s="16">
        <v>48274</v>
      </c>
      <c r="B243" s="10">
        <f>CHOOSE(CONTROL!$C$42, 8.7464, 8.7464) * CHOOSE(CONTROL!$C$21, $C$9, 100%, $E$9)</f>
        <v>8.7463999999999995</v>
      </c>
      <c r="C243" s="10">
        <f>CHOOSE(CONTROL!$C$42, 8.7514, 8.7514) * CHOOSE(CONTROL!$C$21, $C$9, 100%, $E$9)</f>
        <v>8.7514000000000003</v>
      </c>
      <c r="D243" s="10">
        <f>CHOOSE(CONTROL!$C$42, 8.8119, 8.8119) * CHOOSE(CONTROL!$C$21, $C$9, 100%, $E$9)</f>
        <v>8.8118999999999996</v>
      </c>
      <c r="E243" s="10">
        <f>CHOOSE(CONTROL!$C$42, 8.8457, 8.8457) * CHOOSE(CONTROL!$C$21, $C$9, 100%, $E$9)</f>
        <v>8.8457000000000008</v>
      </c>
      <c r="F243" s="10">
        <f>CHOOSE(CONTROL!$C$42, 8.7342, 8.7342)*CHOOSE(CONTROL!$C$21, $C$9, 100%, $E$9)</f>
        <v>8.7341999999999995</v>
      </c>
      <c r="G243" s="10">
        <f>CHOOSE(CONTROL!$C$42, 8.7514, 8.7514)*CHOOSE(CONTROL!$C$21, $C$9, 100%, $E$9)</f>
        <v>8.7514000000000003</v>
      </c>
      <c r="H243" s="10">
        <f>CHOOSE(CONTROL!$C$42, 8.8349, 8.8349) * CHOOSE(CONTROL!$C$21, $C$9, 100%, $E$9)</f>
        <v>8.8348999999999993</v>
      </c>
      <c r="I243" s="10">
        <f>CHOOSE(CONTROL!$C$42, 8.7203, 8.7203)* CHOOSE(CONTROL!$C$21, $C$9, 100%, $E$9)</f>
        <v>8.7202999999999999</v>
      </c>
      <c r="J243" s="10">
        <f>CHOOSE(CONTROL!$C$42, 8.7272, 8.7272)* CHOOSE(CONTROL!$C$21, $C$9, 100%, $E$9)</f>
        <v>8.7271999999999998</v>
      </c>
      <c r="K243" s="54">
        <f>CHOOSE(CONTROL!$C$42, 8.7164, 8.7164) * CHOOSE(CONTROL!$C$21, $C$9, 100%, $E$9)</f>
        <v>8.7164000000000001</v>
      </c>
      <c r="L243" s="10">
        <f>CHOOSE(CONTROL!$C$42, 9.4219, 9.4219) * CHOOSE(CONTROL!$C$21, $C$9, 100%, $E$9)</f>
        <v>9.4219000000000008</v>
      </c>
      <c r="M243" s="10">
        <f>CHOOSE(CONTROL!$C$42, 8.6529, 8.6529) * CHOOSE(CONTROL!$C$21, $C$9, 100%, $E$9)</f>
        <v>8.6529000000000007</v>
      </c>
      <c r="N243" s="10">
        <f>CHOOSE(CONTROL!$C$42, 8.6699, 8.6699) * CHOOSE(CONTROL!$C$21, $C$9, 100%, $E$9)</f>
        <v>8.6699000000000002</v>
      </c>
      <c r="O243" s="10">
        <f>CHOOSE(CONTROL!$C$42, 8.7595, 8.7595) * CHOOSE(CONTROL!$C$21, $C$9, 100%, $E$9)</f>
        <v>8.7594999999999992</v>
      </c>
      <c r="P243" s="10">
        <f>CHOOSE(CONTROL!$C$42, 8.6462, 8.6462) * CHOOSE(CONTROL!$C$21, $C$9, 100%, $E$9)</f>
        <v>8.6462000000000003</v>
      </c>
      <c r="Q243" s="10">
        <f>CHOOSE(CONTROL!$C$42, 9.3548, 9.3548) * CHOOSE(CONTROL!$C$21, $C$9, 100%, $E$9)</f>
        <v>9.3547999999999991</v>
      </c>
      <c r="R243" s="10">
        <f>CHOOSE(CONTROL!$C$42, 9.9652, 9.9652) * CHOOSE(CONTROL!$C$21, $C$9, 100%, $E$9)</f>
        <v>9.9651999999999994</v>
      </c>
      <c r="S243" s="10">
        <f>CHOOSE(CONTROL!$C$42, 8.4915, 8.4915) * CHOOSE(CONTROL!$C$21, $C$9, 100%, $E$9)</f>
        <v>8.4915000000000003</v>
      </c>
      <c r="T243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243" s="58">
        <f>(1000*CHOOSE(CONTROL!$C$42, 695, 695)*CHOOSE(CONTROL!$C$42, 0.5599, 0.5599)*CHOOSE(CONTROL!$C$42, 31, 31))/1000000</f>
        <v>12.063045499999998</v>
      </c>
      <c r="V243" s="58">
        <f>(1000*CHOOSE(CONTROL!$C$42, 500, 500)*CHOOSE(CONTROL!$C$42, 0.275, 0.275)*CHOOSE(CONTROL!$C$42, 31, 31))/1000000</f>
        <v>4.2625000000000002</v>
      </c>
      <c r="W243" s="58">
        <f>(1000*CHOOSE(CONTROL!$C$42, 0.1146, 0.1146)*CHOOSE(CONTROL!$C$42, 121.5, 121.5)*CHOOSE(CONTROL!$C$42, 31, 31))/1000000</f>
        <v>0.43164089999999994</v>
      </c>
      <c r="X243" s="58">
        <f>(31*0.1790888*100000/1000000)+(31*0.2374*100000/1000000)</f>
        <v>1.2911152800000001</v>
      </c>
      <c r="Y243" s="58"/>
      <c r="Z243" s="10"/>
      <c r="AA243" s="57"/>
      <c r="AB243" s="51">
        <f>(B243*122.58+C243*297.941+D243*89.177+E243*40.302+F243*40+G243*160+H243*0+I243*100+J243*300)/(122.58+297.941+89.177+40.302+0+40+160+100+300)</f>
        <v>8.7492476409565221</v>
      </c>
      <c r="AC243" s="27">
        <f>(M243*'RAP TEMPLATE-GAS AVAILABILITY'!O242+N243*'RAP TEMPLATE-GAS AVAILABILITY'!P242+O243*'RAP TEMPLATE-GAS AVAILABILITY'!Q242+P243*'RAP TEMPLATE-GAS AVAILABILITY'!R242)/('RAP TEMPLATE-GAS AVAILABILITY'!O242+'RAP TEMPLATE-GAS AVAILABILITY'!P242+'RAP TEMPLATE-GAS AVAILABILITY'!Q242+'RAP TEMPLATE-GAS AVAILABILITY'!R242)</f>
        <v>8.7012294964028776</v>
      </c>
    </row>
    <row r="244" spans="1:29" ht="15.75" x14ac:dyDescent="0.25">
      <c r="A244" s="16">
        <v>48305</v>
      </c>
      <c r="B244" s="10">
        <f>CHOOSE(CONTROL!$C$42, 8.7214, 8.7214) * CHOOSE(CONTROL!$C$21, $C$9, 100%, $E$9)</f>
        <v>8.7213999999999992</v>
      </c>
      <c r="C244" s="10">
        <f>CHOOSE(CONTROL!$C$42, 8.7258, 8.7258) * CHOOSE(CONTROL!$C$21, $C$9, 100%, $E$9)</f>
        <v>8.7257999999999996</v>
      </c>
      <c r="D244" s="10">
        <f>CHOOSE(CONTROL!$C$42, 8.9214, 8.9214) * CHOOSE(CONTROL!$C$21, $C$9, 100%, $E$9)</f>
        <v>8.9214000000000002</v>
      </c>
      <c r="E244" s="10">
        <f>CHOOSE(CONTROL!$C$42, 8.9532, 8.9532) * CHOOSE(CONTROL!$C$21, $C$9, 100%, $E$9)</f>
        <v>8.9532000000000007</v>
      </c>
      <c r="F244" s="10">
        <f>CHOOSE(CONTROL!$C$42, 8.6892, 8.6892)*CHOOSE(CONTROL!$C$21, $C$9, 100%, $E$9)</f>
        <v>8.6891999999999996</v>
      </c>
      <c r="G244" s="10">
        <f>CHOOSE(CONTROL!$C$42, 8.706, 8.706)*CHOOSE(CONTROL!$C$21, $C$9, 100%, $E$9)</f>
        <v>8.7059999999999995</v>
      </c>
      <c r="H244" s="10">
        <f>CHOOSE(CONTROL!$C$42, 8.9429, 8.9429) * CHOOSE(CONTROL!$C$21, $C$9, 100%, $E$9)</f>
        <v>8.9428999999999998</v>
      </c>
      <c r="I244" s="10">
        <f>CHOOSE(CONTROL!$C$42, 8.6894, 8.6894)* CHOOSE(CONTROL!$C$21, $C$9, 100%, $E$9)</f>
        <v>8.6893999999999991</v>
      </c>
      <c r="J244" s="10">
        <f>CHOOSE(CONTROL!$C$42, 8.6822, 8.6822)* CHOOSE(CONTROL!$C$21, $C$9, 100%, $E$9)</f>
        <v>8.6821999999999999</v>
      </c>
      <c r="K244" s="54">
        <f>CHOOSE(CONTROL!$C$42, 8.6855, 8.6855) * CHOOSE(CONTROL!$C$21, $C$9, 100%, $E$9)</f>
        <v>8.6854999999999993</v>
      </c>
      <c r="L244" s="10">
        <f>CHOOSE(CONTROL!$C$42, 9.5299, 9.5299) * CHOOSE(CONTROL!$C$21, $C$9, 100%, $E$9)</f>
        <v>9.5298999999999996</v>
      </c>
      <c r="M244" s="10">
        <f>CHOOSE(CONTROL!$C$42, 8.6084, 8.6084) * CHOOSE(CONTROL!$C$21, $C$9, 100%, $E$9)</f>
        <v>8.6083999999999996</v>
      </c>
      <c r="N244" s="10">
        <f>CHOOSE(CONTROL!$C$42, 8.6251, 8.6251) * CHOOSE(CONTROL!$C$21, $C$9, 100%, $E$9)</f>
        <v>8.6250999999999998</v>
      </c>
      <c r="O244" s="10">
        <f>CHOOSE(CONTROL!$C$42, 8.8665, 8.8665) * CHOOSE(CONTROL!$C$21, $C$9, 100%, $E$9)</f>
        <v>8.8665000000000003</v>
      </c>
      <c r="P244" s="10">
        <f>CHOOSE(CONTROL!$C$42, 8.6156, 8.6156) * CHOOSE(CONTROL!$C$21, $C$9, 100%, $E$9)</f>
        <v>8.6156000000000006</v>
      </c>
      <c r="Q244" s="10">
        <f>CHOOSE(CONTROL!$C$42, 9.4618, 9.4618) * CHOOSE(CONTROL!$C$21, $C$9, 100%, $E$9)</f>
        <v>9.4618000000000002</v>
      </c>
      <c r="R244" s="10">
        <f>CHOOSE(CONTROL!$C$42, 10.0725, 10.0725) * CHOOSE(CONTROL!$C$21, $C$9, 100%, $E$9)</f>
        <v>10.0725</v>
      </c>
      <c r="S244" s="10">
        <f>CHOOSE(CONTROL!$C$42, 8.4665, 8.4665) * CHOOSE(CONTROL!$C$21, $C$9, 100%, $E$9)</f>
        <v>8.4664999999999999</v>
      </c>
      <c r="T244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244" s="58">
        <f>(1000*CHOOSE(CONTROL!$C$42, 695, 695)*CHOOSE(CONTROL!$C$42, 0.5599, 0.5599)*CHOOSE(CONTROL!$C$42, 30, 30))/1000000</f>
        <v>11.673914999999997</v>
      </c>
      <c r="V244" s="58">
        <f>(1000*CHOOSE(CONTROL!$C$42, 500, 500)*CHOOSE(CONTROL!$C$42, 0.275, 0.275)*CHOOSE(CONTROL!$C$42, 30, 30))/1000000</f>
        <v>4.125</v>
      </c>
      <c r="W244" s="58">
        <f>(1000*CHOOSE(CONTROL!$C$42, 0.1146, 0.1146)*CHOOSE(CONTROL!$C$42, 121.5, 121.5)*CHOOSE(CONTROL!$C$42, 30, 30))/1000000</f>
        <v>0.417717</v>
      </c>
      <c r="X244" s="58">
        <f>(30*0.1790888*245000/1000000)+(30*0.2374*100000/1000000)</f>
        <v>2.0285026799999999</v>
      </c>
      <c r="Y244" s="58"/>
      <c r="Z244" s="10"/>
      <c r="AA244" s="57"/>
      <c r="AB244" s="51">
        <f>(B244*141.293+C244*267.993+D244*115.016+E244*89.698+F244*40+G244*185+H244*0+I244*100+J244*300)/(141.293+267.993+115.016+89.698+0+40+185+100+300)</f>
        <v>8.742285686521388</v>
      </c>
      <c r="AC244" s="27">
        <f>(M244*'RAP TEMPLATE-GAS AVAILABILITY'!O243+N244*'RAP TEMPLATE-GAS AVAILABILITY'!P243+O244*'RAP TEMPLATE-GAS AVAILABILITY'!Q243+P244*'RAP TEMPLATE-GAS AVAILABILITY'!R243)/('RAP TEMPLATE-GAS AVAILABILITY'!O243+'RAP TEMPLATE-GAS AVAILABILITY'!P243+'RAP TEMPLATE-GAS AVAILABILITY'!Q243+'RAP TEMPLATE-GAS AVAILABILITY'!R243)</f>
        <v>8.6856971223021588</v>
      </c>
    </row>
    <row r="245" spans="1:29" ht="15.75" x14ac:dyDescent="0.25">
      <c r="A245" s="16">
        <v>48335</v>
      </c>
      <c r="B245" s="10">
        <f>CHOOSE(CONTROL!$C$42, 8.7998, 8.7998) * CHOOSE(CONTROL!$C$21, $C$9, 100%, $E$9)</f>
        <v>8.7997999999999994</v>
      </c>
      <c r="C245" s="10">
        <f>CHOOSE(CONTROL!$C$42, 8.8077, 8.8077) * CHOOSE(CONTROL!$C$21, $C$9, 100%, $E$9)</f>
        <v>8.8077000000000005</v>
      </c>
      <c r="D245" s="10">
        <f>CHOOSE(CONTROL!$C$42, 9.0001, 9.0001) * CHOOSE(CONTROL!$C$21, $C$9, 100%, $E$9)</f>
        <v>9.0000999999999998</v>
      </c>
      <c r="E245" s="10">
        <f>CHOOSE(CONTROL!$C$42, 9.0313, 9.0313) * CHOOSE(CONTROL!$C$21, $C$9, 100%, $E$9)</f>
        <v>9.0312999999999999</v>
      </c>
      <c r="F245" s="10">
        <f>CHOOSE(CONTROL!$C$42, 8.766, 8.766)*CHOOSE(CONTROL!$C$21, $C$9, 100%, $E$9)</f>
        <v>8.766</v>
      </c>
      <c r="G245" s="10">
        <f>CHOOSE(CONTROL!$C$42, 8.7831, 8.7831)*CHOOSE(CONTROL!$C$21, $C$9, 100%, $E$9)</f>
        <v>8.7830999999999992</v>
      </c>
      <c r="H245" s="10">
        <f>CHOOSE(CONTROL!$C$42, 9.0199, 9.0199) * CHOOSE(CONTROL!$C$21, $C$9, 100%, $E$9)</f>
        <v>9.0198999999999998</v>
      </c>
      <c r="I245" s="10">
        <f>CHOOSE(CONTROL!$C$42, 8.7663, 8.7663)* CHOOSE(CONTROL!$C$21, $C$9, 100%, $E$9)</f>
        <v>8.7662999999999993</v>
      </c>
      <c r="J245" s="10">
        <f>CHOOSE(CONTROL!$C$42, 8.759, 8.759)* CHOOSE(CONTROL!$C$21, $C$9, 100%, $E$9)</f>
        <v>8.7590000000000003</v>
      </c>
      <c r="K245" s="54">
        <f>CHOOSE(CONTROL!$C$42, 8.7624, 8.7624) * CHOOSE(CONTROL!$C$21, $C$9, 100%, $E$9)</f>
        <v>8.7623999999999995</v>
      </c>
      <c r="L245" s="10">
        <f>CHOOSE(CONTROL!$C$42, 9.6069, 9.6069) * CHOOSE(CONTROL!$C$21, $C$9, 100%, $E$9)</f>
        <v>9.6068999999999996</v>
      </c>
      <c r="M245" s="10">
        <f>CHOOSE(CONTROL!$C$42, 8.6845, 8.6845) * CHOOSE(CONTROL!$C$21, $C$9, 100%, $E$9)</f>
        <v>8.6844999999999999</v>
      </c>
      <c r="N245" s="10">
        <f>CHOOSE(CONTROL!$C$42, 8.7014, 8.7014) * CHOOSE(CONTROL!$C$21, $C$9, 100%, $E$9)</f>
        <v>8.7013999999999996</v>
      </c>
      <c r="O245" s="10">
        <f>CHOOSE(CONTROL!$C$42, 8.9427, 8.9427) * CHOOSE(CONTROL!$C$21, $C$9, 100%, $E$9)</f>
        <v>8.9427000000000003</v>
      </c>
      <c r="P245" s="10">
        <f>CHOOSE(CONTROL!$C$42, 8.6917, 8.6917) * CHOOSE(CONTROL!$C$21, $C$9, 100%, $E$9)</f>
        <v>8.6917000000000009</v>
      </c>
      <c r="Q245" s="10">
        <f>CHOOSE(CONTROL!$C$42, 9.538, 9.538) * CHOOSE(CONTROL!$C$21, $C$9, 100%, $E$9)</f>
        <v>9.5380000000000003</v>
      </c>
      <c r="R245" s="10">
        <f>CHOOSE(CONTROL!$C$42, 10.1488, 10.1488) * CHOOSE(CONTROL!$C$21, $C$9, 100%, $E$9)</f>
        <v>10.1488</v>
      </c>
      <c r="S245" s="10">
        <f>CHOOSE(CONTROL!$C$42, 8.5412, 8.5412) * CHOOSE(CONTROL!$C$21, $C$9, 100%, $E$9)</f>
        <v>8.5411999999999999</v>
      </c>
      <c r="T245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245" s="58">
        <f>(1000*CHOOSE(CONTROL!$C$42, 695, 695)*CHOOSE(CONTROL!$C$42, 0.5599, 0.5599)*CHOOSE(CONTROL!$C$42, 31, 31))/1000000</f>
        <v>12.063045499999998</v>
      </c>
      <c r="V245" s="58">
        <f>(1000*CHOOSE(CONTROL!$C$42, 500, 500)*CHOOSE(CONTROL!$C$42, 0.275, 0.275)*CHOOSE(CONTROL!$C$42, 31, 31))/1000000</f>
        <v>4.2625000000000002</v>
      </c>
      <c r="W245" s="58">
        <f>(1000*CHOOSE(CONTROL!$C$42, 0.1146, 0.1146)*CHOOSE(CONTROL!$C$42, 121.5, 121.5)*CHOOSE(CONTROL!$C$42, 31, 31))/1000000</f>
        <v>0.43164089999999994</v>
      </c>
      <c r="X245" s="58">
        <f>(31*0.1790888*245000/1000000)+(31*0.2374*100000/1000000)</f>
        <v>2.0961194359999999</v>
      </c>
      <c r="Y245" s="58"/>
      <c r="Z245" s="10"/>
      <c r="AA245" s="57"/>
      <c r="AB245" s="51">
        <f>(B245*194.205+C245*267.466+D245*133.845+E245*53.484+F245*40+G245*185+H245*0+I245*100+J245*300)/(194.205+267.466+133.845+53.484+0+40+185+100+300)</f>
        <v>8.8164971592621662</v>
      </c>
      <c r="AC245" s="27">
        <f>(M245*'RAP TEMPLATE-GAS AVAILABILITY'!O244+N245*'RAP TEMPLATE-GAS AVAILABILITY'!P244+O245*'RAP TEMPLATE-GAS AVAILABILITY'!Q244+P245*'RAP TEMPLATE-GAS AVAILABILITY'!R244)/('RAP TEMPLATE-GAS AVAILABILITY'!O244+'RAP TEMPLATE-GAS AVAILABILITY'!P244+'RAP TEMPLATE-GAS AVAILABILITY'!Q244+'RAP TEMPLATE-GAS AVAILABILITY'!R244)</f>
        <v>8.7618712230215827</v>
      </c>
    </row>
    <row r="246" spans="1:29" ht="15.75" x14ac:dyDescent="0.25">
      <c r="A246" s="16">
        <v>48366</v>
      </c>
      <c r="B246" s="10">
        <f>CHOOSE(CONTROL!$C$42, 9.0492, 9.0492) * CHOOSE(CONTROL!$C$21, $C$9, 100%, $E$9)</f>
        <v>9.0492000000000008</v>
      </c>
      <c r="C246" s="10">
        <f>CHOOSE(CONTROL!$C$42, 9.0571, 9.0571) * CHOOSE(CONTROL!$C$21, $C$9, 100%, $E$9)</f>
        <v>9.0571000000000002</v>
      </c>
      <c r="D246" s="10">
        <f>CHOOSE(CONTROL!$C$42, 9.2496, 9.2496) * CHOOSE(CONTROL!$C$21, $C$9, 100%, $E$9)</f>
        <v>9.2495999999999992</v>
      </c>
      <c r="E246" s="10">
        <f>CHOOSE(CONTROL!$C$42, 9.2807, 9.2807) * CHOOSE(CONTROL!$C$21, $C$9, 100%, $E$9)</f>
        <v>9.2806999999999995</v>
      </c>
      <c r="F246" s="10">
        <f>CHOOSE(CONTROL!$C$42, 9.0157, 9.0157)*CHOOSE(CONTROL!$C$21, $C$9, 100%, $E$9)</f>
        <v>9.0157000000000007</v>
      </c>
      <c r="G246" s="10">
        <f>CHOOSE(CONTROL!$C$42, 9.0329, 9.0329)*CHOOSE(CONTROL!$C$21, $C$9, 100%, $E$9)</f>
        <v>9.0328999999999997</v>
      </c>
      <c r="H246" s="10">
        <f>CHOOSE(CONTROL!$C$42, 9.2693, 9.2693) * CHOOSE(CONTROL!$C$21, $C$9, 100%, $E$9)</f>
        <v>9.2692999999999994</v>
      </c>
      <c r="I246" s="10">
        <f>CHOOSE(CONTROL!$C$42, 9.0158, 9.0158)* CHOOSE(CONTROL!$C$21, $C$9, 100%, $E$9)</f>
        <v>9.0158000000000005</v>
      </c>
      <c r="J246" s="10">
        <f>CHOOSE(CONTROL!$C$42, 9.0087, 9.0087)* CHOOSE(CONTROL!$C$21, $C$9, 100%, $E$9)</f>
        <v>9.0086999999999993</v>
      </c>
      <c r="K246" s="54">
        <f>CHOOSE(CONTROL!$C$42, 9.0119, 9.0119) * CHOOSE(CONTROL!$C$21, $C$9, 100%, $E$9)</f>
        <v>9.0119000000000007</v>
      </c>
      <c r="L246" s="10">
        <f>CHOOSE(CONTROL!$C$42, 9.8563, 9.8563) * CHOOSE(CONTROL!$C$21, $C$9, 100%, $E$9)</f>
        <v>9.8562999999999992</v>
      </c>
      <c r="M246" s="10">
        <f>CHOOSE(CONTROL!$C$42, 8.9316, 8.9316) * CHOOSE(CONTROL!$C$21, $C$9, 100%, $E$9)</f>
        <v>8.9315999999999995</v>
      </c>
      <c r="N246" s="10">
        <f>CHOOSE(CONTROL!$C$42, 8.9486, 8.9486) * CHOOSE(CONTROL!$C$21, $C$9, 100%, $E$9)</f>
        <v>8.9486000000000008</v>
      </c>
      <c r="O246" s="10">
        <f>CHOOSE(CONTROL!$C$42, 9.1896, 9.1896) * CHOOSE(CONTROL!$C$21, $C$9, 100%, $E$9)</f>
        <v>9.1896000000000004</v>
      </c>
      <c r="P246" s="10">
        <f>CHOOSE(CONTROL!$C$42, 8.9387, 8.9387) * CHOOSE(CONTROL!$C$21, $C$9, 100%, $E$9)</f>
        <v>8.9387000000000008</v>
      </c>
      <c r="Q246" s="10">
        <f>CHOOSE(CONTROL!$C$42, 9.7849, 9.7849) * CHOOSE(CONTROL!$C$21, $C$9, 100%, $E$9)</f>
        <v>9.7849000000000004</v>
      </c>
      <c r="R246" s="10">
        <f>CHOOSE(CONTROL!$C$42, 10.3964, 10.3964) * CHOOSE(CONTROL!$C$21, $C$9, 100%, $E$9)</f>
        <v>10.3964</v>
      </c>
      <c r="S246" s="10">
        <f>CHOOSE(CONTROL!$C$42, 8.7835, 8.7835) * CHOOSE(CONTROL!$C$21, $C$9, 100%, $E$9)</f>
        <v>8.7835000000000001</v>
      </c>
      <c r="T246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246" s="58">
        <f>(1000*CHOOSE(CONTROL!$C$42, 695, 695)*CHOOSE(CONTROL!$C$42, 0.5599, 0.5599)*CHOOSE(CONTROL!$C$42, 30, 30))/1000000</f>
        <v>11.673914999999997</v>
      </c>
      <c r="V246" s="58">
        <f>(1000*CHOOSE(CONTROL!$C$42, 500, 500)*CHOOSE(CONTROL!$C$42, 0.275, 0.275)*CHOOSE(CONTROL!$C$42, 30, 30))/1000000</f>
        <v>4.125</v>
      </c>
      <c r="W246" s="58">
        <f>(1000*CHOOSE(CONTROL!$C$42, 0.1146, 0.1146)*CHOOSE(CONTROL!$C$42, 121.5, 121.5)*CHOOSE(CONTROL!$C$42, 30, 30))/1000000</f>
        <v>0.417717</v>
      </c>
      <c r="X246" s="58">
        <f>(30*0.1790888*245000/1000000)+(30*0.2374*100000/1000000)</f>
        <v>2.0285026799999999</v>
      </c>
      <c r="Y246" s="58"/>
      <c r="Z246" s="10"/>
      <c r="AA246" s="57"/>
      <c r="AB246" s="51">
        <f>(B246*194.205+C246*267.466+D246*133.845+E246*53.484+F246*40+G246*185+H246*0+I246*100+J246*300)/(194.205+267.466+133.845+53.484+0+40+185+100+300)</f>
        <v>9.0660536620094163</v>
      </c>
      <c r="AC246" s="27">
        <f>(M246*'RAP TEMPLATE-GAS AVAILABILITY'!O245+N246*'RAP TEMPLATE-GAS AVAILABILITY'!P245+O246*'RAP TEMPLATE-GAS AVAILABILITY'!Q245+P246*'RAP TEMPLATE-GAS AVAILABILITY'!R245)/('RAP TEMPLATE-GAS AVAILABILITY'!O245+'RAP TEMPLATE-GAS AVAILABILITY'!P245+'RAP TEMPLATE-GAS AVAILABILITY'!Q245+'RAP TEMPLATE-GAS AVAILABILITY'!R245)</f>
        <v>9.0089237410071927</v>
      </c>
    </row>
    <row r="247" spans="1:29" ht="15.75" x14ac:dyDescent="0.25">
      <c r="A247" s="16">
        <v>48396</v>
      </c>
      <c r="B247" s="10">
        <f>CHOOSE(CONTROL!$C$42, 8.8757, 8.8757) * CHOOSE(CONTROL!$C$21, $C$9, 100%, $E$9)</f>
        <v>8.8757000000000001</v>
      </c>
      <c r="C247" s="10">
        <f>CHOOSE(CONTROL!$C$42, 8.8836, 8.8836) * CHOOSE(CONTROL!$C$21, $C$9, 100%, $E$9)</f>
        <v>8.8835999999999995</v>
      </c>
      <c r="D247" s="10">
        <f>CHOOSE(CONTROL!$C$42, 9.0761, 9.0761) * CHOOSE(CONTROL!$C$21, $C$9, 100%, $E$9)</f>
        <v>9.0761000000000003</v>
      </c>
      <c r="E247" s="10">
        <f>CHOOSE(CONTROL!$C$42, 9.1072, 9.1072) * CHOOSE(CONTROL!$C$21, $C$9, 100%, $E$9)</f>
        <v>9.1072000000000006</v>
      </c>
      <c r="F247" s="10">
        <f>CHOOSE(CONTROL!$C$42, 8.8426, 8.8426)*CHOOSE(CONTROL!$C$21, $C$9, 100%, $E$9)</f>
        <v>8.8425999999999991</v>
      </c>
      <c r="G247" s="10">
        <f>CHOOSE(CONTROL!$C$42, 8.8599, 8.8599)*CHOOSE(CONTROL!$C$21, $C$9, 100%, $E$9)</f>
        <v>8.8598999999999997</v>
      </c>
      <c r="H247" s="10">
        <f>CHOOSE(CONTROL!$C$42, 9.0958, 9.0958) * CHOOSE(CONTROL!$C$21, $C$9, 100%, $E$9)</f>
        <v>9.0958000000000006</v>
      </c>
      <c r="I247" s="10">
        <f>CHOOSE(CONTROL!$C$42, 8.8423, 8.8423)* CHOOSE(CONTROL!$C$21, $C$9, 100%, $E$9)</f>
        <v>8.8422999999999998</v>
      </c>
      <c r="J247" s="10">
        <f>CHOOSE(CONTROL!$C$42, 8.8356, 8.8356)* CHOOSE(CONTROL!$C$21, $C$9, 100%, $E$9)</f>
        <v>8.8355999999999995</v>
      </c>
      <c r="K247" s="54">
        <f>CHOOSE(CONTROL!$C$42, 8.8384, 8.8384) * CHOOSE(CONTROL!$C$21, $C$9, 100%, $E$9)</f>
        <v>8.8384</v>
      </c>
      <c r="L247" s="10">
        <f>CHOOSE(CONTROL!$C$42, 9.6828, 9.6828) * CHOOSE(CONTROL!$C$21, $C$9, 100%, $E$9)</f>
        <v>9.6828000000000003</v>
      </c>
      <c r="M247" s="10">
        <f>CHOOSE(CONTROL!$C$42, 8.7603, 8.7603) * CHOOSE(CONTROL!$C$21, $C$9, 100%, $E$9)</f>
        <v>8.7603000000000009</v>
      </c>
      <c r="N247" s="10">
        <f>CHOOSE(CONTROL!$C$42, 8.7774, 8.7774) * CHOOSE(CONTROL!$C$21, $C$9, 100%, $E$9)</f>
        <v>8.7774000000000001</v>
      </c>
      <c r="O247" s="10">
        <f>CHOOSE(CONTROL!$C$42, 9.0179, 9.0179) * CHOOSE(CONTROL!$C$21, $C$9, 100%, $E$9)</f>
        <v>9.0178999999999991</v>
      </c>
      <c r="P247" s="10">
        <f>CHOOSE(CONTROL!$C$42, 8.7669, 8.7669) * CHOOSE(CONTROL!$C$21, $C$9, 100%, $E$9)</f>
        <v>8.7668999999999997</v>
      </c>
      <c r="Q247" s="10">
        <f>CHOOSE(CONTROL!$C$42, 9.6132, 9.6132) * CHOOSE(CONTROL!$C$21, $C$9, 100%, $E$9)</f>
        <v>9.6132000000000009</v>
      </c>
      <c r="R247" s="10">
        <f>CHOOSE(CONTROL!$C$42, 10.2242, 10.2242) * CHOOSE(CONTROL!$C$21, $C$9, 100%, $E$9)</f>
        <v>10.2242</v>
      </c>
      <c r="S247" s="10">
        <f>CHOOSE(CONTROL!$C$42, 8.615, 8.615) * CHOOSE(CONTROL!$C$21, $C$9, 100%, $E$9)</f>
        <v>8.6150000000000002</v>
      </c>
      <c r="T247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247" s="58">
        <f>(1000*CHOOSE(CONTROL!$C$42, 695, 695)*CHOOSE(CONTROL!$C$42, 0.5599, 0.5599)*CHOOSE(CONTROL!$C$42, 31, 31))/1000000</f>
        <v>12.063045499999998</v>
      </c>
      <c r="V247" s="58">
        <f>(1000*CHOOSE(CONTROL!$C$42, 500, 500)*CHOOSE(CONTROL!$C$42, 0.275, 0.275)*CHOOSE(CONTROL!$C$42, 31, 31))/1000000</f>
        <v>4.2625000000000002</v>
      </c>
      <c r="W247" s="58">
        <f>(1000*CHOOSE(CONTROL!$C$42, 0.1146, 0.1146)*CHOOSE(CONTROL!$C$42, 121.5, 121.5)*CHOOSE(CONTROL!$C$42, 31, 31))/1000000</f>
        <v>0.43164089999999994</v>
      </c>
      <c r="X247" s="58">
        <f>(31*0.1790888*245000/1000000)+(31*0.2374*100000/1000000)</f>
        <v>2.0961194359999999</v>
      </c>
      <c r="Y247" s="58"/>
      <c r="Z247" s="10"/>
      <c r="AA247" s="57"/>
      <c r="AB247" s="51">
        <f>(B247*194.205+C247*267.466+D247*133.845+E247*53.484+F247*40+G247*185+H247*0+I247*100+J247*300)/(194.205+267.466+133.845+53.484+0+40+185+100+300)</f>
        <v>8.8927330183673465</v>
      </c>
      <c r="AC247" s="27">
        <f>(M247*'RAP TEMPLATE-GAS AVAILABILITY'!O246+N247*'RAP TEMPLATE-GAS AVAILABILITY'!P246+O247*'RAP TEMPLATE-GAS AVAILABILITY'!Q246+P247*'RAP TEMPLATE-GAS AVAILABILITY'!R246)/('RAP TEMPLATE-GAS AVAILABILITY'!O246+'RAP TEMPLATE-GAS AVAILABILITY'!P246+'RAP TEMPLATE-GAS AVAILABILITY'!Q246+'RAP TEMPLATE-GAS AVAILABILITY'!R246)</f>
        <v>8.837462589928057</v>
      </c>
    </row>
    <row r="248" spans="1:29" ht="15.75" x14ac:dyDescent="0.25">
      <c r="A248" s="16">
        <v>48427</v>
      </c>
      <c r="B248" s="10">
        <f>CHOOSE(CONTROL!$C$42, 8.4376, 8.4376) * CHOOSE(CONTROL!$C$21, $C$9, 100%, $E$9)</f>
        <v>8.4375999999999998</v>
      </c>
      <c r="C248" s="10">
        <f>CHOOSE(CONTROL!$C$42, 8.4455, 8.4455) * CHOOSE(CONTROL!$C$21, $C$9, 100%, $E$9)</f>
        <v>8.4454999999999991</v>
      </c>
      <c r="D248" s="10">
        <f>CHOOSE(CONTROL!$C$42, 8.6379, 8.6379) * CHOOSE(CONTROL!$C$21, $C$9, 100%, $E$9)</f>
        <v>8.6379000000000001</v>
      </c>
      <c r="E248" s="10">
        <f>CHOOSE(CONTROL!$C$42, 8.6691, 8.6691) * CHOOSE(CONTROL!$C$21, $C$9, 100%, $E$9)</f>
        <v>8.6691000000000003</v>
      </c>
      <c r="F248" s="10">
        <f>CHOOSE(CONTROL!$C$42, 8.4046, 8.4046)*CHOOSE(CONTROL!$C$21, $C$9, 100%, $E$9)</f>
        <v>8.4046000000000003</v>
      </c>
      <c r="G248" s="10">
        <f>CHOOSE(CONTROL!$C$42, 8.422, 8.422)*CHOOSE(CONTROL!$C$21, $C$9, 100%, $E$9)</f>
        <v>8.4220000000000006</v>
      </c>
      <c r="H248" s="10">
        <f>CHOOSE(CONTROL!$C$42, 8.6577, 8.6577) * CHOOSE(CONTROL!$C$21, $C$9, 100%, $E$9)</f>
        <v>8.6577000000000002</v>
      </c>
      <c r="I248" s="10">
        <f>CHOOSE(CONTROL!$C$42, 8.4042, 8.4042)* CHOOSE(CONTROL!$C$21, $C$9, 100%, $E$9)</f>
        <v>8.4041999999999994</v>
      </c>
      <c r="J248" s="10">
        <f>CHOOSE(CONTROL!$C$42, 8.3976, 8.3976)* CHOOSE(CONTROL!$C$21, $C$9, 100%, $E$9)</f>
        <v>8.3976000000000006</v>
      </c>
      <c r="K248" s="54">
        <f>CHOOSE(CONTROL!$C$42, 8.4003, 8.4003) * CHOOSE(CONTROL!$C$21, $C$9, 100%, $E$9)</f>
        <v>8.4002999999999997</v>
      </c>
      <c r="L248" s="10">
        <f>CHOOSE(CONTROL!$C$42, 9.2447, 9.2447) * CHOOSE(CONTROL!$C$21, $C$9, 100%, $E$9)</f>
        <v>9.2446999999999999</v>
      </c>
      <c r="M248" s="10">
        <f>CHOOSE(CONTROL!$C$42, 8.3267, 8.3267) * CHOOSE(CONTROL!$C$21, $C$9, 100%, $E$9)</f>
        <v>8.3267000000000007</v>
      </c>
      <c r="N248" s="10">
        <f>CHOOSE(CONTROL!$C$42, 8.3439, 8.3439) * CHOOSE(CONTROL!$C$21, $C$9, 100%, $E$9)</f>
        <v>8.3438999999999997</v>
      </c>
      <c r="O248" s="10">
        <f>CHOOSE(CONTROL!$C$42, 8.5842, 8.5842) * CHOOSE(CONTROL!$C$21, $C$9, 100%, $E$9)</f>
        <v>8.5841999999999992</v>
      </c>
      <c r="P248" s="10">
        <f>CHOOSE(CONTROL!$C$42, 8.3332, 8.3332) * CHOOSE(CONTROL!$C$21, $C$9, 100%, $E$9)</f>
        <v>8.3331999999999997</v>
      </c>
      <c r="Q248" s="10">
        <f>CHOOSE(CONTROL!$C$42, 9.1795, 9.1795) * CHOOSE(CONTROL!$C$21, $C$9, 100%, $E$9)</f>
        <v>9.1795000000000009</v>
      </c>
      <c r="R248" s="10">
        <f>CHOOSE(CONTROL!$C$42, 9.7894, 9.7894) * CHOOSE(CONTROL!$C$21, $C$9, 100%, $E$9)</f>
        <v>9.7894000000000005</v>
      </c>
      <c r="S248" s="10">
        <f>CHOOSE(CONTROL!$C$42, 8.1895, 8.1895) * CHOOSE(CONTROL!$C$21, $C$9, 100%, $E$9)</f>
        <v>8.1895000000000007</v>
      </c>
      <c r="T248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248" s="58">
        <f>(1000*CHOOSE(CONTROL!$C$42, 695, 695)*CHOOSE(CONTROL!$C$42, 0.5599, 0.5599)*CHOOSE(CONTROL!$C$42, 31, 31))/1000000</f>
        <v>12.063045499999998</v>
      </c>
      <c r="V248" s="58">
        <f>(1000*CHOOSE(CONTROL!$C$42, 500, 500)*CHOOSE(CONTROL!$C$42, 0.275, 0.275)*CHOOSE(CONTROL!$C$42, 31, 31))/1000000</f>
        <v>4.2625000000000002</v>
      </c>
      <c r="W248" s="58">
        <f>(1000*CHOOSE(CONTROL!$C$42, 0.1146, 0.1146)*CHOOSE(CONTROL!$C$42, 121.5, 121.5)*CHOOSE(CONTROL!$C$42, 31, 31))/1000000</f>
        <v>0.43164089999999994</v>
      </c>
      <c r="X248" s="58">
        <f>(31*0.1790888*245000/1000000)+(31*0.2374*100000/1000000)</f>
        <v>2.0961194359999999</v>
      </c>
      <c r="Y248" s="58"/>
      <c r="Z248" s="10"/>
      <c r="AA248" s="57"/>
      <c r="AB248" s="51">
        <f>(B248*194.205+C248*267.466+D248*133.845+E248*53.484+F248*40+G248*185+H248*0+I248*100+J248*300)/(194.205+267.466+133.845+53.484+0+40+185+100+300)</f>
        <v>8.4546782424646789</v>
      </c>
      <c r="AC248" s="27">
        <f>(M248*'RAP TEMPLATE-GAS AVAILABILITY'!O247+N248*'RAP TEMPLATE-GAS AVAILABILITY'!P247+O248*'RAP TEMPLATE-GAS AVAILABILITY'!Q247+P248*'RAP TEMPLATE-GAS AVAILABILITY'!R247)/('RAP TEMPLATE-GAS AVAILABILITY'!O247+'RAP TEMPLATE-GAS AVAILABILITY'!P247+'RAP TEMPLATE-GAS AVAILABILITY'!Q247+'RAP TEMPLATE-GAS AVAILABILITY'!R247)</f>
        <v>8.4038431654676256</v>
      </c>
    </row>
    <row r="249" spans="1:29" ht="15.75" x14ac:dyDescent="0.25">
      <c r="A249" s="16">
        <v>48458</v>
      </c>
      <c r="B249" s="10">
        <f>CHOOSE(CONTROL!$C$42, 7.9019, 7.9019) * CHOOSE(CONTROL!$C$21, $C$9, 100%, $E$9)</f>
        <v>7.9019000000000004</v>
      </c>
      <c r="C249" s="10">
        <f>CHOOSE(CONTROL!$C$42, 7.9098, 7.9098) * CHOOSE(CONTROL!$C$21, $C$9, 100%, $E$9)</f>
        <v>7.9097999999999997</v>
      </c>
      <c r="D249" s="10">
        <f>CHOOSE(CONTROL!$C$42, 8.1022, 8.1022) * CHOOSE(CONTROL!$C$21, $C$9, 100%, $E$9)</f>
        <v>8.1021999999999998</v>
      </c>
      <c r="E249" s="10">
        <f>CHOOSE(CONTROL!$C$42, 8.1333, 8.1333) * CHOOSE(CONTROL!$C$21, $C$9, 100%, $E$9)</f>
        <v>8.1333000000000002</v>
      </c>
      <c r="F249" s="10">
        <f>CHOOSE(CONTROL!$C$42, 7.8688, 7.8688)*CHOOSE(CONTROL!$C$21, $C$9, 100%, $E$9)</f>
        <v>7.8688000000000002</v>
      </c>
      <c r="G249" s="10">
        <f>CHOOSE(CONTROL!$C$42, 7.8861, 7.8861)*CHOOSE(CONTROL!$C$21, $C$9, 100%, $E$9)</f>
        <v>7.8860999999999999</v>
      </c>
      <c r="H249" s="10">
        <f>CHOOSE(CONTROL!$C$42, 8.122, 8.122) * CHOOSE(CONTROL!$C$21, $C$9, 100%, $E$9)</f>
        <v>8.1219999999999999</v>
      </c>
      <c r="I249" s="10">
        <f>CHOOSE(CONTROL!$C$42, 7.8684, 7.8684)* CHOOSE(CONTROL!$C$21, $C$9, 100%, $E$9)</f>
        <v>7.8684000000000003</v>
      </c>
      <c r="J249" s="10">
        <f>CHOOSE(CONTROL!$C$42, 7.8618, 7.8618)* CHOOSE(CONTROL!$C$21, $C$9, 100%, $E$9)</f>
        <v>7.8617999999999997</v>
      </c>
      <c r="K249" s="54">
        <f>CHOOSE(CONTROL!$C$42, 7.8645, 7.8645) * CHOOSE(CONTROL!$C$21, $C$9, 100%, $E$9)</f>
        <v>7.8644999999999996</v>
      </c>
      <c r="L249" s="10">
        <f>CHOOSE(CONTROL!$C$42, 8.709, 8.709) * CHOOSE(CONTROL!$C$21, $C$9, 100%, $E$9)</f>
        <v>8.7089999999999996</v>
      </c>
      <c r="M249" s="10">
        <f>CHOOSE(CONTROL!$C$42, 7.7962, 7.7962) * CHOOSE(CONTROL!$C$21, $C$9, 100%, $E$9)</f>
        <v>7.7961999999999998</v>
      </c>
      <c r="N249" s="10">
        <f>CHOOSE(CONTROL!$C$42, 7.8134, 7.8134) * CHOOSE(CONTROL!$C$21, $C$9, 100%, $E$9)</f>
        <v>7.8133999999999997</v>
      </c>
      <c r="O249" s="10">
        <f>CHOOSE(CONTROL!$C$42, 8.0538, 8.0538) * CHOOSE(CONTROL!$C$21, $C$9, 100%, $E$9)</f>
        <v>8.0538000000000007</v>
      </c>
      <c r="P249" s="10">
        <f>CHOOSE(CONTROL!$C$42, 7.8029, 7.8029) * CHOOSE(CONTROL!$C$21, $C$9, 100%, $E$9)</f>
        <v>7.8029000000000002</v>
      </c>
      <c r="Q249" s="10">
        <f>CHOOSE(CONTROL!$C$42, 8.6491, 8.6491) * CHOOSE(CONTROL!$C$21, $C$9, 100%, $E$9)</f>
        <v>8.6491000000000007</v>
      </c>
      <c r="R249" s="10">
        <f>CHOOSE(CONTROL!$C$42, 9.2578, 9.2578) * CHOOSE(CONTROL!$C$21, $C$9, 100%, $E$9)</f>
        <v>9.2577999999999996</v>
      </c>
      <c r="S249" s="10">
        <f>CHOOSE(CONTROL!$C$42, 7.6692, 7.6692) * CHOOSE(CONTROL!$C$21, $C$9, 100%, $E$9)</f>
        <v>7.6692</v>
      </c>
      <c r="T249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249" s="58">
        <f>(1000*CHOOSE(CONTROL!$C$42, 695, 695)*CHOOSE(CONTROL!$C$42, 0.5599, 0.5599)*CHOOSE(CONTROL!$C$42, 30, 30))/1000000</f>
        <v>11.673914999999997</v>
      </c>
      <c r="V249" s="58">
        <f>(1000*CHOOSE(CONTROL!$C$42, 500, 500)*CHOOSE(CONTROL!$C$42, 0.275, 0.275)*CHOOSE(CONTROL!$C$42, 30, 30))/1000000</f>
        <v>4.125</v>
      </c>
      <c r="W249" s="58">
        <f>(1000*CHOOSE(CONTROL!$C$42, 0.1146, 0.1146)*CHOOSE(CONTROL!$C$42, 121.5, 121.5)*CHOOSE(CONTROL!$C$42, 30, 30))/1000000</f>
        <v>0.417717</v>
      </c>
      <c r="X249" s="58">
        <f>(30*0.1790888*245000/1000000)+(30*0.2374*100000/1000000)</f>
        <v>2.0285026799999999</v>
      </c>
      <c r="Y249" s="58"/>
      <c r="Z249" s="10"/>
      <c r="AA249" s="57"/>
      <c r="AB249" s="51">
        <f>(B249*194.205+C249*267.466+D249*133.845+E249*53.484+F249*40+G249*185+H249*0+I249*100+J249*300)/(194.205+267.466+133.845+53.484+0+40+185+100+300)</f>
        <v>7.9189104650706446</v>
      </c>
      <c r="AC249" s="27">
        <f>(M249*'RAP TEMPLATE-GAS AVAILABILITY'!O248+N249*'RAP TEMPLATE-GAS AVAILABILITY'!P248+O249*'RAP TEMPLATE-GAS AVAILABILITY'!Q248+P249*'RAP TEMPLATE-GAS AVAILABILITY'!R248)/('RAP TEMPLATE-GAS AVAILABILITY'!O248+'RAP TEMPLATE-GAS AVAILABILITY'!P248+'RAP TEMPLATE-GAS AVAILABILITY'!Q248+'RAP TEMPLATE-GAS AVAILABILITY'!R248)</f>
        <v>7.8734000000000002</v>
      </c>
    </row>
    <row r="250" spans="1:29" ht="15.75" x14ac:dyDescent="0.25">
      <c r="A250" s="16">
        <v>48488</v>
      </c>
      <c r="B250" s="10">
        <f>CHOOSE(CONTROL!$C$42, 7.7398, 7.7398) * CHOOSE(CONTROL!$C$21, $C$9, 100%, $E$9)</f>
        <v>7.7397999999999998</v>
      </c>
      <c r="C250" s="10">
        <f>CHOOSE(CONTROL!$C$42, 7.745, 7.745) * CHOOSE(CONTROL!$C$21, $C$9, 100%, $E$9)</f>
        <v>7.7450000000000001</v>
      </c>
      <c r="D250" s="10">
        <f>CHOOSE(CONTROL!$C$42, 7.9424, 7.9424) * CHOOSE(CONTROL!$C$21, $C$9, 100%, $E$9)</f>
        <v>7.9424000000000001</v>
      </c>
      <c r="E250" s="10">
        <f>CHOOSE(CONTROL!$C$42, 7.9712, 7.9712) * CHOOSE(CONTROL!$C$21, $C$9, 100%, $E$9)</f>
        <v>7.9711999999999996</v>
      </c>
      <c r="F250" s="10">
        <f>CHOOSE(CONTROL!$C$42, 7.7087, 7.7087)*CHOOSE(CONTROL!$C$21, $C$9, 100%, $E$9)</f>
        <v>7.7087000000000003</v>
      </c>
      <c r="G250" s="10">
        <f>CHOOSE(CONTROL!$C$42, 7.7256, 7.7256)*CHOOSE(CONTROL!$C$21, $C$9, 100%, $E$9)</f>
        <v>7.7256</v>
      </c>
      <c r="H250" s="10">
        <f>CHOOSE(CONTROL!$C$42, 7.9616, 7.9616) * CHOOSE(CONTROL!$C$21, $C$9, 100%, $E$9)</f>
        <v>7.9615999999999998</v>
      </c>
      <c r="I250" s="10">
        <f>CHOOSE(CONTROL!$C$42, 7.7081, 7.7081)* CHOOSE(CONTROL!$C$21, $C$9, 100%, $E$9)</f>
        <v>7.7081</v>
      </c>
      <c r="J250" s="10">
        <f>CHOOSE(CONTROL!$C$42, 7.7017, 7.7017)* CHOOSE(CONTROL!$C$21, $C$9, 100%, $E$9)</f>
        <v>7.7016999999999998</v>
      </c>
      <c r="K250" s="54">
        <f>CHOOSE(CONTROL!$C$42, 7.7042, 7.7042) * CHOOSE(CONTROL!$C$21, $C$9, 100%, $E$9)</f>
        <v>7.7042000000000002</v>
      </c>
      <c r="L250" s="10">
        <f>CHOOSE(CONTROL!$C$42, 8.5486, 8.5486) * CHOOSE(CONTROL!$C$21, $C$9, 100%, $E$9)</f>
        <v>8.5486000000000004</v>
      </c>
      <c r="M250" s="10">
        <f>CHOOSE(CONTROL!$C$42, 7.6378, 7.6378) * CHOOSE(CONTROL!$C$21, $C$9, 100%, $E$9)</f>
        <v>7.6378000000000004</v>
      </c>
      <c r="N250" s="10">
        <f>CHOOSE(CONTROL!$C$42, 7.6546, 7.6546) * CHOOSE(CONTROL!$C$21, $C$9, 100%, $E$9)</f>
        <v>7.6546000000000003</v>
      </c>
      <c r="O250" s="10">
        <f>CHOOSE(CONTROL!$C$42, 7.8951, 7.8951) * CHOOSE(CONTROL!$C$21, $C$9, 100%, $E$9)</f>
        <v>7.8951000000000002</v>
      </c>
      <c r="P250" s="10">
        <f>CHOOSE(CONTROL!$C$42, 7.6442, 7.6442) * CHOOSE(CONTROL!$C$21, $C$9, 100%, $E$9)</f>
        <v>7.6441999999999997</v>
      </c>
      <c r="Q250" s="10">
        <f>CHOOSE(CONTROL!$C$42, 8.4904, 8.4904) * CHOOSE(CONTROL!$C$21, $C$9, 100%, $E$9)</f>
        <v>8.4903999999999993</v>
      </c>
      <c r="R250" s="10">
        <f>CHOOSE(CONTROL!$C$42, 9.0987, 9.0987) * CHOOSE(CONTROL!$C$21, $C$9, 100%, $E$9)</f>
        <v>9.0986999999999991</v>
      </c>
      <c r="S250" s="10">
        <f>CHOOSE(CONTROL!$C$42, 7.5135, 7.5135) * CHOOSE(CONTROL!$C$21, $C$9, 100%, $E$9)</f>
        <v>7.5134999999999996</v>
      </c>
      <c r="T250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250" s="58">
        <f>(1000*CHOOSE(CONTROL!$C$42, 695, 695)*CHOOSE(CONTROL!$C$42, 0.5599, 0.5599)*CHOOSE(CONTROL!$C$42, 31, 31))/1000000</f>
        <v>12.063045499999998</v>
      </c>
      <c r="V250" s="58">
        <f>(1000*CHOOSE(CONTROL!$C$42, 500, 500)*CHOOSE(CONTROL!$C$42, 0.275, 0.275)*CHOOSE(CONTROL!$C$42, 31, 31))/1000000</f>
        <v>4.2625000000000002</v>
      </c>
      <c r="W250" s="58">
        <f>(1000*CHOOSE(CONTROL!$C$42, 0.1146, 0.1146)*CHOOSE(CONTROL!$C$42, 121.5, 121.5)*CHOOSE(CONTROL!$C$42, 31, 31))/1000000</f>
        <v>0.43164089999999994</v>
      </c>
      <c r="X250" s="58">
        <f>(31*0.1790888*245000/1000000)+(31*0.2374*100000/1000000)</f>
        <v>2.0961194359999999</v>
      </c>
      <c r="Y250" s="58"/>
      <c r="Z250" s="10"/>
      <c r="AA250" s="57"/>
      <c r="AB250" s="51">
        <f>(B250*131.881+C250*277.167+D250*79.08+E250*125.872+F250*40+G250*185+H250*0+I250*100+J250*300)/(131.881+277.167+79.08+125.872+0+40+185+100+300)</f>
        <v>7.7624946385794997</v>
      </c>
      <c r="AC250" s="27">
        <f>(M250*'RAP TEMPLATE-GAS AVAILABILITY'!O249+N250*'RAP TEMPLATE-GAS AVAILABILITY'!P249+O250*'RAP TEMPLATE-GAS AVAILABILITY'!Q249+P250*'RAP TEMPLATE-GAS AVAILABILITY'!R249)/('RAP TEMPLATE-GAS AVAILABILITY'!O249+'RAP TEMPLATE-GAS AVAILABILITY'!P249+'RAP TEMPLATE-GAS AVAILABILITY'!Q249+'RAP TEMPLATE-GAS AVAILABILITY'!R249)</f>
        <v>7.7147805755395682</v>
      </c>
    </row>
    <row r="251" spans="1:29" ht="15.75" x14ac:dyDescent="0.25">
      <c r="A251" s="16">
        <v>48519</v>
      </c>
      <c r="B251" s="10">
        <f>CHOOSE(CONTROL!$C$42, 7.9432, 7.9432) * CHOOSE(CONTROL!$C$21, $C$9, 100%, $E$9)</f>
        <v>7.9432</v>
      </c>
      <c r="C251" s="10">
        <f>CHOOSE(CONTROL!$C$42, 7.9481, 7.9481) * CHOOSE(CONTROL!$C$21, $C$9, 100%, $E$9)</f>
        <v>7.9481000000000002</v>
      </c>
      <c r="D251" s="10">
        <f>CHOOSE(CONTROL!$C$42, 7.9777, 7.9777) * CHOOSE(CONTROL!$C$21, $C$9, 100%, $E$9)</f>
        <v>7.9776999999999996</v>
      </c>
      <c r="E251" s="10">
        <f>CHOOSE(CONTROL!$C$42, 8.0115, 8.0115) * CHOOSE(CONTROL!$C$21, $C$9, 100%, $E$9)</f>
        <v>8.0114999999999998</v>
      </c>
      <c r="F251" s="10">
        <f>CHOOSE(CONTROL!$C$42, 7.91, 7.91)*CHOOSE(CONTROL!$C$21, $C$9, 100%, $E$9)</f>
        <v>7.91</v>
      </c>
      <c r="G251" s="10">
        <f>CHOOSE(CONTROL!$C$42, 7.9271, 7.9271)*CHOOSE(CONTROL!$C$21, $C$9, 100%, $E$9)</f>
        <v>7.9271000000000003</v>
      </c>
      <c r="H251" s="10">
        <f>CHOOSE(CONTROL!$C$42, 8.0007, 8.0007) * CHOOSE(CONTROL!$C$21, $C$9, 100%, $E$9)</f>
        <v>8.0007000000000001</v>
      </c>
      <c r="I251" s="10">
        <f>CHOOSE(CONTROL!$C$42, 7.9068, 7.9068)* CHOOSE(CONTROL!$C$21, $C$9, 100%, $E$9)</f>
        <v>7.9067999999999996</v>
      </c>
      <c r="J251" s="10">
        <f>CHOOSE(CONTROL!$C$42, 7.903, 7.903)* CHOOSE(CONTROL!$C$21, $C$9, 100%, $E$9)</f>
        <v>7.9029999999999996</v>
      </c>
      <c r="K251" s="54">
        <f>CHOOSE(CONTROL!$C$42, 7.9029, 7.9029) * CHOOSE(CONTROL!$C$21, $C$9, 100%, $E$9)</f>
        <v>7.9028999999999998</v>
      </c>
      <c r="L251" s="10">
        <f>CHOOSE(CONTROL!$C$42, 8.5877, 8.5877) * CHOOSE(CONTROL!$C$21, $C$9, 100%, $E$9)</f>
        <v>8.5876999999999999</v>
      </c>
      <c r="M251" s="10">
        <f>CHOOSE(CONTROL!$C$42, 7.837, 7.837) * CHOOSE(CONTROL!$C$21, $C$9, 100%, $E$9)</f>
        <v>7.8369999999999997</v>
      </c>
      <c r="N251" s="10">
        <f>CHOOSE(CONTROL!$C$42, 7.854, 7.854) * CHOOSE(CONTROL!$C$21, $C$9, 100%, $E$9)</f>
        <v>7.8540000000000001</v>
      </c>
      <c r="O251" s="10">
        <f>CHOOSE(CONTROL!$C$42, 7.9338, 7.9338) * CHOOSE(CONTROL!$C$21, $C$9, 100%, $E$9)</f>
        <v>7.9337999999999997</v>
      </c>
      <c r="P251" s="10">
        <f>CHOOSE(CONTROL!$C$42, 7.8408, 7.8408) * CHOOSE(CONTROL!$C$21, $C$9, 100%, $E$9)</f>
        <v>7.8407999999999998</v>
      </c>
      <c r="Q251" s="10">
        <f>CHOOSE(CONTROL!$C$42, 8.5291, 8.5291) * CHOOSE(CONTROL!$C$21, $C$9, 100%, $E$9)</f>
        <v>8.5290999999999997</v>
      </c>
      <c r="R251" s="10">
        <f>CHOOSE(CONTROL!$C$42, 9.1374, 9.1374) * CHOOSE(CONTROL!$C$21, $C$9, 100%, $E$9)</f>
        <v>9.1373999999999995</v>
      </c>
      <c r="S251" s="10">
        <f>CHOOSE(CONTROL!$C$42, 7.7115, 7.7115) * CHOOSE(CONTROL!$C$21, $C$9, 100%, $E$9)</f>
        <v>7.7115</v>
      </c>
      <c r="T251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251" s="58">
        <f>(1000*CHOOSE(CONTROL!$C$42, 695, 695)*CHOOSE(CONTROL!$C$42, 0.5599, 0.5599)*CHOOSE(CONTROL!$C$42, 30, 30))/1000000</f>
        <v>11.673914999999997</v>
      </c>
      <c r="V251" s="58">
        <f>(1000*CHOOSE(CONTROL!$C$42, 500, 500)*CHOOSE(CONTROL!$C$42, 0.275, 0.275)*CHOOSE(CONTROL!$C$42, 30, 30))/1000000</f>
        <v>4.125</v>
      </c>
      <c r="W251" s="58">
        <f>(1000*CHOOSE(CONTROL!$C$42, 0.1146, 0.1146)*CHOOSE(CONTROL!$C$42, 121.5, 121.5)*CHOOSE(CONTROL!$C$42, 30, 30))/1000000</f>
        <v>0.417717</v>
      </c>
      <c r="X251" s="58">
        <f>(30*0.1790888*100000/1000000)+(30*0.2374*100000/1000000)</f>
        <v>1.2494664</v>
      </c>
      <c r="Y251" s="58"/>
      <c r="Z251" s="10"/>
      <c r="AA251" s="57"/>
      <c r="AB251" s="51">
        <f>(B251*122.58+C251*297.941+D251*89.177+E251*40.302+F251*40+G251*160+H251*0+I251*100+J251*300)/(122.58+297.941+89.177+40.302+0+40+160+100+300)</f>
        <v>7.9324914295652169</v>
      </c>
      <c r="AC251" s="27">
        <f>(M251*'RAP TEMPLATE-GAS AVAILABILITY'!O250+N251*'RAP TEMPLATE-GAS AVAILABILITY'!P250+O251*'RAP TEMPLATE-GAS AVAILABILITY'!Q250+P251*'RAP TEMPLATE-GAS AVAILABILITY'!R250)/('RAP TEMPLATE-GAS AVAILABILITY'!O250+'RAP TEMPLATE-GAS AVAILABILITY'!P250+'RAP TEMPLATE-GAS AVAILABILITY'!Q250+'RAP TEMPLATE-GAS AVAILABILITY'!R250)</f>
        <v>7.8823985611510787</v>
      </c>
    </row>
    <row r="252" spans="1:29" ht="15.75" x14ac:dyDescent="0.25">
      <c r="A252" s="16">
        <v>48549</v>
      </c>
      <c r="B252" s="10">
        <f>CHOOSE(CONTROL!$C$42, 8.4845, 8.4845) * CHOOSE(CONTROL!$C$21, $C$9, 100%, $E$9)</f>
        <v>8.4845000000000006</v>
      </c>
      <c r="C252" s="10">
        <f>CHOOSE(CONTROL!$C$42, 8.4895, 8.4895) * CHOOSE(CONTROL!$C$21, $C$9, 100%, $E$9)</f>
        <v>8.4894999999999996</v>
      </c>
      <c r="D252" s="10">
        <f>CHOOSE(CONTROL!$C$42, 8.5191, 8.5191) * CHOOSE(CONTROL!$C$21, $C$9, 100%, $E$9)</f>
        <v>8.5190999999999999</v>
      </c>
      <c r="E252" s="10">
        <f>CHOOSE(CONTROL!$C$42, 8.5529, 8.5529) * CHOOSE(CONTROL!$C$21, $C$9, 100%, $E$9)</f>
        <v>8.5528999999999993</v>
      </c>
      <c r="F252" s="10">
        <f>CHOOSE(CONTROL!$C$42, 8.4527, 8.4527)*CHOOSE(CONTROL!$C$21, $C$9, 100%, $E$9)</f>
        <v>8.4527000000000001</v>
      </c>
      <c r="G252" s="10">
        <f>CHOOSE(CONTROL!$C$42, 8.4702, 8.4702)*CHOOSE(CONTROL!$C$21, $C$9, 100%, $E$9)</f>
        <v>8.4702000000000002</v>
      </c>
      <c r="H252" s="10">
        <f>CHOOSE(CONTROL!$C$42, 8.5421, 8.5421) * CHOOSE(CONTROL!$C$21, $C$9, 100%, $E$9)</f>
        <v>8.5420999999999996</v>
      </c>
      <c r="I252" s="10">
        <f>CHOOSE(CONTROL!$C$42, 8.4481, 8.4481)* CHOOSE(CONTROL!$C$21, $C$9, 100%, $E$9)</f>
        <v>8.4481000000000002</v>
      </c>
      <c r="J252" s="10">
        <f>CHOOSE(CONTROL!$C$42, 8.4457, 8.4457)* CHOOSE(CONTROL!$C$21, $C$9, 100%, $E$9)</f>
        <v>8.4457000000000004</v>
      </c>
      <c r="K252" s="54">
        <f>CHOOSE(CONTROL!$C$42, 8.4442, 8.4442) * CHOOSE(CONTROL!$C$21, $C$9, 100%, $E$9)</f>
        <v>8.4442000000000004</v>
      </c>
      <c r="L252" s="10">
        <f>CHOOSE(CONTROL!$C$42, 9.1291, 9.1291) * CHOOSE(CONTROL!$C$21, $C$9, 100%, $E$9)</f>
        <v>9.1290999999999993</v>
      </c>
      <c r="M252" s="10">
        <f>CHOOSE(CONTROL!$C$42, 8.3743, 8.3743) * CHOOSE(CONTROL!$C$21, $C$9, 100%, $E$9)</f>
        <v>8.3742999999999999</v>
      </c>
      <c r="N252" s="10">
        <f>CHOOSE(CONTROL!$C$42, 8.3916, 8.3916) * CHOOSE(CONTROL!$C$21, $C$9, 100%, $E$9)</f>
        <v>8.3916000000000004</v>
      </c>
      <c r="O252" s="10">
        <f>CHOOSE(CONTROL!$C$42, 8.4697, 8.4697) * CHOOSE(CONTROL!$C$21, $C$9, 100%, $E$9)</f>
        <v>8.4696999999999996</v>
      </c>
      <c r="P252" s="10">
        <f>CHOOSE(CONTROL!$C$42, 8.3767, 8.3767) * CHOOSE(CONTROL!$C$21, $C$9, 100%, $E$9)</f>
        <v>8.3766999999999996</v>
      </c>
      <c r="Q252" s="10">
        <f>CHOOSE(CONTROL!$C$42, 9.065, 9.065) * CHOOSE(CONTROL!$C$21, $C$9, 100%, $E$9)</f>
        <v>9.0649999999999995</v>
      </c>
      <c r="R252" s="10">
        <f>CHOOSE(CONTROL!$C$42, 9.6746, 9.6746) * CHOOSE(CONTROL!$C$21, $C$9, 100%, $E$9)</f>
        <v>9.6745999999999999</v>
      </c>
      <c r="S252" s="10">
        <f>CHOOSE(CONTROL!$C$42, 8.2372, 8.2372) * CHOOSE(CONTROL!$C$21, $C$9, 100%, $E$9)</f>
        <v>8.2371999999999996</v>
      </c>
      <c r="T252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252" s="58">
        <f>(1000*CHOOSE(CONTROL!$C$42, 695, 695)*CHOOSE(CONTROL!$C$42, 0.5599, 0.5599)*CHOOSE(CONTROL!$C$42, 31, 31))/1000000</f>
        <v>12.063045499999998</v>
      </c>
      <c r="V252" s="58">
        <f>(1000*CHOOSE(CONTROL!$C$42, 500, 500)*CHOOSE(CONTROL!$C$42, 0.275, 0.275)*CHOOSE(CONTROL!$C$42, 31, 31))/1000000</f>
        <v>4.2625000000000002</v>
      </c>
      <c r="W252" s="58">
        <f>(1000*CHOOSE(CONTROL!$C$42, 0.1146, 0.1146)*CHOOSE(CONTROL!$C$42, 121.5, 121.5)*CHOOSE(CONTROL!$C$42, 31, 31))/1000000</f>
        <v>0.43164089999999994</v>
      </c>
      <c r="X252" s="58">
        <f>(31*0.1790888*100000/1000000)+(31*0.2374*100000/1000000)</f>
        <v>1.2911152800000001</v>
      </c>
      <c r="Y252" s="58"/>
      <c r="Z252" s="10"/>
      <c r="AA252" s="57"/>
      <c r="AB252" s="51">
        <f>(B252*122.58+C252*297.941+D252*89.177+E252*40.302+F252*40+G252*160+H252*0+I252*100+J252*300)/(122.58+297.941+89.177+40.302+0+40+160+100+300)</f>
        <v>8.4744929443478263</v>
      </c>
      <c r="AC252" s="27">
        <f>(M252*'RAP TEMPLATE-GAS AVAILABILITY'!O251+N252*'RAP TEMPLATE-GAS AVAILABILITY'!P251+O252*'RAP TEMPLATE-GAS AVAILABILITY'!Q251+P252*'RAP TEMPLATE-GAS AVAILABILITY'!R251)/('RAP TEMPLATE-GAS AVAILABILITY'!O251+'RAP TEMPLATE-GAS AVAILABILITY'!P251+'RAP TEMPLATE-GAS AVAILABILITY'!Q251+'RAP TEMPLATE-GAS AVAILABILITY'!R251)</f>
        <v>8.4188798561151081</v>
      </c>
    </row>
    <row r="253" spans="1:29" ht="15.75" x14ac:dyDescent="0.25">
      <c r="A253" s="16">
        <v>48580</v>
      </c>
      <c r="B253" s="10">
        <f>CHOOSE(CONTROL!$C$42, 9.1795, 9.1795) * CHOOSE(CONTROL!$C$21, $C$9, 100%, $E$9)</f>
        <v>9.1795000000000009</v>
      </c>
      <c r="C253" s="10">
        <f>CHOOSE(CONTROL!$C$42, 9.1844, 9.1844) * CHOOSE(CONTROL!$C$21, $C$9, 100%, $E$9)</f>
        <v>9.1844000000000001</v>
      </c>
      <c r="D253" s="10">
        <f>CHOOSE(CONTROL!$C$42, 9.2346, 9.2346) * CHOOSE(CONTROL!$C$21, $C$9, 100%, $E$9)</f>
        <v>9.2346000000000004</v>
      </c>
      <c r="E253" s="10">
        <f>CHOOSE(CONTROL!$C$42, 9.2684, 9.2684) * CHOOSE(CONTROL!$C$21, $C$9, 100%, $E$9)</f>
        <v>9.2683999999999997</v>
      </c>
      <c r="F253" s="10">
        <f>CHOOSE(CONTROL!$C$42, 9.1448, 9.1448)*CHOOSE(CONTROL!$C$21, $C$9, 100%, $E$9)</f>
        <v>9.1448</v>
      </c>
      <c r="G253" s="10">
        <f>CHOOSE(CONTROL!$C$42, 9.1624, 9.1624)*CHOOSE(CONTROL!$C$21, $C$9, 100%, $E$9)</f>
        <v>9.1623999999999999</v>
      </c>
      <c r="H253" s="10">
        <f>CHOOSE(CONTROL!$C$42, 9.2576, 9.2576) * CHOOSE(CONTROL!$C$21, $C$9, 100%, $E$9)</f>
        <v>9.2576000000000001</v>
      </c>
      <c r="I253" s="10">
        <f>CHOOSE(CONTROL!$C$42, 9.1534, 9.1534)* CHOOSE(CONTROL!$C$21, $C$9, 100%, $E$9)</f>
        <v>9.1533999999999995</v>
      </c>
      <c r="J253" s="10">
        <f>CHOOSE(CONTROL!$C$42, 9.1378, 9.1378)* CHOOSE(CONTROL!$C$21, $C$9, 100%, $E$9)</f>
        <v>9.1378000000000004</v>
      </c>
      <c r="K253" s="54">
        <f>CHOOSE(CONTROL!$C$42, 9.1495, 9.1495) * CHOOSE(CONTROL!$C$21, $C$9, 100%, $E$9)</f>
        <v>9.1494999999999997</v>
      </c>
      <c r="L253" s="10">
        <f>CHOOSE(CONTROL!$C$42, 9.8446, 9.8446) * CHOOSE(CONTROL!$C$21, $C$9, 100%, $E$9)</f>
        <v>9.8445999999999998</v>
      </c>
      <c r="M253" s="10">
        <f>CHOOSE(CONTROL!$C$42, 9.0594, 9.0594) * CHOOSE(CONTROL!$C$21, $C$9, 100%, $E$9)</f>
        <v>9.0594000000000001</v>
      </c>
      <c r="N253" s="10">
        <f>CHOOSE(CONTROL!$C$42, 9.0768, 9.0768) * CHOOSE(CONTROL!$C$21, $C$9, 100%, $E$9)</f>
        <v>9.0768000000000004</v>
      </c>
      <c r="O253" s="10">
        <f>CHOOSE(CONTROL!$C$42, 9.178, 9.178) * CHOOSE(CONTROL!$C$21, $C$9, 100%, $E$9)</f>
        <v>9.1780000000000008</v>
      </c>
      <c r="P253" s="10">
        <f>CHOOSE(CONTROL!$C$42, 9.0749, 9.0749) * CHOOSE(CONTROL!$C$21, $C$9, 100%, $E$9)</f>
        <v>9.0748999999999995</v>
      </c>
      <c r="Q253" s="10">
        <f>CHOOSE(CONTROL!$C$42, 9.7733, 9.7733) * CHOOSE(CONTROL!$C$21, $C$9, 100%, $E$9)</f>
        <v>9.7733000000000008</v>
      </c>
      <c r="R253" s="10">
        <f>CHOOSE(CONTROL!$C$42, 10.3847, 10.3847) * CHOOSE(CONTROL!$C$21, $C$9, 100%, $E$9)</f>
        <v>10.3847</v>
      </c>
      <c r="S253" s="10">
        <f>CHOOSE(CONTROL!$C$42, 8.912, 8.912) * CHOOSE(CONTROL!$C$21, $C$9, 100%, $E$9)</f>
        <v>8.9120000000000008</v>
      </c>
      <c r="T253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253" s="58">
        <f>(1000*CHOOSE(CONTROL!$C$42, 695, 695)*CHOOSE(CONTROL!$C$42, 0.5599, 0.5599)*CHOOSE(CONTROL!$C$42, 31, 31))/1000000</f>
        <v>12.063045499999998</v>
      </c>
      <c r="V253" s="58">
        <f>(1000*CHOOSE(CONTROL!$C$42, 500, 500)*CHOOSE(CONTROL!$C$42, 0.275, 0.275)*CHOOSE(CONTROL!$C$42, 31, 31))/1000000</f>
        <v>4.2625000000000002</v>
      </c>
      <c r="W253" s="58">
        <f>(1000*CHOOSE(CONTROL!$C$42, 0.1146, 0.1146)*CHOOSE(CONTROL!$C$42, 121.5, 121.5)*CHOOSE(CONTROL!$C$42, 31, 31))/1000000</f>
        <v>0.43164089999999994</v>
      </c>
      <c r="X253" s="58">
        <f>(31*0.1790888*100000/1000000)+(31*0.2374*100000/1000000)</f>
        <v>1.2911152800000001</v>
      </c>
      <c r="Y253" s="58"/>
      <c r="Z253" s="10"/>
      <c r="AA253" s="57"/>
      <c r="AB253" s="51">
        <f>(B253*122.58+C253*297.941+D253*89.177+E253*40.302+F253*40+G253*160+H253*0+I253*100+J253*300)/(122.58+297.941+89.177+40.302+0+40+160+100+300)</f>
        <v>9.1714238360000007</v>
      </c>
      <c r="AC253" s="27">
        <f>(M253*'RAP TEMPLATE-GAS AVAILABILITY'!O252+N253*'RAP TEMPLATE-GAS AVAILABILITY'!P252+O253*'RAP TEMPLATE-GAS AVAILABILITY'!Q252+P253*'RAP TEMPLATE-GAS AVAILABILITY'!R252)/('RAP TEMPLATE-GAS AVAILABILITY'!O252+'RAP TEMPLATE-GAS AVAILABILITY'!P252+'RAP TEMPLATE-GAS AVAILABILITY'!Q252+'RAP TEMPLATE-GAS AVAILABILITY'!R252)</f>
        <v>9.1163856115107915</v>
      </c>
    </row>
    <row r="254" spans="1:29" ht="15.75" x14ac:dyDescent="0.25">
      <c r="A254" s="16">
        <v>48611</v>
      </c>
      <c r="B254" s="10">
        <f>CHOOSE(CONTROL!$C$42, 9.3428, 9.3428) * CHOOSE(CONTROL!$C$21, $C$9, 100%, $E$9)</f>
        <v>9.3428000000000004</v>
      </c>
      <c r="C254" s="10">
        <f>CHOOSE(CONTROL!$C$42, 9.3478, 9.3478) * CHOOSE(CONTROL!$C$21, $C$9, 100%, $E$9)</f>
        <v>9.3477999999999994</v>
      </c>
      <c r="D254" s="10">
        <f>CHOOSE(CONTROL!$C$42, 9.4083, 9.4083) * CHOOSE(CONTROL!$C$21, $C$9, 100%, $E$9)</f>
        <v>9.4083000000000006</v>
      </c>
      <c r="E254" s="10">
        <f>CHOOSE(CONTROL!$C$42, 9.4421, 9.4421) * CHOOSE(CONTROL!$C$21, $C$9, 100%, $E$9)</f>
        <v>9.4420999999999999</v>
      </c>
      <c r="F254" s="10">
        <f>CHOOSE(CONTROL!$C$42, 9.336, 9.336)*CHOOSE(CONTROL!$C$21, $C$9, 100%, $E$9)</f>
        <v>9.3360000000000003</v>
      </c>
      <c r="G254" s="10">
        <f>CHOOSE(CONTROL!$C$42, 9.3533, 9.3533)*CHOOSE(CONTROL!$C$21, $C$9, 100%, $E$9)</f>
        <v>9.3533000000000008</v>
      </c>
      <c r="H254" s="10">
        <f>CHOOSE(CONTROL!$C$42, 9.4312, 9.4312) * CHOOSE(CONTROL!$C$21, $C$9, 100%, $E$9)</f>
        <v>9.4312000000000005</v>
      </c>
      <c r="I254" s="10">
        <f>CHOOSE(CONTROL!$C$42, 9.3296, 9.3296)* CHOOSE(CONTROL!$C$21, $C$9, 100%, $E$9)</f>
        <v>9.3295999999999992</v>
      </c>
      <c r="J254" s="10">
        <f>CHOOSE(CONTROL!$C$42, 9.329, 9.329)* CHOOSE(CONTROL!$C$21, $C$9, 100%, $E$9)</f>
        <v>9.3290000000000006</v>
      </c>
      <c r="K254" s="54">
        <f>CHOOSE(CONTROL!$C$42, 9.3257, 9.3257) * CHOOSE(CONTROL!$C$21, $C$9, 100%, $E$9)</f>
        <v>9.3256999999999994</v>
      </c>
      <c r="L254" s="10">
        <f>CHOOSE(CONTROL!$C$42, 10.0182, 10.0182) * CHOOSE(CONTROL!$C$21, $C$9, 100%, $E$9)</f>
        <v>10.0182</v>
      </c>
      <c r="M254" s="10">
        <f>CHOOSE(CONTROL!$C$42, 9.2487, 9.2487) * CHOOSE(CONTROL!$C$21, $C$9, 100%, $E$9)</f>
        <v>9.2486999999999995</v>
      </c>
      <c r="N254" s="10">
        <f>CHOOSE(CONTROL!$C$42, 9.2659, 9.2659) * CHOOSE(CONTROL!$C$21, $C$9, 100%, $E$9)</f>
        <v>9.2659000000000002</v>
      </c>
      <c r="O254" s="10">
        <f>CHOOSE(CONTROL!$C$42, 9.3499, 9.3499) * CHOOSE(CONTROL!$C$21, $C$9, 100%, $E$9)</f>
        <v>9.3498999999999999</v>
      </c>
      <c r="P254" s="10">
        <f>CHOOSE(CONTROL!$C$42, 9.2493, 9.2493) * CHOOSE(CONTROL!$C$21, $C$9, 100%, $E$9)</f>
        <v>9.2492999999999999</v>
      </c>
      <c r="Q254" s="10">
        <f>CHOOSE(CONTROL!$C$42, 9.9452, 9.9452) * CHOOSE(CONTROL!$C$21, $C$9, 100%, $E$9)</f>
        <v>9.9451999999999998</v>
      </c>
      <c r="R254" s="10">
        <f>CHOOSE(CONTROL!$C$42, 10.5571, 10.5571) * CHOOSE(CONTROL!$C$21, $C$9, 100%, $E$9)</f>
        <v>10.5571</v>
      </c>
      <c r="S254" s="10">
        <f>CHOOSE(CONTROL!$C$42, 9.0707, 9.0707) * CHOOSE(CONTROL!$C$21, $C$9, 100%, $E$9)</f>
        <v>9.0707000000000004</v>
      </c>
      <c r="T254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254" s="58">
        <f>(1000*CHOOSE(CONTROL!$C$42, 695, 695)*CHOOSE(CONTROL!$C$42, 0.5599, 0.5599)*CHOOSE(CONTROL!$C$42, 28, 28))/1000000</f>
        <v>10.895653999999999</v>
      </c>
      <c r="V254" s="58">
        <f>(1000*CHOOSE(CONTROL!$C$42, 500, 500)*CHOOSE(CONTROL!$C$42, 0.275, 0.275)*CHOOSE(CONTROL!$C$42, 28, 28))/1000000</f>
        <v>3.85</v>
      </c>
      <c r="W254" s="58">
        <f>(1000*CHOOSE(CONTROL!$C$42, 0.1146, 0.1146)*CHOOSE(CONTROL!$C$42, 121.5, 121.5)*CHOOSE(CONTROL!$C$42, 28, 28))/1000000</f>
        <v>0.38986920000000003</v>
      </c>
      <c r="X254" s="58">
        <f>(28*0.1790888*100000/1000000)+(28*0.2374*100000/1000000)</f>
        <v>1.16616864</v>
      </c>
      <c r="Y254" s="58"/>
      <c r="Z254" s="10"/>
      <c r="AA254" s="57"/>
      <c r="AB254" s="51">
        <f>(B254*122.58+C254*297.941+D254*89.177+E254*40.302+F254*40+G254*160+H254*0+I254*100+J254*300)/(122.58+297.941+89.177+40.302+0+40+160+100+300)</f>
        <v>9.3491311192173914</v>
      </c>
      <c r="AC254" s="27">
        <f>(M254*'RAP TEMPLATE-GAS AVAILABILITY'!O253+N254*'RAP TEMPLATE-GAS AVAILABILITY'!P253+O254*'RAP TEMPLATE-GAS AVAILABILITY'!Q253+P254*'RAP TEMPLATE-GAS AVAILABILITY'!R253)/('RAP TEMPLATE-GAS AVAILABILITY'!O253+'RAP TEMPLATE-GAS AVAILABILITY'!P253+'RAP TEMPLATE-GAS AVAILABILITY'!Q253+'RAP TEMPLATE-GAS AVAILABILITY'!R253)</f>
        <v>9.2956438848920868</v>
      </c>
    </row>
    <row r="255" spans="1:29" ht="15.75" x14ac:dyDescent="0.25">
      <c r="A255" s="16">
        <v>48639</v>
      </c>
      <c r="B255" s="10">
        <f>CHOOSE(CONTROL!$C$42, 9.0777, 9.0777) * CHOOSE(CONTROL!$C$21, $C$9, 100%, $E$9)</f>
        <v>9.0777000000000001</v>
      </c>
      <c r="C255" s="10">
        <f>CHOOSE(CONTROL!$C$42, 9.0826, 9.0826) * CHOOSE(CONTROL!$C$21, $C$9, 100%, $E$9)</f>
        <v>9.0825999999999993</v>
      </c>
      <c r="D255" s="10">
        <f>CHOOSE(CONTROL!$C$42, 9.1431, 9.1431) * CHOOSE(CONTROL!$C$21, $C$9, 100%, $E$9)</f>
        <v>9.1431000000000004</v>
      </c>
      <c r="E255" s="10">
        <f>CHOOSE(CONTROL!$C$42, 9.1769, 9.1769) * CHOOSE(CONTROL!$C$21, $C$9, 100%, $E$9)</f>
        <v>9.1768999999999998</v>
      </c>
      <c r="F255" s="10">
        <f>CHOOSE(CONTROL!$C$42, 9.0654, 9.0654)*CHOOSE(CONTROL!$C$21, $C$9, 100%, $E$9)</f>
        <v>9.0654000000000003</v>
      </c>
      <c r="G255" s="10">
        <f>CHOOSE(CONTROL!$C$42, 9.0826, 9.0826)*CHOOSE(CONTROL!$C$21, $C$9, 100%, $E$9)</f>
        <v>9.0825999999999993</v>
      </c>
      <c r="H255" s="10">
        <f>CHOOSE(CONTROL!$C$42, 9.1661, 9.1661) * CHOOSE(CONTROL!$C$21, $C$9, 100%, $E$9)</f>
        <v>9.1661000000000001</v>
      </c>
      <c r="I255" s="10">
        <f>CHOOSE(CONTROL!$C$42, 9.0516, 9.0516)* CHOOSE(CONTROL!$C$21, $C$9, 100%, $E$9)</f>
        <v>9.0516000000000005</v>
      </c>
      <c r="J255" s="10">
        <f>CHOOSE(CONTROL!$C$42, 9.0584, 9.0584)* CHOOSE(CONTROL!$C$21, $C$9, 100%, $E$9)</f>
        <v>9.0584000000000007</v>
      </c>
      <c r="K255" s="54">
        <f>CHOOSE(CONTROL!$C$42, 9.0477, 9.0477) * CHOOSE(CONTROL!$C$21, $C$9, 100%, $E$9)</f>
        <v>9.0477000000000007</v>
      </c>
      <c r="L255" s="10">
        <f>CHOOSE(CONTROL!$C$42, 9.7531, 9.7531) * CHOOSE(CONTROL!$C$21, $C$9, 100%, $E$9)</f>
        <v>9.7530999999999999</v>
      </c>
      <c r="M255" s="10">
        <f>CHOOSE(CONTROL!$C$42, 8.9808, 8.9808) * CHOOSE(CONTROL!$C$21, $C$9, 100%, $E$9)</f>
        <v>8.9808000000000003</v>
      </c>
      <c r="N255" s="10">
        <f>CHOOSE(CONTROL!$C$42, 8.9978, 8.9978) * CHOOSE(CONTROL!$C$21, $C$9, 100%, $E$9)</f>
        <v>8.9977999999999998</v>
      </c>
      <c r="O255" s="10">
        <f>CHOOSE(CONTROL!$C$42, 9.0874, 9.0874) * CHOOSE(CONTROL!$C$21, $C$9, 100%, $E$9)</f>
        <v>9.0874000000000006</v>
      </c>
      <c r="P255" s="10">
        <f>CHOOSE(CONTROL!$C$42, 8.9741, 8.9741) * CHOOSE(CONTROL!$C$21, $C$9, 100%, $E$9)</f>
        <v>8.9741</v>
      </c>
      <c r="Q255" s="10">
        <f>CHOOSE(CONTROL!$C$42, 9.6827, 9.6827) * CHOOSE(CONTROL!$C$21, $C$9, 100%, $E$9)</f>
        <v>9.6827000000000005</v>
      </c>
      <c r="R255" s="10">
        <f>CHOOSE(CONTROL!$C$42, 10.2939, 10.2939) * CHOOSE(CONTROL!$C$21, $C$9, 100%, $E$9)</f>
        <v>10.293900000000001</v>
      </c>
      <c r="S255" s="10">
        <f>CHOOSE(CONTROL!$C$42, 8.8132, 8.8132) * CHOOSE(CONTROL!$C$21, $C$9, 100%, $E$9)</f>
        <v>8.8132000000000001</v>
      </c>
      <c r="T255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255" s="58">
        <f>(1000*CHOOSE(CONTROL!$C$42, 695, 695)*CHOOSE(CONTROL!$C$42, 0.5599, 0.5599)*CHOOSE(CONTROL!$C$42, 31, 31))/1000000</f>
        <v>12.063045499999998</v>
      </c>
      <c r="V255" s="58">
        <f>(1000*CHOOSE(CONTROL!$C$42, 500, 500)*CHOOSE(CONTROL!$C$42, 0.275, 0.275)*CHOOSE(CONTROL!$C$42, 31, 31))/1000000</f>
        <v>4.2625000000000002</v>
      </c>
      <c r="W255" s="58">
        <f>(1000*CHOOSE(CONTROL!$C$42, 0.1146, 0.1146)*CHOOSE(CONTROL!$C$42, 121.5, 121.5)*CHOOSE(CONTROL!$C$42, 31, 31))/1000000</f>
        <v>0.43164089999999994</v>
      </c>
      <c r="X255" s="58">
        <f>(31*0.1790888*100000/1000000)+(31*0.2374*100000/1000000)</f>
        <v>1.2911152800000001</v>
      </c>
      <c r="Y255" s="58"/>
      <c r="Z255" s="10"/>
      <c r="AA255" s="57"/>
      <c r="AB255" s="51">
        <f>(B255*122.58+C255*297.941+D255*89.177+E255*40.302+F255*40+G255*160+H255*0+I255*100+J255*300)/(122.58+297.941+89.177+40.302+0+40+160+100+300)</f>
        <v>9.0804669957391297</v>
      </c>
      <c r="AC255" s="27">
        <f>(M255*'RAP TEMPLATE-GAS AVAILABILITY'!O254+N255*'RAP TEMPLATE-GAS AVAILABILITY'!P254+O255*'RAP TEMPLATE-GAS AVAILABILITY'!Q254+P255*'RAP TEMPLATE-GAS AVAILABILITY'!R254)/('RAP TEMPLATE-GAS AVAILABILITY'!O254+'RAP TEMPLATE-GAS AVAILABILITY'!P254+'RAP TEMPLATE-GAS AVAILABILITY'!Q254+'RAP TEMPLATE-GAS AVAILABILITY'!R254)</f>
        <v>9.029129496402879</v>
      </c>
    </row>
    <row r="256" spans="1:29" ht="15.75" x14ac:dyDescent="0.25">
      <c r="A256" s="16">
        <v>48670</v>
      </c>
      <c r="B256" s="10">
        <f>CHOOSE(CONTROL!$C$42, 9.0517, 9.0517) * CHOOSE(CONTROL!$C$21, $C$9, 100%, $E$9)</f>
        <v>9.0517000000000003</v>
      </c>
      <c r="C256" s="10">
        <f>CHOOSE(CONTROL!$C$42, 9.056, 9.056) * CHOOSE(CONTROL!$C$21, $C$9, 100%, $E$9)</f>
        <v>9.0559999999999992</v>
      </c>
      <c r="D256" s="10">
        <f>CHOOSE(CONTROL!$C$42, 9.2516, 9.2516) * CHOOSE(CONTROL!$C$21, $C$9, 100%, $E$9)</f>
        <v>9.2515999999999998</v>
      </c>
      <c r="E256" s="10">
        <f>CHOOSE(CONTROL!$C$42, 9.2834, 9.2834) * CHOOSE(CONTROL!$C$21, $C$9, 100%, $E$9)</f>
        <v>9.2834000000000003</v>
      </c>
      <c r="F256" s="10">
        <f>CHOOSE(CONTROL!$C$42, 9.0195, 9.0195)*CHOOSE(CONTROL!$C$21, $C$9, 100%, $E$9)</f>
        <v>9.0195000000000007</v>
      </c>
      <c r="G256" s="10">
        <f>CHOOSE(CONTROL!$C$42, 9.0362, 9.0362)*CHOOSE(CONTROL!$C$21, $C$9, 100%, $E$9)</f>
        <v>9.0361999999999991</v>
      </c>
      <c r="H256" s="10">
        <f>CHOOSE(CONTROL!$C$42, 9.2732, 9.2732) * CHOOSE(CONTROL!$C$21, $C$9, 100%, $E$9)</f>
        <v>9.2731999999999992</v>
      </c>
      <c r="I256" s="10">
        <f>CHOOSE(CONTROL!$C$42, 9.0196, 9.0196)* CHOOSE(CONTROL!$C$21, $C$9, 100%, $E$9)</f>
        <v>9.0196000000000005</v>
      </c>
      <c r="J256" s="10">
        <f>CHOOSE(CONTROL!$C$42, 9.0125, 9.0125)* CHOOSE(CONTROL!$C$21, $C$9, 100%, $E$9)</f>
        <v>9.0124999999999993</v>
      </c>
      <c r="K256" s="54">
        <f>CHOOSE(CONTROL!$C$42, 9.0157, 9.0157) * CHOOSE(CONTROL!$C$21, $C$9, 100%, $E$9)</f>
        <v>9.0157000000000007</v>
      </c>
      <c r="L256" s="10">
        <f>CHOOSE(CONTROL!$C$42, 9.8602, 9.8602) * CHOOSE(CONTROL!$C$21, $C$9, 100%, $E$9)</f>
        <v>9.8602000000000007</v>
      </c>
      <c r="M256" s="10">
        <f>CHOOSE(CONTROL!$C$42, 8.9353, 8.9353) * CHOOSE(CONTROL!$C$21, $C$9, 100%, $E$9)</f>
        <v>8.9352999999999998</v>
      </c>
      <c r="N256" s="10">
        <f>CHOOSE(CONTROL!$C$42, 8.9519, 8.9519) * CHOOSE(CONTROL!$C$21, $C$9, 100%, $E$9)</f>
        <v>8.9519000000000002</v>
      </c>
      <c r="O256" s="10">
        <f>CHOOSE(CONTROL!$C$42, 9.1934, 9.1934) * CHOOSE(CONTROL!$C$21, $C$9, 100%, $E$9)</f>
        <v>9.1934000000000005</v>
      </c>
      <c r="P256" s="10">
        <f>CHOOSE(CONTROL!$C$42, 8.9425, 8.9425) * CHOOSE(CONTROL!$C$21, $C$9, 100%, $E$9)</f>
        <v>8.9425000000000008</v>
      </c>
      <c r="Q256" s="10">
        <f>CHOOSE(CONTROL!$C$42, 9.7887, 9.7887) * CHOOSE(CONTROL!$C$21, $C$9, 100%, $E$9)</f>
        <v>9.7887000000000004</v>
      </c>
      <c r="R256" s="10">
        <f>CHOOSE(CONTROL!$C$42, 10.4002, 10.4002) * CHOOSE(CONTROL!$C$21, $C$9, 100%, $E$9)</f>
        <v>10.4002</v>
      </c>
      <c r="S256" s="10">
        <f>CHOOSE(CONTROL!$C$42, 8.7872, 8.7872) * CHOOSE(CONTROL!$C$21, $C$9, 100%, $E$9)</f>
        <v>8.7872000000000003</v>
      </c>
      <c r="T256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256" s="58">
        <f>(1000*CHOOSE(CONTROL!$C$42, 695, 695)*CHOOSE(CONTROL!$C$42, 0.5599, 0.5599)*CHOOSE(CONTROL!$C$42, 30, 30))/1000000</f>
        <v>11.673914999999997</v>
      </c>
      <c r="V256" s="58">
        <f>(1000*CHOOSE(CONTROL!$C$42, 500, 500)*CHOOSE(CONTROL!$C$42, 0.275, 0.275)*CHOOSE(CONTROL!$C$42, 30, 30))/1000000</f>
        <v>4.125</v>
      </c>
      <c r="W256" s="58">
        <f>(1000*CHOOSE(CONTROL!$C$42, 0.1146, 0.1146)*CHOOSE(CONTROL!$C$42, 121.5, 121.5)*CHOOSE(CONTROL!$C$42, 30, 30))/1000000</f>
        <v>0.417717</v>
      </c>
      <c r="X256" s="58">
        <f>(30*0.1790888*245000/1000000)+(30*0.2374*100000/1000000)</f>
        <v>2.0285026799999999</v>
      </c>
      <c r="Y256" s="58"/>
      <c r="Z256" s="10"/>
      <c r="AA256" s="57"/>
      <c r="AB256" s="51">
        <f>(B256*141.293+C256*267.993+D256*115.016+E256*89.698+F256*40+G256*185+H256*0+I256*100+J256*300)/(141.293+267.993+115.016+89.698+0+40+185+100+300)</f>
        <v>9.0725245317998393</v>
      </c>
      <c r="AC256" s="27">
        <f>(M256*'RAP TEMPLATE-GAS AVAILABILITY'!O255+N256*'RAP TEMPLATE-GAS AVAILABILITY'!P255+O256*'RAP TEMPLATE-GAS AVAILABILITY'!Q255+P256*'RAP TEMPLATE-GAS AVAILABILITY'!R255)/('RAP TEMPLATE-GAS AVAILABILITY'!O255+'RAP TEMPLATE-GAS AVAILABILITY'!P255+'RAP TEMPLATE-GAS AVAILABILITY'!Q255+'RAP TEMPLATE-GAS AVAILABILITY'!R255)</f>
        <v>9.0125741007194247</v>
      </c>
    </row>
    <row r="257" spans="1:29" ht="15.75" x14ac:dyDescent="0.25">
      <c r="A257" s="16">
        <v>48700</v>
      </c>
      <c r="B257" s="10">
        <f>CHOOSE(CONTROL!$C$42, 9.1329, 9.1329) * CHOOSE(CONTROL!$C$21, $C$9, 100%, $E$9)</f>
        <v>9.1328999999999994</v>
      </c>
      <c r="C257" s="10">
        <f>CHOOSE(CONTROL!$C$42, 9.1408, 9.1408) * CHOOSE(CONTROL!$C$21, $C$9, 100%, $E$9)</f>
        <v>9.1408000000000005</v>
      </c>
      <c r="D257" s="10">
        <f>CHOOSE(CONTROL!$C$42, 9.3333, 9.3333) * CHOOSE(CONTROL!$C$21, $C$9, 100%, $E$9)</f>
        <v>9.3332999999999995</v>
      </c>
      <c r="E257" s="10">
        <f>CHOOSE(CONTROL!$C$42, 9.3644, 9.3644) * CHOOSE(CONTROL!$C$21, $C$9, 100%, $E$9)</f>
        <v>9.3643999999999998</v>
      </c>
      <c r="F257" s="10">
        <f>CHOOSE(CONTROL!$C$42, 9.0992, 9.0992)*CHOOSE(CONTROL!$C$21, $C$9, 100%, $E$9)</f>
        <v>9.0991999999999997</v>
      </c>
      <c r="G257" s="10">
        <f>CHOOSE(CONTROL!$C$42, 9.1163, 9.1163)*CHOOSE(CONTROL!$C$21, $C$9, 100%, $E$9)</f>
        <v>9.1163000000000007</v>
      </c>
      <c r="H257" s="10">
        <f>CHOOSE(CONTROL!$C$42, 9.353, 9.353) * CHOOSE(CONTROL!$C$21, $C$9, 100%, $E$9)</f>
        <v>9.3529999999999998</v>
      </c>
      <c r="I257" s="10">
        <f>CHOOSE(CONTROL!$C$42, 9.0995, 9.0995)* CHOOSE(CONTROL!$C$21, $C$9, 100%, $E$9)</f>
        <v>9.0995000000000008</v>
      </c>
      <c r="J257" s="10">
        <f>CHOOSE(CONTROL!$C$42, 9.0922, 9.0922)* CHOOSE(CONTROL!$C$21, $C$9, 100%, $E$9)</f>
        <v>9.0922000000000001</v>
      </c>
      <c r="K257" s="54">
        <f>CHOOSE(CONTROL!$C$42, 9.0956, 9.0956) * CHOOSE(CONTROL!$C$21, $C$9, 100%, $E$9)</f>
        <v>9.0955999999999992</v>
      </c>
      <c r="L257" s="10">
        <f>CHOOSE(CONTROL!$C$42, 9.94, 9.94) * CHOOSE(CONTROL!$C$21, $C$9, 100%, $E$9)</f>
        <v>9.94</v>
      </c>
      <c r="M257" s="10">
        <f>CHOOSE(CONTROL!$C$42, 9.0142, 9.0142) * CHOOSE(CONTROL!$C$21, $C$9, 100%, $E$9)</f>
        <v>9.0142000000000007</v>
      </c>
      <c r="N257" s="10">
        <f>CHOOSE(CONTROL!$C$42, 9.0312, 9.0312) * CHOOSE(CONTROL!$C$21, $C$9, 100%, $E$9)</f>
        <v>9.0312000000000001</v>
      </c>
      <c r="O257" s="10">
        <f>CHOOSE(CONTROL!$C$42, 9.2725, 9.2725) * CHOOSE(CONTROL!$C$21, $C$9, 100%, $E$9)</f>
        <v>9.2725000000000009</v>
      </c>
      <c r="P257" s="10">
        <f>CHOOSE(CONTROL!$C$42, 9.0215, 9.0215) * CHOOSE(CONTROL!$C$21, $C$9, 100%, $E$9)</f>
        <v>9.0214999999999996</v>
      </c>
      <c r="Q257" s="10">
        <f>CHOOSE(CONTROL!$C$42, 9.8678, 9.8678) * CHOOSE(CONTROL!$C$21, $C$9, 100%, $E$9)</f>
        <v>9.8678000000000008</v>
      </c>
      <c r="R257" s="10">
        <f>CHOOSE(CONTROL!$C$42, 10.4794, 10.4794) * CHOOSE(CONTROL!$C$21, $C$9, 100%, $E$9)</f>
        <v>10.4794</v>
      </c>
      <c r="S257" s="10">
        <f>CHOOSE(CONTROL!$C$42, 8.8647, 8.8647) * CHOOSE(CONTROL!$C$21, $C$9, 100%, $E$9)</f>
        <v>8.8646999999999991</v>
      </c>
      <c r="T257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257" s="58">
        <f>(1000*CHOOSE(CONTROL!$C$42, 695, 695)*CHOOSE(CONTROL!$C$42, 0.5599, 0.5599)*CHOOSE(CONTROL!$C$42, 31, 31))/1000000</f>
        <v>12.063045499999998</v>
      </c>
      <c r="V257" s="58">
        <f>(1000*CHOOSE(CONTROL!$C$42, 500, 500)*CHOOSE(CONTROL!$C$42, 0.275, 0.275)*CHOOSE(CONTROL!$C$42, 31, 31))/1000000</f>
        <v>4.2625000000000002</v>
      </c>
      <c r="W257" s="58">
        <f>(1000*CHOOSE(CONTROL!$C$42, 0.1146, 0.1146)*CHOOSE(CONTROL!$C$42, 121.5, 121.5)*CHOOSE(CONTROL!$C$42, 31, 31))/1000000</f>
        <v>0.43164089999999994</v>
      </c>
      <c r="X257" s="58">
        <f>(31*0.1790888*245000/1000000)+(31*0.2374*100000/1000000)</f>
        <v>2.0961194359999999</v>
      </c>
      <c r="Y257" s="58"/>
      <c r="Z257" s="10"/>
      <c r="AA257" s="57"/>
      <c r="AB257" s="51">
        <f>(B257*194.205+C257*267.466+D257*133.845+E257*53.484+F257*40+G257*185+H257*0+I257*100+J257*300)/(194.205+267.466+133.845+53.484+0+40+185+100+300)</f>
        <v>9.1496567232339103</v>
      </c>
      <c r="AC257" s="27">
        <f>(M257*'RAP TEMPLATE-GAS AVAILABILITY'!O256+N257*'RAP TEMPLATE-GAS AVAILABILITY'!P256+O257*'RAP TEMPLATE-GAS AVAILABILITY'!Q256+P257*'RAP TEMPLATE-GAS AVAILABILITY'!R256)/('RAP TEMPLATE-GAS AVAILABILITY'!O256+'RAP TEMPLATE-GAS AVAILABILITY'!P256+'RAP TEMPLATE-GAS AVAILABILITY'!Q256+'RAP TEMPLATE-GAS AVAILABILITY'!R256)</f>
        <v>9.0916366906474817</v>
      </c>
    </row>
    <row r="258" spans="1:29" ht="15.75" x14ac:dyDescent="0.25">
      <c r="A258" s="16">
        <v>48731</v>
      </c>
      <c r="B258" s="10">
        <f>CHOOSE(CONTROL!$C$42, 9.3918, 9.3918) * CHOOSE(CONTROL!$C$21, $C$9, 100%, $E$9)</f>
        <v>9.3917999999999999</v>
      </c>
      <c r="C258" s="10">
        <f>CHOOSE(CONTROL!$C$42, 9.3997, 9.3997) * CHOOSE(CONTROL!$C$21, $C$9, 100%, $E$9)</f>
        <v>9.3996999999999993</v>
      </c>
      <c r="D258" s="10">
        <f>CHOOSE(CONTROL!$C$42, 9.5922, 9.5922) * CHOOSE(CONTROL!$C$21, $C$9, 100%, $E$9)</f>
        <v>9.5922000000000001</v>
      </c>
      <c r="E258" s="10">
        <f>CHOOSE(CONTROL!$C$42, 9.6233, 9.6233) * CHOOSE(CONTROL!$C$21, $C$9, 100%, $E$9)</f>
        <v>9.6233000000000004</v>
      </c>
      <c r="F258" s="10">
        <f>CHOOSE(CONTROL!$C$42, 9.3583, 9.3583)*CHOOSE(CONTROL!$C$21, $C$9, 100%, $E$9)</f>
        <v>9.3582999999999998</v>
      </c>
      <c r="G258" s="10">
        <f>CHOOSE(CONTROL!$C$42, 9.3755, 9.3755)*CHOOSE(CONTROL!$C$21, $C$9, 100%, $E$9)</f>
        <v>9.3755000000000006</v>
      </c>
      <c r="H258" s="10">
        <f>CHOOSE(CONTROL!$C$42, 9.6119, 9.6119) * CHOOSE(CONTROL!$C$21, $C$9, 100%, $E$9)</f>
        <v>9.6119000000000003</v>
      </c>
      <c r="I258" s="10">
        <f>CHOOSE(CONTROL!$C$42, 9.3584, 9.3584)* CHOOSE(CONTROL!$C$21, $C$9, 100%, $E$9)</f>
        <v>9.3583999999999996</v>
      </c>
      <c r="J258" s="10">
        <f>CHOOSE(CONTROL!$C$42, 9.3513, 9.3513)* CHOOSE(CONTROL!$C$21, $C$9, 100%, $E$9)</f>
        <v>9.3513000000000002</v>
      </c>
      <c r="K258" s="54">
        <f>CHOOSE(CONTROL!$C$42, 9.3545, 9.3545) * CHOOSE(CONTROL!$C$21, $C$9, 100%, $E$9)</f>
        <v>9.3544999999999998</v>
      </c>
      <c r="L258" s="10">
        <f>CHOOSE(CONTROL!$C$42, 10.1989, 10.1989) * CHOOSE(CONTROL!$C$21, $C$9, 100%, $E$9)</f>
        <v>10.1989</v>
      </c>
      <c r="M258" s="10">
        <f>CHOOSE(CONTROL!$C$42, 9.2708, 9.2708) * CHOOSE(CONTROL!$C$21, $C$9, 100%, $E$9)</f>
        <v>9.2707999999999995</v>
      </c>
      <c r="N258" s="10">
        <f>CHOOSE(CONTROL!$C$42, 9.2878, 9.2878) * CHOOSE(CONTROL!$C$21, $C$9, 100%, $E$9)</f>
        <v>9.2878000000000007</v>
      </c>
      <c r="O258" s="10">
        <f>CHOOSE(CONTROL!$C$42, 9.5288, 9.5288) * CHOOSE(CONTROL!$C$21, $C$9, 100%, $E$9)</f>
        <v>9.5288000000000004</v>
      </c>
      <c r="P258" s="10">
        <f>CHOOSE(CONTROL!$C$42, 9.2778, 9.2778) * CHOOSE(CONTROL!$C$21, $C$9, 100%, $E$9)</f>
        <v>9.2777999999999992</v>
      </c>
      <c r="Q258" s="10">
        <f>CHOOSE(CONTROL!$C$42, 10.1241, 10.1241) * CHOOSE(CONTROL!$C$21, $C$9, 100%, $E$9)</f>
        <v>10.1241</v>
      </c>
      <c r="R258" s="10">
        <f>CHOOSE(CONTROL!$C$42, 10.7364, 10.7364) * CHOOSE(CONTROL!$C$21, $C$9, 100%, $E$9)</f>
        <v>10.7364</v>
      </c>
      <c r="S258" s="10">
        <f>CHOOSE(CONTROL!$C$42, 9.1161, 9.1161) * CHOOSE(CONTROL!$C$21, $C$9, 100%, $E$9)</f>
        <v>9.1160999999999994</v>
      </c>
      <c r="T258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258" s="58">
        <f>(1000*CHOOSE(CONTROL!$C$42, 695, 695)*CHOOSE(CONTROL!$C$42, 0.5599, 0.5599)*CHOOSE(CONTROL!$C$42, 30, 30))/1000000</f>
        <v>11.673914999999997</v>
      </c>
      <c r="V258" s="58">
        <f>(1000*CHOOSE(CONTROL!$C$42, 500, 500)*CHOOSE(CONTROL!$C$42, 0.275, 0.275)*CHOOSE(CONTROL!$C$42, 30, 30))/1000000</f>
        <v>4.125</v>
      </c>
      <c r="W258" s="58">
        <f>(1000*CHOOSE(CONTROL!$C$42, 0.1146, 0.1146)*CHOOSE(CONTROL!$C$42, 121.5, 121.5)*CHOOSE(CONTROL!$C$42, 30, 30))/1000000</f>
        <v>0.417717</v>
      </c>
      <c r="X258" s="58">
        <f>(30*0.1790888*245000/1000000)+(30*0.2374*100000/1000000)</f>
        <v>2.0285026799999999</v>
      </c>
      <c r="Y258" s="58"/>
      <c r="Z258" s="10"/>
      <c r="AA258" s="57"/>
      <c r="AB258" s="51">
        <f>(B258*194.205+C258*267.466+D258*133.845+E258*53.484+F258*40+G258*185+H258*0+I258*100+J258*300)/(194.205+267.466+133.845+53.484+0+40+185+100+300)</f>
        <v>9.408653662009419</v>
      </c>
      <c r="AC258" s="27">
        <f>(M258*'RAP TEMPLATE-GAS AVAILABILITY'!O257+N258*'RAP TEMPLATE-GAS AVAILABILITY'!P257+O258*'RAP TEMPLATE-GAS AVAILABILITY'!Q257+P258*'RAP TEMPLATE-GAS AVAILABILITY'!R257)/('RAP TEMPLATE-GAS AVAILABILITY'!O257+'RAP TEMPLATE-GAS AVAILABILITY'!P257+'RAP TEMPLATE-GAS AVAILABILITY'!Q257+'RAP TEMPLATE-GAS AVAILABILITY'!R257)</f>
        <v>9.3481093525179855</v>
      </c>
    </row>
    <row r="259" spans="1:29" ht="15.75" x14ac:dyDescent="0.25">
      <c r="A259" s="16">
        <v>48761</v>
      </c>
      <c r="B259" s="10">
        <f>CHOOSE(CONTROL!$C$42, 9.2117, 9.2117) * CHOOSE(CONTROL!$C$21, $C$9, 100%, $E$9)</f>
        <v>9.2117000000000004</v>
      </c>
      <c r="C259" s="10">
        <f>CHOOSE(CONTROL!$C$42, 9.2197, 9.2197) * CHOOSE(CONTROL!$C$21, $C$9, 100%, $E$9)</f>
        <v>9.2196999999999996</v>
      </c>
      <c r="D259" s="10">
        <f>CHOOSE(CONTROL!$C$42, 9.4121, 9.4121) * CHOOSE(CONTROL!$C$21, $C$9, 100%, $E$9)</f>
        <v>9.4121000000000006</v>
      </c>
      <c r="E259" s="10">
        <f>CHOOSE(CONTROL!$C$42, 9.4432, 9.4432) * CHOOSE(CONTROL!$C$21, $C$9, 100%, $E$9)</f>
        <v>9.4431999999999992</v>
      </c>
      <c r="F259" s="10">
        <f>CHOOSE(CONTROL!$C$42, 9.1786, 9.1786)*CHOOSE(CONTROL!$C$21, $C$9, 100%, $E$9)</f>
        <v>9.1785999999999994</v>
      </c>
      <c r="G259" s="10">
        <f>CHOOSE(CONTROL!$C$42, 9.1959, 9.1959)*CHOOSE(CONTROL!$C$21, $C$9, 100%, $E$9)</f>
        <v>9.1959</v>
      </c>
      <c r="H259" s="10">
        <f>CHOOSE(CONTROL!$C$42, 9.4319, 9.4319) * CHOOSE(CONTROL!$C$21, $C$9, 100%, $E$9)</f>
        <v>9.4319000000000006</v>
      </c>
      <c r="I259" s="10">
        <f>CHOOSE(CONTROL!$C$42, 9.1783, 9.1783)* CHOOSE(CONTROL!$C$21, $C$9, 100%, $E$9)</f>
        <v>9.1783000000000001</v>
      </c>
      <c r="J259" s="10">
        <f>CHOOSE(CONTROL!$C$42, 9.1716, 9.1716)* CHOOSE(CONTROL!$C$21, $C$9, 100%, $E$9)</f>
        <v>9.1715999999999998</v>
      </c>
      <c r="K259" s="54">
        <f>CHOOSE(CONTROL!$C$42, 9.1744, 9.1744) * CHOOSE(CONTROL!$C$21, $C$9, 100%, $E$9)</f>
        <v>9.1744000000000003</v>
      </c>
      <c r="L259" s="10">
        <f>CHOOSE(CONTROL!$C$42, 10.0189, 10.0189) * CHOOSE(CONTROL!$C$21, $C$9, 100%, $E$9)</f>
        <v>10.0189</v>
      </c>
      <c r="M259" s="10">
        <f>CHOOSE(CONTROL!$C$42, 9.0929, 9.0929) * CHOOSE(CONTROL!$C$21, $C$9, 100%, $E$9)</f>
        <v>9.0929000000000002</v>
      </c>
      <c r="N259" s="10">
        <f>CHOOSE(CONTROL!$C$42, 9.11, 9.11) * CHOOSE(CONTROL!$C$21, $C$9, 100%, $E$9)</f>
        <v>9.11</v>
      </c>
      <c r="O259" s="10">
        <f>CHOOSE(CONTROL!$C$42, 9.3505, 9.3505) * CHOOSE(CONTROL!$C$21, $C$9, 100%, $E$9)</f>
        <v>9.3505000000000003</v>
      </c>
      <c r="P259" s="10">
        <f>CHOOSE(CONTROL!$C$42, 9.0996, 9.0996) * CHOOSE(CONTROL!$C$21, $C$9, 100%, $E$9)</f>
        <v>9.0996000000000006</v>
      </c>
      <c r="Q259" s="10">
        <f>CHOOSE(CONTROL!$C$42, 9.9458, 9.9458) * CHOOSE(CONTROL!$C$21, $C$9, 100%, $E$9)</f>
        <v>9.9458000000000002</v>
      </c>
      <c r="R259" s="10">
        <f>CHOOSE(CONTROL!$C$42, 10.5577, 10.5577) * CHOOSE(CONTROL!$C$21, $C$9, 100%, $E$9)</f>
        <v>10.557700000000001</v>
      </c>
      <c r="S259" s="10">
        <f>CHOOSE(CONTROL!$C$42, 8.9413, 8.9413) * CHOOSE(CONTROL!$C$21, $C$9, 100%, $E$9)</f>
        <v>8.9413</v>
      </c>
      <c r="T259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259" s="58">
        <f>(1000*CHOOSE(CONTROL!$C$42, 695, 695)*CHOOSE(CONTROL!$C$42, 0.5599, 0.5599)*CHOOSE(CONTROL!$C$42, 31, 31))/1000000</f>
        <v>12.063045499999998</v>
      </c>
      <c r="V259" s="58">
        <f>(1000*CHOOSE(CONTROL!$C$42, 500, 500)*CHOOSE(CONTROL!$C$42, 0.275, 0.275)*CHOOSE(CONTROL!$C$42, 31, 31))/1000000</f>
        <v>4.2625000000000002</v>
      </c>
      <c r="W259" s="58">
        <f>(1000*CHOOSE(CONTROL!$C$42, 0.1146, 0.1146)*CHOOSE(CONTROL!$C$42, 121.5, 121.5)*CHOOSE(CONTROL!$C$42, 31, 31))/1000000</f>
        <v>0.43164089999999994</v>
      </c>
      <c r="X259" s="58">
        <f>(31*0.1790888*245000/1000000)+(31*0.2374*100000/1000000)</f>
        <v>2.0961194359999999</v>
      </c>
      <c r="Y259" s="58"/>
      <c r="Z259" s="10"/>
      <c r="AA259" s="57"/>
      <c r="AB259" s="51">
        <f>(B259*194.205+C259*267.466+D259*133.845+E259*53.484+F259*40+G259*185+H259*0+I259*100+J259*300)/(194.205+267.466+133.845+53.484+0+40+185+100+300)</f>
        <v>9.2287540125588698</v>
      </c>
      <c r="AC259" s="27">
        <f>(M259*'RAP TEMPLATE-GAS AVAILABILITY'!O258+N259*'RAP TEMPLATE-GAS AVAILABILITY'!P258+O259*'RAP TEMPLATE-GAS AVAILABILITY'!Q258+P259*'RAP TEMPLATE-GAS AVAILABILITY'!R258)/('RAP TEMPLATE-GAS AVAILABILITY'!O258+'RAP TEMPLATE-GAS AVAILABILITY'!P258+'RAP TEMPLATE-GAS AVAILABILITY'!Q258+'RAP TEMPLATE-GAS AVAILABILITY'!R258)</f>
        <v>9.1700769784172671</v>
      </c>
    </row>
    <row r="260" spans="1:29" ht="15.75" x14ac:dyDescent="0.25">
      <c r="A260" s="16">
        <v>48792</v>
      </c>
      <c r="B260" s="10">
        <f>CHOOSE(CONTROL!$C$42, 8.757, 8.757) * CHOOSE(CONTROL!$C$21, $C$9, 100%, $E$9)</f>
        <v>8.7569999999999997</v>
      </c>
      <c r="C260" s="10">
        <f>CHOOSE(CONTROL!$C$42, 8.7649, 8.7649) * CHOOSE(CONTROL!$C$21, $C$9, 100%, $E$9)</f>
        <v>8.7649000000000008</v>
      </c>
      <c r="D260" s="10">
        <f>CHOOSE(CONTROL!$C$42, 8.9574, 8.9574) * CHOOSE(CONTROL!$C$21, $C$9, 100%, $E$9)</f>
        <v>8.9573999999999998</v>
      </c>
      <c r="E260" s="10">
        <f>CHOOSE(CONTROL!$C$42, 8.9885, 8.9885) * CHOOSE(CONTROL!$C$21, $C$9, 100%, $E$9)</f>
        <v>8.9885000000000002</v>
      </c>
      <c r="F260" s="10">
        <f>CHOOSE(CONTROL!$C$42, 8.7241, 8.7241)*CHOOSE(CONTROL!$C$21, $C$9, 100%, $E$9)</f>
        <v>8.7241</v>
      </c>
      <c r="G260" s="10">
        <f>CHOOSE(CONTROL!$C$42, 8.7414, 8.7414)*CHOOSE(CONTROL!$C$21, $C$9, 100%, $E$9)</f>
        <v>8.7414000000000005</v>
      </c>
      <c r="H260" s="10">
        <f>CHOOSE(CONTROL!$C$42, 8.9771, 8.9771) * CHOOSE(CONTROL!$C$21, $C$9, 100%, $E$9)</f>
        <v>8.9771000000000001</v>
      </c>
      <c r="I260" s="10">
        <f>CHOOSE(CONTROL!$C$42, 8.7236, 8.7236)* CHOOSE(CONTROL!$C$21, $C$9, 100%, $E$9)</f>
        <v>8.7235999999999994</v>
      </c>
      <c r="J260" s="10">
        <f>CHOOSE(CONTROL!$C$42, 8.7171, 8.7171)* CHOOSE(CONTROL!$C$21, $C$9, 100%, $E$9)</f>
        <v>8.7171000000000003</v>
      </c>
      <c r="K260" s="54">
        <f>CHOOSE(CONTROL!$C$42, 8.7197, 8.7197) * CHOOSE(CONTROL!$C$21, $C$9, 100%, $E$9)</f>
        <v>8.7196999999999996</v>
      </c>
      <c r="L260" s="10">
        <f>CHOOSE(CONTROL!$C$42, 9.5641, 9.5641) * CHOOSE(CONTROL!$C$21, $C$9, 100%, $E$9)</f>
        <v>9.5640999999999998</v>
      </c>
      <c r="M260" s="10">
        <f>CHOOSE(CONTROL!$C$42, 8.6429, 8.6429) * CHOOSE(CONTROL!$C$21, $C$9, 100%, $E$9)</f>
        <v>8.6428999999999991</v>
      </c>
      <c r="N260" s="10">
        <f>CHOOSE(CONTROL!$C$42, 8.6601, 8.6601) * CHOOSE(CONTROL!$C$21, $C$9, 100%, $E$9)</f>
        <v>8.6600999999999999</v>
      </c>
      <c r="O260" s="10">
        <f>CHOOSE(CONTROL!$C$42, 8.9004, 8.9004) * CHOOSE(CONTROL!$C$21, $C$9, 100%, $E$9)</f>
        <v>8.9003999999999994</v>
      </c>
      <c r="P260" s="10">
        <f>CHOOSE(CONTROL!$C$42, 8.6494, 8.6494) * CHOOSE(CONTROL!$C$21, $C$9, 100%, $E$9)</f>
        <v>8.6494</v>
      </c>
      <c r="Q260" s="10">
        <f>CHOOSE(CONTROL!$C$42, 9.4957, 9.4957) * CHOOSE(CONTROL!$C$21, $C$9, 100%, $E$9)</f>
        <v>9.4956999999999994</v>
      </c>
      <c r="R260" s="10">
        <f>CHOOSE(CONTROL!$C$42, 10.1064, 10.1064) * CHOOSE(CONTROL!$C$21, $C$9, 100%, $E$9)</f>
        <v>10.106400000000001</v>
      </c>
      <c r="S260" s="10">
        <f>CHOOSE(CONTROL!$C$42, 8.4997, 8.4997) * CHOOSE(CONTROL!$C$21, $C$9, 100%, $E$9)</f>
        <v>8.4997000000000007</v>
      </c>
      <c r="T260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260" s="58">
        <f>(1000*CHOOSE(CONTROL!$C$42, 695, 695)*CHOOSE(CONTROL!$C$42, 0.5599, 0.5599)*CHOOSE(CONTROL!$C$42, 31, 31))/1000000</f>
        <v>12.063045499999998</v>
      </c>
      <c r="V260" s="58">
        <f>(1000*CHOOSE(CONTROL!$C$42, 500, 500)*CHOOSE(CONTROL!$C$42, 0.275, 0.275)*CHOOSE(CONTROL!$C$42, 31, 31))/1000000</f>
        <v>4.2625000000000002</v>
      </c>
      <c r="W260" s="58">
        <f>(1000*CHOOSE(CONTROL!$C$42, 0.1146, 0.1146)*CHOOSE(CONTROL!$C$42, 121.5, 121.5)*CHOOSE(CONTROL!$C$42, 31, 31))/1000000</f>
        <v>0.43164089999999994</v>
      </c>
      <c r="X260" s="58">
        <f>(31*0.1790888*245000/1000000)+(31*0.2374*100000/1000000)</f>
        <v>2.0961194359999999</v>
      </c>
      <c r="Y260" s="58"/>
      <c r="Z260" s="10"/>
      <c r="AA260" s="57"/>
      <c r="AB260" s="51">
        <f>(B260*194.205+C260*267.466+D260*133.845+E260*53.484+F260*40+G260*185+H260*0+I260*100+J260*300)/(194.205+267.466+133.845+53.484+0+40+185+100+300)</f>
        <v>8.7741154359497653</v>
      </c>
      <c r="AC260" s="27">
        <f>(M260*'RAP TEMPLATE-GAS AVAILABILITY'!O259+N260*'RAP TEMPLATE-GAS AVAILABILITY'!P259+O260*'RAP TEMPLATE-GAS AVAILABILITY'!Q259+P260*'RAP TEMPLATE-GAS AVAILABILITY'!R259)/('RAP TEMPLATE-GAS AVAILABILITY'!O259+'RAP TEMPLATE-GAS AVAILABILITY'!P259+'RAP TEMPLATE-GAS AVAILABILITY'!Q259+'RAP TEMPLATE-GAS AVAILABILITY'!R259)</f>
        <v>8.7200431654676258</v>
      </c>
    </row>
    <row r="261" spans="1:29" ht="15.75" x14ac:dyDescent="0.25">
      <c r="A261" s="16">
        <v>48823</v>
      </c>
      <c r="B261" s="10">
        <f>CHOOSE(CONTROL!$C$42, 8.201, 8.201) * CHOOSE(CONTROL!$C$21, $C$9, 100%, $E$9)</f>
        <v>8.2010000000000005</v>
      </c>
      <c r="C261" s="10">
        <f>CHOOSE(CONTROL!$C$42, 8.2089, 8.2089) * CHOOSE(CONTROL!$C$21, $C$9, 100%, $E$9)</f>
        <v>8.2088999999999999</v>
      </c>
      <c r="D261" s="10">
        <f>CHOOSE(CONTROL!$C$42, 8.4014, 8.4014) * CHOOSE(CONTROL!$C$21, $C$9, 100%, $E$9)</f>
        <v>8.4014000000000006</v>
      </c>
      <c r="E261" s="10">
        <f>CHOOSE(CONTROL!$C$42, 8.4325, 8.4325) * CHOOSE(CONTROL!$C$21, $C$9, 100%, $E$9)</f>
        <v>8.4324999999999992</v>
      </c>
      <c r="F261" s="10">
        <f>CHOOSE(CONTROL!$C$42, 8.1679, 8.1679)*CHOOSE(CONTROL!$C$21, $C$9, 100%, $E$9)</f>
        <v>8.1678999999999995</v>
      </c>
      <c r="G261" s="10">
        <f>CHOOSE(CONTROL!$C$42, 8.1852, 8.1852)*CHOOSE(CONTROL!$C$21, $C$9, 100%, $E$9)</f>
        <v>8.1852</v>
      </c>
      <c r="H261" s="10">
        <f>CHOOSE(CONTROL!$C$42, 8.4211, 8.4211) * CHOOSE(CONTROL!$C$21, $C$9, 100%, $E$9)</f>
        <v>8.4210999999999991</v>
      </c>
      <c r="I261" s="10">
        <f>CHOOSE(CONTROL!$C$42, 8.1676, 8.1676)* CHOOSE(CONTROL!$C$21, $C$9, 100%, $E$9)</f>
        <v>8.1676000000000002</v>
      </c>
      <c r="J261" s="10">
        <f>CHOOSE(CONTROL!$C$42, 8.1609, 8.1609)* CHOOSE(CONTROL!$C$21, $C$9, 100%, $E$9)</f>
        <v>8.1608999999999998</v>
      </c>
      <c r="K261" s="54">
        <f>CHOOSE(CONTROL!$C$42, 8.1637, 8.1637) * CHOOSE(CONTROL!$C$21, $C$9, 100%, $E$9)</f>
        <v>8.1637000000000004</v>
      </c>
      <c r="L261" s="10">
        <f>CHOOSE(CONTROL!$C$42, 9.0081, 9.0081) * CHOOSE(CONTROL!$C$21, $C$9, 100%, $E$9)</f>
        <v>9.0081000000000007</v>
      </c>
      <c r="M261" s="10">
        <f>CHOOSE(CONTROL!$C$42, 8.0924, 8.0924) * CHOOSE(CONTROL!$C$21, $C$9, 100%, $E$9)</f>
        <v>8.0923999999999996</v>
      </c>
      <c r="N261" s="10">
        <f>CHOOSE(CONTROL!$C$42, 8.1095, 8.1095) * CHOOSE(CONTROL!$C$21, $C$9, 100%, $E$9)</f>
        <v>8.1095000000000006</v>
      </c>
      <c r="O261" s="10">
        <f>CHOOSE(CONTROL!$C$42, 8.35, 8.35) * CHOOSE(CONTROL!$C$21, $C$9, 100%, $E$9)</f>
        <v>8.35</v>
      </c>
      <c r="P261" s="10">
        <f>CHOOSE(CONTROL!$C$42, 8.099, 8.099) * CHOOSE(CONTROL!$C$21, $C$9, 100%, $E$9)</f>
        <v>8.0990000000000002</v>
      </c>
      <c r="Q261" s="10">
        <f>CHOOSE(CONTROL!$C$42, 8.9453, 8.9453) * CHOOSE(CONTROL!$C$21, $C$9, 100%, $E$9)</f>
        <v>8.9452999999999996</v>
      </c>
      <c r="R261" s="10">
        <f>CHOOSE(CONTROL!$C$42, 9.5546, 9.5546) * CHOOSE(CONTROL!$C$21, $C$9, 100%, $E$9)</f>
        <v>9.5546000000000006</v>
      </c>
      <c r="S261" s="10">
        <f>CHOOSE(CONTROL!$C$42, 7.9597, 7.9597) * CHOOSE(CONTROL!$C$21, $C$9, 100%, $E$9)</f>
        <v>7.9596999999999998</v>
      </c>
      <c r="T261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261" s="58">
        <f>(1000*CHOOSE(CONTROL!$C$42, 695, 695)*CHOOSE(CONTROL!$C$42, 0.5599, 0.5599)*CHOOSE(CONTROL!$C$42, 30, 30))/1000000</f>
        <v>11.673914999999997</v>
      </c>
      <c r="V261" s="58">
        <f>(1000*CHOOSE(CONTROL!$C$42, 500, 500)*CHOOSE(CONTROL!$C$42, 0.275, 0.275)*CHOOSE(CONTROL!$C$42, 30, 30))/1000000</f>
        <v>4.125</v>
      </c>
      <c r="W261" s="58">
        <f>(1000*CHOOSE(CONTROL!$C$42, 0.1146, 0.1146)*CHOOSE(CONTROL!$C$42, 121.5, 121.5)*CHOOSE(CONTROL!$C$42, 30, 30))/1000000</f>
        <v>0.417717</v>
      </c>
      <c r="X261" s="58">
        <f>(30*0.1790888*245000/1000000)+(30*0.2374*100000/1000000)</f>
        <v>2.0285026799999999</v>
      </c>
      <c r="Y261" s="58"/>
      <c r="Z261" s="10"/>
      <c r="AA261" s="57"/>
      <c r="AB261" s="51">
        <f>(B261*194.205+C261*267.466+D261*133.845+E261*53.484+F261*40+G261*185+H261*0+I261*100+J261*300)/(194.205+267.466+133.845+53.484+0+40+185+100+300)</f>
        <v>8.2180330183673469</v>
      </c>
      <c r="AC261" s="27">
        <f>(M261*'RAP TEMPLATE-GAS AVAILABILITY'!O260+N261*'RAP TEMPLATE-GAS AVAILABILITY'!P260+O261*'RAP TEMPLATE-GAS AVAILABILITY'!Q260+P261*'RAP TEMPLATE-GAS AVAILABILITY'!R260)/('RAP TEMPLATE-GAS AVAILABILITY'!O260+'RAP TEMPLATE-GAS AVAILABILITY'!P260+'RAP TEMPLATE-GAS AVAILABILITY'!Q260+'RAP TEMPLATE-GAS AVAILABILITY'!R260)</f>
        <v>8.1695625899280575</v>
      </c>
    </row>
    <row r="262" spans="1:29" ht="15.75" x14ac:dyDescent="0.25">
      <c r="A262" s="16">
        <v>48853</v>
      </c>
      <c r="B262" s="10">
        <f>CHOOSE(CONTROL!$C$42, 8.0328, 8.0328) * CHOOSE(CONTROL!$C$21, $C$9, 100%, $E$9)</f>
        <v>8.0327999999999999</v>
      </c>
      <c r="C262" s="10">
        <f>CHOOSE(CONTROL!$C$42, 8.038, 8.038) * CHOOSE(CONTROL!$C$21, $C$9, 100%, $E$9)</f>
        <v>8.0380000000000003</v>
      </c>
      <c r="D262" s="10">
        <f>CHOOSE(CONTROL!$C$42, 8.2354, 8.2354) * CHOOSE(CONTROL!$C$21, $C$9, 100%, $E$9)</f>
        <v>8.2354000000000003</v>
      </c>
      <c r="E262" s="10">
        <f>CHOOSE(CONTROL!$C$42, 8.2642, 8.2642) * CHOOSE(CONTROL!$C$21, $C$9, 100%, $E$9)</f>
        <v>8.2642000000000007</v>
      </c>
      <c r="F262" s="10">
        <f>CHOOSE(CONTROL!$C$42, 8.0017, 8.0017)*CHOOSE(CONTROL!$C$21, $C$9, 100%, $E$9)</f>
        <v>8.0016999999999996</v>
      </c>
      <c r="G262" s="10">
        <f>CHOOSE(CONTROL!$C$42, 8.0187, 8.0187)*CHOOSE(CONTROL!$C$21, $C$9, 100%, $E$9)</f>
        <v>8.0187000000000008</v>
      </c>
      <c r="H262" s="10">
        <f>CHOOSE(CONTROL!$C$42, 8.2547, 8.2547) * CHOOSE(CONTROL!$C$21, $C$9, 100%, $E$9)</f>
        <v>8.2546999999999997</v>
      </c>
      <c r="I262" s="10">
        <f>CHOOSE(CONTROL!$C$42, 8.0012, 8.0012)* CHOOSE(CONTROL!$C$21, $C$9, 100%, $E$9)</f>
        <v>8.0012000000000008</v>
      </c>
      <c r="J262" s="10">
        <f>CHOOSE(CONTROL!$C$42, 7.9947, 7.9947)* CHOOSE(CONTROL!$C$21, $C$9, 100%, $E$9)</f>
        <v>7.9946999999999999</v>
      </c>
      <c r="K262" s="54">
        <f>CHOOSE(CONTROL!$C$42, 7.9973, 7.9973) * CHOOSE(CONTROL!$C$21, $C$9, 100%, $E$9)</f>
        <v>7.9973000000000001</v>
      </c>
      <c r="L262" s="10">
        <f>CHOOSE(CONTROL!$C$42, 8.8417, 8.8417) * CHOOSE(CONTROL!$C$21, $C$9, 100%, $E$9)</f>
        <v>8.8416999999999994</v>
      </c>
      <c r="M262" s="10">
        <f>CHOOSE(CONTROL!$C$42, 7.9279, 7.9279) * CHOOSE(CONTROL!$C$21, $C$9, 100%, $E$9)</f>
        <v>7.9279000000000002</v>
      </c>
      <c r="N262" s="10">
        <f>CHOOSE(CONTROL!$C$42, 7.9447, 7.9447) * CHOOSE(CONTROL!$C$21, $C$9, 100%, $E$9)</f>
        <v>7.9447000000000001</v>
      </c>
      <c r="O262" s="10">
        <f>CHOOSE(CONTROL!$C$42, 8.1852, 8.1852) * CHOOSE(CONTROL!$C$21, $C$9, 100%, $E$9)</f>
        <v>8.1852</v>
      </c>
      <c r="P262" s="10">
        <f>CHOOSE(CONTROL!$C$42, 7.9343, 7.9343) * CHOOSE(CONTROL!$C$21, $C$9, 100%, $E$9)</f>
        <v>7.9343000000000004</v>
      </c>
      <c r="Q262" s="10">
        <f>CHOOSE(CONTROL!$C$42, 8.7805, 8.7805) * CHOOSE(CONTROL!$C$21, $C$9, 100%, $E$9)</f>
        <v>8.7805</v>
      </c>
      <c r="R262" s="10">
        <f>CHOOSE(CONTROL!$C$42, 9.3895, 9.3895) * CHOOSE(CONTROL!$C$21, $C$9, 100%, $E$9)</f>
        <v>9.3895</v>
      </c>
      <c r="S262" s="10">
        <f>CHOOSE(CONTROL!$C$42, 7.7981, 7.7981) * CHOOSE(CONTROL!$C$21, $C$9, 100%, $E$9)</f>
        <v>7.7980999999999998</v>
      </c>
      <c r="T262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262" s="58">
        <f>(1000*CHOOSE(CONTROL!$C$42, 695, 695)*CHOOSE(CONTROL!$C$42, 0.5599, 0.5599)*CHOOSE(CONTROL!$C$42, 31, 31))/1000000</f>
        <v>12.063045499999998</v>
      </c>
      <c r="V262" s="58">
        <f>(1000*CHOOSE(CONTROL!$C$42, 500, 500)*CHOOSE(CONTROL!$C$42, 0.275, 0.275)*CHOOSE(CONTROL!$C$42, 31, 31))/1000000</f>
        <v>4.2625000000000002</v>
      </c>
      <c r="W262" s="58">
        <f>(1000*CHOOSE(CONTROL!$C$42, 0.1146, 0.1146)*CHOOSE(CONTROL!$C$42, 121.5, 121.5)*CHOOSE(CONTROL!$C$42, 31, 31))/1000000</f>
        <v>0.43164089999999994</v>
      </c>
      <c r="X262" s="58">
        <f>(31*0.1790888*245000/1000000)+(31*0.2374*100000/1000000)</f>
        <v>2.0961194359999999</v>
      </c>
      <c r="Y262" s="58"/>
      <c r="Z262" s="10"/>
      <c r="AA262" s="57"/>
      <c r="AB262" s="51">
        <f>(B262*131.881+C262*277.167+D262*79.08+E262*125.872+F262*40+G262*185+H262*0+I262*100+J262*300)/(131.881+277.167+79.08+125.872+0+40+185+100+300)</f>
        <v>8.0555176410008063</v>
      </c>
      <c r="AC262" s="27">
        <f>(M262*'RAP TEMPLATE-GAS AVAILABILITY'!O261+N262*'RAP TEMPLATE-GAS AVAILABILITY'!P261+O262*'RAP TEMPLATE-GAS AVAILABILITY'!Q261+P262*'RAP TEMPLATE-GAS AVAILABILITY'!R261)/('RAP TEMPLATE-GAS AVAILABILITY'!O261+'RAP TEMPLATE-GAS AVAILABILITY'!P261+'RAP TEMPLATE-GAS AVAILABILITY'!Q261+'RAP TEMPLATE-GAS AVAILABILITY'!R261)</f>
        <v>8.004880575539568</v>
      </c>
    </row>
    <row r="263" spans="1:29" ht="15.75" x14ac:dyDescent="0.25">
      <c r="A263" s="16">
        <v>48884</v>
      </c>
      <c r="B263" s="10">
        <f>CHOOSE(CONTROL!$C$42, 8.2439, 8.2439) * CHOOSE(CONTROL!$C$21, $C$9, 100%, $E$9)</f>
        <v>8.2439</v>
      </c>
      <c r="C263" s="10">
        <f>CHOOSE(CONTROL!$C$42, 8.2489, 8.2489) * CHOOSE(CONTROL!$C$21, $C$9, 100%, $E$9)</f>
        <v>8.2489000000000008</v>
      </c>
      <c r="D263" s="10">
        <f>CHOOSE(CONTROL!$C$42, 8.2785, 8.2785) * CHOOSE(CONTROL!$C$21, $C$9, 100%, $E$9)</f>
        <v>8.2784999999999993</v>
      </c>
      <c r="E263" s="10">
        <f>CHOOSE(CONTROL!$C$42, 8.3123, 8.3123) * CHOOSE(CONTROL!$C$21, $C$9, 100%, $E$9)</f>
        <v>8.3123000000000005</v>
      </c>
      <c r="F263" s="10">
        <f>CHOOSE(CONTROL!$C$42, 8.2107, 8.2107)*CHOOSE(CONTROL!$C$21, $C$9, 100%, $E$9)</f>
        <v>8.2106999999999992</v>
      </c>
      <c r="G263" s="10">
        <f>CHOOSE(CONTROL!$C$42, 8.2279, 8.2279)*CHOOSE(CONTROL!$C$21, $C$9, 100%, $E$9)</f>
        <v>8.2279</v>
      </c>
      <c r="H263" s="10">
        <f>CHOOSE(CONTROL!$C$42, 8.3015, 8.3015) * CHOOSE(CONTROL!$C$21, $C$9, 100%, $E$9)</f>
        <v>8.3015000000000008</v>
      </c>
      <c r="I263" s="10">
        <f>CHOOSE(CONTROL!$C$42, 8.2075, 8.2075)* CHOOSE(CONTROL!$C$21, $C$9, 100%, $E$9)</f>
        <v>8.2074999999999996</v>
      </c>
      <c r="J263" s="10">
        <f>CHOOSE(CONTROL!$C$42, 8.2037, 8.2037)* CHOOSE(CONTROL!$C$21, $C$9, 100%, $E$9)</f>
        <v>8.2036999999999995</v>
      </c>
      <c r="K263" s="54">
        <f>CHOOSE(CONTROL!$C$42, 8.2037, 8.2037) * CHOOSE(CONTROL!$C$21, $C$9, 100%, $E$9)</f>
        <v>8.2036999999999995</v>
      </c>
      <c r="L263" s="10">
        <f>CHOOSE(CONTROL!$C$42, 8.8885, 8.8885) * CHOOSE(CONTROL!$C$21, $C$9, 100%, $E$9)</f>
        <v>8.8885000000000005</v>
      </c>
      <c r="M263" s="10">
        <f>CHOOSE(CONTROL!$C$42, 8.1348, 8.1348) * CHOOSE(CONTROL!$C$21, $C$9, 100%, $E$9)</f>
        <v>8.1348000000000003</v>
      </c>
      <c r="N263" s="10">
        <f>CHOOSE(CONTROL!$C$42, 8.1517, 8.1517) * CHOOSE(CONTROL!$C$21, $C$9, 100%, $E$9)</f>
        <v>8.1516999999999999</v>
      </c>
      <c r="O263" s="10">
        <f>CHOOSE(CONTROL!$C$42, 8.2315, 8.2315) * CHOOSE(CONTROL!$C$21, $C$9, 100%, $E$9)</f>
        <v>8.2315000000000005</v>
      </c>
      <c r="P263" s="10">
        <f>CHOOSE(CONTROL!$C$42, 8.1386, 8.1386) * CHOOSE(CONTROL!$C$21, $C$9, 100%, $E$9)</f>
        <v>8.1386000000000003</v>
      </c>
      <c r="Q263" s="10">
        <f>CHOOSE(CONTROL!$C$42, 8.8268, 8.8268) * CHOOSE(CONTROL!$C$21, $C$9, 100%, $E$9)</f>
        <v>8.8268000000000004</v>
      </c>
      <c r="R263" s="10">
        <f>CHOOSE(CONTROL!$C$42, 9.4359, 9.4359) * CHOOSE(CONTROL!$C$21, $C$9, 100%, $E$9)</f>
        <v>9.4359000000000002</v>
      </c>
      <c r="S263" s="10">
        <f>CHOOSE(CONTROL!$C$42, 8.0036, 8.0036) * CHOOSE(CONTROL!$C$21, $C$9, 100%, $E$9)</f>
        <v>8.0036000000000005</v>
      </c>
      <c r="T263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263" s="58">
        <f>(1000*CHOOSE(CONTROL!$C$42, 695, 695)*CHOOSE(CONTROL!$C$42, 0.5599, 0.5599)*CHOOSE(CONTROL!$C$42, 30, 30))/1000000</f>
        <v>11.673914999999997</v>
      </c>
      <c r="V263" s="58">
        <f>(1000*CHOOSE(CONTROL!$C$42, 500, 500)*CHOOSE(CONTROL!$C$42, 0.275, 0.275)*CHOOSE(CONTROL!$C$42, 30, 30))/1000000</f>
        <v>4.125</v>
      </c>
      <c r="W263" s="58">
        <f>(1000*CHOOSE(CONTROL!$C$42, 0.1146, 0.1146)*CHOOSE(CONTROL!$C$42, 121.5, 121.5)*CHOOSE(CONTROL!$C$42, 30, 30))/1000000</f>
        <v>0.417717</v>
      </c>
      <c r="X263" s="58">
        <f>(30*0.1790888*100000/1000000)+(30*0.2374*100000/1000000)</f>
        <v>1.2494664</v>
      </c>
      <c r="Y263" s="58"/>
      <c r="Z263" s="10"/>
      <c r="AA263" s="57"/>
      <c r="AB263" s="51">
        <f>(B263*122.58+C263*297.941+D263*89.177+E263*40.302+F263*40+G263*160+H263*0+I263*100+J263*300)/(122.58+297.941+89.177+40.302+0+40+160+100+300)</f>
        <v>8.2332425095652173</v>
      </c>
      <c r="AC263" s="27">
        <f>(M263*'RAP TEMPLATE-GAS AVAILABILITY'!O262+N263*'RAP TEMPLATE-GAS AVAILABILITY'!P262+O263*'RAP TEMPLATE-GAS AVAILABILITY'!Q262+P263*'RAP TEMPLATE-GAS AVAILABILITY'!R262)/('RAP TEMPLATE-GAS AVAILABILITY'!O262+'RAP TEMPLATE-GAS AVAILABILITY'!P262+'RAP TEMPLATE-GAS AVAILABILITY'!Q262+'RAP TEMPLATE-GAS AVAILABILITY'!R262)</f>
        <v>8.1801474820143891</v>
      </c>
    </row>
    <row r="264" spans="1:29" ht="15.75" x14ac:dyDescent="0.25">
      <c r="A264" s="16">
        <v>48914</v>
      </c>
      <c r="B264" s="10">
        <f>CHOOSE(CONTROL!$C$42, 8.8058, 8.8058) * CHOOSE(CONTROL!$C$21, $C$9, 100%, $E$9)</f>
        <v>8.8057999999999996</v>
      </c>
      <c r="C264" s="10">
        <f>CHOOSE(CONTROL!$C$42, 8.8108, 8.8108) * CHOOSE(CONTROL!$C$21, $C$9, 100%, $E$9)</f>
        <v>8.8108000000000004</v>
      </c>
      <c r="D264" s="10">
        <f>CHOOSE(CONTROL!$C$42, 8.8404, 8.8404) * CHOOSE(CONTROL!$C$21, $C$9, 100%, $E$9)</f>
        <v>8.8404000000000007</v>
      </c>
      <c r="E264" s="10">
        <f>CHOOSE(CONTROL!$C$42, 8.8742, 8.8742) * CHOOSE(CONTROL!$C$21, $C$9, 100%, $E$9)</f>
        <v>8.8742000000000001</v>
      </c>
      <c r="F264" s="10">
        <f>CHOOSE(CONTROL!$C$42, 8.774, 8.774)*CHOOSE(CONTROL!$C$21, $C$9, 100%, $E$9)</f>
        <v>8.7739999999999991</v>
      </c>
      <c r="G264" s="10">
        <f>CHOOSE(CONTROL!$C$42, 8.7915, 8.7915)*CHOOSE(CONTROL!$C$21, $C$9, 100%, $E$9)</f>
        <v>8.7914999999999992</v>
      </c>
      <c r="H264" s="10">
        <f>CHOOSE(CONTROL!$C$42, 8.8633, 8.8633) * CHOOSE(CONTROL!$C$21, $C$9, 100%, $E$9)</f>
        <v>8.8633000000000006</v>
      </c>
      <c r="I264" s="10">
        <f>CHOOSE(CONTROL!$C$42, 8.7694, 8.7694)* CHOOSE(CONTROL!$C$21, $C$9, 100%, $E$9)</f>
        <v>8.7693999999999992</v>
      </c>
      <c r="J264" s="10">
        <f>CHOOSE(CONTROL!$C$42, 8.767, 8.767)* CHOOSE(CONTROL!$C$21, $C$9, 100%, $E$9)</f>
        <v>8.7669999999999995</v>
      </c>
      <c r="K264" s="54">
        <f>CHOOSE(CONTROL!$C$42, 8.7655, 8.7655) * CHOOSE(CONTROL!$C$21, $C$9, 100%, $E$9)</f>
        <v>8.7654999999999994</v>
      </c>
      <c r="L264" s="10">
        <f>CHOOSE(CONTROL!$C$42, 9.4503, 9.4503) * CHOOSE(CONTROL!$C$21, $C$9, 100%, $E$9)</f>
        <v>9.4503000000000004</v>
      </c>
      <c r="M264" s="10">
        <f>CHOOSE(CONTROL!$C$42, 8.6924, 8.6924) * CHOOSE(CONTROL!$C$21, $C$9, 100%, $E$9)</f>
        <v>8.6923999999999992</v>
      </c>
      <c r="N264" s="10">
        <f>CHOOSE(CONTROL!$C$42, 8.7097, 8.7097) * CHOOSE(CONTROL!$C$21, $C$9, 100%, $E$9)</f>
        <v>8.7096999999999998</v>
      </c>
      <c r="O264" s="10">
        <f>CHOOSE(CONTROL!$C$42, 8.7877, 8.7877) * CHOOSE(CONTROL!$C$21, $C$9, 100%, $E$9)</f>
        <v>8.7876999999999992</v>
      </c>
      <c r="P264" s="10">
        <f>CHOOSE(CONTROL!$C$42, 8.6948, 8.6948) * CHOOSE(CONTROL!$C$21, $C$9, 100%, $E$9)</f>
        <v>8.6948000000000008</v>
      </c>
      <c r="Q264" s="10">
        <f>CHOOSE(CONTROL!$C$42, 9.383, 9.383) * CHOOSE(CONTROL!$C$21, $C$9, 100%, $E$9)</f>
        <v>9.3829999999999991</v>
      </c>
      <c r="R264" s="10">
        <f>CHOOSE(CONTROL!$C$42, 9.9935, 9.9935) * CHOOSE(CONTROL!$C$21, $C$9, 100%, $E$9)</f>
        <v>9.9934999999999992</v>
      </c>
      <c r="S264" s="10">
        <f>CHOOSE(CONTROL!$C$42, 8.5492, 8.5492) * CHOOSE(CONTROL!$C$21, $C$9, 100%, $E$9)</f>
        <v>8.5492000000000008</v>
      </c>
      <c r="T264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264" s="58">
        <f>(1000*CHOOSE(CONTROL!$C$42, 695, 695)*CHOOSE(CONTROL!$C$42, 0.5599, 0.5599)*CHOOSE(CONTROL!$C$42, 31, 31))/1000000</f>
        <v>12.063045499999998</v>
      </c>
      <c r="V264" s="58">
        <f>(1000*CHOOSE(CONTROL!$C$42, 500, 500)*CHOOSE(CONTROL!$C$42, 0.275, 0.275)*CHOOSE(CONTROL!$C$42, 31, 31))/1000000</f>
        <v>4.2625000000000002</v>
      </c>
      <c r="W264" s="58">
        <f>(1000*CHOOSE(CONTROL!$C$42, 0.1146, 0.1146)*CHOOSE(CONTROL!$C$42, 121.5, 121.5)*CHOOSE(CONTROL!$C$42, 31, 31))/1000000</f>
        <v>0.43164089999999994</v>
      </c>
      <c r="X264" s="58">
        <f>(31*0.1790888*100000/1000000)+(31*0.2374*100000/1000000)</f>
        <v>1.2911152800000001</v>
      </c>
      <c r="Y264" s="58"/>
      <c r="Z264" s="10"/>
      <c r="AA264" s="57"/>
      <c r="AB264" s="51">
        <f>(B264*122.58+C264*297.941+D264*89.177+E264*40.302+F264*40+G264*160+H264*0+I264*100+J264*300)/(122.58+297.941+89.177+40.302+0+40+160+100+300)</f>
        <v>8.7957929443478235</v>
      </c>
      <c r="AC264" s="27">
        <f>(M264*'RAP TEMPLATE-GAS AVAILABILITY'!O263+N264*'RAP TEMPLATE-GAS AVAILABILITY'!P263+O264*'RAP TEMPLATE-GAS AVAILABILITY'!Q263+P264*'RAP TEMPLATE-GAS AVAILABILITY'!R263)/('RAP TEMPLATE-GAS AVAILABILITY'!O263+'RAP TEMPLATE-GAS AVAILABILITY'!P263+'RAP TEMPLATE-GAS AVAILABILITY'!Q263+'RAP TEMPLATE-GAS AVAILABILITY'!R263)</f>
        <v>8.7369345323741001</v>
      </c>
    </row>
    <row r="265" spans="1:29" ht="15.75" x14ac:dyDescent="0.25">
      <c r="A265" s="16">
        <v>48945</v>
      </c>
      <c r="B265" s="10">
        <f>CHOOSE(CONTROL!$C$42, 9.5271, 9.5271) * CHOOSE(CONTROL!$C$21, $C$9, 100%, $E$9)</f>
        <v>9.5271000000000008</v>
      </c>
      <c r="C265" s="10">
        <f>CHOOSE(CONTROL!$C$42, 9.532, 9.532) * CHOOSE(CONTROL!$C$21, $C$9, 100%, $E$9)</f>
        <v>9.532</v>
      </c>
      <c r="D265" s="10">
        <f>CHOOSE(CONTROL!$C$42, 9.5822, 9.5822) * CHOOSE(CONTROL!$C$21, $C$9, 100%, $E$9)</f>
        <v>9.5822000000000003</v>
      </c>
      <c r="E265" s="10">
        <f>CHOOSE(CONTROL!$C$42, 9.616, 9.616) * CHOOSE(CONTROL!$C$21, $C$9, 100%, $E$9)</f>
        <v>9.6159999999999997</v>
      </c>
      <c r="F265" s="10">
        <f>CHOOSE(CONTROL!$C$42, 9.4924, 9.4924)*CHOOSE(CONTROL!$C$21, $C$9, 100%, $E$9)</f>
        <v>9.4923999999999999</v>
      </c>
      <c r="G265" s="10">
        <f>CHOOSE(CONTROL!$C$42, 9.51, 9.51)*CHOOSE(CONTROL!$C$21, $C$9, 100%, $E$9)</f>
        <v>9.51</v>
      </c>
      <c r="H265" s="10">
        <f>CHOOSE(CONTROL!$C$42, 9.6052, 9.6052) * CHOOSE(CONTROL!$C$21, $C$9, 100%, $E$9)</f>
        <v>9.6052</v>
      </c>
      <c r="I265" s="10">
        <f>CHOOSE(CONTROL!$C$42, 9.501, 9.501)* CHOOSE(CONTROL!$C$21, $C$9, 100%, $E$9)</f>
        <v>9.5009999999999994</v>
      </c>
      <c r="J265" s="10">
        <f>CHOOSE(CONTROL!$C$42, 9.4854, 9.4854)* CHOOSE(CONTROL!$C$21, $C$9, 100%, $E$9)</f>
        <v>9.4854000000000003</v>
      </c>
      <c r="K265" s="54">
        <f>CHOOSE(CONTROL!$C$42, 9.4971, 9.4971) * CHOOSE(CONTROL!$C$21, $C$9, 100%, $E$9)</f>
        <v>9.4970999999999997</v>
      </c>
      <c r="L265" s="10">
        <f>CHOOSE(CONTROL!$C$42, 10.1922, 10.1922) * CHOOSE(CONTROL!$C$21, $C$9, 100%, $E$9)</f>
        <v>10.1922</v>
      </c>
      <c r="M265" s="10">
        <f>CHOOSE(CONTROL!$C$42, 9.4036, 9.4036) * CHOOSE(CONTROL!$C$21, $C$9, 100%, $E$9)</f>
        <v>9.4036000000000008</v>
      </c>
      <c r="N265" s="10">
        <f>CHOOSE(CONTROL!$C$42, 9.4209, 9.4209) * CHOOSE(CONTROL!$C$21, $C$9, 100%, $E$9)</f>
        <v>9.4208999999999996</v>
      </c>
      <c r="O265" s="10">
        <f>CHOOSE(CONTROL!$C$42, 9.5221, 9.5221) * CHOOSE(CONTROL!$C$21, $C$9, 100%, $E$9)</f>
        <v>9.5221</v>
      </c>
      <c r="P265" s="10">
        <f>CHOOSE(CONTROL!$C$42, 9.419, 9.419) * CHOOSE(CONTROL!$C$21, $C$9, 100%, $E$9)</f>
        <v>9.4190000000000005</v>
      </c>
      <c r="Q265" s="10">
        <f>CHOOSE(CONTROL!$C$42, 10.1174, 10.1174) * CHOOSE(CONTROL!$C$21, $C$9, 100%, $E$9)</f>
        <v>10.1174</v>
      </c>
      <c r="R265" s="10">
        <f>CHOOSE(CONTROL!$C$42, 10.7297, 10.7297) * CHOOSE(CONTROL!$C$21, $C$9, 100%, $E$9)</f>
        <v>10.729699999999999</v>
      </c>
      <c r="S265" s="10">
        <f>CHOOSE(CONTROL!$C$42, 9.2496, 9.2496) * CHOOSE(CONTROL!$C$21, $C$9, 100%, $E$9)</f>
        <v>9.2495999999999992</v>
      </c>
      <c r="T265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265" s="58">
        <f>(1000*CHOOSE(CONTROL!$C$42, 695, 695)*CHOOSE(CONTROL!$C$42, 0.5599, 0.5599)*CHOOSE(CONTROL!$C$42, 31, 31))/1000000</f>
        <v>12.063045499999998</v>
      </c>
      <c r="V265" s="58">
        <f>(1000*CHOOSE(CONTROL!$C$42, 500, 500)*CHOOSE(CONTROL!$C$42, 0.275, 0.275)*CHOOSE(CONTROL!$C$42, 31, 31))/1000000</f>
        <v>4.2625000000000002</v>
      </c>
      <c r="W265" s="58">
        <f>(1000*CHOOSE(CONTROL!$C$42, 0.1146, 0.1146)*CHOOSE(CONTROL!$C$42, 121.5, 121.5)*CHOOSE(CONTROL!$C$42, 31, 31))/1000000</f>
        <v>0.43164089999999994</v>
      </c>
      <c r="X265" s="58">
        <f>(31*0.1790888*100000/1000000)+(31*0.2374*100000/1000000)</f>
        <v>1.2911152800000001</v>
      </c>
      <c r="Y265" s="58"/>
      <c r="Z265" s="10"/>
      <c r="AA265" s="57"/>
      <c r="AB265" s="51">
        <f>(B265*122.58+C265*297.941+D265*89.177+E265*40.302+F265*40+G265*160+H265*0+I265*100+J265*300)/(122.58+297.941+89.177+40.302+0+40+160+100+300)</f>
        <v>9.5190238360000006</v>
      </c>
      <c r="AC265" s="27">
        <f>(M265*'RAP TEMPLATE-GAS AVAILABILITY'!O264+N265*'RAP TEMPLATE-GAS AVAILABILITY'!P264+O265*'RAP TEMPLATE-GAS AVAILABILITY'!Q264+P265*'RAP TEMPLATE-GAS AVAILABILITY'!R264)/('RAP TEMPLATE-GAS AVAILABILITY'!O264+'RAP TEMPLATE-GAS AVAILABILITY'!P264+'RAP TEMPLATE-GAS AVAILABILITY'!Q264+'RAP TEMPLATE-GAS AVAILABILITY'!R264)</f>
        <v>9.4605201438848923</v>
      </c>
    </row>
    <row r="266" spans="1:29" ht="15.75" x14ac:dyDescent="0.25">
      <c r="A266" s="16">
        <v>48976</v>
      </c>
      <c r="B266" s="10">
        <f>CHOOSE(CONTROL!$C$42, 9.6966, 9.6966) * CHOOSE(CONTROL!$C$21, $C$9, 100%, $E$9)</f>
        <v>9.6966000000000001</v>
      </c>
      <c r="C266" s="10">
        <f>CHOOSE(CONTROL!$C$42, 9.7016, 9.7016) * CHOOSE(CONTROL!$C$21, $C$9, 100%, $E$9)</f>
        <v>9.7015999999999991</v>
      </c>
      <c r="D266" s="10">
        <f>CHOOSE(CONTROL!$C$42, 9.7621, 9.7621) * CHOOSE(CONTROL!$C$21, $C$9, 100%, $E$9)</f>
        <v>9.7621000000000002</v>
      </c>
      <c r="E266" s="10">
        <f>CHOOSE(CONTROL!$C$42, 9.7959, 9.7959) * CHOOSE(CONTROL!$C$21, $C$9, 100%, $E$9)</f>
        <v>9.7958999999999996</v>
      </c>
      <c r="F266" s="10">
        <f>CHOOSE(CONTROL!$C$42, 9.6899, 9.6899)*CHOOSE(CONTROL!$C$21, $C$9, 100%, $E$9)</f>
        <v>9.6898999999999997</v>
      </c>
      <c r="G266" s="10">
        <f>CHOOSE(CONTROL!$C$42, 9.7072, 9.7072)*CHOOSE(CONTROL!$C$21, $C$9, 100%, $E$9)</f>
        <v>9.7072000000000003</v>
      </c>
      <c r="H266" s="10">
        <f>CHOOSE(CONTROL!$C$42, 9.7851, 9.7851) * CHOOSE(CONTROL!$C$21, $C$9, 100%, $E$9)</f>
        <v>9.7850999999999999</v>
      </c>
      <c r="I266" s="10">
        <f>CHOOSE(CONTROL!$C$42, 9.6834, 9.6834)* CHOOSE(CONTROL!$C$21, $C$9, 100%, $E$9)</f>
        <v>9.6834000000000007</v>
      </c>
      <c r="J266" s="10">
        <f>CHOOSE(CONTROL!$C$42, 9.6829, 9.6829)* CHOOSE(CONTROL!$C$21, $C$9, 100%, $E$9)</f>
        <v>9.6829000000000001</v>
      </c>
      <c r="K266" s="54">
        <f>CHOOSE(CONTROL!$C$42, 9.6795, 9.6795) * CHOOSE(CONTROL!$C$21, $C$9, 100%, $E$9)</f>
        <v>9.6795000000000009</v>
      </c>
      <c r="L266" s="10">
        <f>CHOOSE(CONTROL!$C$42, 10.3721, 10.3721) * CHOOSE(CONTROL!$C$21, $C$9, 100%, $E$9)</f>
        <v>10.3721</v>
      </c>
      <c r="M266" s="10">
        <f>CHOOSE(CONTROL!$C$42, 9.599, 9.599) * CHOOSE(CONTROL!$C$21, $C$9, 100%, $E$9)</f>
        <v>9.5990000000000002</v>
      </c>
      <c r="N266" s="10">
        <f>CHOOSE(CONTROL!$C$42, 9.6161, 9.6161) * CHOOSE(CONTROL!$C$21, $C$9, 100%, $E$9)</f>
        <v>9.6160999999999994</v>
      </c>
      <c r="O266" s="10">
        <f>CHOOSE(CONTROL!$C$42, 9.7001, 9.7001) * CHOOSE(CONTROL!$C$21, $C$9, 100%, $E$9)</f>
        <v>9.7001000000000008</v>
      </c>
      <c r="P266" s="10">
        <f>CHOOSE(CONTROL!$C$42, 9.5995, 9.5995) * CHOOSE(CONTROL!$C$21, $C$9, 100%, $E$9)</f>
        <v>9.5995000000000008</v>
      </c>
      <c r="Q266" s="10">
        <f>CHOOSE(CONTROL!$C$42, 10.2954, 10.2954) * CHOOSE(CONTROL!$C$21, $C$9, 100%, $E$9)</f>
        <v>10.295400000000001</v>
      </c>
      <c r="R266" s="10">
        <f>CHOOSE(CONTROL!$C$42, 10.9082, 10.9082) * CHOOSE(CONTROL!$C$21, $C$9, 100%, $E$9)</f>
        <v>10.908200000000001</v>
      </c>
      <c r="S266" s="10">
        <f>CHOOSE(CONTROL!$C$42, 9.4143, 9.4143) * CHOOSE(CONTROL!$C$21, $C$9, 100%, $E$9)</f>
        <v>9.4143000000000008</v>
      </c>
      <c r="T266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266" s="58">
        <f>(1000*CHOOSE(CONTROL!$C$42, 695, 695)*CHOOSE(CONTROL!$C$42, 0.5599, 0.5599)*CHOOSE(CONTROL!$C$42, 28, 28))/1000000</f>
        <v>10.895653999999999</v>
      </c>
      <c r="V266" s="58">
        <f>(1000*CHOOSE(CONTROL!$C$42, 500, 500)*CHOOSE(CONTROL!$C$42, 0.275, 0.275)*CHOOSE(CONTROL!$C$42, 28, 28))/1000000</f>
        <v>3.85</v>
      </c>
      <c r="W266" s="58">
        <f>(1000*CHOOSE(CONTROL!$C$42, 0.1146, 0.1146)*CHOOSE(CONTROL!$C$42, 121.5, 121.5)*CHOOSE(CONTROL!$C$42, 28, 28))/1000000</f>
        <v>0.38986920000000003</v>
      </c>
      <c r="X266" s="58">
        <f>(28*0.1790888*100000/1000000)+(28*0.2374*100000/1000000)</f>
        <v>1.16616864</v>
      </c>
      <c r="Y266" s="58"/>
      <c r="Z266" s="10"/>
      <c r="AA266" s="57"/>
      <c r="AB266" s="51">
        <f>(B266*122.58+C266*297.941+D266*89.177+E266*40.302+F266*40+G266*160+H266*0+I266*100+J266*300)/(122.58+297.941+89.177+40.302+0+40+160+100+300)</f>
        <v>9.70297459747826</v>
      </c>
      <c r="AC266" s="27">
        <f>(M266*'RAP TEMPLATE-GAS AVAILABILITY'!O265+N266*'RAP TEMPLATE-GAS AVAILABILITY'!P265+O266*'RAP TEMPLATE-GAS AVAILABILITY'!Q265+P266*'RAP TEMPLATE-GAS AVAILABILITY'!R265)/('RAP TEMPLATE-GAS AVAILABILITY'!O265+'RAP TEMPLATE-GAS AVAILABILITY'!P265+'RAP TEMPLATE-GAS AVAILABILITY'!Q265+'RAP TEMPLATE-GAS AVAILABILITY'!R265)</f>
        <v>9.6458784172661876</v>
      </c>
    </row>
    <row r="267" spans="1:29" ht="15.75" x14ac:dyDescent="0.25">
      <c r="A267" s="16">
        <v>49004</v>
      </c>
      <c r="B267" s="10">
        <f>CHOOSE(CONTROL!$C$42, 9.4214, 9.4214) * CHOOSE(CONTROL!$C$21, $C$9, 100%, $E$9)</f>
        <v>9.4214000000000002</v>
      </c>
      <c r="C267" s="10">
        <f>CHOOSE(CONTROL!$C$42, 9.4264, 9.4264) * CHOOSE(CONTROL!$C$21, $C$9, 100%, $E$9)</f>
        <v>9.4263999999999992</v>
      </c>
      <c r="D267" s="10">
        <f>CHOOSE(CONTROL!$C$42, 9.4869, 9.4869) * CHOOSE(CONTROL!$C$21, $C$9, 100%, $E$9)</f>
        <v>9.4869000000000003</v>
      </c>
      <c r="E267" s="10">
        <f>CHOOSE(CONTROL!$C$42, 9.5207, 9.5207) * CHOOSE(CONTROL!$C$21, $C$9, 100%, $E$9)</f>
        <v>9.5206999999999997</v>
      </c>
      <c r="F267" s="10">
        <f>CHOOSE(CONTROL!$C$42, 9.4091, 9.4091)*CHOOSE(CONTROL!$C$21, $C$9, 100%, $E$9)</f>
        <v>9.4091000000000005</v>
      </c>
      <c r="G267" s="10">
        <f>CHOOSE(CONTROL!$C$42, 9.4264, 9.4264)*CHOOSE(CONTROL!$C$21, $C$9, 100%, $E$9)</f>
        <v>9.4263999999999992</v>
      </c>
      <c r="H267" s="10">
        <f>CHOOSE(CONTROL!$C$42, 9.5099, 9.5099) * CHOOSE(CONTROL!$C$21, $C$9, 100%, $E$9)</f>
        <v>9.5099</v>
      </c>
      <c r="I267" s="10">
        <f>CHOOSE(CONTROL!$C$42, 9.3953, 9.3953)* CHOOSE(CONTROL!$C$21, $C$9, 100%, $E$9)</f>
        <v>9.3953000000000007</v>
      </c>
      <c r="J267" s="10">
        <f>CHOOSE(CONTROL!$C$42, 9.4021, 9.4021)* CHOOSE(CONTROL!$C$21, $C$9, 100%, $E$9)</f>
        <v>9.4021000000000008</v>
      </c>
      <c r="K267" s="54">
        <f>CHOOSE(CONTROL!$C$42, 9.3914, 9.3914) * CHOOSE(CONTROL!$C$21, $C$9, 100%, $E$9)</f>
        <v>9.3914000000000009</v>
      </c>
      <c r="L267" s="10">
        <f>CHOOSE(CONTROL!$C$42, 10.0969, 10.0969) * CHOOSE(CONTROL!$C$21, $C$9, 100%, $E$9)</f>
        <v>10.0969</v>
      </c>
      <c r="M267" s="10">
        <f>CHOOSE(CONTROL!$C$42, 9.3211, 9.3211) * CHOOSE(CONTROL!$C$21, $C$9, 100%, $E$9)</f>
        <v>9.3210999999999995</v>
      </c>
      <c r="N267" s="10">
        <f>CHOOSE(CONTROL!$C$42, 9.3381, 9.3381) * CHOOSE(CONTROL!$C$21, $C$9, 100%, $E$9)</f>
        <v>9.3381000000000007</v>
      </c>
      <c r="O267" s="10">
        <f>CHOOSE(CONTROL!$C$42, 9.4277, 9.4277) * CHOOSE(CONTROL!$C$21, $C$9, 100%, $E$9)</f>
        <v>9.4276999999999997</v>
      </c>
      <c r="P267" s="10">
        <f>CHOOSE(CONTROL!$C$42, 9.3144, 9.3144) * CHOOSE(CONTROL!$C$21, $C$9, 100%, $E$9)</f>
        <v>9.3143999999999991</v>
      </c>
      <c r="Q267" s="10">
        <f>CHOOSE(CONTROL!$C$42, 10.023, 10.023) * CHOOSE(CONTROL!$C$21, $C$9, 100%, $E$9)</f>
        <v>10.023</v>
      </c>
      <c r="R267" s="10">
        <f>CHOOSE(CONTROL!$C$42, 10.6351, 10.6351) * CHOOSE(CONTROL!$C$21, $C$9, 100%, $E$9)</f>
        <v>10.6351</v>
      </c>
      <c r="S267" s="10">
        <f>CHOOSE(CONTROL!$C$42, 9.147, 9.147) * CHOOSE(CONTROL!$C$21, $C$9, 100%, $E$9)</f>
        <v>9.1470000000000002</v>
      </c>
      <c r="T267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267" s="58">
        <f>(1000*CHOOSE(CONTROL!$C$42, 695, 695)*CHOOSE(CONTROL!$C$42, 0.5599, 0.5599)*CHOOSE(CONTROL!$C$42, 31, 31))/1000000</f>
        <v>12.063045499999998</v>
      </c>
      <c r="V267" s="58">
        <f>(1000*CHOOSE(CONTROL!$C$42, 500, 500)*CHOOSE(CONTROL!$C$42, 0.275, 0.275)*CHOOSE(CONTROL!$C$42, 31, 31))/1000000</f>
        <v>4.2625000000000002</v>
      </c>
      <c r="W267" s="58">
        <f>(1000*CHOOSE(CONTROL!$C$42, 0.1146, 0.1146)*CHOOSE(CONTROL!$C$42, 121.5, 121.5)*CHOOSE(CONTROL!$C$42, 31, 31))/1000000</f>
        <v>0.43164089999999994</v>
      </c>
      <c r="X267" s="58">
        <f>(31*0.1790888*100000/1000000)+(31*0.2374*100000/1000000)</f>
        <v>1.2911152800000001</v>
      </c>
      <c r="Y267" s="58"/>
      <c r="Z267" s="10"/>
      <c r="AA267" s="57"/>
      <c r="AB267" s="51">
        <f>(B267*122.58+C267*297.941+D267*89.177+E267*40.302+F267*40+G267*160+H267*0+I267*100+J267*300)/(122.58+297.941+89.177+40.302+0+40+160+100+300)</f>
        <v>9.4242180757391303</v>
      </c>
      <c r="AC267" s="27">
        <f>(M267*'RAP TEMPLATE-GAS AVAILABILITY'!O266+N267*'RAP TEMPLATE-GAS AVAILABILITY'!P266+O267*'RAP TEMPLATE-GAS AVAILABILITY'!Q266+P267*'RAP TEMPLATE-GAS AVAILABILITY'!R266)/('RAP TEMPLATE-GAS AVAILABILITY'!O266+'RAP TEMPLATE-GAS AVAILABILITY'!P266+'RAP TEMPLATE-GAS AVAILABILITY'!Q266+'RAP TEMPLATE-GAS AVAILABILITY'!R266)</f>
        <v>9.3694294964028781</v>
      </c>
    </row>
    <row r="268" spans="1:29" ht="15.75" x14ac:dyDescent="0.25">
      <c r="A268" s="16">
        <v>49035</v>
      </c>
      <c r="B268" s="10">
        <f>CHOOSE(CONTROL!$C$42, 9.3944, 9.3944) * CHOOSE(CONTROL!$C$21, $C$9, 100%, $E$9)</f>
        <v>9.3943999999999992</v>
      </c>
      <c r="C268" s="10">
        <f>CHOOSE(CONTROL!$C$42, 9.3988, 9.3988) * CHOOSE(CONTROL!$C$21, $C$9, 100%, $E$9)</f>
        <v>9.3987999999999996</v>
      </c>
      <c r="D268" s="10">
        <f>CHOOSE(CONTROL!$C$42, 9.5943, 9.5943) * CHOOSE(CONTROL!$C$21, $C$9, 100%, $E$9)</f>
        <v>9.5943000000000005</v>
      </c>
      <c r="E268" s="10">
        <f>CHOOSE(CONTROL!$C$42, 9.6261, 9.6261) * CHOOSE(CONTROL!$C$21, $C$9, 100%, $E$9)</f>
        <v>9.6260999999999992</v>
      </c>
      <c r="F268" s="10">
        <f>CHOOSE(CONTROL!$C$42, 9.3622, 9.3622)*CHOOSE(CONTROL!$C$21, $C$9, 100%, $E$9)</f>
        <v>9.3621999999999996</v>
      </c>
      <c r="G268" s="10">
        <f>CHOOSE(CONTROL!$C$42, 9.379, 9.379)*CHOOSE(CONTROL!$C$21, $C$9, 100%, $E$9)</f>
        <v>9.3789999999999996</v>
      </c>
      <c r="H268" s="10">
        <f>CHOOSE(CONTROL!$C$42, 9.6159, 9.6159) * CHOOSE(CONTROL!$C$21, $C$9, 100%, $E$9)</f>
        <v>9.6158999999999999</v>
      </c>
      <c r="I268" s="10">
        <f>CHOOSE(CONTROL!$C$42, 9.3624, 9.3624)* CHOOSE(CONTROL!$C$21, $C$9, 100%, $E$9)</f>
        <v>9.3623999999999992</v>
      </c>
      <c r="J268" s="10">
        <f>CHOOSE(CONTROL!$C$42, 9.3552, 9.3552)* CHOOSE(CONTROL!$C$21, $C$9, 100%, $E$9)</f>
        <v>9.3552</v>
      </c>
      <c r="K268" s="54">
        <f>CHOOSE(CONTROL!$C$42, 9.3585, 9.3585) * CHOOSE(CONTROL!$C$21, $C$9, 100%, $E$9)</f>
        <v>9.3584999999999994</v>
      </c>
      <c r="L268" s="10">
        <f>CHOOSE(CONTROL!$C$42, 10.2029, 10.2029) * CHOOSE(CONTROL!$C$21, $C$9, 100%, $E$9)</f>
        <v>10.2029</v>
      </c>
      <c r="M268" s="10">
        <f>CHOOSE(CONTROL!$C$42, 9.2746, 9.2746) * CHOOSE(CONTROL!$C$21, $C$9, 100%, $E$9)</f>
        <v>9.2745999999999995</v>
      </c>
      <c r="N268" s="10">
        <f>CHOOSE(CONTROL!$C$42, 9.2912, 9.2912) * CHOOSE(CONTROL!$C$21, $C$9, 100%, $E$9)</f>
        <v>9.2911999999999999</v>
      </c>
      <c r="O268" s="10">
        <f>CHOOSE(CONTROL!$C$42, 9.5327, 9.5327) * CHOOSE(CONTROL!$C$21, $C$9, 100%, $E$9)</f>
        <v>9.5327000000000002</v>
      </c>
      <c r="P268" s="10">
        <f>CHOOSE(CONTROL!$C$42, 9.2817, 9.2817) * CHOOSE(CONTROL!$C$21, $C$9, 100%, $E$9)</f>
        <v>9.2817000000000007</v>
      </c>
      <c r="Q268" s="10">
        <f>CHOOSE(CONTROL!$C$42, 10.128, 10.128) * CHOOSE(CONTROL!$C$21, $C$9, 100%, $E$9)</f>
        <v>10.128</v>
      </c>
      <c r="R268" s="10">
        <f>CHOOSE(CONTROL!$C$42, 10.7403, 10.7403) * CHOOSE(CONTROL!$C$21, $C$9, 100%, $E$9)</f>
        <v>10.7403</v>
      </c>
      <c r="S268" s="10">
        <f>CHOOSE(CONTROL!$C$42, 9.12, 9.12) * CHOOSE(CONTROL!$C$21, $C$9, 100%, $E$9)</f>
        <v>9.1199999999999992</v>
      </c>
      <c r="T268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268" s="58">
        <f>(1000*CHOOSE(CONTROL!$C$42, 695, 695)*CHOOSE(CONTROL!$C$42, 0.5599, 0.5599)*CHOOSE(CONTROL!$C$42, 30, 30))/1000000</f>
        <v>11.673914999999997</v>
      </c>
      <c r="V268" s="58">
        <f>(1000*CHOOSE(CONTROL!$C$42, 500, 500)*CHOOSE(CONTROL!$C$42, 0.275, 0.275)*CHOOSE(CONTROL!$C$42, 30, 30))/1000000</f>
        <v>4.125</v>
      </c>
      <c r="W268" s="58">
        <f>(1000*CHOOSE(CONTROL!$C$42, 0.1146, 0.1146)*CHOOSE(CONTROL!$C$42, 121.5, 121.5)*CHOOSE(CONTROL!$C$42, 30, 30))/1000000</f>
        <v>0.417717</v>
      </c>
      <c r="X268" s="58">
        <f>(30*0.1790888*245000/1000000)+(30*0.2374*100000/1000000)</f>
        <v>2.0285026799999999</v>
      </c>
      <c r="Y268" s="58"/>
      <c r="Z268" s="10"/>
      <c r="AA268" s="57"/>
      <c r="AB268" s="51">
        <f>(B268*141.293+C268*267.993+D268*115.016+E268*89.698+F268*40+G268*185+H268*0+I268*100+J268*300)/(141.293+267.993+115.016+89.698+0+40+185+100+300)</f>
        <v>9.4152691640032273</v>
      </c>
      <c r="AC268" s="27">
        <f>(M268*'RAP TEMPLATE-GAS AVAILABILITY'!O267+N268*'RAP TEMPLATE-GAS AVAILABILITY'!P267+O268*'RAP TEMPLATE-GAS AVAILABILITY'!Q267+P268*'RAP TEMPLATE-GAS AVAILABILITY'!R267)/('RAP TEMPLATE-GAS AVAILABILITY'!O267+'RAP TEMPLATE-GAS AVAILABILITY'!P267+'RAP TEMPLATE-GAS AVAILABILITY'!Q267+'RAP TEMPLATE-GAS AVAILABILITY'!R267)</f>
        <v>9.3518597122302172</v>
      </c>
    </row>
    <row r="269" spans="1:29" ht="15.75" x14ac:dyDescent="0.25">
      <c r="A269" s="16">
        <v>49065</v>
      </c>
      <c r="B269" s="10">
        <f>CHOOSE(CONTROL!$C$42, 9.4787, 9.4787) * CHOOSE(CONTROL!$C$21, $C$9, 100%, $E$9)</f>
        <v>9.4786999999999999</v>
      </c>
      <c r="C269" s="10">
        <f>CHOOSE(CONTROL!$C$42, 9.4866, 9.4866) * CHOOSE(CONTROL!$C$21, $C$9, 100%, $E$9)</f>
        <v>9.4865999999999993</v>
      </c>
      <c r="D269" s="10">
        <f>CHOOSE(CONTROL!$C$42, 9.679, 9.679) * CHOOSE(CONTROL!$C$21, $C$9, 100%, $E$9)</f>
        <v>9.6790000000000003</v>
      </c>
      <c r="E269" s="10">
        <f>CHOOSE(CONTROL!$C$42, 9.7102, 9.7102) * CHOOSE(CONTROL!$C$21, $C$9, 100%, $E$9)</f>
        <v>9.7102000000000004</v>
      </c>
      <c r="F269" s="10">
        <f>CHOOSE(CONTROL!$C$42, 9.4449, 9.4449)*CHOOSE(CONTROL!$C$21, $C$9, 100%, $E$9)</f>
        <v>9.4449000000000005</v>
      </c>
      <c r="G269" s="10">
        <f>CHOOSE(CONTROL!$C$42, 9.462, 9.462)*CHOOSE(CONTROL!$C$21, $C$9, 100%, $E$9)</f>
        <v>9.4619999999999997</v>
      </c>
      <c r="H269" s="10">
        <f>CHOOSE(CONTROL!$C$42, 9.6988, 9.6988) * CHOOSE(CONTROL!$C$21, $C$9, 100%, $E$9)</f>
        <v>9.6988000000000003</v>
      </c>
      <c r="I269" s="10">
        <f>CHOOSE(CONTROL!$C$42, 9.4452, 9.4452)* CHOOSE(CONTROL!$C$21, $C$9, 100%, $E$9)</f>
        <v>9.4451999999999998</v>
      </c>
      <c r="J269" s="10">
        <f>CHOOSE(CONTROL!$C$42, 9.4379, 9.4379)* CHOOSE(CONTROL!$C$21, $C$9, 100%, $E$9)</f>
        <v>9.4379000000000008</v>
      </c>
      <c r="K269" s="54">
        <f>CHOOSE(CONTROL!$C$42, 9.4413, 9.4413) * CHOOSE(CONTROL!$C$21, $C$9, 100%, $E$9)</f>
        <v>9.4413</v>
      </c>
      <c r="L269" s="10">
        <f>CHOOSE(CONTROL!$C$42, 10.2858, 10.2858) * CHOOSE(CONTROL!$C$21, $C$9, 100%, $E$9)</f>
        <v>10.2858</v>
      </c>
      <c r="M269" s="10">
        <f>CHOOSE(CONTROL!$C$42, 9.3565, 9.3565) * CHOOSE(CONTROL!$C$21, $C$9, 100%, $E$9)</f>
        <v>9.3565000000000005</v>
      </c>
      <c r="N269" s="10">
        <f>CHOOSE(CONTROL!$C$42, 9.3735, 9.3735) * CHOOSE(CONTROL!$C$21, $C$9, 100%, $E$9)</f>
        <v>9.3734999999999999</v>
      </c>
      <c r="O269" s="10">
        <f>CHOOSE(CONTROL!$C$42, 9.6147, 9.6147) * CHOOSE(CONTROL!$C$21, $C$9, 100%, $E$9)</f>
        <v>9.6146999999999991</v>
      </c>
      <c r="P269" s="10">
        <f>CHOOSE(CONTROL!$C$42, 9.3638, 9.3638) * CHOOSE(CONTROL!$C$21, $C$9, 100%, $E$9)</f>
        <v>9.3637999999999995</v>
      </c>
      <c r="Q269" s="10">
        <f>CHOOSE(CONTROL!$C$42, 10.21, 10.21) * CHOOSE(CONTROL!$C$21, $C$9, 100%, $E$9)</f>
        <v>10.210000000000001</v>
      </c>
      <c r="R269" s="10">
        <f>CHOOSE(CONTROL!$C$42, 10.8226, 10.8226) * CHOOSE(CONTROL!$C$21, $C$9, 100%, $E$9)</f>
        <v>10.8226</v>
      </c>
      <c r="S269" s="10">
        <f>CHOOSE(CONTROL!$C$42, 9.2005, 9.2005) * CHOOSE(CONTROL!$C$21, $C$9, 100%, $E$9)</f>
        <v>9.2004999999999999</v>
      </c>
      <c r="T269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269" s="58">
        <f>(1000*CHOOSE(CONTROL!$C$42, 695, 695)*CHOOSE(CONTROL!$C$42, 0.5599, 0.5599)*CHOOSE(CONTROL!$C$42, 31, 31))/1000000</f>
        <v>12.063045499999998</v>
      </c>
      <c r="V269" s="58">
        <f>(1000*CHOOSE(CONTROL!$C$42, 500, 500)*CHOOSE(CONTROL!$C$42, 0.275, 0.275)*CHOOSE(CONTROL!$C$42, 31, 31))/1000000</f>
        <v>4.2625000000000002</v>
      </c>
      <c r="W269" s="58">
        <f>(1000*CHOOSE(CONTROL!$C$42, 0.1146, 0.1146)*CHOOSE(CONTROL!$C$42, 121.5, 121.5)*CHOOSE(CONTROL!$C$42, 31, 31))/1000000</f>
        <v>0.43164089999999994</v>
      </c>
      <c r="X269" s="58">
        <f>(31*0.1790888*245000/1000000)+(31*0.2374*100000/1000000)</f>
        <v>2.0961194359999999</v>
      </c>
      <c r="Y269" s="58"/>
      <c r="Z269" s="10"/>
      <c r="AA269" s="57"/>
      <c r="AB269" s="51">
        <f>(B269*194.205+C269*267.466+D269*133.845+E269*53.484+F269*40+G269*185+H269*0+I269*100+J269*300)/(194.205+267.466+133.845+53.484+0+40+185+100+300)</f>
        <v>9.4953971592621667</v>
      </c>
      <c r="AC269" s="27">
        <f>(M269*'RAP TEMPLATE-GAS AVAILABILITY'!O268+N269*'RAP TEMPLATE-GAS AVAILABILITY'!P268+O269*'RAP TEMPLATE-GAS AVAILABILITY'!Q268+P269*'RAP TEMPLATE-GAS AVAILABILITY'!R268)/('RAP TEMPLATE-GAS AVAILABILITY'!O268+'RAP TEMPLATE-GAS AVAILABILITY'!P268+'RAP TEMPLATE-GAS AVAILABILITY'!Q268+'RAP TEMPLATE-GAS AVAILABILITY'!R268)</f>
        <v>9.4339086330935249</v>
      </c>
    </row>
    <row r="270" spans="1:29" ht="15.75" x14ac:dyDescent="0.25">
      <c r="A270" s="16">
        <v>49096</v>
      </c>
      <c r="B270" s="10">
        <f>CHOOSE(CONTROL!$C$42, 9.7474, 9.7474) * CHOOSE(CONTROL!$C$21, $C$9, 100%, $E$9)</f>
        <v>9.7474000000000007</v>
      </c>
      <c r="C270" s="10">
        <f>CHOOSE(CONTROL!$C$42, 9.7553, 9.7553) * CHOOSE(CONTROL!$C$21, $C$9, 100%, $E$9)</f>
        <v>9.7553000000000001</v>
      </c>
      <c r="D270" s="10">
        <f>CHOOSE(CONTROL!$C$42, 9.9477, 9.9477) * CHOOSE(CONTROL!$C$21, $C$9, 100%, $E$9)</f>
        <v>9.9476999999999993</v>
      </c>
      <c r="E270" s="10">
        <f>CHOOSE(CONTROL!$C$42, 9.9789, 9.9789) * CHOOSE(CONTROL!$C$21, $C$9, 100%, $E$9)</f>
        <v>9.9788999999999994</v>
      </c>
      <c r="F270" s="10">
        <f>CHOOSE(CONTROL!$C$42, 9.7139, 9.7139)*CHOOSE(CONTROL!$C$21, $C$9, 100%, $E$9)</f>
        <v>9.7139000000000006</v>
      </c>
      <c r="G270" s="10">
        <f>CHOOSE(CONTROL!$C$42, 9.7311, 9.7311)*CHOOSE(CONTROL!$C$21, $C$9, 100%, $E$9)</f>
        <v>9.7310999999999996</v>
      </c>
      <c r="H270" s="10">
        <f>CHOOSE(CONTROL!$C$42, 9.9675, 9.9675) * CHOOSE(CONTROL!$C$21, $C$9, 100%, $E$9)</f>
        <v>9.9674999999999994</v>
      </c>
      <c r="I270" s="10">
        <f>CHOOSE(CONTROL!$C$42, 9.714, 9.714)* CHOOSE(CONTROL!$C$21, $C$9, 100%, $E$9)</f>
        <v>9.7140000000000004</v>
      </c>
      <c r="J270" s="10">
        <f>CHOOSE(CONTROL!$C$42, 9.7069, 9.7069)* CHOOSE(CONTROL!$C$21, $C$9, 100%, $E$9)</f>
        <v>9.7068999999999992</v>
      </c>
      <c r="K270" s="54">
        <f>CHOOSE(CONTROL!$C$42, 9.7101, 9.7101) * CHOOSE(CONTROL!$C$21, $C$9, 100%, $E$9)</f>
        <v>9.7101000000000006</v>
      </c>
      <c r="L270" s="10">
        <f>CHOOSE(CONTROL!$C$42, 10.5545, 10.5545) * CHOOSE(CONTROL!$C$21, $C$9, 100%, $E$9)</f>
        <v>10.554500000000001</v>
      </c>
      <c r="M270" s="10">
        <f>CHOOSE(CONTROL!$C$42, 9.6227, 9.6227) * CHOOSE(CONTROL!$C$21, $C$9, 100%, $E$9)</f>
        <v>9.6227</v>
      </c>
      <c r="N270" s="10">
        <f>CHOOSE(CONTROL!$C$42, 9.6398, 9.6398) * CHOOSE(CONTROL!$C$21, $C$9, 100%, $E$9)</f>
        <v>9.6397999999999993</v>
      </c>
      <c r="O270" s="10">
        <f>CHOOSE(CONTROL!$C$42, 9.8807, 9.8807) * CHOOSE(CONTROL!$C$21, $C$9, 100%, $E$9)</f>
        <v>9.8806999999999992</v>
      </c>
      <c r="P270" s="10">
        <f>CHOOSE(CONTROL!$C$42, 9.6298, 9.6298) * CHOOSE(CONTROL!$C$21, $C$9, 100%, $E$9)</f>
        <v>9.6297999999999995</v>
      </c>
      <c r="Q270" s="10">
        <f>CHOOSE(CONTROL!$C$42, 10.476, 10.476) * CHOOSE(CONTROL!$C$21, $C$9, 100%, $E$9)</f>
        <v>10.476000000000001</v>
      </c>
      <c r="R270" s="10">
        <f>CHOOSE(CONTROL!$C$42, 11.0892, 11.0892) * CHOOSE(CONTROL!$C$21, $C$9, 100%, $E$9)</f>
        <v>11.0892</v>
      </c>
      <c r="S270" s="10">
        <f>CHOOSE(CONTROL!$C$42, 9.4614, 9.4614) * CHOOSE(CONTROL!$C$21, $C$9, 100%, $E$9)</f>
        <v>9.4613999999999994</v>
      </c>
      <c r="T270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270" s="58">
        <f>(1000*CHOOSE(CONTROL!$C$42, 695, 695)*CHOOSE(CONTROL!$C$42, 0.5599, 0.5599)*CHOOSE(CONTROL!$C$42, 30, 30))/1000000</f>
        <v>11.673914999999997</v>
      </c>
      <c r="V270" s="58">
        <f>(1000*CHOOSE(CONTROL!$C$42, 500, 500)*CHOOSE(CONTROL!$C$42, 0.275, 0.275)*CHOOSE(CONTROL!$C$42, 30, 30))/1000000</f>
        <v>4.125</v>
      </c>
      <c r="W270" s="58">
        <f>(1000*CHOOSE(CONTROL!$C$42, 0.1146, 0.1146)*CHOOSE(CONTROL!$C$42, 121.5, 121.5)*CHOOSE(CONTROL!$C$42, 30, 30))/1000000</f>
        <v>0.417717</v>
      </c>
      <c r="X270" s="58">
        <f>(30*0.1790888*245000/1000000)+(30*0.2374*100000/1000000)</f>
        <v>2.0285026799999999</v>
      </c>
      <c r="Y270" s="58"/>
      <c r="Z270" s="10"/>
      <c r="AA270" s="57"/>
      <c r="AB270" s="51">
        <f>(B270*194.205+C270*267.466+D270*133.845+E270*53.484+F270*40+G270*185+H270*0+I270*100+J270*300)/(194.205+267.466+133.845+53.484+0+40+185+100+300)</f>
        <v>9.7642431561224488</v>
      </c>
      <c r="AC270" s="27">
        <f>(M270*'RAP TEMPLATE-GAS AVAILABILITY'!O269+N270*'RAP TEMPLATE-GAS AVAILABILITY'!P269+O270*'RAP TEMPLATE-GAS AVAILABILITY'!Q269+P270*'RAP TEMPLATE-GAS AVAILABILITY'!R269)/('RAP TEMPLATE-GAS AVAILABILITY'!O269+'RAP TEMPLATE-GAS AVAILABILITY'!P269+'RAP TEMPLATE-GAS AVAILABILITY'!Q269+'RAP TEMPLATE-GAS AVAILABILITY'!R269)</f>
        <v>9.7000467625899276</v>
      </c>
    </row>
    <row r="271" spans="1:29" ht="15.75" x14ac:dyDescent="0.25">
      <c r="A271" s="16">
        <v>49126</v>
      </c>
      <c r="B271" s="10">
        <f>CHOOSE(CONTROL!$C$42, 9.5605, 9.5605) * CHOOSE(CONTROL!$C$21, $C$9, 100%, $E$9)</f>
        <v>9.5604999999999993</v>
      </c>
      <c r="C271" s="10">
        <f>CHOOSE(CONTROL!$C$42, 9.5684, 9.5684) * CHOOSE(CONTROL!$C$21, $C$9, 100%, $E$9)</f>
        <v>9.5684000000000005</v>
      </c>
      <c r="D271" s="10">
        <f>CHOOSE(CONTROL!$C$42, 9.7608, 9.7608) * CHOOSE(CONTROL!$C$21, $C$9, 100%, $E$9)</f>
        <v>9.7607999999999997</v>
      </c>
      <c r="E271" s="10">
        <f>CHOOSE(CONTROL!$C$42, 9.792, 9.792) * CHOOSE(CONTROL!$C$21, $C$9, 100%, $E$9)</f>
        <v>9.7919999999999998</v>
      </c>
      <c r="F271" s="10">
        <f>CHOOSE(CONTROL!$C$42, 9.5274, 9.5274)*CHOOSE(CONTROL!$C$21, $C$9, 100%, $E$9)</f>
        <v>9.5274000000000001</v>
      </c>
      <c r="G271" s="10">
        <f>CHOOSE(CONTROL!$C$42, 9.5447, 9.5447)*CHOOSE(CONTROL!$C$21, $C$9, 100%, $E$9)</f>
        <v>9.5447000000000006</v>
      </c>
      <c r="H271" s="10">
        <f>CHOOSE(CONTROL!$C$42, 9.7806, 9.7806) * CHOOSE(CONTROL!$C$21, $C$9, 100%, $E$9)</f>
        <v>9.7805999999999997</v>
      </c>
      <c r="I271" s="10">
        <f>CHOOSE(CONTROL!$C$42, 9.5271, 9.5271)* CHOOSE(CONTROL!$C$21, $C$9, 100%, $E$9)</f>
        <v>9.5271000000000008</v>
      </c>
      <c r="J271" s="10">
        <f>CHOOSE(CONTROL!$C$42, 9.5204, 9.5204)* CHOOSE(CONTROL!$C$21, $C$9, 100%, $E$9)</f>
        <v>9.5204000000000004</v>
      </c>
      <c r="K271" s="54">
        <f>CHOOSE(CONTROL!$C$42, 9.5232, 9.5232) * CHOOSE(CONTROL!$C$21, $C$9, 100%, $E$9)</f>
        <v>9.5231999999999992</v>
      </c>
      <c r="L271" s="10">
        <f>CHOOSE(CONTROL!$C$42, 10.3676, 10.3676) * CHOOSE(CONTROL!$C$21, $C$9, 100%, $E$9)</f>
        <v>10.367599999999999</v>
      </c>
      <c r="M271" s="10">
        <f>CHOOSE(CONTROL!$C$42, 9.4381, 9.4381) * CHOOSE(CONTROL!$C$21, $C$9, 100%, $E$9)</f>
        <v>9.4381000000000004</v>
      </c>
      <c r="N271" s="10">
        <f>CHOOSE(CONTROL!$C$42, 9.4552, 9.4552) * CHOOSE(CONTROL!$C$21, $C$9, 100%, $E$9)</f>
        <v>9.4551999999999996</v>
      </c>
      <c r="O271" s="10">
        <f>CHOOSE(CONTROL!$C$42, 9.6957, 9.6957) * CHOOSE(CONTROL!$C$21, $C$9, 100%, $E$9)</f>
        <v>9.6957000000000004</v>
      </c>
      <c r="P271" s="10">
        <f>CHOOSE(CONTROL!$C$42, 9.4448, 9.4448) * CHOOSE(CONTROL!$C$21, $C$9, 100%, $E$9)</f>
        <v>9.4448000000000008</v>
      </c>
      <c r="Q271" s="10">
        <f>CHOOSE(CONTROL!$C$42, 10.291, 10.291) * CHOOSE(CONTROL!$C$21, $C$9, 100%, $E$9)</f>
        <v>10.291</v>
      </c>
      <c r="R271" s="10">
        <f>CHOOSE(CONTROL!$C$42, 10.9038, 10.9038) * CHOOSE(CONTROL!$C$21, $C$9, 100%, $E$9)</f>
        <v>10.9038</v>
      </c>
      <c r="S271" s="10">
        <f>CHOOSE(CONTROL!$C$42, 9.2799, 9.2799) * CHOOSE(CONTROL!$C$21, $C$9, 100%, $E$9)</f>
        <v>9.2798999999999996</v>
      </c>
      <c r="T271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271" s="58">
        <f>(1000*CHOOSE(CONTROL!$C$42, 695, 695)*CHOOSE(CONTROL!$C$42, 0.5599, 0.5599)*CHOOSE(CONTROL!$C$42, 31, 31))/1000000</f>
        <v>12.063045499999998</v>
      </c>
      <c r="V271" s="58">
        <f>(1000*CHOOSE(CONTROL!$C$42, 500, 500)*CHOOSE(CONTROL!$C$42, 0.275, 0.275)*CHOOSE(CONTROL!$C$42, 31, 31))/1000000</f>
        <v>4.2625000000000002</v>
      </c>
      <c r="W271" s="58">
        <f>(1000*CHOOSE(CONTROL!$C$42, 0.1146, 0.1146)*CHOOSE(CONTROL!$C$42, 121.5, 121.5)*CHOOSE(CONTROL!$C$42, 31, 31))/1000000</f>
        <v>0.43164089999999994</v>
      </c>
      <c r="X271" s="58">
        <f>(31*0.1790888*245000/1000000)+(31*0.2374*100000/1000000)</f>
        <v>2.0961194359999999</v>
      </c>
      <c r="Y271" s="58"/>
      <c r="Z271" s="10"/>
      <c r="AA271" s="57"/>
      <c r="AB271" s="51">
        <f>(B271*194.205+C271*267.466+D271*133.845+E271*53.484+F271*40+G271*185+H271*0+I271*100+J271*300)/(194.205+267.466+133.845+53.484+0+40+185+100+300)</f>
        <v>9.5775225124803782</v>
      </c>
      <c r="AC271" s="27">
        <f>(M271*'RAP TEMPLATE-GAS AVAILABILITY'!O270+N271*'RAP TEMPLATE-GAS AVAILABILITY'!P270+O271*'RAP TEMPLATE-GAS AVAILABILITY'!Q270+P271*'RAP TEMPLATE-GAS AVAILABILITY'!R270)/('RAP TEMPLATE-GAS AVAILABILITY'!O270+'RAP TEMPLATE-GAS AVAILABILITY'!P270+'RAP TEMPLATE-GAS AVAILABILITY'!Q270+'RAP TEMPLATE-GAS AVAILABILITY'!R270)</f>
        <v>9.5152769784172673</v>
      </c>
    </row>
    <row r="272" spans="1:29" ht="15.75" x14ac:dyDescent="0.25">
      <c r="A272" s="16">
        <v>49157</v>
      </c>
      <c r="B272" s="10">
        <f>CHOOSE(CONTROL!$C$42, 9.0885, 9.0885) * CHOOSE(CONTROL!$C$21, $C$9, 100%, $E$9)</f>
        <v>9.0884999999999998</v>
      </c>
      <c r="C272" s="10">
        <f>CHOOSE(CONTROL!$C$42, 9.0964, 9.0964) * CHOOSE(CONTROL!$C$21, $C$9, 100%, $E$9)</f>
        <v>9.0963999999999992</v>
      </c>
      <c r="D272" s="10">
        <f>CHOOSE(CONTROL!$C$42, 9.2889, 9.2889) * CHOOSE(CONTROL!$C$21, $C$9, 100%, $E$9)</f>
        <v>9.2888999999999999</v>
      </c>
      <c r="E272" s="10">
        <f>CHOOSE(CONTROL!$C$42, 9.32, 9.32) * CHOOSE(CONTROL!$C$21, $C$9, 100%, $E$9)</f>
        <v>9.32</v>
      </c>
      <c r="F272" s="10">
        <f>CHOOSE(CONTROL!$C$42, 9.0556, 9.0556)*CHOOSE(CONTROL!$C$21, $C$9, 100%, $E$9)</f>
        <v>9.0556000000000001</v>
      </c>
      <c r="G272" s="10">
        <f>CHOOSE(CONTROL!$C$42, 9.0729, 9.0729)*CHOOSE(CONTROL!$C$21, $C$9, 100%, $E$9)</f>
        <v>9.0729000000000006</v>
      </c>
      <c r="H272" s="10">
        <f>CHOOSE(CONTROL!$C$42, 9.3086, 9.3086) * CHOOSE(CONTROL!$C$21, $C$9, 100%, $E$9)</f>
        <v>9.3086000000000002</v>
      </c>
      <c r="I272" s="10">
        <f>CHOOSE(CONTROL!$C$42, 9.0551, 9.0551)* CHOOSE(CONTROL!$C$21, $C$9, 100%, $E$9)</f>
        <v>9.0550999999999995</v>
      </c>
      <c r="J272" s="10">
        <f>CHOOSE(CONTROL!$C$42, 9.0486, 9.0486)* CHOOSE(CONTROL!$C$21, $C$9, 100%, $E$9)</f>
        <v>9.0486000000000004</v>
      </c>
      <c r="K272" s="54">
        <f>CHOOSE(CONTROL!$C$42, 9.0512, 9.0512) * CHOOSE(CONTROL!$C$21, $C$9, 100%, $E$9)</f>
        <v>9.0511999999999997</v>
      </c>
      <c r="L272" s="10">
        <f>CHOOSE(CONTROL!$C$42, 9.8956, 9.8956) * CHOOSE(CONTROL!$C$21, $C$9, 100%, $E$9)</f>
        <v>9.8956</v>
      </c>
      <c r="M272" s="10">
        <f>CHOOSE(CONTROL!$C$42, 8.9711, 8.9711) * CHOOSE(CONTROL!$C$21, $C$9, 100%, $E$9)</f>
        <v>8.9710999999999999</v>
      </c>
      <c r="N272" s="10">
        <f>CHOOSE(CONTROL!$C$42, 8.9883, 8.9883) * CHOOSE(CONTROL!$C$21, $C$9, 100%, $E$9)</f>
        <v>8.9883000000000006</v>
      </c>
      <c r="O272" s="10">
        <f>CHOOSE(CONTROL!$C$42, 9.2285, 9.2285) * CHOOSE(CONTROL!$C$21, $C$9, 100%, $E$9)</f>
        <v>9.2285000000000004</v>
      </c>
      <c r="P272" s="10">
        <f>CHOOSE(CONTROL!$C$42, 8.9776, 8.9776) * CHOOSE(CONTROL!$C$21, $C$9, 100%, $E$9)</f>
        <v>8.9776000000000007</v>
      </c>
      <c r="Q272" s="10">
        <f>CHOOSE(CONTROL!$C$42, 9.8238, 9.8238) * CHOOSE(CONTROL!$C$21, $C$9, 100%, $E$9)</f>
        <v>9.8238000000000003</v>
      </c>
      <c r="R272" s="10">
        <f>CHOOSE(CONTROL!$C$42, 10.4354, 10.4354) * CHOOSE(CONTROL!$C$21, $C$9, 100%, $E$9)</f>
        <v>10.4354</v>
      </c>
      <c r="S272" s="10">
        <f>CHOOSE(CONTROL!$C$42, 8.8216, 8.8216) * CHOOSE(CONTROL!$C$21, $C$9, 100%, $E$9)</f>
        <v>8.8216000000000001</v>
      </c>
      <c r="T272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272" s="58">
        <f>(1000*CHOOSE(CONTROL!$C$42, 695, 695)*CHOOSE(CONTROL!$C$42, 0.5599, 0.5599)*CHOOSE(CONTROL!$C$42, 31, 31))/1000000</f>
        <v>12.063045499999998</v>
      </c>
      <c r="V272" s="58">
        <f>(1000*CHOOSE(CONTROL!$C$42, 500, 500)*CHOOSE(CONTROL!$C$42, 0.275, 0.275)*CHOOSE(CONTROL!$C$42, 31, 31))/1000000</f>
        <v>4.2625000000000002</v>
      </c>
      <c r="W272" s="58">
        <f>(1000*CHOOSE(CONTROL!$C$42, 0.1146, 0.1146)*CHOOSE(CONTROL!$C$42, 121.5, 121.5)*CHOOSE(CONTROL!$C$42, 31, 31))/1000000</f>
        <v>0.43164089999999994</v>
      </c>
      <c r="X272" s="58">
        <f>(31*0.1790888*245000/1000000)+(31*0.2374*100000/1000000)</f>
        <v>2.0961194359999999</v>
      </c>
      <c r="Y272" s="58"/>
      <c r="Z272" s="10"/>
      <c r="AA272" s="57"/>
      <c r="AB272" s="51">
        <f>(B272*194.205+C272*267.466+D272*133.845+E272*53.484+F272*40+G272*185+H272*0+I272*100+J272*300)/(194.205+267.466+133.845+53.484+0+40+185+100+300)</f>
        <v>9.1056154359497636</v>
      </c>
      <c r="AC272" s="27">
        <f>(M272*'RAP TEMPLATE-GAS AVAILABILITY'!O271+N272*'RAP TEMPLATE-GAS AVAILABILITY'!P271+O272*'RAP TEMPLATE-GAS AVAILABILITY'!Q271+P272*'RAP TEMPLATE-GAS AVAILABILITY'!R271)/('RAP TEMPLATE-GAS AVAILABILITY'!O271+'RAP TEMPLATE-GAS AVAILABILITY'!P271+'RAP TEMPLATE-GAS AVAILABILITY'!Q271+'RAP TEMPLATE-GAS AVAILABILITY'!R271)</f>
        <v>9.0482151079136699</v>
      </c>
    </row>
    <row r="273" spans="1:29" ht="15.75" x14ac:dyDescent="0.25">
      <c r="A273" s="16">
        <v>49188</v>
      </c>
      <c r="B273" s="10">
        <f>CHOOSE(CONTROL!$C$42, 8.5115, 8.5115) * CHOOSE(CONTROL!$C$21, $C$9, 100%, $E$9)</f>
        <v>8.5114999999999998</v>
      </c>
      <c r="C273" s="10">
        <f>CHOOSE(CONTROL!$C$42, 8.5194, 8.5194) * CHOOSE(CONTROL!$C$21, $C$9, 100%, $E$9)</f>
        <v>8.5193999999999992</v>
      </c>
      <c r="D273" s="10">
        <f>CHOOSE(CONTROL!$C$42, 8.7118, 8.7118) * CHOOSE(CONTROL!$C$21, $C$9, 100%, $E$9)</f>
        <v>8.7118000000000002</v>
      </c>
      <c r="E273" s="10">
        <f>CHOOSE(CONTROL!$C$42, 8.743, 8.743) * CHOOSE(CONTROL!$C$21, $C$9, 100%, $E$9)</f>
        <v>8.7430000000000003</v>
      </c>
      <c r="F273" s="10">
        <f>CHOOSE(CONTROL!$C$42, 8.4784, 8.4784)*CHOOSE(CONTROL!$C$21, $C$9, 100%, $E$9)</f>
        <v>8.4784000000000006</v>
      </c>
      <c r="G273" s="10">
        <f>CHOOSE(CONTROL!$C$42, 8.4957, 8.4957)*CHOOSE(CONTROL!$C$21, $C$9, 100%, $E$9)</f>
        <v>8.4956999999999994</v>
      </c>
      <c r="H273" s="10">
        <f>CHOOSE(CONTROL!$C$42, 8.7316, 8.7316) * CHOOSE(CONTROL!$C$21, $C$9, 100%, $E$9)</f>
        <v>8.7316000000000003</v>
      </c>
      <c r="I273" s="10">
        <f>CHOOSE(CONTROL!$C$42, 8.478, 8.478)* CHOOSE(CONTROL!$C$21, $C$9, 100%, $E$9)</f>
        <v>8.4779999999999998</v>
      </c>
      <c r="J273" s="10">
        <f>CHOOSE(CONTROL!$C$42, 8.4714, 8.4714)* CHOOSE(CONTROL!$C$21, $C$9, 100%, $E$9)</f>
        <v>8.4713999999999992</v>
      </c>
      <c r="K273" s="54">
        <f>CHOOSE(CONTROL!$C$42, 8.4742, 8.4742) * CHOOSE(CONTROL!$C$21, $C$9, 100%, $E$9)</f>
        <v>8.4741999999999997</v>
      </c>
      <c r="L273" s="10">
        <f>CHOOSE(CONTROL!$C$42, 9.3186, 9.3186) * CHOOSE(CONTROL!$C$21, $C$9, 100%, $E$9)</f>
        <v>9.3186</v>
      </c>
      <c r="M273" s="10">
        <f>CHOOSE(CONTROL!$C$42, 8.3997, 8.3997) * CHOOSE(CONTROL!$C$21, $C$9, 100%, $E$9)</f>
        <v>8.3996999999999993</v>
      </c>
      <c r="N273" s="10">
        <f>CHOOSE(CONTROL!$C$42, 8.4168, 8.4168) * CHOOSE(CONTROL!$C$21, $C$9, 100%, $E$9)</f>
        <v>8.4168000000000003</v>
      </c>
      <c r="O273" s="10">
        <f>CHOOSE(CONTROL!$C$42, 8.6573, 8.6573) * CHOOSE(CONTROL!$C$21, $C$9, 100%, $E$9)</f>
        <v>8.6572999999999993</v>
      </c>
      <c r="P273" s="10">
        <f>CHOOSE(CONTROL!$C$42, 8.4064, 8.4064) * CHOOSE(CONTROL!$C$21, $C$9, 100%, $E$9)</f>
        <v>8.4063999999999997</v>
      </c>
      <c r="Q273" s="10">
        <f>CHOOSE(CONTROL!$C$42, 9.2526, 9.2526) * CHOOSE(CONTROL!$C$21, $C$9, 100%, $E$9)</f>
        <v>9.2525999999999993</v>
      </c>
      <c r="R273" s="10">
        <f>CHOOSE(CONTROL!$C$42, 9.8627, 9.8627) * CHOOSE(CONTROL!$C$21, $C$9, 100%, $E$9)</f>
        <v>9.8627000000000002</v>
      </c>
      <c r="S273" s="10">
        <f>CHOOSE(CONTROL!$C$42, 8.2612, 8.2612) * CHOOSE(CONTROL!$C$21, $C$9, 100%, $E$9)</f>
        <v>8.2612000000000005</v>
      </c>
      <c r="T273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273" s="58">
        <f>(1000*CHOOSE(CONTROL!$C$42, 695, 695)*CHOOSE(CONTROL!$C$42, 0.5599, 0.5599)*CHOOSE(CONTROL!$C$42, 30, 30))/1000000</f>
        <v>11.673914999999997</v>
      </c>
      <c r="V273" s="58">
        <f>(1000*CHOOSE(CONTROL!$C$42, 500, 500)*CHOOSE(CONTROL!$C$42, 0.275, 0.275)*CHOOSE(CONTROL!$C$42, 30, 30))/1000000</f>
        <v>4.125</v>
      </c>
      <c r="W273" s="58">
        <f>(1000*CHOOSE(CONTROL!$C$42, 0.1146, 0.1146)*CHOOSE(CONTROL!$C$42, 121.5, 121.5)*CHOOSE(CONTROL!$C$42, 30, 30))/1000000</f>
        <v>0.417717</v>
      </c>
      <c r="X273" s="58">
        <f>(30*0.1790888*245000/1000000)+(30*0.2374*100000/1000000)</f>
        <v>2.0285026799999999</v>
      </c>
      <c r="Y273" s="58"/>
      <c r="Z273" s="10"/>
      <c r="AA273" s="57"/>
      <c r="AB273" s="51">
        <f>(B273*194.205+C273*267.466+D273*133.845+E273*53.484+F273*40+G273*185+H273*0+I273*100+J273*300)/(194.205+267.466+133.845+53.484+0+40+185+100+300)</f>
        <v>8.5285146631868134</v>
      </c>
      <c r="AC273" s="27">
        <f>(M273*'RAP TEMPLATE-GAS AVAILABILITY'!O272+N273*'RAP TEMPLATE-GAS AVAILABILITY'!P272+O273*'RAP TEMPLATE-GAS AVAILABILITY'!Q272+P273*'RAP TEMPLATE-GAS AVAILABILITY'!R272)/('RAP TEMPLATE-GAS AVAILABILITY'!O272+'RAP TEMPLATE-GAS AVAILABILITY'!P272+'RAP TEMPLATE-GAS AVAILABILITY'!Q272+'RAP TEMPLATE-GAS AVAILABILITY'!R272)</f>
        <v>8.4768769784172662</v>
      </c>
    </row>
    <row r="274" spans="1:29" ht="15.75" x14ac:dyDescent="0.25">
      <c r="A274" s="16">
        <v>49218</v>
      </c>
      <c r="B274" s="10">
        <f>CHOOSE(CONTROL!$C$42, 8.337, 8.337) * CHOOSE(CONTROL!$C$21, $C$9, 100%, $E$9)</f>
        <v>8.3369999999999997</v>
      </c>
      <c r="C274" s="10">
        <f>CHOOSE(CONTROL!$C$42, 8.3422, 8.3422) * CHOOSE(CONTROL!$C$21, $C$9, 100%, $E$9)</f>
        <v>8.3422000000000001</v>
      </c>
      <c r="D274" s="10">
        <f>CHOOSE(CONTROL!$C$42, 8.5396, 8.5396) * CHOOSE(CONTROL!$C$21, $C$9, 100%, $E$9)</f>
        <v>8.5396000000000001</v>
      </c>
      <c r="E274" s="10">
        <f>CHOOSE(CONTROL!$C$42, 8.5684, 8.5684) * CHOOSE(CONTROL!$C$21, $C$9, 100%, $E$9)</f>
        <v>8.5684000000000005</v>
      </c>
      <c r="F274" s="10">
        <f>CHOOSE(CONTROL!$C$42, 8.3059, 8.3059)*CHOOSE(CONTROL!$C$21, $C$9, 100%, $E$9)</f>
        <v>8.3058999999999994</v>
      </c>
      <c r="G274" s="10">
        <f>CHOOSE(CONTROL!$C$42, 8.3229, 8.3229)*CHOOSE(CONTROL!$C$21, $C$9, 100%, $E$9)</f>
        <v>8.3229000000000006</v>
      </c>
      <c r="H274" s="10">
        <f>CHOOSE(CONTROL!$C$42, 8.5589, 8.5589) * CHOOSE(CONTROL!$C$21, $C$9, 100%, $E$9)</f>
        <v>8.5588999999999995</v>
      </c>
      <c r="I274" s="10">
        <f>CHOOSE(CONTROL!$C$42, 8.3053, 8.3053)* CHOOSE(CONTROL!$C$21, $C$9, 100%, $E$9)</f>
        <v>8.3053000000000008</v>
      </c>
      <c r="J274" s="10">
        <f>CHOOSE(CONTROL!$C$42, 8.2989, 8.2989)* CHOOSE(CONTROL!$C$21, $C$9, 100%, $E$9)</f>
        <v>8.2988999999999997</v>
      </c>
      <c r="K274" s="54">
        <f>CHOOSE(CONTROL!$C$42, 8.3014, 8.3014) * CHOOSE(CONTROL!$C$21, $C$9, 100%, $E$9)</f>
        <v>8.3013999999999992</v>
      </c>
      <c r="L274" s="10">
        <f>CHOOSE(CONTROL!$C$42, 9.1459, 9.1459) * CHOOSE(CONTROL!$C$21, $C$9, 100%, $E$9)</f>
        <v>9.1458999999999993</v>
      </c>
      <c r="M274" s="10">
        <f>CHOOSE(CONTROL!$C$42, 8.229, 8.229) * CHOOSE(CONTROL!$C$21, $C$9, 100%, $E$9)</f>
        <v>8.2289999999999992</v>
      </c>
      <c r="N274" s="10">
        <f>CHOOSE(CONTROL!$C$42, 8.2458, 8.2458) * CHOOSE(CONTROL!$C$21, $C$9, 100%, $E$9)</f>
        <v>8.2457999999999991</v>
      </c>
      <c r="O274" s="10">
        <f>CHOOSE(CONTROL!$C$42, 8.4863, 8.4863) * CHOOSE(CONTROL!$C$21, $C$9, 100%, $E$9)</f>
        <v>8.4863</v>
      </c>
      <c r="P274" s="10">
        <f>CHOOSE(CONTROL!$C$42, 8.2354, 8.2354) * CHOOSE(CONTROL!$C$21, $C$9, 100%, $E$9)</f>
        <v>8.2354000000000003</v>
      </c>
      <c r="Q274" s="10">
        <f>CHOOSE(CONTROL!$C$42, 9.0816, 9.0816) * CHOOSE(CONTROL!$C$21, $C$9, 100%, $E$9)</f>
        <v>9.0815999999999999</v>
      </c>
      <c r="R274" s="10">
        <f>CHOOSE(CONTROL!$C$42, 9.6913, 9.6913) * CHOOSE(CONTROL!$C$21, $C$9, 100%, $E$9)</f>
        <v>9.6913</v>
      </c>
      <c r="S274" s="10">
        <f>CHOOSE(CONTROL!$C$42, 8.0935, 8.0935) * CHOOSE(CONTROL!$C$21, $C$9, 100%, $E$9)</f>
        <v>8.0935000000000006</v>
      </c>
      <c r="T274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274" s="58">
        <f>(1000*CHOOSE(CONTROL!$C$42, 695, 695)*CHOOSE(CONTROL!$C$42, 0.5599, 0.5599)*CHOOSE(CONTROL!$C$42, 31, 31))/1000000</f>
        <v>12.063045499999998</v>
      </c>
      <c r="V274" s="58">
        <f>(1000*CHOOSE(CONTROL!$C$42, 500, 500)*CHOOSE(CONTROL!$C$42, 0.275, 0.275)*CHOOSE(CONTROL!$C$42, 31, 31))/1000000</f>
        <v>4.2625000000000002</v>
      </c>
      <c r="W274" s="58">
        <f>(1000*CHOOSE(CONTROL!$C$42, 0.1146, 0.1146)*CHOOSE(CONTROL!$C$42, 121.5, 121.5)*CHOOSE(CONTROL!$C$42, 31, 31))/1000000</f>
        <v>0.43164089999999994</v>
      </c>
      <c r="X274" s="58">
        <f>(31*0.1790888*245000/1000000)+(31*0.2374*100000/1000000)</f>
        <v>2.0961194359999999</v>
      </c>
      <c r="Y274" s="58"/>
      <c r="Z274" s="10"/>
      <c r="AA274" s="57"/>
      <c r="AB274" s="51">
        <f>(B274*131.881+C274*277.167+D274*79.08+E274*125.872+F274*40+G274*185+H274*0+I274*100+J274*300)/(131.881+277.167+79.08+125.872+0+40+185+100+300)</f>
        <v>8.359709569975788</v>
      </c>
      <c r="AC274" s="27">
        <f>(M274*'RAP TEMPLATE-GAS AVAILABILITY'!O273+N274*'RAP TEMPLATE-GAS AVAILABILITY'!P273+O274*'RAP TEMPLATE-GAS AVAILABILITY'!Q273+P274*'RAP TEMPLATE-GAS AVAILABILITY'!R273)/('RAP TEMPLATE-GAS AVAILABILITY'!O273+'RAP TEMPLATE-GAS AVAILABILITY'!P273+'RAP TEMPLATE-GAS AVAILABILITY'!Q273+'RAP TEMPLATE-GAS AVAILABILITY'!R273)</f>
        <v>8.3059805755395679</v>
      </c>
    </row>
    <row r="275" spans="1:29" ht="15.75" x14ac:dyDescent="0.25">
      <c r="A275" s="16">
        <v>49249</v>
      </c>
      <c r="B275" s="10">
        <f>CHOOSE(CONTROL!$C$42, 8.5561, 8.5561) * CHOOSE(CONTROL!$C$21, $C$9, 100%, $E$9)</f>
        <v>8.5561000000000007</v>
      </c>
      <c r="C275" s="10">
        <f>CHOOSE(CONTROL!$C$42, 8.5611, 8.5611) * CHOOSE(CONTROL!$C$21, $C$9, 100%, $E$9)</f>
        <v>8.5610999999999997</v>
      </c>
      <c r="D275" s="10">
        <f>CHOOSE(CONTROL!$C$42, 8.5907, 8.5907) * CHOOSE(CONTROL!$C$21, $C$9, 100%, $E$9)</f>
        <v>8.5907</v>
      </c>
      <c r="E275" s="10">
        <f>CHOOSE(CONTROL!$C$42, 8.6245, 8.6245) * CHOOSE(CONTROL!$C$21, $C$9, 100%, $E$9)</f>
        <v>8.6244999999999994</v>
      </c>
      <c r="F275" s="10">
        <f>CHOOSE(CONTROL!$C$42, 8.5229, 8.5229)*CHOOSE(CONTROL!$C$21, $C$9, 100%, $E$9)</f>
        <v>8.5228999999999999</v>
      </c>
      <c r="G275" s="10">
        <f>CHOOSE(CONTROL!$C$42, 8.54, 8.54)*CHOOSE(CONTROL!$C$21, $C$9, 100%, $E$9)</f>
        <v>8.5399999999999991</v>
      </c>
      <c r="H275" s="10">
        <f>CHOOSE(CONTROL!$C$42, 8.6137, 8.6137) * CHOOSE(CONTROL!$C$21, $C$9, 100%, $E$9)</f>
        <v>8.6136999999999997</v>
      </c>
      <c r="I275" s="10">
        <f>CHOOSE(CONTROL!$C$42, 8.5197, 8.5197)* CHOOSE(CONTROL!$C$21, $C$9, 100%, $E$9)</f>
        <v>8.5197000000000003</v>
      </c>
      <c r="J275" s="10">
        <f>CHOOSE(CONTROL!$C$42, 8.5159, 8.5159)* CHOOSE(CONTROL!$C$21, $C$9, 100%, $E$9)</f>
        <v>8.5159000000000002</v>
      </c>
      <c r="K275" s="54">
        <f>CHOOSE(CONTROL!$C$42, 8.5158, 8.5158) * CHOOSE(CONTROL!$C$21, $C$9, 100%, $E$9)</f>
        <v>8.5158000000000005</v>
      </c>
      <c r="L275" s="10">
        <f>CHOOSE(CONTROL!$C$42, 9.2007, 9.2007) * CHOOSE(CONTROL!$C$21, $C$9, 100%, $E$9)</f>
        <v>9.2006999999999994</v>
      </c>
      <c r="M275" s="10">
        <f>CHOOSE(CONTROL!$C$42, 8.4438, 8.4438) * CHOOSE(CONTROL!$C$21, $C$9, 100%, $E$9)</f>
        <v>8.4437999999999995</v>
      </c>
      <c r="N275" s="10">
        <f>CHOOSE(CONTROL!$C$42, 8.4608, 8.4608) * CHOOSE(CONTROL!$C$21, $C$9, 100%, $E$9)</f>
        <v>8.4608000000000008</v>
      </c>
      <c r="O275" s="10">
        <f>CHOOSE(CONTROL!$C$42, 8.5406, 8.5406) * CHOOSE(CONTROL!$C$21, $C$9, 100%, $E$9)</f>
        <v>8.5405999999999995</v>
      </c>
      <c r="P275" s="10">
        <f>CHOOSE(CONTROL!$C$42, 8.4476, 8.4476) * CHOOSE(CONTROL!$C$21, $C$9, 100%, $E$9)</f>
        <v>8.4475999999999996</v>
      </c>
      <c r="Q275" s="10">
        <f>CHOOSE(CONTROL!$C$42, 9.1359, 9.1359) * CHOOSE(CONTROL!$C$21, $C$9, 100%, $E$9)</f>
        <v>9.1358999999999995</v>
      </c>
      <c r="R275" s="10">
        <f>CHOOSE(CONTROL!$C$42, 9.7457, 9.7457) * CHOOSE(CONTROL!$C$21, $C$9, 100%, $E$9)</f>
        <v>9.7456999999999994</v>
      </c>
      <c r="S275" s="10">
        <f>CHOOSE(CONTROL!$C$42, 8.3067, 8.3067) * CHOOSE(CONTROL!$C$21, $C$9, 100%, $E$9)</f>
        <v>8.3066999999999993</v>
      </c>
      <c r="T275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275" s="58">
        <f>(1000*CHOOSE(CONTROL!$C$42, 695, 695)*CHOOSE(CONTROL!$C$42, 0.5599, 0.5599)*CHOOSE(CONTROL!$C$42, 30, 30))/1000000</f>
        <v>11.673914999999997</v>
      </c>
      <c r="V275" s="58">
        <f>(1000*CHOOSE(CONTROL!$C$42, 500, 500)*CHOOSE(CONTROL!$C$42, 0.275, 0.275)*CHOOSE(CONTROL!$C$42, 30, 30))/1000000</f>
        <v>4.125</v>
      </c>
      <c r="W275" s="58">
        <f>(1000*CHOOSE(CONTROL!$C$42, 0.1146, 0.1146)*CHOOSE(CONTROL!$C$42, 121.5, 121.5)*CHOOSE(CONTROL!$C$42, 30, 30))/1000000</f>
        <v>0.417717</v>
      </c>
      <c r="X275" s="58">
        <f>(30*0.1790888*100000/1000000)+(30*0.2374*100000/1000000)</f>
        <v>1.2494664</v>
      </c>
      <c r="Y275" s="58"/>
      <c r="Z275" s="10"/>
      <c r="AA275" s="57"/>
      <c r="AB275" s="51">
        <f>(B275*122.58+C275*297.941+D275*89.177+E275*40.302+F275*40+G275*160+H275*0+I275*100+J275*300)/(122.58+297.941+89.177+40.302+0+40+160+100+300)</f>
        <v>8.5454285965217398</v>
      </c>
      <c r="AC275" s="27">
        <f>(M275*'RAP TEMPLATE-GAS AVAILABILITY'!O274+N275*'RAP TEMPLATE-GAS AVAILABILITY'!P274+O275*'RAP TEMPLATE-GAS AVAILABILITY'!Q274+P275*'RAP TEMPLATE-GAS AVAILABILITY'!R274)/('RAP TEMPLATE-GAS AVAILABILITY'!O274+'RAP TEMPLATE-GAS AVAILABILITY'!P274+'RAP TEMPLATE-GAS AVAILABILITY'!Q274+'RAP TEMPLATE-GAS AVAILABILITY'!R274)</f>
        <v>8.4891985611510794</v>
      </c>
    </row>
    <row r="276" spans="1:29" ht="15.75" x14ac:dyDescent="0.25">
      <c r="A276" s="16">
        <v>49279</v>
      </c>
      <c r="B276" s="10">
        <f>CHOOSE(CONTROL!$C$42, 9.1393, 9.1393) * CHOOSE(CONTROL!$C$21, $C$9, 100%, $E$9)</f>
        <v>9.1393000000000004</v>
      </c>
      <c r="C276" s="10">
        <f>CHOOSE(CONTROL!$C$42, 9.1442, 9.1442) * CHOOSE(CONTROL!$C$21, $C$9, 100%, $E$9)</f>
        <v>9.1441999999999997</v>
      </c>
      <c r="D276" s="10">
        <f>CHOOSE(CONTROL!$C$42, 9.1738, 9.1738) * CHOOSE(CONTROL!$C$21, $C$9, 100%, $E$9)</f>
        <v>9.1738</v>
      </c>
      <c r="E276" s="10">
        <f>CHOOSE(CONTROL!$C$42, 9.2076, 9.2076) * CHOOSE(CONTROL!$C$21, $C$9, 100%, $E$9)</f>
        <v>9.2075999999999993</v>
      </c>
      <c r="F276" s="10">
        <f>CHOOSE(CONTROL!$C$42, 9.1075, 9.1075)*CHOOSE(CONTROL!$C$21, $C$9, 100%, $E$9)</f>
        <v>9.1074999999999999</v>
      </c>
      <c r="G276" s="10">
        <f>CHOOSE(CONTROL!$C$42, 9.125, 9.125)*CHOOSE(CONTROL!$C$21, $C$9, 100%, $E$9)</f>
        <v>9.125</v>
      </c>
      <c r="H276" s="10">
        <f>CHOOSE(CONTROL!$C$42, 9.1968, 9.1968) * CHOOSE(CONTROL!$C$21, $C$9, 100%, $E$9)</f>
        <v>9.1967999999999996</v>
      </c>
      <c r="I276" s="10">
        <f>CHOOSE(CONTROL!$C$42, 9.1029, 9.1029)* CHOOSE(CONTROL!$C$21, $C$9, 100%, $E$9)</f>
        <v>9.1029</v>
      </c>
      <c r="J276" s="10">
        <f>CHOOSE(CONTROL!$C$42, 9.1005, 9.1005)* CHOOSE(CONTROL!$C$21, $C$9, 100%, $E$9)</f>
        <v>9.1005000000000003</v>
      </c>
      <c r="K276" s="54">
        <f>CHOOSE(CONTROL!$C$42, 9.099, 9.099) * CHOOSE(CONTROL!$C$21, $C$9, 100%, $E$9)</f>
        <v>9.0990000000000002</v>
      </c>
      <c r="L276" s="10">
        <f>CHOOSE(CONTROL!$C$42, 9.7838, 9.7838) * CHOOSE(CONTROL!$C$21, $C$9, 100%, $E$9)</f>
        <v>9.7837999999999994</v>
      </c>
      <c r="M276" s="10">
        <f>CHOOSE(CONTROL!$C$42, 9.0225, 9.0225) * CHOOSE(CONTROL!$C$21, $C$9, 100%, $E$9)</f>
        <v>9.0225000000000009</v>
      </c>
      <c r="N276" s="10">
        <f>CHOOSE(CONTROL!$C$42, 9.0398, 9.0398) * CHOOSE(CONTROL!$C$21, $C$9, 100%, $E$9)</f>
        <v>9.0397999999999996</v>
      </c>
      <c r="O276" s="10">
        <f>CHOOSE(CONTROL!$C$42, 9.1178, 9.1178) * CHOOSE(CONTROL!$C$21, $C$9, 100%, $E$9)</f>
        <v>9.1178000000000008</v>
      </c>
      <c r="P276" s="10">
        <f>CHOOSE(CONTROL!$C$42, 9.0249, 9.0249) * CHOOSE(CONTROL!$C$21, $C$9, 100%, $E$9)</f>
        <v>9.0249000000000006</v>
      </c>
      <c r="Q276" s="10">
        <f>CHOOSE(CONTROL!$C$42, 9.7131, 9.7131) * CHOOSE(CONTROL!$C$21, $C$9, 100%, $E$9)</f>
        <v>9.7131000000000007</v>
      </c>
      <c r="R276" s="10">
        <f>CHOOSE(CONTROL!$C$42, 10.3244, 10.3244) * CHOOSE(CONTROL!$C$21, $C$9, 100%, $E$9)</f>
        <v>10.324400000000001</v>
      </c>
      <c r="S276" s="10">
        <f>CHOOSE(CONTROL!$C$42, 8.873, 8.873) * CHOOSE(CONTROL!$C$21, $C$9, 100%, $E$9)</f>
        <v>8.8729999999999993</v>
      </c>
      <c r="T276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276" s="58">
        <f>(1000*CHOOSE(CONTROL!$C$42, 695, 695)*CHOOSE(CONTROL!$C$42, 0.5599, 0.5599)*CHOOSE(CONTROL!$C$42, 31, 31))/1000000</f>
        <v>12.063045499999998</v>
      </c>
      <c r="V276" s="58">
        <f>(1000*CHOOSE(CONTROL!$C$42, 500, 500)*CHOOSE(CONTROL!$C$42, 0.275, 0.275)*CHOOSE(CONTROL!$C$42, 31, 31))/1000000</f>
        <v>4.2625000000000002</v>
      </c>
      <c r="W276" s="58">
        <f>(1000*CHOOSE(CONTROL!$C$42, 0.1146, 0.1146)*CHOOSE(CONTROL!$C$42, 121.5, 121.5)*CHOOSE(CONTROL!$C$42, 31, 31))/1000000</f>
        <v>0.43164089999999994</v>
      </c>
      <c r="X276" s="58">
        <f>(31*0.1790888*100000/1000000)+(31*0.2374*100000/1000000)</f>
        <v>1.2911152800000001</v>
      </c>
      <c r="Y276" s="58"/>
      <c r="Z276" s="10"/>
      <c r="AA276" s="57"/>
      <c r="AB276" s="51">
        <f>(B276*122.58+C276*297.941+D276*89.177+E276*40.302+F276*40+G276*160+H276*0+I276*100+J276*300)/(122.58+297.941+89.177+40.302+0+40+160+100+300)</f>
        <v>9.1292557773913039</v>
      </c>
      <c r="AC276" s="27">
        <f>(M276*'RAP TEMPLATE-GAS AVAILABILITY'!O275+N276*'RAP TEMPLATE-GAS AVAILABILITY'!P275+O276*'RAP TEMPLATE-GAS AVAILABILITY'!Q275+P276*'RAP TEMPLATE-GAS AVAILABILITY'!R275)/('RAP TEMPLATE-GAS AVAILABILITY'!O275+'RAP TEMPLATE-GAS AVAILABILITY'!P275+'RAP TEMPLATE-GAS AVAILABILITY'!Q275+'RAP TEMPLATE-GAS AVAILABILITY'!R275)</f>
        <v>9.0670345323741</v>
      </c>
    </row>
    <row r="277" spans="1:29" ht="15.75" x14ac:dyDescent="0.25">
      <c r="A277" s="16">
        <v>49310</v>
      </c>
      <c r="B277" s="10">
        <f>CHOOSE(CONTROL!$C$42, 9.8879, 9.8879) * CHOOSE(CONTROL!$C$21, $C$9, 100%, $E$9)</f>
        <v>9.8879000000000001</v>
      </c>
      <c r="C277" s="10">
        <f>CHOOSE(CONTROL!$C$42, 9.8928, 9.8928) * CHOOSE(CONTROL!$C$21, $C$9, 100%, $E$9)</f>
        <v>9.8927999999999994</v>
      </c>
      <c r="D277" s="10">
        <f>CHOOSE(CONTROL!$C$42, 9.943, 9.943) * CHOOSE(CONTROL!$C$21, $C$9, 100%, $E$9)</f>
        <v>9.9429999999999996</v>
      </c>
      <c r="E277" s="10">
        <f>CHOOSE(CONTROL!$C$42, 9.9768, 9.9768) * CHOOSE(CONTROL!$C$21, $C$9, 100%, $E$9)</f>
        <v>9.9768000000000008</v>
      </c>
      <c r="F277" s="10">
        <f>CHOOSE(CONTROL!$C$42, 9.8532, 9.8532)*CHOOSE(CONTROL!$C$21, $C$9, 100%, $E$9)</f>
        <v>9.8531999999999993</v>
      </c>
      <c r="G277" s="10">
        <f>CHOOSE(CONTROL!$C$42, 9.8708, 9.8708)*CHOOSE(CONTROL!$C$21, $C$9, 100%, $E$9)</f>
        <v>9.8707999999999991</v>
      </c>
      <c r="H277" s="10">
        <f>CHOOSE(CONTROL!$C$42, 9.966, 9.966) * CHOOSE(CONTROL!$C$21, $C$9, 100%, $E$9)</f>
        <v>9.9659999999999993</v>
      </c>
      <c r="I277" s="10">
        <f>CHOOSE(CONTROL!$C$42, 9.8618, 9.8618)* CHOOSE(CONTROL!$C$21, $C$9, 100%, $E$9)</f>
        <v>9.8618000000000006</v>
      </c>
      <c r="J277" s="10">
        <f>CHOOSE(CONTROL!$C$42, 9.8462, 9.8462)* CHOOSE(CONTROL!$C$21, $C$9, 100%, $E$9)</f>
        <v>9.8461999999999996</v>
      </c>
      <c r="K277" s="54">
        <f>CHOOSE(CONTROL!$C$42, 9.8579, 9.8579) * CHOOSE(CONTROL!$C$21, $C$9, 100%, $E$9)</f>
        <v>9.8579000000000008</v>
      </c>
      <c r="L277" s="10">
        <f>CHOOSE(CONTROL!$C$42, 10.553, 10.553) * CHOOSE(CONTROL!$C$21, $C$9, 100%, $E$9)</f>
        <v>10.553000000000001</v>
      </c>
      <c r="M277" s="10">
        <f>CHOOSE(CONTROL!$C$42, 9.7607, 9.7607) * CHOOSE(CONTROL!$C$21, $C$9, 100%, $E$9)</f>
        <v>9.7606999999999999</v>
      </c>
      <c r="N277" s="10">
        <f>CHOOSE(CONTROL!$C$42, 9.7781, 9.7781) * CHOOSE(CONTROL!$C$21, $C$9, 100%, $E$9)</f>
        <v>9.7781000000000002</v>
      </c>
      <c r="O277" s="10">
        <f>CHOOSE(CONTROL!$C$42, 9.8793, 9.8793) * CHOOSE(CONTROL!$C$21, $C$9, 100%, $E$9)</f>
        <v>9.8793000000000006</v>
      </c>
      <c r="P277" s="10">
        <f>CHOOSE(CONTROL!$C$42, 9.7761, 9.7761) * CHOOSE(CONTROL!$C$21, $C$9, 100%, $E$9)</f>
        <v>9.7760999999999996</v>
      </c>
      <c r="Q277" s="10">
        <f>CHOOSE(CONTROL!$C$42, 10.4746, 10.4746) * CHOOSE(CONTROL!$C$21, $C$9, 100%, $E$9)</f>
        <v>10.474600000000001</v>
      </c>
      <c r="R277" s="10">
        <f>CHOOSE(CONTROL!$C$42, 11.0877, 11.0877) * CHOOSE(CONTROL!$C$21, $C$9, 100%, $E$9)</f>
        <v>11.0877</v>
      </c>
      <c r="S277" s="10">
        <f>CHOOSE(CONTROL!$C$42, 9.6, 9.6) * CHOOSE(CONTROL!$C$21, $C$9, 100%, $E$9)</f>
        <v>9.6</v>
      </c>
      <c r="T277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277" s="58">
        <f>(1000*CHOOSE(CONTROL!$C$42, 695, 695)*CHOOSE(CONTROL!$C$42, 0.5599, 0.5599)*CHOOSE(CONTROL!$C$42, 31, 31))/1000000</f>
        <v>12.063045499999998</v>
      </c>
      <c r="V277" s="58">
        <f>(1000*CHOOSE(CONTROL!$C$42, 500, 500)*CHOOSE(CONTROL!$C$42, 0.275, 0.275)*CHOOSE(CONTROL!$C$42, 31, 31))/1000000</f>
        <v>4.2625000000000002</v>
      </c>
      <c r="W277" s="58">
        <f>(1000*CHOOSE(CONTROL!$C$42, 0.1146, 0.1146)*CHOOSE(CONTROL!$C$42, 121.5, 121.5)*CHOOSE(CONTROL!$C$42, 31, 31))/1000000</f>
        <v>0.43164089999999994</v>
      </c>
      <c r="X277" s="58">
        <f>(31*0.1790888*100000/1000000)+(31*0.2374*100000/1000000)</f>
        <v>1.2911152800000001</v>
      </c>
      <c r="Y277" s="58"/>
      <c r="Z277" s="10"/>
      <c r="AA277" s="57"/>
      <c r="AB277" s="51">
        <f>(B277*122.58+C277*297.941+D277*89.177+E277*40.302+F277*40+G277*160+H277*0+I277*100+J277*300)/(122.58+297.941+89.177+40.302+0+40+160+100+300)</f>
        <v>9.8798238359999999</v>
      </c>
      <c r="AC277" s="27">
        <f>(M277*'RAP TEMPLATE-GAS AVAILABILITY'!O276+N277*'RAP TEMPLATE-GAS AVAILABILITY'!P276+O277*'RAP TEMPLATE-GAS AVAILABILITY'!Q276+P277*'RAP TEMPLATE-GAS AVAILABILITY'!R276)/('RAP TEMPLATE-GAS AVAILABILITY'!O276+'RAP TEMPLATE-GAS AVAILABILITY'!P276+'RAP TEMPLATE-GAS AVAILABILITY'!Q276+'RAP TEMPLATE-GAS AVAILABILITY'!R276)</f>
        <v>9.8176712230215823</v>
      </c>
    </row>
    <row r="278" spans="1:29" ht="15.75" x14ac:dyDescent="0.25">
      <c r="A278" s="16">
        <v>49341</v>
      </c>
      <c r="B278" s="10">
        <f>CHOOSE(CONTROL!$C$42, 10.0638, 10.0638) * CHOOSE(CONTROL!$C$21, $C$9, 100%, $E$9)</f>
        <v>10.063800000000001</v>
      </c>
      <c r="C278" s="10">
        <f>CHOOSE(CONTROL!$C$42, 10.0688, 10.0688) * CHOOSE(CONTROL!$C$21, $C$9, 100%, $E$9)</f>
        <v>10.0688</v>
      </c>
      <c r="D278" s="10">
        <f>CHOOSE(CONTROL!$C$42, 10.1293, 10.1293) * CHOOSE(CONTROL!$C$21, $C$9, 100%, $E$9)</f>
        <v>10.129300000000001</v>
      </c>
      <c r="E278" s="10">
        <f>CHOOSE(CONTROL!$C$42, 10.1631, 10.1631) * CHOOSE(CONTROL!$C$21, $C$9, 100%, $E$9)</f>
        <v>10.1631</v>
      </c>
      <c r="F278" s="10">
        <f>CHOOSE(CONTROL!$C$42, 10.0571, 10.0571)*CHOOSE(CONTROL!$C$21, $C$9, 100%, $E$9)</f>
        <v>10.0571</v>
      </c>
      <c r="G278" s="10">
        <f>CHOOSE(CONTROL!$C$42, 10.0744, 10.0744)*CHOOSE(CONTROL!$C$21, $C$9, 100%, $E$9)</f>
        <v>10.074400000000001</v>
      </c>
      <c r="H278" s="10">
        <f>CHOOSE(CONTROL!$C$42, 10.1523, 10.1523) * CHOOSE(CONTROL!$C$21, $C$9, 100%, $E$9)</f>
        <v>10.1523</v>
      </c>
      <c r="I278" s="10">
        <f>CHOOSE(CONTROL!$C$42, 10.0506, 10.0506)* CHOOSE(CONTROL!$C$21, $C$9, 100%, $E$9)</f>
        <v>10.050599999999999</v>
      </c>
      <c r="J278" s="10">
        <f>CHOOSE(CONTROL!$C$42, 10.0501, 10.0501)* CHOOSE(CONTROL!$C$21, $C$9, 100%, $E$9)</f>
        <v>10.0501</v>
      </c>
      <c r="K278" s="54">
        <f>CHOOSE(CONTROL!$C$42, 10.0467, 10.0467) * CHOOSE(CONTROL!$C$21, $C$9, 100%, $E$9)</f>
        <v>10.0467</v>
      </c>
      <c r="L278" s="10">
        <f>CHOOSE(CONTROL!$C$42, 10.7393, 10.7393) * CHOOSE(CONTROL!$C$21, $C$9, 100%, $E$9)</f>
        <v>10.7393</v>
      </c>
      <c r="M278" s="10">
        <f>CHOOSE(CONTROL!$C$42, 9.9625, 9.9625) * CHOOSE(CONTROL!$C$21, $C$9, 100%, $E$9)</f>
        <v>9.9625000000000004</v>
      </c>
      <c r="N278" s="10">
        <f>CHOOSE(CONTROL!$C$42, 9.9796, 9.9796) * CHOOSE(CONTROL!$C$21, $C$9, 100%, $E$9)</f>
        <v>9.9795999999999996</v>
      </c>
      <c r="O278" s="10">
        <f>CHOOSE(CONTROL!$C$42, 10.0636, 10.0636) * CHOOSE(CONTROL!$C$21, $C$9, 100%, $E$9)</f>
        <v>10.063599999999999</v>
      </c>
      <c r="P278" s="10">
        <f>CHOOSE(CONTROL!$C$42, 9.963, 9.963) * CHOOSE(CONTROL!$C$21, $C$9, 100%, $E$9)</f>
        <v>9.9629999999999992</v>
      </c>
      <c r="Q278" s="10">
        <f>CHOOSE(CONTROL!$C$42, 10.6589, 10.6589) * CHOOSE(CONTROL!$C$21, $C$9, 100%, $E$9)</f>
        <v>10.658899999999999</v>
      </c>
      <c r="R278" s="10">
        <f>CHOOSE(CONTROL!$C$42, 11.2726, 11.2726) * CHOOSE(CONTROL!$C$21, $C$9, 100%, $E$9)</f>
        <v>11.272600000000001</v>
      </c>
      <c r="S278" s="10">
        <f>CHOOSE(CONTROL!$C$42, 9.7709, 9.7709) * CHOOSE(CONTROL!$C$21, $C$9, 100%, $E$9)</f>
        <v>9.7708999999999993</v>
      </c>
      <c r="T278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278" s="58">
        <f>(1000*CHOOSE(CONTROL!$C$42, 695, 695)*CHOOSE(CONTROL!$C$42, 0.5599, 0.5599)*CHOOSE(CONTROL!$C$42, 28, 28))/1000000</f>
        <v>10.895653999999999</v>
      </c>
      <c r="V278" s="58">
        <f>(1000*CHOOSE(CONTROL!$C$42, 500, 500)*CHOOSE(CONTROL!$C$42, 0.275, 0.275)*CHOOSE(CONTROL!$C$42, 28, 28))/1000000</f>
        <v>3.85</v>
      </c>
      <c r="W278" s="58">
        <f>(1000*CHOOSE(CONTROL!$C$42, 0.1146, 0.1146)*CHOOSE(CONTROL!$C$42, 121.5, 121.5)*CHOOSE(CONTROL!$C$42, 28, 28))/1000000</f>
        <v>0.38986920000000003</v>
      </c>
      <c r="X278" s="58">
        <f>(28*0.1790888*100000/1000000)+(28*0.2374*100000/1000000)</f>
        <v>1.16616864</v>
      </c>
      <c r="Y278" s="58"/>
      <c r="Z278" s="10"/>
      <c r="AA278" s="57"/>
      <c r="AB278" s="51">
        <f>(B278*122.58+C278*297.941+D278*89.177+E278*40.302+F278*40+G278*160+H278*0+I278*100+J278*300)/(122.58+297.941+89.177+40.302+0+40+160+100+300)</f>
        <v>10.07017459747826</v>
      </c>
      <c r="AC278" s="27">
        <f>(M278*'RAP TEMPLATE-GAS AVAILABILITY'!O277+N278*'RAP TEMPLATE-GAS AVAILABILITY'!P277+O278*'RAP TEMPLATE-GAS AVAILABILITY'!Q277+P278*'RAP TEMPLATE-GAS AVAILABILITY'!R277)/('RAP TEMPLATE-GAS AVAILABILITY'!O277+'RAP TEMPLATE-GAS AVAILABILITY'!P277+'RAP TEMPLATE-GAS AVAILABILITY'!Q277+'RAP TEMPLATE-GAS AVAILABILITY'!R277)</f>
        <v>10.009378417266188</v>
      </c>
    </row>
    <row r="279" spans="1:29" ht="15.75" x14ac:dyDescent="0.25">
      <c r="A279" s="16">
        <v>49369</v>
      </c>
      <c r="B279" s="10">
        <f>CHOOSE(CONTROL!$C$42, 9.7782, 9.7782) * CHOOSE(CONTROL!$C$21, $C$9, 100%, $E$9)</f>
        <v>9.7782</v>
      </c>
      <c r="C279" s="10">
        <f>CHOOSE(CONTROL!$C$42, 9.7832, 9.7832) * CHOOSE(CONTROL!$C$21, $C$9, 100%, $E$9)</f>
        <v>9.7832000000000008</v>
      </c>
      <c r="D279" s="10">
        <f>CHOOSE(CONTROL!$C$42, 9.8437, 9.8437) * CHOOSE(CONTROL!$C$21, $C$9, 100%, $E$9)</f>
        <v>9.8437000000000001</v>
      </c>
      <c r="E279" s="10">
        <f>CHOOSE(CONTROL!$C$42, 9.8774, 9.8774) * CHOOSE(CONTROL!$C$21, $C$9, 100%, $E$9)</f>
        <v>9.8773999999999997</v>
      </c>
      <c r="F279" s="10">
        <f>CHOOSE(CONTROL!$C$42, 9.7659, 9.7659)*CHOOSE(CONTROL!$C$21, $C$9, 100%, $E$9)</f>
        <v>9.7659000000000002</v>
      </c>
      <c r="G279" s="10">
        <f>CHOOSE(CONTROL!$C$42, 9.7831, 9.7831)*CHOOSE(CONTROL!$C$21, $C$9, 100%, $E$9)</f>
        <v>9.7830999999999992</v>
      </c>
      <c r="H279" s="10">
        <f>CHOOSE(CONTROL!$C$42, 9.8666, 9.8666) * CHOOSE(CONTROL!$C$21, $C$9, 100%, $E$9)</f>
        <v>9.8666</v>
      </c>
      <c r="I279" s="10">
        <f>CHOOSE(CONTROL!$C$42, 9.7521, 9.7521)* CHOOSE(CONTROL!$C$21, $C$9, 100%, $E$9)</f>
        <v>9.7521000000000004</v>
      </c>
      <c r="J279" s="10">
        <f>CHOOSE(CONTROL!$C$42, 9.7589, 9.7589)* CHOOSE(CONTROL!$C$21, $C$9, 100%, $E$9)</f>
        <v>9.7589000000000006</v>
      </c>
      <c r="K279" s="54">
        <f>CHOOSE(CONTROL!$C$42, 9.7482, 9.7482) * CHOOSE(CONTROL!$C$21, $C$9, 100%, $E$9)</f>
        <v>9.7482000000000006</v>
      </c>
      <c r="L279" s="10">
        <f>CHOOSE(CONTROL!$C$42, 10.4536, 10.4536) * CHOOSE(CONTROL!$C$21, $C$9, 100%, $E$9)</f>
        <v>10.4536</v>
      </c>
      <c r="M279" s="10">
        <f>CHOOSE(CONTROL!$C$42, 9.6743, 9.6743) * CHOOSE(CONTROL!$C$21, $C$9, 100%, $E$9)</f>
        <v>9.6743000000000006</v>
      </c>
      <c r="N279" s="10">
        <f>CHOOSE(CONTROL!$C$42, 9.6913, 9.6913) * CHOOSE(CONTROL!$C$21, $C$9, 100%, $E$9)</f>
        <v>9.6913</v>
      </c>
      <c r="O279" s="10">
        <f>CHOOSE(CONTROL!$C$42, 9.7809, 9.7809) * CHOOSE(CONTROL!$C$21, $C$9, 100%, $E$9)</f>
        <v>9.7809000000000008</v>
      </c>
      <c r="P279" s="10">
        <f>CHOOSE(CONTROL!$C$42, 9.6676, 9.6676) * CHOOSE(CONTROL!$C$21, $C$9, 100%, $E$9)</f>
        <v>9.6676000000000002</v>
      </c>
      <c r="Q279" s="10">
        <f>CHOOSE(CONTROL!$C$42, 10.3762, 10.3762) * CHOOSE(CONTROL!$C$21, $C$9, 100%, $E$9)</f>
        <v>10.376200000000001</v>
      </c>
      <c r="R279" s="10">
        <f>CHOOSE(CONTROL!$C$42, 10.9891, 10.9891) * CHOOSE(CONTROL!$C$21, $C$9, 100%, $E$9)</f>
        <v>10.989100000000001</v>
      </c>
      <c r="S279" s="10">
        <f>CHOOSE(CONTROL!$C$42, 9.4935, 9.4935) * CHOOSE(CONTROL!$C$21, $C$9, 100%, $E$9)</f>
        <v>9.4934999999999992</v>
      </c>
      <c r="T279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279" s="58">
        <f>(1000*CHOOSE(CONTROL!$C$42, 695, 695)*CHOOSE(CONTROL!$C$42, 0.5599, 0.5599)*CHOOSE(CONTROL!$C$42, 31, 31))/1000000</f>
        <v>12.063045499999998</v>
      </c>
      <c r="V279" s="58">
        <f>(1000*CHOOSE(CONTROL!$C$42, 500, 500)*CHOOSE(CONTROL!$C$42, 0.275, 0.275)*CHOOSE(CONTROL!$C$42, 31, 31))/1000000</f>
        <v>4.2625000000000002</v>
      </c>
      <c r="W279" s="58">
        <f>(1000*CHOOSE(CONTROL!$C$42, 0.1146, 0.1146)*CHOOSE(CONTROL!$C$42, 121.5, 121.5)*CHOOSE(CONTROL!$C$42, 31, 31))/1000000</f>
        <v>0.43164089999999994</v>
      </c>
      <c r="X279" s="58">
        <f>(31*0.1790888*100000/1000000)+(31*0.2374*100000/1000000)</f>
        <v>1.2911152800000001</v>
      </c>
      <c r="Y279" s="58"/>
      <c r="Z279" s="10"/>
      <c r="AA279" s="57"/>
      <c r="AB279" s="51">
        <f>(B279*122.58+C279*297.941+D279*89.177+E279*40.302+F279*40+G279*160+H279*0+I279*100+J279*300)/(122.58+297.941+89.177+40.302+0+40+160+100+300)</f>
        <v>9.7810006581739142</v>
      </c>
      <c r="AC279" s="27">
        <f>(M279*'RAP TEMPLATE-GAS AVAILABILITY'!O278+N279*'RAP TEMPLATE-GAS AVAILABILITY'!P278+O279*'RAP TEMPLATE-GAS AVAILABILITY'!Q278+P279*'RAP TEMPLATE-GAS AVAILABILITY'!R278)/('RAP TEMPLATE-GAS AVAILABILITY'!O278+'RAP TEMPLATE-GAS AVAILABILITY'!P278+'RAP TEMPLATE-GAS AVAILABILITY'!Q278+'RAP TEMPLATE-GAS AVAILABILITY'!R278)</f>
        <v>9.7226294964028792</v>
      </c>
    </row>
    <row r="280" spans="1:29" ht="15.75" x14ac:dyDescent="0.25">
      <c r="A280" s="16">
        <v>49400</v>
      </c>
      <c r="B280" s="10">
        <f>CHOOSE(CONTROL!$C$42, 9.7501, 9.7501) * CHOOSE(CONTROL!$C$21, $C$9, 100%, $E$9)</f>
        <v>9.7500999999999998</v>
      </c>
      <c r="C280" s="10">
        <f>CHOOSE(CONTROL!$C$42, 9.7545, 9.7545) * CHOOSE(CONTROL!$C$21, $C$9, 100%, $E$9)</f>
        <v>9.7545000000000002</v>
      </c>
      <c r="D280" s="10">
        <f>CHOOSE(CONTROL!$C$42, 9.9501, 9.9501) * CHOOSE(CONTROL!$C$21, $C$9, 100%, $E$9)</f>
        <v>9.9501000000000008</v>
      </c>
      <c r="E280" s="10">
        <f>CHOOSE(CONTROL!$C$42, 9.9818, 9.9818) * CHOOSE(CONTROL!$C$21, $C$9, 100%, $E$9)</f>
        <v>9.9817999999999998</v>
      </c>
      <c r="F280" s="10">
        <f>CHOOSE(CONTROL!$C$42, 9.7179, 9.7179)*CHOOSE(CONTROL!$C$21, $C$9, 100%, $E$9)</f>
        <v>9.7179000000000002</v>
      </c>
      <c r="G280" s="10">
        <f>CHOOSE(CONTROL!$C$42, 9.7347, 9.7347)*CHOOSE(CONTROL!$C$21, $C$9, 100%, $E$9)</f>
        <v>9.7347000000000001</v>
      </c>
      <c r="H280" s="10">
        <f>CHOOSE(CONTROL!$C$42, 9.9716, 9.9716) * CHOOSE(CONTROL!$C$21, $C$9, 100%, $E$9)</f>
        <v>9.9716000000000005</v>
      </c>
      <c r="I280" s="10">
        <f>CHOOSE(CONTROL!$C$42, 9.7181, 9.7181)* CHOOSE(CONTROL!$C$21, $C$9, 100%, $E$9)</f>
        <v>9.7180999999999997</v>
      </c>
      <c r="J280" s="10">
        <f>CHOOSE(CONTROL!$C$42, 9.7109, 9.7109)* CHOOSE(CONTROL!$C$21, $C$9, 100%, $E$9)</f>
        <v>9.7109000000000005</v>
      </c>
      <c r="K280" s="54">
        <f>CHOOSE(CONTROL!$C$42, 9.7142, 9.7142) * CHOOSE(CONTROL!$C$21, $C$9, 100%, $E$9)</f>
        <v>9.7141999999999999</v>
      </c>
      <c r="L280" s="10">
        <f>CHOOSE(CONTROL!$C$42, 10.5586, 10.5586) * CHOOSE(CONTROL!$C$21, $C$9, 100%, $E$9)</f>
        <v>10.5586</v>
      </c>
      <c r="M280" s="10">
        <f>CHOOSE(CONTROL!$C$42, 9.6267, 9.6267) * CHOOSE(CONTROL!$C$21, $C$9, 100%, $E$9)</f>
        <v>9.6266999999999996</v>
      </c>
      <c r="N280" s="10">
        <f>CHOOSE(CONTROL!$C$42, 9.6434, 9.6434) * CHOOSE(CONTROL!$C$21, $C$9, 100%, $E$9)</f>
        <v>9.6433999999999997</v>
      </c>
      <c r="O280" s="10">
        <f>CHOOSE(CONTROL!$C$42, 9.8848, 9.8848) * CHOOSE(CONTROL!$C$21, $C$9, 100%, $E$9)</f>
        <v>9.8848000000000003</v>
      </c>
      <c r="P280" s="10">
        <f>CHOOSE(CONTROL!$C$42, 9.6339, 9.6339) * CHOOSE(CONTROL!$C$21, $C$9, 100%, $E$9)</f>
        <v>9.6339000000000006</v>
      </c>
      <c r="Q280" s="10">
        <f>CHOOSE(CONTROL!$C$42, 10.4801, 10.4801) * CHOOSE(CONTROL!$C$21, $C$9, 100%, $E$9)</f>
        <v>10.4801</v>
      </c>
      <c r="R280" s="10">
        <f>CHOOSE(CONTROL!$C$42, 11.0933, 11.0933) * CHOOSE(CONTROL!$C$21, $C$9, 100%, $E$9)</f>
        <v>11.093299999999999</v>
      </c>
      <c r="S280" s="10">
        <f>CHOOSE(CONTROL!$C$42, 9.4654, 9.4654) * CHOOSE(CONTROL!$C$21, $C$9, 100%, $E$9)</f>
        <v>9.4654000000000007</v>
      </c>
      <c r="T280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280" s="58">
        <f>(1000*CHOOSE(CONTROL!$C$42, 695, 695)*CHOOSE(CONTROL!$C$42, 0.5599, 0.5599)*CHOOSE(CONTROL!$C$42, 30, 30))/1000000</f>
        <v>11.673914999999997</v>
      </c>
      <c r="V280" s="58">
        <f>(1000*CHOOSE(CONTROL!$C$42, 500, 500)*CHOOSE(CONTROL!$C$42, 0.275, 0.275)*CHOOSE(CONTROL!$C$42, 30, 30))/1000000</f>
        <v>4.125</v>
      </c>
      <c r="W280" s="58">
        <f>(1000*CHOOSE(CONTROL!$C$42, 0.1146, 0.1146)*CHOOSE(CONTROL!$C$42, 121.5, 121.5)*CHOOSE(CONTROL!$C$42, 30, 30))/1000000</f>
        <v>0.417717</v>
      </c>
      <c r="X280" s="58">
        <f>(30*0.1790888*245000/1000000)+(30*0.2374*100000/1000000)</f>
        <v>2.0285026799999999</v>
      </c>
      <c r="Y280" s="58"/>
      <c r="Z280" s="10"/>
      <c r="AA280" s="57"/>
      <c r="AB280" s="51">
        <f>(B280*141.293+C280*267.993+D280*115.016+E280*89.698+F280*40+G280*185+H280*0+I280*100+J280*300)/(141.293+267.993+115.016+89.698+0+40+185+100+300)</f>
        <v>9.7709784469733663</v>
      </c>
      <c r="AC280" s="27">
        <f>(M280*'RAP TEMPLATE-GAS AVAILABILITY'!O279+N280*'RAP TEMPLATE-GAS AVAILABILITY'!P279+O280*'RAP TEMPLATE-GAS AVAILABILITY'!Q279+P280*'RAP TEMPLATE-GAS AVAILABILITY'!R279)/('RAP TEMPLATE-GAS AVAILABILITY'!O279+'RAP TEMPLATE-GAS AVAILABILITY'!P279+'RAP TEMPLATE-GAS AVAILABILITY'!Q279+'RAP TEMPLATE-GAS AVAILABILITY'!R279)</f>
        <v>9.7039971223021588</v>
      </c>
    </row>
    <row r="281" spans="1:29" ht="15.75" x14ac:dyDescent="0.25">
      <c r="A281" s="16">
        <v>49430</v>
      </c>
      <c r="B281" s="10">
        <f>CHOOSE(CONTROL!$C$42, 9.8375, 9.8375) * CHOOSE(CONTROL!$C$21, $C$9, 100%, $E$9)</f>
        <v>9.8375000000000004</v>
      </c>
      <c r="C281" s="10">
        <f>CHOOSE(CONTROL!$C$42, 9.8454, 9.8454) * CHOOSE(CONTROL!$C$21, $C$9, 100%, $E$9)</f>
        <v>9.8453999999999997</v>
      </c>
      <c r="D281" s="10">
        <f>CHOOSE(CONTROL!$C$42, 10.0379, 10.0379) * CHOOSE(CONTROL!$C$21, $C$9, 100%, $E$9)</f>
        <v>10.0379</v>
      </c>
      <c r="E281" s="10">
        <f>CHOOSE(CONTROL!$C$42, 10.069, 10.069) * CHOOSE(CONTROL!$C$21, $C$9, 100%, $E$9)</f>
        <v>10.069000000000001</v>
      </c>
      <c r="F281" s="10">
        <f>CHOOSE(CONTROL!$C$42, 9.8038, 9.8038)*CHOOSE(CONTROL!$C$21, $C$9, 100%, $E$9)</f>
        <v>9.8038000000000007</v>
      </c>
      <c r="G281" s="10">
        <f>CHOOSE(CONTROL!$C$42, 9.8209, 9.8209)*CHOOSE(CONTROL!$C$21, $C$9, 100%, $E$9)</f>
        <v>9.8209</v>
      </c>
      <c r="H281" s="10">
        <f>CHOOSE(CONTROL!$C$42, 10.0576, 10.0576) * CHOOSE(CONTROL!$C$21, $C$9, 100%, $E$9)</f>
        <v>10.057600000000001</v>
      </c>
      <c r="I281" s="10">
        <f>CHOOSE(CONTROL!$C$42, 9.8041, 9.8041)* CHOOSE(CONTROL!$C$21, $C$9, 100%, $E$9)</f>
        <v>9.8041</v>
      </c>
      <c r="J281" s="10">
        <f>CHOOSE(CONTROL!$C$42, 9.7968, 9.7968)* CHOOSE(CONTROL!$C$21, $C$9, 100%, $E$9)</f>
        <v>9.7967999999999993</v>
      </c>
      <c r="K281" s="54">
        <f>CHOOSE(CONTROL!$C$42, 9.8002, 9.8002) * CHOOSE(CONTROL!$C$21, $C$9, 100%, $E$9)</f>
        <v>9.8002000000000002</v>
      </c>
      <c r="L281" s="10">
        <f>CHOOSE(CONTROL!$C$42, 10.6446, 10.6446) * CHOOSE(CONTROL!$C$21, $C$9, 100%, $E$9)</f>
        <v>10.644600000000001</v>
      </c>
      <c r="M281" s="10">
        <f>CHOOSE(CONTROL!$C$42, 9.7117, 9.7117) * CHOOSE(CONTROL!$C$21, $C$9, 100%, $E$9)</f>
        <v>9.7117000000000004</v>
      </c>
      <c r="N281" s="10">
        <f>CHOOSE(CONTROL!$C$42, 9.7287, 9.7287) * CHOOSE(CONTROL!$C$21, $C$9, 100%, $E$9)</f>
        <v>9.7286999999999999</v>
      </c>
      <c r="O281" s="10">
        <f>CHOOSE(CONTROL!$C$42, 9.97, 9.97) * CHOOSE(CONTROL!$C$21, $C$9, 100%, $E$9)</f>
        <v>9.9700000000000006</v>
      </c>
      <c r="P281" s="10">
        <f>CHOOSE(CONTROL!$C$42, 9.719, 9.719) * CHOOSE(CONTROL!$C$21, $C$9, 100%, $E$9)</f>
        <v>9.7189999999999994</v>
      </c>
      <c r="Q281" s="10">
        <f>CHOOSE(CONTROL!$C$42, 10.5653, 10.5653) * CHOOSE(CONTROL!$C$21, $C$9, 100%, $E$9)</f>
        <v>10.565300000000001</v>
      </c>
      <c r="R281" s="10">
        <f>CHOOSE(CONTROL!$C$42, 11.1787, 11.1787) * CHOOSE(CONTROL!$C$21, $C$9, 100%, $E$9)</f>
        <v>11.178699999999999</v>
      </c>
      <c r="S281" s="10">
        <f>CHOOSE(CONTROL!$C$42, 9.549, 9.549) * CHOOSE(CONTROL!$C$21, $C$9, 100%, $E$9)</f>
        <v>9.5489999999999995</v>
      </c>
      <c r="T281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281" s="58">
        <f>(1000*CHOOSE(CONTROL!$C$42, 695, 695)*CHOOSE(CONTROL!$C$42, 0.5599, 0.5599)*CHOOSE(CONTROL!$C$42, 31, 31))/1000000</f>
        <v>12.063045499999998</v>
      </c>
      <c r="V281" s="58">
        <f>(1000*CHOOSE(CONTROL!$C$42, 500, 500)*CHOOSE(CONTROL!$C$42, 0.275, 0.275)*CHOOSE(CONTROL!$C$42, 31, 31))/1000000</f>
        <v>4.2625000000000002</v>
      </c>
      <c r="W281" s="58">
        <f>(1000*CHOOSE(CONTROL!$C$42, 0.1146, 0.1146)*CHOOSE(CONTROL!$C$42, 121.5, 121.5)*CHOOSE(CONTROL!$C$42, 31, 31))/1000000</f>
        <v>0.43164089999999994</v>
      </c>
      <c r="X281" s="58">
        <f>(31*0.1790888*245000/1000000)+(31*0.2374*100000/1000000)</f>
        <v>2.0961194359999999</v>
      </c>
      <c r="Y281" s="58"/>
      <c r="Z281" s="10"/>
      <c r="AA281" s="57"/>
      <c r="AB281" s="51">
        <f>(B281*194.205+C281*267.466+D281*133.845+E281*53.484+F281*40+G281*185+H281*0+I281*100+J281*300)/(194.205+267.466+133.845+53.484+0+40+185+100+300)</f>
        <v>9.8542567232339096</v>
      </c>
      <c r="AC281" s="27">
        <f>(M281*'RAP TEMPLATE-GAS AVAILABILITY'!O280+N281*'RAP TEMPLATE-GAS AVAILABILITY'!P280+O281*'RAP TEMPLATE-GAS AVAILABILITY'!Q280+P281*'RAP TEMPLATE-GAS AVAILABILITY'!R280)/('RAP TEMPLATE-GAS AVAILABILITY'!O280+'RAP TEMPLATE-GAS AVAILABILITY'!P280+'RAP TEMPLATE-GAS AVAILABILITY'!Q280+'RAP TEMPLATE-GAS AVAILABILITY'!R280)</f>
        <v>9.7891366906474815</v>
      </c>
    </row>
    <row r="282" spans="1:29" ht="15.75" x14ac:dyDescent="0.25">
      <c r="A282" s="15">
        <v>49461</v>
      </c>
      <c r="B282" s="10">
        <f>CHOOSE(CONTROL!$C$42, 10.1164, 10.1164) * CHOOSE(CONTROL!$C$21, $C$9, 100%, $E$9)</f>
        <v>10.116400000000001</v>
      </c>
      <c r="C282" s="10">
        <f>CHOOSE(CONTROL!$C$42, 10.1243, 10.1243) * CHOOSE(CONTROL!$C$21, $C$9, 100%, $E$9)</f>
        <v>10.1243</v>
      </c>
      <c r="D282" s="10">
        <f>CHOOSE(CONTROL!$C$42, 10.3168, 10.3168) * CHOOSE(CONTROL!$C$21, $C$9, 100%, $E$9)</f>
        <v>10.316800000000001</v>
      </c>
      <c r="E282" s="10">
        <f>CHOOSE(CONTROL!$C$42, 10.3479, 10.3479) * CHOOSE(CONTROL!$C$21, $C$9, 100%, $E$9)</f>
        <v>10.347899999999999</v>
      </c>
      <c r="F282" s="10">
        <f>CHOOSE(CONTROL!$C$42, 10.0829, 10.0829)*CHOOSE(CONTROL!$C$21, $C$9, 100%, $E$9)</f>
        <v>10.0829</v>
      </c>
      <c r="G282" s="10">
        <f>CHOOSE(CONTROL!$C$42, 10.1001, 10.1001)*CHOOSE(CONTROL!$C$21, $C$9, 100%, $E$9)</f>
        <v>10.100099999999999</v>
      </c>
      <c r="H282" s="10">
        <f>CHOOSE(CONTROL!$C$42, 10.3365, 10.3365) * CHOOSE(CONTROL!$C$21, $C$9, 100%, $E$9)</f>
        <v>10.336499999999999</v>
      </c>
      <c r="I282" s="10">
        <f>CHOOSE(CONTROL!$C$42, 10.083, 10.083)* CHOOSE(CONTROL!$C$21, $C$9, 100%, $E$9)</f>
        <v>10.083</v>
      </c>
      <c r="J282" s="10">
        <f>CHOOSE(CONTROL!$C$42, 10.0759, 10.0759)* CHOOSE(CONTROL!$C$21, $C$9, 100%, $E$9)</f>
        <v>10.075900000000001</v>
      </c>
      <c r="K282" s="54">
        <f>CHOOSE(CONTROL!$C$42, 10.0791, 10.0791) * CHOOSE(CONTROL!$C$21, $C$9, 100%, $E$9)</f>
        <v>10.0791</v>
      </c>
      <c r="L282" s="10">
        <f>CHOOSE(CONTROL!$C$42, 10.9235, 10.9235) * CHOOSE(CONTROL!$C$21, $C$9, 100%, $E$9)</f>
        <v>10.923500000000001</v>
      </c>
      <c r="M282" s="10">
        <f>CHOOSE(CONTROL!$C$42, 9.9881, 9.9881) * CHOOSE(CONTROL!$C$21, $C$9, 100%, $E$9)</f>
        <v>9.9880999999999993</v>
      </c>
      <c r="N282" s="10">
        <f>CHOOSE(CONTROL!$C$42, 10.0051, 10.0051) * CHOOSE(CONTROL!$C$21, $C$9, 100%, $E$9)</f>
        <v>10.005100000000001</v>
      </c>
      <c r="O282" s="10">
        <f>CHOOSE(CONTROL!$C$42, 10.2461, 10.2461) * CHOOSE(CONTROL!$C$21, $C$9, 100%, $E$9)</f>
        <v>10.2461</v>
      </c>
      <c r="P282" s="10">
        <f>CHOOSE(CONTROL!$C$42, 9.9951, 9.9951) * CHOOSE(CONTROL!$C$21, $C$9, 100%, $E$9)</f>
        <v>9.9951000000000008</v>
      </c>
      <c r="Q282" s="10">
        <f>CHOOSE(CONTROL!$C$42, 10.8414, 10.8414) * CHOOSE(CONTROL!$C$21, $C$9, 100%, $E$9)</f>
        <v>10.8414</v>
      </c>
      <c r="R282" s="10">
        <f>CHOOSE(CONTROL!$C$42, 11.4555, 11.4555) * CHOOSE(CONTROL!$C$21, $C$9, 100%, $E$9)</f>
        <v>11.455500000000001</v>
      </c>
      <c r="S282" s="10">
        <f>CHOOSE(CONTROL!$C$42, 9.8198, 9.8198) * CHOOSE(CONTROL!$C$21, $C$9, 100%, $E$9)</f>
        <v>9.8198000000000008</v>
      </c>
      <c r="T282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282" s="58">
        <f>(1000*CHOOSE(CONTROL!$C$42, 695, 695)*CHOOSE(CONTROL!$C$42, 0.5599, 0.5599)*CHOOSE(CONTROL!$C$42, 30, 30))/1000000</f>
        <v>11.673914999999997</v>
      </c>
      <c r="V282" s="58">
        <f>(1000*CHOOSE(CONTROL!$C$42, 500, 500)*CHOOSE(CONTROL!$C$42, 0.275, 0.275)*CHOOSE(CONTROL!$C$42, 30, 30))/1000000</f>
        <v>4.125</v>
      </c>
      <c r="W282" s="58">
        <f>(1000*CHOOSE(CONTROL!$C$42, 0.1146, 0.1146)*CHOOSE(CONTROL!$C$42, 121.5, 121.5)*CHOOSE(CONTROL!$C$42, 30, 30))/1000000</f>
        <v>0.417717</v>
      </c>
      <c r="X282" s="58">
        <f>(30*0.1790888*245000/1000000)+(30*0.2374*100000/1000000)</f>
        <v>2.0285026799999999</v>
      </c>
      <c r="Y282" s="58"/>
      <c r="Z282" s="10"/>
      <c r="AA282" s="57"/>
      <c r="AB282" s="51">
        <f>(B282*194.205+C282*267.466+D282*133.845+E282*53.484+F282*40+G282*185+H282*0+I282*100+J282*300)/(194.205+267.466+133.845+53.484+0+40+185+100+300)</f>
        <v>10.13325366200942</v>
      </c>
      <c r="AC282" s="27">
        <f>(M282*'RAP TEMPLATE-GAS AVAILABILITY'!O281+N282*'RAP TEMPLATE-GAS AVAILABILITY'!P281+O282*'RAP TEMPLATE-GAS AVAILABILITY'!Q281+P282*'RAP TEMPLATE-GAS AVAILABILITY'!R281)/('RAP TEMPLATE-GAS AVAILABILITY'!O281+'RAP TEMPLATE-GAS AVAILABILITY'!P281+'RAP TEMPLATE-GAS AVAILABILITY'!Q281+'RAP TEMPLATE-GAS AVAILABILITY'!R281)</f>
        <v>10.065409352517987</v>
      </c>
    </row>
    <row r="283" spans="1:29" ht="15.75" x14ac:dyDescent="0.25">
      <c r="A283" s="15">
        <v>49491</v>
      </c>
      <c r="B283" s="10">
        <f>CHOOSE(CONTROL!$C$42, 9.9225, 9.9225) * CHOOSE(CONTROL!$C$21, $C$9, 100%, $E$9)</f>
        <v>9.9224999999999994</v>
      </c>
      <c r="C283" s="10">
        <f>CHOOSE(CONTROL!$C$42, 9.9304, 9.9304) * CHOOSE(CONTROL!$C$21, $C$9, 100%, $E$9)</f>
        <v>9.9304000000000006</v>
      </c>
      <c r="D283" s="10">
        <f>CHOOSE(CONTROL!$C$42, 10.1228, 10.1228) * CHOOSE(CONTROL!$C$21, $C$9, 100%, $E$9)</f>
        <v>10.1228</v>
      </c>
      <c r="E283" s="10">
        <f>CHOOSE(CONTROL!$C$42, 10.1539, 10.1539) * CHOOSE(CONTROL!$C$21, $C$9, 100%, $E$9)</f>
        <v>10.1539</v>
      </c>
      <c r="F283" s="10">
        <f>CHOOSE(CONTROL!$C$42, 9.8893, 9.8893)*CHOOSE(CONTROL!$C$21, $C$9, 100%, $E$9)</f>
        <v>9.8893000000000004</v>
      </c>
      <c r="G283" s="10">
        <f>CHOOSE(CONTROL!$C$42, 9.9066, 9.9066)*CHOOSE(CONTROL!$C$21, $C$9, 100%, $E$9)</f>
        <v>9.9065999999999992</v>
      </c>
      <c r="H283" s="10">
        <f>CHOOSE(CONTROL!$C$42, 10.1426, 10.1426) * CHOOSE(CONTROL!$C$21, $C$9, 100%, $E$9)</f>
        <v>10.1426</v>
      </c>
      <c r="I283" s="10">
        <f>CHOOSE(CONTROL!$C$42, 9.889, 9.889)* CHOOSE(CONTROL!$C$21, $C$9, 100%, $E$9)</f>
        <v>9.8889999999999993</v>
      </c>
      <c r="J283" s="10">
        <f>CHOOSE(CONTROL!$C$42, 9.8823, 9.8823)* CHOOSE(CONTROL!$C$21, $C$9, 100%, $E$9)</f>
        <v>9.8823000000000008</v>
      </c>
      <c r="K283" s="54">
        <f>CHOOSE(CONTROL!$C$42, 9.8851, 9.8851) * CHOOSE(CONTROL!$C$21, $C$9, 100%, $E$9)</f>
        <v>9.8850999999999996</v>
      </c>
      <c r="L283" s="10">
        <f>CHOOSE(CONTROL!$C$42, 10.7296, 10.7296) * CHOOSE(CONTROL!$C$21, $C$9, 100%, $E$9)</f>
        <v>10.7296</v>
      </c>
      <c r="M283" s="10">
        <f>CHOOSE(CONTROL!$C$42, 9.7964, 9.7964) * CHOOSE(CONTROL!$C$21, $C$9, 100%, $E$9)</f>
        <v>9.7964000000000002</v>
      </c>
      <c r="N283" s="10">
        <f>CHOOSE(CONTROL!$C$42, 9.8136, 9.8136) * CHOOSE(CONTROL!$C$21, $C$9, 100%, $E$9)</f>
        <v>9.8135999999999992</v>
      </c>
      <c r="O283" s="10">
        <f>CHOOSE(CONTROL!$C$42, 10.054, 10.054) * CHOOSE(CONTROL!$C$21, $C$9, 100%, $E$9)</f>
        <v>10.054</v>
      </c>
      <c r="P283" s="10">
        <f>CHOOSE(CONTROL!$C$42, 9.8031, 9.8031) * CHOOSE(CONTROL!$C$21, $C$9, 100%, $E$9)</f>
        <v>9.8031000000000006</v>
      </c>
      <c r="Q283" s="10">
        <f>CHOOSE(CONTROL!$C$42, 10.6493, 10.6493) * CHOOSE(CONTROL!$C$21, $C$9, 100%, $E$9)</f>
        <v>10.6493</v>
      </c>
      <c r="R283" s="10">
        <f>CHOOSE(CONTROL!$C$42, 11.263, 11.263) * CHOOSE(CONTROL!$C$21, $C$9, 100%, $E$9)</f>
        <v>11.263</v>
      </c>
      <c r="S283" s="10">
        <f>CHOOSE(CONTROL!$C$42, 9.6314, 9.6314) * CHOOSE(CONTROL!$C$21, $C$9, 100%, $E$9)</f>
        <v>9.6313999999999993</v>
      </c>
      <c r="T283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283" s="58">
        <f>(1000*CHOOSE(CONTROL!$C$42, 695, 695)*CHOOSE(CONTROL!$C$42, 0.5599, 0.5599)*CHOOSE(CONTROL!$C$42, 31, 31))/1000000</f>
        <v>12.063045499999998</v>
      </c>
      <c r="V283" s="58">
        <f>(1000*CHOOSE(CONTROL!$C$42, 500, 500)*CHOOSE(CONTROL!$C$42, 0.275, 0.275)*CHOOSE(CONTROL!$C$42, 31, 31))/1000000</f>
        <v>4.2625000000000002</v>
      </c>
      <c r="W283" s="58">
        <f>(1000*CHOOSE(CONTROL!$C$42, 0.1146, 0.1146)*CHOOSE(CONTROL!$C$42, 121.5, 121.5)*CHOOSE(CONTROL!$C$42, 31, 31))/1000000</f>
        <v>0.43164089999999994</v>
      </c>
      <c r="X283" s="58">
        <f>(31*0.1790888*245000/1000000)+(31*0.2374*100000/1000000)</f>
        <v>2.0961194359999999</v>
      </c>
      <c r="Y283" s="58"/>
      <c r="Z283" s="10"/>
      <c r="AA283" s="57"/>
      <c r="AB283" s="51">
        <f>(B283*194.205+C283*267.466+D283*133.845+E283*53.484+F283*40+G283*185+H283*0+I283*100+J283*300)/(194.205+267.466+133.845+53.484+0+40+185+100+300)</f>
        <v>9.939469256279434</v>
      </c>
      <c r="AC283" s="27">
        <f>(M283*'RAP TEMPLATE-GAS AVAILABILITY'!O282+N283*'RAP TEMPLATE-GAS AVAILABILITY'!P282+O283*'RAP TEMPLATE-GAS AVAILABILITY'!Q282+P283*'RAP TEMPLATE-GAS AVAILABILITY'!R282)/('RAP TEMPLATE-GAS AVAILABILITY'!O282+'RAP TEMPLATE-GAS AVAILABILITY'!P282+'RAP TEMPLATE-GAS AVAILABILITY'!Q282+'RAP TEMPLATE-GAS AVAILABILITY'!R282)</f>
        <v>9.8735999999999997</v>
      </c>
    </row>
    <row r="284" spans="1:29" ht="15.75" x14ac:dyDescent="0.25">
      <c r="A284" s="15">
        <v>49522</v>
      </c>
      <c r="B284" s="10">
        <f>CHOOSE(CONTROL!$C$42, 9.4326, 9.4326) * CHOOSE(CONTROL!$C$21, $C$9, 100%, $E$9)</f>
        <v>9.4326000000000008</v>
      </c>
      <c r="C284" s="10">
        <f>CHOOSE(CONTROL!$C$42, 9.4405, 9.4405) * CHOOSE(CONTROL!$C$21, $C$9, 100%, $E$9)</f>
        <v>9.4405000000000001</v>
      </c>
      <c r="D284" s="10">
        <f>CHOOSE(CONTROL!$C$42, 9.633, 9.633) * CHOOSE(CONTROL!$C$21, $C$9, 100%, $E$9)</f>
        <v>9.6329999999999991</v>
      </c>
      <c r="E284" s="10">
        <f>CHOOSE(CONTROL!$C$42, 9.6641, 9.6641) * CHOOSE(CONTROL!$C$21, $C$9, 100%, $E$9)</f>
        <v>9.6640999999999995</v>
      </c>
      <c r="F284" s="10">
        <f>CHOOSE(CONTROL!$C$42, 9.3997, 9.3997)*CHOOSE(CONTROL!$C$21, $C$9, 100%, $E$9)</f>
        <v>9.3996999999999993</v>
      </c>
      <c r="G284" s="10">
        <f>CHOOSE(CONTROL!$C$42, 9.417, 9.417)*CHOOSE(CONTROL!$C$21, $C$9, 100%, $E$9)</f>
        <v>9.4169999999999998</v>
      </c>
      <c r="H284" s="10">
        <f>CHOOSE(CONTROL!$C$42, 9.6527, 9.6527) * CHOOSE(CONTROL!$C$21, $C$9, 100%, $E$9)</f>
        <v>9.6526999999999994</v>
      </c>
      <c r="I284" s="10">
        <f>CHOOSE(CONTROL!$C$42, 9.3992, 9.3992)* CHOOSE(CONTROL!$C$21, $C$9, 100%, $E$9)</f>
        <v>9.3992000000000004</v>
      </c>
      <c r="J284" s="10">
        <f>CHOOSE(CONTROL!$C$42, 9.3927, 9.3927)* CHOOSE(CONTROL!$C$21, $C$9, 100%, $E$9)</f>
        <v>9.3926999999999996</v>
      </c>
      <c r="K284" s="54">
        <f>CHOOSE(CONTROL!$C$42, 9.3953, 9.3953) * CHOOSE(CONTROL!$C$21, $C$9, 100%, $E$9)</f>
        <v>9.3953000000000007</v>
      </c>
      <c r="L284" s="10">
        <f>CHOOSE(CONTROL!$C$42, 10.2397, 10.2397) * CHOOSE(CONTROL!$C$21, $C$9, 100%, $E$9)</f>
        <v>10.239699999999999</v>
      </c>
      <c r="M284" s="10">
        <f>CHOOSE(CONTROL!$C$42, 9.3117, 9.3117) * CHOOSE(CONTROL!$C$21, $C$9, 100%, $E$9)</f>
        <v>9.3117000000000001</v>
      </c>
      <c r="N284" s="10">
        <f>CHOOSE(CONTROL!$C$42, 9.3289, 9.3289) * CHOOSE(CONTROL!$C$21, $C$9, 100%, $E$9)</f>
        <v>9.3289000000000009</v>
      </c>
      <c r="O284" s="10">
        <f>CHOOSE(CONTROL!$C$42, 9.5691, 9.5691) * CHOOSE(CONTROL!$C$21, $C$9, 100%, $E$9)</f>
        <v>9.5691000000000006</v>
      </c>
      <c r="P284" s="10">
        <f>CHOOSE(CONTROL!$C$42, 9.3182, 9.3182) * CHOOSE(CONTROL!$C$21, $C$9, 100%, $E$9)</f>
        <v>9.3181999999999992</v>
      </c>
      <c r="Q284" s="10">
        <f>CHOOSE(CONTROL!$C$42, 10.1644, 10.1644) * CHOOSE(CONTROL!$C$21, $C$9, 100%, $E$9)</f>
        <v>10.164400000000001</v>
      </c>
      <c r="R284" s="10">
        <f>CHOOSE(CONTROL!$C$42, 10.7768, 10.7768) * CHOOSE(CONTROL!$C$21, $C$9, 100%, $E$9)</f>
        <v>10.7768</v>
      </c>
      <c r="S284" s="10">
        <f>CHOOSE(CONTROL!$C$42, 9.1558, 9.1558) * CHOOSE(CONTROL!$C$21, $C$9, 100%, $E$9)</f>
        <v>9.1557999999999993</v>
      </c>
      <c r="T284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284" s="58">
        <f>(1000*CHOOSE(CONTROL!$C$42, 695, 695)*CHOOSE(CONTROL!$C$42, 0.5599, 0.5599)*CHOOSE(CONTROL!$C$42, 31, 31))/1000000</f>
        <v>12.063045499999998</v>
      </c>
      <c r="V284" s="58">
        <f>(1000*CHOOSE(CONTROL!$C$42, 500, 500)*CHOOSE(CONTROL!$C$42, 0.275, 0.275)*CHOOSE(CONTROL!$C$42, 31, 31))/1000000</f>
        <v>4.2625000000000002</v>
      </c>
      <c r="W284" s="58">
        <f>(1000*CHOOSE(CONTROL!$C$42, 0.1146, 0.1146)*CHOOSE(CONTROL!$C$42, 121.5, 121.5)*CHOOSE(CONTROL!$C$42, 31, 31))/1000000</f>
        <v>0.43164089999999994</v>
      </c>
      <c r="X284" s="58">
        <f>(31*0.1790888*245000/1000000)+(31*0.2374*100000/1000000)</f>
        <v>2.0961194359999999</v>
      </c>
      <c r="Y284" s="58"/>
      <c r="Z284" s="10"/>
      <c r="AA284" s="57"/>
      <c r="AB284" s="51">
        <f>(B284*194.205+C284*267.466+D284*133.845+E284*53.484+F284*40+G284*185+H284*0+I284*100+J284*300)/(194.205+267.466+133.845+53.484+0+40+185+100+300)</f>
        <v>9.4497154359497646</v>
      </c>
      <c r="AC284" s="27">
        <f>(M284*'RAP TEMPLATE-GAS AVAILABILITY'!O283+N284*'RAP TEMPLATE-GAS AVAILABILITY'!P283+O284*'RAP TEMPLATE-GAS AVAILABILITY'!Q283+P284*'RAP TEMPLATE-GAS AVAILABILITY'!R283)/('RAP TEMPLATE-GAS AVAILABILITY'!O283+'RAP TEMPLATE-GAS AVAILABILITY'!P283+'RAP TEMPLATE-GAS AVAILABILITY'!Q283+'RAP TEMPLATE-GAS AVAILABILITY'!R283)</f>
        <v>9.3888151079136684</v>
      </c>
    </row>
    <row r="285" spans="1:29" ht="15.75" x14ac:dyDescent="0.25">
      <c r="A285" s="15">
        <v>49553</v>
      </c>
      <c r="B285" s="10">
        <f>CHOOSE(CONTROL!$C$42, 8.8337, 8.8337) * CHOOSE(CONTROL!$C$21, $C$9, 100%, $E$9)</f>
        <v>8.8337000000000003</v>
      </c>
      <c r="C285" s="10">
        <f>CHOOSE(CONTROL!$C$42, 8.8416, 8.8416) * CHOOSE(CONTROL!$C$21, $C$9, 100%, $E$9)</f>
        <v>8.8415999999999997</v>
      </c>
      <c r="D285" s="10">
        <f>CHOOSE(CONTROL!$C$42, 9.0341, 9.0341) * CHOOSE(CONTROL!$C$21, $C$9, 100%, $E$9)</f>
        <v>9.0341000000000005</v>
      </c>
      <c r="E285" s="10">
        <f>CHOOSE(CONTROL!$C$42, 9.0652, 9.0652) * CHOOSE(CONTROL!$C$21, $C$9, 100%, $E$9)</f>
        <v>9.0652000000000008</v>
      </c>
      <c r="F285" s="10">
        <f>CHOOSE(CONTROL!$C$42, 8.8006, 8.8006)*CHOOSE(CONTROL!$C$21, $C$9, 100%, $E$9)</f>
        <v>8.8005999999999993</v>
      </c>
      <c r="G285" s="10">
        <f>CHOOSE(CONTROL!$C$42, 8.8179, 8.8179)*CHOOSE(CONTROL!$C$21, $C$9, 100%, $E$9)</f>
        <v>8.8178999999999998</v>
      </c>
      <c r="H285" s="10">
        <f>CHOOSE(CONTROL!$C$42, 9.0538, 9.0538) * CHOOSE(CONTROL!$C$21, $C$9, 100%, $E$9)</f>
        <v>9.0538000000000007</v>
      </c>
      <c r="I285" s="10">
        <f>CHOOSE(CONTROL!$C$42, 8.8003, 8.8003)* CHOOSE(CONTROL!$C$21, $C$9, 100%, $E$9)</f>
        <v>8.8003</v>
      </c>
      <c r="J285" s="10">
        <f>CHOOSE(CONTROL!$C$42, 8.7936, 8.7936)* CHOOSE(CONTROL!$C$21, $C$9, 100%, $E$9)</f>
        <v>8.7935999999999996</v>
      </c>
      <c r="K285" s="54">
        <f>CHOOSE(CONTROL!$C$42, 8.7964, 8.7964) * CHOOSE(CONTROL!$C$21, $C$9, 100%, $E$9)</f>
        <v>8.7964000000000002</v>
      </c>
      <c r="L285" s="10">
        <f>CHOOSE(CONTROL!$C$42, 9.6408, 9.6408) * CHOOSE(CONTROL!$C$21, $C$9, 100%, $E$9)</f>
        <v>9.6408000000000005</v>
      </c>
      <c r="M285" s="10">
        <f>CHOOSE(CONTROL!$C$42, 8.7187, 8.7187) * CHOOSE(CONTROL!$C$21, $C$9, 100%, $E$9)</f>
        <v>8.7187000000000001</v>
      </c>
      <c r="N285" s="10">
        <f>CHOOSE(CONTROL!$C$42, 8.7358, 8.7358) * CHOOSE(CONTROL!$C$21, $C$9, 100%, $E$9)</f>
        <v>8.7357999999999993</v>
      </c>
      <c r="O285" s="10">
        <f>CHOOSE(CONTROL!$C$42, 8.9763, 8.9763) * CHOOSE(CONTROL!$C$21, $C$9, 100%, $E$9)</f>
        <v>8.9763000000000002</v>
      </c>
      <c r="P285" s="10">
        <f>CHOOSE(CONTROL!$C$42, 8.7253, 8.7253) * CHOOSE(CONTROL!$C$21, $C$9, 100%, $E$9)</f>
        <v>8.7253000000000007</v>
      </c>
      <c r="Q285" s="10">
        <f>CHOOSE(CONTROL!$C$42, 9.5716, 9.5716) * CHOOSE(CONTROL!$C$21, $C$9, 100%, $E$9)</f>
        <v>9.5716000000000001</v>
      </c>
      <c r="R285" s="10">
        <f>CHOOSE(CONTROL!$C$42, 10.1825, 10.1825) * CHOOSE(CONTROL!$C$21, $C$9, 100%, $E$9)</f>
        <v>10.182499999999999</v>
      </c>
      <c r="S285" s="10">
        <f>CHOOSE(CONTROL!$C$42, 8.5742, 8.5742) * CHOOSE(CONTROL!$C$21, $C$9, 100%, $E$9)</f>
        <v>8.5741999999999994</v>
      </c>
      <c r="T285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285" s="58">
        <f>(1000*CHOOSE(CONTROL!$C$42, 695, 695)*CHOOSE(CONTROL!$C$42, 0.5599, 0.5599)*CHOOSE(CONTROL!$C$42, 30, 30))/1000000</f>
        <v>11.673914999999997</v>
      </c>
      <c r="V285" s="58">
        <f>(1000*CHOOSE(CONTROL!$C$42, 500, 500)*CHOOSE(CONTROL!$C$42, 0.275, 0.275)*CHOOSE(CONTROL!$C$42, 30, 30))/1000000</f>
        <v>4.125</v>
      </c>
      <c r="W285" s="58">
        <f>(1000*CHOOSE(CONTROL!$C$42, 0.1146, 0.1146)*CHOOSE(CONTROL!$C$42, 121.5, 121.5)*CHOOSE(CONTROL!$C$42, 30, 30))/1000000</f>
        <v>0.417717</v>
      </c>
      <c r="X285" s="58">
        <f>(30*0.1790888*245000/1000000)+(30*0.2374*100000/1000000)</f>
        <v>2.0285026799999999</v>
      </c>
      <c r="Y285" s="58"/>
      <c r="Z285" s="10"/>
      <c r="AA285" s="57"/>
      <c r="AB285" s="51">
        <f>(B285*194.205+C285*267.466+D285*133.845+E285*53.484+F285*40+G285*185+H285*0+I285*100+J285*300)/(194.205+267.466+133.845+53.484+0+40+185+100+300)</f>
        <v>8.8507330183673467</v>
      </c>
      <c r="AC285" s="27">
        <f>(M285*'RAP TEMPLATE-GAS AVAILABILITY'!O284+N285*'RAP TEMPLATE-GAS AVAILABILITY'!P284+O285*'RAP TEMPLATE-GAS AVAILABILITY'!Q284+P285*'RAP TEMPLATE-GAS AVAILABILITY'!R284)/('RAP TEMPLATE-GAS AVAILABILITY'!O284+'RAP TEMPLATE-GAS AVAILABILITY'!P284+'RAP TEMPLATE-GAS AVAILABILITY'!Q284+'RAP TEMPLATE-GAS AVAILABILITY'!R284)</f>
        <v>8.7958625899280563</v>
      </c>
    </row>
    <row r="286" spans="1:29" ht="15.75" x14ac:dyDescent="0.25">
      <c r="A286" s="15">
        <v>49583</v>
      </c>
      <c r="B286" s="10">
        <f>CHOOSE(CONTROL!$C$42, 8.6527, 8.6527) * CHOOSE(CONTROL!$C$21, $C$9, 100%, $E$9)</f>
        <v>8.6526999999999994</v>
      </c>
      <c r="C286" s="10">
        <f>CHOOSE(CONTROL!$C$42, 8.6579, 8.6579) * CHOOSE(CONTROL!$C$21, $C$9, 100%, $E$9)</f>
        <v>8.6578999999999997</v>
      </c>
      <c r="D286" s="10">
        <f>CHOOSE(CONTROL!$C$42, 8.8553, 8.8553) * CHOOSE(CONTROL!$C$21, $C$9, 100%, $E$9)</f>
        <v>8.8552999999999997</v>
      </c>
      <c r="E286" s="10">
        <f>CHOOSE(CONTROL!$C$42, 8.8841, 8.8841) * CHOOSE(CONTROL!$C$21, $C$9, 100%, $E$9)</f>
        <v>8.8841000000000001</v>
      </c>
      <c r="F286" s="10">
        <f>CHOOSE(CONTROL!$C$42, 8.6216, 8.6216)*CHOOSE(CONTROL!$C$21, $C$9, 100%, $E$9)</f>
        <v>8.6216000000000008</v>
      </c>
      <c r="G286" s="10">
        <f>CHOOSE(CONTROL!$C$42, 8.6386, 8.6386)*CHOOSE(CONTROL!$C$21, $C$9, 100%, $E$9)</f>
        <v>8.6386000000000003</v>
      </c>
      <c r="H286" s="10">
        <f>CHOOSE(CONTROL!$C$42, 8.8746, 8.8746) * CHOOSE(CONTROL!$C$21, $C$9, 100%, $E$9)</f>
        <v>8.8745999999999992</v>
      </c>
      <c r="I286" s="10">
        <f>CHOOSE(CONTROL!$C$42, 8.621, 8.621)* CHOOSE(CONTROL!$C$21, $C$9, 100%, $E$9)</f>
        <v>8.6210000000000004</v>
      </c>
      <c r="J286" s="10">
        <f>CHOOSE(CONTROL!$C$42, 8.6146, 8.6146)* CHOOSE(CONTROL!$C$21, $C$9, 100%, $E$9)</f>
        <v>8.6145999999999994</v>
      </c>
      <c r="K286" s="54">
        <f>CHOOSE(CONTROL!$C$42, 8.6171, 8.6171) * CHOOSE(CONTROL!$C$21, $C$9, 100%, $E$9)</f>
        <v>8.6171000000000006</v>
      </c>
      <c r="L286" s="10">
        <f>CHOOSE(CONTROL!$C$42, 9.4616, 9.4616) * CHOOSE(CONTROL!$C$21, $C$9, 100%, $E$9)</f>
        <v>9.4616000000000007</v>
      </c>
      <c r="M286" s="10">
        <f>CHOOSE(CONTROL!$C$42, 8.5415, 8.5415) * CHOOSE(CONTROL!$C$21, $C$9, 100%, $E$9)</f>
        <v>8.5414999999999992</v>
      </c>
      <c r="N286" s="10">
        <f>CHOOSE(CONTROL!$C$42, 8.5583, 8.5583) * CHOOSE(CONTROL!$C$21, $C$9, 100%, $E$9)</f>
        <v>8.5582999999999991</v>
      </c>
      <c r="O286" s="10">
        <f>CHOOSE(CONTROL!$C$42, 8.7988, 8.7988) * CHOOSE(CONTROL!$C$21, $C$9, 100%, $E$9)</f>
        <v>8.7988</v>
      </c>
      <c r="P286" s="10">
        <f>CHOOSE(CONTROL!$C$42, 8.5479, 8.5479) * CHOOSE(CONTROL!$C$21, $C$9, 100%, $E$9)</f>
        <v>8.5479000000000003</v>
      </c>
      <c r="Q286" s="10">
        <f>CHOOSE(CONTROL!$C$42, 9.3941, 9.3941) * CHOOSE(CONTROL!$C$21, $C$9, 100%, $E$9)</f>
        <v>9.3940999999999999</v>
      </c>
      <c r="R286" s="10">
        <f>CHOOSE(CONTROL!$C$42, 10.0046, 10.0046) * CHOOSE(CONTROL!$C$21, $C$9, 100%, $E$9)</f>
        <v>10.0046</v>
      </c>
      <c r="S286" s="10">
        <f>CHOOSE(CONTROL!$C$42, 8.4001, 8.4001) * CHOOSE(CONTROL!$C$21, $C$9, 100%, $E$9)</f>
        <v>8.4001000000000001</v>
      </c>
      <c r="T286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286" s="58">
        <f>(1000*CHOOSE(CONTROL!$C$42, 695, 695)*CHOOSE(CONTROL!$C$42, 0.5599, 0.5599)*CHOOSE(CONTROL!$C$42, 31, 31))/1000000</f>
        <v>12.063045499999998</v>
      </c>
      <c r="V286" s="58">
        <f>(1000*CHOOSE(CONTROL!$C$42, 500, 500)*CHOOSE(CONTROL!$C$42, 0.275, 0.275)*CHOOSE(CONTROL!$C$42, 31, 31))/1000000</f>
        <v>4.2625000000000002</v>
      </c>
      <c r="W286" s="58">
        <f>(1000*CHOOSE(CONTROL!$C$42, 0.1146, 0.1146)*CHOOSE(CONTROL!$C$42, 121.5, 121.5)*CHOOSE(CONTROL!$C$42, 31, 31))/1000000</f>
        <v>0.43164089999999994</v>
      </c>
      <c r="X286" s="58">
        <f>(31*0.1790888*245000/1000000)+(31*0.2374*100000/1000000)</f>
        <v>2.0961194359999999</v>
      </c>
      <c r="Y286" s="58"/>
      <c r="Z286" s="10"/>
      <c r="AA286" s="57"/>
      <c r="AB286" s="51">
        <f>(B286*131.881+C286*277.167+D286*79.08+E286*125.872+F286*40+G286*185+H286*0+I286*100+J286*300)/(131.881+277.167+79.08+125.872+0+40+185+100+300)</f>
        <v>8.6754095699757858</v>
      </c>
      <c r="AC286" s="27">
        <f>(M286*'RAP TEMPLATE-GAS AVAILABILITY'!O285+N286*'RAP TEMPLATE-GAS AVAILABILITY'!P285+O286*'RAP TEMPLATE-GAS AVAILABILITY'!Q285+P286*'RAP TEMPLATE-GAS AVAILABILITY'!R285)/('RAP TEMPLATE-GAS AVAILABILITY'!O285+'RAP TEMPLATE-GAS AVAILABILITY'!P285+'RAP TEMPLATE-GAS AVAILABILITY'!Q285+'RAP TEMPLATE-GAS AVAILABILITY'!R285)</f>
        <v>8.6184805755395679</v>
      </c>
    </row>
    <row r="287" spans="1:29" ht="15.75" x14ac:dyDescent="0.25">
      <c r="A287" s="15">
        <v>49614</v>
      </c>
      <c r="B287" s="10">
        <f>CHOOSE(CONTROL!$C$42, 8.8801, 8.8801) * CHOOSE(CONTROL!$C$21, $C$9, 100%, $E$9)</f>
        <v>8.8801000000000005</v>
      </c>
      <c r="C287" s="10">
        <f>CHOOSE(CONTROL!$C$42, 8.8851, 8.8851) * CHOOSE(CONTROL!$C$21, $C$9, 100%, $E$9)</f>
        <v>8.8850999999999996</v>
      </c>
      <c r="D287" s="10">
        <f>CHOOSE(CONTROL!$C$42, 8.9147, 8.9147) * CHOOSE(CONTROL!$C$21, $C$9, 100%, $E$9)</f>
        <v>8.9146999999999998</v>
      </c>
      <c r="E287" s="10">
        <f>CHOOSE(CONTROL!$C$42, 8.9485, 8.9485) * CHOOSE(CONTROL!$C$21, $C$9, 100%, $E$9)</f>
        <v>8.9484999999999992</v>
      </c>
      <c r="F287" s="10">
        <f>CHOOSE(CONTROL!$C$42, 8.8469, 8.8469)*CHOOSE(CONTROL!$C$21, $C$9, 100%, $E$9)</f>
        <v>8.8468999999999998</v>
      </c>
      <c r="G287" s="10">
        <f>CHOOSE(CONTROL!$C$42, 8.8641, 8.8641)*CHOOSE(CONTROL!$C$21, $C$9, 100%, $E$9)</f>
        <v>8.8641000000000005</v>
      </c>
      <c r="H287" s="10">
        <f>CHOOSE(CONTROL!$C$42, 8.9377, 8.9377) * CHOOSE(CONTROL!$C$21, $C$9, 100%, $E$9)</f>
        <v>8.9376999999999995</v>
      </c>
      <c r="I287" s="10">
        <f>CHOOSE(CONTROL!$C$42, 8.8437, 8.8437)* CHOOSE(CONTROL!$C$21, $C$9, 100%, $E$9)</f>
        <v>8.8437000000000001</v>
      </c>
      <c r="J287" s="10">
        <f>CHOOSE(CONTROL!$C$42, 8.8399, 8.8399)* CHOOSE(CONTROL!$C$21, $C$9, 100%, $E$9)</f>
        <v>8.8399000000000001</v>
      </c>
      <c r="K287" s="54">
        <f>CHOOSE(CONTROL!$C$42, 8.8398, 8.8398) * CHOOSE(CONTROL!$C$21, $C$9, 100%, $E$9)</f>
        <v>8.8398000000000003</v>
      </c>
      <c r="L287" s="10">
        <f>CHOOSE(CONTROL!$C$42, 9.5247, 9.5247) * CHOOSE(CONTROL!$C$21, $C$9, 100%, $E$9)</f>
        <v>9.5246999999999993</v>
      </c>
      <c r="M287" s="10">
        <f>CHOOSE(CONTROL!$C$42, 8.7646, 8.7646) * CHOOSE(CONTROL!$C$21, $C$9, 100%, $E$9)</f>
        <v>8.7645999999999997</v>
      </c>
      <c r="N287" s="10">
        <f>CHOOSE(CONTROL!$C$42, 8.7815, 8.7815) * CHOOSE(CONTROL!$C$21, $C$9, 100%, $E$9)</f>
        <v>8.7814999999999994</v>
      </c>
      <c r="O287" s="10">
        <f>CHOOSE(CONTROL!$C$42, 8.8613, 8.8613) * CHOOSE(CONTROL!$C$21, $C$9, 100%, $E$9)</f>
        <v>8.8613</v>
      </c>
      <c r="P287" s="10">
        <f>CHOOSE(CONTROL!$C$42, 8.7684, 8.7684) * CHOOSE(CONTROL!$C$21, $C$9, 100%, $E$9)</f>
        <v>8.7683999999999997</v>
      </c>
      <c r="Q287" s="10">
        <f>CHOOSE(CONTROL!$C$42, 9.4566, 9.4566) * CHOOSE(CONTROL!$C$21, $C$9, 100%, $E$9)</f>
        <v>9.4565999999999999</v>
      </c>
      <c r="R287" s="10">
        <f>CHOOSE(CONTROL!$C$42, 10.0672, 10.0672) * CHOOSE(CONTROL!$C$21, $C$9, 100%, $E$9)</f>
        <v>10.0672</v>
      </c>
      <c r="S287" s="10">
        <f>CHOOSE(CONTROL!$C$42, 8.6214, 8.6214) * CHOOSE(CONTROL!$C$21, $C$9, 100%, $E$9)</f>
        <v>8.6213999999999995</v>
      </c>
      <c r="T287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287" s="58">
        <f>(1000*CHOOSE(CONTROL!$C$42, 695, 695)*CHOOSE(CONTROL!$C$42, 0.5599, 0.5599)*CHOOSE(CONTROL!$C$42, 30, 30))/1000000</f>
        <v>11.673914999999997</v>
      </c>
      <c r="V287" s="58">
        <f>(1000*CHOOSE(CONTROL!$C$42, 500, 500)*CHOOSE(CONTROL!$C$42, 0.275, 0.275)*CHOOSE(CONTROL!$C$42, 30, 30))/1000000</f>
        <v>4.125</v>
      </c>
      <c r="W287" s="58">
        <f>(1000*CHOOSE(CONTROL!$C$42, 0.1146, 0.1146)*CHOOSE(CONTROL!$C$42, 121.5, 121.5)*CHOOSE(CONTROL!$C$42, 30, 30))/1000000</f>
        <v>0.417717</v>
      </c>
      <c r="X287" s="58">
        <f>(30*0.1790888*100000/1000000)+(30*0.2374*100000/1000000)</f>
        <v>1.2494664</v>
      </c>
      <c r="Y287" s="58"/>
      <c r="Z287" s="10"/>
      <c r="AA287" s="57"/>
      <c r="AB287" s="51">
        <f>(B287*122.58+C287*297.941+D287*89.177+E287*40.302+F287*40+G287*160+H287*0+I287*100+J287*300)/(122.58+297.941+89.177+40.302+0+40+160+100+300)</f>
        <v>8.8694425095652196</v>
      </c>
      <c r="AC287" s="27">
        <f>(M287*'RAP TEMPLATE-GAS AVAILABILITY'!O286+N287*'RAP TEMPLATE-GAS AVAILABILITY'!P286+O287*'RAP TEMPLATE-GAS AVAILABILITY'!Q286+P287*'RAP TEMPLATE-GAS AVAILABILITY'!R286)/('RAP TEMPLATE-GAS AVAILABILITY'!O286+'RAP TEMPLATE-GAS AVAILABILITY'!P286+'RAP TEMPLATE-GAS AVAILABILITY'!Q286+'RAP TEMPLATE-GAS AVAILABILITY'!R286)</f>
        <v>8.8099474820143886</v>
      </c>
    </row>
    <row r="288" spans="1:29" ht="15.75" x14ac:dyDescent="0.25">
      <c r="A288" s="15">
        <v>49644</v>
      </c>
      <c r="B288" s="10">
        <f>CHOOSE(CONTROL!$C$42, 9.4854, 9.4854) * CHOOSE(CONTROL!$C$21, $C$9, 100%, $E$9)</f>
        <v>9.4854000000000003</v>
      </c>
      <c r="C288" s="10">
        <f>CHOOSE(CONTROL!$C$42, 9.4903, 9.4903) * CHOOSE(CONTROL!$C$21, $C$9, 100%, $E$9)</f>
        <v>9.4902999999999995</v>
      </c>
      <c r="D288" s="10">
        <f>CHOOSE(CONTROL!$C$42, 9.5199, 9.5199) * CHOOSE(CONTROL!$C$21, $C$9, 100%, $E$9)</f>
        <v>9.5198999999999998</v>
      </c>
      <c r="E288" s="10">
        <f>CHOOSE(CONTROL!$C$42, 9.5537, 9.5537) * CHOOSE(CONTROL!$C$21, $C$9, 100%, $E$9)</f>
        <v>9.5536999999999992</v>
      </c>
      <c r="F288" s="10">
        <f>CHOOSE(CONTROL!$C$42, 9.4536, 9.4536)*CHOOSE(CONTROL!$C$21, $C$9, 100%, $E$9)</f>
        <v>9.4535999999999998</v>
      </c>
      <c r="G288" s="10">
        <f>CHOOSE(CONTROL!$C$42, 9.4711, 9.4711)*CHOOSE(CONTROL!$C$21, $C$9, 100%, $E$9)</f>
        <v>9.4710999999999999</v>
      </c>
      <c r="H288" s="10">
        <f>CHOOSE(CONTROL!$C$42, 9.5429, 9.5429) * CHOOSE(CONTROL!$C$21, $C$9, 100%, $E$9)</f>
        <v>9.5428999999999995</v>
      </c>
      <c r="I288" s="10">
        <f>CHOOSE(CONTROL!$C$42, 9.449, 9.449)* CHOOSE(CONTROL!$C$21, $C$9, 100%, $E$9)</f>
        <v>9.4489999999999998</v>
      </c>
      <c r="J288" s="10">
        <f>CHOOSE(CONTROL!$C$42, 9.4466, 9.4466)* CHOOSE(CONTROL!$C$21, $C$9, 100%, $E$9)</f>
        <v>9.4466000000000001</v>
      </c>
      <c r="K288" s="54">
        <f>CHOOSE(CONTROL!$C$42, 9.4451, 9.4451) * CHOOSE(CONTROL!$C$21, $C$9, 100%, $E$9)</f>
        <v>9.4451000000000001</v>
      </c>
      <c r="L288" s="10">
        <f>CHOOSE(CONTROL!$C$42, 10.1299, 10.1299) * CHOOSE(CONTROL!$C$21, $C$9, 100%, $E$9)</f>
        <v>10.129899999999999</v>
      </c>
      <c r="M288" s="10">
        <f>CHOOSE(CONTROL!$C$42, 9.3651, 9.3651) * CHOOSE(CONTROL!$C$21, $C$9, 100%, $E$9)</f>
        <v>9.3651</v>
      </c>
      <c r="N288" s="10">
        <f>CHOOSE(CONTROL!$C$42, 9.3824, 9.3824) * CHOOSE(CONTROL!$C$21, $C$9, 100%, $E$9)</f>
        <v>9.3824000000000005</v>
      </c>
      <c r="O288" s="10">
        <f>CHOOSE(CONTROL!$C$42, 9.4604, 9.4604) * CHOOSE(CONTROL!$C$21, $C$9, 100%, $E$9)</f>
        <v>9.4603999999999999</v>
      </c>
      <c r="P288" s="10">
        <f>CHOOSE(CONTROL!$C$42, 9.3675, 9.3675) * CHOOSE(CONTROL!$C$21, $C$9, 100%, $E$9)</f>
        <v>9.3674999999999997</v>
      </c>
      <c r="Q288" s="10">
        <f>CHOOSE(CONTROL!$C$42, 10.0557, 10.0557) * CHOOSE(CONTROL!$C$21, $C$9, 100%, $E$9)</f>
        <v>10.0557</v>
      </c>
      <c r="R288" s="10">
        <f>CHOOSE(CONTROL!$C$42, 10.6679, 10.6679) * CHOOSE(CONTROL!$C$21, $C$9, 100%, $E$9)</f>
        <v>10.667899999999999</v>
      </c>
      <c r="S288" s="10">
        <f>CHOOSE(CONTROL!$C$42, 9.2091, 9.2091) * CHOOSE(CONTROL!$C$21, $C$9, 100%, $E$9)</f>
        <v>9.2090999999999994</v>
      </c>
      <c r="T288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288" s="58">
        <f>(1000*CHOOSE(CONTROL!$C$42, 695, 695)*CHOOSE(CONTROL!$C$42, 0.5599, 0.5599)*CHOOSE(CONTROL!$C$42, 31, 31))/1000000</f>
        <v>12.063045499999998</v>
      </c>
      <c r="V288" s="58">
        <f>(1000*CHOOSE(CONTROL!$C$42, 500, 500)*CHOOSE(CONTROL!$C$42, 0.275, 0.275)*CHOOSE(CONTROL!$C$42, 31, 31))/1000000</f>
        <v>4.2625000000000002</v>
      </c>
      <c r="W288" s="58">
        <f>(1000*CHOOSE(CONTROL!$C$42, 0.1146, 0.1146)*CHOOSE(CONTROL!$C$42, 121.5, 121.5)*CHOOSE(CONTROL!$C$42, 31, 31))/1000000</f>
        <v>0.43164089999999994</v>
      </c>
      <c r="X288" s="58">
        <f>(31*0.1790888*100000/1000000)+(31*0.2374*100000/1000000)</f>
        <v>1.2911152800000001</v>
      </c>
      <c r="Y288" s="58"/>
      <c r="Z288" s="10"/>
      <c r="AA288" s="57"/>
      <c r="AB288" s="51">
        <f>(B288*122.58+C288*297.941+D288*89.177+E288*40.302+F288*40+G288*160+H288*0+I288*100+J288*300)/(122.58+297.941+89.177+40.302+0+40+160+100+300)</f>
        <v>9.4753557773913037</v>
      </c>
      <c r="AC288" s="27">
        <f>(M288*'RAP TEMPLATE-GAS AVAILABILITY'!O287+N288*'RAP TEMPLATE-GAS AVAILABILITY'!P287+O288*'RAP TEMPLATE-GAS AVAILABILITY'!Q287+P288*'RAP TEMPLATE-GAS AVAILABILITY'!R287)/('RAP TEMPLATE-GAS AVAILABILITY'!O287+'RAP TEMPLATE-GAS AVAILABILITY'!P287+'RAP TEMPLATE-GAS AVAILABILITY'!Q287+'RAP TEMPLATE-GAS AVAILABILITY'!R287)</f>
        <v>9.4096345323741009</v>
      </c>
    </row>
    <row r="289" spans="1:29" ht="15.75" x14ac:dyDescent="0.25">
      <c r="A289" s="15">
        <v>49675</v>
      </c>
      <c r="B289" s="10">
        <f>CHOOSE(CONTROL!$C$42, 10.2623, 10.2623) * CHOOSE(CONTROL!$C$21, $C$9, 100%, $E$9)</f>
        <v>10.2623</v>
      </c>
      <c r="C289" s="10">
        <f>CHOOSE(CONTROL!$C$42, 10.2673, 10.2673) * CHOOSE(CONTROL!$C$21, $C$9, 100%, $E$9)</f>
        <v>10.267300000000001</v>
      </c>
      <c r="D289" s="10">
        <f>CHOOSE(CONTROL!$C$42, 10.3175, 10.3175) * CHOOSE(CONTROL!$C$21, $C$9, 100%, $E$9)</f>
        <v>10.317500000000001</v>
      </c>
      <c r="E289" s="10">
        <f>CHOOSE(CONTROL!$C$42, 10.3513, 10.3513) * CHOOSE(CONTROL!$C$21, $C$9, 100%, $E$9)</f>
        <v>10.3513</v>
      </c>
      <c r="F289" s="10">
        <f>CHOOSE(CONTROL!$C$42, 10.2277, 10.2277)*CHOOSE(CONTROL!$C$21, $C$9, 100%, $E$9)</f>
        <v>10.2277</v>
      </c>
      <c r="G289" s="10">
        <f>CHOOSE(CONTROL!$C$42, 10.2453, 10.2453)*CHOOSE(CONTROL!$C$21, $C$9, 100%, $E$9)</f>
        <v>10.2453</v>
      </c>
      <c r="H289" s="10">
        <f>CHOOSE(CONTROL!$C$42, 10.3405, 10.3405) * CHOOSE(CONTROL!$C$21, $C$9, 100%, $E$9)</f>
        <v>10.3405</v>
      </c>
      <c r="I289" s="10">
        <f>CHOOSE(CONTROL!$C$42, 10.2362, 10.2362)* CHOOSE(CONTROL!$C$21, $C$9, 100%, $E$9)</f>
        <v>10.2362</v>
      </c>
      <c r="J289" s="10">
        <f>CHOOSE(CONTROL!$C$42, 10.2207, 10.2207)* CHOOSE(CONTROL!$C$21, $C$9, 100%, $E$9)</f>
        <v>10.220700000000001</v>
      </c>
      <c r="K289" s="54">
        <f>CHOOSE(CONTROL!$C$42, 10.2323, 10.2323) * CHOOSE(CONTROL!$C$21, $C$9, 100%, $E$9)</f>
        <v>10.2323</v>
      </c>
      <c r="L289" s="10">
        <f>CHOOSE(CONTROL!$C$42, 10.9275, 10.9275) * CHOOSE(CONTROL!$C$21, $C$9, 100%, $E$9)</f>
        <v>10.9275</v>
      </c>
      <c r="M289" s="10">
        <f>CHOOSE(CONTROL!$C$42, 10.1314, 10.1314) * CHOOSE(CONTROL!$C$21, $C$9, 100%, $E$9)</f>
        <v>10.131399999999999</v>
      </c>
      <c r="N289" s="10">
        <f>CHOOSE(CONTROL!$C$42, 10.1488, 10.1488) * CHOOSE(CONTROL!$C$21, $C$9, 100%, $E$9)</f>
        <v>10.1488</v>
      </c>
      <c r="O289" s="10">
        <f>CHOOSE(CONTROL!$C$42, 10.2499, 10.2499) * CHOOSE(CONTROL!$C$21, $C$9, 100%, $E$9)</f>
        <v>10.2499</v>
      </c>
      <c r="P289" s="10">
        <f>CHOOSE(CONTROL!$C$42, 10.1468, 10.1468) * CHOOSE(CONTROL!$C$21, $C$9, 100%, $E$9)</f>
        <v>10.146800000000001</v>
      </c>
      <c r="Q289" s="10">
        <f>CHOOSE(CONTROL!$C$42, 10.8452, 10.8452) * CHOOSE(CONTROL!$C$21, $C$9, 100%, $E$9)</f>
        <v>10.8452</v>
      </c>
      <c r="R289" s="10">
        <f>CHOOSE(CONTROL!$C$42, 11.4594, 11.4594) * CHOOSE(CONTROL!$C$21, $C$9, 100%, $E$9)</f>
        <v>11.4594</v>
      </c>
      <c r="S289" s="10">
        <f>CHOOSE(CONTROL!$C$42, 9.9636, 9.9636) * CHOOSE(CONTROL!$C$21, $C$9, 100%, $E$9)</f>
        <v>9.9635999999999996</v>
      </c>
      <c r="T289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289" s="58">
        <f>(1000*CHOOSE(CONTROL!$C$42, 695, 695)*CHOOSE(CONTROL!$C$42, 0.5599, 0.5599)*CHOOSE(CONTROL!$C$42, 31, 31))/1000000</f>
        <v>12.063045499999998</v>
      </c>
      <c r="V289" s="58">
        <f>(1000*CHOOSE(CONTROL!$C$42, 500, 500)*CHOOSE(CONTROL!$C$42, 0.275, 0.275)*CHOOSE(CONTROL!$C$42, 31, 31))/1000000</f>
        <v>4.2625000000000002</v>
      </c>
      <c r="W289" s="58">
        <f>(1000*CHOOSE(CONTROL!$C$42, 0.1146, 0.1146)*CHOOSE(CONTROL!$C$42, 121.5, 121.5)*CHOOSE(CONTROL!$C$42, 31, 31))/1000000</f>
        <v>0.43164089999999994</v>
      </c>
      <c r="X289" s="58">
        <f>(31*0.1790888*100000/1000000)+(31*0.2374*100000/1000000)</f>
        <v>1.2911152800000001</v>
      </c>
      <c r="Y289" s="58"/>
      <c r="Z289" s="10"/>
      <c r="AA289" s="57"/>
      <c r="AB289" s="51">
        <f>(B289*122.58+C289*297.941+D289*89.177+E289*40.302+F289*40+G289*160+H289*0+I289*100+J289*300)/(122.58+297.941+89.177+40.302+0+40+160+100+300)</f>
        <v>10.254304481217392</v>
      </c>
      <c r="AC289" s="27">
        <f>(M289*'RAP TEMPLATE-GAS AVAILABILITY'!O288+N289*'RAP TEMPLATE-GAS AVAILABILITY'!P288+O289*'RAP TEMPLATE-GAS AVAILABILITY'!Q288+P289*'RAP TEMPLATE-GAS AVAILABILITY'!R288)/('RAP TEMPLATE-GAS AVAILABILITY'!O288+'RAP TEMPLATE-GAS AVAILABILITY'!P288+'RAP TEMPLATE-GAS AVAILABILITY'!Q288+'RAP TEMPLATE-GAS AVAILABILITY'!R288)</f>
        <v>10.188325899280576</v>
      </c>
    </row>
    <row r="290" spans="1:29" ht="15.75" x14ac:dyDescent="0.25">
      <c r="A290" s="15">
        <v>49706</v>
      </c>
      <c r="B290" s="10">
        <f>CHOOSE(CONTROL!$C$42, 10.445, 10.445) * CHOOSE(CONTROL!$C$21, $C$9, 100%, $E$9)</f>
        <v>10.445</v>
      </c>
      <c r="C290" s="10">
        <f>CHOOSE(CONTROL!$C$42, 10.4499, 10.4499) * CHOOSE(CONTROL!$C$21, $C$9, 100%, $E$9)</f>
        <v>10.4499</v>
      </c>
      <c r="D290" s="10">
        <f>CHOOSE(CONTROL!$C$42, 10.5104, 10.5104) * CHOOSE(CONTROL!$C$21, $C$9, 100%, $E$9)</f>
        <v>10.510400000000001</v>
      </c>
      <c r="E290" s="10">
        <f>CHOOSE(CONTROL!$C$42, 10.5442, 10.5442) * CHOOSE(CONTROL!$C$21, $C$9, 100%, $E$9)</f>
        <v>10.5442</v>
      </c>
      <c r="F290" s="10">
        <f>CHOOSE(CONTROL!$C$42, 10.4382, 10.4382)*CHOOSE(CONTROL!$C$21, $C$9, 100%, $E$9)</f>
        <v>10.4382</v>
      </c>
      <c r="G290" s="10">
        <f>CHOOSE(CONTROL!$C$42, 10.4555, 10.4555)*CHOOSE(CONTROL!$C$21, $C$9, 100%, $E$9)</f>
        <v>10.455500000000001</v>
      </c>
      <c r="H290" s="10">
        <f>CHOOSE(CONTROL!$C$42, 10.5334, 10.5334) * CHOOSE(CONTROL!$C$21, $C$9, 100%, $E$9)</f>
        <v>10.5334</v>
      </c>
      <c r="I290" s="10">
        <f>CHOOSE(CONTROL!$C$42, 10.4317, 10.4317)* CHOOSE(CONTROL!$C$21, $C$9, 100%, $E$9)</f>
        <v>10.431699999999999</v>
      </c>
      <c r="J290" s="10">
        <f>CHOOSE(CONTROL!$C$42, 10.4312, 10.4312)* CHOOSE(CONTROL!$C$21, $C$9, 100%, $E$9)</f>
        <v>10.4312</v>
      </c>
      <c r="K290" s="54">
        <f>CHOOSE(CONTROL!$C$42, 10.4278, 10.4278) * CHOOSE(CONTROL!$C$21, $C$9, 100%, $E$9)</f>
        <v>10.4278</v>
      </c>
      <c r="L290" s="10">
        <f>CHOOSE(CONTROL!$C$42, 11.1204, 11.1204) * CHOOSE(CONTROL!$C$21, $C$9, 100%, $E$9)</f>
        <v>11.1204</v>
      </c>
      <c r="M290" s="10">
        <f>CHOOSE(CONTROL!$C$42, 10.3398, 10.3398) * CHOOSE(CONTROL!$C$21, $C$9, 100%, $E$9)</f>
        <v>10.3398</v>
      </c>
      <c r="N290" s="10">
        <f>CHOOSE(CONTROL!$C$42, 10.3569, 10.3569) * CHOOSE(CONTROL!$C$21, $C$9, 100%, $E$9)</f>
        <v>10.3569</v>
      </c>
      <c r="O290" s="10">
        <f>CHOOSE(CONTROL!$C$42, 10.4409, 10.4409) * CHOOSE(CONTROL!$C$21, $C$9, 100%, $E$9)</f>
        <v>10.440899999999999</v>
      </c>
      <c r="P290" s="10">
        <f>CHOOSE(CONTROL!$C$42, 10.3403, 10.3403) * CHOOSE(CONTROL!$C$21, $C$9, 100%, $E$9)</f>
        <v>10.340299999999999</v>
      </c>
      <c r="Q290" s="10">
        <f>CHOOSE(CONTROL!$C$42, 11.0362, 11.0362) * CHOOSE(CONTROL!$C$21, $C$9, 100%, $E$9)</f>
        <v>11.036199999999999</v>
      </c>
      <c r="R290" s="10">
        <f>CHOOSE(CONTROL!$C$42, 11.6508, 11.6508) * CHOOSE(CONTROL!$C$21, $C$9, 100%, $E$9)</f>
        <v>11.6508</v>
      </c>
      <c r="S290" s="10">
        <f>CHOOSE(CONTROL!$C$42, 10.141, 10.141) * CHOOSE(CONTROL!$C$21, $C$9, 100%, $E$9)</f>
        <v>10.141</v>
      </c>
      <c r="T290" s="5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290" s="58">
        <f>(1000*CHOOSE(CONTROL!$C$42, 695, 695)*CHOOSE(CONTROL!$C$42, 0.5599, 0.5599)*CHOOSE(CONTROL!$C$42, 29, 29))/1000000</f>
        <v>11.284784499999999</v>
      </c>
      <c r="V290" s="58">
        <f>(1000*CHOOSE(CONTROL!$C$42, 500, 500)*CHOOSE(CONTROL!$C$42, 0.275, 0.275)*CHOOSE(CONTROL!$C$42, 29, 29))/1000000</f>
        <v>3.9874999999999998</v>
      </c>
      <c r="W290" s="58">
        <f>(1000*CHOOSE(CONTROL!$C$42, 0.1146, 0.1146)*CHOOSE(CONTROL!$C$42, 121.5, 121.5)*CHOOSE(CONTROL!$C$42, 29, 29))/1000000</f>
        <v>0.40379309999999996</v>
      </c>
      <c r="X290" s="58">
        <f>(29*0.1790888*100000/1000000)+(29*0.2374*100000/1000000)</f>
        <v>1.2078175199999999</v>
      </c>
      <c r="Y290" s="58"/>
      <c r="Z290" s="10"/>
      <c r="AA290" s="57"/>
      <c r="AB290" s="51">
        <f>(B290*122.58+C290*297.941+D290*89.177+E290*40.302+F290*40+G290*160+H290*0+I290*100+J290*300)/(122.58+297.941+89.177+40.302+0+40+160+100+300)</f>
        <v>10.451285256608696</v>
      </c>
      <c r="AC290" s="27">
        <f>(M290*'RAP TEMPLATE-GAS AVAILABILITY'!O289+N290*'RAP TEMPLATE-GAS AVAILABILITY'!P289+O290*'RAP TEMPLATE-GAS AVAILABILITY'!Q289+P290*'RAP TEMPLATE-GAS AVAILABILITY'!R289)/('RAP TEMPLATE-GAS AVAILABILITY'!O289+'RAP TEMPLATE-GAS AVAILABILITY'!P289+'RAP TEMPLATE-GAS AVAILABILITY'!Q289+'RAP TEMPLATE-GAS AVAILABILITY'!R289)</f>
        <v>10.386678417266186</v>
      </c>
    </row>
    <row r="291" spans="1:29" ht="15.75" x14ac:dyDescent="0.25">
      <c r="A291" s="15">
        <v>49735</v>
      </c>
      <c r="B291" s="10">
        <f>CHOOSE(CONTROL!$C$42, 10.1485, 10.1485) * CHOOSE(CONTROL!$C$21, $C$9, 100%, $E$9)</f>
        <v>10.1485</v>
      </c>
      <c r="C291" s="10">
        <f>CHOOSE(CONTROL!$C$42, 10.1535, 10.1535) * CHOOSE(CONTROL!$C$21, $C$9, 100%, $E$9)</f>
        <v>10.153499999999999</v>
      </c>
      <c r="D291" s="10">
        <f>CHOOSE(CONTROL!$C$42, 10.214, 10.214) * CHOOSE(CONTROL!$C$21, $C$9, 100%, $E$9)</f>
        <v>10.214</v>
      </c>
      <c r="E291" s="10">
        <f>CHOOSE(CONTROL!$C$42, 10.2477, 10.2477) * CHOOSE(CONTROL!$C$21, $C$9, 100%, $E$9)</f>
        <v>10.2477</v>
      </c>
      <c r="F291" s="10">
        <f>CHOOSE(CONTROL!$C$42, 10.1362, 10.1362)*CHOOSE(CONTROL!$C$21, $C$9, 100%, $E$9)</f>
        <v>10.136200000000001</v>
      </c>
      <c r="G291" s="10">
        <f>CHOOSE(CONTROL!$C$42, 10.1534, 10.1534)*CHOOSE(CONTROL!$C$21, $C$9, 100%, $E$9)</f>
        <v>10.1534</v>
      </c>
      <c r="H291" s="10">
        <f>CHOOSE(CONTROL!$C$42, 10.2369, 10.2369) * CHOOSE(CONTROL!$C$21, $C$9, 100%, $E$9)</f>
        <v>10.2369</v>
      </c>
      <c r="I291" s="10">
        <f>CHOOSE(CONTROL!$C$42, 10.1224, 10.1224)* CHOOSE(CONTROL!$C$21, $C$9, 100%, $E$9)</f>
        <v>10.122400000000001</v>
      </c>
      <c r="J291" s="10">
        <f>CHOOSE(CONTROL!$C$42, 10.1292, 10.1292)* CHOOSE(CONTROL!$C$21, $C$9, 100%, $E$9)</f>
        <v>10.129200000000001</v>
      </c>
      <c r="K291" s="54">
        <f>CHOOSE(CONTROL!$C$42, 10.1185, 10.1185) * CHOOSE(CONTROL!$C$21, $C$9, 100%, $E$9)</f>
        <v>10.118499999999999</v>
      </c>
      <c r="L291" s="10">
        <f>CHOOSE(CONTROL!$C$42, 10.8239, 10.8239) * CHOOSE(CONTROL!$C$21, $C$9, 100%, $E$9)</f>
        <v>10.8239</v>
      </c>
      <c r="M291" s="10">
        <f>CHOOSE(CONTROL!$C$42, 10.0408, 10.0408) * CHOOSE(CONTROL!$C$21, $C$9, 100%, $E$9)</f>
        <v>10.040800000000001</v>
      </c>
      <c r="N291" s="10">
        <f>CHOOSE(CONTROL!$C$42, 10.0579, 10.0579) * CHOOSE(CONTROL!$C$21, $C$9, 100%, $E$9)</f>
        <v>10.0579</v>
      </c>
      <c r="O291" s="10">
        <f>CHOOSE(CONTROL!$C$42, 10.1475, 10.1475) * CHOOSE(CONTROL!$C$21, $C$9, 100%, $E$9)</f>
        <v>10.147500000000001</v>
      </c>
      <c r="P291" s="10">
        <f>CHOOSE(CONTROL!$C$42, 10.0341, 10.0341) * CHOOSE(CONTROL!$C$21, $C$9, 100%, $E$9)</f>
        <v>10.0341</v>
      </c>
      <c r="Q291" s="10">
        <f>CHOOSE(CONTROL!$C$42, 10.7428, 10.7428) * CHOOSE(CONTROL!$C$21, $C$9, 100%, $E$9)</f>
        <v>10.742800000000001</v>
      </c>
      <c r="R291" s="10">
        <f>CHOOSE(CONTROL!$C$42, 11.3566, 11.3566) * CHOOSE(CONTROL!$C$21, $C$9, 100%, $E$9)</f>
        <v>11.3566</v>
      </c>
      <c r="S291" s="10">
        <f>CHOOSE(CONTROL!$C$42, 9.8531, 9.8531) * CHOOSE(CONTROL!$C$21, $C$9, 100%, $E$9)</f>
        <v>9.8530999999999995</v>
      </c>
      <c r="T291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291" s="58">
        <f>(1000*CHOOSE(CONTROL!$C$42, 695, 695)*CHOOSE(CONTROL!$C$42, 0.5599, 0.5599)*CHOOSE(CONTROL!$C$42, 31, 31))/1000000</f>
        <v>12.063045499999998</v>
      </c>
      <c r="V291" s="58">
        <f>(1000*CHOOSE(CONTROL!$C$42, 500, 500)*CHOOSE(CONTROL!$C$42, 0.275, 0.275)*CHOOSE(CONTROL!$C$42, 31, 31))/1000000</f>
        <v>4.2625000000000002</v>
      </c>
      <c r="W291" s="58">
        <f>(1000*CHOOSE(CONTROL!$C$42, 0.1146, 0.1146)*CHOOSE(CONTROL!$C$42, 121.5, 121.5)*CHOOSE(CONTROL!$C$42, 31, 31))/1000000</f>
        <v>0.43164089999999994</v>
      </c>
      <c r="X291" s="58">
        <f>(31*0.1790888*100000/1000000)+(31*0.2374*100000/1000000)</f>
        <v>1.2911152800000001</v>
      </c>
      <c r="Y291" s="58"/>
      <c r="Z291" s="10"/>
      <c r="AA291" s="57"/>
      <c r="AB291" s="51">
        <f>(B291*122.58+C291*297.941+D291*89.177+E291*40.302+F291*40+G291*160+H291*0+I291*100+J291*300)/(122.58+297.941+89.177+40.302+0+40+160+100+300)</f>
        <v>10.151300658173914</v>
      </c>
      <c r="AC291" s="27">
        <f>(M291*'RAP TEMPLATE-GAS AVAILABILITY'!O290+N291*'RAP TEMPLATE-GAS AVAILABILITY'!P290+O291*'RAP TEMPLATE-GAS AVAILABILITY'!Q290+P291*'RAP TEMPLATE-GAS AVAILABILITY'!R290)/('RAP TEMPLATE-GAS AVAILABILITY'!O290+'RAP TEMPLATE-GAS AVAILABILITY'!P290+'RAP TEMPLATE-GAS AVAILABILITY'!Q290+'RAP TEMPLATE-GAS AVAILABILITY'!R290)</f>
        <v>10.089180575539569</v>
      </c>
    </row>
    <row r="292" spans="1:29" ht="15.75" x14ac:dyDescent="0.25">
      <c r="A292" s="15">
        <v>49766</v>
      </c>
      <c r="B292" s="10">
        <f>CHOOSE(CONTROL!$C$42, 10.1193, 10.1193) * CHOOSE(CONTROL!$C$21, $C$9, 100%, $E$9)</f>
        <v>10.119300000000001</v>
      </c>
      <c r="C292" s="10">
        <f>CHOOSE(CONTROL!$C$42, 10.1237, 10.1237) * CHOOSE(CONTROL!$C$21, $C$9, 100%, $E$9)</f>
        <v>10.123699999999999</v>
      </c>
      <c r="D292" s="10">
        <f>CHOOSE(CONTROL!$C$42, 10.3193, 10.3193) * CHOOSE(CONTROL!$C$21, $C$9, 100%, $E$9)</f>
        <v>10.3193</v>
      </c>
      <c r="E292" s="10">
        <f>CHOOSE(CONTROL!$C$42, 10.351, 10.351) * CHOOSE(CONTROL!$C$21, $C$9, 100%, $E$9)</f>
        <v>10.351000000000001</v>
      </c>
      <c r="F292" s="10">
        <f>CHOOSE(CONTROL!$C$42, 10.0871, 10.0871)*CHOOSE(CONTROL!$C$21, $C$9, 100%, $E$9)</f>
        <v>10.0871</v>
      </c>
      <c r="G292" s="10">
        <f>CHOOSE(CONTROL!$C$42, 10.1039, 10.1039)*CHOOSE(CONTROL!$C$21, $C$9, 100%, $E$9)</f>
        <v>10.103899999999999</v>
      </c>
      <c r="H292" s="10">
        <f>CHOOSE(CONTROL!$C$42, 10.3408, 10.3408) * CHOOSE(CONTROL!$C$21, $C$9, 100%, $E$9)</f>
        <v>10.3408</v>
      </c>
      <c r="I292" s="10">
        <f>CHOOSE(CONTROL!$C$42, 10.0873, 10.0873)* CHOOSE(CONTROL!$C$21, $C$9, 100%, $E$9)</f>
        <v>10.087300000000001</v>
      </c>
      <c r="J292" s="10">
        <f>CHOOSE(CONTROL!$C$42, 10.0801, 10.0801)* CHOOSE(CONTROL!$C$21, $C$9, 100%, $E$9)</f>
        <v>10.0801</v>
      </c>
      <c r="K292" s="54">
        <f>CHOOSE(CONTROL!$C$42, 10.0834, 10.0834) * CHOOSE(CONTROL!$C$21, $C$9, 100%, $E$9)</f>
        <v>10.083399999999999</v>
      </c>
      <c r="L292" s="10">
        <f>CHOOSE(CONTROL!$C$42, 10.9278, 10.9278) * CHOOSE(CONTROL!$C$21, $C$9, 100%, $E$9)</f>
        <v>10.9278</v>
      </c>
      <c r="M292" s="10">
        <f>CHOOSE(CONTROL!$C$42, 9.9922, 9.9922) * CHOOSE(CONTROL!$C$21, $C$9, 100%, $E$9)</f>
        <v>9.9922000000000004</v>
      </c>
      <c r="N292" s="10">
        <f>CHOOSE(CONTROL!$C$42, 10.0088, 10.0088) * CHOOSE(CONTROL!$C$21, $C$9, 100%, $E$9)</f>
        <v>10.008800000000001</v>
      </c>
      <c r="O292" s="10">
        <f>CHOOSE(CONTROL!$C$42, 10.2503, 10.2503) * CHOOSE(CONTROL!$C$21, $C$9, 100%, $E$9)</f>
        <v>10.250299999999999</v>
      </c>
      <c r="P292" s="10">
        <f>CHOOSE(CONTROL!$C$42, 9.9993, 9.9993) * CHOOSE(CONTROL!$C$21, $C$9, 100%, $E$9)</f>
        <v>9.9992999999999999</v>
      </c>
      <c r="Q292" s="10">
        <f>CHOOSE(CONTROL!$C$42, 10.8456, 10.8456) * CHOOSE(CONTROL!$C$21, $C$9, 100%, $E$9)</f>
        <v>10.845599999999999</v>
      </c>
      <c r="R292" s="10">
        <f>CHOOSE(CONTROL!$C$42, 11.4597, 11.4597) * CHOOSE(CONTROL!$C$21, $C$9, 100%, $E$9)</f>
        <v>11.4597</v>
      </c>
      <c r="S292" s="10">
        <f>CHOOSE(CONTROL!$C$42, 9.824, 9.824) * CHOOSE(CONTROL!$C$21, $C$9, 100%, $E$9)</f>
        <v>9.8239999999999998</v>
      </c>
      <c r="T292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292" s="58">
        <f>(1000*CHOOSE(CONTROL!$C$42, 695, 695)*CHOOSE(CONTROL!$C$42, 0.5599, 0.5599)*CHOOSE(CONTROL!$C$42, 30, 30))/1000000</f>
        <v>11.673914999999997</v>
      </c>
      <c r="V292" s="58">
        <f>(1000*CHOOSE(CONTROL!$C$42, 500, 500)*CHOOSE(CONTROL!$C$42, 0.275, 0.275)*CHOOSE(CONTROL!$C$42, 30, 30))/1000000</f>
        <v>4.125</v>
      </c>
      <c r="W292" s="58">
        <f>(1000*CHOOSE(CONTROL!$C$42, 0.1146, 0.1146)*CHOOSE(CONTROL!$C$42, 121.5, 121.5)*CHOOSE(CONTROL!$C$42, 30, 30))/1000000</f>
        <v>0.417717</v>
      </c>
      <c r="X292" s="58">
        <f>(30*0.1790888*245000/1000000)+(30*0.2374*100000/1000000)</f>
        <v>2.0285026799999999</v>
      </c>
      <c r="Y292" s="58"/>
      <c r="Z292" s="10"/>
      <c r="AA292" s="57"/>
      <c r="AB292" s="51">
        <f>(B292*141.293+C292*267.993+D292*115.016+E292*89.698+F292*40+G292*185+H292*0+I292*100+J292*300)/(141.293+267.993+115.016+89.698+0+40+185+100+300)</f>
        <v>10.140178446973364</v>
      </c>
      <c r="AC292" s="27">
        <f>(M292*'RAP TEMPLATE-GAS AVAILABILITY'!O291+N292*'RAP TEMPLATE-GAS AVAILABILITY'!P291+O292*'RAP TEMPLATE-GAS AVAILABILITY'!Q291+P292*'RAP TEMPLATE-GAS AVAILABILITY'!R291)/('RAP TEMPLATE-GAS AVAILABILITY'!O291+'RAP TEMPLATE-GAS AVAILABILITY'!P291+'RAP TEMPLATE-GAS AVAILABILITY'!Q291+'RAP TEMPLATE-GAS AVAILABILITY'!R291)</f>
        <v>10.069459712230216</v>
      </c>
    </row>
    <row r="293" spans="1:29" ht="15.75" x14ac:dyDescent="0.25">
      <c r="A293" s="15">
        <v>49796</v>
      </c>
      <c r="B293" s="10">
        <f>CHOOSE(CONTROL!$C$42, 10.21, 10.21) * CHOOSE(CONTROL!$C$21, $C$9, 100%, $E$9)</f>
        <v>10.210000000000001</v>
      </c>
      <c r="C293" s="10">
        <f>CHOOSE(CONTROL!$C$42, 10.2179, 10.2179) * CHOOSE(CONTROL!$C$21, $C$9, 100%, $E$9)</f>
        <v>10.2179</v>
      </c>
      <c r="D293" s="10">
        <f>CHOOSE(CONTROL!$C$42, 10.4103, 10.4103) * CHOOSE(CONTROL!$C$21, $C$9, 100%, $E$9)</f>
        <v>10.410299999999999</v>
      </c>
      <c r="E293" s="10">
        <f>CHOOSE(CONTROL!$C$42, 10.4415, 10.4415) * CHOOSE(CONTROL!$C$21, $C$9, 100%, $E$9)</f>
        <v>10.4415</v>
      </c>
      <c r="F293" s="10">
        <f>CHOOSE(CONTROL!$C$42, 10.1762, 10.1762)*CHOOSE(CONTROL!$C$21, $C$9, 100%, $E$9)</f>
        <v>10.1762</v>
      </c>
      <c r="G293" s="10">
        <f>CHOOSE(CONTROL!$C$42, 10.1934, 10.1934)*CHOOSE(CONTROL!$C$21, $C$9, 100%, $E$9)</f>
        <v>10.1934</v>
      </c>
      <c r="H293" s="10">
        <f>CHOOSE(CONTROL!$C$42, 10.4301, 10.4301) * CHOOSE(CONTROL!$C$21, $C$9, 100%, $E$9)</f>
        <v>10.430099999999999</v>
      </c>
      <c r="I293" s="10">
        <f>CHOOSE(CONTROL!$C$42, 10.1766, 10.1766)* CHOOSE(CONTROL!$C$21, $C$9, 100%, $E$9)</f>
        <v>10.176600000000001</v>
      </c>
      <c r="J293" s="10">
        <f>CHOOSE(CONTROL!$C$42, 10.1692, 10.1692)* CHOOSE(CONTROL!$C$21, $C$9, 100%, $E$9)</f>
        <v>10.1692</v>
      </c>
      <c r="K293" s="54">
        <f>CHOOSE(CONTROL!$C$42, 10.1727, 10.1727) * CHOOSE(CONTROL!$C$21, $C$9, 100%, $E$9)</f>
        <v>10.172700000000001</v>
      </c>
      <c r="L293" s="10">
        <f>CHOOSE(CONTROL!$C$42, 11.0171, 11.0171) * CHOOSE(CONTROL!$C$21, $C$9, 100%, $E$9)</f>
        <v>11.017099999999999</v>
      </c>
      <c r="M293" s="10">
        <f>CHOOSE(CONTROL!$C$42, 10.0804, 10.0804) * CHOOSE(CONTROL!$C$21, $C$9, 100%, $E$9)</f>
        <v>10.080399999999999</v>
      </c>
      <c r="N293" s="10">
        <f>CHOOSE(CONTROL!$C$42, 10.0974, 10.0974) * CHOOSE(CONTROL!$C$21, $C$9, 100%, $E$9)</f>
        <v>10.0974</v>
      </c>
      <c r="O293" s="10">
        <f>CHOOSE(CONTROL!$C$42, 10.3387, 10.3387) * CHOOSE(CONTROL!$C$21, $C$9, 100%, $E$9)</f>
        <v>10.338699999999999</v>
      </c>
      <c r="P293" s="10">
        <f>CHOOSE(CONTROL!$C$42, 10.0877, 10.0877) * CHOOSE(CONTROL!$C$21, $C$9, 100%, $E$9)</f>
        <v>10.0877</v>
      </c>
      <c r="Q293" s="10">
        <f>CHOOSE(CONTROL!$C$42, 10.934, 10.934) * CHOOSE(CONTROL!$C$21, $C$9, 100%, $E$9)</f>
        <v>10.933999999999999</v>
      </c>
      <c r="R293" s="10">
        <f>CHOOSE(CONTROL!$C$42, 11.5483, 11.5483) * CHOOSE(CONTROL!$C$21, $C$9, 100%, $E$9)</f>
        <v>11.548299999999999</v>
      </c>
      <c r="S293" s="10">
        <f>CHOOSE(CONTROL!$C$42, 9.9107, 9.9107) * CHOOSE(CONTROL!$C$21, $C$9, 100%, $E$9)</f>
        <v>9.9107000000000003</v>
      </c>
      <c r="T293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293" s="58">
        <f>(1000*CHOOSE(CONTROL!$C$42, 695, 695)*CHOOSE(CONTROL!$C$42, 0.5599, 0.5599)*CHOOSE(CONTROL!$C$42, 31, 31))/1000000</f>
        <v>12.063045499999998</v>
      </c>
      <c r="V293" s="58">
        <f>(1000*CHOOSE(CONTROL!$C$42, 500, 500)*CHOOSE(CONTROL!$C$42, 0.275, 0.275)*CHOOSE(CONTROL!$C$42, 31, 31))/1000000</f>
        <v>4.2625000000000002</v>
      </c>
      <c r="W293" s="58">
        <f>(1000*CHOOSE(CONTROL!$C$42, 0.1146, 0.1146)*CHOOSE(CONTROL!$C$42, 121.5, 121.5)*CHOOSE(CONTROL!$C$42, 31, 31))/1000000</f>
        <v>0.43164089999999994</v>
      </c>
      <c r="X293" s="58">
        <f>(31*0.1790888*245000/1000000)+(31*0.2374*100000/1000000)</f>
        <v>2.0961194359999999</v>
      </c>
      <c r="Y293" s="58"/>
      <c r="Z293" s="10"/>
      <c r="AA293" s="57"/>
      <c r="AB293" s="51">
        <f>(B293*194.205+C293*267.466+D293*133.845+E293*53.484+F293*40+G293*185+H293*0+I293*100+J293*300)/(194.205+267.466+133.845+53.484+0+40+185+100+300)</f>
        <v>10.226719529748822</v>
      </c>
      <c r="AC293" s="27">
        <f>(M293*'RAP TEMPLATE-GAS AVAILABILITY'!O292+N293*'RAP TEMPLATE-GAS AVAILABILITY'!P292+O293*'RAP TEMPLATE-GAS AVAILABILITY'!Q292+P293*'RAP TEMPLATE-GAS AVAILABILITY'!R292)/('RAP TEMPLATE-GAS AVAILABILITY'!O292+'RAP TEMPLATE-GAS AVAILABILITY'!P292+'RAP TEMPLATE-GAS AVAILABILITY'!Q292+'RAP TEMPLATE-GAS AVAILABILITY'!R292)</f>
        <v>10.157836690647482</v>
      </c>
    </row>
    <row r="294" spans="1:29" ht="15.75" x14ac:dyDescent="0.25">
      <c r="A294" s="15">
        <v>49827</v>
      </c>
      <c r="B294" s="10">
        <f>CHOOSE(CONTROL!$C$42, 10.4994, 10.4994) * CHOOSE(CONTROL!$C$21, $C$9, 100%, $E$9)</f>
        <v>10.4994</v>
      </c>
      <c r="C294" s="10">
        <f>CHOOSE(CONTROL!$C$42, 10.5074, 10.5074) * CHOOSE(CONTROL!$C$21, $C$9, 100%, $E$9)</f>
        <v>10.507400000000001</v>
      </c>
      <c r="D294" s="10">
        <f>CHOOSE(CONTROL!$C$42, 10.6998, 10.6998) * CHOOSE(CONTROL!$C$21, $C$9, 100%, $E$9)</f>
        <v>10.6998</v>
      </c>
      <c r="E294" s="10">
        <f>CHOOSE(CONTROL!$C$42, 10.7309, 10.7309) * CHOOSE(CONTROL!$C$21, $C$9, 100%, $E$9)</f>
        <v>10.7309</v>
      </c>
      <c r="F294" s="10">
        <f>CHOOSE(CONTROL!$C$42, 10.4659, 10.4659)*CHOOSE(CONTROL!$C$21, $C$9, 100%, $E$9)</f>
        <v>10.4659</v>
      </c>
      <c r="G294" s="10">
        <f>CHOOSE(CONTROL!$C$42, 10.4831, 10.4831)*CHOOSE(CONTROL!$C$21, $C$9, 100%, $E$9)</f>
        <v>10.4831</v>
      </c>
      <c r="H294" s="10">
        <f>CHOOSE(CONTROL!$C$42, 10.7196, 10.7196) * CHOOSE(CONTROL!$C$21, $C$9, 100%, $E$9)</f>
        <v>10.7196</v>
      </c>
      <c r="I294" s="10">
        <f>CHOOSE(CONTROL!$C$42, 10.466, 10.466)* CHOOSE(CONTROL!$C$21, $C$9, 100%, $E$9)</f>
        <v>10.465999999999999</v>
      </c>
      <c r="J294" s="10">
        <f>CHOOSE(CONTROL!$C$42, 10.4589, 10.4589)* CHOOSE(CONTROL!$C$21, $C$9, 100%, $E$9)</f>
        <v>10.4589</v>
      </c>
      <c r="K294" s="54">
        <f>CHOOSE(CONTROL!$C$42, 10.4621, 10.4621) * CHOOSE(CONTROL!$C$21, $C$9, 100%, $E$9)</f>
        <v>10.4621</v>
      </c>
      <c r="L294" s="10">
        <f>CHOOSE(CONTROL!$C$42, 11.3066, 11.3066) * CHOOSE(CONTROL!$C$21, $C$9, 100%, $E$9)</f>
        <v>11.3066</v>
      </c>
      <c r="M294" s="10">
        <f>CHOOSE(CONTROL!$C$42, 10.3672, 10.3672) * CHOOSE(CONTROL!$C$21, $C$9, 100%, $E$9)</f>
        <v>10.3672</v>
      </c>
      <c r="N294" s="10">
        <f>CHOOSE(CONTROL!$C$42, 10.3842, 10.3842) * CHOOSE(CONTROL!$C$21, $C$9, 100%, $E$9)</f>
        <v>10.3842</v>
      </c>
      <c r="O294" s="10">
        <f>CHOOSE(CONTROL!$C$42, 10.6252, 10.6252) * CHOOSE(CONTROL!$C$21, $C$9, 100%, $E$9)</f>
        <v>10.6252</v>
      </c>
      <c r="P294" s="10">
        <f>CHOOSE(CONTROL!$C$42, 10.3743, 10.3743) * CHOOSE(CONTROL!$C$21, $C$9, 100%, $E$9)</f>
        <v>10.3743</v>
      </c>
      <c r="Q294" s="10">
        <f>CHOOSE(CONTROL!$C$42, 11.2205, 11.2205) * CHOOSE(CONTROL!$C$21, $C$9, 100%, $E$9)</f>
        <v>11.220499999999999</v>
      </c>
      <c r="R294" s="10">
        <f>CHOOSE(CONTROL!$C$42, 11.8356, 11.8356) * CHOOSE(CONTROL!$C$21, $C$9, 100%, $E$9)</f>
        <v>11.835599999999999</v>
      </c>
      <c r="S294" s="10">
        <f>CHOOSE(CONTROL!$C$42, 10.1918, 10.1918) * CHOOSE(CONTROL!$C$21, $C$9, 100%, $E$9)</f>
        <v>10.191800000000001</v>
      </c>
      <c r="T294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294" s="58">
        <f>(1000*CHOOSE(CONTROL!$C$42, 695, 695)*CHOOSE(CONTROL!$C$42, 0.5599, 0.5599)*CHOOSE(CONTROL!$C$42, 30, 30))/1000000</f>
        <v>11.673914999999997</v>
      </c>
      <c r="V294" s="58">
        <f>(1000*CHOOSE(CONTROL!$C$42, 500, 500)*CHOOSE(CONTROL!$C$42, 0.275, 0.275)*CHOOSE(CONTROL!$C$42, 30, 30))/1000000</f>
        <v>4.125</v>
      </c>
      <c r="W294" s="58">
        <f>(1000*CHOOSE(CONTROL!$C$42, 0.1146, 0.1146)*CHOOSE(CONTROL!$C$42, 121.5, 121.5)*CHOOSE(CONTROL!$C$42, 30, 30))/1000000</f>
        <v>0.417717</v>
      </c>
      <c r="X294" s="58">
        <f>(30*0.1790888*245000/1000000)+(30*0.2374*100000/1000000)</f>
        <v>2.0285026799999999</v>
      </c>
      <c r="Y294" s="58"/>
      <c r="Z294" s="10"/>
      <c r="AA294" s="57"/>
      <c r="AB294" s="51">
        <f>(B294*194.205+C294*267.466+D294*133.845+E294*53.484+F294*40+G294*185+H294*0+I294*100+J294*300)/(194.205+267.466+133.845+53.484+0+40+185+100+300)</f>
        <v>10.516274656200942</v>
      </c>
      <c r="AC294" s="27">
        <f>(M294*'RAP TEMPLATE-GAS AVAILABILITY'!O293+N294*'RAP TEMPLATE-GAS AVAILABILITY'!P293+O294*'RAP TEMPLATE-GAS AVAILABILITY'!Q293+P294*'RAP TEMPLATE-GAS AVAILABILITY'!R293)/('RAP TEMPLATE-GAS AVAILABILITY'!O293+'RAP TEMPLATE-GAS AVAILABILITY'!P293+'RAP TEMPLATE-GAS AVAILABILITY'!Q293+'RAP TEMPLATE-GAS AVAILABILITY'!R293)</f>
        <v>10.444523741007195</v>
      </c>
    </row>
    <row r="295" spans="1:29" ht="15.75" x14ac:dyDescent="0.25">
      <c r="A295" s="15">
        <v>49857</v>
      </c>
      <c r="B295" s="10">
        <f>CHOOSE(CONTROL!$C$42, 10.2981, 10.2981) * CHOOSE(CONTROL!$C$21, $C$9, 100%, $E$9)</f>
        <v>10.2981</v>
      </c>
      <c r="C295" s="10">
        <f>CHOOSE(CONTROL!$C$42, 10.306, 10.306) * CHOOSE(CONTROL!$C$21, $C$9, 100%, $E$9)</f>
        <v>10.305999999999999</v>
      </c>
      <c r="D295" s="10">
        <f>CHOOSE(CONTROL!$C$42, 10.4985, 10.4985) * CHOOSE(CONTROL!$C$21, $C$9, 100%, $E$9)</f>
        <v>10.4985</v>
      </c>
      <c r="E295" s="10">
        <f>CHOOSE(CONTROL!$C$42, 10.5296, 10.5296) * CHOOSE(CONTROL!$C$21, $C$9, 100%, $E$9)</f>
        <v>10.5296</v>
      </c>
      <c r="F295" s="10">
        <f>CHOOSE(CONTROL!$C$42, 10.265, 10.265)*CHOOSE(CONTROL!$C$21, $C$9, 100%, $E$9)</f>
        <v>10.265000000000001</v>
      </c>
      <c r="G295" s="10">
        <f>CHOOSE(CONTROL!$C$42, 10.2823, 10.2823)*CHOOSE(CONTROL!$C$21, $C$9, 100%, $E$9)</f>
        <v>10.282299999999999</v>
      </c>
      <c r="H295" s="10">
        <f>CHOOSE(CONTROL!$C$42, 10.5182, 10.5182) * CHOOSE(CONTROL!$C$21, $C$9, 100%, $E$9)</f>
        <v>10.5182</v>
      </c>
      <c r="I295" s="10">
        <f>CHOOSE(CONTROL!$C$42, 10.2647, 10.2647)* CHOOSE(CONTROL!$C$21, $C$9, 100%, $E$9)</f>
        <v>10.264699999999999</v>
      </c>
      <c r="J295" s="10">
        <f>CHOOSE(CONTROL!$C$42, 10.258, 10.258)* CHOOSE(CONTROL!$C$21, $C$9, 100%, $E$9)</f>
        <v>10.257999999999999</v>
      </c>
      <c r="K295" s="54">
        <f>CHOOSE(CONTROL!$C$42, 10.2608, 10.2608) * CHOOSE(CONTROL!$C$21, $C$9, 100%, $E$9)</f>
        <v>10.2608</v>
      </c>
      <c r="L295" s="10">
        <f>CHOOSE(CONTROL!$C$42, 11.1052, 11.1052) * CHOOSE(CONTROL!$C$21, $C$9, 100%, $E$9)</f>
        <v>11.1052</v>
      </c>
      <c r="M295" s="10">
        <f>CHOOSE(CONTROL!$C$42, 10.1683, 10.1683) * CHOOSE(CONTROL!$C$21, $C$9, 100%, $E$9)</f>
        <v>10.1683</v>
      </c>
      <c r="N295" s="10">
        <f>CHOOSE(CONTROL!$C$42, 10.1854, 10.1854) * CHOOSE(CONTROL!$C$21, $C$9, 100%, $E$9)</f>
        <v>10.1854</v>
      </c>
      <c r="O295" s="10">
        <f>CHOOSE(CONTROL!$C$42, 10.4259, 10.4259) * CHOOSE(CONTROL!$C$21, $C$9, 100%, $E$9)</f>
        <v>10.4259</v>
      </c>
      <c r="P295" s="10">
        <f>CHOOSE(CONTROL!$C$42, 10.175, 10.175) * CHOOSE(CONTROL!$C$21, $C$9, 100%, $E$9)</f>
        <v>10.175000000000001</v>
      </c>
      <c r="Q295" s="10">
        <f>CHOOSE(CONTROL!$C$42, 11.0212, 11.0212) * CHOOSE(CONTROL!$C$21, $C$9, 100%, $E$9)</f>
        <v>11.0212</v>
      </c>
      <c r="R295" s="10">
        <f>CHOOSE(CONTROL!$C$42, 11.6358, 11.6358) * CHOOSE(CONTROL!$C$21, $C$9, 100%, $E$9)</f>
        <v>11.6358</v>
      </c>
      <c r="S295" s="10">
        <f>CHOOSE(CONTROL!$C$42, 9.9963, 9.9963) * CHOOSE(CONTROL!$C$21, $C$9, 100%, $E$9)</f>
        <v>9.9962999999999997</v>
      </c>
      <c r="T295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295" s="58">
        <f>(1000*CHOOSE(CONTROL!$C$42, 695, 695)*CHOOSE(CONTROL!$C$42, 0.5599, 0.5599)*CHOOSE(CONTROL!$C$42, 31, 31))/1000000</f>
        <v>12.063045499999998</v>
      </c>
      <c r="V295" s="58">
        <f>(1000*CHOOSE(CONTROL!$C$42, 500, 500)*CHOOSE(CONTROL!$C$42, 0.275, 0.275)*CHOOSE(CONTROL!$C$42, 31, 31))/1000000</f>
        <v>4.2625000000000002</v>
      </c>
      <c r="W295" s="58">
        <f>(1000*CHOOSE(CONTROL!$C$42, 0.1146, 0.1146)*CHOOSE(CONTROL!$C$42, 121.5, 121.5)*CHOOSE(CONTROL!$C$42, 31, 31))/1000000</f>
        <v>0.43164089999999994</v>
      </c>
      <c r="X295" s="58">
        <f>(31*0.1790888*245000/1000000)+(31*0.2374*100000/1000000)</f>
        <v>2.0961194359999999</v>
      </c>
      <c r="Y295" s="58"/>
      <c r="Z295" s="10"/>
      <c r="AA295" s="57"/>
      <c r="AB295" s="51">
        <f>(B295*194.205+C295*267.466+D295*133.845+E295*53.484+F295*40+G295*185+H295*0+I295*100+J295*300)/(194.205+267.466+133.845+53.484+0+40+185+100+300)</f>
        <v>10.315133018367346</v>
      </c>
      <c r="AC295" s="27">
        <f>(M295*'RAP TEMPLATE-GAS AVAILABILITY'!O294+N295*'RAP TEMPLATE-GAS AVAILABILITY'!P294+O295*'RAP TEMPLATE-GAS AVAILABILITY'!Q294+P295*'RAP TEMPLATE-GAS AVAILABILITY'!R294)/('RAP TEMPLATE-GAS AVAILABILITY'!O294+'RAP TEMPLATE-GAS AVAILABILITY'!P294+'RAP TEMPLATE-GAS AVAILABILITY'!Q294+'RAP TEMPLATE-GAS AVAILABILITY'!R294)</f>
        <v>10.245476978417267</v>
      </c>
    </row>
    <row r="296" spans="1:29" ht="15.75" x14ac:dyDescent="0.25">
      <c r="A296" s="15">
        <v>49888</v>
      </c>
      <c r="B296" s="10">
        <f>CHOOSE(CONTROL!$C$42, 9.7897, 9.7897) * CHOOSE(CONTROL!$C$21, $C$9, 100%, $E$9)</f>
        <v>9.7896999999999998</v>
      </c>
      <c r="C296" s="10">
        <f>CHOOSE(CONTROL!$C$42, 9.7976, 9.7976) * CHOOSE(CONTROL!$C$21, $C$9, 100%, $E$9)</f>
        <v>9.7975999999999992</v>
      </c>
      <c r="D296" s="10">
        <f>CHOOSE(CONTROL!$C$42, 9.9901, 9.9901) * CHOOSE(CONTROL!$C$21, $C$9, 100%, $E$9)</f>
        <v>9.9901</v>
      </c>
      <c r="E296" s="10">
        <f>CHOOSE(CONTROL!$C$42, 10.0212, 10.0212) * CHOOSE(CONTROL!$C$21, $C$9, 100%, $E$9)</f>
        <v>10.0212</v>
      </c>
      <c r="F296" s="10">
        <f>CHOOSE(CONTROL!$C$42, 9.7568, 9.7568)*CHOOSE(CONTROL!$C$21, $C$9, 100%, $E$9)</f>
        <v>9.7568000000000001</v>
      </c>
      <c r="G296" s="10">
        <f>CHOOSE(CONTROL!$C$42, 9.7741, 9.7741)*CHOOSE(CONTROL!$C$21, $C$9, 100%, $E$9)</f>
        <v>9.7741000000000007</v>
      </c>
      <c r="H296" s="10">
        <f>CHOOSE(CONTROL!$C$42, 10.0098, 10.0098) * CHOOSE(CONTROL!$C$21, $C$9, 100%, $E$9)</f>
        <v>10.0098</v>
      </c>
      <c r="I296" s="10">
        <f>CHOOSE(CONTROL!$C$42, 9.7563, 9.7563)* CHOOSE(CONTROL!$C$21, $C$9, 100%, $E$9)</f>
        <v>9.7562999999999995</v>
      </c>
      <c r="J296" s="10">
        <f>CHOOSE(CONTROL!$C$42, 9.7498, 9.7498)* CHOOSE(CONTROL!$C$21, $C$9, 100%, $E$9)</f>
        <v>9.7498000000000005</v>
      </c>
      <c r="K296" s="54">
        <f>CHOOSE(CONTROL!$C$42, 9.7524, 9.7524) * CHOOSE(CONTROL!$C$21, $C$9, 100%, $E$9)</f>
        <v>9.7523999999999997</v>
      </c>
      <c r="L296" s="10">
        <f>CHOOSE(CONTROL!$C$42, 10.5968, 10.5968) * CHOOSE(CONTROL!$C$21, $C$9, 100%, $E$9)</f>
        <v>10.5968</v>
      </c>
      <c r="M296" s="10">
        <f>CHOOSE(CONTROL!$C$42, 9.6652, 9.6652) * CHOOSE(CONTROL!$C$21, $C$9, 100%, $E$9)</f>
        <v>9.6652000000000005</v>
      </c>
      <c r="N296" s="10">
        <f>CHOOSE(CONTROL!$C$42, 9.6824, 9.6824) * CHOOSE(CONTROL!$C$21, $C$9, 100%, $E$9)</f>
        <v>9.6823999999999995</v>
      </c>
      <c r="O296" s="10">
        <f>CHOOSE(CONTROL!$C$42, 9.9226, 9.9226) * CHOOSE(CONTROL!$C$21, $C$9, 100%, $E$9)</f>
        <v>9.9225999999999992</v>
      </c>
      <c r="P296" s="10">
        <f>CHOOSE(CONTROL!$C$42, 9.6717, 9.6717) * CHOOSE(CONTROL!$C$21, $C$9, 100%, $E$9)</f>
        <v>9.6716999999999995</v>
      </c>
      <c r="Q296" s="10">
        <f>CHOOSE(CONTROL!$C$42, 10.5179, 10.5179) * CHOOSE(CONTROL!$C$21, $C$9, 100%, $E$9)</f>
        <v>10.517899999999999</v>
      </c>
      <c r="R296" s="10">
        <f>CHOOSE(CONTROL!$C$42, 11.1312, 11.1312) * CHOOSE(CONTROL!$C$21, $C$9, 100%, $E$9)</f>
        <v>11.1312</v>
      </c>
      <c r="S296" s="10">
        <f>CHOOSE(CONTROL!$C$42, 9.5025, 9.5025) * CHOOSE(CONTROL!$C$21, $C$9, 100%, $E$9)</f>
        <v>9.5024999999999995</v>
      </c>
      <c r="T296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296" s="58">
        <f>(1000*CHOOSE(CONTROL!$C$42, 695, 695)*CHOOSE(CONTROL!$C$42, 0.5599, 0.5599)*CHOOSE(CONTROL!$C$42, 31, 31))/1000000</f>
        <v>12.063045499999998</v>
      </c>
      <c r="V296" s="58">
        <f>(1000*CHOOSE(CONTROL!$C$42, 500, 500)*CHOOSE(CONTROL!$C$42, 0.275, 0.275)*CHOOSE(CONTROL!$C$42, 31, 31))/1000000</f>
        <v>4.2625000000000002</v>
      </c>
      <c r="W296" s="58">
        <f>(1000*CHOOSE(CONTROL!$C$42, 0.1146, 0.1146)*CHOOSE(CONTROL!$C$42, 121.5, 121.5)*CHOOSE(CONTROL!$C$42, 31, 31))/1000000</f>
        <v>0.43164089999999994</v>
      </c>
      <c r="X296" s="58">
        <f>(31*0.1790888*245000/1000000)+(31*0.2374*100000/1000000)</f>
        <v>2.0961194359999999</v>
      </c>
      <c r="Y296" s="58"/>
      <c r="Z296" s="10"/>
      <c r="AA296" s="57"/>
      <c r="AB296" s="51">
        <f>(B296*194.205+C296*267.466+D296*133.845+E296*53.484+F296*40+G296*185+H296*0+I296*100+J296*300)/(194.205+267.466+133.845+53.484+0+40+185+100+300)</f>
        <v>9.8068154359497637</v>
      </c>
      <c r="AC296" s="27">
        <f>(M296*'RAP TEMPLATE-GAS AVAILABILITY'!O295+N296*'RAP TEMPLATE-GAS AVAILABILITY'!P295+O296*'RAP TEMPLATE-GAS AVAILABILITY'!Q295+P296*'RAP TEMPLATE-GAS AVAILABILITY'!R295)/('RAP TEMPLATE-GAS AVAILABILITY'!O295+'RAP TEMPLATE-GAS AVAILABILITY'!P295+'RAP TEMPLATE-GAS AVAILABILITY'!Q295+'RAP TEMPLATE-GAS AVAILABILITY'!R295)</f>
        <v>9.7423151079136705</v>
      </c>
    </row>
    <row r="297" spans="1:29" ht="15.75" x14ac:dyDescent="0.25">
      <c r="A297" s="15">
        <v>49919</v>
      </c>
      <c r="B297" s="10">
        <f>CHOOSE(CONTROL!$C$42, 9.1682, 9.1682) * CHOOSE(CONTROL!$C$21, $C$9, 100%, $E$9)</f>
        <v>9.1682000000000006</v>
      </c>
      <c r="C297" s="10">
        <f>CHOOSE(CONTROL!$C$42, 9.1761, 9.1761) * CHOOSE(CONTROL!$C$21, $C$9, 100%, $E$9)</f>
        <v>9.1760999999999999</v>
      </c>
      <c r="D297" s="10">
        <f>CHOOSE(CONTROL!$C$42, 9.3685, 9.3685) * CHOOSE(CONTROL!$C$21, $C$9, 100%, $E$9)</f>
        <v>9.3684999999999992</v>
      </c>
      <c r="E297" s="10">
        <f>CHOOSE(CONTROL!$C$42, 9.3996, 9.3996) * CHOOSE(CONTROL!$C$21, $C$9, 100%, $E$9)</f>
        <v>9.3995999999999995</v>
      </c>
      <c r="F297" s="10">
        <f>CHOOSE(CONTROL!$C$42, 9.1351, 9.1351)*CHOOSE(CONTROL!$C$21, $C$9, 100%, $E$9)</f>
        <v>9.1350999999999996</v>
      </c>
      <c r="G297" s="10">
        <f>CHOOSE(CONTROL!$C$42, 9.1523, 9.1523)*CHOOSE(CONTROL!$C$21, $C$9, 100%, $E$9)</f>
        <v>9.1523000000000003</v>
      </c>
      <c r="H297" s="10">
        <f>CHOOSE(CONTROL!$C$42, 9.3883, 9.3883) * CHOOSE(CONTROL!$C$21, $C$9, 100%, $E$9)</f>
        <v>9.3882999999999992</v>
      </c>
      <c r="I297" s="10">
        <f>CHOOSE(CONTROL!$C$42, 9.1347, 9.1347)* CHOOSE(CONTROL!$C$21, $C$9, 100%, $E$9)</f>
        <v>9.1347000000000005</v>
      </c>
      <c r="J297" s="10">
        <f>CHOOSE(CONTROL!$C$42, 9.1281, 9.1281)* CHOOSE(CONTROL!$C$21, $C$9, 100%, $E$9)</f>
        <v>9.1280999999999999</v>
      </c>
      <c r="K297" s="54">
        <f>CHOOSE(CONTROL!$C$42, 9.1308, 9.1308) * CHOOSE(CONTROL!$C$21, $C$9, 100%, $E$9)</f>
        <v>9.1308000000000007</v>
      </c>
      <c r="L297" s="10">
        <f>CHOOSE(CONTROL!$C$42, 9.9753, 9.9753) * CHOOSE(CONTROL!$C$21, $C$9, 100%, $E$9)</f>
        <v>9.9753000000000007</v>
      </c>
      <c r="M297" s="10">
        <f>CHOOSE(CONTROL!$C$42, 9.0498, 9.0498) * CHOOSE(CONTROL!$C$21, $C$9, 100%, $E$9)</f>
        <v>9.0497999999999994</v>
      </c>
      <c r="N297" s="10">
        <f>CHOOSE(CONTROL!$C$42, 9.0669, 9.0669) * CHOOSE(CONTROL!$C$21, $C$9, 100%, $E$9)</f>
        <v>9.0669000000000004</v>
      </c>
      <c r="O297" s="10">
        <f>CHOOSE(CONTROL!$C$42, 9.3074, 9.3074) * CHOOSE(CONTROL!$C$21, $C$9, 100%, $E$9)</f>
        <v>9.3073999999999995</v>
      </c>
      <c r="P297" s="10">
        <f>CHOOSE(CONTROL!$C$42, 9.0564, 9.0564) * CHOOSE(CONTROL!$C$21, $C$9, 100%, $E$9)</f>
        <v>9.0564</v>
      </c>
      <c r="Q297" s="10">
        <f>CHOOSE(CONTROL!$C$42, 9.9027, 9.9027) * CHOOSE(CONTROL!$C$21, $C$9, 100%, $E$9)</f>
        <v>9.9026999999999994</v>
      </c>
      <c r="R297" s="10">
        <f>CHOOSE(CONTROL!$C$42, 10.5144, 10.5144) * CHOOSE(CONTROL!$C$21, $C$9, 100%, $E$9)</f>
        <v>10.5144</v>
      </c>
      <c r="S297" s="10">
        <f>CHOOSE(CONTROL!$C$42, 8.8989, 8.8989) * CHOOSE(CONTROL!$C$21, $C$9, 100%, $E$9)</f>
        <v>8.8988999999999994</v>
      </c>
      <c r="T297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297" s="58">
        <f>(1000*CHOOSE(CONTROL!$C$42, 695, 695)*CHOOSE(CONTROL!$C$42, 0.5599, 0.5599)*CHOOSE(CONTROL!$C$42, 30, 30))/1000000</f>
        <v>11.673914999999997</v>
      </c>
      <c r="V297" s="58">
        <f>(1000*CHOOSE(CONTROL!$C$42, 500, 500)*CHOOSE(CONTROL!$C$42, 0.275, 0.275)*CHOOSE(CONTROL!$C$42, 30, 30))/1000000</f>
        <v>4.125</v>
      </c>
      <c r="W297" s="58">
        <f>(1000*CHOOSE(CONTROL!$C$42, 0.1146, 0.1146)*CHOOSE(CONTROL!$C$42, 121.5, 121.5)*CHOOSE(CONTROL!$C$42, 30, 30))/1000000</f>
        <v>0.417717</v>
      </c>
      <c r="X297" s="58">
        <f>(30*0.1790888*245000/1000000)+(30*0.2374*100000/1000000)</f>
        <v>2.0285026799999999</v>
      </c>
      <c r="Y297" s="58"/>
      <c r="Z297" s="10"/>
      <c r="AA297" s="57"/>
      <c r="AB297" s="51">
        <f>(B297*194.205+C297*267.466+D297*133.845+E297*53.484+F297*40+G297*185+H297*0+I297*100+J297*300)/(194.205+267.466+133.845+53.484+0+40+185+100+300)</f>
        <v>9.1851959438775523</v>
      </c>
      <c r="AC297" s="27">
        <f>(M297*'RAP TEMPLATE-GAS AVAILABILITY'!O296+N297*'RAP TEMPLATE-GAS AVAILABILITY'!P296+O297*'RAP TEMPLATE-GAS AVAILABILITY'!Q296+P297*'RAP TEMPLATE-GAS AVAILABILITY'!R296)/('RAP TEMPLATE-GAS AVAILABILITY'!O296+'RAP TEMPLATE-GAS AVAILABILITY'!P296+'RAP TEMPLATE-GAS AVAILABILITY'!Q296+'RAP TEMPLATE-GAS AVAILABILITY'!R296)</f>
        <v>9.1269625899280591</v>
      </c>
    </row>
    <row r="298" spans="1:29" ht="15.75" x14ac:dyDescent="0.25">
      <c r="A298" s="15">
        <v>49949</v>
      </c>
      <c r="B298" s="10">
        <f>CHOOSE(CONTROL!$C$42, 8.9803, 8.9803) * CHOOSE(CONTROL!$C$21, $C$9, 100%, $E$9)</f>
        <v>8.9802999999999997</v>
      </c>
      <c r="C298" s="10">
        <f>CHOOSE(CONTROL!$C$42, 8.9856, 8.9856) * CHOOSE(CONTROL!$C$21, $C$9, 100%, $E$9)</f>
        <v>8.9855999999999998</v>
      </c>
      <c r="D298" s="10">
        <f>CHOOSE(CONTROL!$C$42, 9.183, 9.183) * CHOOSE(CONTROL!$C$21, $C$9, 100%, $E$9)</f>
        <v>9.1829999999999998</v>
      </c>
      <c r="E298" s="10">
        <f>CHOOSE(CONTROL!$C$42, 9.2118, 9.2118) * CHOOSE(CONTROL!$C$21, $C$9, 100%, $E$9)</f>
        <v>9.2118000000000002</v>
      </c>
      <c r="F298" s="10">
        <f>CHOOSE(CONTROL!$C$42, 8.9492, 8.9492)*CHOOSE(CONTROL!$C$21, $C$9, 100%, $E$9)</f>
        <v>8.9491999999999994</v>
      </c>
      <c r="G298" s="10">
        <f>CHOOSE(CONTROL!$C$42, 8.9662, 8.9662)*CHOOSE(CONTROL!$C$21, $C$9, 100%, $E$9)</f>
        <v>8.9662000000000006</v>
      </c>
      <c r="H298" s="10">
        <f>CHOOSE(CONTROL!$C$42, 9.2022, 9.2022) * CHOOSE(CONTROL!$C$21, $C$9, 100%, $E$9)</f>
        <v>9.2021999999999995</v>
      </c>
      <c r="I298" s="10">
        <f>CHOOSE(CONTROL!$C$42, 8.9487, 8.9487)* CHOOSE(CONTROL!$C$21, $C$9, 100%, $E$9)</f>
        <v>8.9487000000000005</v>
      </c>
      <c r="J298" s="10">
        <f>CHOOSE(CONTROL!$C$42, 8.9422, 8.9422)* CHOOSE(CONTROL!$C$21, $C$9, 100%, $E$9)</f>
        <v>8.9421999999999997</v>
      </c>
      <c r="K298" s="54">
        <f>CHOOSE(CONTROL!$C$42, 8.9448, 8.9448) * CHOOSE(CONTROL!$C$21, $C$9, 100%, $E$9)</f>
        <v>8.9448000000000008</v>
      </c>
      <c r="L298" s="10">
        <f>CHOOSE(CONTROL!$C$42, 9.7892, 9.7892) * CHOOSE(CONTROL!$C$21, $C$9, 100%, $E$9)</f>
        <v>9.7891999999999992</v>
      </c>
      <c r="M298" s="10">
        <f>CHOOSE(CONTROL!$C$42, 8.8658, 8.8658) * CHOOSE(CONTROL!$C$21, $C$9, 100%, $E$9)</f>
        <v>8.8658000000000001</v>
      </c>
      <c r="N298" s="10">
        <f>CHOOSE(CONTROL!$C$42, 8.8826, 8.8826) * CHOOSE(CONTROL!$C$21, $C$9, 100%, $E$9)</f>
        <v>8.8826000000000001</v>
      </c>
      <c r="O298" s="10">
        <f>CHOOSE(CONTROL!$C$42, 9.1232, 9.1232) * CHOOSE(CONTROL!$C$21, $C$9, 100%, $E$9)</f>
        <v>9.1232000000000006</v>
      </c>
      <c r="P298" s="10">
        <f>CHOOSE(CONTROL!$C$42, 8.8722, 8.8722) * CHOOSE(CONTROL!$C$21, $C$9, 100%, $E$9)</f>
        <v>8.8721999999999994</v>
      </c>
      <c r="Q298" s="10">
        <f>CHOOSE(CONTROL!$C$42, 9.7185, 9.7185) * CHOOSE(CONTROL!$C$21, $C$9, 100%, $E$9)</f>
        <v>9.7185000000000006</v>
      </c>
      <c r="R298" s="10">
        <f>CHOOSE(CONTROL!$C$42, 10.3298, 10.3298) * CHOOSE(CONTROL!$C$21, $C$9, 100%, $E$9)</f>
        <v>10.329800000000001</v>
      </c>
      <c r="S298" s="10">
        <f>CHOOSE(CONTROL!$C$42, 8.7183, 8.7183) * CHOOSE(CONTROL!$C$21, $C$9, 100%, $E$9)</f>
        <v>8.7182999999999993</v>
      </c>
      <c r="T298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298" s="58">
        <f>(1000*CHOOSE(CONTROL!$C$42, 695, 695)*CHOOSE(CONTROL!$C$42, 0.5599, 0.5599)*CHOOSE(CONTROL!$C$42, 31, 31))/1000000</f>
        <v>12.063045499999998</v>
      </c>
      <c r="V298" s="58">
        <f>(1000*CHOOSE(CONTROL!$C$42, 500, 500)*CHOOSE(CONTROL!$C$42, 0.275, 0.275)*CHOOSE(CONTROL!$C$42, 31, 31))/1000000</f>
        <v>4.2625000000000002</v>
      </c>
      <c r="W298" s="58">
        <f>(1000*CHOOSE(CONTROL!$C$42, 0.1146, 0.1146)*CHOOSE(CONTROL!$C$42, 121.5, 121.5)*CHOOSE(CONTROL!$C$42, 31, 31))/1000000</f>
        <v>0.43164089999999994</v>
      </c>
      <c r="X298" s="58">
        <f>(31*0.1790888*245000/1000000)+(31*0.2374*100000/1000000)</f>
        <v>2.0961194359999999</v>
      </c>
      <c r="Y298" s="58"/>
      <c r="Z298" s="10"/>
      <c r="AA298" s="57"/>
      <c r="AB298" s="51">
        <f>(B298*131.881+C298*277.167+D298*79.08+E298*125.872+F298*40+G298*185+H298*0+I298*100+J298*300)/(131.881+277.167+79.08+125.872+0+40+185+100+300)</f>
        <v>9.0030565529459246</v>
      </c>
      <c r="AC298" s="27">
        <f>(M298*'RAP TEMPLATE-GAS AVAILABILITY'!O297+N298*'RAP TEMPLATE-GAS AVAILABILITY'!P297+O298*'RAP TEMPLATE-GAS AVAILABILITY'!Q297+P298*'RAP TEMPLATE-GAS AVAILABILITY'!R297)/('RAP TEMPLATE-GAS AVAILABILITY'!O297+'RAP TEMPLATE-GAS AVAILABILITY'!P297+'RAP TEMPLATE-GAS AVAILABILITY'!Q297+'RAP TEMPLATE-GAS AVAILABILITY'!R297)</f>
        <v>8.9428086330935255</v>
      </c>
    </row>
    <row r="299" spans="1:29" ht="15.75" x14ac:dyDescent="0.25">
      <c r="A299" s="15">
        <v>49980</v>
      </c>
      <c r="B299" s="10">
        <f>CHOOSE(CONTROL!$C$42, 9.2164, 9.2164) * CHOOSE(CONTROL!$C$21, $C$9, 100%, $E$9)</f>
        <v>9.2164000000000001</v>
      </c>
      <c r="C299" s="10">
        <f>CHOOSE(CONTROL!$C$42, 9.2214, 9.2214) * CHOOSE(CONTROL!$C$21, $C$9, 100%, $E$9)</f>
        <v>9.2213999999999992</v>
      </c>
      <c r="D299" s="10">
        <f>CHOOSE(CONTROL!$C$42, 9.251, 9.251) * CHOOSE(CONTROL!$C$21, $C$9, 100%, $E$9)</f>
        <v>9.2509999999999994</v>
      </c>
      <c r="E299" s="10">
        <f>CHOOSE(CONTROL!$C$42, 9.2848, 9.2848) * CHOOSE(CONTROL!$C$21, $C$9, 100%, $E$9)</f>
        <v>9.2848000000000006</v>
      </c>
      <c r="F299" s="10">
        <f>CHOOSE(CONTROL!$C$42, 9.1832, 9.1832)*CHOOSE(CONTROL!$C$21, $C$9, 100%, $E$9)</f>
        <v>9.1831999999999994</v>
      </c>
      <c r="G299" s="10">
        <f>CHOOSE(CONTROL!$C$42, 9.2003, 9.2003)*CHOOSE(CONTROL!$C$21, $C$9, 100%, $E$9)</f>
        <v>9.2003000000000004</v>
      </c>
      <c r="H299" s="10">
        <f>CHOOSE(CONTROL!$C$42, 9.274, 9.274) * CHOOSE(CONTROL!$C$21, $C$9, 100%, $E$9)</f>
        <v>9.2739999999999991</v>
      </c>
      <c r="I299" s="10">
        <f>CHOOSE(CONTROL!$C$42, 9.18, 9.18)* CHOOSE(CONTROL!$C$21, $C$9, 100%, $E$9)</f>
        <v>9.18</v>
      </c>
      <c r="J299" s="10">
        <f>CHOOSE(CONTROL!$C$42, 9.1762, 9.1762)* CHOOSE(CONTROL!$C$21, $C$9, 100%, $E$9)</f>
        <v>9.1761999999999997</v>
      </c>
      <c r="K299" s="54">
        <f>CHOOSE(CONTROL!$C$42, 9.1761, 9.1761) * CHOOSE(CONTROL!$C$21, $C$9, 100%, $E$9)</f>
        <v>9.1760999999999999</v>
      </c>
      <c r="L299" s="10">
        <f>CHOOSE(CONTROL!$C$42, 9.861, 9.861) * CHOOSE(CONTROL!$C$21, $C$9, 100%, $E$9)</f>
        <v>9.8610000000000007</v>
      </c>
      <c r="M299" s="10">
        <f>CHOOSE(CONTROL!$C$42, 9.0974, 9.0974) * CHOOSE(CONTROL!$C$21, $C$9, 100%, $E$9)</f>
        <v>9.0974000000000004</v>
      </c>
      <c r="N299" s="10">
        <f>CHOOSE(CONTROL!$C$42, 9.1144, 9.1144) * CHOOSE(CONTROL!$C$21, $C$9, 100%, $E$9)</f>
        <v>9.1143999999999998</v>
      </c>
      <c r="O299" s="10">
        <f>CHOOSE(CONTROL!$C$42, 9.1942, 9.1942) * CHOOSE(CONTROL!$C$21, $C$9, 100%, $E$9)</f>
        <v>9.1942000000000004</v>
      </c>
      <c r="P299" s="10">
        <f>CHOOSE(CONTROL!$C$42, 9.1012, 9.1012) * CHOOSE(CONTROL!$C$21, $C$9, 100%, $E$9)</f>
        <v>9.1012000000000004</v>
      </c>
      <c r="Q299" s="10">
        <f>CHOOSE(CONTROL!$C$42, 9.7895, 9.7895) * CHOOSE(CONTROL!$C$21, $C$9, 100%, $E$9)</f>
        <v>9.7895000000000003</v>
      </c>
      <c r="R299" s="10">
        <f>CHOOSE(CONTROL!$C$42, 10.401, 10.401) * CHOOSE(CONTROL!$C$21, $C$9, 100%, $E$9)</f>
        <v>10.401</v>
      </c>
      <c r="S299" s="10">
        <f>CHOOSE(CONTROL!$C$42, 8.9479, 8.9479) * CHOOSE(CONTROL!$C$21, $C$9, 100%, $E$9)</f>
        <v>8.9479000000000006</v>
      </c>
      <c r="T299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299" s="58">
        <f>(1000*CHOOSE(CONTROL!$C$42, 695, 695)*CHOOSE(CONTROL!$C$42, 0.5599, 0.5599)*CHOOSE(CONTROL!$C$42, 30, 30))/1000000</f>
        <v>11.673914999999997</v>
      </c>
      <c r="V299" s="58">
        <f>(1000*CHOOSE(CONTROL!$C$42, 500, 500)*CHOOSE(CONTROL!$C$42, 0.275, 0.275)*CHOOSE(CONTROL!$C$42, 30, 30))/1000000</f>
        <v>4.125</v>
      </c>
      <c r="W299" s="58">
        <f>(1000*CHOOSE(CONTROL!$C$42, 0.1146, 0.1146)*CHOOSE(CONTROL!$C$42, 121.5, 121.5)*CHOOSE(CONTROL!$C$42, 30, 30))/1000000</f>
        <v>0.417717</v>
      </c>
      <c r="X299" s="58">
        <f>(30*0.1790888*100000/1000000)+(30*0.2374*100000/1000000)</f>
        <v>1.2494664</v>
      </c>
      <c r="Y299" s="58"/>
      <c r="Z299" s="10"/>
      <c r="AA299" s="57"/>
      <c r="AB299" s="51">
        <f>(B299*122.58+C299*297.941+D299*89.177+E299*40.302+F299*40+G299*160+H299*0+I299*100+J299*300)/(122.58+297.941+89.177+40.302+0+40+160+100+300)</f>
        <v>9.2057285965217392</v>
      </c>
      <c r="AC299" s="27">
        <f>(M299*'RAP TEMPLATE-GAS AVAILABILITY'!O298+N299*'RAP TEMPLATE-GAS AVAILABILITY'!P298+O299*'RAP TEMPLATE-GAS AVAILABILITY'!Q298+P299*'RAP TEMPLATE-GAS AVAILABILITY'!R298)/('RAP TEMPLATE-GAS AVAILABILITY'!O298+'RAP TEMPLATE-GAS AVAILABILITY'!P298+'RAP TEMPLATE-GAS AVAILABILITY'!Q298+'RAP TEMPLATE-GAS AVAILABILITY'!R298)</f>
        <v>9.1427985611510785</v>
      </c>
    </row>
    <row r="300" spans="1:29" ht="15.75" x14ac:dyDescent="0.25">
      <c r="A300" s="15">
        <v>50010</v>
      </c>
      <c r="B300" s="10">
        <f>CHOOSE(CONTROL!$C$42, 9.8446, 9.8446) * CHOOSE(CONTROL!$C$21, $C$9, 100%, $E$9)</f>
        <v>9.8445999999999998</v>
      </c>
      <c r="C300" s="10">
        <f>CHOOSE(CONTROL!$C$42, 9.8495, 9.8495) * CHOOSE(CONTROL!$C$21, $C$9, 100%, $E$9)</f>
        <v>9.8495000000000008</v>
      </c>
      <c r="D300" s="10">
        <f>CHOOSE(CONTROL!$C$42, 9.8792, 9.8792) * CHOOSE(CONTROL!$C$21, $C$9, 100%, $E$9)</f>
        <v>9.8792000000000009</v>
      </c>
      <c r="E300" s="10">
        <f>CHOOSE(CONTROL!$C$42, 9.9129, 9.9129) * CHOOSE(CONTROL!$C$21, $C$9, 100%, $E$9)</f>
        <v>9.9129000000000005</v>
      </c>
      <c r="F300" s="10">
        <f>CHOOSE(CONTROL!$C$42, 9.8128, 9.8128)*CHOOSE(CONTROL!$C$21, $C$9, 100%, $E$9)</f>
        <v>9.8127999999999993</v>
      </c>
      <c r="G300" s="10">
        <f>CHOOSE(CONTROL!$C$42, 9.8303, 9.8303)*CHOOSE(CONTROL!$C$21, $C$9, 100%, $E$9)</f>
        <v>9.8302999999999994</v>
      </c>
      <c r="H300" s="10">
        <f>CHOOSE(CONTROL!$C$42, 9.9021, 9.9021) * CHOOSE(CONTROL!$C$21, $C$9, 100%, $E$9)</f>
        <v>9.9021000000000008</v>
      </c>
      <c r="I300" s="10">
        <f>CHOOSE(CONTROL!$C$42, 9.8082, 9.8082)* CHOOSE(CONTROL!$C$21, $C$9, 100%, $E$9)</f>
        <v>9.8081999999999994</v>
      </c>
      <c r="J300" s="10">
        <f>CHOOSE(CONTROL!$C$42, 9.8058, 9.8058)* CHOOSE(CONTROL!$C$21, $C$9, 100%, $E$9)</f>
        <v>9.8057999999999996</v>
      </c>
      <c r="K300" s="54">
        <f>CHOOSE(CONTROL!$C$42, 9.8043, 9.8043) * CHOOSE(CONTROL!$C$21, $C$9, 100%, $E$9)</f>
        <v>9.8042999999999996</v>
      </c>
      <c r="L300" s="10">
        <f>CHOOSE(CONTROL!$C$42, 10.4891, 10.4891) * CHOOSE(CONTROL!$C$21, $C$9, 100%, $E$9)</f>
        <v>10.489100000000001</v>
      </c>
      <c r="M300" s="10">
        <f>CHOOSE(CONTROL!$C$42, 9.7207, 9.7207) * CHOOSE(CONTROL!$C$21, $C$9, 100%, $E$9)</f>
        <v>9.7207000000000008</v>
      </c>
      <c r="N300" s="10">
        <f>CHOOSE(CONTROL!$C$42, 9.738, 9.738) * CHOOSE(CONTROL!$C$21, $C$9, 100%, $E$9)</f>
        <v>9.7379999999999995</v>
      </c>
      <c r="O300" s="10">
        <f>CHOOSE(CONTROL!$C$42, 9.816, 9.816) * CHOOSE(CONTROL!$C$21, $C$9, 100%, $E$9)</f>
        <v>9.8160000000000007</v>
      </c>
      <c r="P300" s="10">
        <f>CHOOSE(CONTROL!$C$42, 9.7231, 9.7231) * CHOOSE(CONTROL!$C$21, $C$9, 100%, $E$9)</f>
        <v>9.7231000000000005</v>
      </c>
      <c r="Q300" s="10">
        <f>CHOOSE(CONTROL!$C$42, 10.4113, 10.4113) * CHOOSE(CONTROL!$C$21, $C$9, 100%, $E$9)</f>
        <v>10.411300000000001</v>
      </c>
      <c r="R300" s="10">
        <f>CHOOSE(CONTROL!$C$42, 11.0244, 11.0244) * CHOOSE(CONTROL!$C$21, $C$9, 100%, $E$9)</f>
        <v>11.0244</v>
      </c>
      <c r="S300" s="10">
        <f>CHOOSE(CONTROL!$C$42, 9.5579, 9.5579) * CHOOSE(CONTROL!$C$21, $C$9, 100%, $E$9)</f>
        <v>9.5579000000000001</v>
      </c>
      <c r="T300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300" s="58">
        <f>(1000*CHOOSE(CONTROL!$C$42, 695, 695)*CHOOSE(CONTROL!$C$42, 0.5599, 0.5599)*CHOOSE(CONTROL!$C$42, 31, 31))/1000000</f>
        <v>12.063045499999998</v>
      </c>
      <c r="V300" s="58">
        <f>(1000*CHOOSE(CONTROL!$C$42, 500, 500)*CHOOSE(CONTROL!$C$42, 0.275, 0.275)*CHOOSE(CONTROL!$C$42, 31, 31))/1000000</f>
        <v>4.2625000000000002</v>
      </c>
      <c r="W300" s="58">
        <f>(1000*CHOOSE(CONTROL!$C$42, 0.1146, 0.1146)*CHOOSE(CONTROL!$C$42, 121.5, 121.5)*CHOOSE(CONTROL!$C$42, 31, 31))/1000000</f>
        <v>0.43164089999999994</v>
      </c>
      <c r="X300" s="58">
        <f>(31*0.1790888*100000/1000000)+(31*0.2374*100000/1000000)</f>
        <v>1.2911152800000001</v>
      </c>
      <c r="Y300" s="58"/>
      <c r="Z300" s="10"/>
      <c r="AA300" s="57"/>
      <c r="AB300" s="51">
        <f>(B300*122.58+C300*297.941+D300*89.177+E300*40.302+F300*40+G300*160+H300*0+I300*100+J300*300)/(122.58+297.941+89.177+40.302+0+40+160+100+300)</f>
        <v>9.8345635319130444</v>
      </c>
      <c r="AC300" s="27">
        <f>(M300*'RAP TEMPLATE-GAS AVAILABILITY'!O299+N300*'RAP TEMPLATE-GAS AVAILABILITY'!P299+O300*'RAP TEMPLATE-GAS AVAILABILITY'!Q299+P300*'RAP TEMPLATE-GAS AVAILABILITY'!R299)/('RAP TEMPLATE-GAS AVAILABILITY'!O299+'RAP TEMPLATE-GAS AVAILABILITY'!P299+'RAP TEMPLATE-GAS AVAILABILITY'!Q299+'RAP TEMPLATE-GAS AVAILABILITY'!R299)</f>
        <v>9.7652345323741017</v>
      </c>
    </row>
    <row r="301" spans="1:29" ht="15.75" x14ac:dyDescent="0.25">
      <c r="A301" s="15">
        <v>50041</v>
      </c>
      <c r="B301" s="10">
        <f>CHOOSE(CONTROL!$C$42, 10.651, 10.651) * CHOOSE(CONTROL!$C$21, $C$9, 100%, $E$9)</f>
        <v>10.651</v>
      </c>
      <c r="C301" s="10">
        <f>CHOOSE(CONTROL!$C$42, 10.6559, 10.6559) * CHOOSE(CONTROL!$C$21, $C$9, 100%, $E$9)</f>
        <v>10.655900000000001</v>
      </c>
      <c r="D301" s="10">
        <f>CHOOSE(CONTROL!$C$42, 10.7061, 10.7061) * CHOOSE(CONTROL!$C$21, $C$9, 100%, $E$9)</f>
        <v>10.706099999999999</v>
      </c>
      <c r="E301" s="10">
        <f>CHOOSE(CONTROL!$C$42, 10.7399, 10.7399) * CHOOSE(CONTROL!$C$21, $C$9, 100%, $E$9)</f>
        <v>10.7399</v>
      </c>
      <c r="F301" s="10">
        <f>CHOOSE(CONTROL!$C$42, 10.6163, 10.6163)*CHOOSE(CONTROL!$C$21, $C$9, 100%, $E$9)</f>
        <v>10.616300000000001</v>
      </c>
      <c r="G301" s="10">
        <f>CHOOSE(CONTROL!$C$42, 10.6339, 10.6339)*CHOOSE(CONTROL!$C$21, $C$9, 100%, $E$9)</f>
        <v>10.633900000000001</v>
      </c>
      <c r="H301" s="10">
        <f>CHOOSE(CONTROL!$C$42, 10.7291, 10.7291) * CHOOSE(CONTROL!$C$21, $C$9, 100%, $E$9)</f>
        <v>10.729100000000001</v>
      </c>
      <c r="I301" s="10">
        <f>CHOOSE(CONTROL!$C$42, 10.6249, 10.6249)* CHOOSE(CONTROL!$C$21, $C$9, 100%, $E$9)</f>
        <v>10.6249</v>
      </c>
      <c r="J301" s="10">
        <f>CHOOSE(CONTROL!$C$42, 10.6093, 10.6093)* CHOOSE(CONTROL!$C$21, $C$9, 100%, $E$9)</f>
        <v>10.609299999999999</v>
      </c>
      <c r="K301" s="54">
        <f>CHOOSE(CONTROL!$C$42, 10.621, 10.621) * CHOOSE(CONTROL!$C$21, $C$9, 100%, $E$9)</f>
        <v>10.621</v>
      </c>
      <c r="L301" s="10">
        <f>CHOOSE(CONTROL!$C$42, 11.3161, 11.3161) * CHOOSE(CONTROL!$C$21, $C$9, 100%, $E$9)</f>
        <v>11.3161</v>
      </c>
      <c r="M301" s="10">
        <f>CHOOSE(CONTROL!$C$42, 10.5161, 10.5161) * CHOOSE(CONTROL!$C$21, $C$9, 100%, $E$9)</f>
        <v>10.5161</v>
      </c>
      <c r="N301" s="10">
        <f>CHOOSE(CONTROL!$C$42, 10.5335, 10.5335) * CHOOSE(CONTROL!$C$21, $C$9, 100%, $E$9)</f>
        <v>10.5335</v>
      </c>
      <c r="O301" s="10">
        <f>CHOOSE(CONTROL!$C$42, 10.6347, 10.6347) * CHOOSE(CONTROL!$C$21, $C$9, 100%, $E$9)</f>
        <v>10.6347</v>
      </c>
      <c r="P301" s="10">
        <f>CHOOSE(CONTROL!$C$42, 10.5315, 10.5315) * CHOOSE(CONTROL!$C$21, $C$9, 100%, $E$9)</f>
        <v>10.531499999999999</v>
      </c>
      <c r="Q301" s="10">
        <f>CHOOSE(CONTROL!$C$42, 11.23, 11.23) * CHOOSE(CONTROL!$C$21, $C$9, 100%, $E$9)</f>
        <v>11.23</v>
      </c>
      <c r="R301" s="10">
        <f>CHOOSE(CONTROL!$C$42, 11.845, 11.845) * CHOOSE(CONTROL!$C$21, $C$9, 100%, $E$9)</f>
        <v>11.845000000000001</v>
      </c>
      <c r="S301" s="10">
        <f>CHOOSE(CONTROL!$C$42, 10.341, 10.341) * CHOOSE(CONTROL!$C$21, $C$9, 100%, $E$9)</f>
        <v>10.340999999999999</v>
      </c>
      <c r="T301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301" s="58">
        <f>(1000*CHOOSE(CONTROL!$C$42, 695, 695)*CHOOSE(CONTROL!$C$42, 0.5599, 0.5599)*CHOOSE(CONTROL!$C$42, 31, 31))/1000000</f>
        <v>12.063045499999998</v>
      </c>
      <c r="V301" s="58">
        <f>(1000*CHOOSE(CONTROL!$C$42, 500, 500)*CHOOSE(CONTROL!$C$42, 0.275, 0.275)*CHOOSE(CONTROL!$C$42, 31, 31))/1000000</f>
        <v>4.2625000000000002</v>
      </c>
      <c r="W301" s="58">
        <f>(1000*CHOOSE(CONTROL!$C$42, 0.1146, 0.1146)*CHOOSE(CONTROL!$C$42, 121.5, 121.5)*CHOOSE(CONTROL!$C$42, 31, 31))/1000000</f>
        <v>0.43164089999999994</v>
      </c>
      <c r="X301" s="58">
        <f>(31*0.1790888*100000/1000000)+(31*0.2374*100000/1000000)</f>
        <v>1.2911152800000001</v>
      </c>
      <c r="Y301" s="58"/>
      <c r="Z301" s="10"/>
      <c r="AA301" s="57"/>
      <c r="AB301" s="51">
        <f>(B301*122.58+C301*297.941+D301*89.177+E301*40.302+F301*40+G301*160+H301*0+I301*100+J301*300)/(122.58+297.941+89.177+40.302+0+40+160+100+300)</f>
        <v>10.642923836000001</v>
      </c>
      <c r="AC301" s="27">
        <f>(M301*'RAP TEMPLATE-GAS AVAILABILITY'!O300+N301*'RAP TEMPLATE-GAS AVAILABILITY'!P300+O301*'RAP TEMPLATE-GAS AVAILABILITY'!Q300+P301*'RAP TEMPLATE-GAS AVAILABILITY'!R300)/('RAP TEMPLATE-GAS AVAILABILITY'!O300+'RAP TEMPLATE-GAS AVAILABILITY'!P300+'RAP TEMPLATE-GAS AVAILABILITY'!Q300+'RAP TEMPLATE-GAS AVAILABILITY'!R300)</f>
        <v>10.573071223021582</v>
      </c>
    </row>
    <row r="302" spans="1:29" ht="15.75" x14ac:dyDescent="0.25">
      <c r="A302" s="15">
        <v>50072</v>
      </c>
      <c r="B302" s="10">
        <f>CHOOSE(CONTROL!$C$42, 10.8405, 10.8405) * CHOOSE(CONTROL!$C$21, $C$9, 100%, $E$9)</f>
        <v>10.8405</v>
      </c>
      <c r="C302" s="10">
        <f>CHOOSE(CONTROL!$C$42, 10.8455, 10.8455) * CHOOSE(CONTROL!$C$21, $C$9, 100%, $E$9)</f>
        <v>10.845499999999999</v>
      </c>
      <c r="D302" s="10">
        <f>CHOOSE(CONTROL!$C$42, 10.906, 10.906) * CHOOSE(CONTROL!$C$21, $C$9, 100%, $E$9)</f>
        <v>10.906000000000001</v>
      </c>
      <c r="E302" s="10">
        <f>CHOOSE(CONTROL!$C$42, 10.9398, 10.9398) * CHOOSE(CONTROL!$C$21, $C$9, 100%, $E$9)</f>
        <v>10.9398</v>
      </c>
      <c r="F302" s="10">
        <f>CHOOSE(CONTROL!$C$42, 10.8338, 10.8338)*CHOOSE(CONTROL!$C$21, $C$9, 100%, $E$9)</f>
        <v>10.8338</v>
      </c>
      <c r="G302" s="10">
        <f>CHOOSE(CONTROL!$C$42, 10.8511, 10.8511)*CHOOSE(CONTROL!$C$21, $C$9, 100%, $E$9)</f>
        <v>10.851100000000001</v>
      </c>
      <c r="H302" s="10">
        <f>CHOOSE(CONTROL!$C$42, 10.929, 10.929) * CHOOSE(CONTROL!$C$21, $C$9, 100%, $E$9)</f>
        <v>10.929</v>
      </c>
      <c r="I302" s="10">
        <f>CHOOSE(CONTROL!$C$42, 10.8273, 10.8273)* CHOOSE(CONTROL!$C$21, $C$9, 100%, $E$9)</f>
        <v>10.827299999999999</v>
      </c>
      <c r="J302" s="10">
        <f>CHOOSE(CONTROL!$C$42, 10.8268, 10.8268)* CHOOSE(CONTROL!$C$21, $C$9, 100%, $E$9)</f>
        <v>10.8268</v>
      </c>
      <c r="K302" s="54">
        <f>CHOOSE(CONTROL!$C$42, 10.8234, 10.8234) * CHOOSE(CONTROL!$C$21, $C$9, 100%, $E$9)</f>
        <v>10.823399999999999</v>
      </c>
      <c r="L302" s="10">
        <f>CHOOSE(CONTROL!$C$42, 11.516, 11.516) * CHOOSE(CONTROL!$C$21, $C$9, 100%, $E$9)</f>
        <v>11.516</v>
      </c>
      <c r="M302" s="10">
        <f>CHOOSE(CONTROL!$C$42, 10.7313, 10.7313) * CHOOSE(CONTROL!$C$21, $C$9, 100%, $E$9)</f>
        <v>10.731299999999999</v>
      </c>
      <c r="N302" s="10">
        <f>CHOOSE(CONTROL!$C$42, 10.7484, 10.7484) * CHOOSE(CONTROL!$C$21, $C$9, 100%, $E$9)</f>
        <v>10.7484</v>
      </c>
      <c r="O302" s="10">
        <f>CHOOSE(CONTROL!$C$42, 10.8325, 10.8325) * CHOOSE(CONTROL!$C$21, $C$9, 100%, $E$9)</f>
        <v>10.8325</v>
      </c>
      <c r="P302" s="10">
        <f>CHOOSE(CONTROL!$C$42, 10.7319, 10.7319) * CHOOSE(CONTROL!$C$21, $C$9, 100%, $E$9)</f>
        <v>10.7319</v>
      </c>
      <c r="Q302" s="10">
        <f>CHOOSE(CONTROL!$C$42, 11.4278, 11.4278) * CHOOSE(CONTROL!$C$21, $C$9, 100%, $E$9)</f>
        <v>11.4278</v>
      </c>
      <c r="R302" s="10">
        <f>CHOOSE(CONTROL!$C$42, 12.0434, 12.0434) * CHOOSE(CONTROL!$C$21, $C$9, 100%, $E$9)</f>
        <v>12.0434</v>
      </c>
      <c r="S302" s="10">
        <f>CHOOSE(CONTROL!$C$42, 10.5251, 10.5251) * CHOOSE(CONTROL!$C$21, $C$9, 100%, $E$9)</f>
        <v>10.5251</v>
      </c>
      <c r="T302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302" s="58">
        <f>(1000*CHOOSE(CONTROL!$C$42, 695, 695)*CHOOSE(CONTROL!$C$42, 0.5599, 0.5599)*CHOOSE(CONTROL!$C$42, 28, 28))/1000000</f>
        <v>10.895653999999999</v>
      </c>
      <c r="V302" s="58">
        <f>(1000*CHOOSE(CONTROL!$C$42, 500, 500)*CHOOSE(CONTROL!$C$42, 0.275, 0.275)*CHOOSE(CONTROL!$C$42, 28, 28))/1000000</f>
        <v>3.85</v>
      </c>
      <c r="W302" s="58">
        <f>(1000*CHOOSE(CONTROL!$C$42, 0.1146, 0.1146)*CHOOSE(CONTROL!$C$42, 121.5, 121.5)*CHOOSE(CONTROL!$C$42, 28, 28))/1000000</f>
        <v>0.38986920000000003</v>
      </c>
      <c r="X302" s="58">
        <f>(28*0.1790888*100000/1000000)+(28*0.2374*100000/1000000)</f>
        <v>1.16616864</v>
      </c>
      <c r="Y302" s="58"/>
      <c r="Z302" s="10"/>
      <c r="AA302" s="57"/>
      <c r="AB302" s="51">
        <f>(B302*122.58+C302*297.941+D302*89.177+E302*40.302+F302*40+G302*160+H302*0+I302*100+J302*300)/(122.58+297.941+89.177+40.302+0+40+160+100+300)</f>
        <v>10.846874597478262</v>
      </c>
      <c r="AC302" s="27">
        <f>(M302*'RAP TEMPLATE-GAS AVAILABILITY'!O301+N302*'RAP TEMPLATE-GAS AVAILABILITY'!P301+O302*'RAP TEMPLATE-GAS AVAILABILITY'!Q301+P302*'RAP TEMPLATE-GAS AVAILABILITY'!R301)/('RAP TEMPLATE-GAS AVAILABILITY'!O301+'RAP TEMPLATE-GAS AVAILABILITY'!P301+'RAP TEMPLATE-GAS AVAILABILITY'!Q301+'RAP TEMPLATE-GAS AVAILABILITY'!R301)</f>
        <v>10.778238129496403</v>
      </c>
    </row>
    <row r="303" spans="1:29" ht="15.75" x14ac:dyDescent="0.25">
      <c r="A303" s="15">
        <v>50100</v>
      </c>
      <c r="B303" s="10">
        <f>CHOOSE(CONTROL!$C$42, 10.5328, 10.5328) * CHOOSE(CONTROL!$C$21, $C$9, 100%, $E$9)</f>
        <v>10.5328</v>
      </c>
      <c r="C303" s="10">
        <f>CHOOSE(CONTROL!$C$42, 10.5378, 10.5378) * CHOOSE(CONTROL!$C$21, $C$9, 100%, $E$9)</f>
        <v>10.537800000000001</v>
      </c>
      <c r="D303" s="10">
        <f>CHOOSE(CONTROL!$C$42, 10.5983, 10.5983) * CHOOSE(CONTROL!$C$21, $C$9, 100%, $E$9)</f>
        <v>10.5983</v>
      </c>
      <c r="E303" s="10">
        <f>CHOOSE(CONTROL!$C$42, 10.6321, 10.6321) * CHOOSE(CONTROL!$C$21, $C$9, 100%, $E$9)</f>
        <v>10.632099999999999</v>
      </c>
      <c r="F303" s="10">
        <f>CHOOSE(CONTROL!$C$42, 10.5206, 10.5206)*CHOOSE(CONTROL!$C$21, $C$9, 100%, $E$9)</f>
        <v>10.5206</v>
      </c>
      <c r="G303" s="10">
        <f>CHOOSE(CONTROL!$C$42, 10.5378, 10.5378)*CHOOSE(CONTROL!$C$21, $C$9, 100%, $E$9)</f>
        <v>10.537800000000001</v>
      </c>
      <c r="H303" s="10">
        <f>CHOOSE(CONTROL!$C$42, 10.6213, 10.6213) * CHOOSE(CONTROL!$C$21, $C$9, 100%, $E$9)</f>
        <v>10.6213</v>
      </c>
      <c r="I303" s="10">
        <f>CHOOSE(CONTROL!$C$42, 10.5067, 10.5067)* CHOOSE(CONTROL!$C$21, $C$9, 100%, $E$9)</f>
        <v>10.5067</v>
      </c>
      <c r="J303" s="10">
        <f>CHOOSE(CONTROL!$C$42, 10.5136, 10.5136)* CHOOSE(CONTROL!$C$21, $C$9, 100%, $E$9)</f>
        <v>10.5136</v>
      </c>
      <c r="K303" s="54">
        <f>CHOOSE(CONTROL!$C$42, 10.5028, 10.5028) * CHOOSE(CONTROL!$C$21, $C$9, 100%, $E$9)</f>
        <v>10.502800000000001</v>
      </c>
      <c r="L303" s="10">
        <f>CHOOSE(CONTROL!$C$42, 11.2083, 11.2083) * CHOOSE(CONTROL!$C$21, $C$9, 100%, $E$9)</f>
        <v>11.208299999999999</v>
      </c>
      <c r="M303" s="10">
        <f>CHOOSE(CONTROL!$C$42, 10.4213, 10.4213) * CHOOSE(CONTROL!$C$21, $C$9, 100%, $E$9)</f>
        <v>10.4213</v>
      </c>
      <c r="N303" s="10">
        <f>CHOOSE(CONTROL!$C$42, 10.4383, 10.4383) * CHOOSE(CONTROL!$C$21, $C$9, 100%, $E$9)</f>
        <v>10.4383</v>
      </c>
      <c r="O303" s="10">
        <f>CHOOSE(CONTROL!$C$42, 10.5279, 10.5279) * CHOOSE(CONTROL!$C$21, $C$9, 100%, $E$9)</f>
        <v>10.527900000000001</v>
      </c>
      <c r="P303" s="10">
        <f>CHOOSE(CONTROL!$C$42, 10.4146, 10.4146) * CHOOSE(CONTROL!$C$21, $C$9, 100%, $E$9)</f>
        <v>10.4146</v>
      </c>
      <c r="Q303" s="10">
        <f>CHOOSE(CONTROL!$C$42, 11.1232, 11.1232) * CHOOSE(CONTROL!$C$21, $C$9, 100%, $E$9)</f>
        <v>11.123200000000001</v>
      </c>
      <c r="R303" s="10">
        <f>CHOOSE(CONTROL!$C$42, 11.738, 11.738) * CHOOSE(CONTROL!$C$21, $C$9, 100%, $E$9)</f>
        <v>11.738</v>
      </c>
      <c r="S303" s="10">
        <f>CHOOSE(CONTROL!$C$42, 10.2263, 10.2263) * CHOOSE(CONTROL!$C$21, $C$9, 100%, $E$9)</f>
        <v>10.2263</v>
      </c>
      <c r="T303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303" s="58">
        <f>(1000*CHOOSE(CONTROL!$C$42, 695, 695)*CHOOSE(CONTROL!$C$42, 0.5599, 0.5599)*CHOOSE(CONTROL!$C$42, 31, 31))/1000000</f>
        <v>12.063045499999998</v>
      </c>
      <c r="V303" s="58">
        <f>(1000*CHOOSE(CONTROL!$C$42, 500, 500)*CHOOSE(CONTROL!$C$42, 0.275, 0.275)*CHOOSE(CONTROL!$C$42, 31, 31))/1000000</f>
        <v>4.2625000000000002</v>
      </c>
      <c r="W303" s="58">
        <f>(1000*CHOOSE(CONTROL!$C$42, 0.1146, 0.1146)*CHOOSE(CONTROL!$C$42, 121.5, 121.5)*CHOOSE(CONTROL!$C$42, 31, 31))/1000000</f>
        <v>0.43164089999999994</v>
      </c>
      <c r="X303" s="58">
        <f>(31*0.1790888*100000/1000000)+(31*0.2374*100000/1000000)</f>
        <v>1.2911152800000001</v>
      </c>
      <c r="Y303" s="58"/>
      <c r="Z303" s="10"/>
      <c r="AA303" s="57"/>
      <c r="AB303" s="51">
        <f>(B303*122.58+C303*297.941+D303*89.177+E303*40.302+F303*40+G303*160+H303*0+I303*100+J303*300)/(122.58+297.941+89.177+40.302+0+40+160+100+300)</f>
        <v>10.535647640956523</v>
      </c>
      <c r="AC303" s="27">
        <f>(M303*'RAP TEMPLATE-GAS AVAILABILITY'!O302+N303*'RAP TEMPLATE-GAS AVAILABILITY'!P302+O303*'RAP TEMPLATE-GAS AVAILABILITY'!Q302+P303*'RAP TEMPLATE-GAS AVAILABILITY'!R302)/('RAP TEMPLATE-GAS AVAILABILITY'!O302+'RAP TEMPLATE-GAS AVAILABILITY'!P302+'RAP TEMPLATE-GAS AVAILABILITY'!Q302+'RAP TEMPLATE-GAS AVAILABILITY'!R302)</f>
        <v>10.469629496402879</v>
      </c>
    </row>
    <row r="304" spans="1:29" ht="15.75" x14ac:dyDescent="0.25">
      <c r="A304" s="15">
        <v>50131</v>
      </c>
      <c r="B304" s="10">
        <f>CHOOSE(CONTROL!$C$42, 10.5025, 10.5025) * CHOOSE(CONTROL!$C$21, $C$9, 100%, $E$9)</f>
        <v>10.5025</v>
      </c>
      <c r="C304" s="10">
        <f>CHOOSE(CONTROL!$C$42, 10.5069, 10.5069) * CHOOSE(CONTROL!$C$21, $C$9, 100%, $E$9)</f>
        <v>10.5069</v>
      </c>
      <c r="D304" s="10">
        <f>CHOOSE(CONTROL!$C$42, 10.7024, 10.7024) * CHOOSE(CONTROL!$C$21, $C$9, 100%, $E$9)</f>
        <v>10.702400000000001</v>
      </c>
      <c r="E304" s="10">
        <f>CHOOSE(CONTROL!$C$42, 10.7342, 10.7342) * CHOOSE(CONTROL!$C$21, $C$9, 100%, $E$9)</f>
        <v>10.7342</v>
      </c>
      <c r="F304" s="10">
        <f>CHOOSE(CONTROL!$C$42, 10.4703, 10.4703)*CHOOSE(CONTROL!$C$21, $C$9, 100%, $E$9)</f>
        <v>10.4703</v>
      </c>
      <c r="G304" s="10">
        <f>CHOOSE(CONTROL!$C$42, 10.4871, 10.4871)*CHOOSE(CONTROL!$C$21, $C$9, 100%, $E$9)</f>
        <v>10.4871</v>
      </c>
      <c r="H304" s="10">
        <f>CHOOSE(CONTROL!$C$42, 10.724, 10.724) * CHOOSE(CONTROL!$C$21, $C$9, 100%, $E$9)</f>
        <v>10.724</v>
      </c>
      <c r="I304" s="10">
        <f>CHOOSE(CONTROL!$C$42, 10.4705, 10.4705)* CHOOSE(CONTROL!$C$21, $C$9, 100%, $E$9)</f>
        <v>10.470499999999999</v>
      </c>
      <c r="J304" s="10">
        <f>CHOOSE(CONTROL!$C$42, 10.4633, 10.4633)* CHOOSE(CONTROL!$C$21, $C$9, 100%, $E$9)</f>
        <v>10.4633</v>
      </c>
      <c r="K304" s="54">
        <f>CHOOSE(CONTROL!$C$42, 10.4666, 10.4666) * CHOOSE(CONTROL!$C$21, $C$9, 100%, $E$9)</f>
        <v>10.4666</v>
      </c>
      <c r="L304" s="10">
        <f>CHOOSE(CONTROL!$C$42, 11.311, 11.311) * CHOOSE(CONTROL!$C$21, $C$9, 100%, $E$9)</f>
        <v>11.311</v>
      </c>
      <c r="M304" s="10">
        <f>CHOOSE(CONTROL!$C$42, 10.3715, 10.3715) * CHOOSE(CONTROL!$C$21, $C$9, 100%, $E$9)</f>
        <v>10.371499999999999</v>
      </c>
      <c r="N304" s="10">
        <f>CHOOSE(CONTROL!$C$42, 10.3881, 10.3881) * CHOOSE(CONTROL!$C$21, $C$9, 100%, $E$9)</f>
        <v>10.3881</v>
      </c>
      <c r="O304" s="10">
        <f>CHOOSE(CONTROL!$C$42, 10.6296, 10.6296) * CHOOSE(CONTROL!$C$21, $C$9, 100%, $E$9)</f>
        <v>10.6296</v>
      </c>
      <c r="P304" s="10">
        <f>CHOOSE(CONTROL!$C$42, 10.3787, 10.3787) * CHOOSE(CONTROL!$C$21, $C$9, 100%, $E$9)</f>
        <v>10.3787</v>
      </c>
      <c r="Q304" s="10">
        <f>CHOOSE(CONTROL!$C$42, 11.2249, 11.2249) * CHOOSE(CONTROL!$C$21, $C$9, 100%, $E$9)</f>
        <v>11.2249</v>
      </c>
      <c r="R304" s="10">
        <f>CHOOSE(CONTROL!$C$42, 11.84, 11.84) * CHOOSE(CONTROL!$C$21, $C$9, 100%, $E$9)</f>
        <v>11.84</v>
      </c>
      <c r="S304" s="10">
        <f>CHOOSE(CONTROL!$C$42, 10.1961, 10.1961) * CHOOSE(CONTROL!$C$21, $C$9, 100%, $E$9)</f>
        <v>10.196099999999999</v>
      </c>
      <c r="T304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304" s="58">
        <f>(1000*CHOOSE(CONTROL!$C$42, 695, 695)*CHOOSE(CONTROL!$C$42, 0.5599, 0.5599)*CHOOSE(CONTROL!$C$42, 30, 30))/1000000</f>
        <v>11.673914999999997</v>
      </c>
      <c r="V304" s="58">
        <f>(1000*CHOOSE(CONTROL!$C$42, 500, 500)*CHOOSE(CONTROL!$C$42, 0.275, 0.275)*CHOOSE(CONTROL!$C$42, 30, 30))/1000000</f>
        <v>4.125</v>
      </c>
      <c r="W304" s="58">
        <f>(1000*CHOOSE(CONTROL!$C$42, 0.1146, 0.1146)*CHOOSE(CONTROL!$C$42, 121.5, 121.5)*CHOOSE(CONTROL!$C$42, 30, 30))/1000000</f>
        <v>0.417717</v>
      </c>
      <c r="X304" s="58">
        <f>(30*0.1790888*245000/1000000)+(30*0.2374*100000/1000000)</f>
        <v>2.0285026799999999</v>
      </c>
      <c r="Y304" s="58"/>
      <c r="Z304" s="10"/>
      <c r="AA304" s="57"/>
      <c r="AB304" s="51">
        <f>(B304*141.293+C304*267.993+D304*115.016+E304*89.698+F304*40+G304*185+H304*0+I304*100+J304*300)/(141.293+267.993+115.016+89.698+0+40+185+100+300)</f>
        <v>10.523369164003228</v>
      </c>
      <c r="AC304" s="27">
        <f>(M304*'RAP TEMPLATE-GAS AVAILABILITY'!O303+N304*'RAP TEMPLATE-GAS AVAILABILITY'!P303+O304*'RAP TEMPLATE-GAS AVAILABILITY'!Q303+P304*'RAP TEMPLATE-GAS AVAILABILITY'!R303)/('RAP TEMPLATE-GAS AVAILABILITY'!O303+'RAP TEMPLATE-GAS AVAILABILITY'!P303+'RAP TEMPLATE-GAS AVAILABILITY'!Q303+'RAP TEMPLATE-GAS AVAILABILITY'!R303)</f>
        <v>10.448774100719424</v>
      </c>
    </row>
    <row r="305" spans="1:29" ht="15.75" x14ac:dyDescent="0.25">
      <c r="A305" s="15">
        <v>50161</v>
      </c>
      <c r="B305" s="10">
        <f>CHOOSE(CONTROL!$C$42, 10.5965, 10.5965) * CHOOSE(CONTROL!$C$21, $C$9, 100%, $E$9)</f>
        <v>10.596500000000001</v>
      </c>
      <c r="C305" s="10">
        <f>CHOOSE(CONTROL!$C$42, 10.6045, 10.6045) * CHOOSE(CONTROL!$C$21, $C$9, 100%, $E$9)</f>
        <v>10.6045</v>
      </c>
      <c r="D305" s="10">
        <f>CHOOSE(CONTROL!$C$42, 10.7969, 10.7969) * CHOOSE(CONTROL!$C$21, $C$9, 100%, $E$9)</f>
        <v>10.796900000000001</v>
      </c>
      <c r="E305" s="10">
        <f>CHOOSE(CONTROL!$C$42, 10.828, 10.828) * CHOOSE(CONTROL!$C$21, $C$9, 100%, $E$9)</f>
        <v>10.827999999999999</v>
      </c>
      <c r="F305" s="10">
        <f>CHOOSE(CONTROL!$C$42, 10.5628, 10.5628)*CHOOSE(CONTROL!$C$21, $C$9, 100%, $E$9)</f>
        <v>10.562799999999999</v>
      </c>
      <c r="G305" s="10">
        <f>CHOOSE(CONTROL!$C$42, 10.5799, 10.5799)*CHOOSE(CONTROL!$C$21, $C$9, 100%, $E$9)</f>
        <v>10.5799</v>
      </c>
      <c r="H305" s="10">
        <f>CHOOSE(CONTROL!$C$42, 10.8167, 10.8167) * CHOOSE(CONTROL!$C$21, $C$9, 100%, $E$9)</f>
        <v>10.816700000000001</v>
      </c>
      <c r="I305" s="10">
        <f>CHOOSE(CONTROL!$C$42, 10.5631, 10.5631)* CHOOSE(CONTROL!$C$21, $C$9, 100%, $E$9)</f>
        <v>10.5631</v>
      </c>
      <c r="J305" s="10">
        <f>CHOOSE(CONTROL!$C$42, 10.5558, 10.5558)* CHOOSE(CONTROL!$C$21, $C$9, 100%, $E$9)</f>
        <v>10.5558</v>
      </c>
      <c r="K305" s="54">
        <f>CHOOSE(CONTROL!$C$42, 10.5592, 10.5592) * CHOOSE(CONTROL!$C$21, $C$9, 100%, $E$9)</f>
        <v>10.559200000000001</v>
      </c>
      <c r="L305" s="10">
        <f>CHOOSE(CONTROL!$C$42, 11.4037, 11.4037) * CHOOSE(CONTROL!$C$21, $C$9, 100%, $E$9)</f>
        <v>11.403700000000001</v>
      </c>
      <c r="M305" s="10">
        <f>CHOOSE(CONTROL!$C$42, 10.4631, 10.4631) * CHOOSE(CONTROL!$C$21, $C$9, 100%, $E$9)</f>
        <v>10.463100000000001</v>
      </c>
      <c r="N305" s="10">
        <f>CHOOSE(CONTROL!$C$42, 10.48, 10.48) * CHOOSE(CONTROL!$C$21, $C$9, 100%, $E$9)</f>
        <v>10.48</v>
      </c>
      <c r="O305" s="10">
        <f>CHOOSE(CONTROL!$C$42, 10.7213, 10.7213) * CHOOSE(CONTROL!$C$21, $C$9, 100%, $E$9)</f>
        <v>10.721299999999999</v>
      </c>
      <c r="P305" s="10">
        <f>CHOOSE(CONTROL!$C$42, 10.4704, 10.4704) * CHOOSE(CONTROL!$C$21, $C$9, 100%, $E$9)</f>
        <v>10.4704</v>
      </c>
      <c r="Q305" s="10">
        <f>CHOOSE(CONTROL!$C$42, 11.3166, 11.3166) * CHOOSE(CONTROL!$C$21, $C$9, 100%, $E$9)</f>
        <v>11.316599999999999</v>
      </c>
      <c r="R305" s="10">
        <f>CHOOSE(CONTROL!$C$42, 11.9319, 11.9319) * CHOOSE(CONTROL!$C$21, $C$9, 100%, $E$9)</f>
        <v>11.931900000000001</v>
      </c>
      <c r="S305" s="10">
        <f>CHOOSE(CONTROL!$C$42, 10.2861, 10.2861) * CHOOSE(CONTROL!$C$21, $C$9, 100%, $E$9)</f>
        <v>10.286099999999999</v>
      </c>
      <c r="T305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305" s="58">
        <f>(1000*CHOOSE(CONTROL!$C$42, 695, 695)*CHOOSE(CONTROL!$C$42, 0.5599, 0.5599)*CHOOSE(CONTROL!$C$42, 31, 31))/1000000</f>
        <v>12.063045499999998</v>
      </c>
      <c r="V305" s="58">
        <f>(1000*CHOOSE(CONTROL!$C$42, 500, 500)*CHOOSE(CONTROL!$C$42, 0.275, 0.275)*CHOOSE(CONTROL!$C$42, 31, 31))/1000000</f>
        <v>4.2625000000000002</v>
      </c>
      <c r="W305" s="58">
        <f>(1000*CHOOSE(CONTROL!$C$42, 0.1146, 0.1146)*CHOOSE(CONTROL!$C$42, 121.5, 121.5)*CHOOSE(CONTROL!$C$42, 31, 31))/1000000</f>
        <v>0.43164089999999994</v>
      </c>
      <c r="X305" s="58">
        <f>(31*0.1790888*245000/1000000)+(31*0.2374*100000/1000000)</f>
        <v>2.0961194359999999</v>
      </c>
      <c r="Y305" s="58"/>
      <c r="Z305" s="10"/>
      <c r="AA305" s="57"/>
      <c r="AB305" s="51">
        <f>(B305*194.205+C305*267.466+D305*133.845+E305*53.484+F305*40+G305*185+H305*0+I305*100+J305*300)/(194.205+267.466+133.845+53.484+0+40+185+100+300)</f>
        <v>10.613277717425431</v>
      </c>
      <c r="AC305" s="27">
        <f>(M305*'RAP TEMPLATE-GAS AVAILABILITY'!O304+N305*'RAP TEMPLATE-GAS AVAILABILITY'!P304+O305*'RAP TEMPLATE-GAS AVAILABILITY'!Q304+P305*'RAP TEMPLATE-GAS AVAILABILITY'!R304)/('RAP TEMPLATE-GAS AVAILABILITY'!O304+'RAP TEMPLATE-GAS AVAILABILITY'!P304+'RAP TEMPLATE-GAS AVAILABILITY'!Q304+'RAP TEMPLATE-GAS AVAILABILITY'!R304)</f>
        <v>10.540485611510791</v>
      </c>
    </row>
    <row r="306" spans="1:29" ht="15.75" x14ac:dyDescent="0.25">
      <c r="A306" s="15">
        <v>50192</v>
      </c>
      <c r="B306" s="10">
        <f>CHOOSE(CONTROL!$C$42, 10.897, 10.897) * CHOOSE(CONTROL!$C$21, $C$9, 100%, $E$9)</f>
        <v>10.897</v>
      </c>
      <c r="C306" s="10">
        <f>CHOOSE(CONTROL!$C$42, 10.9049, 10.9049) * CHOOSE(CONTROL!$C$21, $C$9, 100%, $E$9)</f>
        <v>10.9049</v>
      </c>
      <c r="D306" s="10">
        <f>CHOOSE(CONTROL!$C$42, 11.0973, 11.0973) * CHOOSE(CONTROL!$C$21, $C$9, 100%, $E$9)</f>
        <v>11.097300000000001</v>
      </c>
      <c r="E306" s="10">
        <f>CHOOSE(CONTROL!$C$42, 11.1285, 11.1285) * CHOOSE(CONTROL!$C$21, $C$9, 100%, $E$9)</f>
        <v>11.128500000000001</v>
      </c>
      <c r="F306" s="10">
        <f>CHOOSE(CONTROL!$C$42, 10.8635, 10.8635)*CHOOSE(CONTROL!$C$21, $C$9, 100%, $E$9)</f>
        <v>10.8635</v>
      </c>
      <c r="G306" s="10">
        <f>CHOOSE(CONTROL!$C$42, 10.8806, 10.8806)*CHOOSE(CONTROL!$C$21, $C$9, 100%, $E$9)</f>
        <v>10.880599999999999</v>
      </c>
      <c r="H306" s="10">
        <f>CHOOSE(CONTROL!$C$42, 11.1171, 11.1171) * CHOOSE(CONTROL!$C$21, $C$9, 100%, $E$9)</f>
        <v>11.117100000000001</v>
      </c>
      <c r="I306" s="10">
        <f>CHOOSE(CONTROL!$C$42, 10.8635, 10.8635)* CHOOSE(CONTROL!$C$21, $C$9, 100%, $E$9)</f>
        <v>10.8635</v>
      </c>
      <c r="J306" s="10">
        <f>CHOOSE(CONTROL!$C$42, 10.8565, 10.8565)* CHOOSE(CONTROL!$C$21, $C$9, 100%, $E$9)</f>
        <v>10.8565</v>
      </c>
      <c r="K306" s="54">
        <f>CHOOSE(CONTROL!$C$42, 10.8597, 10.8597) * CHOOSE(CONTROL!$C$21, $C$9, 100%, $E$9)</f>
        <v>10.8597</v>
      </c>
      <c r="L306" s="10">
        <f>CHOOSE(CONTROL!$C$42, 11.7041, 11.7041) * CHOOSE(CONTROL!$C$21, $C$9, 100%, $E$9)</f>
        <v>11.7041</v>
      </c>
      <c r="M306" s="10">
        <f>CHOOSE(CONTROL!$C$42, 10.7607, 10.7607) * CHOOSE(CONTROL!$C$21, $C$9, 100%, $E$9)</f>
        <v>10.7607</v>
      </c>
      <c r="N306" s="10">
        <f>CHOOSE(CONTROL!$C$42, 10.7777, 10.7777) * CHOOSE(CONTROL!$C$21, $C$9, 100%, $E$9)</f>
        <v>10.777699999999999</v>
      </c>
      <c r="O306" s="10">
        <f>CHOOSE(CONTROL!$C$42, 11.0187, 11.0187) * CHOOSE(CONTROL!$C$21, $C$9, 100%, $E$9)</f>
        <v>11.018700000000001</v>
      </c>
      <c r="P306" s="10">
        <f>CHOOSE(CONTROL!$C$42, 10.7678, 10.7678) * CHOOSE(CONTROL!$C$21, $C$9, 100%, $E$9)</f>
        <v>10.767799999999999</v>
      </c>
      <c r="Q306" s="10">
        <f>CHOOSE(CONTROL!$C$42, 11.614, 11.614) * CHOOSE(CONTROL!$C$21, $C$9, 100%, $E$9)</f>
        <v>11.614000000000001</v>
      </c>
      <c r="R306" s="10">
        <f>CHOOSE(CONTROL!$C$42, 12.2301, 12.2301) * CHOOSE(CONTROL!$C$21, $C$9, 100%, $E$9)</f>
        <v>12.2301</v>
      </c>
      <c r="S306" s="10">
        <f>CHOOSE(CONTROL!$C$42, 10.5778, 10.5778) * CHOOSE(CONTROL!$C$21, $C$9, 100%, $E$9)</f>
        <v>10.5778</v>
      </c>
      <c r="T306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306" s="58">
        <f>(1000*CHOOSE(CONTROL!$C$42, 695, 695)*CHOOSE(CONTROL!$C$42, 0.5599, 0.5599)*CHOOSE(CONTROL!$C$42, 30, 30))/1000000</f>
        <v>11.673914999999997</v>
      </c>
      <c r="V306" s="58">
        <f>(1000*CHOOSE(CONTROL!$C$42, 500, 500)*CHOOSE(CONTROL!$C$42, 0.275, 0.275)*CHOOSE(CONTROL!$C$42, 30, 30))/1000000</f>
        <v>4.125</v>
      </c>
      <c r="W306" s="58">
        <f>(1000*CHOOSE(CONTROL!$C$42, 0.1146, 0.1146)*CHOOSE(CONTROL!$C$42, 121.5, 121.5)*CHOOSE(CONTROL!$C$42, 30, 30))/1000000</f>
        <v>0.417717</v>
      </c>
      <c r="X306" s="58">
        <f>(30*0.1790888*245000/1000000)+(30*0.2374*100000/1000000)</f>
        <v>2.0285026799999999</v>
      </c>
      <c r="Y306" s="58"/>
      <c r="Z306" s="10"/>
      <c r="AA306" s="57"/>
      <c r="AB306" s="51">
        <f>(B306*194.205+C306*267.466+D306*133.845+E306*53.484+F306*40+G306*185+H306*0+I306*100+J306*300)/(194.205+267.466+133.845+53.484+0+40+185+100+300)</f>
        <v>10.913820785635794</v>
      </c>
      <c r="AC306" s="27">
        <f>(M306*'RAP TEMPLATE-GAS AVAILABILITY'!O305+N306*'RAP TEMPLATE-GAS AVAILABILITY'!P305+O306*'RAP TEMPLATE-GAS AVAILABILITY'!Q305+P306*'RAP TEMPLATE-GAS AVAILABILITY'!R305)/('RAP TEMPLATE-GAS AVAILABILITY'!O305+'RAP TEMPLATE-GAS AVAILABILITY'!P305+'RAP TEMPLATE-GAS AVAILABILITY'!Q305+'RAP TEMPLATE-GAS AVAILABILITY'!R305)</f>
        <v>10.838023741007195</v>
      </c>
    </row>
    <row r="307" spans="1:29" ht="15.75" x14ac:dyDescent="0.25">
      <c r="A307" s="15">
        <v>50222</v>
      </c>
      <c r="B307" s="10">
        <f>CHOOSE(CONTROL!$C$42, 10.688, 10.688) * CHOOSE(CONTROL!$C$21, $C$9, 100%, $E$9)</f>
        <v>10.688000000000001</v>
      </c>
      <c r="C307" s="10">
        <f>CHOOSE(CONTROL!$C$42, 10.6959, 10.6959) * CHOOSE(CONTROL!$C$21, $C$9, 100%, $E$9)</f>
        <v>10.6959</v>
      </c>
      <c r="D307" s="10">
        <f>CHOOSE(CONTROL!$C$42, 10.8884, 10.8884) * CHOOSE(CONTROL!$C$21, $C$9, 100%, $E$9)</f>
        <v>10.888400000000001</v>
      </c>
      <c r="E307" s="10">
        <f>CHOOSE(CONTROL!$C$42, 10.9195, 10.9195) * CHOOSE(CONTROL!$C$21, $C$9, 100%, $E$9)</f>
        <v>10.919499999999999</v>
      </c>
      <c r="F307" s="10">
        <f>CHOOSE(CONTROL!$C$42, 10.6549, 10.6549)*CHOOSE(CONTROL!$C$21, $C$9, 100%, $E$9)</f>
        <v>10.6549</v>
      </c>
      <c r="G307" s="10">
        <f>CHOOSE(CONTROL!$C$42, 10.6722, 10.6722)*CHOOSE(CONTROL!$C$21, $C$9, 100%, $E$9)</f>
        <v>10.6722</v>
      </c>
      <c r="H307" s="10">
        <f>CHOOSE(CONTROL!$C$42, 10.9081, 10.9081) * CHOOSE(CONTROL!$C$21, $C$9, 100%, $E$9)</f>
        <v>10.908099999999999</v>
      </c>
      <c r="I307" s="10">
        <f>CHOOSE(CONTROL!$C$42, 10.6546, 10.6546)* CHOOSE(CONTROL!$C$21, $C$9, 100%, $E$9)</f>
        <v>10.6546</v>
      </c>
      <c r="J307" s="10">
        <f>CHOOSE(CONTROL!$C$42, 10.6479, 10.6479)* CHOOSE(CONTROL!$C$21, $C$9, 100%, $E$9)</f>
        <v>10.6479</v>
      </c>
      <c r="K307" s="54">
        <f>CHOOSE(CONTROL!$C$42, 10.6507, 10.6507) * CHOOSE(CONTROL!$C$21, $C$9, 100%, $E$9)</f>
        <v>10.650700000000001</v>
      </c>
      <c r="L307" s="10">
        <f>CHOOSE(CONTROL!$C$42, 11.4951, 11.4951) * CHOOSE(CONTROL!$C$21, $C$9, 100%, $E$9)</f>
        <v>11.495100000000001</v>
      </c>
      <c r="M307" s="10">
        <f>CHOOSE(CONTROL!$C$42, 10.5543, 10.5543) * CHOOSE(CONTROL!$C$21, $C$9, 100%, $E$9)</f>
        <v>10.5543</v>
      </c>
      <c r="N307" s="10">
        <f>CHOOSE(CONTROL!$C$42, 10.5714, 10.5714) * CHOOSE(CONTROL!$C$21, $C$9, 100%, $E$9)</f>
        <v>10.571400000000001</v>
      </c>
      <c r="O307" s="10">
        <f>CHOOSE(CONTROL!$C$42, 10.8119, 10.8119) * CHOOSE(CONTROL!$C$21, $C$9, 100%, $E$9)</f>
        <v>10.8119</v>
      </c>
      <c r="P307" s="10">
        <f>CHOOSE(CONTROL!$C$42, 10.5609, 10.5609) * CHOOSE(CONTROL!$C$21, $C$9, 100%, $E$9)</f>
        <v>10.5609</v>
      </c>
      <c r="Q307" s="10">
        <f>CHOOSE(CONTROL!$C$42, 11.4072, 11.4072) * CHOOSE(CONTROL!$C$21, $C$9, 100%, $E$9)</f>
        <v>11.4072</v>
      </c>
      <c r="R307" s="10">
        <f>CHOOSE(CONTROL!$C$42, 12.0227, 12.0227) * CHOOSE(CONTROL!$C$21, $C$9, 100%, $E$9)</f>
        <v>12.0227</v>
      </c>
      <c r="S307" s="10">
        <f>CHOOSE(CONTROL!$C$42, 10.3749, 10.3749) * CHOOSE(CONTROL!$C$21, $C$9, 100%, $E$9)</f>
        <v>10.3749</v>
      </c>
      <c r="T307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307" s="58">
        <f>(1000*CHOOSE(CONTROL!$C$42, 695, 695)*CHOOSE(CONTROL!$C$42, 0.5599, 0.5599)*CHOOSE(CONTROL!$C$42, 31, 31))/1000000</f>
        <v>12.063045499999998</v>
      </c>
      <c r="V307" s="58">
        <f>(1000*CHOOSE(CONTROL!$C$42, 500, 500)*CHOOSE(CONTROL!$C$42, 0.275, 0.275)*CHOOSE(CONTROL!$C$42, 31, 31))/1000000</f>
        <v>4.2625000000000002</v>
      </c>
      <c r="W307" s="58">
        <f>(1000*CHOOSE(CONTROL!$C$42, 0.1146, 0.1146)*CHOOSE(CONTROL!$C$42, 121.5, 121.5)*CHOOSE(CONTROL!$C$42, 31, 31))/1000000</f>
        <v>0.43164089999999994</v>
      </c>
      <c r="X307" s="58">
        <f>(31*0.1790888*245000/1000000)+(31*0.2374*100000/1000000)</f>
        <v>2.0961194359999999</v>
      </c>
      <c r="Y307" s="58"/>
      <c r="Z307" s="10"/>
      <c r="AA307" s="57"/>
      <c r="AB307" s="51">
        <f>(B307*194.205+C307*267.466+D307*133.845+E307*53.484+F307*40+G307*185+H307*0+I307*100+J307*300)/(194.205+267.466+133.845+53.484+0+40+185+100+300)</f>
        <v>10.705033018367347</v>
      </c>
      <c r="AC307" s="27">
        <f>(M307*'RAP TEMPLATE-GAS AVAILABILITY'!O306+N307*'RAP TEMPLATE-GAS AVAILABILITY'!P306+O307*'RAP TEMPLATE-GAS AVAILABILITY'!Q306+P307*'RAP TEMPLATE-GAS AVAILABILITY'!R306)/('RAP TEMPLATE-GAS AVAILABILITY'!O306+'RAP TEMPLATE-GAS AVAILABILITY'!P306+'RAP TEMPLATE-GAS AVAILABILITY'!Q306+'RAP TEMPLATE-GAS AVAILABILITY'!R306)</f>
        <v>10.631462589928057</v>
      </c>
    </row>
    <row r="308" spans="1:29" ht="15.75" x14ac:dyDescent="0.25">
      <c r="A308" s="15">
        <v>50253</v>
      </c>
      <c r="B308" s="10">
        <f>CHOOSE(CONTROL!$C$42, 10.1604, 10.1604) * CHOOSE(CONTROL!$C$21, $C$9, 100%, $E$9)</f>
        <v>10.160399999999999</v>
      </c>
      <c r="C308" s="10">
        <f>CHOOSE(CONTROL!$C$42, 10.1683, 10.1683) * CHOOSE(CONTROL!$C$21, $C$9, 100%, $E$9)</f>
        <v>10.1683</v>
      </c>
      <c r="D308" s="10">
        <f>CHOOSE(CONTROL!$C$42, 10.3607, 10.3607) * CHOOSE(CONTROL!$C$21, $C$9, 100%, $E$9)</f>
        <v>10.3607</v>
      </c>
      <c r="E308" s="10">
        <f>CHOOSE(CONTROL!$C$42, 10.3918, 10.3918) * CHOOSE(CONTROL!$C$21, $C$9, 100%, $E$9)</f>
        <v>10.3918</v>
      </c>
      <c r="F308" s="10">
        <f>CHOOSE(CONTROL!$C$42, 10.1274, 10.1274)*CHOOSE(CONTROL!$C$21, $C$9, 100%, $E$9)</f>
        <v>10.1274</v>
      </c>
      <c r="G308" s="10">
        <f>CHOOSE(CONTROL!$C$42, 10.1448, 10.1448)*CHOOSE(CONTROL!$C$21, $C$9, 100%, $E$9)</f>
        <v>10.1448</v>
      </c>
      <c r="H308" s="10">
        <f>CHOOSE(CONTROL!$C$42, 10.3805, 10.3805) * CHOOSE(CONTROL!$C$21, $C$9, 100%, $E$9)</f>
        <v>10.3805</v>
      </c>
      <c r="I308" s="10">
        <f>CHOOSE(CONTROL!$C$42, 10.1269, 10.1269)* CHOOSE(CONTROL!$C$21, $C$9, 100%, $E$9)</f>
        <v>10.126899999999999</v>
      </c>
      <c r="J308" s="10">
        <f>CHOOSE(CONTROL!$C$42, 10.1204, 10.1204)* CHOOSE(CONTROL!$C$21, $C$9, 100%, $E$9)</f>
        <v>10.1204</v>
      </c>
      <c r="K308" s="54">
        <f>CHOOSE(CONTROL!$C$42, 10.123, 10.123) * CHOOSE(CONTROL!$C$21, $C$9, 100%, $E$9)</f>
        <v>10.122999999999999</v>
      </c>
      <c r="L308" s="10">
        <f>CHOOSE(CONTROL!$C$42, 10.9675, 10.9675) * CHOOSE(CONTROL!$C$21, $C$9, 100%, $E$9)</f>
        <v>10.967499999999999</v>
      </c>
      <c r="M308" s="10">
        <f>CHOOSE(CONTROL!$C$42, 10.0321, 10.0321) * CHOOSE(CONTROL!$C$21, $C$9, 100%, $E$9)</f>
        <v>10.0321</v>
      </c>
      <c r="N308" s="10">
        <f>CHOOSE(CONTROL!$C$42, 10.0493, 10.0493) * CHOOSE(CONTROL!$C$21, $C$9, 100%, $E$9)</f>
        <v>10.049300000000001</v>
      </c>
      <c r="O308" s="10">
        <f>CHOOSE(CONTROL!$C$42, 10.2895, 10.2895) * CHOOSE(CONTROL!$C$21, $C$9, 100%, $E$9)</f>
        <v>10.2895</v>
      </c>
      <c r="P308" s="10">
        <f>CHOOSE(CONTROL!$C$42, 10.0386, 10.0386) * CHOOSE(CONTROL!$C$21, $C$9, 100%, $E$9)</f>
        <v>10.038600000000001</v>
      </c>
      <c r="Q308" s="10">
        <f>CHOOSE(CONTROL!$C$42, 10.8848, 10.8848) * CHOOSE(CONTROL!$C$21, $C$9, 100%, $E$9)</f>
        <v>10.8848</v>
      </c>
      <c r="R308" s="10">
        <f>CHOOSE(CONTROL!$C$42, 11.4991, 11.4991) * CHOOSE(CONTROL!$C$21, $C$9, 100%, $E$9)</f>
        <v>11.4991</v>
      </c>
      <c r="S308" s="10">
        <f>CHOOSE(CONTROL!$C$42, 9.8625, 9.8625) * CHOOSE(CONTROL!$C$21, $C$9, 100%, $E$9)</f>
        <v>9.8625000000000007</v>
      </c>
      <c r="T308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308" s="58">
        <f>(1000*CHOOSE(CONTROL!$C$42, 695, 695)*CHOOSE(CONTROL!$C$42, 0.5599, 0.5599)*CHOOSE(CONTROL!$C$42, 31, 31))/1000000</f>
        <v>12.063045499999998</v>
      </c>
      <c r="V308" s="58">
        <f>(1000*CHOOSE(CONTROL!$C$42, 500, 500)*CHOOSE(CONTROL!$C$42, 0.275, 0.275)*CHOOSE(CONTROL!$C$42, 31, 31))/1000000</f>
        <v>4.2625000000000002</v>
      </c>
      <c r="W308" s="58">
        <f>(1000*CHOOSE(CONTROL!$C$42, 0.1146, 0.1146)*CHOOSE(CONTROL!$C$42, 121.5, 121.5)*CHOOSE(CONTROL!$C$42, 31, 31))/1000000</f>
        <v>0.43164089999999994</v>
      </c>
      <c r="X308" s="58">
        <f>(31*0.1790888*245000/1000000)+(31*0.2374*100000/1000000)</f>
        <v>2.0961194359999999</v>
      </c>
      <c r="Y308" s="58"/>
      <c r="Z308" s="10"/>
      <c r="AA308" s="57"/>
      <c r="AB308" s="51">
        <f>(B308*194.205+C308*267.466+D308*133.845+E308*53.484+F308*40+G308*185+H308*0+I308*100+J308*300)/(194.205+267.466+133.845+53.484+0+40+185+100+300)</f>
        <v>10.177466195054945</v>
      </c>
      <c r="AC308" s="27">
        <f>(M308*'RAP TEMPLATE-GAS AVAILABILITY'!O307+N308*'RAP TEMPLATE-GAS AVAILABILITY'!P307+O308*'RAP TEMPLATE-GAS AVAILABILITY'!Q307+P308*'RAP TEMPLATE-GAS AVAILABILITY'!R307)/('RAP TEMPLATE-GAS AVAILABILITY'!O307+'RAP TEMPLATE-GAS AVAILABILITY'!P307+'RAP TEMPLATE-GAS AVAILABILITY'!Q307+'RAP TEMPLATE-GAS AVAILABILITY'!R307)</f>
        <v>10.109215107913668</v>
      </c>
    </row>
    <row r="309" spans="1:29" ht="15.75" x14ac:dyDescent="0.25">
      <c r="A309" s="15">
        <v>50284</v>
      </c>
      <c r="B309" s="10">
        <f>CHOOSE(CONTROL!$C$42, 9.5153, 9.5153) * CHOOSE(CONTROL!$C$21, $C$9, 100%, $E$9)</f>
        <v>9.5152999999999999</v>
      </c>
      <c r="C309" s="10">
        <f>CHOOSE(CONTROL!$C$42, 9.5232, 9.5232) * CHOOSE(CONTROL!$C$21, $C$9, 100%, $E$9)</f>
        <v>9.5231999999999992</v>
      </c>
      <c r="D309" s="10">
        <f>CHOOSE(CONTROL!$C$42, 9.7156, 9.7156) * CHOOSE(CONTROL!$C$21, $C$9, 100%, $E$9)</f>
        <v>9.7156000000000002</v>
      </c>
      <c r="E309" s="10">
        <f>CHOOSE(CONTROL!$C$42, 9.7467, 9.7467) * CHOOSE(CONTROL!$C$21, $C$9, 100%, $E$9)</f>
        <v>9.7467000000000006</v>
      </c>
      <c r="F309" s="10">
        <f>CHOOSE(CONTROL!$C$42, 9.4822, 9.4822)*CHOOSE(CONTROL!$C$21, $C$9, 100%, $E$9)</f>
        <v>9.4822000000000006</v>
      </c>
      <c r="G309" s="10">
        <f>CHOOSE(CONTROL!$C$42, 9.4995, 9.4995)*CHOOSE(CONTROL!$C$21, $C$9, 100%, $E$9)</f>
        <v>9.4994999999999994</v>
      </c>
      <c r="H309" s="10">
        <f>CHOOSE(CONTROL!$C$42, 9.7354, 9.7354) * CHOOSE(CONTROL!$C$21, $C$9, 100%, $E$9)</f>
        <v>9.7354000000000003</v>
      </c>
      <c r="I309" s="10">
        <f>CHOOSE(CONTROL!$C$42, 9.4818, 9.4818)* CHOOSE(CONTROL!$C$21, $C$9, 100%, $E$9)</f>
        <v>9.4817999999999998</v>
      </c>
      <c r="J309" s="10">
        <f>CHOOSE(CONTROL!$C$42, 9.4752, 9.4752)* CHOOSE(CONTROL!$C$21, $C$9, 100%, $E$9)</f>
        <v>9.4751999999999992</v>
      </c>
      <c r="K309" s="54">
        <f>CHOOSE(CONTROL!$C$42, 9.4779, 9.4779) * CHOOSE(CONTROL!$C$21, $C$9, 100%, $E$9)</f>
        <v>9.4779</v>
      </c>
      <c r="L309" s="10">
        <f>CHOOSE(CONTROL!$C$42, 10.3224, 10.3224) * CHOOSE(CONTROL!$C$21, $C$9, 100%, $E$9)</f>
        <v>10.3224</v>
      </c>
      <c r="M309" s="10">
        <f>CHOOSE(CONTROL!$C$42, 9.3934, 9.3934) * CHOOSE(CONTROL!$C$21, $C$9, 100%, $E$9)</f>
        <v>9.3933999999999997</v>
      </c>
      <c r="N309" s="10">
        <f>CHOOSE(CONTROL!$C$42, 9.4105, 9.4105) * CHOOSE(CONTROL!$C$21, $C$9, 100%, $E$9)</f>
        <v>9.4105000000000008</v>
      </c>
      <c r="O309" s="10">
        <f>CHOOSE(CONTROL!$C$42, 9.651, 9.651) * CHOOSE(CONTROL!$C$21, $C$9, 100%, $E$9)</f>
        <v>9.6509999999999998</v>
      </c>
      <c r="P309" s="10">
        <f>CHOOSE(CONTROL!$C$42, 9.4, 9.4) * CHOOSE(CONTROL!$C$21, $C$9, 100%, $E$9)</f>
        <v>9.4</v>
      </c>
      <c r="Q309" s="10">
        <f>CHOOSE(CONTROL!$C$42, 10.2463, 10.2463) * CHOOSE(CONTROL!$C$21, $C$9, 100%, $E$9)</f>
        <v>10.2463</v>
      </c>
      <c r="R309" s="10">
        <f>CHOOSE(CONTROL!$C$42, 10.8589, 10.8589) * CHOOSE(CONTROL!$C$21, $C$9, 100%, $E$9)</f>
        <v>10.8589</v>
      </c>
      <c r="S309" s="10">
        <f>CHOOSE(CONTROL!$C$42, 9.236, 9.236) * CHOOSE(CONTROL!$C$21, $C$9, 100%, $E$9)</f>
        <v>9.2360000000000007</v>
      </c>
      <c r="T309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309" s="58">
        <f>(1000*CHOOSE(CONTROL!$C$42, 695, 695)*CHOOSE(CONTROL!$C$42, 0.5599, 0.5599)*CHOOSE(CONTROL!$C$42, 30, 30))/1000000</f>
        <v>11.673914999999997</v>
      </c>
      <c r="V309" s="58">
        <f>(1000*CHOOSE(CONTROL!$C$42, 500, 500)*CHOOSE(CONTROL!$C$42, 0.275, 0.275)*CHOOSE(CONTROL!$C$42, 30, 30))/1000000</f>
        <v>4.125</v>
      </c>
      <c r="W309" s="58">
        <f>(1000*CHOOSE(CONTROL!$C$42, 0.1146, 0.1146)*CHOOSE(CONTROL!$C$42, 121.5, 121.5)*CHOOSE(CONTROL!$C$42, 30, 30))/1000000</f>
        <v>0.417717</v>
      </c>
      <c r="X309" s="58">
        <f>(30*0.1790888*245000/1000000)+(30*0.2374*100000/1000000)</f>
        <v>2.0285026799999999</v>
      </c>
      <c r="Y309" s="58"/>
      <c r="Z309" s="10"/>
      <c r="AA309" s="57"/>
      <c r="AB309" s="51">
        <f>(B309*194.205+C309*267.466+D309*133.845+E309*53.484+F309*40+G309*185+H309*0+I309*100+J309*300)/(194.205+267.466+133.845+53.484+0+40+185+100+300)</f>
        <v>9.5323104650706423</v>
      </c>
      <c r="AC309" s="27">
        <f>(M309*'RAP TEMPLATE-GAS AVAILABILITY'!O308+N309*'RAP TEMPLATE-GAS AVAILABILITY'!P308+O309*'RAP TEMPLATE-GAS AVAILABILITY'!Q308+P309*'RAP TEMPLATE-GAS AVAILABILITY'!R308)/('RAP TEMPLATE-GAS AVAILABILITY'!O308+'RAP TEMPLATE-GAS AVAILABILITY'!P308+'RAP TEMPLATE-GAS AVAILABILITY'!Q308+'RAP TEMPLATE-GAS AVAILABILITY'!R308)</f>
        <v>9.4705625899280577</v>
      </c>
    </row>
    <row r="310" spans="1:29" ht="15.75" x14ac:dyDescent="0.25">
      <c r="A310" s="15">
        <v>50314</v>
      </c>
      <c r="B310" s="10">
        <f>CHOOSE(CONTROL!$C$42, 9.3204, 9.3204) * CHOOSE(CONTROL!$C$21, $C$9, 100%, $E$9)</f>
        <v>9.3203999999999994</v>
      </c>
      <c r="C310" s="10">
        <f>CHOOSE(CONTROL!$C$42, 9.3256, 9.3256) * CHOOSE(CONTROL!$C$21, $C$9, 100%, $E$9)</f>
        <v>9.3255999999999997</v>
      </c>
      <c r="D310" s="10">
        <f>CHOOSE(CONTROL!$C$42, 9.523, 9.523) * CHOOSE(CONTROL!$C$21, $C$9, 100%, $E$9)</f>
        <v>9.5229999999999997</v>
      </c>
      <c r="E310" s="10">
        <f>CHOOSE(CONTROL!$C$42, 9.5518, 9.5518) * CHOOSE(CONTROL!$C$21, $C$9, 100%, $E$9)</f>
        <v>9.5518000000000001</v>
      </c>
      <c r="F310" s="10">
        <f>CHOOSE(CONTROL!$C$42, 9.2893, 9.2893)*CHOOSE(CONTROL!$C$21, $C$9, 100%, $E$9)</f>
        <v>9.2893000000000008</v>
      </c>
      <c r="G310" s="10">
        <f>CHOOSE(CONTROL!$C$42, 9.3063, 9.3063)*CHOOSE(CONTROL!$C$21, $C$9, 100%, $E$9)</f>
        <v>9.3063000000000002</v>
      </c>
      <c r="H310" s="10">
        <f>CHOOSE(CONTROL!$C$42, 9.5423, 9.5423) * CHOOSE(CONTROL!$C$21, $C$9, 100%, $E$9)</f>
        <v>9.5422999999999991</v>
      </c>
      <c r="I310" s="10">
        <f>CHOOSE(CONTROL!$C$42, 9.2887, 9.2887)* CHOOSE(CONTROL!$C$21, $C$9, 100%, $E$9)</f>
        <v>9.2887000000000004</v>
      </c>
      <c r="J310" s="10">
        <f>CHOOSE(CONTROL!$C$42, 9.2823, 9.2823)* CHOOSE(CONTROL!$C$21, $C$9, 100%, $E$9)</f>
        <v>9.2822999999999993</v>
      </c>
      <c r="K310" s="54">
        <f>CHOOSE(CONTROL!$C$42, 9.2848, 9.2848) * CHOOSE(CONTROL!$C$21, $C$9, 100%, $E$9)</f>
        <v>9.2848000000000006</v>
      </c>
      <c r="L310" s="10">
        <f>CHOOSE(CONTROL!$C$42, 10.1293, 10.1293) * CHOOSE(CONTROL!$C$21, $C$9, 100%, $E$9)</f>
        <v>10.129300000000001</v>
      </c>
      <c r="M310" s="10">
        <f>CHOOSE(CONTROL!$C$42, 9.2025, 9.2025) * CHOOSE(CONTROL!$C$21, $C$9, 100%, $E$9)</f>
        <v>9.2025000000000006</v>
      </c>
      <c r="N310" s="10">
        <f>CHOOSE(CONTROL!$C$42, 9.2193, 9.2193) * CHOOSE(CONTROL!$C$21, $C$9, 100%, $E$9)</f>
        <v>9.2193000000000005</v>
      </c>
      <c r="O310" s="10">
        <f>CHOOSE(CONTROL!$C$42, 9.4598, 9.4598) * CHOOSE(CONTROL!$C$21, $C$9, 100%, $E$9)</f>
        <v>9.4597999999999995</v>
      </c>
      <c r="P310" s="10">
        <f>CHOOSE(CONTROL!$C$42, 9.2089, 9.2089) * CHOOSE(CONTROL!$C$21, $C$9, 100%, $E$9)</f>
        <v>9.2088999999999999</v>
      </c>
      <c r="Q310" s="10">
        <f>CHOOSE(CONTROL!$C$42, 10.0551, 10.0551) * CHOOSE(CONTROL!$C$21, $C$9, 100%, $E$9)</f>
        <v>10.055099999999999</v>
      </c>
      <c r="R310" s="10">
        <f>CHOOSE(CONTROL!$C$42, 10.6673, 10.6673) * CHOOSE(CONTROL!$C$21, $C$9, 100%, $E$9)</f>
        <v>10.667299999999999</v>
      </c>
      <c r="S310" s="10">
        <f>CHOOSE(CONTROL!$C$42, 9.0485, 9.0485) * CHOOSE(CONTROL!$C$21, $C$9, 100%, $E$9)</f>
        <v>9.0485000000000007</v>
      </c>
      <c r="T310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310" s="58">
        <f>(1000*CHOOSE(CONTROL!$C$42, 695, 695)*CHOOSE(CONTROL!$C$42, 0.5599, 0.5599)*CHOOSE(CONTROL!$C$42, 31, 31))/1000000</f>
        <v>12.063045499999998</v>
      </c>
      <c r="V310" s="58">
        <f>(1000*CHOOSE(CONTROL!$C$42, 500, 500)*CHOOSE(CONTROL!$C$42, 0.275, 0.275)*CHOOSE(CONTROL!$C$42, 31, 31))/1000000</f>
        <v>4.2625000000000002</v>
      </c>
      <c r="W310" s="58">
        <f>(1000*CHOOSE(CONTROL!$C$42, 0.1146, 0.1146)*CHOOSE(CONTROL!$C$42, 121.5, 121.5)*CHOOSE(CONTROL!$C$42, 31, 31))/1000000</f>
        <v>0.43164089999999994</v>
      </c>
      <c r="X310" s="58">
        <f>(31*0.1790888*245000/1000000)+(31*0.2374*100000/1000000)</f>
        <v>2.0961194359999999</v>
      </c>
      <c r="Y310" s="58"/>
      <c r="Z310" s="10"/>
      <c r="AA310" s="57"/>
      <c r="AB310" s="51">
        <f>(B310*131.881+C310*277.167+D310*79.08+E310*125.872+F310*40+G310*185+H310*0+I310*100+J310*300)/(131.881+277.167+79.08+125.872+0+40+185+100+300)</f>
        <v>9.3431095699757876</v>
      </c>
      <c r="AC310" s="27">
        <f>(M310*'RAP TEMPLATE-GAS AVAILABILITY'!O309+N310*'RAP TEMPLATE-GAS AVAILABILITY'!P309+O310*'RAP TEMPLATE-GAS AVAILABILITY'!Q309+P310*'RAP TEMPLATE-GAS AVAILABILITY'!R309)/('RAP TEMPLATE-GAS AVAILABILITY'!O309+'RAP TEMPLATE-GAS AVAILABILITY'!P309+'RAP TEMPLATE-GAS AVAILABILITY'!Q309+'RAP TEMPLATE-GAS AVAILABILITY'!R309)</f>
        <v>9.2794805755395693</v>
      </c>
    </row>
    <row r="311" spans="1:29" ht="15.75" x14ac:dyDescent="0.25">
      <c r="A311" s="15">
        <v>50345</v>
      </c>
      <c r="B311" s="10">
        <f>CHOOSE(CONTROL!$C$42, 9.5654, 9.5654) * CHOOSE(CONTROL!$C$21, $C$9, 100%, $E$9)</f>
        <v>9.5654000000000003</v>
      </c>
      <c r="C311" s="10">
        <f>CHOOSE(CONTROL!$C$42, 9.5704, 9.5704) * CHOOSE(CONTROL!$C$21, $C$9, 100%, $E$9)</f>
        <v>9.5703999999999994</v>
      </c>
      <c r="D311" s="10">
        <f>CHOOSE(CONTROL!$C$42, 9.6, 9.6) * CHOOSE(CONTROL!$C$21, $C$9, 100%, $E$9)</f>
        <v>9.6</v>
      </c>
      <c r="E311" s="10">
        <f>CHOOSE(CONTROL!$C$42, 9.6338, 9.6338) * CHOOSE(CONTROL!$C$21, $C$9, 100%, $E$9)</f>
        <v>9.6338000000000008</v>
      </c>
      <c r="F311" s="10">
        <f>CHOOSE(CONTROL!$C$42, 9.5322, 9.5322)*CHOOSE(CONTROL!$C$21, $C$9, 100%, $E$9)</f>
        <v>9.5321999999999996</v>
      </c>
      <c r="G311" s="10">
        <f>CHOOSE(CONTROL!$C$42, 9.5494, 9.5494)*CHOOSE(CONTROL!$C$21, $C$9, 100%, $E$9)</f>
        <v>9.5494000000000003</v>
      </c>
      <c r="H311" s="10">
        <f>CHOOSE(CONTROL!$C$42, 9.623, 9.623) * CHOOSE(CONTROL!$C$21, $C$9, 100%, $E$9)</f>
        <v>9.6229999999999993</v>
      </c>
      <c r="I311" s="10">
        <f>CHOOSE(CONTROL!$C$42, 9.529, 9.529)* CHOOSE(CONTROL!$C$21, $C$9, 100%, $E$9)</f>
        <v>9.5289999999999999</v>
      </c>
      <c r="J311" s="10">
        <f>CHOOSE(CONTROL!$C$42, 9.5252, 9.5252)* CHOOSE(CONTROL!$C$21, $C$9, 100%, $E$9)</f>
        <v>9.5251999999999999</v>
      </c>
      <c r="K311" s="54">
        <f>CHOOSE(CONTROL!$C$42, 9.5252, 9.5252) * CHOOSE(CONTROL!$C$21, $C$9, 100%, $E$9)</f>
        <v>9.5251999999999999</v>
      </c>
      <c r="L311" s="10">
        <f>CHOOSE(CONTROL!$C$42, 10.21, 10.21) * CHOOSE(CONTROL!$C$21, $C$9, 100%, $E$9)</f>
        <v>10.210000000000001</v>
      </c>
      <c r="M311" s="10">
        <f>CHOOSE(CONTROL!$C$42, 9.4429, 9.4429) * CHOOSE(CONTROL!$C$21, $C$9, 100%, $E$9)</f>
        <v>9.4428999999999998</v>
      </c>
      <c r="N311" s="10">
        <f>CHOOSE(CONTROL!$C$42, 9.4599, 9.4599) * CHOOSE(CONTROL!$C$21, $C$9, 100%, $E$9)</f>
        <v>9.4598999999999993</v>
      </c>
      <c r="O311" s="10">
        <f>CHOOSE(CONTROL!$C$42, 9.5397, 9.5397) * CHOOSE(CONTROL!$C$21, $C$9, 100%, $E$9)</f>
        <v>9.5396999999999998</v>
      </c>
      <c r="P311" s="10">
        <f>CHOOSE(CONTROL!$C$42, 9.4467, 9.4467) * CHOOSE(CONTROL!$C$21, $C$9, 100%, $E$9)</f>
        <v>9.4466999999999999</v>
      </c>
      <c r="Q311" s="10">
        <f>CHOOSE(CONTROL!$C$42, 10.135, 10.135) * CHOOSE(CONTROL!$C$21, $C$9, 100%, $E$9)</f>
        <v>10.135</v>
      </c>
      <c r="R311" s="10">
        <f>CHOOSE(CONTROL!$C$42, 10.7473, 10.7473) * CHOOSE(CONTROL!$C$21, $C$9, 100%, $E$9)</f>
        <v>10.747299999999999</v>
      </c>
      <c r="S311" s="10">
        <f>CHOOSE(CONTROL!$C$42, 9.2869, 9.2869) * CHOOSE(CONTROL!$C$21, $C$9, 100%, $E$9)</f>
        <v>9.2868999999999993</v>
      </c>
      <c r="T311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311" s="58">
        <f>(1000*CHOOSE(CONTROL!$C$42, 695, 695)*CHOOSE(CONTROL!$C$42, 0.5599, 0.5599)*CHOOSE(CONTROL!$C$42, 30, 30))/1000000</f>
        <v>11.673914999999997</v>
      </c>
      <c r="V311" s="58">
        <f>(1000*CHOOSE(CONTROL!$C$42, 500, 500)*CHOOSE(CONTROL!$C$42, 0.275, 0.275)*CHOOSE(CONTROL!$C$42, 30, 30))/1000000</f>
        <v>4.125</v>
      </c>
      <c r="W311" s="58">
        <f>(1000*CHOOSE(CONTROL!$C$42, 0.1146, 0.1146)*CHOOSE(CONTROL!$C$42, 121.5, 121.5)*CHOOSE(CONTROL!$C$42, 30, 30))/1000000</f>
        <v>0.417717</v>
      </c>
      <c r="X311" s="58">
        <f>(30*0.1790888*100000/1000000)+(30*0.2374*100000/1000000)</f>
        <v>1.2494664</v>
      </c>
      <c r="Y311" s="58"/>
      <c r="Z311" s="10"/>
      <c r="AA311" s="57"/>
      <c r="AB311" s="51">
        <f>(B311*122.58+C311*297.941+D311*89.177+E311*40.302+F311*40+G311*160+H311*0+I311*100+J311*300)/(122.58+297.941+89.177+40.302+0+40+160+100+300)</f>
        <v>9.5547425095652176</v>
      </c>
      <c r="AC311" s="27">
        <f>(M311*'RAP TEMPLATE-GAS AVAILABILITY'!O310+N311*'RAP TEMPLATE-GAS AVAILABILITY'!P310+O311*'RAP TEMPLATE-GAS AVAILABILITY'!Q310+P311*'RAP TEMPLATE-GAS AVAILABILITY'!R310)/('RAP TEMPLATE-GAS AVAILABILITY'!O310+'RAP TEMPLATE-GAS AVAILABILITY'!P310+'RAP TEMPLATE-GAS AVAILABILITY'!Q310+'RAP TEMPLATE-GAS AVAILABILITY'!R310)</f>
        <v>9.4882985611510797</v>
      </c>
    </row>
    <row r="312" spans="1:29" ht="15.75" x14ac:dyDescent="0.25">
      <c r="A312" s="15">
        <v>50375</v>
      </c>
      <c r="B312" s="10">
        <f>CHOOSE(CONTROL!$C$42, 10.2174, 10.2174) * CHOOSE(CONTROL!$C$21, $C$9, 100%, $E$9)</f>
        <v>10.2174</v>
      </c>
      <c r="C312" s="10">
        <f>CHOOSE(CONTROL!$C$42, 10.2224, 10.2224) * CHOOSE(CONTROL!$C$21, $C$9, 100%, $E$9)</f>
        <v>10.2224</v>
      </c>
      <c r="D312" s="10">
        <f>CHOOSE(CONTROL!$C$42, 10.252, 10.252) * CHOOSE(CONTROL!$C$21, $C$9, 100%, $E$9)</f>
        <v>10.252000000000001</v>
      </c>
      <c r="E312" s="10">
        <f>CHOOSE(CONTROL!$C$42, 10.2857, 10.2857) * CHOOSE(CONTROL!$C$21, $C$9, 100%, $E$9)</f>
        <v>10.2857</v>
      </c>
      <c r="F312" s="10">
        <f>CHOOSE(CONTROL!$C$42, 10.1856, 10.1856)*CHOOSE(CONTROL!$C$21, $C$9, 100%, $E$9)</f>
        <v>10.185600000000001</v>
      </c>
      <c r="G312" s="10">
        <f>CHOOSE(CONTROL!$C$42, 10.2031, 10.2031)*CHOOSE(CONTROL!$C$21, $C$9, 100%, $E$9)</f>
        <v>10.203099999999999</v>
      </c>
      <c r="H312" s="10">
        <f>CHOOSE(CONTROL!$C$42, 10.2749, 10.2749) * CHOOSE(CONTROL!$C$21, $C$9, 100%, $E$9)</f>
        <v>10.274900000000001</v>
      </c>
      <c r="I312" s="10">
        <f>CHOOSE(CONTROL!$C$42, 10.181, 10.181)* CHOOSE(CONTROL!$C$21, $C$9, 100%, $E$9)</f>
        <v>10.180999999999999</v>
      </c>
      <c r="J312" s="10">
        <f>CHOOSE(CONTROL!$C$42, 10.1786, 10.1786)* CHOOSE(CONTROL!$C$21, $C$9, 100%, $E$9)</f>
        <v>10.178599999999999</v>
      </c>
      <c r="K312" s="54">
        <f>CHOOSE(CONTROL!$C$42, 10.1771, 10.1771) * CHOOSE(CONTROL!$C$21, $C$9, 100%, $E$9)</f>
        <v>10.177099999999999</v>
      </c>
      <c r="L312" s="10">
        <f>CHOOSE(CONTROL!$C$42, 10.8619, 10.8619) * CHOOSE(CONTROL!$C$21, $C$9, 100%, $E$9)</f>
        <v>10.8619</v>
      </c>
      <c r="M312" s="10">
        <f>CHOOSE(CONTROL!$C$42, 10.0897, 10.0897) * CHOOSE(CONTROL!$C$21, $C$9, 100%, $E$9)</f>
        <v>10.089700000000001</v>
      </c>
      <c r="N312" s="10">
        <f>CHOOSE(CONTROL!$C$42, 10.107, 10.107) * CHOOSE(CONTROL!$C$21, $C$9, 100%, $E$9)</f>
        <v>10.106999999999999</v>
      </c>
      <c r="O312" s="10">
        <f>CHOOSE(CONTROL!$C$42, 10.1851, 10.1851) * CHOOSE(CONTROL!$C$21, $C$9, 100%, $E$9)</f>
        <v>10.1851</v>
      </c>
      <c r="P312" s="10">
        <f>CHOOSE(CONTROL!$C$42, 10.0921, 10.0921) * CHOOSE(CONTROL!$C$21, $C$9, 100%, $E$9)</f>
        <v>10.0921</v>
      </c>
      <c r="Q312" s="10">
        <f>CHOOSE(CONTROL!$C$42, 10.7804, 10.7804) * CHOOSE(CONTROL!$C$21, $C$9, 100%, $E$9)</f>
        <v>10.7804</v>
      </c>
      <c r="R312" s="10">
        <f>CHOOSE(CONTROL!$C$42, 11.3943, 11.3943) * CHOOSE(CONTROL!$C$21, $C$9, 100%, $E$9)</f>
        <v>11.394299999999999</v>
      </c>
      <c r="S312" s="10">
        <f>CHOOSE(CONTROL!$C$42, 9.92, 9.92) * CHOOSE(CONTROL!$C$21, $C$9, 100%, $E$9)</f>
        <v>9.92</v>
      </c>
      <c r="T312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312" s="58">
        <f>(1000*CHOOSE(CONTROL!$C$42, 695, 695)*CHOOSE(CONTROL!$C$42, 0.5599, 0.5599)*CHOOSE(CONTROL!$C$42, 31, 31))/1000000</f>
        <v>12.063045499999998</v>
      </c>
      <c r="V312" s="58">
        <f>(1000*CHOOSE(CONTROL!$C$42, 500, 500)*CHOOSE(CONTROL!$C$42, 0.275, 0.275)*CHOOSE(CONTROL!$C$42, 31, 31))/1000000</f>
        <v>4.2625000000000002</v>
      </c>
      <c r="W312" s="58">
        <f>(1000*CHOOSE(CONTROL!$C$42, 0.1146, 0.1146)*CHOOSE(CONTROL!$C$42, 121.5, 121.5)*CHOOSE(CONTROL!$C$42, 31, 31))/1000000</f>
        <v>0.43164089999999994</v>
      </c>
      <c r="X312" s="58">
        <f>(31*0.1790888*100000/1000000)+(31*0.2374*100000/1000000)</f>
        <v>1.2911152800000001</v>
      </c>
      <c r="Y312" s="58"/>
      <c r="Z312" s="10"/>
      <c r="AA312" s="57"/>
      <c r="AB312" s="51">
        <f>(B312*122.58+C312*297.941+D312*89.177+E312*40.302+F312*40+G312*160+H312*0+I312*100+J312*300)/(122.58+297.941+89.177+40.302+0+40+160+100+300)</f>
        <v>10.207389439826086</v>
      </c>
      <c r="AC312" s="27">
        <f>(M312*'RAP TEMPLATE-GAS AVAILABILITY'!O311+N312*'RAP TEMPLATE-GAS AVAILABILITY'!P311+O312*'RAP TEMPLATE-GAS AVAILABILITY'!Q311+P312*'RAP TEMPLATE-GAS AVAILABILITY'!R311)/('RAP TEMPLATE-GAS AVAILABILITY'!O311+'RAP TEMPLATE-GAS AVAILABILITY'!P311+'RAP TEMPLATE-GAS AVAILABILITY'!Q311+'RAP TEMPLATE-GAS AVAILABILITY'!R311)</f>
        <v>10.134279856115107</v>
      </c>
    </row>
    <row r="313" spans="1:29" ht="15.75" x14ac:dyDescent="0.25">
      <c r="A313" s="14">
        <v>50436</v>
      </c>
      <c r="B313" s="10">
        <f>CHOOSE(CONTROL!$C$42, 11.0543, 11.0543) * CHOOSE(CONTROL!$C$21, $C$9, 100%, $E$9)</f>
        <v>11.0543</v>
      </c>
      <c r="C313" s="10">
        <f>CHOOSE(CONTROL!$C$42, 11.0593, 11.0593) * CHOOSE(CONTROL!$C$21, $C$9, 100%, $E$9)</f>
        <v>11.0593</v>
      </c>
      <c r="D313" s="10">
        <f>CHOOSE(CONTROL!$C$42, 11.1095, 11.1095) * CHOOSE(CONTROL!$C$21, $C$9, 100%, $E$9)</f>
        <v>11.109500000000001</v>
      </c>
      <c r="E313" s="10">
        <f>CHOOSE(CONTROL!$C$42, 11.1433, 11.1433) * CHOOSE(CONTROL!$C$21, $C$9, 100%, $E$9)</f>
        <v>11.1433</v>
      </c>
      <c r="F313" s="10">
        <f>CHOOSE(CONTROL!$C$42, 11.0197, 11.0197)*CHOOSE(CONTROL!$C$21, $C$9, 100%, $E$9)</f>
        <v>11.0197</v>
      </c>
      <c r="G313" s="10">
        <f>CHOOSE(CONTROL!$C$42, 11.0373, 11.0373)*CHOOSE(CONTROL!$C$21, $C$9, 100%, $E$9)</f>
        <v>11.0373</v>
      </c>
      <c r="H313" s="10">
        <f>CHOOSE(CONTROL!$C$42, 11.1325, 11.1325) * CHOOSE(CONTROL!$C$21, $C$9, 100%, $E$9)</f>
        <v>11.1325</v>
      </c>
      <c r="I313" s="10">
        <f>CHOOSE(CONTROL!$C$42, 11.0282, 11.0282)* CHOOSE(CONTROL!$C$21, $C$9, 100%, $E$9)</f>
        <v>11.0282</v>
      </c>
      <c r="J313" s="10">
        <f>CHOOSE(CONTROL!$C$42, 11.0127, 11.0127)* CHOOSE(CONTROL!$C$21, $C$9, 100%, $E$9)</f>
        <v>11.012700000000001</v>
      </c>
      <c r="K313" s="54">
        <f>CHOOSE(CONTROL!$C$42, 11.0244, 11.0244) * CHOOSE(CONTROL!$C$21, $C$9, 100%, $E$9)</f>
        <v>11.0244</v>
      </c>
      <c r="L313" s="10">
        <f>CHOOSE(CONTROL!$C$42, 11.7195, 11.7195) * CHOOSE(CONTROL!$C$21, $C$9, 100%, $E$9)</f>
        <v>11.7195</v>
      </c>
      <c r="M313" s="10">
        <f>CHOOSE(CONTROL!$C$42, 10.9154, 10.9154) * CHOOSE(CONTROL!$C$21, $C$9, 100%, $E$9)</f>
        <v>10.9154</v>
      </c>
      <c r="N313" s="10">
        <f>CHOOSE(CONTROL!$C$42, 10.9328, 10.9328) * CHOOSE(CONTROL!$C$21, $C$9, 100%, $E$9)</f>
        <v>10.9328</v>
      </c>
      <c r="O313" s="10">
        <f>CHOOSE(CONTROL!$C$42, 11.034, 11.034) * CHOOSE(CONTROL!$C$21, $C$9, 100%, $E$9)</f>
        <v>11.034000000000001</v>
      </c>
      <c r="P313" s="10">
        <f>CHOOSE(CONTROL!$C$42, 10.9308, 10.9308) * CHOOSE(CONTROL!$C$21, $C$9, 100%, $E$9)</f>
        <v>10.9308</v>
      </c>
      <c r="Q313" s="10">
        <f>CHOOSE(CONTROL!$C$42, 11.6293, 11.6293) * CHOOSE(CONTROL!$C$21, $C$9, 100%, $E$9)</f>
        <v>11.629300000000001</v>
      </c>
      <c r="R313" s="10">
        <f>CHOOSE(CONTROL!$C$42, 12.2453, 12.2453) * CHOOSE(CONTROL!$C$21, $C$9, 100%, $E$9)</f>
        <v>12.2453</v>
      </c>
      <c r="S313" s="10">
        <f>CHOOSE(CONTROL!$C$42, 10.7327, 10.7327) * CHOOSE(CONTROL!$C$21, $C$9, 100%, $E$9)</f>
        <v>10.732699999999999</v>
      </c>
      <c r="T313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313" s="58">
        <f>(1000*CHOOSE(CONTROL!$C$42, 695, 695)*CHOOSE(CONTROL!$C$42, 0.5599, 0.5599)*CHOOSE(CONTROL!$C$42, 31, 31))/1000000</f>
        <v>12.063045499999998</v>
      </c>
      <c r="V313" s="58">
        <f>(1000*CHOOSE(CONTROL!$C$42, 500, 500)*CHOOSE(CONTROL!$C$42, 0.275, 0.275)*CHOOSE(CONTROL!$C$42, 31, 31))/1000000</f>
        <v>4.2625000000000002</v>
      </c>
      <c r="W313" s="58">
        <f>(1000*CHOOSE(CONTROL!$C$42, 0.1146, 0.1146)*CHOOSE(CONTROL!$C$42, 121.5, 121.5)*CHOOSE(CONTROL!$C$42, 31, 31))/1000000</f>
        <v>0.43164089999999994</v>
      </c>
      <c r="X313" s="58">
        <f>(31*0.1790888*100000/1000000)+(31*0.2374*100000/1000000)</f>
        <v>1.2911152800000001</v>
      </c>
      <c r="Y313" s="58"/>
      <c r="Z313" s="10"/>
      <c r="AA313" s="57"/>
      <c r="AB313" s="51">
        <f>(B313*122.58+C313*297.941+D313*89.177+E313*40.302+F313*40+G313*160+H313*0+I313*100+J313*300)/(122.58+297.941+89.177+40.302+0+40+160+100+300)</f>
        <v>11.046304481217392</v>
      </c>
      <c r="AC313" s="27">
        <f>(M313*'RAP TEMPLATE-GAS AVAILABILITY'!O312+N313*'RAP TEMPLATE-GAS AVAILABILITY'!P312+O313*'RAP TEMPLATE-GAS AVAILABILITY'!Q312+P313*'RAP TEMPLATE-GAS AVAILABILITY'!R312)/('RAP TEMPLATE-GAS AVAILABILITY'!O312+'RAP TEMPLATE-GAS AVAILABILITY'!P312+'RAP TEMPLATE-GAS AVAILABILITY'!Q312+'RAP TEMPLATE-GAS AVAILABILITY'!R312)</f>
        <v>10.972371223021582</v>
      </c>
    </row>
    <row r="314" spans="1:29" ht="15.75" x14ac:dyDescent="0.25">
      <c r="A314" s="14">
        <v>50464</v>
      </c>
      <c r="B314" s="10">
        <f>CHOOSE(CONTROL!$C$42, 11.2511, 11.2511) * CHOOSE(CONTROL!$C$21, $C$9, 100%, $E$9)</f>
        <v>11.251099999999999</v>
      </c>
      <c r="C314" s="10">
        <f>CHOOSE(CONTROL!$C$42, 11.256, 11.256) * CHOOSE(CONTROL!$C$21, $C$9, 100%, $E$9)</f>
        <v>11.256</v>
      </c>
      <c r="D314" s="10">
        <f>CHOOSE(CONTROL!$C$42, 11.3165, 11.3165) * CHOOSE(CONTROL!$C$21, $C$9, 100%, $E$9)</f>
        <v>11.3165</v>
      </c>
      <c r="E314" s="10">
        <f>CHOOSE(CONTROL!$C$42, 11.3503, 11.3503) * CHOOSE(CONTROL!$C$21, $C$9, 100%, $E$9)</f>
        <v>11.350300000000001</v>
      </c>
      <c r="F314" s="10">
        <f>CHOOSE(CONTROL!$C$42, 11.2443, 11.2443)*CHOOSE(CONTROL!$C$21, $C$9, 100%, $E$9)</f>
        <v>11.244300000000001</v>
      </c>
      <c r="G314" s="10">
        <f>CHOOSE(CONTROL!$C$42, 11.2616, 11.2616)*CHOOSE(CONTROL!$C$21, $C$9, 100%, $E$9)</f>
        <v>11.2616</v>
      </c>
      <c r="H314" s="10">
        <f>CHOOSE(CONTROL!$C$42, 11.3395, 11.3395) * CHOOSE(CONTROL!$C$21, $C$9, 100%, $E$9)</f>
        <v>11.339499999999999</v>
      </c>
      <c r="I314" s="10">
        <f>CHOOSE(CONTROL!$C$42, 11.2378, 11.2378)* CHOOSE(CONTROL!$C$21, $C$9, 100%, $E$9)</f>
        <v>11.2378</v>
      </c>
      <c r="J314" s="10">
        <f>CHOOSE(CONTROL!$C$42, 11.2373, 11.2373)* CHOOSE(CONTROL!$C$21, $C$9, 100%, $E$9)</f>
        <v>11.237299999999999</v>
      </c>
      <c r="K314" s="54">
        <f>CHOOSE(CONTROL!$C$42, 11.234, 11.234) * CHOOSE(CONTROL!$C$21, $C$9, 100%, $E$9)</f>
        <v>11.234</v>
      </c>
      <c r="L314" s="10">
        <f>CHOOSE(CONTROL!$C$42, 11.9265, 11.9265) * CHOOSE(CONTROL!$C$21, $C$9, 100%, $E$9)</f>
        <v>11.926500000000001</v>
      </c>
      <c r="M314" s="10">
        <f>CHOOSE(CONTROL!$C$42, 11.1377, 11.1377) * CHOOSE(CONTROL!$C$21, $C$9, 100%, $E$9)</f>
        <v>11.137700000000001</v>
      </c>
      <c r="N314" s="10">
        <f>CHOOSE(CONTROL!$C$42, 11.1549, 11.1549) * CHOOSE(CONTROL!$C$21, $C$9, 100%, $E$9)</f>
        <v>11.1549</v>
      </c>
      <c r="O314" s="10">
        <f>CHOOSE(CONTROL!$C$42, 11.2389, 11.2389) * CHOOSE(CONTROL!$C$21, $C$9, 100%, $E$9)</f>
        <v>11.238899999999999</v>
      </c>
      <c r="P314" s="10">
        <f>CHOOSE(CONTROL!$C$42, 11.1383, 11.1383) * CHOOSE(CONTROL!$C$21, $C$9, 100%, $E$9)</f>
        <v>11.138299999999999</v>
      </c>
      <c r="Q314" s="10">
        <f>CHOOSE(CONTROL!$C$42, 11.8342, 11.8342) * CHOOSE(CONTROL!$C$21, $C$9, 100%, $E$9)</f>
        <v>11.834199999999999</v>
      </c>
      <c r="R314" s="10">
        <f>CHOOSE(CONTROL!$C$42, 12.4508, 12.4508) * CHOOSE(CONTROL!$C$21, $C$9, 100%, $E$9)</f>
        <v>12.450799999999999</v>
      </c>
      <c r="S314" s="10">
        <f>CHOOSE(CONTROL!$C$42, 10.9238, 10.9238) * CHOOSE(CONTROL!$C$21, $C$9, 100%, $E$9)</f>
        <v>10.9238</v>
      </c>
      <c r="T314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314" s="58">
        <f>(1000*CHOOSE(CONTROL!$C$42, 695, 695)*CHOOSE(CONTROL!$C$42, 0.5599, 0.5599)*CHOOSE(CONTROL!$C$42, 28, 28))/1000000</f>
        <v>10.895653999999999</v>
      </c>
      <c r="V314" s="58">
        <f>(1000*CHOOSE(CONTROL!$C$42, 500, 500)*CHOOSE(CONTROL!$C$42, 0.275, 0.275)*CHOOSE(CONTROL!$C$42, 28, 28))/1000000</f>
        <v>3.85</v>
      </c>
      <c r="W314" s="58">
        <f>(1000*CHOOSE(CONTROL!$C$42, 0.1146, 0.1146)*CHOOSE(CONTROL!$C$42, 121.5, 121.5)*CHOOSE(CONTROL!$C$42, 28, 28))/1000000</f>
        <v>0.38986920000000003</v>
      </c>
      <c r="X314" s="58">
        <f>(28*0.1790888*100000/1000000)+(28*0.2374*100000/1000000)</f>
        <v>1.16616864</v>
      </c>
      <c r="Y314" s="58"/>
      <c r="Z314" s="10"/>
      <c r="AA314" s="57"/>
      <c r="AB314" s="51">
        <f>(B314*122.58+C314*297.941+D314*89.177+E314*40.302+F314*40+G314*160+H314*0+I314*100+J314*300)/(122.58+297.941+89.177+40.302+0+40+160+100+300)</f>
        <v>11.257385256608696</v>
      </c>
      <c r="AC314" s="27">
        <f>(M314*'RAP TEMPLATE-GAS AVAILABILITY'!O313+N314*'RAP TEMPLATE-GAS AVAILABILITY'!P313+O314*'RAP TEMPLATE-GAS AVAILABILITY'!Q313+P314*'RAP TEMPLATE-GAS AVAILABILITY'!R313)/('RAP TEMPLATE-GAS AVAILABILITY'!O313+'RAP TEMPLATE-GAS AVAILABILITY'!P313+'RAP TEMPLATE-GAS AVAILABILITY'!Q313+'RAP TEMPLATE-GAS AVAILABILITY'!R313)</f>
        <v>11.184643884892086</v>
      </c>
    </row>
    <row r="315" spans="1:29" ht="15.75" x14ac:dyDescent="0.25">
      <c r="A315" s="14">
        <v>50495</v>
      </c>
      <c r="B315" s="10">
        <f>CHOOSE(CONTROL!$C$42, 10.9317, 10.9317) * CHOOSE(CONTROL!$C$21, $C$9, 100%, $E$9)</f>
        <v>10.931699999999999</v>
      </c>
      <c r="C315" s="10">
        <f>CHOOSE(CONTROL!$C$42, 10.9367, 10.9367) * CHOOSE(CONTROL!$C$21, $C$9, 100%, $E$9)</f>
        <v>10.9367</v>
      </c>
      <c r="D315" s="10">
        <f>CHOOSE(CONTROL!$C$42, 10.9972, 10.9972) * CHOOSE(CONTROL!$C$21, $C$9, 100%, $E$9)</f>
        <v>10.997199999999999</v>
      </c>
      <c r="E315" s="10">
        <f>CHOOSE(CONTROL!$C$42, 11.031, 11.031) * CHOOSE(CONTROL!$C$21, $C$9, 100%, $E$9)</f>
        <v>11.031000000000001</v>
      </c>
      <c r="F315" s="10">
        <f>CHOOSE(CONTROL!$C$42, 10.9195, 10.9195)*CHOOSE(CONTROL!$C$21, $C$9, 100%, $E$9)</f>
        <v>10.919499999999999</v>
      </c>
      <c r="G315" s="10">
        <f>CHOOSE(CONTROL!$C$42, 10.9367, 10.9367)*CHOOSE(CONTROL!$C$21, $C$9, 100%, $E$9)</f>
        <v>10.9367</v>
      </c>
      <c r="H315" s="10">
        <f>CHOOSE(CONTROL!$C$42, 11.0202, 11.0202) * CHOOSE(CONTROL!$C$21, $C$9, 100%, $E$9)</f>
        <v>11.020200000000001</v>
      </c>
      <c r="I315" s="10">
        <f>CHOOSE(CONTROL!$C$42, 10.9056, 10.9056)* CHOOSE(CONTROL!$C$21, $C$9, 100%, $E$9)</f>
        <v>10.9056</v>
      </c>
      <c r="J315" s="10">
        <f>CHOOSE(CONTROL!$C$42, 10.9125, 10.9125)* CHOOSE(CONTROL!$C$21, $C$9, 100%, $E$9)</f>
        <v>10.9125</v>
      </c>
      <c r="K315" s="54">
        <f>CHOOSE(CONTROL!$C$42, 10.9017, 10.9017) * CHOOSE(CONTROL!$C$21, $C$9, 100%, $E$9)</f>
        <v>10.9017</v>
      </c>
      <c r="L315" s="10">
        <f>CHOOSE(CONTROL!$C$42, 11.6072, 11.6072) * CHOOSE(CONTROL!$C$21, $C$9, 100%, $E$9)</f>
        <v>11.607200000000001</v>
      </c>
      <c r="M315" s="10">
        <f>CHOOSE(CONTROL!$C$42, 10.8162, 10.8162) * CHOOSE(CONTROL!$C$21, $C$9, 100%, $E$9)</f>
        <v>10.8162</v>
      </c>
      <c r="N315" s="10">
        <f>CHOOSE(CONTROL!$C$42, 10.8332, 10.8332) * CHOOSE(CONTROL!$C$21, $C$9, 100%, $E$9)</f>
        <v>10.8332</v>
      </c>
      <c r="O315" s="10">
        <f>CHOOSE(CONTROL!$C$42, 10.9228, 10.9228) * CHOOSE(CONTROL!$C$21, $C$9, 100%, $E$9)</f>
        <v>10.922800000000001</v>
      </c>
      <c r="P315" s="10">
        <f>CHOOSE(CONTROL!$C$42, 10.8094, 10.8094) * CHOOSE(CONTROL!$C$21, $C$9, 100%, $E$9)</f>
        <v>10.8094</v>
      </c>
      <c r="Q315" s="10">
        <f>CHOOSE(CONTROL!$C$42, 11.5181, 11.5181) * CHOOSE(CONTROL!$C$21, $C$9, 100%, $E$9)</f>
        <v>11.5181</v>
      </c>
      <c r="R315" s="10">
        <f>CHOOSE(CONTROL!$C$42, 12.1339, 12.1339) * CHOOSE(CONTROL!$C$21, $C$9, 100%, $E$9)</f>
        <v>12.133900000000001</v>
      </c>
      <c r="S315" s="10">
        <f>CHOOSE(CONTROL!$C$42, 10.6137, 10.6137) * CHOOSE(CONTROL!$C$21, $C$9, 100%, $E$9)</f>
        <v>10.6137</v>
      </c>
      <c r="T315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315" s="58">
        <f>(1000*CHOOSE(CONTROL!$C$42, 695, 695)*CHOOSE(CONTROL!$C$42, 0.5599, 0.5599)*CHOOSE(CONTROL!$C$42, 31, 31))/1000000</f>
        <v>12.063045499999998</v>
      </c>
      <c r="V315" s="58">
        <f>(1000*CHOOSE(CONTROL!$C$42, 500, 500)*CHOOSE(CONTROL!$C$42, 0.275, 0.275)*CHOOSE(CONTROL!$C$42, 31, 31))/1000000</f>
        <v>4.2625000000000002</v>
      </c>
      <c r="W315" s="58">
        <f>(1000*CHOOSE(CONTROL!$C$42, 0.1146, 0.1146)*CHOOSE(CONTROL!$C$42, 121.5, 121.5)*CHOOSE(CONTROL!$C$42, 31, 31))/1000000</f>
        <v>0.43164089999999994</v>
      </c>
      <c r="X315" s="58">
        <f>(31*0.1790888*100000/1000000)+(31*0.2374*100000/1000000)</f>
        <v>1.2911152800000001</v>
      </c>
      <c r="Y315" s="58"/>
      <c r="Z315" s="10"/>
      <c r="AA315" s="57"/>
      <c r="AB315" s="51">
        <f>(B315*122.58+C315*297.941+D315*89.177+E315*40.302+F315*40+G315*160+H315*0+I315*100+J315*300)/(122.58+297.941+89.177+40.302+0+40+160+100+300)</f>
        <v>10.93454764095652</v>
      </c>
      <c r="AC315" s="27">
        <f>(M315*'RAP TEMPLATE-GAS AVAILABILITY'!O314+N315*'RAP TEMPLATE-GAS AVAILABILITY'!P314+O315*'RAP TEMPLATE-GAS AVAILABILITY'!Q314+P315*'RAP TEMPLATE-GAS AVAILABILITY'!R314)/('RAP TEMPLATE-GAS AVAILABILITY'!O314+'RAP TEMPLATE-GAS AVAILABILITY'!P314+'RAP TEMPLATE-GAS AVAILABILITY'!Q314+'RAP TEMPLATE-GAS AVAILABILITY'!R314)</f>
        <v>10.864515107913668</v>
      </c>
    </row>
    <row r="316" spans="1:29" ht="15.75" x14ac:dyDescent="0.25">
      <c r="A316" s="14">
        <v>50525</v>
      </c>
      <c r="B316" s="10">
        <f>CHOOSE(CONTROL!$C$42, 10.9002, 10.9002) * CHOOSE(CONTROL!$C$21, $C$9, 100%, $E$9)</f>
        <v>10.9002</v>
      </c>
      <c r="C316" s="10">
        <f>CHOOSE(CONTROL!$C$42, 10.9046, 10.9046) * CHOOSE(CONTROL!$C$21, $C$9, 100%, $E$9)</f>
        <v>10.9046</v>
      </c>
      <c r="D316" s="10">
        <f>CHOOSE(CONTROL!$C$42, 11.1001, 11.1001) * CHOOSE(CONTROL!$C$21, $C$9, 100%, $E$9)</f>
        <v>11.100099999999999</v>
      </c>
      <c r="E316" s="10">
        <f>CHOOSE(CONTROL!$C$42, 11.1319, 11.1319) * CHOOSE(CONTROL!$C$21, $C$9, 100%, $E$9)</f>
        <v>11.1319</v>
      </c>
      <c r="F316" s="10">
        <f>CHOOSE(CONTROL!$C$42, 10.868, 10.868)*CHOOSE(CONTROL!$C$21, $C$9, 100%, $E$9)</f>
        <v>10.868</v>
      </c>
      <c r="G316" s="10">
        <f>CHOOSE(CONTROL!$C$42, 10.8848, 10.8848)*CHOOSE(CONTROL!$C$21, $C$9, 100%, $E$9)</f>
        <v>10.8848</v>
      </c>
      <c r="H316" s="10">
        <f>CHOOSE(CONTROL!$C$42, 11.1217, 11.1217) * CHOOSE(CONTROL!$C$21, $C$9, 100%, $E$9)</f>
        <v>11.121700000000001</v>
      </c>
      <c r="I316" s="10">
        <f>CHOOSE(CONTROL!$C$42, 10.8681, 10.8681)* CHOOSE(CONTROL!$C$21, $C$9, 100%, $E$9)</f>
        <v>10.8681</v>
      </c>
      <c r="J316" s="10">
        <f>CHOOSE(CONTROL!$C$42, 10.861, 10.861)* CHOOSE(CONTROL!$C$21, $C$9, 100%, $E$9)</f>
        <v>10.861000000000001</v>
      </c>
      <c r="K316" s="54">
        <f>CHOOSE(CONTROL!$C$42, 10.8643, 10.8643) * CHOOSE(CONTROL!$C$21, $C$9, 100%, $E$9)</f>
        <v>10.8643</v>
      </c>
      <c r="L316" s="10">
        <f>CHOOSE(CONTROL!$C$42, 11.7087, 11.7087) * CHOOSE(CONTROL!$C$21, $C$9, 100%, $E$9)</f>
        <v>11.7087</v>
      </c>
      <c r="M316" s="10">
        <f>CHOOSE(CONTROL!$C$42, 10.7652, 10.7652) * CHOOSE(CONTROL!$C$21, $C$9, 100%, $E$9)</f>
        <v>10.7652</v>
      </c>
      <c r="N316" s="10">
        <f>CHOOSE(CONTROL!$C$42, 10.7818, 10.7818) * CHOOSE(CONTROL!$C$21, $C$9, 100%, $E$9)</f>
        <v>10.7818</v>
      </c>
      <c r="O316" s="10">
        <f>CHOOSE(CONTROL!$C$42, 11.0233, 11.0233) * CHOOSE(CONTROL!$C$21, $C$9, 100%, $E$9)</f>
        <v>11.023300000000001</v>
      </c>
      <c r="P316" s="10">
        <f>CHOOSE(CONTROL!$C$42, 10.7723, 10.7723) * CHOOSE(CONTROL!$C$21, $C$9, 100%, $E$9)</f>
        <v>10.7723</v>
      </c>
      <c r="Q316" s="10">
        <f>CHOOSE(CONTROL!$C$42, 11.6186, 11.6186) * CHOOSE(CONTROL!$C$21, $C$9, 100%, $E$9)</f>
        <v>11.618600000000001</v>
      </c>
      <c r="R316" s="10">
        <f>CHOOSE(CONTROL!$C$42, 12.2346, 12.2346) * CHOOSE(CONTROL!$C$21, $C$9, 100%, $E$9)</f>
        <v>12.2346</v>
      </c>
      <c r="S316" s="10">
        <f>CHOOSE(CONTROL!$C$42, 10.5823, 10.5823) * CHOOSE(CONTROL!$C$21, $C$9, 100%, $E$9)</f>
        <v>10.5823</v>
      </c>
      <c r="T316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316" s="58">
        <f>(1000*CHOOSE(CONTROL!$C$42, 695, 695)*CHOOSE(CONTROL!$C$42, 0.5599, 0.5599)*CHOOSE(CONTROL!$C$42, 30, 30))/1000000</f>
        <v>11.673914999999997</v>
      </c>
      <c r="V316" s="58">
        <f>(1000*CHOOSE(CONTROL!$C$42, 500, 500)*CHOOSE(CONTROL!$C$42, 0.275, 0.275)*CHOOSE(CONTROL!$C$42, 30, 30))/1000000</f>
        <v>4.125</v>
      </c>
      <c r="W316" s="58">
        <f>(1000*CHOOSE(CONTROL!$C$42, 0.1146, 0.1146)*CHOOSE(CONTROL!$C$42, 121.5, 121.5)*CHOOSE(CONTROL!$C$42, 30, 30))/1000000</f>
        <v>0.417717</v>
      </c>
      <c r="X316" s="58">
        <f>(30*0.1790888*245000/1000000)+(30*0.2374*100000/1000000)</f>
        <v>2.0285026799999999</v>
      </c>
      <c r="Y316" s="58"/>
      <c r="Z316" s="10"/>
      <c r="AA316" s="57"/>
      <c r="AB316" s="51">
        <f>(B316*141.293+C316*267.993+D316*115.016+E316*89.698+F316*40+G316*185+H316*0+I316*100+J316*300)/(141.293+267.993+115.016+89.698+0+40+185+100+300)</f>
        <v>10.921061092978208</v>
      </c>
      <c r="AC316" s="27">
        <f>(M316*'RAP TEMPLATE-GAS AVAILABILITY'!O315+N316*'RAP TEMPLATE-GAS AVAILABILITY'!P315+O316*'RAP TEMPLATE-GAS AVAILABILITY'!Q315+P316*'RAP TEMPLATE-GAS AVAILABILITY'!R315)/('RAP TEMPLATE-GAS AVAILABILITY'!O315+'RAP TEMPLATE-GAS AVAILABILITY'!P315+'RAP TEMPLATE-GAS AVAILABILITY'!Q315+'RAP TEMPLATE-GAS AVAILABILITY'!R315)</f>
        <v>10.842459712230216</v>
      </c>
    </row>
    <row r="317" spans="1:29" ht="15.75" x14ac:dyDescent="0.25">
      <c r="A317" s="14">
        <v>50556</v>
      </c>
      <c r="B317" s="10">
        <f>CHOOSE(CONTROL!$C$42, 10.9977, 10.9977) * CHOOSE(CONTROL!$C$21, $C$9, 100%, $E$9)</f>
        <v>10.9977</v>
      </c>
      <c r="C317" s="10">
        <f>CHOOSE(CONTROL!$C$42, 11.0057, 11.0057) * CHOOSE(CONTROL!$C$21, $C$9, 100%, $E$9)</f>
        <v>11.005699999999999</v>
      </c>
      <c r="D317" s="10">
        <f>CHOOSE(CONTROL!$C$42, 11.1981, 11.1981) * CHOOSE(CONTROL!$C$21, $C$9, 100%, $E$9)</f>
        <v>11.1981</v>
      </c>
      <c r="E317" s="10">
        <f>CHOOSE(CONTROL!$C$42, 11.2292, 11.2292) * CHOOSE(CONTROL!$C$21, $C$9, 100%, $E$9)</f>
        <v>11.229200000000001</v>
      </c>
      <c r="F317" s="10">
        <f>CHOOSE(CONTROL!$C$42, 10.964, 10.964)*CHOOSE(CONTROL!$C$21, $C$9, 100%, $E$9)</f>
        <v>10.964</v>
      </c>
      <c r="G317" s="10">
        <f>CHOOSE(CONTROL!$C$42, 10.9811, 10.9811)*CHOOSE(CONTROL!$C$21, $C$9, 100%, $E$9)</f>
        <v>10.9811</v>
      </c>
      <c r="H317" s="10">
        <f>CHOOSE(CONTROL!$C$42, 11.2179, 11.2179) * CHOOSE(CONTROL!$C$21, $C$9, 100%, $E$9)</f>
        <v>11.2179</v>
      </c>
      <c r="I317" s="10">
        <f>CHOOSE(CONTROL!$C$42, 10.9643, 10.9643)* CHOOSE(CONTROL!$C$21, $C$9, 100%, $E$9)</f>
        <v>10.9643</v>
      </c>
      <c r="J317" s="10">
        <f>CHOOSE(CONTROL!$C$42, 10.957, 10.957)* CHOOSE(CONTROL!$C$21, $C$9, 100%, $E$9)</f>
        <v>10.957000000000001</v>
      </c>
      <c r="K317" s="54">
        <f>CHOOSE(CONTROL!$C$42, 10.9604, 10.9604) * CHOOSE(CONTROL!$C$21, $C$9, 100%, $E$9)</f>
        <v>10.9604</v>
      </c>
      <c r="L317" s="10">
        <f>CHOOSE(CONTROL!$C$42, 11.8049, 11.8049) * CHOOSE(CONTROL!$C$21, $C$9, 100%, $E$9)</f>
        <v>11.8049</v>
      </c>
      <c r="M317" s="10">
        <f>CHOOSE(CONTROL!$C$42, 10.8603, 10.8603) * CHOOSE(CONTROL!$C$21, $C$9, 100%, $E$9)</f>
        <v>10.860300000000001</v>
      </c>
      <c r="N317" s="10">
        <f>CHOOSE(CONTROL!$C$42, 10.8772, 10.8772) * CHOOSE(CONTROL!$C$21, $C$9, 100%, $E$9)</f>
        <v>10.8772</v>
      </c>
      <c r="O317" s="10">
        <f>CHOOSE(CONTROL!$C$42, 11.1185, 11.1185) * CHOOSE(CONTROL!$C$21, $C$9, 100%, $E$9)</f>
        <v>11.118499999999999</v>
      </c>
      <c r="P317" s="10">
        <f>CHOOSE(CONTROL!$C$42, 10.8675, 10.8675) * CHOOSE(CONTROL!$C$21, $C$9, 100%, $E$9)</f>
        <v>10.8675</v>
      </c>
      <c r="Q317" s="10">
        <f>CHOOSE(CONTROL!$C$42, 11.7138, 11.7138) * CHOOSE(CONTROL!$C$21, $C$9, 100%, $E$9)</f>
        <v>11.713800000000001</v>
      </c>
      <c r="R317" s="10">
        <f>CHOOSE(CONTROL!$C$42, 12.3301, 12.3301) * CHOOSE(CONTROL!$C$21, $C$9, 100%, $E$9)</f>
        <v>12.3301</v>
      </c>
      <c r="S317" s="10">
        <f>CHOOSE(CONTROL!$C$42, 10.6757, 10.6757) * CHOOSE(CONTROL!$C$21, $C$9, 100%, $E$9)</f>
        <v>10.675700000000001</v>
      </c>
      <c r="T317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317" s="58">
        <f>(1000*CHOOSE(CONTROL!$C$42, 695, 695)*CHOOSE(CONTROL!$C$42, 0.5599, 0.5599)*CHOOSE(CONTROL!$C$42, 31, 31))/1000000</f>
        <v>12.063045499999998</v>
      </c>
      <c r="V317" s="58">
        <f>(1000*CHOOSE(CONTROL!$C$42, 500, 500)*CHOOSE(CONTROL!$C$42, 0.275, 0.275)*CHOOSE(CONTROL!$C$42, 31, 31))/1000000</f>
        <v>4.2625000000000002</v>
      </c>
      <c r="W317" s="58">
        <f>(1000*CHOOSE(CONTROL!$C$42, 0.1146, 0.1146)*CHOOSE(CONTROL!$C$42, 121.5, 121.5)*CHOOSE(CONTROL!$C$42, 31, 31))/1000000</f>
        <v>0.43164089999999994</v>
      </c>
      <c r="X317" s="58">
        <f>(31*0.1790888*245000/1000000)+(31*0.2374*100000/1000000)</f>
        <v>2.0961194359999999</v>
      </c>
      <c r="Y317" s="58"/>
      <c r="Z317" s="10"/>
      <c r="AA317" s="57"/>
      <c r="AB317" s="51">
        <f>(B317*194.205+C317*267.466+D317*133.845+E317*53.484+F317*40+G317*185+H317*0+I317*100+J317*300)/(194.205+267.466+133.845+53.484+0+40+185+100+300)</f>
        <v>11.014477717425432</v>
      </c>
      <c r="AC317" s="27">
        <f>(M317*'RAP TEMPLATE-GAS AVAILABILITY'!O316+N317*'RAP TEMPLATE-GAS AVAILABILITY'!P316+O317*'RAP TEMPLATE-GAS AVAILABILITY'!Q316+P317*'RAP TEMPLATE-GAS AVAILABILITY'!R316)/('RAP TEMPLATE-GAS AVAILABILITY'!O316+'RAP TEMPLATE-GAS AVAILABILITY'!P316+'RAP TEMPLATE-GAS AVAILABILITY'!Q316+'RAP TEMPLATE-GAS AVAILABILITY'!R316)</f>
        <v>10.937671223021583</v>
      </c>
    </row>
    <row r="318" spans="1:29" ht="15.75" x14ac:dyDescent="0.25">
      <c r="A318" s="14">
        <v>50586</v>
      </c>
      <c r="B318" s="10">
        <f>CHOOSE(CONTROL!$C$42, 11.3096, 11.3096) * CHOOSE(CONTROL!$C$21, $C$9, 100%, $E$9)</f>
        <v>11.3096</v>
      </c>
      <c r="C318" s="10">
        <f>CHOOSE(CONTROL!$C$42, 11.3175, 11.3175) * CHOOSE(CONTROL!$C$21, $C$9, 100%, $E$9)</f>
        <v>11.317500000000001</v>
      </c>
      <c r="D318" s="10">
        <f>CHOOSE(CONTROL!$C$42, 11.5099, 11.5099) * CHOOSE(CONTROL!$C$21, $C$9, 100%, $E$9)</f>
        <v>11.5099</v>
      </c>
      <c r="E318" s="10">
        <f>CHOOSE(CONTROL!$C$42, 11.541, 11.541) * CHOOSE(CONTROL!$C$21, $C$9, 100%, $E$9)</f>
        <v>11.541</v>
      </c>
      <c r="F318" s="10">
        <f>CHOOSE(CONTROL!$C$42, 11.276, 11.276)*CHOOSE(CONTROL!$C$21, $C$9, 100%, $E$9)</f>
        <v>11.276</v>
      </c>
      <c r="G318" s="10">
        <f>CHOOSE(CONTROL!$C$42, 11.2932, 11.2932)*CHOOSE(CONTROL!$C$21, $C$9, 100%, $E$9)</f>
        <v>11.293200000000001</v>
      </c>
      <c r="H318" s="10">
        <f>CHOOSE(CONTROL!$C$42, 11.5297, 11.5297) * CHOOSE(CONTROL!$C$21, $C$9, 100%, $E$9)</f>
        <v>11.5297</v>
      </c>
      <c r="I318" s="10">
        <f>CHOOSE(CONTROL!$C$42, 11.2761, 11.2761)* CHOOSE(CONTROL!$C$21, $C$9, 100%, $E$9)</f>
        <v>11.2761</v>
      </c>
      <c r="J318" s="10">
        <f>CHOOSE(CONTROL!$C$42, 11.269, 11.269)* CHOOSE(CONTROL!$C$21, $C$9, 100%, $E$9)</f>
        <v>11.269</v>
      </c>
      <c r="K318" s="54">
        <f>CHOOSE(CONTROL!$C$42, 11.2722, 11.2722) * CHOOSE(CONTROL!$C$21, $C$9, 100%, $E$9)</f>
        <v>11.2722</v>
      </c>
      <c r="L318" s="10">
        <f>CHOOSE(CONTROL!$C$42, 12.1167, 12.1167) * CHOOSE(CONTROL!$C$21, $C$9, 100%, $E$9)</f>
        <v>12.1167</v>
      </c>
      <c r="M318" s="10">
        <f>CHOOSE(CONTROL!$C$42, 11.1692, 11.1692) * CHOOSE(CONTROL!$C$21, $C$9, 100%, $E$9)</f>
        <v>11.1692</v>
      </c>
      <c r="N318" s="10">
        <f>CHOOSE(CONTROL!$C$42, 11.1862, 11.1862) * CHOOSE(CONTROL!$C$21, $C$9, 100%, $E$9)</f>
        <v>11.186199999999999</v>
      </c>
      <c r="O318" s="10">
        <f>CHOOSE(CONTROL!$C$42, 11.4272, 11.4272) * CHOOSE(CONTROL!$C$21, $C$9, 100%, $E$9)</f>
        <v>11.427199999999999</v>
      </c>
      <c r="P318" s="10">
        <f>CHOOSE(CONTROL!$C$42, 11.1762, 11.1762) * CHOOSE(CONTROL!$C$21, $C$9, 100%, $E$9)</f>
        <v>11.1762</v>
      </c>
      <c r="Q318" s="10">
        <f>CHOOSE(CONTROL!$C$42, 12.0225, 12.0225) * CHOOSE(CONTROL!$C$21, $C$9, 100%, $E$9)</f>
        <v>12.022500000000001</v>
      </c>
      <c r="R318" s="10">
        <f>CHOOSE(CONTROL!$C$42, 12.6395, 12.6395) * CHOOSE(CONTROL!$C$21, $C$9, 100%, $E$9)</f>
        <v>12.6395</v>
      </c>
      <c r="S318" s="10">
        <f>CHOOSE(CONTROL!$C$42, 10.9785, 10.9785) * CHOOSE(CONTROL!$C$21, $C$9, 100%, $E$9)</f>
        <v>10.9785</v>
      </c>
      <c r="T318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318" s="58">
        <f>(1000*CHOOSE(CONTROL!$C$42, 695, 695)*CHOOSE(CONTROL!$C$42, 0.5599, 0.5599)*CHOOSE(CONTROL!$C$42, 30, 30))/1000000</f>
        <v>11.673914999999997</v>
      </c>
      <c r="V318" s="58">
        <f>(1000*CHOOSE(CONTROL!$C$42, 500, 500)*CHOOSE(CONTROL!$C$42, 0.275, 0.275)*CHOOSE(CONTROL!$C$42, 30, 30))/1000000</f>
        <v>4.125</v>
      </c>
      <c r="W318" s="58">
        <f>(1000*CHOOSE(CONTROL!$C$42, 0.1146, 0.1146)*CHOOSE(CONTROL!$C$42, 121.5, 121.5)*CHOOSE(CONTROL!$C$42, 30, 30))/1000000</f>
        <v>0.417717</v>
      </c>
      <c r="X318" s="58">
        <f>(30*0.1790888*245000/1000000)+(30*0.2374*100000/1000000)</f>
        <v>2.0285026799999999</v>
      </c>
      <c r="Y318" s="58"/>
      <c r="Z318" s="10"/>
      <c r="AA318" s="57"/>
      <c r="AB318" s="51">
        <f>(B318*194.205+C318*267.466+D318*133.845+E318*53.484+F318*40+G318*185+H318*0+I318*100+J318*300)/(194.205+267.466+133.845+53.484+0+40+185+100+300)</f>
        <v>11.326389899921507</v>
      </c>
      <c r="AC318" s="27">
        <f>(M318*'RAP TEMPLATE-GAS AVAILABILITY'!O317+N318*'RAP TEMPLATE-GAS AVAILABILITY'!P317+O318*'RAP TEMPLATE-GAS AVAILABILITY'!Q317+P318*'RAP TEMPLATE-GAS AVAILABILITY'!R317)/('RAP TEMPLATE-GAS AVAILABILITY'!O317+'RAP TEMPLATE-GAS AVAILABILITY'!P317+'RAP TEMPLATE-GAS AVAILABILITY'!Q317+'RAP TEMPLATE-GAS AVAILABILITY'!R317)</f>
        <v>11.246509352517984</v>
      </c>
    </row>
    <row r="319" spans="1:29" ht="15.75" x14ac:dyDescent="0.25">
      <c r="A319" s="14">
        <v>50617</v>
      </c>
      <c r="B319" s="10">
        <f>CHOOSE(CONTROL!$C$42, 11.0927, 11.0927) * CHOOSE(CONTROL!$C$21, $C$9, 100%, $E$9)</f>
        <v>11.092700000000001</v>
      </c>
      <c r="C319" s="10">
        <f>CHOOSE(CONTROL!$C$42, 11.1006, 11.1006) * CHOOSE(CONTROL!$C$21, $C$9, 100%, $E$9)</f>
        <v>11.1006</v>
      </c>
      <c r="D319" s="10">
        <f>CHOOSE(CONTROL!$C$42, 11.293, 11.293) * CHOOSE(CONTROL!$C$21, $C$9, 100%, $E$9)</f>
        <v>11.292999999999999</v>
      </c>
      <c r="E319" s="10">
        <f>CHOOSE(CONTROL!$C$42, 11.3242, 11.3242) * CHOOSE(CONTROL!$C$21, $C$9, 100%, $E$9)</f>
        <v>11.324199999999999</v>
      </c>
      <c r="F319" s="10">
        <f>CHOOSE(CONTROL!$C$42, 11.0596, 11.0596)*CHOOSE(CONTROL!$C$21, $C$9, 100%, $E$9)</f>
        <v>11.0596</v>
      </c>
      <c r="G319" s="10">
        <f>CHOOSE(CONTROL!$C$42, 11.0769, 11.0769)*CHOOSE(CONTROL!$C$21, $C$9, 100%, $E$9)</f>
        <v>11.0769</v>
      </c>
      <c r="H319" s="10">
        <f>CHOOSE(CONTROL!$C$42, 11.3128, 11.3128) * CHOOSE(CONTROL!$C$21, $C$9, 100%, $E$9)</f>
        <v>11.312799999999999</v>
      </c>
      <c r="I319" s="10">
        <f>CHOOSE(CONTROL!$C$42, 11.0593, 11.0593)* CHOOSE(CONTROL!$C$21, $C$9, 100%, $E$9)</f>
        <v>11.0593</v>
      </c>
      <c r="J319" s="10">
        <f>CHOOSE(CONTROL!$C$42, 11.0526, 11.0526)* CHOOSE(CONTROL!$C$21, $C$9, 100%, $E$9)</f>
        <v>11.0526</v>
      </c>
      <c r="K319" s="54">
        <f>CHOOSE(CONTROL!$C$42, 11.0554, 11.0554) * CHOOSE(CONTROL!$C$21, $C$9, 100%, $E$9)</f>
        <v>11.055400000000001</v>
      </c>
      <c r="L319" s="10">
        <f>CHOOSE(CONTROL!$C$42, 11.8998, 11.8998) * CHOOSE(CONTROL!$C$21, $C$9, 100%, $E$9)</f>
        <v>11.899800000000001</v>
      </c>
      <c r="M319" s="10">
        <f>CHOOSE(CONTROL!$C$42, 10.9549, 10.9549) * CHOOSE(CONTROL!$C$21, $C$9, 100%, $E$9)</f>
        <v>10.9549</v>
      </c>
      <c r="N319" s="10">
        <f>CHOOSE(CONTROL!$C$42, 10.972, 10.972) * CHOOSE(CONTROL!$C$21, $C$9, 100%, $E$9)</f>
        <v>10.972</v>
      </c>
      <c r="O319" s="10">
        <f>CHOOSE(CONTROL!$C$42, 11.2125, 11.2125) * CHOOSE(CONTROL!$C$21, $C$9, 100%, $E$9)</f>
        <v>11.2125</v>
      </c>
      <c r="P319" s="10">
        <f>CHOOSE(CONTROL!$C$42, 10.9615, 10.9615) * CHOOSE(CONTROL!$C$21, $C$9, 100%, $E$9)</f>
        <v>10.961499999999999</v>
      </c>
      <c r="Q319" s="10">
        <f>CHOOSE(CONTROL!$C$42, 11.8078, 11.8078) * CHOOSE(CONTROL!$C$21, $C$9, 100%, $E$9)</f>
        <v>11.8078</v>
      </c>
      <c r="R319" s="10">
        <f>CHOOSE(CONTROL!$C$42, 12.4243, 12.4243) * CHOOSE(CONTROL!$C$21, $C$9, 100%, $E$9)</f>
        <v>12.424300000000001</v>
      </c>
      <c r="S319" s="10">
        <f>CHOOSE(CONTROL!$C$42, 10.7679, 10.7679) * CHOOSE(CONTROL!$C$21, $C$9, 100%, $E$9)</f>
        <v>10.767899999999999</v>
      </c>
      <c r="T319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319" s="58">
        <f>(1000*CHOOSE(CONTROL!$C$42, 695, 695)*CHOOSE(CONTROL!$C$42, 0.5599, 0.5599)*CHOOSE(CONTROL!$C$42, 31, 31))/1000000</f>
        <v>12.063045499999998</v>
      </c>
      <c r="V319" s="58">
        <f>(1000*CHOOSE(CONTROL!$C$42, 500, 500)*CHOOSE(CONTROL!$C$42, 0.275, 0.275)*CHOOSE(CONTROL!$C$42, 31, 31))/1000000</f>
        <v>4.2625000000000002</v>
      </c>
      <c r="W319" s="58">
        <f>(1000*CHOOSE(CONTROL!$C$42, 0.1146, 0.1146)*CHOOSE(CONTROL!$C$42, 121.5, 121.5)*CHOOSE(CONTROL!$C$42, 31, 31))/1000000</f>
        <v>0.43164089999999994</v>
      </c>
      <c r="X319" s="58">
        <f>(31*0.1790888*245000/1000000)+(31*0.2374*100000/1000000)</f>
        <v>2.0961194359999999</v>
      </c>
      <c r="Y319" s="58"/>
      <c r="Z319" s="10"/>
      <c r="AA319" s="57"/>
      <c r="AB319" s="51">
        <f>(B319*194.205+C319*267.466+D319*133.845+E319*53.484+F319*40+G319*185+H319*0+I319*100+J319*300)/(194.205+267.466+133.845+53.484+0+40+185+100+300)</f>
        <v>11.109722512480378</v>
      </c>
      <c r="AC319" s="27">
        <f>(M319*'RAP TEMPLATE-GAS AVAILABILITY'!O318+N319*'RAP TEMPLATE-GAS AVAILABILITY'!P318+O319*'RAP TEMPLATE-GAS AVAILABILITY'!Q318+P319*'RAP TEMPLATE-GAS AVAILABILITY'!R318)/('RAP TEMPLATE-GAS AVAILABILITY'!O318+'RAP TEMPLATE-GAS AVAILABILITY'!P318+'RAP TEMPLATE-GAS AVAILABILITY'!Q318+'RAP TEMPLATE-GAS AVAILABILITY'!R318)</f>
        <v>11.032062589928056</v>
      </c>
    </row>
    <row r="320" spans="1:29" ht="15.75" x14ac:dyDescent="0.25">
      <c r="A320" s="14">
        <v>50648</v>
      </c>
      <c r="B320" s="10">
        <f>CHOOSE(CONTROL!$C$42, 10.545, 10.545) * CHOOSE(CONTROL!$C$21, $C$9, 100%, $E$9)</f>
        <v>10.545</v>
      </c>
      <c r="C320" s="10">
        <f>CHOOSE(CONTROL!$C$42, 10.553, 10.553) * CHOOSE(CONTROL!$C$21, $C$9, 100%, $E$9)</f>
        <v>10.553000000000001</v>
      </c>
      <c r="D320" s="10">
        <f>CHOOSE(CONTROL!$C$42, 10.7454, 10.7454) * CHOOSE(CONTROL!$C$21, $C$9, 100%, $E$9)</f>
        <v>10.7454</v>
      </c>
      <c r="E320" s="10">
        <f>CHOOSE(CONTROL!$C$42, 10.7765, 10.7765) * CHOOSE(CONTROL!$C$21, $C$9, 100%, $E$9)</f>
        <v>10.7765</v>
      </c>
      <c r="F320" s="10">
        <f>CHOOSE(CONTROL!$C$42, 10.5121, 10.5121)*CHOOSE(CONTROL!$C$21, $C$9, 100%, $E$9)</f>
        <v>10.5121</v>
      </c>
      <c r="G320" s="10">
        <f>CHOOSE(CONTROL!$C$42, 10.5294, 10.5294)*CHOOSE(CONTROL!$C$21, $C$9, 100%, $E$9)</f>
        <v>10.529400000000001</v>
      </c>
      <c r="H320" s="10">
        <f>CHOOSE(CONTROL!$C$42, 10.7652, 10.7652) * CHOOSE(CONTROL!$C$21, $C$9, 100%, $E$9)</f>
        <v>10.7652</v>
      </c>
      <c r="I320" s="10">
        <f>CHOOSE(CONTROL!$C$42, 10.5116, 10.5116)* CHOOSE(CONTROL!$C$21, $C$9, 100%, $E$9)</f>
        <v>10.5116</v>
      </c>
      <c r="J320" s="10">
        <f>CHOOSE(CONTROL!$C$42, 10.5051, 10.5051)* CHOOSE(CONTROL!$C$21, $C$9, 100%, $E$9)</f>
        <v>10.505100000000001</v>
      </c>
      <c r="K320" s="54">
        <f>CHOOSE(CONTROL!$C$42, 10.5077, 10.5077) * CHOOSE(CONTROL!$C$21, $C$9, 100%, $E$9)</f>
        <v>10.5077</v>
      </c>
      <c r="L320" s="10">
        <f>CHOOSE(CONTROL!$C$42, 11.3522, 11.3522) * CHOOSE(CONTROL!$C$21, $C$9, 100%, $E$9)</f>
        <v>11.3522</v>
      </c>
      <c r="M320" s="10">
        <f>CHOOSE(CONTROL!$C$42, 10.4129, 10.4129) * CHOOSE(CONTROL!$C$21, $C$9, 100%, $E$9)</f>
        <v>10.4129</v>
      </c>
      <c r="N320" s="10">
        <f>CHOOSE(CONTROL!$C$42, 10.4301, 10.4301) * CHOOSE(CONTROL!$C$21, $C$9, 100%, $E$9)</f>
        <v>10.430099999999999</v>
      </c>
      <c r="O320" s="10">
        <f>CHOOSE(CONTROL!$C$42, 10.6703, 10.6703) * CHOOSE(CONTROL!$C$21, $C$9, 100%, $E$9)</f>
        <v>10.670299999999999</v>
      </c>
      <c r="P320" s="10">
        <f>CHOOSE(CONTROL!$C$42, 10.4194, 10.4194) * CHOOSE(CONTROL!$C$21, $C$9, 100%, $E$9)</f>
        <v>10.4194</v>
      </c>
      <c r="Q320" s="10">
        <f>CHOOSE(CONTROL!$C$42, 11.2656, 11.2656) * CHOOSE(CONTROL!$C$21, $C$9, 100%, $E$9)</f>
        <v>11.265599999999999</v>
      </c>
      <c r="R320" s="10">
        <f>CHOOSE(CONTROL!$C$42, 11.8808, 11.8808) * CHOOSE(CONTROL!$C$21, $C$9, 100%, $E$9)</f>
        <v>11.880800000000001</v>
      </c>
      <c r="S320" s="10">
        <f>CHOOSE(CONTROL!$C$42, 10.236, 10.236) * CHOOSE(CONTROL!$C$21, $C$9, 100%, $E$9)</f>
        <v>10.236000000000001</v>
      </c>
      <c r="T320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320" s="58">
        <f>(1000*CHOOSE(CONTROL!$C$42, 695, 695)*CHOOSE(CONTROL!$C$42, 0.5599, 0.5599)*CHOOSE(CONTROL!$C$42, 31, 31))/1000000</f>
        <v>12.063045499999998</v>
      </c>
      <c r="V320" s="58">
        <f>(1000*CHOOSE(CONTROL!$C$42, 500, 500)*CHOOSE(CONTROL!$C$42, 0.275, 0.275)*CHOOSE(CONTROL!$C$42, 31, 31))/1000000</f>
        <v>4.2625000000000002</v>
      </c>
      <c r="W320" s="58">
        <f>(1000*CHOOSE(CONTROL!$C$42, 0.1146, 0.1146)*CHOOSE(CONTROL!$C$42, 121.5, 121.5)*CHOOSE(CONTROL!$C$42, 31, 31))/1000000</f>
        <v>0.43164089999999994</v>
      </c>
      <c r="X320" s="58">
        <f>(31*0.1790888*245000/1000000)+(31*0.2374*100000/1000000)</f>
        <v>2.0961194359999999</v>
      </c>
      <c r="Y320" s="58"/>
      <c r="Z320" s="10"/>
      <c r="AA320" s="57"/>
      <c r="AB320" s="51">
        <f>(B320*194.205+C320*267.466+D320*133.845+E320*53.484+F320*40+G320*185+H320*0+I320*100+J320*300)/(194.205+267.466+133.845+53.484+0+40+185+100+300)</f>
        <v>10.562136430141289</v>
      </c>
      <c r="AC320" s="27">
        <f>(M320*'RAP TEMPLATE-GAS AVAILABILITY'!O319+N320*'RAP TEMPLATE-GAS AVAILABILITY'!P319+O320*'RAP TEMPLATE-GAS AVAILABILITY'!Q319+P320*'RAP TEMPLATE-GAS AVAILABILITY'!R319)/('RAP TEMPLATE-GAS AVAILABILITY'!O319+'RAP TEMPLATE-GAS AVAILABILITY'!P319+'RAP TEMPLATE-GAS AVAILABILITY'!Q319+'RAP TEMPLATE-GAS AVAILABILITY'!R319)</f>
        <v>10.490015107913669</v>
      </c>
    </row>
    <row r="321" spans="1:29" ht="15.75" x14ac:dyDescent="0.25">
      <c r="A321" s="14">
        <v>50678</v>
      </c>
      <c r="B321" s="10">
        <f>CHOOSE(CONTROL!$C$42, 9.8755, 9.8755) * CHOOSE(CONTROL!$C$21, $C$9, 100%, $E$9)</f>
        <v>9.8755000000000006</v>
      </c>
      <c r="C321" s="10">
        <f>CHOOSE(CONTROL!$C$42, 9.8834, 9.8834) * CHOOSE(CONTROL!$C$21, $C$9, 100%, $E$9)</f>
        <v>9.8834</v>
      </c>
      <c r="D321" s="10">
        <f>CHOOSE(CONTROL!$C$42, 10.0759, 10.0759) * CHOOSE(CONTROL!$C$21, $C$9, 100%, $E$9)</f>
        <v>10.075900000000001</v>
      </c>
      <c r="E321" s="10">
        <f>CHOOSE(CONTROL!$C$42, 10.107, 10.107) * CHOOSE(CONTROL!$C$21, $C$9, 100%, $E$9)</f>
        <v>10.106999999999999</v>
      </c>
      <c r="F321" s="10">
        <f>CHOOSE(CONTROL!$C$42, 9.8424, 9.8424)*CHOOSE(CONTROL!$C$21, $C$9, 100%, $E$9)</f>
        <v>9.8423999999999996</v>
      </c>
      <c r="G321" s="10">
        <f>CHOOSE(CONTROL!$C$42, 9.8597, 9.8597)*CHOOSE(CONTROL!$C$21, $C$9, 100%, $E$9)</f>
        <v>9.8597000000000001</v>
      </c>
      <c r="H321" s="10">
        <f>CHOOSE(CONTROL!$C$42, 10.0956, 10.0956) * CHOOSE(CONTROL!$C$21, $C$9, 100%, $E$9)</f>
        <v>10.095599999999999</v>
      </c>
      <c r="I321" s="10">
        <f>CHOOSE(CONTROL!$C$42, 9.8421, 9.8421)* CHOOSE(CONTROL!$C$21, $C$9, 100%, $E$9)</f>
        <v>9.8421000000000003</v>
      </c>
      <c r="J321" s="10">
        <f>CHOOSE(CONTROL!$C$42, 9.8354, 9.8354)* CHOOSE(CONTROL!$C$21, $C$9, 100%, $E$9)</f>
        <v>9.8353999999999999</v>
      </c>
      <c r="K321" s="54">
        <f>CHOOSE(CONTROL!$C$42, 9.8382, 9.8382) * CHOOSE(CONTROL!$C$21, $C$9, 100%, $E$9)</f>
        <v>9.8382000000000005</v>
      </c>
      <c r="L321" s="10">
        <f>CHOOSE(CONTROL!$C$42, 10.6826, 10.6826) * CHOOSE(CONTROL!$C$21, $C$9, 100%, $E$9)</f>
        <v>10.682600000000001</v>
      </c>
      <c r="M321" s="10">
        <f>CHOOSE(CONTROL!$C$42, 9.75, 9.75) * CHOOSE(CONTROL!$C$21, $C$9, 100%, $E$9)</f>
        <v>9.75</v>
      </c>
      <c r="N321" s="10">
        <f>CHOOSE(CONTROL!$C$42, 9.7671, 9.7671) * CHOOSE(CONTROL!$C$21, $C$9, 100%, $E$9)</f>
        <v>9.7670999999999992</v>
      </c>
      <c r="O321" s="10">
        <f>CHOOSE(CONTROL!$C$42, 10.0076, 10.0076) * CHOOSE(CONTROL!$C$21, $C$9, 100%, $E$9)</f>
        <v>10.0076</v>
      </c>
      <c r="P321" s="10">
        <f>CHOOSE(CONTROL!$C$42, 9.7566, 9.7566) * CHOOSE(CONTROL!$C$21, $C$9, 100%, $E$9)</f>
        <v>9.7566000000000006</v>
      </c>
      <c r="Q321" s="10">
        <f>CHOOSE(CONTROL!$C$42, 10.6029, 10.6029) * CHOOSE(CONTROL!$C$21, $C$9, 100%, $E$9)</f>
        <v>10.6029</v>
      </c>
      <c r="R321" s="10">
        <f>CHOOSE(CONTROL!$C$42, 11.2164, 11.2164) * CHOOSE(CONTROL!$C$21, $C$9, 100%, $E$9)</f>
        <v>11.2164</v>
      </c>
      <c r="S321" s="10">
        <f>CHOOSE(CONTROL!$C$42, 9.5859, 9.5859) * CHOOSE(CONTROL!$C$21, $C$9, 100%, $E$9)</f>
        <v>9.5859000000000005</v>
      </c>
      <c r="T321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321" s="58">
        <f>(1000*CHOOSE(CONTROL!$C$42, 695, 695)*CHOOSE(CONTROL!$C$42, 0.5599, 0.5599)*CHOOSE(CONTROL!$C$42, 30, 30))/1000000</f>
        <v>11.673914999999997</v>
      </c>
      <c r="V321" s="58">
        <f>(1000*CHOOSE(CONTROL!$C$42, 500, 500)*CHOOSE(CONTROL!$C$42, 0.275, 0.275)*CHOOSE(CONTROL!$C$42, 30, 30))/1000000</f>
        <v>4.125</v>
      </c>
      <c r="W321" s="58">
        <f>(1000*CHOOSE(CONTROL!$C$42, 0.1146, 0.1146)*CHOOSE(CONTROL!$C$42, 121.5, 121.5)*CHOOSE(CONTROL!$C$42, 30, 30))/1000000</f>
        <v>0.417717</v>
      </c>
      <c r="X321" s="58">
        <f>(30*0.1790888*245000/1000000)+(30*0.2374*100000/1000000)</f>
        <v>2.0285026799999999</v>
      </c>
      <c r="Y321" s="58"/>
      <c r="Z321" s="10"/>
      <c r="AA321" s="57"/>
      <c r="AB321" s="51">
        <f>(B321*194.205+C321*267.466+D321*133.845+E321*53.484+F321*40+G321*185+H321*0+I321*100+J321*300)/(194.205+267.466+133.845+53.484+0+40+185+100+300)</f>
        <v>9.892533018367347</v>
      </c>
      <c r="AC321" s="27">
        <f>(M321*'RAP TEMPLATE-GAS AVAILABILITY'!O320+N321*'RAP TEMPLATE-GAS AVAILABILITY'!P320+O321*'RAP TEMPLATE-GAS AVAILABILITY'!Q320+P321*'RAP TEMPLATE-GAS AVAILABILITY'!R320)/('RAP TEMPLATE-GAS AVAILABILITY'!O320+'RAP TEMPLATE-GAS AVAILABILITY'!P320+'RAP TEMPLATE-GAS AVAILABILITY'!Q320+'RAP TEMPLATE-GAS AVAILABILITY'!R320)</f>
        <v>9.8271625899280579</v>
      </c>
    </row>
    <row r="322" spans="1:29" ht="15.75" x14ac:dyDescent="0.25">
      <c r="A322" s="14">
        <v>50709</v>
      </c>
      <c r="B322" s="10">
        <f>CHOOSE(CONTROL!$C$42, 9.6734, 9.6734) * CHOOSE(CONTROL!$C$21, $C$9, 100%, $E$9)</f>
        <v>9.6734000000000009</v>
      </c>
      <c r="C322" s="10">
        <f>CHOOSE(CONTROL!$C$42, 9.6786, 9.6786) * CHOOSE(CONTROL!$C$21, $C$9, 100%, $E$9)</f>
        <v>9.6785999999999994</v>
      </c>
      <c r="D322" s="10">
        <f>CHOOSE(CONTROL!$C$42, 9.876, 9.876) * CHOOSE(CONTROL!$C$21, $C$9, 100%, $E$9)</f>
        <v>9.8759999999999994</v>
      </c>
      <c r="E322" s="10">
        <f>CHOOSE(CONTROL!$C$42, 9.9048, 9.9048) * CHOOSE(CONTROL!$C$21, $C$9, 100%, $E$9)</f>
        <v>9.9047999999999998</v>
      </c>
      <c r="F322" s="10">
        <f>CHOOSE(CONTROL!$C$42, 9.6423, 9.6423)*CHOOSE(CONTROL!$C$21, $C$9, 100%, $E$9)</f>
        <v>9.6423000000000005</v>
      </c>
      <c r="G322" s="10">
        <f>CHOOSE(CONTROL!$C$42, 9.6592, 9.6592)*CHOOSE(CONTROL!$C$21, $C$9, 100%, $E$9)</f>
        <v>9.6592000000000002</v>
      </c>
      <c r="H322" s="10">
        <f>CHOOSE(CONTROL!$C$42, 9.8952, 9.8952) * CHOOSE(CONTROL!$C$21, $C$9, 100%, $E$9)</f>
        <v>9.8952000000000009</v>
      </c>
      <c r="I322" s="10">
        <f>CHOOSE(CONTROL!$C$42, 9.6417, 9.6417)* CHOOSE(CONTROL!$C$21, $C$9, 100%, $E$9)</f>
        <v>9.6417000000000002</v>
      </c>
      <c r="J322" s="10">
        <f>CHOOSE(CONTROL!$C$42, 9.6353, 9.6353)* CHOOSE(CONTROL!$C$21, $C$9, 100%, $E$9)</f>
        <v>9.6353000000000009</v>
      </c>
      <c r="K322" s="54">
        <f>CHOOSE(CONTROL!$C$42, 9.6378, 9.6378) * CHOOSE(CONTROL!$C$21, $C$9, 100%, $E$9)</f>
        <v>9.6378000000000004</v>
      </c>
      <c r="L322" s="10">
        <f>CHOOSE(CONTROL!$C$42, 10.4822, 10.4822) * CHOOSE(CONTROL!$C$21, $C$9, 100%, $E$9)</f>
        <v>10.482200000000001</v>
      </c>
      <c r="M322" s="10">
        <f>CHOOSE(CONTROL!$C$42, 9.5518, 9.5518) * CHOOSE(CONTROL!$C$21, $C$9, 100%, $E$9)</f>
        <v>9.5518000000000001</v>
      </c>
      <c r="N322" s="10">
        <f>CHOOSE(CONTROL!$C$42, 9.5686, 9.5686) * CHOOSE(CONTROL!$C$21, $C$9, 100%, $E$9)</f>
        <v>9.5686</v>
      </c>
      <c r="O322" s="10">
        <f>CHOOSE(CONTROL!$C$42, 9.8092, 9.8092) * CHOOSE(CONTROL!$C$21, $C$9, 100%, $E$9)</f>
        <v>9.8092000000000006</v>
      </c>
      <c r="P322" s="10">
        <f>CHOOSE(CONTROL!$C$42, 9.5582, 9.5582) * CHOOSE(CONTROL!$C$21, $C$9, 100%, $E$9)</f>
        <v>9.5581999999999994</v>
      </c>
      <c r="Q322" s="10">
        <f>CHOOSE(CONTROL!$C$42, 10.4045, 10.4045) * CHOOSE(CONTROL!$C$21, $C$9, 100%, $E$9)</f>
        <v>10.404500000000001</v>
      </c>
      <c r="R322" s="10">
        <f>CHOOSE(CONTROL!$C$42, 11.0175, 11.0175) * CHOOSE(CONTROL!$C$21, $C$9, 100%, $E$9)</f>
        <v>11.0175</v>
      </c>
      <c r="S322" s="10">
        <f>CHOOSE(CONTROL!$C$42, 9.3913, 9.3913) * CHOOSE(CONTROL!$C$21, $C$9, 100%, $E$9)</f>
        <v>9.3912999999999993</v>
      </c>
      <c r="T322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322" s="58">
        <f>(1000*CHOOSE(CONTROL!$C$42, 695, 695)*CHOOSE(CONTROL!$C$42, 0.5599, 0.5599)*CHOOSE(CONTROL!$C$42, 31, 31))/1000000</f>
        <v>12.063045499999998</v>
      </c>
      <c r="V322" s="58">
        <f>(1000*CHOOSE(CONTROL!$C$42, 500, 500)*CHOOSE(CONTROL!$C$42, 0.275, 0.275)*CHOOSE(CONTROL!$C$42, 31, 31))/1000000</f>
        <v>4.2625000000000002</v>
      </c>
      <c r="W322" s="58">
        <f>(1000*CHOOSE(CONTROL!$C$42, 0.1146, 0.1146)*CHOOSE(CONTROL!$C$42, 121.5, 121.5)*CHOOSE(CONTROL!$C$42, 31, 31))/1000000</f>
        <v>0.43164089999999994</v>
      </c>
      <c r="X322" s="58">
        <f>(31*0.1790888*245000/1000000)+(31*0.2374*100000/1000000)</f>
        <v>2.0961194359999999</v>
      </c>
      <c r="Y322" s="58"/>
      <c r="Z322" s="10"/>
      <c r="AA322" s="57"/>
      <c r="AB322" s="51">
        <f>(B322*131.881+C322*277.167+D322*79.08+E322*125.872+F322*40+G322*185+H322*0+I322*100+J322*300)/(131.881+277.167+79.08+125.872+0+40+185+100+300)</f>
        <v>9.6960946385795008</v>
      </c>
      <c r="AC322" s="27">
        <f>(M322*'RAP TEMPLATE-GAS AVAILABILITY'!O321+N322*'RAP TEMPLATE-GAS AVAILABILITY'!P321+O322*'RAP TEMPLATE-GAS AVAILABILITY'!Q321+P322*'RAP TEMPLATE-GAS AVAILABILITY'!R321)/('RAP TEMPLATE-GAS AVAILABILITY'!O321+'RAP TEMPLATE-GAS AVAILABILITY'!P321+'RAP TEMPLATE-GAS AVAILABILITY'!Q321+'RAP TEMPLATE-GAS AVAILABILITY'!R321)</f>
        <v>9.6288086330935254</v>
      </c>
    </row>
    <row r="323" spans="1:29" ht="15.75" x14ac:dyDescent="0.25">
      <c r="A323" s="14">
        <v>50739</v>
      </c>
      <c r="B323" s="10">
        <f>CHOOSE(CONTROL!$C$42, 9.9277, 9.9277) * CHOOSE(CONTROL!$C$21, $C$9, 100%, $E$9)</f>
        <v>9.9276999999999997</v>
      </c>
      <c r="C323" s="10">
        <f>CHOOSE(CONTROL!$C$42, 9.9326, 9.9326) * CHOOSE(CONTROL!$C$21, $C$9, 100%, $E$9)</f>
        <v>9.9326000000000008</v>
      </c>
      <c r="D323" s="10">
        <f>CHOOSE(CONTROL!$C$42, 9.9623, 9.9623) * CHOOSE(CONTROL!$C$21, $C$9, 100%, $E$9)</f>
        <v>9.9623000000000008</v>
      </c>
      <c r="E323" s="10">
        <f>CHOOSE(CONTROL!$C$42, 9.996, 9.996) * CHOOSE(CONTROL!$C$21, $C$9, 100%, $E$9)</f>
        <v>9.9960000000000004</v>
      </c>
      <c r="F323" s="10">
        <f>CHOOSE(CONTROL!$C$42, 9.8945, 9.8945)*CHOOSE(CONTROL!$C$21, $C$9, 100%, $E$9)</f>
        <v>9.8945000000000007</v>
      </c>
      <c r="G323" s="10">
        <f>CHOOSE(CONTROL!$C$42, 9.9116, 9.9116)*CHOOSE(CONTROL!$C$21, $C$9, 100%, $E$9)</f>
        <v>9.9116</v>
      </c>
      <c r="H323" s="10">
        <f>CHOOSE(CONTROL!$C$42, 9.9852, 9.9852) * CHOOSE(CONTROL!$C$21, $C$9, 100%, $E$9)</f>
        <v>9.9852000000000007</v>
      </c>
      <c r="I323" s="10">
        <f>CHOOSE(CONTROL!$C$42, 9.8913, 9.8913)* CHOOSE(CONTROL!$C$21, $C$9, 100%, $E$9)</f>
        <v>9.8912999999999993</v>
      </c>
      <c r="J323" s="10">
        <f>CHOOSE(CONTROL!$C$42, 9.8875, 9.8875)* CHOOSE(CONTROL!$C$21, $C$9, 100%, $E$9)</f>
        <v>9.8874999999999993</v>
      </c>
      <c r="K323" s="54">
        <f>CHOOSE(CONTROL!$C$42, 9.8874, 9.8874) * CHOOSE(CONTROL!$C$21, $C$9, 100%, $E$9)</f>
        <v>9.8873999999999995</v>
      </c>
      <c r="L323" s="10">
        <f>CHOOSE(CONTROL!$C$42, 10.5722, 10.5722) * CHOOSE(CONTROL!$C$21, $C$9, 100%, $E$9)</f>
        <v>10.5722</v>
      </c>
      <c r="M323" s="10">
        <f>CHOOSE(CONTROL!$C$42, 9.8015, 9.8015) * CHOOSE(CONTROL!$C$21, $C$9, 100%, $E$9)</f>
        <v>9.8015000000000008</v>
      </c>
      <c r="N323" s="10">
        <f>CHOOSE(CONTROL!$C$42, 9.8185, 9.8185) * CHOOSE(CONTROL!$C$21, $C$9, 100%, $E$9)</f>
        <v>9.8185000000000002</v>
      </c>
      <c r="O323" s="10">
        <f>CHOOSE(CONTROL!$C$42, 9.8983, 9.8983) * CHOOSE(CONTROL!$C$21, $C$9, 100%, $E$9)</f>
        <v>9.8983000000000008</v>
      </c>
      <c r="P323" s="10">
        <f>CHOOSE(CONTROL!$C$42, 9.8053, 9.8053) * CHOOSE(CONTROL!$C$21, $C$9, 100%, $E$9)</f>
        <v>9.8053000000000008</v>
      </c>
      <c r="Q323" s="10">
        <f>CHOOSE(CONTROL!$C$42, 10.4936, 10.4936) * CHOOSE(CONTROL!$C$21, $C$9, 100%, $E$9)</f>
        <v>10.493600000000001</v>
      </c>
      <c r="R323" s="10">
        <f>CHOOSE(CONTROL!$C$42, 11.1068, 11.1068) * CHOOSE(CONTROL!$C$21, $C$9, 100%, $E$9)</f>
        <v>11.1068</v>
      </c>
      <c r="S323" s="10">
        <f>CHOOSE(CONTROL!$C$42, 9.6386, 9.6386) * CHOOSE(CONTROL!$C$21, $C$9, 100%, $E$9)</f>
        <v>9.6386000000000003</v>
      </c>
      <c r="T323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323" s="58">
        <f>(1000*CHOOSE(CONTROL!$C$42, 695, 695)*CHOOSE(CONTROL!$C$42, 0.5599, 0.5599)*CHOOSE(CONTROL!$C$42, 30, 30))/1000000</f>
        <v>11.673914999999997</v>
      </c>
      <c r="V323" s="58">
        <f>(1000*CHOOSE(CONTROL!$C$42, 500, 500)*CHOOSE(CONTROL!$C$42, 0.275, 0.275)*CHOOSE(CONTROL!$C$42, 30, 30))/1000000</f>
        <v>4.125</v>
      </c>
      <c r="W323" s="58">
        <f>(1000*CHOOSE(CONTROL!$C$42, 0.1146, 0.1146)*CHOOSE(CONTROL!$C$42, 121.5, 121.5)*CHOOSE(CONTROL!$C$42, 30, 30))/1000000</f>
        <v>0.417717</v>
      </c>
      <c r="X323" s="58">
        <f>(30*0.1790888*100000/1000000)+(30*0.2374*100000/1000000)</f>
        <v>1.2494664</v>
      </c>
      <c r="Y323" s="58"/>
      <c r="Z323" s="10"/>
      <c r="AA323" s="57"/>
      <c r="AB323" s="51">
        <f>(B323*122.58+C323*297.941+D323*89.177+E323*40.302+F323*40+G323*160+H323*0+I323*100+J323*300)/(122.58+297.941+89.177+40.302+0+40+160+100+300)</f>
        <v>9.916999184086956</v>
      </c>
      <c r="AC323" s="27">
        <f>(M323*'RAP TEMPLATE-GAS AVAILABILITY'!O322+N323*'RAP TEMPLATE-GAS AVAILABILITY'!P322+O323*'RAP TEMPLATE-GAS AVAILABILITY'!Q322+P323*'RAP TEMPLATE-GAS AVAILABILITY'!R322)/('RAP TEMPLATE-GAS AVAILABILITY'!O322+'RAP TEMPLATE-GAS AVAILABILITY'!P322+'RAP TEMPLATE-GAS AVAILABILITY'!Q322+'RAP TEMPLATE-GAS AVAILABILITY'!R322)</f>
        <v>9.8468985611510789</v>
      </c>
    </row>
    <row r="324" spans="1:29" ht="15.75" x14ac:dyDescent="0.25">
      <c r="A324" s="14">
        <v>50770</v>
      </c>
      <c r="B324" s="10">
        <f>CHOOSE(CONTROL!$C$42, 10.6043, 10.6043) * CHOOSE(CONTROL!$C$21, $C$9, 100%, $E$9)</f>
        <v>10.6043</v>
      </c>
      <c r="C324" s="10">
        <f>CHOOSE(CONTROL!$C$42, 10.6093, 10.6093) * CHOOSE(CONTROL!$C$21, $C$9, 100%, $E$9)</f>
        <v>10.609299999999999</v>
      </c>
      <c r="D324" s="10">
        <f>CHOOSE(CONTROL!$C$42, 10.6389, 10.6389) * CHOOSE(CONTROL!$C$21, $C$9, 100%, $E$9)</f>
        <v>10.6389</v>
      </c>
      <c r="E324" s="10">
        <f>CHOOSE(CONTROL!$C$42, 10.6727, 10.6727) * CHOOSE(CONTROL!$C$21, $C$9, 100%, $E$9)</f>
        <v>10.672700000000001</v>
      </c>
      <c r="F324" s="10">
        <f>CHOOSE(CONTROL!$C$42, 10.5726, 10.5726)*CHOOSE(CONTROL!$C$21, $C$9, 100%, $E$9)</f>
        <v>10.5726</v>
      </c>
      <c r="G324" s="10">
        <f>CHOOSE(CONTROL!$C$42, 10.5901, 10.5901)*CHOOSE(CONTROL!$C$21, $C$9, 100%, $E$9)</f>
        <v>10.5901</v>
      </c>
      <c r="H324" s="10">
        <f>CHOOSE(CONTROL!$C$42, 10.6619, 10.6619) * CHOOSE(CONTROL!$C$21, $C$9, 100%, $E$9)</f>
        <v>10.661899999999999</v>
      </c>
      <c r="I324" s="10">
        <f>CHOOSE(CONTROL!$C$42, 10.5679, 10.5679)* CHOOSE(CONTROL!$C$21, $C$9, 100%, $E$9)</f>
        <v>10.5679</v>
      </c>
      <c r="J324" s="10">
        <f>CHOOSE(CONTROL!$C$42, 10.5656, 10.5656)* CHOOSE(CONTROL!$C$21, $C$9, 100%, $E$9)</f>
        <v>10.5656</v>
      </c>
      <c r="K324" s="54">
        <f>CHOOSE(CONTROL!$C$42, 10.5641, 10.5641) * CHOOSE(CONTROL!$C$21, $C$9, 100%, $E$9)</f>
        <v>10.5641</v>
      </c>
      <c r="L324" s="10">
        <f>CHOOSE(CONTROL!$C$42, 11.2489, 11.2489) * CHOOSE(CONTROL!$C$21, $C$9, 100%, $E$9)</f>
        <v>11.248900000000001</v>
      </c>
      <c r="M324" s="10">
        <f>CHOOSE(CONTROL!$C$42, 10.4728, 10.4728) * CHOOSE(CONTROL!$C$21, $C$9, 100%, $E$9)</f>
        <v>10.472799999999999</v>
      </c>
      <c r="N324" s="10">
        <f>CHOOSE(CONTROL!$C$42, 10.4901, 10.4901) * CHOOSE(CONTROL!$C$21, $C$9, 100%, $E$9)</f>
        <v>10.4901</v>
      </c>
      <c r="O324" s="10">
        <f>CHOOSE(CONTROL!$C$42, 10.5681, 10.5681) * CHOOSE(CONTROL!$C$21, $C$9, 100%, $E$9)</f>
        <v>10.568099999999999</v>
      </c>
      <c r="P324" s="10">
        <f>CHOOSE(CONTROL!$C$42, 10.4752, 10.4752) * CHOOSE(CONTROL!$C$21, $C$9, 100%, $E$9)</f>
        <v>10.475199999999999</v>
      </c>
      <c r="Q324" s="10">
        <f>CHOOSE(CONTROL!$C$42, 11.1634, 11.1634) * CHOOSE(CONTROL!$C$21, $C$9, 100%, $E$9)</f>
        <v>11.163399999999999</v>
      </c>
      <c r="R324" s="10">
        <f>CHOOSE(CONTROL!$C$42, 11.7783, 11.7783) * CHOOSE(CONTROL!$C$21, $C$9, 100%, $E$9)</f>
        <v>11.7783</v>
      </c>
      <c r="S324" s="10">
        <f>CHOOSE(CONTROL!$C$42, 10.2957, 10.2957) * CHOOSE(CONTROL!$C$21, $C$9, 100%, $E$9)</f>
        <v>10.2957</v>
      </c>
      <c r="T324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324" s="58">
        <f>(1000*CHOOSE(CONTROL!$C$42, 695, 695)*CHOOSE(CONTROL!$C$42, 0.5599, 0.5599)*CHOOSE(CONTROL!$C$42, 31, 31))/1000000</f>
        <v>12.063045499999998</v>
      </c>
      <c r="V324" s="58">
        <f>(1000*CHOOSE(CONTROL!$C$42, 500, 500)*CHOOSE(CONTROL!$C$42, 0.275, 0.275)*CHOOSE(CONTROL!$C$42, 31, 31))/1000000</f>
        <v>4.2625000000000002</v>
      </c>
      <c r="W324" s="58">
        <f>(1000*CHOOSE(CONTROL!$C$42, 0.1146, 0.1146)*CHOOSE(CONTROL!$C$42, 121.5, 121.5)*CHOOSE(CONTROL!$C$42, 31, 31))/1000000</f>
        <v>0.43164089999999994</v>
      </c>
      <c r="X324" s="58">
        <f>(31*0.1790888*100000/1000000)+(31*0.2374*100000/1000000)</f>
        <v>1.2911152800000001</v>
      </c>
      <c r="Y324" s="58"/>
      <c r="Z324" s="10"/>
      <c r="AA324" s="57"/>
      <c r="AB324" s="51">
        <f>(B324*122.58+C324*297.941+D324*89.177+E324*40.302+F324*40+G324*160+H324*0+I324*100+J324*300)/(122.58+297.941+89.177+40.302+0+40+160+100+300)</f>
        <v>10.594336422608697</v>
      </c>
      <c r="AC324" s="27">
        <f>(M324*'RAP TEMPLATE-GAS AVAILABILITY'!O323+N324*'RAP TEMPLATE-GAS AVAILABILITY'!P323+O324*'RAP TEMPLATE-GAS AVAILABILITY'!Q323+P324*'RAP TEMPLATE-GAS AVAILABILITY'!R323)/('RAP TEMPLATE-GAS AVAILABILITY'!O323+'RAP TEMPLATE-GAS AVAILABILITY'!P323+'RAP TEMPLATE-GAS AVAILABILITY'!Q323+'RAP TEMPLATE-GAS AVAILABILITY'!R323)</f>
        <v>10.517334532374099</v>
      </c>
    </row>
    <row r="325" spans="1:29" ht="15.75" x14ac:dyDescent="0.25">
      <c r="A325" s="14">
        <v>50801</v>
      </c>
      <c r="B325" s="10">
        <f>CHOOSE(CONTROL!$C$42, 11.473, 11.473) * CHOOSE(CONTROL!$C$21, $C$9, 100%, $E$9)</f>
        <v>11.473000000000001</v>
      </c>
      <c r="C325" s="10">
        <f>CHOOSE(CONTROL!$C$42, 11.4779, 11.4779) * CHOOSE(CONTROL!$C$21, $C$9, 100%, $E$9)</f>
        <v>11.4779</v>
      </c>
      <c r="D325" s="10">
        <f>CHOOSE(CONTROL!$C$42, 11.5281, 11.5281) * CHOOSE(CONTROL!$C$21, $C$9, 100%, $E$9)</f>
        <v>11.5281</v>
      </c>
      <c r="E325" s="10">
        <f>CHOOSE(CONTROL!$C$42, 11.5619, 11.5619) * CHOOSE(CONTROL!$C$21, $C$9, 100%, $E$9)</f>
        <v>11.5619</v>
      </c>
      <c r="F325" s="10">
        <f>CHOOSE(CONTROL!$C$42, 11.4384, 11.4384)*CHOOSE(CONTROL!$C$21, $C$9, 100%, $E$9)</f>
        <v>11.4384</v>
      </c>
      <c r="G325" s="10">
        <f>CHOOSE(CONTROL!$C$42, 11.4559, 11.4559)*CHOOSE(CONTROL!$C$21, $C$9, 100%, $E$9)</f>
        <v>11.4559</v>
      </c>
      <c r="H325" s="10">
        <f>CHOOSE(CONTROL!$C$42, 11.5511, 11.5511) * CHOOSE(CONTROL!$C$21, $C$9, 100%, $E$9)</f>
        <v>11.5511</v>
      </c>
      <c r="I325" s="10">
        <f>CHOOSE(CONTROL!$C$42, 11.4469, 11.4469)* CHOOSE(CONTROL!$C$21, $C$9, 100%, $E$9)</f>
        <v>11.446899999999999</v>
      </c>
      <c r="J325" s="10">
        <f>CHOOSE(CONTROL!$C$42, 11.4314, 11.4314)* CHOOSE(CONTROL!$C$21, $C$9, 100%, $E$9)</f>
        <v>11.4314</v>
      </c>
      <c r="K325" s="54">
        <f>CHOOSE(CONTROL!$C$42, 11.443, 11.443) * CHOOSE(CONTROL!$C$21, $C$9, 100%, $E$9)</f>
        <v>11.443</v>
      </c>
      <c r="L325" s="10">
        <f>CHOOSE(CONTROL!$C$42, 12.1381, 12.1381) * CHOOSE(CONTROL!$C$21, $C$9, 100%, $E$9)</f>
        <v>12.1381</v>
      </c>
      <c r="M325" s="10">
        <f>CHOOSE(CONTROL!$C$42, 11.3298, 11.3298) * CHOOSE(CONTROL!$C$21, $C$9, 100%, $E$9)</f>
        <v>11.329800000000001</v>
      </c>
      <c r="N325" s="10">
        <f>CHOOSE(CONTROL!$C$42, 11.3472, 11.3472) * CHOOSE(CONTROL!$C$21, $C$9, 100%, $E$9)</f>
        <v>11.347200000000001</v>
      </c>
      <c r="O325" s="10">
        <f>CHOOSE(CONTROL!$C$42, 11.4484, 11.4484) * CHOOSE(CONTROL!$C$21, $C$9, 100%, $E$9)</f>
        <v>11.448399999999999</v>
      </c>
      <c r="P325" s="10">
        <f>CHOOSE(CONTROL!$C$42, 11.3452, 11.3452) * CHOOSE(CONTROL!$C$21, $C$9, 100%, $E$9)</f>
        <v>11.3452</v>
      </c>
      <c r="Q325" s="10">
        <f>CHOOSE(CONTROL!$C$42, 12.0437, 12.0437) * CHOOSE(CONTROL!$C$21, $C$9, 100%, $E$9)</f>
        <v>12.043699999999999</v>
      </c>
      <c r="R325" s="10">
        <f>CHOOSE(CONTROL!$C$42, 12.6608, 12.6608) * CHOOSE(CONTROL!$C$21, $C$9, 100%, $E$9)</f>
        <v>12.6608</v>
      </c>
      <c r="S325" s="10">
        <f>CHOOSE(CONTROL!$C$42, 11.1393, 11.1393) * CHOOSE(CONTROL!$C$21, $C$9, 100%, $E$9)</f>
        <v>11.1393</v>
      </c>
      <c r="T325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325" s="58">
        <f>(1000*CHOOSE(CONTROL!$C$42, 695, 695)*CHOOSE(CONTROL!$C$42, 0.5599, 0.5599)*CHOOSE(CONTROL!$C$42, 31, 31))/1000000</f>
        <v>12.063045499999998</v>
      </c>
      <c r="V325" s="58">
        <f>(1000*CHOOSE(CONTROL!$C$42, 500, 500)*CHOOSE(CONTROL!$C$42, 0.275, 0.275)*CHOOSE(CONTROL!$C$42, 31, 31))/1000000</f>
        <v>4.2625000000000002</v>
      </c>
      <c r="W325" s="58">
        <f>(1000*CHOOSE(CONTROL!$C$42, 0.1146, 0.1146)*CHOOSE(CONTROL!$C$42, 121.5, 121.5)*CHOOSE(CONTROL!$C$42, 31, 31))/1000000</f>
        <v>0.43164089999999994</v>
      </c>
      <c r="X325" s="58">
        <f>(31*0.1790888*100000/1000000)+(31*0.2374*100000/1000000)</f>
        <v>1.2911152800000001</v>
      </c>
      <c r="Y325" s="58"/>
      <c r="Z325" s="10"/>
      <c r="AA325" s="57"/>
      <c r="AB325" s="51">
        <f>(B325*122.58+C325*297.941+D325*89.177+E325*40.302+F325*40+G325*160+H325*0+I325*100+J325*300)/(122.58+297.941+89.177+40.302+0+40+160+100+300)</f>
        <v>11.464953401217391</v>
      </c>
      <c r="AC325" s="27">
        <f>(M325*'RAP TEMPLATE-GAS AVAILABILITY'!O324+N325*'RAP TEMPLATE-GAS AVAILABILITY'!P324+O325*'RAP TEMPLATE-GAS AVAILABILITY'!Q324+P325*'RAP TEMPLATE-GAS AVAILABILITY'!R324)/('RAP TEMPLATE-GAS AVAILABILITY'!O324+'RAP TEMPLATE-GAS AVAILABILITY'!P324+'RAP TEMPLATE-GAS AVAILABILITY'!Q324+'RAP TEMPLATE-GAS AVAILABILITY'!R324)</f>
        <v>11.386771223021583</v>
      </c>
    </row>
    <row r="326" spans="1:29" ht="15.75" x14ac:dyDescent="0.25">
      <c r="A326" s="14">
        <v>50829</v>
      </c>
      <c r="B326" s="10">
        <f>CHOOSE(CONTROL!$C$42, 11.6772, 11.6772) * CHOOSE(CONTROL!$C$21, $C$9, 100%, $E$9)</f>
        <v>11.677199999999999</v>
      </c>
      <c r="C326" s="10">
        <f>CHOOSE(CONTROL!$C$42, 11.6821, 11.6821) * CHOOSE(CONTROL!$C$21, $C$9, 100%, $E$9)</f>
        <v>11.6821</v>
      </c>
      <c r="D326" s="10">
        <f>CHOOSE(CONTROL!$C$42, 11.7426, 11.7426) * CHOOSE(CONTROL!$C$21, $C$9, 100%, $E$9)</f>
        <v>11.742599999999999</v>
      </c>
      <c r="E326" s="10">
        <f>CHOOSE(CONTROL!$C$42, 11.7764, 11.7764) * CHOOSE(CONTROL!$C$21, $C$9, 100%, $E$9)</f>
        <v>11.776400000000001</v>
      </c>
      <c r="F326" s="10">
        <f>CHOOSE(CONTROL!$C$42, 11.6704, 11.6704)*CHOOSE(CONTROL!$C$21, $C$9, 100%, $E$9)</f>
        <v>11.670400000000001</v>
      </c>
      <c r="G326" s="10">
        <f>CHOOSE(CONTROL!$C$42, 11.6877, 11.6877)*CHOOSE(CONTROL!$C$21, $C$9, 100%, $E$9)</f>
        <v>11.6877</v>
      </c>
      <c r="H326" s="10">
        <f>CHOOSE(CONTROL!$C$42, 11.7656, 11.7656) * CHOOSE(CONTROL!$C$21, $C$9, 100%, $E$9)</f>
        <v>11.765599999999999</v>
      </c>
      <c r="I326" s="10">
        <f>CHOOSE(CONTROL!$C$42, 11.6639, 11.6639)* CHOOSE(CONTROL!$C$21, $C$9, 100%, $E$9)</f>
        <v>11.6639</v>
      </c>
      <c r="J326" s="10">
        <f>CHOOSE(CONTROL!$C$42, 11.6634, 11.6634)* CHOOSE(CONTROL!$C$21, $C$9, 100%, $E$9)</f>
        <v>11.663399999999999</v>
      </c>
      <c r="K326" s="54">
        <f>CHOOSE(CONTROL!$C$42, 11.6601, 11.6601) * CHOOSE(CONTROL!$C$21, $C$9, 100%, $E$9)</f>
        <v>11.6601</v>
      </c>
      <c r="L326" s="10">
        <f>CHOOSE(CONTROL!$C$42, 12.3526, 12.3526) * CHOOSE(CONTROL!$C$21, $C$9, 100%, $E$9)</f>
        <v>12.352600000000001</v>
      </c>
      <c r="M326" s="10">
        <f>CHOOSE(CONTROL!$C$42, 11.5595, 11.5595) * CHOOSE(CONTROL!$C$21, $C$9, 100%, $E$9)</f>
        <v>11.5595</v>
      </c>
      <c r="N326" s="10">
        <f>CHOOSE(CONTROL!$C$42, 11.5767, 11.5767) * CHOOSE(CONTROL!$C$21, $C$9, 100%, $E$9)</f>
        <v>11.576700000000001</v>
      </c>
      <c r="O326" s="10">
        <f>CHOOSE(CONTROL!$C$42, 11.6607, 11.6607) * CHOOSE(CONTROL!$C$21, $C$9, 100%, $E$9)</f>
        <v>11.6607</v>
      </c>
      <c r="P326" s="10">
        <f>CHOOSE(CONTROL!$C$42, 11.5601, 11.5601) * CHOOSE(CONTROL!$C$21, $C$9, 100%, $E$9)</f>
        <v>11.5601</v>
      </c>
      <c r="Q326" s="10">
        <f>CHOOSE(CONTROL!$C$42, 12.256, 12.256) * CHOOSE(CONTROL!$C$21, $C$9, 100%, $E$9)</f>
        <v>12.256</v>
      </c>
      <c r="R326" s="10">
        <f>CHOOSE(CONTROL!$C$42, 12.8736, 12.8736) * CHOOSE(CONTROL!$C$21, $C$9, 100%, $E$9)</f>
        <v>12.8736</v>
      </c>
      <c r="S326" s="10">
        <f>CHOOSE(CONTROL!$C$42, 11.3376, 11.3376) * CHOOSE(CONTROL!$C$21, $C$9, 100%, $E$9)</f>
        <v>11.3376</v>
      </c>
      <c r="T326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326" s="58">
        <f>(1000*CHOOSE(CONTROL!$C$42, 695, 695)*CHOOSE(CONTROL!$C$42, 0.5599, 0.5599)*CHOOSE(CONTROL!$C$42, 28, 28))/1000000</f>
        <v>10.895653999999999</v>
      </c>
      <c r="V326" s="58">
        <f>(1000*CHOOSE(CONTROL!$C$42, 500, 500)*CHOOSE(CONTROL!$C$42, 0.275, 0.275)*CHOOSE(CONTROL!$C$42, 28, 28))/1000000</f>
        <v>3.85</v>
      </c>
      <c r="W326" s="58">
        <f>(1000*CHOOSE(CONTROL!$C$42, 0.1146, 0.1146)*CHOOSE(CONTROL!$C$42, 121.5, 121.5)*CHOOSE(CONTROL!$C$42, 28, 28))/1000000</f>
        <v>0.38986920000000003</v>
      </c>
      <c r="X326" s="58">
        <f>(28*0.1790888*100000/1000000)+(28*0.2374*100000/1000000)</f>
        <v>1.16616864</v>
      </c>
      <c r="Y326" s="58"/>
      <c r="Z326" s="10"/>
      <c r="AA326" s="57"/>
      <c r="AB326" s="51">
        <f>(B326*122.58+C326*297.941+D326*89.177+E326*40.302+F326*40+G326*160+H326*0+I326*100+J326*300)/(122.58+297.941+89.177+40.302+0+40+160+100+300)</f>
        <v>11.683485256608694</v>
      </c>
      <c r="AC326" s="27">
        <f>(M326*'RAP TEMPLATE-GAS AVAILABILITY'!O325+N326*'RAP TEMPLATE-GAS AVAILABILITY'!P325+O326*'RAP TEMPLATE-GAS AVAILABILITY'!Q325+P326*'RAP TEMPLATE-GAS AVAILABILITY'!R325)/('RAP TEMPLATE-GAS AVAILABILITY'!O325+'RAP TEMPLATE-GAS AVAILABILITY'!P325+'RAP TEMPLATE-GAS AVAILABILITY'!Q325+'RAP TEMPLATE-GAS AVAILABILITY'!R325)</f>
        <v>11.606443884892087</v>
      </c>
    </row>
    <row r="327" spans="1:29" ht="15.75" x14ac:dyDescent="0.25">
      <c r="A327" s="14">
        <v>50860</v>
      </c>
      <c r="B327" s="10">
        <f>CHOOSE(CONTROL!$C$42, 11.3457, 11.3457) * CHOOSE(CONTROL!$C$21, $C$9, 100%, $E$9)</f>
        <v>11.345700000000001</v>
      </c>
      <c r="C327" s="10">
        <f>CHOOSE(CONTROL!$C$42, 11.3507, 11.3507) * CHOOSE(CONTROL!$C$21, $C$9, 100%, $E$9)</f>
        <v>11.3507</v>
      </c>
      <c r="D327" s="10">
        <f>CHOOSE(CONTROL!$C$42, 11.4112, 11.4112) * CHOOSE(CONTROL!$C$21, $C$9, 100%, $E$9)</f>
        <v>11.411199999999999</v>
      </c>
      <c r="E327" s="10">
        <f>CHOOSE(CONTROL!$C$42, 11.445, 11.445) * CHOOSE(CONTROL!$C$21, $C$9, 100%, $E$9)</f>
        <v>11.445</v>
      </c>
      <c r="F327" s="10">
        <f>CHOOSE(CONTROL!$C$42, 11.3335, 11.3335)*CHOOSE(CONTROL!$C$21, $C$9, 100%, $E$9)</f>
        <v>11.333500000000001</v>
      </c>
      <c r="G327" s="10">
        <f>CHOOSE(CONTROL!$C$42, 11.3507, 11.3507)*CHOOSE(CONTROL!$C$21, $C$9, 100%, $E$9)</f>
        <v>11.3507</v>
      </c>
      <c r="H327" s="10">
        <f>CHOOSE(CONTROL!$C$42, 11.4342, 11.4342) * CHOOSE(CONTROL!$C$21, $C$9, 100%, $E$9)</f>
        <v>11.434200000000001</v>
      </c>
      <c r="I327" s="10">
        <f>CHOOSE(CONTROL!$C$42, 11.3196, 11.3196)* CHOOSE(CONTROL!$C$21, $C$9, 100%, $E$9)</f>
        <v>11.319599999999999</v>
      </c>
      <c r="J327" s="10">
        <f>CHOOSE(CONTROL!$C$42, 11.3265, 11.3265)* CHOOSE(CONTROL!$C$21, $C$9, 100%, $E$9)</f>
        <v>11.326499999999999</v>
      </c>
      <c r="K327" s="54">
        <f>CHOOSE(CONTROL!$C$42, 11.3157, 11.3157) * CHOOSE(CONTROL!$C$21, $C$9, 100%, $E$9)</f>
        <v>11.3157</v>
      </c>
      <c r="L327" s="10">
        <f>CHOOSE(CONTROL!$C$42, 12.0212, 12.0212) * CHOOSE(CONTROL!$C$21, $C$9, 100%, $E$9)</f>
        <v>12.0212</v>
      </c>
      <c r="M327" s="10">
        <f>CHOOSE(CONTROL!$C$42, 11.226, 11.226) * CHOOSE(CONTROL!$C$21, $C$9, 100%, $E$9)</f>
        <v>11.226000000000001</v>
      </c>
      <c r="N327" s="10">
        <f>CHOOSE(CONTROL!$C$42, 11.243, 11.243) * CHOOSE(CONTROL!$C$21, $C$9, 100%, $E$9)</f>
        <v>11.243</v>
      </c>
      <c r="O327" s="10">
        <f>CHOOSE(CONTROL!$C$42, 11.3326, 11.3326) * CHOOSE(CONTROL!$C$21, $C$9, 100%, $E$9)</f>
        <v>11.332599999999999</v>
      </c>
      <c r="P327" s="10">
        <f>CHOOSE(CONTROL!$C$42, 11.2193, 11.2193) * CHOOSE(CONTROL!$C$21, $C$9, 100%, $E$9)</f>
        <v>11.2193</v>
      </c>
      <c r="Q327" s="10">
        <f>CHOOSE(CONTROL!$C$42, 11.9279, 11.9279) * CHOOSE(CONTROL!$C$21, $C$9, 100%, $E$9)</f>
        <v>11.927899999999999</v>
      </c>
      <c r="R327" s="10">
        <f>CHOOSE(CONTROL!$C$42, 12.5447, 12.5447) * CHOOSE(CONTROL!$C$21, $C$9, 100%, $E$9)</f>
        <v>12.544700000000001</v>
      </c>
      <c r="S327" s="10">
        <f>CHOOSE(CONTROL!$C$42, 11.0157, 11.0157) * CHOOSE(CONTROL!$C$21, $C$9, 100%, $E$9)</f>
        <v>11.015700000000001</v>
      </c>
      <c r="T327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327" s="58">
        <f>(1000*CHOOSE(CONTROL!$C$42, 695, 695)*CHOOSE(CONTROL!$C$42, 0.5599, 0.5599)*CHOOSE(CONTROL!$C$42, 31, 31))/1000000</f>
        <v>12.063045499999998</v>
      </c>
      <c r="V327" s="58">
        <f>(1000*CHOOSE(CONTROL!$C$42, 500, 500)*CHOOSE(CONTROL!$C$42, 0.275, 0.275)*CHOOSE(CONTROL!$C$42, 31, 31))/1000000</f>
        <v>4.2625000000000002</v>
      </c>
      <c r="W327" s="58">
        <f>(1000*CHOOSE(CONTROL!$C$42, 0.1146, 0.1146)*CHOOSE(CONTROL!$C$42, 121.5, 121.5)*CHOOSE(CONTROL!$C$42, 31, 31))/1000000</f>
        <v>0.43164089999999994</v>
      </c>
      <c r="X327" s="58">
        <f>(31*0.1790888*100000/1000000)+(31*0.2374*100000/1000000)</f>
        <v>1.2911152800000001</v>
      </c>
      <c r="Y327" s="58"/>
      <c r="Z327" s="10"/>
      <c r="AA327" s="57"/>
      <c r="AB327" s="51">
        <f>(B327*122.58+C327*297.941+D327*89.177+E327*40.302+F327*40+G327*160+H327*0+I327*100+J327*300)/(122.58+297.941+89.177+40.302+0+40+160+100+300)</f>
        <v>11.348547640956522</v>
      </c>
      <c r="AC327" s="27">
        <f>(M327*'RAP TEMPLATE-GAS AVAILABILITY'!O326+N327*'RAP TEMPLATE-GAS AVAILABILITY'!P326+O327*'RAP TEMPLATE-GAS AVAILABILITY'!Q326+P327*'RAP TEMPLATE-GAS AVAILABILITY'!R326)/('RAP TEMPLATE-GAS AVAILABILITY'!O326+'RAP TEMPLATE-GAS AVAILABILITY'!P326+'RAP TEMPLATE-GAS AVAILABILITY'!Q326+'RAP TEMPLATE-GAS AVAILABILITY'!R326)</f>
        <v>11.274329496402878</v>
      </c>
    </row>
    <row r="328" spans="1:29" ht="15.75" x14ac:dyDescent="0.25">
      <c r="A328" s="14">
        <v>50890</v>
      </c>
      <c r="B328" s="10">
        <f>CHOOSE(CONTROL!$C$42, 11.3129, 11.3129) * CHOOSE(CONTROL!$C$21, $C$9, 100%, $E$9)</f>
        <v>11.312900000000001</v>
      </c>
      <c r="C328" s="10">
        <f>CHOOSE(CONTROL!$C$42, 11.3173, 11.3173) * CHOOSE(CONTROL!$C$21, $C$9, 100%, $E$9)</f>
        <v>11.317299999999999</v>
      </c>
      <c r="D328" s="10">
        <f>CHOOSE(CONTROL!$C$42, 11.5129, 11.5129) * CHOOSE(CONTROL!$C$21, $C$9, 100%, $E$9)</f>
        <v>11.5129</v>
      </c>
      <c r="E328" s="10">
        <f>CHOOSE(CONTROL!$C$42, 11.5447, 11.5447) * CHOOSE(CONTROL!$C$21, $C$9, 100%, $E$9)</f>
        <v>11.544700000000001</v>
      </c>
      <c r="F328" s="10">
        <f>CHOOSE(CONTROL!$C$42, 11.2808, 11.2808)*CHOOSE(CONTROL!$C$21, $C$9, 100%, $E$9)</f>
        <v>11.280799999999999</v>
      </c>
      <c r="G328" s="10">
        <f>CHOOSE(CONTROL!$C$42, 11.2975, 11.2975)*CHOOSE(CONTROL!$C$21, $C$9, 100%, $E$9)</f>
        <v>11.297499999999999</v>
      </c>
      <c r="H328" s="10">
        <f>CHOOSE(CONTROL!$C$42, 11.5345, 11.5345) * CHOOSE(CONTROL!$C$21, $C$9, 100%, $E$9)</f>
        <v>11.5345</v>
      </c>
      <c r="I328" s="10">
        <f>CHOOSE(CONTROL!$C$42, 11.2809, 11.2809)* CHOOSE(CONTROL!$C$21, $C$9, 100%, $E$9)</f>
        <v>11.280900000000001</v>
      </c>
      <c r="J328" s="10">
        <f>CHOOSE(CONTROL!$C$42, 11.2738, 11.2738)* CHOOSE(CONTROL!$C$21, $C$9, 100%, $E$9)</f>
        <v>11.2738</v>
      </c>
      <c r="K328" s="54">
        <f>CHOOSE(CONTROL!$C$42, 11.277, 11.277) * CHOOSE(CONTROL!$C$21, $C$9, 100%, $E$9)</f>
        <v>11.276999999999999</v>
      </c>
      <c r="L328" s="10">
        <f>CHOOSE(CONTROL!$C$42, 12.1215, 12.1215) * CHOOSE(CONTROL!$C$21, $C$9, 100%, $E$9)</f>
        <v>12.121499999999999</v>
      </c>
      <c r="M328" s="10">
        <f>CHOOSE(CONTROL!$C$42, 11.1738, 11.1738) * CHOOSE(CONTROL!$C$21, $C$9, 100%, $E$9)</f>
        <v>11.1738</v>
      </c>
      <c r="N328" s="10">
        <f>CHOOSE(CONTROL!$C$42, 11.1904, 11.1904) * CHOOSE(CONTROL!$C$21, $C$9, 100%, $E$9)</f>
        <v>11.1904</v>
      </c>
      <c r="O328" s="10">
        <f>CHOOSE(CONTROL!$C$42, 11.4319, 11.4319) * CHOOSE(CONTROL!$C$21, $C$9, 100%, $E$9)</f>
        <v>11.431900000000001</v>
      </c>
      <c r="P328" s="10">
        <f>CHOOSE(CONTROL!$C$42, 11.1809, 11.1809) * CHOOSE(CONTROL!$C$21, $C$9, 100%, $E$9)</f>
        <v>11.180899999999999</v>
      </c>
      <c r="Q328" s="10">
        <f>CHOOSE(CONTROL!$C$42, 12.0272, 12.0272) * CHOOSE(CONTROL!$C$21, $C$9, 100%, $E$9)</f>
        <v>12.027200000000001</v>
      </c>
      <c r="R328" s="10">
        <f>CHOOSE(CONTROL!$C$42, 12.6443, 12.6443) * CHOOSE(CONTROL!$C$21, $C$9, 100%, $E$9)</f>
        <v>12.644299999999999</v>
      </c>
      <c r="S328" s="10">
        <f>CHOOSE(CONTROL!$C$42, 10.9831, 10.9831) * CHOOSE(CONTROL!$C$21, $C$9, 100%, $E$9)</f>
        <v>10.9831</v>
      </c>
      <c r="T328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328" s="58">
        <f>(1000*CHOOSE(CONTROL!$C$42, 695, 695)*CHOOSE(CONTROL!$C$42, 0.5599, 0.5599)*CHOOSE(CONTROL!$C$42, 30, 30))/1000000</f>
        <v>11.673914999999997</v>
      </c>
      <c r="V328" s="58">
        <f>(1000*CHOOSE(CONTROL!$C$42, 500, 500)*CHOOSE(CONTROL!$C$42, 0.275, 0.275)*CHOOSE(CONTROL!$C$42, 30, 30))/1000000</f>
        <v>4.125</v>
      </c>
      <c r="W328" s="58">
        <f>(1000*CHOOSE(CONTROL!$C$42, 0.1146, 0.1146)*CHOOSE(CONTROL!$C$42, 121.5, 121.5)*CHOOSE(CONTROL!$C$42, 30, 30))/1000000</f>
        <v>0.417717</v>
      </c>
      <c r="X328" s="58">
        <f>(30*0.1790888*245000/1000000)+(30*0.2374*100000/1000000)</f>
        <v>2.0285026799999999</v>
      </c>
      <c r="Y328" s="58"/>
      <c r="Z328" s="10"/>
      <c r="AA328" s="57"/>
      <c r="AB328" s="51">
        <f>(B328*141.293+C328*267.993+D328*115.016+E328*89.698+F328*40+G328*185+H328*0+I328*100+J328*300)/(141.293+267.993+115.016+89.698+0+40+185+100+300)</f>
        <v>11.333813128006456</v>
      </c>
      <c r="AC328" s="27">
        <f>(M328*'RAP TEMPLATE-GAS AVAILABILITY'!O327+N328*'RAP TEMPLATE-GAS AVAILABILITY'!P327+O328*'RAP TEMPLATE-GAS AVAILABILITY'!Q327+P328*'RAP TEMPLATE-GAS AVAILABILITY'!R327)/('RAP TEMPLATE-GAS AVAILABILITY'!O327+'RAP TEMPLATE-GAS AVAILABILITY'!P327+'RAP TEMPLATE-GAS AVAILABILITY'!Q327+'RAP TEMPLATE-GAS AVAILABILITY'!R327)</f>
        <v>11.251059712230214</v>
      </c>
    </row>
    <row r="329" spans="1:29" ht="15.75" x14ac:dyDescent="0.25">
      <c r="A329" s="14">
        <v>50921</v>
      </c>
      <c r="B329" s="10">
        <f>CHOOSE(CONTROL!$C$42, 11.4142, 11.4142) * CHOOSE(CONTROL!$C$21, $C$9, 100%, $E$9)</f>
        <v>11.414199999999999</v>
      </c>
      <c r="C329" s="10">
        <f>CHOOSE(CONTROL!$C$42, 11.4221, 11.4221) * CHOOSE(CONTROL!$C$21, $C$9, 100%, $E$9)</f>
        <v>11.4221</v>
      </c>
      <c r="D329" s="10">
        <f>CHOOSE(CONTROL!$C$42, 11.6145, 11.6145) * CHOOSE(CONTROL!$C$21, $C$9, 100%, $E$9)</f>
        <v>11.6145</v>
      </c>
      <c r="E329" s="10">
        <f>CHOOSE(CONTROL!$C$42, 11.6456, 11.6456) * CHOOSE(CONTROL!$C$21, $C$9, 100%, $E$9)</f>
        <v>11.6456</v>
      </c>
      <c r="F329" s="10">
        <f>CHOOSE(CONTROL!$C$42, 11.3804, 11.3804)*CHOOSE(CONTROL!$C$21, $C$9, 100%, $E$9)</f>
        <v>11.3804</v>
      </c>
      <c r="G329" s="10">
        <f>CHOOSE(CONTROL!$C$42, 11.3975, 11.3975)*CHOOSE(CONTROL!$C$21, $C$9, 100%, $E$9)</f>
        <v>11.397500000000001</v>
      </c>
      <c r="H329" s="10">
        <f>CHOOSE(CONTROL!$C$42, 11.6343, 11.6343) * CHOOSE(CONTROL!$C$21, $C$9, 100%, $E$9)</f>
        <v>11.6343</v>
      </c>
      <c r="I329" s="10">
        <f>CHOOSE(CONTROL!$C$42, 11.3807, 11.3807)* CHOOSE(CONTROL!$C$21, $C$9, 100%, $E$9)</f>
        <v>11.380699999999999</v>
      </c>
      <c r="J329" s="10">
        <f>CHOOSE(CONTROL!$C$42, 11.3734, 11.3734)* CHOOSE(CONTROL!$C$21, $C$9, 100%, $E$9)</f>
        <v>11.3734</v>
      </c>
      <c r="K329" s="54">
        <f>CHOOSE(CONTROL!$C$42, 11.3768, 11.3768) * CHOOSE(CONTROL!$C$21, $C$9, 100%, $E$9)</f>
        <v>11.376799999999999</v>
      </c>
      <c r="L329" s="10">
        <f>CHOOSE(CONTROL!$C$42, 12.2213, 12.2213) * CHOOSE(CONTROL!$C$21, $C$9, 100%, $E$9)</f>
        <v>12.221299999999999</v>
      </c>
      <c r="M329" s="10">
        <f>CHOOSE(CONTROL!$C$42, 11.2725, 11.2725) * CHOOSE(CONTROL!$C$21, $C$9, 100%, $E$9)</f>
        <v>11.272500000000001</v>
      </c>
      <c r="N329" s="10">
        <f>CHOOSE(CONTROL!$C$42, 11.2894, 11.2894) * CHOOSE(CONTROL!$C$21, $C$9, 100%, $E$9)</f>
        <v>11.289400000000001</v>
      </c>
      <c r="O329" s="10">
        <f>CHOOSE(CONTROL!$C$42, 11.5307, 11.5307) * CHOOSE(CONTROL!$C$21, $C$9, 100%, $E$9)</f>
        <v>11.5307</v>
      </c>
      <c r="P329" s="10">
        <f>CHOOSE(CONTROL!$C$42, 11.2797, 11.2797) * CHOOSE(CONTROL!$C$21, $C$9, 100%, $E$9)</f>
        <v>11.2797</v>
      </c>
      <c r="Q329" s="10">
        <f>CHOOSE(CONTROL!$C$42, 12.126, 12.126) * CHOOSE(CONTROL!$C$21, $C$9, 100%, $E$9)</f>
        <v>12.125999999999999</v>
      </c>
      <c r="R329" s="10">
        <f>CHOOSE(CONTROL!$C$42, 12.7433, 12.7433) * CHOOSE(CONTROL!$C$21, $C$9, 100%, $E$9)</f>
        <v>12.7433</v>
      </c>
      <c r="S329" s="10">
        <f>CHOOSE(CONTROL!$C$42, 11.08, 11.08) * CHOOSE(CONTROL!$C$21, $C$9, 100%, $E$9)</f>
        <v>11.08</v>
      </c>
      <c r="T329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329" s="58">
        <f>(1000*CHOOSE(CONTROL!$C$42, 695, 695)*CHOOSE(CONTROL!$C$42, 0.5599, 0.5599)*CHOOSE(CONTROL!$C$42, 31, 31))/1000000</f>
        <v>12.063045499999998</v>
      </c>
      <c r="V329" s="58">
        <f>(1000*CHOOSE(CONTROL!$C$42, 500, 500)*CHOOSE(CONTROL!$C$42, 0.275, 0.275)*CHOOSE(CONTROL!$C$42, 31, 31))/1000000</f>
        <v>4.2625000000000002</v>
      </c>
      <c r="W329" s="58">
        <f>(1000*CHOOSE(CONTROL!$C$42, 0.1146, 0.1146)*CHOOSE(CONTROL!$C$42, 121.5, 121.5)*CHOOSE(CONTROL!$C$42, 31, 31))/1000000</f>
        <v>0.43164089999999994</v>
      </c>
      <c r="X329" s="58">
        <f>(31*0.1790888*245000/1000000)+(31*0.2374*100000/1000000)</f>
        <v>2.0961194359999999</v>
      </c>
      <c r="Y329" s="58"/>
      <c r="Z329" s="10"/>
      <c r="AA329" s="57"/>
      <c r="AB329" s="51">
        <f>(B329*194.205+C329*267.466+D329*133.845+E329*53.484+F329*40+G329*185+H329*0+I329*100+J329*300)/(194.205+267.466+133.845+53.484+0+40+185+100+300)</f>
        <v>11.430892961145998</v>
      </c>
      <c r="AC329" s="27">
        <f>(M329*'RAP TEMPLATE-GAS AVAILABILITY'!O328+N329*'RAP TEMPLATE-GAS AVAILABILITY'!P328+O329*'RAP TEMPLATE-GAS AVAILABILITY'!Q328+P329*'RAP TEMPLATE-GAS AVAILABILITY'!R328)/('RAP TEMPLATE-GAS AVAILABILITY'!O328+'RAP TEMPLATE-GAS AVAILABILITY'!P328+'RAP TEMPLATE-GAS AVAILABILITY'!Q328+'RAP TEMPLATE-GAS AVAILABILITY'!R328)</f>
        <v>11.349871223021582</v>
      </c>
    </row>
    <row r="330" spans="1:29" ht="15.75" x14ac:dyDescent="0.25">
      <c r="A330" s="14">
        <v>50951</v>
      </c>
      <c r="B330" s="10">
        <f>CHOOSE(CONTROL!$C$42, 11.7378, 11.7378) * CHOOSE(CONTROL!$C$21, $C$9, 100%, $E$9)</f>
        <v>11.7378</v>
      </c>
      <c r="C330" s="10">
        <f>CHOOSE(CONTROL!$C$42, 11.7457, 11.7457) * CHOOSE(CONTROL!$C$21, $C$9, 100%, $E$9)</f>
        <v>11.745699999999999</v>
      </c>
      <c r="D330" s="10">
        <f>CHOOSE(CONTROL!$C$42, 11.9381, 11.9381) * CHOOSE(CONTROL!$C$21, $C$9, 100%, $E$9)</f>
        <v>11.9381</v>
      </c>
      <c r="E330" s="10">
        <f>CHOOSE(CONTROL!$C$42, 11.9693, 11.9693) * CHOOSE(CONTROL!$C$21, $C$9, 100%, $E$9)</f>
        <v>11.9693</v>
      </c>
      <c r="F330" s="10">
        <f>CHOOSE(CONTROL!$C$42, 11.7043, 11.7043)*CHOOSE(CONTROL!$C$21, $C$9, 100%, $E$9)</f>
        <v>11.7043</v>
      </c>
      <c r="G330" s="10">
        <f>CHOOSE(CONTROL!$C$42, 11.7215, 11.7215)*CHOOSE(CONTROL!$C$21, $C$9, 100%, $E$9)</f>
        <v>11.721500000000001</v>
      </c>
      <c r="H330" s="10">
        <f>CHOOSE(CONTROL!$C$42, 11.9579, 11.9579) * CHOOSE(CONTROL!$C$21, $C$9, 100%, $E$9)</f>
        <v>11.9579</v>
      </c>
      <c r="I330" s="10">
        <f>CHOOSE(CONTROL!$C$42, 11.7043, 11.7043)* CHOOSE(CONTROL!$C$21, $C$9, 100%, $E$9)</f>
        <v>11.7043</v>
      </c>
      <c r="J330" s="10">
        <f>CHOOSE(CONTROL!$C$42, 11.6973, 11.6973)* CHOOSE(CONTROL!$C$21, $C$9, 100%, $E$9)</f>
        <v>11.6973</v>
      </c>
      <c r="K330" s="54">
        <f>CHOOSE(CONTROL!$C$42, 11.7005, 11.7005) * CHOOSE(CONTROL!$C$21, $C$9, 100%, $E$9)</f>
        <v>11.7005</v>
      </c>
      <c r="L330" s="10">
        <f>CHOOSE(CONTROL!$C$42, 12.5449, 12.5449) * CHOOSE(CONTROL!$C$21, $C$9, 100%, $E$9)</f>
        <v>12.5449</v>
      </c>
      <c r="M330" s="10">
        <f>CHOOSE(CONTROL!$C$42, 11.593, 11.593) * CHOOSE(CONTROL!$C$21, $C$9, 100%, $E$9)</f>
        <v>11.593</v>
      </c>
      <c r="N330" s="10">
        <f>CHOOSE(CONTROL!$C$42, 11.6101, 11.6101) * CHOOSE(CONTROL!$C$21, $C$9, 100%, $E$9)</f>
        <v>11.610099999999999</v>
      </c>
      <c r="O330" s="10">
        <f>CHOOSE(CONTROL!$C$42, 11.851, 11.851) * CHOOSE(CONTROL!$C$21, $C$9, 100%, $E$9)</f>
        <v>11.851000000000001</v>
      </c>
      <c r="P330" s="10">
        <f>CHOOSE(CONTROL!$C$42, 11.6001, 11.6001) * CHOOSE(CONTROL!$C$21, $C$9, 100%, $E$9)</f>
        <v>11.600099999999999</v>
      </c>
      <c r="Q330" s="10">
        <f>CHOOSE(CONTROL!$C$42, 12.4463, 12.4463) * CHOOSE(CONTROL!$C$21, $C$9, 100%, $E$9)</f>
        <v>12.446300000000001</v>
      </c>
      <c r="R330" s="10">
        <f>CHOOSE(CONTROL!$C$42, 13.0645, 13.0645) * CHOOSE(CONTROL!$C$21, $C$9, 100%, $E$9)</f>
        <v>13.064500000000001</v>
      </c>
      <c r="S330" s="10">
        <f>CHOOSE(CONTROL!$C$42, 11.3943, 11.3943) * CHOOSE(CONTROL!$C$21, $C$9, 100%, $E$9)</f>
        <v>11.394299999999999</v>
      </c>
      <c r="T330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330" s="58">
        <f>(1000*CHOOSE(CONTROL!$C$42, 695, 695)*CHOOSE(CONTROL!$C$42, 0.5599, 0.5599)*CHOOSE(CONTROL!$C$42, 30, 30))/1000000</f>
        <v>11.673914999999997</v>
      </c>
      <c r="V330" s="58">
        <f>(1000*CHOOSE(CONTROL!$C$42, 500, 500)*CHOOSE(CONTROL!$C$42, 0.275, 0.275)*CHOOSE(CONTROL!$C$42, 30, 30))/1000000</f>
        <v>4.125</v>
      </c>
      <c r="W330" s="58">
        <f>(1000*CHOOSE(CONTROL!$C$42, 0.1146, 0.1146)*CHOOSE(CONTROL!$C$42, 121.5, 121.5)*CHOOSE(CONTROL!$C$42, 30, 30))/1000000</f>
        <v>0.417717</v>
      </c>
      <c r="X330" s="58">
        <f>(30*0.1790888*245000/1000000)+(30*0.2374*100000/1000000)</f>
        <v>2.0285026799999999</v>
      </c>
      <c r="Y330" s="58"/>
      <c r="Z330" s="10"/>
      <c r="AA330" s="57"/>
      <c r="AB330" s="51">
        <f>(B330*194.205+C330*267.466+D330*133.845+E330*53.484+F330*40+G330*185+H330*0+I330*100+J330*300)/(194.205+267.466+133.845+53.484+0+40+185+100+300)</f>
        <v>11.754635306828886</v>
      </c>
      <c r="AC330" s="27">
        <f>(M330*'RAP TEMPLATE-GAS AVAILABILITY'!O329+N330*'RAP TEMPLATE-GAS AVAILABILITY'!P329+O330*'RAP TEMPLATE-GAS AVAILABILITY'!Q329+P330*'RAP TEMPLATE-GAS AVAILABILITY'!R329)/('RAP TEMPLATE-GAS AVAILABILITY'!O329+'RAP TEMPLATE-GAS AVAILABILITY'!P329+'RAP TEMPLATE-GAS AVAILABILITY'!Q329+'RAP TEMPLATE-GAS AVAILABILITY'!R329)</f>
        <v>11.670346762589928</v>
      </c>
    </row>
    <row r="331" spans="1:29" ht="15.75" x14ac:dyDescent="0.25">
      <c r="A331" s="14">
        <v>50982</v>
      </c>
      <c r="B331" s="10">
        <f>CHOOSE(CONTROL!$C$42, 11.5127, 11.5127) * CHOOSE(CONTROL!$C$21, $C$9, 100%, $E$9)</f>
        <v>11.512700000000001</v>
      </c>
      <c r="C331" s="10">
        <f>CHOOSE(CONTROL!$C$42, 11.5206, 11.5206) * CHOOSE(CONTROL!$C$21, $C$9, 100%, $E$9)</f>
        <v>11.5206</v>
      </c>
      <c r="D331" s="10">
        <f>CHOOSE(CONTROL!$C$42, 11.713, 11.713) * CHOOSE(CONTROL!$C$21, $C$9, 100%, $E$9)</f>
        <v>11.712999999999999</v>
      </c>
      <c r="E331" s="10">
        <f>CHOOSE(CONTROL!$C$42, 11.7442, 11.7442) * CHOOSE(CONTROL!$C$21, $C$9, 100%, $E$9)</f>
        <v>11.744199999999999</v>
      </c>
      <c r="F331" s="10">
        <f>CHOOSE(CONTROL!$C$42, 11.4796, 11.4796)*CHOOSE(CONTROL!$C$21, $C$9, 100%, $E$9)</f>
        <v>11.4796</v>
      </c>
      <c r="G331" s="10">
        <f>CHOOSE(CONTROL!$C$42, 11.4969, 11.4969)*CHOOSE(CONTROL!$C$21, $C$9, 100%, $E$9)</f>
        <v>11.4969</v>
      </c>
      <c r="H331" s="10">
        <f>CHOOSE(CONTROL!$C$42, 11.7328, 11.7328) * CHOOSE(CONTROL!$C$21, $C$9, 100%, $E$9)</f>
        <v>11.732799999999999</v>
      </c>
      <c r="I331" s="10">
        <f>CHOOSE(CONTROL!$C$42, 11.4793, 11.4793)* CHOOSE(CONTROL!$C$21, $C$9, 100%, $E$9)</f>
        <v>11.4793</v>
      </c>
      <c r="J331" s="10">
        <f>CHOOSE(CONTROL!$C$42, 11.4726, 11.4726)* CHOOSE(CONTROL!$C$21, $C$9, 100%, $E$9)</f>
        <v>11.4726</v>
      </c>
      <c r="K331" s="54">
        <f>CHOOSE(CONTROL!$C$42, 11.4754, 11.4754) * CHOOSE(CONTROL!$C$21, $C$9, 100%, $E$9)</f>
        <v>11.4754</v>
      </c>
      <c r="L331" s="10">
        <f>CHOOSE(CONTROL!$C$42, 12.3198, 12.3198) * CHOOSE(CONTROL!$C$21, $C$9, 100%, $E$9)</f>
        <v>12.319800000000001</v>
      </c>
      <c r="M331" s="10">
        <f>CHOOSE(CONTROL!$C$42, 11.3706, 11.3706) * CHOOSE(CONTROL!$C$21, $C$9, 100%, $E$9)</f>
        <v>11.3706</v>
      </c>
      <c r="N331" s="10">
        <f>CHOOSE(CONTROL!$C$42, 11.3877, 11.3877) * CHOOSE(CONTROL!$C$21, $C$9, 100%, $E$9)</f>
        <v>11.387700000000001</v>
      </c>
      <c r="O331" s="10">
        <f>CHOOSE(CONTROL!$C$42, 11.6282, 11.6282) * CHOOSE(CONTROL!$C$21, $C$9, 100%, $E$9)</f>
        <v>11.6282</v>
      </c>
      <c r="P331" s="10">
        <f>CHOOSE(CONTROL!$C$42, 11.3773, 11.3773) * CHOOSE(CONTROL!$C$21, $C$9, 100%, $E$9)</f>
        <v>11.3773</v>
      </c>
      <c r="Q331" s="10">
        <f>CHOOSE(CONTROL!$C$42, 12.2235, 12.2235) * CHOOSE(CONTROL!$C$21, $C$9, 100%, $E$9)</f>
        <v>12.2235</v>
      </c>
      <c r="R331" s="10">
        <f>CHOOSE(CONTROL!$C$42, 12.8411, 12.8411) * CHOOSE(CONTROL!$C$21, $C$9, 100%, $E$9)</f>
        <v>12.841100000000001</v>
      </c>
      <c r="S331" s="10">
        <f>CHOOSE(CONTROL!$C$42, 11.1757, 11.1757) * CHOOSE(CONTROL!$C$21, $C$9, 100%, $E$9)</f>
        <v>11.175700000000001</v>
      </c>
      <c r="T331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331" s="58">
        <f>(1000*CHOOSE(CONTROL!$C$42, 695, 695)*CHOOSE(CONTROL!$C$42, 0.5599, 0.5599)*CHOOSE(CONTROL!$C$42, 31, 31))/1000000</f>
        <v>12.063045499999998</v>
      </c>
      <c r="V331" s="58">
        <f>(1000*CHOOSE(CONTROL!$C$42, 500, 500)*CHOOSE(CONTROL!$C$42, 0.275, 0.275)*CHOOSE(CONTROL!$C$42, 31, 31))/1000000</f>
        <v>4.2625000000000002</v>
      </c>
      <c r="W331" s="58">
        <f>(1000*CHOOSE(CONTROL!$C$42, 0.1146, 0.1146)*CHOOSE(CONTROL!$C$42, 121.5, 121.5)*CHOOSE(CONTROL!$C$42, 31, 31))/1000000</f>
        <v>0.43164089999999994</v>
      </c>
      <c r="X331" s="58">
        <f>(31*0.1790888*245000/1000000)+(31*0.2374*100000/1000000)</f>
        <v>2.0961194359999999</v>
      </c>
      <c r="Y331" s="58"/>
      <c r="Z331" s="10"/>
      <c r="AA331" s="57"/>
      <c r="AB331" s="51">
        <f>(B331*194.205+C331*267.466+D331*133.845+E331*53.484+F331*40+G331*185+H331*0+I331*100+J331*300)/(194.205+267.466+133.845+53.484+0+40+185+100+300)</f>
        <v>11.529722512480378</v>
      </c>
      <c r="AC331" s="27">
        <f>(M331*'RAP TEMPLATE-GAS AVAILABILITY'!O330+N331*'RAP TEMPLATE-GAS AVAILABILITY'!P330+O331*'RAP TEMPLATE-GAS AVAILABILITY'!Q330+P331*'RAP TEMPLATE-GAS AVAILABILITY'!R330)/('RAP TEMPLATE-GAS AVAILABILITY'!O330+'RAP TEMPLATE-GAS AVAILABILITY'!P330+'RAP TEMPLATE-GAS AVAILABILITY'!Q330+'RAP TEMPLATE-GAS AVAILABILITY'!R330)</f>
        <v>11.447776978417266</v>
      </c>
    </row>
    <row r="332" spans="1:29" ht="15.75" x14ac:dyDescent="0.25">
      <c r="A332" s="14">
        <v>51013</v>
      </c>
      <c r="B332" s="10">
        <f>CHOOSE(CONTROL!$C$42, 10.9443, 10.9443) * CHOOSE(CONTROL!$C$21, $C$9, 100%, $E$9)</f>
        <v>10.9443</v>
      </c>
      <c r="C332" s="10">
        <f>CHOOSE(CONTROL!$C$42, 10.9522, 10.9522) * CHOOSE(CONTROL!$C$21, $C$9, 100%, $E$9)</f>
        <v>10.952199999999999</v>
      </c>
      <c r="D332" s="10">
        <f>CHOOSE(CONTROL!$C$42, 11.1446, 11.1446) * CHOOSE(CONTROL!$C$21, $C$9, 100%, $E$9)</f>
        <v>11.144600000000001</v>
      </c>
      <c r="E332" s="10">
        <f>CHOOSE(CONTROL!$C$42, 11.1758, 11.1758) * CHOOSE(CONTROL!$C$21, $C$9, 100%, $E$9)</f>
        <v>11.175800000000001</v>
      </c>
      <c r="F332" s="10">
        <f>CHOOSE(CONTROL!$C$42, 10.9114, 10.9114)*CHOOSE(CONTROL!$C$21, $C$9, 100%, $E$9)</f>
        <v>10.9114</v>
      </c>
      <c r="G332" s="10">
        <f>CHOOSE(CONTROL!$C$42, 10.9287, 10.9287)*CHOOSE(CONTROL!$C$21, $C$9, 100%, $E$9)</f>
        <v>10.928699999999999</v>
      </c>
      <c r="H332" s="10">
        <f>CHOOSE(CONTROL!$C$42, 11.1644, 11.1644) * CHOOSE(CONTROL!$C$21, $C$9, 100%, $E$9)</f>
        <v>11.164400000000001</v>
      </c>
      <c r="I332" s="10">
        <f>CHOOSE(CONTROL!$C$42, 10.9109, 10.9109)* CHOOSE(CONTROL!$C$21, $C$9, 100%, $E$9)</f>
        <v>10.9109</v>
      </c>
      <c r="J332" s="10">
        <f>CHOOSE(CONTROL!$C$42, 10.9044, 10.9044)* CHOOSE(CONTROL!$C$21, $C$9, 100%, $E$9)</f>
        <v>10.904400000000001</v>
      </c>
      <c r="K332" s="54">
        <f>CHOOSE(CONTROL!$C$42, 10.907, 10.907) * CHOOSE(CONTROL!$C$21, $C$9, 100%, $E$9)</f>
        <v>10.907</v>
      </c>
      <c r="L332" s="10">
        <f>CHOOSE(CONTROL!$C$42, 11.7514, 11.7514) * CHOOSE(CONTROL!$C$21, $C$9, 100%, $E$9)</f>
        <v>11.7514</v>
      </c>
      <c r="M332" s="10">
        <f>CHOOSE(CONTROL!$C$42, 10.8081, 10.8081) * CHOOSE(CONTROL!$C$21, $C$9, 100%, $E$9)</f>
        <v>10.8081</v>
      </c>
      <c r="N332" s="10">
        <f>CHOOSE(CONTROL!$C$42, 10.8253, 10.8253) * CHOOSE(CONTROL!$C$21, $C$9, 100%, $E$9)</f>
        <v>10.8253</v>
      </c>
      <c r="O332" s="10">
        <f>CHOOSE(CONTROL!$C$42, 11.0656, 11.0656) * CHOOSE(CONTROL!$C$21, $C$9, 100%, $E$9)</f>
        <v>11.0656</v>
      </c>
      <c r="P332" s="10">
        <f>CHOOSE(CONTROL!$C$42, 10.8146, 10.8146) * CHOOSE(CONTROL!$C$21, $C$9, 100%, $E$9)</f>
        <v>10.8146</v>
      </c>
      <c r="Q332" s="10">
        <f>CHOOSE(CONTROL!$C$42, 11.6609, 11.6609) * CHOOSE(CONTROL!$C$21, $C$9, 100%, $E$9)</f>
        <v>11.6609</v>
      </c>
      <c r="R332" s="10">
        <f>CHOOSE(CONTROL!$C$42, 12.277, 12.277) * CHOOSE(CONTROL!$C$21, $C$9, 100%, $E$9)</f>
        <v>12.276999999999999</v>
      </c>
      <c r="S332" s="10">
        <f>CHOOSE(CONTROL!$C$42, 10.6238, 10.6238) * CHOOSE(CONTROL!$C$21, $C$9, 100%, $E$9)</f>
        <v>10.623799999999999</v>
      </c>
      <c r="T332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332" s="58">
        <f>(1000*CHOOSE(CONTROL!$C$42, 695, 695)*CHOOSE(CONTROL!$C$42, 0.5599, 0.5599)*CHOOSE(CONTROL!$C$42, 31, 31))/1000000</f>
        <v>12.063045499999998</v>
      </c>
      <c r="V332" s="58">
        <f>(1000*CHOOSE(CONTROL!$C$42, 500, 500)*CHOOSE(CONTROL!$C$42, 0.275, 0.275)*CHOOSE(CONTROL!$C$42, 31, 31))/1000000</f>
        <v>4.2625000000000002</v>
      </c>
      <c r="W332" s="58">
        <f>(1000*CHOOSE(CONTROL!$C$42, 0.1146, 0.1146)*CHOOSE(CONTROL!$C$42, 121.5, 121.5)*CHOOSE(CONTROL!$C$42, 31, 31))/1000000</f>
        <v>0.43164089999999994</v>
      </c>
      <c r="X332" s="58">
        <f>(31*0.1790888*245000/1000000)+(31*0.2374*100000/1000000)</f>
        <v>2.0961194359999999</v>
      </c>
      <c r="Y332" s="58"/>
      <c r="Z332" s="10"/>
      <c r="AA332" s="57"/>
      <c r="AB332" s="51">
        <f>(B332*194.205+C332*267.466+D332*133.845+E332*53.484+F332*40+G332*185+H332*0+I332*100+J332*300)/(194.205+267.466+133.845+53.484+0+40+185+100+300)</f>
        <v>10.961404930062793</v>
      </c>
      <c r="AC332" s="27">
        <f>(M332*'RAP TEMPLATE-GAS AVAILABILITY'!O331+N332*'RAP TEMPLATE-GAS AVAILABILITY'!P331+O332*'RAP TEMPLATE-GAS AVAILABILITY'!Q331+P332*'RAP TEMPLATE-GAS AVAILABILITY'!R331)/('RAP TEMPLATE-GAS AVAILABILITY'!O331+'RAP TEMPLATE-GAS AVAILABILITY'!P331+'RAP TEMPLATE-GAS AVAILABILITY'!Q331+'RAP TEMPLATE-GAS AVAILABILITY'!R331)</f>
        <v>10.885243165467626</v>
      </c>
    </row>
    <row r="333" spans="1:29" ht="15.75" x14ac:dyDescent="0.25">
      <c r="A333" s="14">
        <v>51043</v>
      </c>
      <c r="B333" s="10">
        <f>CHOOSE(CONTROL!$C$42, 10.2494, 10.2494) * CHOOSE(CONTROL!$C$21, $C$9, 100%, $E$9)</f>
        <v>10.2494</v>
      </c>
      <c r="C333" s="10">
        <f>CHOOSE(CONTROL!$C$42, 10.2573, 10.2573) * CHOOSE(CONTROL!$C$21, $C$9, 100%, $E$9)</f>
        <v>10.257300000000001</v>
      </c>
      <c r="D333" s="10">
        <f>CHOOSE(CONTROL!$C$42, 10.4498, 10.4498) * CHOOSE(CONTROL!$C$21, $C$9, 100%, $E$9)</f>
        <v>10.4498</v>
      </c>
      <c r="E333" s="10">
        <f>CHOOSE(CONTROL!$C$42, 10.4809, 10.4809) * CHOOSE(CONTROL!$C$21, $C$9, 100%, $E$9)</f>
        <v>10.4809</v>
      </c>
      <c r="F333" s="10">
        <f>CHOOSE(CONTROL!$C$42, 10.2163, 10.2163)*CHOOSE(CONTROL!$C$21, $C$9, 100%, $E$9)</f>
        <v>10.2163</v>
      </c>
      <c r="G333" s="10">
        <f>CHOOSE(CONTROL!$C$42, 10.2336, 10.2336)*CHOOSE(CONTROL!$C$21, $C$9, 100%, $E$9)</f>
        <v>10.233599999999999</v>
      </c>
      <c r="H333" s="10">
        <f>CHOOSE(CONTROL!$C$42, 10.4695, 10.4695) * CHOOSE(CONTROL!$C$21, $C$9, 100%, $E$9)</f>
        <v>10.4695</v>
      </c>
      <c r="I333" s="10">
        <f>CHOOSE(CONTROL!$C$42, 10.216, 10.216)* CHOOSE(CONTROL!$C$21, $C$9, 100%, $E$9)</f>
        <v>10.215999999999999</v>
      </c>
      <c r="J333" s="10">
        <f>CHOOSE(CONTROL!$C$42, 10.2093, 10.2093)* CHOOSE(CONTROL!$C$21, $C$9, 100%, $E$9)</f>
        <v>10.209300000000001</v>
      </c>
      <c r="K333" s="54">
        <f>CHOOSE(CONTROL!$C$42, 10.2121, 10.2121) * CHOOSE(CONTROL!$C$21, $C$9, 100%, $E$9)</f>
        <v>10.2121</v>
      </c>
      <c r="L333" s="10">
        <f>CHOOSE(CONTROL!$C$42, 11.0565, 11.0565) * CHOOSE(CONTROL!$C$21, $C$9, 100%, $E$9)</f>
        <v>11.0565</v>
      </c>
      <c r="M333" s="10">
        <f>CHOOSE(CONTROL!$C$42, 10.1201, 10.1201) * CHOOSE(CONTROL!$C$21, $C$9, 100%, $E$9)</f>
        <v>10.120100000000001</v>
      </c>
      <c r="N333" s="10">
        <f>CHOOSE(CONTROL!$C$42, 10.1372, 10.1372) * CHOOSE(CONTROL!$C$21, $C$9, 100%, $E$9)</f>
        <v>10.1372</v>
      </c>
      <c r="O333" s="10">
        <f>CHOOSE(CONTROL!$C$42, 10.3777, 10.3777) * CHOOSE(CONTROL!$C$21, $C$9, 100%, $E$9)</f>
        <v>10.377700000000001</v>
      </c>
      <c r="P333" s="10">
        <f>CHOOSE(CONTROL!$C$42, 10.1268, 10.1268) * CHOOSE(CONTROL!$C$21, $C$9, 100%, $E$9)</f>
        <v>10.126799999999999</v>
      </c>
      <c r="Q333" s="10">
        <f>CHOOSE(CONTROL!$C$42, 10.973, 10.973) * CHOOSE(CONTROL!$C$21, $C$9, 100%, $E$9)</f>
        <v>10.973000000000001</v>
      </c>
      <c r="R333" s="10">
        <f>CHOOSE(CONTROL!$C$42, 11.5875, 11.5875) * CHOOSE(CONTROL!$C$21, $C$9, 100%, $E$9)</f>
        <v>11.5875</v>
      </c>
      <c r="S333" s="10">
        <f>CHOOSE(CONTROL!$C$42, 9.949, 9.949) * CHOOSE(CONTROL!$C$21, $C$9, 100%, $E$9)</f>
        <v>9.9489999999999998</v>
      </c>
      <c r="T333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333" s="58">
        <f>(1000*CHOOSE(CONTROL!$C$42, 695, 695)*CHOOSE(CONTROL!$C$42, 0.5599, 0.5599)*CHOOSE(CONTROL!$C$42, 30, 30))/1000000</f>
        <v>11.673914999999997</v>
      </c>
      <c r="V333" s="58">
        <f>(1000*CHOOSE(CONTROL!$C$42, 500, 500)*CHOOSE(CONTROL!$C$42, 0.275, 0.275)*CHOOSE(CONTROL!$C$42, 30, 30))/1000000</f>
        <v>4.125</v>
      </c>
      <c r="W333" s="58">
        <f>(1000*CHOOSE(CONTROL!$C$42, 0.1146, 0.1146)*CHOOSE(CONTROL!$C$42, 121.5, 121.5)*CHOOSE(CONTROL!$C$42, 30, 30))/1000000</f>
        <v>0.417717</v>
      </c>
      <c r="X333" s="58">
        <f>(30*0.1790888*245000/1000000)+(30*0.2374*100000/1000000)</f>
        <v>2.0285026799999999</v>
      </c>
      <c r="Y333" s="58"/>
      <c r="Z333" s="10"/>
      <c r="AA333" s="57"/>
      <c r="AB333" s="51">
        <f>(B333*194.205+C333*267.466+D333*133.845+E333*53.484+F333*40+G333*185+H333*0+I333*100+J333*300)/(194.205+267.466+133.845+53.484+0+40+185+100+300)</f>
        <v>10.266433018367348</v>
      </c>
      <c r="AC333" s="27">
        <f>(M333*'RAP TEMPLATE-GAS AVAILABILITY'!O332+N333*'RAP TEMPLATE-GAS AVAILABILITY'!P332+O333*'RAP TEMPLATE-GAS AVAILABILITY'!Q332+P333*'RAP TEMPLATE-GAS AVAILABILITY'!R332)/('RAP TEMPLATE-GAS AVAILABILITY'!O332+'RAP TEMPLATE-GAS AVAILABILITY'!P332+'RAP TEMPLATE-GAS AVAILABILITY'!Q332+'RAP TEMPLATE-GAS AVAILABILITY'!R332)</f>
        <v>10.197276978417266</v>
      </c>
    </row>
    <row r="334" spans="1:29" ht="15.75" x14ac:dyDescent="0.25">
      <c r="A334" s="14">
        <v>51074</v>
      </c>
      <c r="B334" s="10">
        <f>CHOOSE(CONTROL!$C$42, 10.0397, 10.0397) * CHOOSE(CONTROL!$C$21, $C$9, 100%, $E$9)</f>
        <v>10.0397</v>
      </c>
      <c r="C334" s="10">
        <f>CHOOSE(CONTROL!$C$42, 10.0449, 10.0449) * CHOOSE(CONTROL!$C$21, $C$9, 100%, $E$9)</f>
        <v>10.0449</v>
      </c>
      <c r="D334" s="10">
        <f>CHOOSE(CONTROL!$C$42, 10.2423, 10.2423) * CHOOSE(CONTROL!$C$21, $C$9, 100%, $E$9)</f>
        <v>10.2423</v>
      </c>
      <c r="E334" s="10">
        <f>CHOOSE(CONTROL!$C$42, 10.2711, 10.2711) * CHOOSE(CONTROL!$C$21, $C$9, 100%, $E$9)</f>
        <v>10.271100000000001</v>
      </c>
      <c r="F334" s="10">
        <f>CHOOSE(CONTROL!$C$42, 10.0086, 10.0086)*CHOOSE(CONTROL!$C$21, $C$9, 100%, $E$9)</f>
        <v>10.008599999999999</v>
      </c>
      <c r="G334" s="10">
        <f>CHOOSE(CONTROL!$C$42, 10.0255, 10.0255)*CHOOSE(CONTROL!$C$21, $C$9, 100%, $E$9)</f>
        <v>10.025499999999999</v>
      </c>
      <c r="H334" s="10">
        <f>CHOOSE(CONTROL!$C$42, 10.2615, 10.2615) * CHOOSE(CONTROL!$C$21, $C$9, 100%, $E$9)</f>
        <v>10.2615</v>
      </c>
      <c r="I334" s="10">
        <f>CHOOSE(CONTROL!$C$42, 10.008, 10.008)* CHOOSE(CONTROL!$C$21, $C$9, 100%, $E$9)</f>
        <v>10.007999999999999</v>
      </c>
      <c r="J334" s="10">
        <f>CHOOSE(CONTROL!$C$42, 10.0016, 10.0016)* CHOOSE(CONTROL!$C$21, $C$9, 100%, $E$9)</f>
        <v>10.0016</v>
      </c>
      <c r="K334" s="54">
        <f>CHOOSE(CONTROL!$C$42, 10.0041, 10.0041) * CHOOSE(CONTROL!$C$21, $C$9, 100%, $E$9)</f>
        <v>10.004099999999999</v>
      </c>
      <c r="L334" s="10">
        <f>CHOOSE(CONTROL!$C$42, 10.8485, 10.8485) * CHOOSE(CONTROL!$C$21, $C$9, 100%, $E$9)</f>
        <v>10.8485</v>
      </c>
      <c r="M334" s="10">
        <f>CHOOSE(CONTROL!$C$42, 9.9145, 9.9145) * CHOOSE(CONTROL!$C$21, $C$9, 100%, $E$9)</f>
        <v>9.9145000000000003</v>
      </c>
      <c r="N334" s="10">
        <f>CHOOSE(CONTROL!$C$42, 9.9313, 9.9313) * CHOOSE(CONTROL!$C$21, $C$9, 100%, $E$9)</f>
        <v>9.9313000000000002</v>
      </c>
      <c r="O334" s="10">
        <f>CHOOSE(CONTROL!$C$42, 10.1718, 10.1718) * CHOOSE(CONTROL!$C$21, $C$9, 100%, $E$9)</f>
        <v>10.171799999999999</v>
      </c>
      <c r="P334" s="10">
        <f>CHOOSE(CONTROL!$C$42, 9.9209, 9.9209) * CHOOSE(CONTROL!$C$21, $C$9, 100%, $E$9)</f>
        <v>9.9208999999999996</v>
      </c>
      <c r="Q334" s="10">
        <f>CHOOSE(CONTROL!$C$42, 10.7671, 10.7671) * CHOOSE(CONTROL!$C$21, $C$9, 100%, $E$9)</f>
        <v>10.767099999999999</v>
      </c>
      <c r="R334" s="10">
        <f>CHOOSE(CONTROL!$C$42, 11.381, 11.381) * CHOOSE(CONTROL!$C$21, $C$9, 100%, $E$9)</f>
        <v>11.381</v>
      </c>
      <c r="S334" s="10">
        <f>CHOOSE(CONTROL!$C$42, 9.747, 9.747) * CHOOSE(CONTROL!$C$21, $C$9, 100%, $E$9)</f>
        <v>9.7469999999999999</v>
      </c>
      <c r="T334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334" s="58">
        <f>(1000*CHOOSE(CONTROL!$C$42, 695, 695)*CHOOSE(CONTROL!$C$42, 0.5599, 0.5599)*CHOOSE(CONTROL!$C$42, 31, 31))/1000000</f>
        <v>12.063045499999998</v>
      </c>
      <c r="V334" s="58">
        <f>(1000*CHOOSE(CONTROL!$C$42, 500, 500)*CHOOSE(CONTROL!$C$42, 0.275, 0.275)*CHOOSE(CONTROL!$C$42, 31, 31))/1000000</f>
        <v>4.2625000000000002</v>
      </c>
      <c r="W334" s="58">
        <f>(1000*CHOOSE(CONTROL!$C$42, 0.1146, 0.1146)*CHOOSE(CONTROL!$C$42, 121.5, 121.5)*CHOOSE(CONTROL!$C$42, 31, 31))/1000000</f>
        <v>0.43164089999999994</v>
      </c>
      <c r="X334" s="58">
        <f>(31*0.1790888*245000/1000000)+(31*0.2374*100000/1000000)</f>
        <v>2.0961194359999999</v>
      </c>
      <c r="Y334" s="58"/>
      <c r="Z334" s="10"/>
      <c r="AA334" s="57"/>
      <c r="AB334" s="51">
        <f>(B334*131.881+C334*277.167+D334*79.08+E334*125.872+F334*40+G334*185+H334*0+I334*100+J334*300)/(131.881+277.167+79.08+125.872+0+40+185+100+300)</f>
        <v>10.062394638579498</v>
      </c>
      <c r="AC334" s="27">
        <f>(M334*'RAP TEMPLATE-GAS AVAILABILITY'!O333+N334*'RAP TEMPLATE-GAS AVAILABILITY'!P333+O334*'RAP TEMPLATE-GAS AVAILABILITY'!Q333+P334*'RAP TEMPLATE-GAS AVAILABILITY'!R333)/('RAP TEMPLATE-GAS AVAILABILITY'!O333+'RAP TEMPLATE-GAS AVAILABILITY'!P333+'RAP TEMPLATE-GAS AVAILABILITY'!Q333+'RAP TEMPLATE-GAS AVAILABILITY'!R333)</f>
        <v>9.9914805755395673</v>
      </c>
    </row>
    <row r="335" spans="1:29" ht="15.75" x14ac:dyDescent="0.25">
      <c r="A335" s="14">
        <v>51104</v>
      </c>
      <c r="B335" s="10">
        <f>CHOOSE(CONTROL!$C$42, 10.3037, 10.3037) * CHOOSE(CONTROL!$C$21, $C$9, 100%, $E$9)</f>
        <v>10.303699999999999</v>
      </c>
      <c r="C335" s="10">
        <f>CHOOSE(CONTROL!$C$42, 10.3086, 10.3086) * CHOOSE(CONTROL!$C$21, $C$9, 100%, $E$9)</f>
        <v>10.3086</v>
      </c>
      <c r="D335" s="10">
        <f>CHOOSE(CONTROL!$C$42, 10.3382, 10.3382) * CHOOSE(CONTROL!$C$21, $C$9, 100%, $E$9)</f>
        <v>10.338200000000001</v>
      </c>
      <c r="E335" s="10">
        <f>CHOOSE(CONTROL!$C$42, 10.372, 10.372) * CHOOSE(CONTROL!$C$21, $C$9, 100%, $E$9)</f>
        <v>10.372</v>
      </c>
      <c r="F335" s="10">
        <f>CHOOSE(CONTROL!$C$42, 10.2705, 10.2705)*CHOOSE(CONTROL!$C$21, $C$9, 100%, $E$9)</f>
        <v>10.2705</v>
      </c>
      <c r="G335" s="10">
        <f>CHOOSE(CONTROL!$C$42, 10.2876, 10.2876)*CHOOSE(CONTROL!$C$21, $C$9, 100%, $E$9)</f>
        <v>10.287599999999999</v>
      </c>
      <c r="H335" s="10">
        <f>CHOOSE(CONTROL!$C$42, 10.3612, 10.3612) * CHOOSE(CONTROL!$C$21, $C$9, 100%, $E$9)</f>
        <v>10.3612</v>
      </c>
      <c r="I335" s="10">
        <f>CHOOSE(CONTROL!$C$42, 10.2673, 10.2673)* CHOOSE(CONTROL!$C$21, $C$9, 100%, $E$9)</f>
        <v>10.267300000000001</v>
      </c>
      <c r="J335" s="10">
        <f>CHOOSE(CONTROL!$C$42, 10.2635, 10.2635)* CHOOSE(CONTROL!$C$21, $C$9, 100%, $E$9)</f>
        <v>10.263500000000001</v>
      </c>
      <c r="K335" s="54">
        <f>CHOOSE(CONTROL!$C$42, 10.2634, 10.2634) * CHOOSE(CONTROL!$C$21, $C$9, 100%, $E$9)</f>
        <v>10.263400000000001</v>
      </c>
      <c r="L335" s="10">
        <f>CHOOSE(CONTROL!$C$42, 10.9482, 10.9482) * CHOOSE(CONTROL!$C$21, $C$9, 100%, $E$9)</f>
        <v>10.9482</v>
      </c>
      <c r="M335" s="10">
        <f>CHOOSE(CONTROL!$C$42, 10.1737, 10.1737) * CHOOSE(CONTROL!$C$21, $C$9, 100%, $E$9)</f>
        <v>10.1737</v>
      </c>
      <c r="N335" s="10">
        <f>CHOOSE(CONTROL!$C$42, 10.1906, 10.1906) * CHOOSE(CONTROL!$C$21, $C$9, 100%, $E$9)</f>
        <v>10.1906</v>
      </c>
      <c r="O335" s="10">
        <f>CHOOSE(CONTROL!$C$42, 10.2705, 10.2705) * CHOOSE(CONTROL!$C$21, $C$9, 100%, $E$9)</f>
        <v>10.2705</v>
      </c>
      <c r="P335" s="10">
        <f>CHOOSE(CONTROL!$C$42, 10.1775, 10.1775) * CHOOSE(CONTROL!$C$21, $C$9, 100%, $E$9)</f>
        <v>10.1775</v>
      </c>
      <c r="Q335" s="10">
        <f>CHOOSE(CONTROL!$C$42, 10.8658, 10.8658) * CHOOSE(CONTROL!$C$21, $C$9, 100%, $E$9)</f>
        <v>10.8658</v>
      </c>
      <c r="R335" s="10">
        <f>CHOOSE(CONTROL!$C$42, 11.4799, 11.4799) * CHOOSE(CONTROL!$C$21, $C$9, 100%, $E$9)</f>
        <v>11.479900000000001</v>
      </c>
      <c r="S335" s="10">
        <f>CHOOSE(CONTROL!$C$42, 10.0037, 10.0037) * CHOOSE(CONTROL!$C$21, $C$9, 100%, $E$9)</f>
        <v>10.0037</v>
      </c>
      <c r="T335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335" s="58">
        <f>(1000*CHOOSE(CONTROL!$C$42, 695, 695)*CHOOSE(CONTROL!$C$42, 0.5599, 0.5599)*CHOOSE(CONTROL!$C$42, 30, 30))/1000000</f>
        <v>11.673914999999997</v>
      </c>
      <c r="V335" s="58">
        <f>(1000*CHOOSE(CONTROL!$C$42, 500, 500)*CHOOSE(CONTROL!$C$42, 0.275, 0.275)*CHOOSE(CONTROL!$C$42, 30, 30))/1000000</f>
        <v>4.125</v>
      </c>
      <c r="W335" s="58">
        <f>(1000*CHOOSE(CONTROL!$C$42, 0.1146, 0.1146)*CHOOSE(CONTROL!$C$42, 121.5, 121.5)*CHOOSE(CONTROL!$C$42, 30, 30))/1000000</f>
        <v>0.417717</v>
      </c>
      <c r="X335" s="58">
        <f>(30*0.1790888*100000/1000000)+(30*0.2374*100000/1000000)</f>
        <v>1.2494664</v>
      </c>
      <c r="Y335" s="58"/>
      <c r="Z335" s="10"/>
      <c r="AA335" s="57"/>
      <c r="AB335" s="51">
        <f>(B335*122.58+C335*297.941+D335*89.177+E335*40.302+F335*40+G335*160+H335*0+I335*100+J335*300)/(122.58+297.941+89.177+40.302+0+40+160+100+300)</f>
        <v>10.292991429565218</v>
      </c>
      <c r="AC335" s="27">
        <f>(M335*'RAP TEMPLATE-GAS AVAILABILITY'!O334+N335*'RAP TEMPLATE-GAS AVAILABILITY'!P334+O335*'RAP TEMPLATE-GAS AVAILABILITY'!Q334+P335*'RAP TEMPLATE-GAS AVAILABILITY'!R334)/('RAP TEMPLATE-GAS AVAILABILITY'!O334+'RAP TEMPLATE-GAS AVAILABILITY'!P334+'RAP TEMPLATE-GAS AVAILABILITY'!Q334+'RAP TEMPLATE-GAS AVAILABILITY'!R334)</f>
        <v>10.219092805755396</v>
      </c>
    </row>
    <row r="336" spans="1:29" ht="15.75" x14ac:dyDescent="0.25">
      <c r="A336" s="14">
        <v>51135</v>
      </c>
      <c r="B336" s="10">
        <f>CHOOSE(CONTROL!$C$42, 11.0059, 11.0059) * CHOOSE(CONTROL!$C$21, $C$9, 100%, $E$9)</f>
        <v>11.0059</v>
      </c>
      <c r="C336" s="10">
        <f>CHOOSE(CONTROL!$C$42, 11.0109, 11.0109) * CHOOSE(CONTROL!$C$21, $C$9, 100%, $E$9)</f>
        <v>11.010899999999999</v>
      </c>
      <c r="D336" s="10">
        <f>CHOOSE(CONTROL!$C$42, 11.0405, 11.0405) * CHOOSE(CONTROL!$C$21, $C$9, 100%, $E$9)</f>
        <v>11.0405</v>
      </c>
      <c r="E336" s="10">
        <f>CHOOSE(CONTROL!$C$42, 11.0743, 11.0743) * CHOOSE(CONTROL!$C$21, $C$9, 100%, $E$9)</f>
        <v>11.074299999999999</v>
      </c>
      <c r="F336" s="10">
        <f>CHOOSE(CONTROL!$C$42, 10.9742, 10.9742)*CHOOSE(CONTROL!$C$21, $C$9, 100%, $E$9)</f>
        <v>10.9742</v>
      </c>
      <c r="G336" s="10">
        <f>CHOOSE(CONTROL!$C$42, 10.9917, 10.9917)*CHOOSE(CONTROL!$C$21, $C$9, 100%, $E$9)</f>
        <v>10.9917</v>
      </c>
      <c r="H336" s="10">
        <f>CHOOSE(CONTROL!$C$42, 11.0635, 11.0635) * CHOOSE(CONTROL!$C$21, $C$9, 100%, $E$9)</f>
        <v>11.063499999999999</v>
      </c>
      <c r="I336" s="10">
        <f>CHOOSE(CONTROL!$C$42, 10.9695, 10.9695)* CHOOSE(CONTROL!$C$21, $C$9, 100%, $E$9)</f>
        <v>10.9695</v>
      </c>
      <c r="J336" s="10">
        <f>CHOOSE(CONTROL!$C$42, 10.9672, 10.9672)* CHOOSE(CONTROL!$C$21, $C$9, 100%, $E$9)</f>
        <v>10.9672</v>
      </c>
      <c r="K336" s="54">
        <f>CHOOSE(CONTROL!$C$42, 10.9657, 10.9657) * CHOOSE(CONTROL!$C$21, $C$9, 100%, $E$9)</f>
        <v>10.9657</v>
      </c>
      <c r="L336" s="10">
        <f>CHOOSE(CONTROL!$C$42, 11.6505, 11.6505) * CHOOSE(CONTROL!$C$21, $C$9, 100%, $E$9)</f>
        <v>11.650499999999999</v>
      </c>
      <c r="M336" s="10">
        <f>CHOOSE(CONTROL!$C$42, 10.8703, 10.8703) * CHOOSE(CONTROL!$C$21, $C$9, 100%, $E$9)</f>
        <v>10.8703</v>
      </c>
      <c r="N336" s="10">
        <f>CHOOSE(CONTROL!$C$42, 10.8876, 10.8876) * CHOOSE(CONTROL!$C$21, $C$9, 100%, $E$9)</f>
        <v>10.887600000000001</v>
      </c>
      <c r="O336" s="10">
        <f>CHOOSE(CONTROL!$C$42, 10.9657, 10.9657) * CHOOSE(CONTROL!$C$21, $C$9, 100%, $E$9)</f>
        <v>10.9657</v>
      </c>
      <c r="P336" s="10">
        <f>CHOOSE(CONTROL!$C$42, 10.8727, 10.8727) * CHOOSE(CONTROL!$C$21, $C$9, 100%, $E$9)</f>
        <v>10.8727</v>
      </c>
      <c r="Q336" s="10">
        <f>CHOOSE(CONTROL!$C$42, 11.561, 11.561) * CHOOSE(CONTROL!$C$21, $C$9, 100%, $E$9)</f>
        <v>11.561</v>
      </c>
      <c r="R336" s="10">
        <f>CHOOSE(CONTROL!$C$42, 12.1769, 12.1769) * CHOOSE(CONTROL!$C$21, $C$9, 100%, $E$9)</f>
        <v>12.1769</v>
      </c>
      <c r="S336" s="10">
        <f>CHOOSE(CONTROL!$C$42, 10.6857, 10.6857) * CHOOSE(CONTROL!$C$21, $C$9, 100%, $E$9)</f>
        <v>10.685700000000001</v>
      </c>
      <c r="T336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336" s="58">
        <f>(1000*CHOOSE(CONTROL!$C$42, 695, 695)*CHOOSE(CONTROL!$C$42, 0.5599, 0.5599)*CHOOSE(CONTROL!$C$42, 31, 31))/1000000</f>
        <v>12.063045499999998</v>
      </c>
      <c r="V336" s="58">
        <f>(1000*CHOOSE(CONTROL!$C$42, 500, 500)*CHOOSE(CONTROL!$C$42, 0.275, 0.275)*CHOOSE(CONTROL!$C$42, 31, 31))/1000000</f>
        <v>4.2625000000000002</v>
      </c>
      <c r="W336" s="58">
        <f>(1000*CHOOSE(CONTROL!$C$42, 0.1146, 0.1146)*CHOOSE(CONTROL!$C$42, 121.5, 121.5)*CHOOSE(CONTROL!$C$42, 31, 31))/1000000</f>
        <v>0.43164089999999994</v>
      </c>
      <c r="X336" s="58">
        <f>(31*0.1790888*100000/1000000)+(31*0.2374*100000/1000000)</f>
        <v>1.2911152800000001</v>
      </c>
      <c r="Y336" s="58"/>
      <c r="Z336" s="10"/>
      <c r="AA336" s="57"/>
      <c r="AB336" s="51">
        <f>(B336*122.58+C336*297.941+D336*89.177+E336*40.302+F336*40+G336*160+H336*0+I336*100+J336*300)/(122.58+297.941+89.177+40.302+0+40+160+100+300)</f>
        <v>10.995936422608695</v>
      </c>
      <c r="AC336" s="27">
        <f>(M336*'RAP TEMPLATE-GAS AVAILABILITY'!O335+N336*'RAP TEMPLATE-GAS AVAILABILITY'!P335+O336*'RAP TEMPLATE-GAS AVAILABILITY'!Q335+P336*'RAP TEMPLATE-GAS AVAILABILITY'!R335)/('RAP TEMPLATE-GAS AVAILABILITY'!O335+'RAP TEMPLATE-GAS AVAILABILITY'!P335+'RAP TEMPLATE-GAS AVAILABILITY'!Q335+'RAP TEMPLATE-GAS AVAILABILITY'!R335)</f>
        <v>10.914879856115109</v>
      </c>
    </row>
    <row r="337" spans="1:29" ht="15.75" x14ac:dyDescent="0.25">
      <c r="A337" s="14">
        <v>51166</v>
      </c>
      <c r="B337" s="10">
        <f>CHOOSE(CONTROL!$C$42, 11.9075, 11.9075) * CHOOSE(CONTROL!$C$21, $C$9, 100%, $E$9)</f>
        <v>11.907500000000001</v>
      </c>
      <c r="C337" s="10">
        <f>CHOOSE(CONTROL!$C$42, 11.9124, 11.9124) * CHOOSE(CONTROL!$C$21, $C$9, 100%, $E$9)</f>
        <v>11.9124</v>
      </c>
      <c r="D337" s="10">
        <f>CHOOSE(CONTROL!$C$42, 11.9627, 11.9627) * CHOOSE(CONTROL!$C$21, $C$9, 100%, $E$9)</f>
        <v>11.9627</v>
      </c>
      <c r="E337" s="10">
        <f>CHOOSE(CONTROL!$C$42, 11.9964, 11.9964) * CHOOSE(CONTROL!$C$21, $C$9, 100%, $E$9)</f>
        <v>11.9964</v>
      </c>
      <c r="F337" s="10">
        <f>CHOOSE(CONTROL!$C$42, 11.8729, 11.8729)*CHOOSE(CONTROL!$C$21, $C$9, 100%, $E$9)</f>
        <v>11.8729</v>
      </c>
      <c r="G337" s="10">
        <f>CHOOSE(CONTROL!$C$42, 11.8904, 11.8904)*CHOOSE(CONTROL!$C$21, $C$9, 100%, $E$9)</f>
        <v>11.8904</v>
      </c>
      <c r="H337" s="10">
        <f>CHOOSE(CONTROL!$C$42, 11.9856, 11.9856) * CHOOSE(CONTROL!$C$21, $C$9, 100%, $E$9)</f>
        <v>11.9856</v>
      </c>
      <c r="I337" s="10">
        <f>CHOOSE(CONTROL!$C$42, 11.8814, 11.8814)* CHOOSE(CONTROL!$C$21, $C$9, 100%, $E$9)</f>
        <v>11.881399999999999</v>
      </c>
      <c r="J337" s="10">
        <f>CHOOSE(CONTROL!$C$42, 11.8659, 11.8659)* CHOOSE(CONTROL!$C$21, $C$9, 100%, $E$9)</f>
        <v>11.8659</v>
      </c>
      <c r="K337" s="54">
        <f>CHOOSE(CONTROL!$C$42, 11.8775, 11.8775) * CHOOSE(CONTROL!$C$21, $C$9, 100%, $E$9)</f>
        <v>11.8775</v>
      </c>
      <c r="L337" s="10">
        <f>CHOOSE(CONTROL!$C$42, 12.5726, 12.5726) * CHOOSE(CONTROL!$C$21, $C$9, 100%, $E$9)</f>
        <v>12.5726</v>
      </c>
      <c r="M337" s="10">
        <f>CHOOSE(CONTROL!$C$42, 11.7599, 11.7599) * CHOOSE(CONTROL!$C$21, $C$9, 100%, $E$9)</f>
        <v>11.7599</v>
      </c>
      <c r="N337" s="10">
        <f>CHOOSE(CONTROL!$C$42, 11.7773, 11.7773) * CHOOSE(CONTROL!$C$21, $C$9, 100%, $E$9)</f>
        <v>11.7773</v>
      </c>
      <c r="O337" s="10">
        <f>CHOOSE(CONTROL!$C$42, 11.8785, 11.8785) * CHOOSE(CONTROL!$C$21, $C$9, 100%, $E$9)</f>
        <v>11.878500000000001</v>
      </c>
      <c r="P337" s="10">
        <f>CHOOSE(CONTROL!$C$42, 11.7754, 11.7754) * CHOOSE(CONTROL!$C$21, $C$9, 100%, $E$9)</f>
        <v>11.775399999999999</v>
      </c>
      <c r="Q337" s="10">
        <f>CHOOSE(CONTROL!$C$42, 12.4738, 12.4738) * CHOOSE(CONTROL!$C$21, $C$9, 100%, $E$9)</f>
        <v>12.473800000000001</v>
      </c>
      <c r="R337" s="10">
        <f>CHOOSE(CONTROL!$C$42, 13.092, 13.092) * CHOOSE(CONTROL!$C$21, $C$9, 100%, $E$9)</f>
        <v>13.092000000000001</v>
      </c>
      <c r="S337" s="10">
        <f>CHOOSE(CONTROL!$C$42, 11.5612, 11.5612) * CHOOSE(CONTROL!$C$21, $C$9, 100%, $E$9)</f>
        <v>11.561199999999999</v>
      </c>
      <c r="T337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337" s="58">
        <f>(1000*CHOOSE(CONTROL!$C$42, 695, 695)*CHOOSE(CONTROL!$C$42, 0.5599, 0.5599)*CHOOSE(CONTROL!$C$42, 31, 31))/1000000</f>
        <v>12.063045499999998</v>
      </c>
      <c r="V337" s="58">
        <f>(1000*CHOOSE(CONTROL!$C$42, 500, 500)*CHOOSE(CONTROL!$C$42, 0.275, 0.275)*CHOOSE(CONTROL!$C$42, 31, 31))/1000000</f>
        <v>4.2625000000000002</v>
      </c>
      <c r="W337" s="58">
        <f>(1000*CHOOSE(CONTROL!$C$42, 0.1146, 0.1146)*CHOOSE(CONTROL!$C$42, 121.5, 121.5)*CHOOSE(CONTROL!$C$42, 31, 31))/1000000</f>
        <v>0.43164089999999994</v>
      </c>
      <c r="X337" s="58">
        <f>(31*0.1790888*100000/1000000)+(31*0.2374*100000/1000000)</f>
        <v>1.2911152800000001</v>
      </c>
      <c r="Y337" s="58"/>
      <c r="Z337" s="10"/>
      <c r="AA337" s="57"/>
      <c r="AB337" s="51">
        <f>(B337*122.58+C337*297.941+D337*89.177+E337*40.302+F337*40+G337*160+H337*0+I337*100+J337*300)/(122.58+297.941+89.177+40.302+0+40+160+100+300)</f>
        <v>11.899461155739131</v>
      </c>
      <c r="AC337" s="27">
        <f>(M337*'RAP TEMPLATE-GAS AVAILABILITY'!O336+N337*'RAP TEMPLATE-GAS AVAILABILITY'!P336+O337*'RAP TEMPLATE-GAS AVAILABILITY'!Q336+P337*'RAP TEMPLATE-GAS AVAILABILITY'!R336)/('RAP TEMPLATE-GAS AVAILABILITY'!O336+'RAP TEMPLATE-GAS AVAILABILITY'!P336+'RAP TEMPLATE-GAS AVAILABILITY'!Q336+'RAP TEMPLATE-GAS AVAILABILITY'!R336)</f>
        <v>11.816885611510793</v>
      </c>
    </row>
    <row r="338" spans="1:29" ht="15.75" x14ac:dyDescent="0.25">
      <c r="A338" s="14">
        <v>51194</v>
      </c>
      <c r="B338" s="10">
        <f>CHOOSE(CONTROL!$C$42, 12.1194, 12.1194) * CHOOSE(CONTROL!$C$21, $C$9, 100%, $E$9)</f>
        <v>12.119400000000001</v>
      </c>
      <c r="C338" s="10">
        <f>CHOOSE(CONTROL!$C$42, 12.1244, 12.1244) * CHOOSE(CONTROL!$C$21, $C$9, 100%, $E$9)</f>
        <v>12.1244</v>
      </c>
      <c r="D338" s="10">
        <f>CHOOSE(CONTROL!$C$42, 12.1849, 12.1849) * CHOOSE(CONTROL!$C$21, $C$9, 100%, $E$9)</f>
        <v>12.184900000000001</v>
      </c>
      <c r="E338" s="10">
        <f>CHOOSE(CONTROL!$C$42, 12.2186, 12.2186) * CHOOSE(CONTROL!$C$21, $C$9, 100%, $E$9)</f>
        <v>12.2186</v>
      </c>
      <c r="F338" s="10">
        <f>CHOOSE(CONTROL!$C$42, 12.1126, 12.1126)*CHOOSE(CONTROL!$C$21, $C$9, 100%, $E$9)</f>
        <v>12.1126</v>
      </c>
      <c r="G338" s="10">
        <f>CHOOSE(CONTROL!$C$42, 12.1299, 12.1299)*CHOOSE(CONTROL!$C$21, $C$9, 100%, $E$9)</f>
        <v>12.129899999999999</v>
      </c>
      <c r="H338" s="10">
        <f>CHOOSE(CONTROL!$C$42, 12.2078, 12.2078) * CHOOSE(CONTROL!$C$21, $C$9, 100%, $E$9)</f>
        <v>12.207800000000001</v>
      </c>
      <c r="I338" s="10">
        <f>CHOOSE(CONTROL!$C$42, 12.1062, 12.1062)* CHOOSE(CONTROL!$C$21, $C$9, 100%, $E$9)</f>
        <v>12.106199999999999</v>
      </c>
      <c r="J338" s="10">
        <f>CHOOSE(CONTROL!$C$42, 12.1056, 12.1056)* CHOOSE(CONTROL!$C$21, $C$9, 100%, $E$9)</f>
        <v>12.105600000000001</v>
      </c>
      <c r="K338" s="54">
        <f>CHOOSE(CONTROL!$C$42, 12.1023, 12.1023) * CHOOSE(CONTROL!$C$21, $C$9, 100%, $E$9)</f>
        <v>12.1023</v>
      </c>
      <c r="L338" s="10">
        <f>CHOOSE(CONTROL!$C$42, 12.7948, 12.7948) * CHOOSE(CONTROL!$C$21, $C$9, 100%, $E$9)</f>
        <v>12.7948</v>
      </c>
      <c r="M338" s="10">
        <f>CHOOSE(CONTROL!$C$42, 11.9973, 11.9973) * CHOOSE(CONTROL!$C$21, $C$9, 100%, $E$9)</f>
        <v>11.997299999999999</v>
      </c>
      <c r="N338" s="10">
        <f>CHOOSE(CONTROL!$C$42, 12.0144, 12.0144) * CHOOSE(CONTROL!$C$21, $C$9, 100%, $E$9)</f>
        <v>12.0144</v>
      </c>
      <c r="O338" s="10">
        <f>CHOOSE(CONTROL!$C$42, 12.0985, 12.0985) * CHOOSE(CONTROL!$C$21, $C$9, 100%, $E$9)</f>
        <v>12.0985</v>
      </c>
      <c r="P338" s="10">
        <f>CHOOSE(CONTROL!$C$42, 11.9979, 11.9979) * CHOOSE(CONTROL!$C$21, $C$9, 100%, $E$9)</f>
        <v>11.9979</v>
      </c>
      <c r="Q338" s="10">
        <f>CHOOSE(CONTROL!$C$42, 12.6938, 12.6938) * CHOOSE(CONTROL!$C$21, $C$9, 100%, $E$9)</f>
        <v>12.6938</v>
      </c>
      <c r="R338" s="10">
        <f>CHOOSE(CONTROL!$C$42, 13.3125, 13.3125) * CHOOSE(CONTROL!$C$21, $C$9, 100%, $E$9)</f>
        <v>13.3125</v>
      </c>
      <c r="S338" s="10">
        <f>CHOOSE(CONTROL!$C$42, 11.767, 11.767) * CHOOSE(CONTROL!$C$21, $C$9, 100%, $E$9)</f>
        <v>11.766999999999999</v>
      </c>
      <c r="T338" s="5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338" s="58">
        <f>(1000*CHOOSE(CONTROL!$C$42, 695, 695)*CHOOSE(CONTROL!$C$42, 0.5599, 0.5599)*CHOOSE(CONTROL!$C$42, 29, 29))/1000000</f>
        <v>11.284784499999999</v>
      </c>
      <c r="V338" s="58">
        <f>(1000*CHOOSE(CONTROL!$C$42, 500, 500)*CHOOSE(CONTROL!$C$42, 0.275, 0.275)*CHOOSE(CONTROL!$C$42, 29, 29))/1000000</f>
        <v>3.9874999999999998</v>
      </c>
      <c r="W338" s="58">
        <f>(1000*CHOOSE(CONTROL!$C$42, 0.1146, 0.1146)*CHOOSE(CONTROL!$C$42, 121.5, 121.5)*CHOOSE(CONTROL!$C$42, 29, 29))/1000000</f>
        <v>0.40379309999999996</v>
      </c>
      <c r="X338" s="58">
        <f>(29*0.1790888*100000/1000000)+(29*0.2374*100000/1000000)</f>
        <v>1.2078175199999999</v>
      </c>
      <c r="Y338" s="58"/>
      <c r="Z338" s="10"/>
      <c r="AA338" s="57"/>
      <c r="AB338" s="51">
        <f>(B338*122.58+C338*297.941+D338*89.177+E338*40.302+F338*40+G338*160+H338*0+I338*100+J338*300)/(122.58+297.941+89.177+40.302+0+40+160+100+300)</f>
        <v>12.125727614695652</v>
      </c>
      <c r="AC338" s="27">
        <f>(M338*'RAP TEMPLATE-GAS AVAILABILITY'!O337+N338*'RAP TEMPLATE-GAS AVAILABILITY'!P337+O338*'RAP TEMPLATE-GAS AVAILABILITY'!Q337+P338*'RAP TEMPLATE-GAS AVAILABILITY'!R337)/('RAP TEMPLATE-GAS AVAILABILITY'!O337+'RAP TEMPLATE-GAS AVAILABILITY'!P337+'RAP TEMPLATE-GAS AVAILABILITY'!Q337+'RAP TEMPLATE-GAS AVAILABILITY'!R337)</f>
        <v>12.044238129496405</v>
      </c>
    </row>
    <row r="339" spans="1:29" ht="15.75" x14ac:dyDescent="0.25">
      <c r="A339" s="14">
        <v>51226</v>
      </c>
      <c r="B339" s="10">
        <f>CHOOSE(CONTROL!$C$42, 11.7754, 11.7754) * CHOOSE(CONTROL!$C$21, $C$9, 100%, $E$9)</f>
        <v>11.775399999999999</v>
      </c>
      <c r="C339" s="10">
        <f>CHOOSE(CONTROL!$C$42, 11.7804, 11.7804) * CHOOSE(CONTROL!$C$21, $C$9, 100%, $E$9)</f>
        <v>11.7804</v>
      </c>
      <c r="D339" s="10">
        <f>CHOOSE(CONTROL!$C$42, 11.8409, 11.8409) * CHOOSE(CONTROL!$C$21, $C$9, 100%, $E$9)</f>
        <v>11.8409</v>
      </c>
      <c r="E339" s="10">
        <f>CHOOSE(CONTROL!$C$42, 11.8747, 11.8747) * CHOOSE(CONTROL!$C$21, $C$9, 100%, $E$9)</f>
        <v>11.874700000000001</v>
      </c>
      <c r="F339" s="10">
        <f>CHOOSE(CONTROL!$C$42, 11.7631, 11.7631)*CHOOSE(CONTROL!$C$21, $C$9, 100%, $E$9)</f>
        <v>11.7631</v>
      </c>
      <c r="G339" s="10">
        <f>CHOOSE(CONTROL!$C$42, 11.7803, 11.7803)*CHOOSE(CONTROL!$C$21, $C$9, 100%, $E$9)</f>
        <v>11.7803</v>
      </c>
      <c r="H339" s="10">
        <f>CHOOSE(CONTROL!$C$42, 11.8638, 11.8638) * CHOOSE(CONTROL!$C$21, $C$9, 100%, $E$9)</f>
        <v>11.863799999999999</v>
      </c>
      <c r="I339" s="10">
        <f>CHOOSE(CONTROL!$C$42, 11.7493, 11.7493)* CHOOSE(CONTROL!$C$21, $C$9, 100%, $E$9)</f>
        <v>11.7493</v>
      </c>
      <c r="J339" s="10">
        <f>CHOOSE(CONTROL!$C$42, 11.7561, 11.7561)* CHOOSE(CONTROL!$C$21, $C$9, 100%, $E$9)</f>
        <v>11.7561</v>
      </c>
      <c r="K339" s="54">
        <f>CHOOSE(CONTROL!$C$42, 11.7454, 11.7454) * CHOOSE(CONTROL!$C$21, $C$9, 100%, $E$9)</f>
        <v>11.7454</v>
      </c>
      <c r="L339" s="10">
        <f>CHOOSE(CONTROL!$C$42, 12.4508, 12.4508) * CHOOSE(CONTROL!$C$21, $C$9, 100%, $E$9)</f>
        <v>12.450799999999999</v>
      </c>
      <c r="M339" s="10">
        <f>CHOOSE(CONTROL!$C$42, 11.6513, 11.6513) * CHOOSE(CONTROL!$C$21, $C$9, 100%, $E$9)</f>
        <v>11.651300000000001</v>
      </c>
      <c r="N339" s="10">
        <f>CHOOSE(CONTROL!$C$42, 11.6684, 11.6684) * CHOOSE(CONTROL!$C$21, $C$9, 100%, $E$9)</f>
        <v>11.6684</v>
      </c>
      <c r="O339" s="10">
        <f>CHOOSE(CONTROL!$C$42, 11.7579, 11.7579) * CHOOSE(CONTROL!$C$21, $C$9, 100%, $E$9)</f>
        <v>11.757899999999999</v>
      </c>
      <c r="P339" s="10">
        <f>CHOOSE(CONTROL!$C$42, 11.6446, 11.6446) * CHOOSE(CONTROL!$C$21, $C$9, 100%, $E$9)</f>
        <v>11.644600000000001</v>
      </c>
      <c r="Q339" s="10">
        <f>CHOOSE(CONTROL!$C$42, 12.3532, 12.3532) * CHOOSE(CONTROL!$C$21, $C$9, 100%, $E$9)</f>
        <v>12.353199999999999</v>
      </c>
      <c r="R339" s="10">
        <f>CHOOSE(CONTROL!$C$42, 12.9711, 12.9711) * CHOOSE(CONTROL!$C$21, $C$9, 100%, $E$9)</f>
        <v>12.9711</v>
      </c>
      <c r="S339" s="10">
        <f>CHOOSE(CONTROL!$C$42, 11.433, 11.433) * CHOOSE(CONTROL!$C$21, $C$9, 100%, $E$9)</f>
        <v>11.433</v>
      </c>
      <c r="T339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339" s="58">
        <f>(1000*CHOOSE(CONTROL!$C$42, 695, 695)*CHOOSE(CONTROL!$C$42, 0.5599, 0.5599)*CHOOSE(CONTROL!$C$42, 31, 31))/1000000</f>
        <v>12.063045499999998</v>
      </c>
      <c r="V339" s="58">
        <f>(1000*CHOOSE(CONTROL!$C$42, 500, 500)*CHOOSE(CONTROL!$C$42, 0.275, 0.275)*CHOOSE(CONTROL!$C$42, 31, 31))/1000000</f>
        <v>4.2625000000000002</v>
      </c>
      <c r="W339" s="58">
        <f>(1000*CHOOSE(CONTROL!$C$42, 0.1146, 0.1146)*CHOOSE(CONTROL!$C$42, 121.5, 121.5)*CHOOSE(CONTROL!$C$42, 31, 31))/1000000</f>
        <v>0.43164089999999994</v>
      </c>
      <c r="X339" s="58">
        <f>(31*0.1790888*100000/1000000)+(31*0.2374*100000/1000000)</f>
        <v>1.2911152800000001</v>
      </c>
      <c r="Y339" s="58"/>
      <c r="Z339" s="10"/>
      <c r="AA339" s="57"/>
      <c r="AB339" s="51">
        <f>(B339*122.58+C339*297.941+D339*89.177+E339*40.302+F339*40+G339*160+H339*0+I339*100+J339*300)/(122.58+297.941+89.177+40.302+0+40+160+100+300)</f>
        <v>11.778204162695653</v>
      </c>
      <c r="AC339" s="27">
        <f>(M339*'RAP TEMPLATE-GAS AVAILABILITY'!O338+N339*'RAP TEMPLATE-GAS AVAILABILITY'!P338+O339*'RAP TEMPLATE-GAS AVAILABILITY'!Q338+P339*'RAP TEMPLATE-GAS AVAILABILITY'!R338)/('RAP TEMPLATE-GAS AVAILABILITY'!O338+'RAP TEMPLATE-GAS AVAILABILITY'!P338+'RAP TEMPLATE-GAS AVAILABILITY'!Q338+'RAP TEMPLATE-GAS AVAILABILITY'!R338)</f>
        <v>11.699635251798561</v>
      </c>
    </row>
    <row r="340" spans="1:29" ht="15.75" x14ac:dyDescent="0.25">
      <c r="A340" s="14">
        <v>51256</v>
      </c>
      <c r="B340" s="10">
        <f>CHOOSE(CONTROL!$C$42, 11.7413, 11.7413) * CHOOSE(CONTROL!$C$21, $C$9, 100%, $E$9)</f>
        <v>11.741300000000001</v>
      </c>
      <c r="C340" s="10">
        <f>CHOOSE(CONTROL!$C$42, 11.7457, 11.7457) * CHOOSE(CONTROL!$C$21, $C$9, 100%, $E$9)</f>
        <v>11.745699999999999</v>
      </c>
      <c r="D340" s="10">
        <f>CHOOSE(CONTROL!$C$42, 11.9413, 11.9413) * CHOOSE(CONTROL!$C$21, $C$9, 100%, $E$9)</f>
        <v>11.9413</v>
      </c>
      <c r="E340" s="10">
        <f>CHOOSE(CONTROL!$C$42, 11.9731, 11.9731) * CHOOSE(CONTROL!$C$21, $C$9, 100%, $E$9)</f>
        <v>11.973100000000001</v>
      </c>
      <c r="F340" s="10">
        <f>CHOOSE(CONTROL!$C$42, 11.7091, 11.7091)*CHOOSE(CONTROL!$C$21, $C$9, 100%, $E$9)</f>
        <v>11.709099999999999</v>
      </c>
      <c r="G340" s="10">
        <f>CHOOSE(CONTROL!$C$42, 11.7259, 11.7259)*CHOOSE(CONTROL!$C$21, $C$9, 100%, $E$9)</f>
        <v>11.725899999999999</v>
      </c>
      <c r="H340" s="10">
        <f>CHOOSE(CONTROL!$C$42, 11.9629, 11.9629) * CHOOSE(CONTROL!$C$21, $C$9, 100%, $E$9)</f>
        <v>11.962899999999999</v>
      </c>
      <c r="I340" s="10">
        <f>CHOOSE(CONTROL!$C$42, 11.7093, 11.7093)* CHOOSE(CONTROL!$C$21, $C$9, 100%, $E$9)</f>
        <v>11.709300000000001</v>
      </c>
      <c r="J340" s="10">
        <f>CHOOSE(CONTROL!$C$42, 11.7021, 11.7021)* CHOOSE(CONTROL!$C$21, $C$9, 100%, $E$9)</f>
        <v>11.7021</v>
      </c>
      <c r="K340" s="54">
        <f>CHOOSE(CONTROL!$C$42, 11.7054, 11.7054) * CHOOSE(CONTROL!$C$21, $C$9, 100%, $E$9)</f>
        <v>11.705399999999999</v>
      </c>
      <c r="L340" s="10">
        <f>CHOOSE(CONTROL!$C$42, 12.5499, 12.5499) * CHOOSE(CONTROL!$C$21, $C$9, 100%, $E$9)</f>
        <v>12.549899999999999</v>
      </c>
      <c r="M340" s="10">
        <f>CHOOSE(CONTROL!$C$42, 11.5979, 11.5979) * CHOOSE(CONTROL!$C$21, $C$9, 100%, $E$9)</f>
        <v>11.597899999999999</v>
      </c>
      <c r="N340" s="10">
        <f>CHOOSE(CONTROL!$C$42, 11.6145, 11.6145) * CHOOSE(CONTROL!$C$21, $C$9, 100%, $E$9)</f>
        <v>11.6145</v>
      </c>
      <c r="O340" s="10">
        <f>CHOOSE(CONTROL!$C$42, 11.856, 11.856) * CHOOSE(CONTROL!$C$21, $C$9, 100%, $E$9)</f>
        <v>11.856</v>
      </c>
      <c r="P340" s="10">
        <f>CHOOSE(CONTROL!$C$42, 11.605, 11.605) * CHOOSE(CONTROL!$C$21, $C$9, 100%, $E$9)</f>
        <v>11.605</v>
      </c>
      <c r="Q340" s="10">
        <f>CHOOSE(CONTROL!$C$42, 12.4513, 12.4513) * CHOOSE(CONTROL!$C$21, $C$9, 100%, $E$9)</f>
        <v>12.4513</v>
      </c>
      <c r="R340" s="10">
        <f>CHOOSE(CONTROL!$C$42, 13.0694, 13.0694) * CHOOSE(CONTROL!$C$21, $C$9, 100%, $E$9)</f>
        <v>13.0694</v>
      </c>
      <c r="S340" s="10">
        <f>CHOOSE(CONTROL!$C$42, 11.3991, 11.3991) * CHOOSE(CONTROL!$C$21, $C$9, 100%, $E$9)</f>
        <v>11.399100000000001</v>
      </c>
      <c r="T340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340" s="58">
        <f>(1000*CHOOSE(CONTROL!$C$42, 695, 695)*CHOOSE(CONTROL!$C$42, 0.5599, 0.5599)*CHOOSE(CONTROL!$C$42, 30, 30))/1000000</f>
        <v>11.673914999999997</v>
      </c>
      <c r="V340" s="58">
        <f>(1000*CHOOSE(CONTROL!$C$42, 500, 500)*CHOOSE(CONTROL!$C$42, 0.275, 0.275)*CHOOSE(CONTROL!$C$42, 30, 30))/1000000</f>
        <v>4.125</v>
      </c>
      <c r="W340" s="58">
        <f>(1000*CHOOSE(CONTROL!$C$42, 0.1146, 0.1146)*CHOOSE(CONTROL!$C$42, 121.5, 121.5)*CHOOSE(CONTROL!$C$42, 30, 30))/1000000</f>
        <v>0.417717</v>
      </c>
      <c r="X340" s="58">
        <f>(30*0.1790888*245000/1000000)+(30*0.2374*100000/1000000)</f>
        <v>2.0285026799999999</v>
      </c>
      <c r="Y340" s="58"/>
      <c r="Z340" s="10"/>
      <c r="AA340" s="57"/>
      <c r="AB340" s="51">
        <f>(B340*141.293+C340*267.993+D340*115.016+E340*89.698+F340*40+G340*185+H340*0+I340*100+J340*300)/(141.293+267.993+115.016+89.698+0+40+185+100+300)</f>
        <v>11.762185686521388</v>
      </c>
      <c r="AC340" s="27">
        <f>(M340*'RAP TEMPLATE-GAS AVAILABILITY'!O339+N340*'RAP TEMPLATE-GAS AVAILABILITY'!P339+O340*'RAP TEMPLATE-GAS AVAILABILITY'!Q339+P340*'RAP TEMPLATE-GAS AVAILABILITY'!R339)/('RAP TEMPLATE-GAS AVAILABILITY'!O339+'RAP TEMPLATE-GAS AVAILABILITY'!P339+'RAP TEMPLATE-GAS AVAILABILITY'!Q339+'RAP TEMPLATE-GAS AVAILABILITY'!R339)</f>
        <v>11.675159712230215</v>
      </c>
    </row>
    <row r="341" spans="1:29" ht="15.75" x14ac:dyDescent="0.25">
      <c r="A341" s="14">
        <v>51287</v>
      </c>
      <c r="B341" s="10">
        <f>CHOOSE(CONTROL!$C$42, 11.8463, 11.8463) * CHOOSE(CONTROL!$C$21, $C$9, 100%, $E$9)</f>
        <v>11.846299999999999</v>
      </c>
      <c r="C341" s="10">
        <f>CHOOSE(CONTROL!$C$42, 11.8542, 11.8542) * CHOOSE(CONTROL!$C$21, $C$9, 100%, $E$9)</f>
        <v>11.854200000000001</v>
      </c>
      <c r="D341" s="10">
        <f>CHOOSE(CONTROL!$C$42, 12.0467, 12.0467) * CHOOSE(CONTROL!$C$21, $C$9, 100%, $E$9)</f>
        <v>12.0467</v>
      </c>
      <c r="E341" s="10">
        <f>CHOOSE(CONTROL!$C$42, 12.0778, 12.0778) * CHOOSE(CONTROL!$C$21, $C$9, 100%, $E$9)</f>
        <v>12.0778</v>
      </c>
      <c r="F341" s="10">
        <f>CHOOSE(CONTROL!$C$42, 11.8126, 11.8126)*CHOOSE(CONTROL!$C$21, $C$9, 100%, $E$9)</f>
        <v>11.8126</v>
      </c>
      <c r="G341" s="10">
        <f>CHOOSE(CONTROL!$C$42, 11.8297, 11.8297)*CHOOSE(CONTROL!$C$21, $C$9, 100%, $E$9)</f>
        <v>11.829700000000001</v>
      </c>
      <c r="H341" s="10">
        <f>CHOOSE(CONTROL!$C$42, 12.0665, 12.0665) * CHOOSE(CONTROL!$C$21, $C$9, 100%, $E$9)</f>
        <v>12.0665</v>
      </c>
      <c r="I341" s="10">
        <f>CHOOSE(CONTROL!$C$42, 11.8129, 11.8129)* CHOOSE(CONTROL!$C$21, $C$9, 100%, $E$9)</f>
        <v>11.812900000000001</v>
      </c>
      <c r="J341" s="10">
        <f>CHOOSE(CONTROL!$C$42, 11.8056, 11.8056)* CHOOSE(CONTROL!$C$21, $C$9, 100%, $E$9)</f>
        <v>11.8056</v>
      </c>
      <c r="K341" s="54">
        <f>CHOOSE(CONTROL!$C$42, 11.809, 11.809) * CHOOSE(CONTROL!$C$21, $C$9, 100%, $E$9)</f>
        <v>11.808999999999999</v>
      </c>
      <c r="L341" s="10">
        <f>CHOOSE(CONTROL!$C$42, 12.6535, 12.6535) * CHOOSE(CONTROL!$C$21, $C$9, 100%, $E$9)</f>
        <v>12.653499999999999</v>
      </c>
      <c r="M341" s="10">
        <f>CHOOSE(CONTROL!$C$42, 11.7003, 11.7003) * CHOOSE(CONTROL!$C$21, $C$9, 100%, $E$9)</f>
        <v>11.7003</v>
      </c>
      <c r="N341" s="10">
        <f>CHOOSE(CONTROL!$C$42, 11.7172, 11.7172) * CHOOSE(CONTROL!$C$21, $C$9, 100%, $E$9)</f>
        <v>11.7172</v>
      </c>
      <c r="O341" s="10">
        <f>CHOOSE(CONTROL!$C$42, 11.9585, 11.9585) * CHOOSE(CONTROL!$C$21, $C$9, 100%, $E$9)</f>
        <v>11.958500000000001</v>
      </c>
      <c r="P341" s="10">
        <f>CHOOSE(CONTROL!$C$42, 11.7076, 11.7076) * CHOOSE(CONTROL!$C$21, $C$9, 100%, $E$9)</f>
        <v>11.707599999999999</v>
      </c>
      <c r="Q341" s="10">
        <f>CHOOSE(CONTROL!$C$42, 12.5538, 12.5538) * CHOOSE(CONTROL!$C$21, $C$9, 100%, $E$9)</f>
        <v>12.553800000000001</v>
      </c>
      <c r="R341" s="10">
        <f>CHOOSE(CONTROL!$C$42, 13.1722, 13.1722) * CHOOSE(CONTROL!$C$21, $C$9, 100%, $E$9)</f>
        <v>13.1722</v>
      </c>
      <c r="S341" s="10">
        <f>CHOOSE(CONTROL!$C$42, 11.4997, 11.4997) * CHOOSE(CONTROL!$C$21, $C$9, 100%, $E$9)</f>
        <v>11.499700000000001</v>
      </c>
      <c r="T341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341" s="58">
        <f>(1000*CHOOSE(CONTROL!$C$42, 695, 695)*CHOOSE(CONTROL!$C$42, 0.5599, 0.5599)*CHOOSE(CONTROL!$C$42, 31, 31))/1000000</f>
        <v>12.063045499999998</v>
      </c>
      <c r="V341" s="58">
        <f>(1000*CHOOSE(CONTROL!$C$42, 500, 500)*CHOOSE(CONTROL!$C$42, 0.275, 0.275)*CHOOSE(CONTROL!$C$42, 31, 31))/1000000</f>
        <v>4.2625000000000002</v>
      </c>
      <c r="W341" s="58">
        <f>(1000*CHOOSE(CONTROL!$C$42, 0.1146, 0.1146)*CHOOSE(CONTROL!$C$42, 121.5, 121.5)*CHOOSE(CONTROL!$C$42, 31, 31))/1000000</f>
        <v>0.43164089999999994</v>
      </c>
      <c r="X341" s="58">
        <f>(31*0.1790888*245000/1000000)+(31*0.2374*100000/1000000)</f>
        <v>2.0961194359999999</v>
      </c>
      <c r="Y341" s="58"/>
      <c r="Z341" s="10"/>
      <c r="AA341" s="57"/>
      <c r="AB341" s="51">
        <f>(B341*194.205+C341*267.466+D341*133.845+E341*53.484+F341*40+G341*185+H341*0+I341*100+J341*300)/(194.205+267.466+133.845+53.484+0+40+185+100+300)</f>
        <v>11.86305672323391</v>
      </c>
      <c r="AC341" s="27">
        <f>(M341*'RAP TEMPLATE-GAS AVAILABILITY'!O340+N341*'RAP TEMPLATE-GAS AVAILABILITY'!P340+O341*'RAP TEMPLATE-GAS AVAILABILITY'!Q340+P341*'RAP TEMPLATE-GAS AVAILABILITY'!R340)/('RAP TEMPLATE-GAS AVAILABILITY'!O340+'RAP TEMPLATE-GAS AVAILABILITY'!P340+'RAP TEMPLATE-GAS AVAILABILITY'!Q340+'RAP TEMPLATE-GAS AVAILABILITY'!R340)</f>
        <v>11.777685611510792</v>
      </c>
    </row>
    <row r="342" spans="1:29" ht="15.75" x14ac:dyDescent="0.25">
      <c r="A342" s="14">
        <v>51317</v>
      </c>
      <c r="B342" s="10">
        <f>CHOOSE(CONTROL!$C$42, 12.1822, 12.1822) * CHOOSE(CONTROL!$C$21, $C$9, 100%, $E$9)</f>
        <v>12.1822</v>
      </c>
      <c r="C342" s="10">
        <f>CHOOSE(CONTROL!$C$42, 12.1901, 12.1901) * CHOOSE(CONTROL!$C$21, $C$9, 100%, $E$9)</f>
        <v>12.190099999999999</v>
      </c>
      <c r="D342" s="10">
        <f>CHOOSE(CONTROL!$C$42, 12.3826, 12.3826) * CHOOSE(CONTROL!$C$21, $C$9, 100%, $E$9)</f>
        <v>12.3826</v>
      </c>
      <c r="E342" s="10">
        <f>CHOOSE(CONTROL!$C$42, 12.4137, 12.4137) * CHOOSE(CONTROL!$C$21, $C$9, 100%, $E$9)</f>
        <v>12.4137</v>
      </c>
      <c r="F342" s="10">
        <f>CHOOSE(CONTROL!$C$42, 12.1487, 12.1487)*CHOOSE(CONTROL!$C$21, $C$9, 100%, $E$9)</f>
        <v>12.1487</v>
      </c>
      <c r="G342" s="10">
        <f>CHOOSE(CONTROL!$C$42, 12.1659, 12.1659)*CHOOSE(CONTROL!$C$21, $C$9, 100%, $E$9)</f>
        <v>12.165900000000001</v>
      </c>
      <c r="H342" s="10">
        <f>CHOOSE(CONTROL!$C$42, 12.4023, 12.4023) * CHOOSE(CONTROL!$C$21, $C$9, 100%, $E$9)</f>
        <v>12.4023</v>
      </c>
      <c r="I342" s="10">
        <f>CHOOSE(CONTROL!$C$42, 12.1488, 12.1488)* CHOOSE(CONTROL!$C$21, $C$9, 100%, $E$9)</f>
        <v>12.1488</v>
      </c>
      <c r="J342" s="10">
        <f>CHOOSE(CONTROL!$C$42, 12.1417, 12.1417)* CHOOSE(CONTROL!$C$21, $C$9, 100%, $E$9)</f>
        <v>12.1417</v>
      </c>
      <c r="K342" s="54">
        <f>CHOOSE(CONTROL!$C$42, 12.1449, 12.1449) * CHOOSE(CONTROL!$C$21, $C$9, 100%, $E$9)</f>
        <v>12.1449</v>
      </c>
      <c r="L342" s="10">
        <f>CHOOSE(CONTROL!$C$42, 12.9893, 12.9893) * CHOOSE(CONTROL!$C$21, $C$9, 100%, $E$9)</f>
        <v>12.9893</v>
      </c>
      <c r="M342" s="10">
        <f>CHOOSE(CONTROL!$C$42, 12.033, 12.033) * CHOOSE(CONTROL!$C$21, $C$9, 100%, $E$9)</f>
        <v>12.032999999999999</v>
      </c>
      <c r="N342" s="10">
        <f>CHOOSE(CONTROL!$C$42, 12.05, 12.05) * CHOOSE(CONTROL!$C$21, $C$9, 100%, $E$9)</f>
        <v>12.05</v>
      </c>
      <c r="O342" s="10">
        <f>CHOOSE(CONTROL!$C$42, 12.291, 12.291) * CHOOSE(CONTROL!$C$21, $C$9, 100%, $E$9)</f>
        <v>12.291</v>
      </c>
      <c r="P342" s="10">
        <f>CHOOSE(CONTROL!$C$42, 12.04, 12.04) * CHOOSE(CONTROL!$C$21, $C$9, 100%, $E$9)</f>
        <v>12.04</v>
      </c>
      <c r="Q342" s="10">
        <f>CHOOSE(CONTROL!$C$42, 12.8863, 12.8863) * CHOOSE(CONTROL!$C$21, $C$9, 100%, $E$9)</f>
        <v>12.8863</v>
      </c>
      <c r="R342" s="10">
        <f>CHOOSE(CONTROL!$C$42, 13.5055, 13.5055) * CHOOSE(CONTROL!$C$21, $C$9, 100%, $E$9)</f>
        <v>13.5055</v>
      </c>
      <c r="S342" s="10">
        <f>CHOOSE(CONTROL!$C$42, 11.8259, 11.8259) * CHOOSE(CONTROL!$C$21, $C$9, 100%, $E$9)</f>
        <v>11.825900000000001</v>
      </c>
      <c r="T342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342" s="58">
        <f>(1000*CHOOSE(CONTROL!$C$42, 695, 695)*CHOOSE(CONTROL!$C$42, 0.5599, 0.5599)*CHOOSE(CONTROL!$C$42, 30, 30))/1000000</f>
        <v>11.673914999999997</v>
      </c>
      <c r="V342" s="58">
        <f>(1000*CHOOSE(CONTROL!$C$42, 500, 500)*CHOOSE(CONTROL!$C$42, 0.275, 0.275)*CHOOSE(CONTROL!$C$42, 30, 30))/1000000</f>
        <v>4.125</v>
      </c>
      <c r="W342" s="58">
        <f>(1000*CHOOSE(CONTROL!$C$42, 0.1146, 0.1146)*CHOOSE(CONTROL!$C$42, 121.5, 121.5)*CHOOSE(CONTROL!$C$42, 30, 30))/1000000</f>
        <v>0.417717</v>
      </c>
      <c r="X342" s="58">
        <f>(30*0.1790888*245000/1000000)+(30*0.2374*100000/1000000)</f>
        <v>2.0285026799999999</v>
      </c>
      <c r="Y342" s="58"/>
      <c r="Z342" s="10"/>
      <c r="AA342" s="57"/>
      <c r="AB342" s="51">
        <f>(B342*194.205+C342*267.466+D342*133.845+E342*53.484+F342*40+G342*185+H342*0+I342*100+J342*300)/(194.205+267.466+133.845+53.484+0+40+185+100+300)</f>
        <v>12.199053662009419</v>
      </c>
      <c r="AC342" s="27">
        <f>(M342*'RAP TEMPLATE-GAS AVAILABILITY'!O341+N342*'RAP TEMPLATE-GAS AVAILABILITY'!P341+O342*'RAP TEMPLATE-GAS AVAILABILITY'!Q341+P342*'RAP TEMPLATE-GAS AVAILABILITY'!R341)/('RAP TEMPLATE-GAS AVAILABILITY'!O341+'RAP TEMPLATE-GAS AVAILABILITY'!P341+'RAP TEMPLATE-GAS AVAILABILITY'!Q341+'RAP TEMPLATE-GAS AVAILABILITY'!R341)</f>
        <v>12.110309352517987</v>
      </c>
    </row>
    <row r="343" spans="1:29" ht="15.75" x14ac:dyDescent="0.25">
      <c r="A343" s="14">
        <v>51348</v>
      </c>
      <c r="B343" s="10">
        <f>CHOOSE(CONTROL!$C$42, 11.9486, 11.9486) * CHOOSE(CONTROL!$C$21, $C$9, 100%, $E$9)</f>
        <v>11.948600000000001</v>
      </c>
      <c r="C343" s="10">
        <f>CHOOSE(CONTROL!$C$42, 11.9565, 11.9565) * CHOOSE(CONTROL!$C$21, $C$9, 100%, $E$9)</f>
        <v>11.9565</v>
      </c>
      <c r="D343" s="10">
        <f>CHOOSE(CONTROL!$C$42, 12.149, 12.149) * CHOOSE(CONTROL!$C$21, $C$9, 100%, $E$9)</f>
        <v>12.148999999999999</v>
      </c>
      <c r="E343" s="10">
        <f>CHOOSE(CONTROL!$C$42, 12.1801, 12.1801) * CHOOSE(CONTROL!$C$21, $C$9, 100%, $E$9)</f>
        <v>12.180099999999999</v>
      </c>
      <c r="F343" s="10">
        <f>CHOOSE(CONTROL!$C$42, 11.9155, 11.9155)*CHOOSE(CONTROL!$C$21, $C$9, 100%, $E$9)</f>
        <v>11.9155</v>
      </c>
      <c r="G343" s="10">
        <f>CHOOSE(CONTROL!$C$42, 11.9328, 11.9328)*CHOOSE(CONTROL!$C$21, $C$9, 100%, $E$9)</f>
        <v>11.9328</v>
      </c>
      <c r="H343" s="10">
        <f>CHOOSE(CONTROL!$C$42, 12.1687, 12.1687) * CHOOSE(CONTROL!$C$21, $C$9, 100%, $E$9)</f>
        <v>12.168699999999999</v>
      </c>
      <c r="I343" s="10">
        <f>CHOOSE(CONTROL!$C$42, 11.9152, 11.9152)* CHOOSE(CONTROL!$C$21, $C$9, 100%, $E$9)</f>
        <v>11.9152</v>
      </c>
      <c r="J343" s="10">
        <f>CHOOSE(CONTROL!$C$42, 11.9085, 11.9085)* CHOOSE(CONTROL!$C$21, $C$9, 100%, $E$9)</f>
        <v>11.9085</v>
      </c>
      <c r="K343" s="54">
        <f>CHOOSE(CONTROL!$C$42, 11.9113, 11.9113) * CHOOSE(CONTROL!$C$21, $C$9, 100%, $E$9)</f>
        <v>11.911300000000001</v>
      </c>
      <c r="L343" s="10">
        <f>CHOOSE(CONTROL!$C$42, 12.7557, 12.7557) * CHOOSE(CONTROL!$C$21, $C$9, 100%, $E$9)</f>
        <v>12.755699999999999</v>
      </c>
      <c r="M343" s="10">
        <f>CHOOSE(CONTROL!$C$42, 11.8021, 11.8021) * CHOOSE(CONTROL!$C$21, $C$9, 100%, $E$9)</f>
        <v>11.802099999999999</v>
      </c>
      <c r="N343" s="10">
        <f>CHOOSE(CONTROL!$C$42, 11.8193, 11.8193) * CHOOSE(CONTROL!$C$21, $C$9, 100%, $E$9)</f>
        <v>11.8193</v>
      </c>
      <c r="O343" s="10">
        <f>CHOOSE(CONTROL!$C$42, 12.0598, 12.0598) * CHOOSE(CONTROL!$C$21, $C$9, 100%, $E$9)</f>
        <v>12.059799999999999</v>
      </c>
      <c r="P343" s="10">
        <f>CHOOSE(CONTROL!$C$42, 11.8088, 11.8088) * CHOOSE(CONTROL!$C$21, $C$9, 100%, $E$9)</f>
        <v>11.8088</v>
      </c>
      <c r="Q343" s="10">
        <f>CHOOSE(CONTROL!$C$42, 12.6551, 12.6551) * CHOOSE(CONTROL!$C$21, $C$9, 100%, $E$9)</f>
        <v>12.655099999999999</v>
      </c>
      <c r="R343" s="10">
        <f>CHOOSE(CONTROL!$C$42, 13.2737, 13.2737) * CHOOSE(CONTROL!$C$21, $C$9, 100%, $E$9)</f>
        <v>13.2737</v>
      </c>
      <c r="S343" s="10">
        <f>CHOOSE(CONTROL!$C$42, 11.599, 11.599) * CHOOSE(CONTROL!$C$21, $C$9, 100%, $E$9)</f>
        <v>11.599</v>
      </c>
      <c r="T343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343" s="58">
        <f>(1000*CHOOSE(CONTROL!$C$42, 695, 695)*CHOOSE(CONTROL!$C$42, 0.5599, 0.5599)*CHOOSE(CONTROL!$C$42, 31, 31))/1000000</f>
        <v>12.063045499999998</v>
      </c>
      <c r="V343" s="58">
        <f>(1000*CHOOSE(CONTROL!$C$42, 500, 500)*CHOOSE(CONTROL!$C$42, 0.275, 0.275)*CHOOSE(CONTROL!$C$42, 31, 31))/1000000</f>
        <v>4.2625000000000002</v>
      </c>
      <c r="W343" s="58">
        <f>(1000*CHOOSE(CONTROL!$C$42, 0.1146, 0.1146)*CHOOSE(CONTROL!$C$42, 121.5, 121.5)*CHOOSE(CONTROL!$C$42, 31, 31))/1000000</f>
        <v>0.43164089999999994</v>
      </c>
      <c r="X343" s="58">
        <f>(31*0.1790888*245000/1000000)+(31*0.2374*100000/1000000)</f>
        <v>2.0961194359999999</v>
      </c>
      <c r="Y343" s="58"/>
      <c r="Z343" s="10"/>
      <c r="AA343" s="57"/>
      <c r="AB343" s="51">
        <f>(B343*194.205+C343*267.466+D343*133.845+E343*53.484+F343*40+G343*185+H343*0+I343*100+J343*300)/(194.205+267.466+133.845+53.484+0+40+185+100+300)</f>
        <v>11.965633018367347</v>
      </c>
      <c r="AC343" s="27">
        <f>(M343*'RAP TEMPLATE-GAS AVAILABILITY'!O342+N343*'RAP TEMPLATE-GAS AVAILABILITY'!P342+O343*'RAP TEMPLATE-GAS AVAILABILITY'!Q342+P343*'RAP TEMPLATE-GAS AVAILABILITY'!R342)/('RAP TEMPLATE-GAS AVAILABILITY'!O342+'RAP TEMPLATE-GAS AVAILABILITY'!P342+'RAP TEMPLATE-GAS AVAILABILITY'!Q342+'RAP TEMPLATE-GAS AVAILABILITY'!R342)</f>
        <v>11.879328057553957</v>
      </c>
    </row>
    <row r="344" spans="1:29" ht="15.75" x14ac:dyDescent="0.25">
      <c r="A344" s="14">
        <v>51379</v>
      </c>
      <c r="B344" s="10">
        <f>CHOOSE(CONTROL!$C$42, 11.3587, 11.3587) * CHOOSE(CONTROL!$C$21, $C$9, 100%, $E$9)</f>
        <v>11.358700000000001</v>
      </c>
      <c r="C344" s="10">
        <f>CHOOSE(CONTROL!$C$42, 11.3666, 11.3666) * CHOOSE(CONTROL!$C$21, $C$9, 100%, $E$9)</f>
        <v>11.3666</v>
      </c>
      <c r="D344" s="10">
        <f>CHOOSE(CONTROL!$C$42, 11.559, 11.559) * CHOOSE(CONTROL!$C$21, $C$9, 100%, $E$9)</f>
        <v>11.558999999999999</v>
      </c>
      <c r="E344" s="10">
        <f>CHOOSE(CONTROL!$C$42, 11.5902, 11.5902) * CHOOSE(CONTROL!$C$21, $C$9, 100%, $E$9)</f>
        <v>11.590199999999999</v>
      </c>
      <c r="F344" s="10">
        <f>CHOOSE(CONTROL!$C$42, 11.3257, 11.3257)*CHOOSE(CONTROL!$C$21, $C$9, 100%, $E$9)</f>
        <v>11.325699999999999</v>
      </c>
      <c r="G344" s="10">
        <f>CHOOSE(CONTROL!$C$42, 11.3431, 11.3431)*CHOOSE(CONTROL!$C$21, $C$9, 100%, $E$9)</f>
        <v>11.3431</v>
      </c>
      <c r="H344" s="10">
        <f>CHOOSE(CONTROL!$C$42, 11.5788, 11.5788) * CHOOSE(CONTROL!$C$21, $C$9, 100%, $E$9)</f>
        <v>11.578799999999999</v>
      </c>
      <c r="I344" s="10">
        <f>CHOOSE(CONTROL!$C$42, 11.3252, 11.3252)* CHOOSE(CONTROL!$C$21, $C$9, 100%, $E$9)</f>
        <v>11.325200000000001</v>
      </c>
      <c r="J344" s="10">
        <f>CHOOSE(CONTROL!$C$42, 11.3187, 11.3187)* CHOOSE(CONTROL!$C$21, $C$9, 100%, $E$9)</f>
        <v>11.3187</v>
      </c>
      <c r="K344" s="54">
        <f>CHOOSE(CONTROL!$C$42, 11.3214, 11.3214) * CHOOSE(CONTROL!$C$21, $C$9, 100%, $E$9)</f>
        <v>11.321400000000001</v>
      </c>
      <c r="L344" s="10">
        <f>CHOOSE(CONTROL!$C$42, 12.1658, 12.1658) * CHOOSE(CONTROL!$C$21, $C$9, 100%, $E$9)</f>
        <v>12.165800000000001</v>
      </c>
      <c r="M344" s="10">
        <f>CHOOSE(CONTROL!$C$42, 11.2183, 11.2183) * CHOOSE(CONTROL!$C$21, $C$9, 100%, $E$9)</f>
        <v>11.218299999999999</v>
      </c>
      <c r="N344" s="10">
        <f>CHOOSE(CONTROL!$C$42, 11.2355, 11.2355) * CHOOSE(CONTROL!$C$21, $C$9, 100%, $E$9)</f>
        <v>11.2355</v>
      </c>
      <c r="O344" s="10">
        <f>CHOOSE(CONTROL!$C$42, 11.4758, 11.4758) * CHOOSE(CONTROL!$C$21, $C$9, 100%, $E$9)</f>
        <v>11.4758</v>
      </c>
      <c r="P344" s="10">
        <f>CHOOSE(CONTROL!$C$42, 11.2248, 11.2248) * CHOOSE(CONTROL!$C$21, $C$9, 100%, $E$9)</f>
        <v>11.2248</v>
      </c>
      <c r="Q344" s="10">
        <f>CHOOSE(CONTROL!$C$42, 12.0711, 12.0711) * CHOOSE(CONTROL!$C$21, $C$9, 100%, $E$9)</f>
        <v>12.071099999999999</v>
      </c>
      <c r="R344" s="10">
        <f>CHOOSE(CONTROL!$C$42, 12.6883, 12.6883) * CHOOSE(CONTROL!$C$21, $C$9, 100%, $E$9)</f>
        <v>12.6883</v>
      </c>
      <c r="S344" s="10">
        <f>CHOOSE(CONTROL!$C$42, 11.0262, 11.0262) * CHOOSE(CONTROL!$C$21, $C$9, 100%, $E$9)</f>
        <v>11.026199999999999</v>
      </c>
      <c r="T344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344" s="58">
        <f>(1000*CHOOSE(CONTROL!$C$42, 695, 695)*CHOOSE(CONTROL!$C$42, 0.5599, 0.5599)*CHOOSE(CONTROL!$C$42, 31, 31))/1000000</f>
        <v>12.063045499999998</v>
      </c>
      <c r="V344" s="58">
        <f>(1000*CHOOSE(CONTROL!$C$42, 500, 500)*CHOOSE(CONTROL!$C$42, 0.275, 0.275)*CHOOSE(CONTROL!$C$42, 31, 31))/1000000</f>
        <v>4.2625000000000002</v>
      </c>
      <c r="W344" s="58">
        <f>(1000*CHOOSE(CONTROL!$C$42, 0.1146, 0.1146)*CHOOSE(CONTROL!$C$42, 121.5, 121.5)*CHOOSE(CONTROL!$C$42, 31, 31))/1000000</f>
        <v>0.43164089999999994</v>
      </c>
      <c r="X344" s="58">
        <f>(31*0.1790888*245000/1000000)+(31*0.2374*100000/1000000)</f>
        <v>2.0961194359999999</v>
      </c>
      <c r="Y344" s="58"/>
      <c r="Z344" s="10"/>
      <c r="AA344" s="57"/>
      <c r="AB344" s="51">
        <f>(B344*194.205+C344*267.466+D344*133.845+E344*53.484+F344*40+G344*185+H344*0+I344*100+J344*300)/(194.205+267.466+133.845+53.484+0+40+185+100+300)</f>
        <v>11.375770393171116</v>
      </c>
      <c r="AC344" s="27">
        <f>(M344*'RAP TEMPLATE-GAS AVAILABILITY'!O343+N344*'RAP TEMPLATE-GAS AVAILABILITY'!P343+O344*'RAP TEMPLATE-GAS AVAILABILITY'!Q343+P344*'RAP TEMPLATE-GAS AVAILABILITY'!R343)/('RAP TEMPLATE-GAS AVAILABILITY'!O343+'RAP TEMPLATE-GAS AVAILABILITY'!P343+'RAP TEMPLATE-GAS AVAILABILITY'!Q343+'RAP TEMPLATE-GAS AVAILABILITY'!R343)</f>
        <v>11.295443165467626</v>
      </c>
    </row>
    <row r="345" spans="1:29" ht="15.75" x14ac:dyDescent="0.25">
      <c r="A345" s="14">
        <v>51409</v>
      </c>
      <c r="B345" s="10">
        <f>CHOOSE(CONTROL!$C$42, 10.6375, 10.6375) * CHOOSE(CONTROL!$C$21, $C$9, 100%, $E$9)</f>
        <v>10.637499999999999</v>
      </c>
      <c r="C345" s="10">
        <f>CHOOSE(CONTROL!$C$42, 10.6454, 10.6454) * CHOOSE(CONTROL!$C$21, $C$9, 100%, $E$9)</f>
        <v>10.6454</v>
      </c>
      <c r="D345" s="10">
        <f>CHOOSE(CONTROL!$C$42, 10.8379, 10.8379) * CHOOSE(CONTROL!$C$21, $C$9, 100%, $E$9)</f>
        <v>10.837899999999999</v>
      </c>
      <c r="E345" s="10">
        <f>CHOOSE(CONTROL!$C$42, 10.869, 10.869) * CHOOSE(CONTROL!$C$21, $C$9, 100%, $E$9)</f>
        <v>10.869</v>
      </c>
      <c r="F345" s="10">
        <f>CHOOSE(CONTROL!$C$42, 10.6044, 10.6044)*CHOOSE(CONTROL!$C$21, $C$9, 100%, $E$9)</f>
        <v>10.6044</v>
      </c>
      <c r="G345" s="10">
        <f>CHOOSE(CONTROL!$C$42, 10.6217, 10.6217)*CHOOSE(CONTROL!$C$21, $C$9, 100%, $E$9)</f>
        <v>10.621700000000001</v>
      </c>
      <c r="H345" s="10">
        <f>CHOOSE(CONTROL!$C$42, 10.8576, 10.8576) * CHOOSE(CONTROL!$C$21, $C$9, 100%, $E$9)</f>
        <v>10.8576</v>
      </c>
      <c r="I345" s="10">
        <f>CHOOSE(CONTROL!$C$42, 10.6041, 10.6041)* CHOOSE(CONTROL!$C$21, $C$9, 100%, $E$9)</f>
        <v>10.604100000000001</v>
      </c>
      <c r="J345" s="10">
        <f>CHOOSE(CONTROL!$C$42, 10.5974, 10.5974)* CHOOSE(CONTROL!$C$21, $C$9, 100%, $E$9)</f>
        <v>10.5974</v>
      </c>
      <c r="K345" s="54">
        <f>CHOOSE(CONTROL!$C$42, 10.6002, 10.6002) * CHOOSE(CONTROL!$C$21, $C$9, 100%, $E$9)</f>
        <v>10.600199999999999</v>
      </c>
      <c r="L345" s="10">
        <f>CHOOSE(CONTROL!$C$42, 11.4446, 11.4446) * CHOOSE(CONTROL!$C$21, $C$9, 100%, $E$9)</f>
        <v>11.444599999999999</v>
      </c>
      <c r="M345" s="10">
        <f>CHOOSE(CONTROL!$C$42, 10.5043, 10.5043) * CHOOSE(CONTROL!$C$21, $C$9, 100%, $E$9)</f>
        <v>10.504300000000001</v>
      </c>
      <c r="N345" s="10">
        <f>CHOOSE(CONTROL!$C$42, 10.5214, 10.5214) * CHOOSE(CONTROL!$C$21, $C$9, 100%, $E$9)</f>
        <v>10.5214</v>
      </c>
      <c r="O345" s="10">
        <f>CHOOSE(CONTROL!$C$42, 10.7619, 10.7619) * CHOOSE(CONTROL!$C$21, $C$9, 100%, $E$9)</f>
        <v>10.761900000000001</v>
      </c>
      <c r="P345" s="10">
        <f>CHOOSE(CONTROL!$C$42, 10.5109, 10.5109) * CHOOSE(CONTROL!$C$21, $C$9, 100%, $E$9)</f>
        <v>10.510899999999999</v>
      </c>
      <c r="Q345" s="10">
        <f>CHOOSE(CONTROL!$C$42, 11.3572, 11.3572) * CHOOSE(CONTROL!$C$21, $C$9, 100%, $E$9)</f>
        <v>11.357200000000001</v>
      </c>
      <c r="R345" s="10">
        <f>CHOOSE(CONTROL!$C$42, 11.9726, 11.9726) * CHOOSE(CONTROL!$C$21, $C$9, 100%, $E$9)</f>
        <v>11.9726</v>
      </c>
      <c r="S345" s="10">
        <f>CHOOSE(CONTROL!$C$42, 10.3258, 10.3258) * CHOOSE(CONTROL!$C$21, $C$9, 100%, $E$9)</f>
        <v>10.325799999999999</v>
      </c>
      <c r="T345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345" s="58">
        <f>(1000*CHOOSE(CONTROL!$C$42, 695, 695)*CHOOSE(CONTROL!$C$42, 0.5599, 0.5599)*CHOOSE(CONTROL!$C$42, 30, 30))/1000000</f>
        <v>11.673914999999997</v>
      </c>
      <c r="V345" s="58">
        <f>(1000*CHOOSE(CONTROL!$C$42, 500, 500)*CHOOSE(CONTROL!$C$42, 0.275, 0.275)*CHOOSE(CONTROL!$C$42, 30, 30))/1000000</f>
        <v>4.125</v>
      </c>
      <c r="W345" s="58">
        <f>(1000*CHOOSE(CONTROL!$C$42, 0.1146, 0.1146)*CHOOSE(CONTROL!$C$42, 121.5, 121.5)*CHOOSE(CONTROL!$C$42, 30, 30))/1000000</f>
        <v>0.417717</v>
      </c>
      <c r="X345" s="58">
        <f>(30*0.1790888*245000/1000000)+(30*0.2374*100000/1000000)</f>
        <v>2.0285026799999999</v>
      </c>
      <c r="Y345" s="58"/>
      <c r="Z345" s="10"/>
      <c r="AA345" s="57"/>
      <c r="AB345" s="51">
        <f>(B345*194.205+C345*267.466+D345*133.845+E345*53.484+F345*40+G345*185+H345*0+I345*100+J345*300)/(194.205+267.466+133.845+53.484+0+40+185+100+300)</f>
        <v>10.654533018367347</v>
      </c>
      <c r="AC345" s="27">
        <f>(M345*'RAP TEMPLATE-GAS AVAILABILITY'!O344+N345*'RAP TEMPLATE-GAS AVAILABILITY'!P344+O345*'RAP TEMPLATE-GAS AVAILABILITY'!Q344+P345*'RAP TEMPLATE-GAS AVAILABILITY'!R344)/('RAP TEMPLATE-GAS AVAILABILITY'!O344+'RAP TEMPLATE-GAS AVAILABILITY'!P344+'RAP TEMPLATE-GAS AVAILABILITY'!Q344+'RAP TEMPLATE-GAS AVAILABILITY'!R344)</f>
        <v>10.581462589928059</v>
      </c>
    </row>
    <row r="346" spans="1:29" ht="15.75" x14ac:dyDescent="0.25">
      <c r="A346" s="14">
        <v>51440</v>
      </c>
      <c r="B346" s="10">
        <f>CHOOSE(CONTROL!$C$42, 10.4199, 10.4199) * CHOOSE(CONTROL!$C$21, $C$9, 100%, $E$9)</f>
        <v>10.4199</v>
      </c>
      <c r="C346" s="10">
        <f>CHOOSE(CONTROL!$C$42, 10.4251, 10.4251) * CHOOSE(CONTROL!$C$21, $C$9, 100%, $E$9)</f>
        <v>10.4251</v>
      </c>
      <c r="D346" s="10">
        <f>CHOOSE(CONTROL!$C$42, 10.6225, 10.6225) * CHOOSE(CONTROL!$C$21, $C$9, 100%, $E$9)</f>
        <v>10.6225</v>
      </c>
      <c r="E346" s="10">
        <f>CHOOSE(CONTROL!$C$42, 10.6513, 10.6513) * CHOOSE(CONTROL!$C$21, $C$9, 100%, $E$9)</f>
        <v>10.651300000000001</v>
      </c>
      <c r="F346" s="10">
        <f>CHOOSE(CONTROL!$C$42, 10.3888, 10.3888)*CHOOSE(CONTROL!$C$21, $C$9, 100%, $E$9)</f>
        <v>10.3888</v>
      </c>
      <c r="G346" s="10">
        <f>CHOOSE(CONTROL!$C$42, 10.4057, 10.4057)*CHOOSE(CONTROL!$C$21, $C$9, 100%, $E$9)</f>
        <v>10.4057</v>
      </c>
      <c r="H346" s="10">
        <f>CHOOSE(CONTROL!$C$42, 10.6417, 10.6417) * CHOOSE(CONTROL!$C$21, $C$9, 100%, $E$9)</f>
        <v>10.6417</v>
      </c>
      <c r="I346" s="10">
        <f>CHOOSE(CONTROL!$C$42, 10.3882, 10.3882)* CHOOSE(CONTROL!$C$21, $C$9, 100%, $E$9)</f>
        <v>10.388199999999999</v>
      </c>
      <c r="J346" s="10">
        <f>CHOOSE(CONTROL!$C$42, 10.3818, 10.3818)* CHOOSE(CONTROL!$C$21, $C$9, 100%, $E$9)</f>
        <v>10.3818</v>
      </c>
      <c r="K346" s="54">
        <f>CHOOSE(CONTROL!$C$42, 10.3843, 10.3843) * CHOOSE(CONTROL!$C$21, $C$9, 100%, $E$9)</f>
        <v>10.3843</v>
      </c>
      <c r="L346" s="10">
        <f>CHOOSE(CONTROL!$C$42, 11.2287, 11.2287) * CHOOSE(CONTROL!$C$21, $C$9, 100%, $E$9)</f>
        <v>11.2287</v>
      </c>
      <c r="M346" s="10">
        <f>CHOOSE(CONTROL!$C$42, 10.2908, 10.2908) * CHOOSE(CONTROL!$C$21, $C$9, 100%, $E$9)</f>
        <v>10.290800000000001</v>
      </c>
      <c r="N346" s="10">
        <f>CHOOSE(CONTROL!$C$42, 10.3076, 10.3076) * CHOOSE(CONTROL!$C$21, $C$9, 100%, $E$9)</f>
        <v>10.307600000000001</v>
      </c>
      <c r="O346" s="10">
        <f>CHOOSE(CONTROL!$C$42, 10.5482, 10.5482) * CHOOSE(CONTROL!$C$21, $C$9, 100%, $E$9)</f>
        <v>10.5482</v>
      </c>
      <c r="P346" s="10">
        <f>CHOOSE(CONTROL!$C$42, 10.2972, 10.2972) * CHOOSE(CONTROL!$C$21, $C$9, 100%, $E$9)</f>
        <v>10.2972</v>
      </c>
      <c r="Q346" s="10">
        <f>CHOOSE(CONTROL!$C$42, 11.1435, 11.1435) * CHOOSE(CONTROL!$C$21, $C$9, 100%, $E$9)</f>
        <v>11.1435</v>
      </c>
      <c r="R346" s="10">
        <f>CHOOSE(CONTROL!$C$42, 11.7583, 11.7583) * CHOOSE(CONTROL!$C$21, $C$9, 100%, $E$9)</f>
        <v>11.7583</v>
      </c>
      <c r="S346" s="10">
        <f>CHOOSE(CONTROL!$C$42, 10.1162, 10.1162) * CHOOSE(CONTROL!$C$21, $C$9, 100%, $E$9)</f>
        <v>10.116199999999999</v>
      </c>
      <c r="T346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346" s="58">
        <f>(1000*CHOOSE(CONTROL!$C$42, 695, 695)*CHOOSE(CONTROL!$C$42, 0.5599, 0.5599)*CHOOSE(CONTROL!$C$42, 31, 31))/1000000</f>
        <v>12.063045499999998</v>
      </c>
      <c r="V346" s="58">
        <f>(1000*CHOOSE(CONTROL!$C$42, 500, 500)*CHOOSE(CONTROL!$C$42, 0.275, 0.275)*CHOOSE(CONTROL!$C$42, 31, 31))/1000000</f>
        <v>4.2625000000000002</v>
      </c>
      <c r="W346" s="58">
        <f>(1000*CHOOSE(CONTROL!$C$42, 0.1146, 0.1146)*CHOOSE(CONTROL!$C$42, 121.5, 121.5)*CHOOSE(CONTROL!$C$42, 31, 31))/1000000</f>
        <v>0.43164089999999994</v>
      </c>
      <c r="X346" s="58">
        <f>(31*0.1790888*245000/1000000)+(31*0.2374*100000/1000000)</f>
        <v>2.0961194359999999</v>
      </c>
      <c r="Y346" s="58"/>
      <c r="Z346" s="10"/>
      <c r="AA346" s="57"/>
      <c r="AB346" s="51">
        <f>(B346*131.881+C346*277.167+D346*79.08+E346*125.872+F346*40+G346*185+H346*0+I346*100+J346*300)/(131.881+277.167+79.08+125.872+0+40+185+100+300)</f>
        <v>10.442594638579498</v>
      </c>
      <c r="AC346" s="27">
        <f>(M346*'RAP TEMPLATE-GAS AVAILABILITY'!O345+N346*'RAP TEMPLATE-GAS AVAILABILITY'!P345+O346*'RAP TEMPLATE-GAS AVAILABILITY'!Q345+P346*'RAP TEMPLATE-GAS AVAILABILITY'!R345)/('RAP TEMPLATE-GAS AVAILABILITY'!O345+'RAP TEMPLATE-GAS AVAILABILITY'!P345+'RAP TEMPLATE-GAS AVAILABILITY'!Q345+'RAP TEMPLATE-GAS AVAILABILITY'!R345)</f>
        <v>10.367808633093528</v>
      </c>
    </row>
    <row r="347" spans="1:29" ht="15.75" x14ac:dyDescent="0.25">
      <c r="A347" s="14">
        <v>51470</v>
      </c>
      <c r="B347" s="10">
        <f>CHOOSE(CONTROL!$C$42, 10.6939, 10.6939) * CHOOSE(CONTROL!$C$21, $C$9, 100%, $E$9)</f>
        <v>10.693899999999999</v>
      </c>
      <c r="C347" s="10">
        <f>CHOOSE(CONTROL!$C$42, 10.6988, 10.6988) * CHOOSE(CONTROL!$C$21, $C$9, 100%, $E$9)</f>
        <v>10.6988</v>
      </c>
      <c r="D347" s="10">
        <f>CHOOSE(CONTROL!$C$42, 10.7284, 10.7284) * CHOOSE(CONTROL!$C$21, $C$9, 100%, $E$9)</f>
        <v>10.728400000000001</v>
      </c>
      <c r="E347" s="10">
        <f>CHOOSE(CONTROL!$C$42, 10.7622, 10.7622) * CHOOSE(CONTROL!$C$21, $C$9, 100%, $E$9)</f>
        <v>10.7622</v>
      </c>
      <c r="F347" s="10">
        <f>CHOOSE(CONTROL!$C$42, 10.6607, 10.6607)*CHOOSE(CONTROL!$C$21, $C$9, 100%, $E$9)</f>
        <v>10.6607</v>
      </c>
      <c r="G347" s="10">
        <f>CHOOSE(CONTROL!$C$42, 10.6778, 10.6778)*CHOOSE(CONTROL!$C$21, $C$9, 100%, $E$9)</f>
        <v>10.6778</v>
      </c>
      <c r="H347" s="10">
        <f>CHOOSE(CONTROL!$C$42, 10.7514, 10.7514) * CHOOSE(CONTROL!$C$21, $C$9, 100%, $E$9)</f>
        <v>10.7514</v>
      </c>
      <c r="I347" s="10">
        <f>CHOOSE(CONTROL!$C$42, 10.6575, 10.6575)* CHOOSE(CONTROL!$C$21, $C$9, 100%, $E$9)</f>
        <v>10.657500000000001</v>
      </c>
      <c r="J347" s="10">
        <f>CHOOSE(CONTROL!$C$42, 10.6537, 10.6537)* CHOOSE(CONTROL!$C$21, $C$9, 100%, $E$9)</f>
        <v>10.653700000000001</v>
      </c>
      <c r="K347" s="54">
        <f>CHOOSE(CONTROL!$C$42, 10.6536, 10.6536) * CHOOSE(CONTROL!$C$21, $C$9, 100%, $E$9)</f>
        <v>10.653600000000001</v>
      </c>
      <c r="L347" s="10">
        <f>CHOOSE(CONTROL!$C$42, 11.3384, 11.3384) * CHOOSE(CONTROL!$C$21, $C$9, 100%, $E$9)</f>
        <v>11.3384</v>
      </c>
      <c r="M347" s="10">
        <f>CHOOSE(CONTROL!$C$42, 10.56, 10.56) * CHOOSE(CONTROL!$C$21, $C$9, 100%, $E$9)</f>
        <v>10.56</v>
      </c>
      <c r="N347" s="10">
        <f>CHOOSE(CONTROL!$C$42, 10.5769, 10.5769) * CHOOSE(CONTROL!$C$21, $C$9, 100%, $E$9)</f>
        <v>10.5769</v>
      </c>
      <c r="O347" s="10">
        <f>CHOOSE(CONTROL!$C$42, 10.6567, 10.6567) * CHOOSE(CONTROL!$C$21, $C$9, 100%, $E$9)</f>
        <v>10.656700000000001</v>
      </c>
      <c r="P347" s="10">
        <f>CHOOSE(CONTROL!$C$42, 10.5638, 10.5638) * CHOOSE(CONTROL!$C$21, $C$9, 100%, $E$9)</f>
        <v>10.563800000000001</v>
      </c>
      <c r="Q347" s="10">
        <f>CHOOSE(CONTROL!$C$42, 11.252, 11.252) * CHOOSE(CONTROL!$C$21, $C$9, 100%, $E$9)</f>
        <v>11.252000000000001</v>
      </c>
      <c r="R347" s="10">
        <f>CHOOSE(CONTROL!$C$42, 11.8672, 11.8672) * CHOOSE(CONTROL!$C$21, $C$9, 100%, $E$9)</f>
        <v>11.8672</v>
      </c>
      <c r="S347" s="10">
        <f>CHOOSE(CONTROL!$C$42, 10.3827, 10.3827) * CHOOSE(CONTROL!$C$21, $C$9, 100%, $E$9)</f>
        <v>10.3827</v>
      </c>
      <c r="T347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347" s="58">
        <f>(1000*CHOOSE(CONTROL!$C$42, 695, 695)*CHOOSE(CONTROL!$C$42, 0.5599, 0.5599)*CHOOSE(CONTROL!$C$42, 30, 30))/1000000</f>
        <v>11.673914999999997</v>
      </c>
      <c r="V347" s="58">
        <f>(1000*CHOOSE(CONTROL!$C$42, 500, 500)*CHOOSE(CONTROL!$C$42, 0.275, 0.275)*CHOOSE(CONTROL!$C$42, 30, 30))/1000000</f>
        <v>4.125</v>
      </c>
      <c r="W347" s="58">
        <f>(1000*CHOOSE(CONTROL!$C$42, 0.1146, 0.1146)*CHOOSE(CONTROL!$C$42, 121.5, 121.5)*CHOOSE(CONTROL!$C$42, 30, 30))/1000000</f>
        <v>0.417717</v>
      </c>
      <c r="X347" s="58">
        <f>(30*0.1790888*100000/1000000)+(30*0.2374*100000/1000000)</f>
        <v>1.2494664</v>
      </c>
      <c r="Y347" s="58"/>
      <c r="Z347" s="10"/>
      <c r="AA347" s="57"/>
      <c r="AB347" s="51">
        <f>(B347*122.58+C347*297.941+D347*89.177+E347*40.302+F347*40+G347*160+H347*0+I347*100+J347*300)/(122.58+297.941+89.177+40.302+0+40+160+100+300)</f>
        <v>10.683191429565218</v>
      </c>
      <c r="AC347" s="27">
        <f>(M347*'RAP TEMPLATE-GAS AVAILABILITY'!O346+N347*'RAP TEMPLATE-GAS AVAILABILITY'!P346+O347*'RAP TEMPLATE-GAS AVAILABILITY'!Q346+P347*'RAP TEMPLATE-GAS AVAILABILITY'!R346)/('RAP TEMPLATE-GAS AVAILABILITY'!O346+'RAP TEMPLATE-GAS AVAILABILITY'!P346+'RAP TEMPLATE-GAS AVAILABILITY'!Q346+'RAP TEMPLATE-GAS AVAILABILITY'!R346)</f>
        <v>10.605347482014389</v>
      </c>
    </row>
    <row r="348" spans="1:29" ht="15.75" x14ac:dyDescent="0.25">
      <c r="A348" s="14">
        <v>51501</v>
      </c>
      <c r="B348" s="10">
        <f>CHOOSE(CONTROL!$C$42, 11.4228, 11.4228) * CHOOSE(CONTROL!$C$21, $C$9, 100%, $E$9)</f>
        <v>11.422800000000001</v>
      </c>
      <c r="C348" s="10">
        <f>CHOOSE(CONTROL!$C$42, 11.4277, 11.4277) * CHOOSE(CONTROL!$C$21, $C$9, 100%, $E$9)</f>
        <v>11.4277</v>
      </c>
      <c r="D348" s="10">
        <f>CHOOSE(CONTROL!$C$42, 11.4573, 11.4573) * CHOOSE(CONTROL!$C$21, $C$9, 100%, $E$9)</f>
        <v>11.4573</v>
      </c>
      <c r="E348" s="10">
        <f>CHOOSE(CONTROL!$C$42, 11.4911, 11.4911) * CHOOSE(CONTROL!$C$21, $C$9, 100%, $E$9)</f>
        <v>11.491099999999999</v>
      </c>
      <c r="F348" s="10">
        <f>CHOOSE(CONTROL!$C$42, 11.391, 11.391)*CHOOSE(CONTROL!$C$21, $C$9, 100%, $E$9)</f>
        <v>11.391</v>
      </c>
      <c r="G348" s="10">
        <f>CHOOSE(CONTROL!$C$42, 11.4085, 11.4085)*CHOOSE(CONTROL!$C$21, $C$9, 100%, $E$9)</f>
        <v>11.4085</v>
      </c>
      <c r="H348" s="10">
        <f>CHOOSE(CONTROL!$C$42, 11.4803, 11.4803) * CHOOSE(CONTROL!$C$21, $C$9, 100%, $E$9)</f>
        <v>11.4803</v>
      </c>
      <c r="I348" s="10">
        <f>CHOOSE(CONTROL!$C$42, 11.3864, 11.3864)* CHOOSE(CONTROL!$C$21, $C$9, 100%, $E$9)</f>
        <v>11.3864</v>
      </c>
      <c r="J348" s="10">
        <f>CHOOSE(CONTROL!$C$42, 11.384, 11.384)* CHOOSE(CONTROL!$C$21, $C$9, 100%, $E$9)</f>
        <v>11.384</v>
      </c>
      <c r="K348" s="54">
        <f>CHOOSE(CONTROL!$C$42, 11.3825, 11.3825) * CHOOSE(CONTROL!$C$21, $C$9, 100%, $E$9)</f>
        <v>11.3825</v>
      </c>
      <c r="L348" s="10">
        <f>CHOOSE(CONTROL!$C$42, 12.0673, 12.0673) * CHOOSE(CONTROL!$C$21, $C$9, 100%, $E$9)</f>
        <v>12.067299999999999</v>
      </c>
      <c r="M348" s="10">
        <f>CHOOSE(CONTROL!$C$42, 11.2829, 11.2829) * CHOOSE(CONTROL!$C$21, $C$9, 100%, $E$9)</f>
        <v>11.2829</v>
      </c>
      <c r="N348" s="10">
        <f>CHOOSE(CONTROL!$C$42, 11.3002, 11.3002) * CHOOSE(CONTROL!$C$21, $C$9, 100%, $E$9)</f>
        <v>11.3002</v>
      </c>
      <c r="O348" s="10">
        <f>CHOOSE(CONTROL!$C$42, 11.3783, 11.3783) * CHOOSE(CONTROL!$C$21, $C$9, 100%, $E$9)</f>
        <v>11.378299999999999</v>
      </c>
      <c r="P348" s="10">
        <f>CHOOSE(CONTROL!$C$42, 11.2853, 11.2853) * CHOOSE(CONTROL!$C$21, $C$9, 100%, $E$9)</f>
        <v>11.285299999999999</v>
      </c>
      <c r="Q348" s="10">
        <f>CHOOSE(CONTROL!$C$42, 11.9736, 11.9736) * CHOOSE(CONTROL!$C$21, $C$9, 100%, $E$9)</f>
        <v>11.973599999999999</v>
      </c>
      <c r="R348" s="10">
        <f>CHOOSE(CONTROL!$C$42, 12.5905, 12.5905) * CHOOSE(CONTROL!$C$21, $C$9, 100%, $E$9)</f>
        <v>12.5905</v>
      </c>
      <c r="S348" s="10">
        <f>CHOOSE(CONTROL!$C$42, 11.0905, 11.0905) * CHOOSE(CONTROL!$C$21, $C$9, 100%, $E$9)</f>
        <v>11.0905</v>
      </c>
      <c r="T348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348" s="58">
        <f>(1000*CHOOSE(CONTROL!$C$42, 695, 695)*CHOOSE(CONTROL!$C$42, 0.5599, 0.5599)*CHOOSE(CONTROL!$C$42, 31, 31))/1000000</f>
        <v>12.063045499999998</v>
      </c>
      <c r="V348" s="58">
        <f>(1000*CHOOSE(CONTROL!$C$42, 500, 500)*CHOOSE(CONTROL!$C$42, 0.275, 0.275)*CHOOSE(CONTROL!$C$42, 31, 31))/1000000</f>
        <v>4.2625000000000002</v>
      </c>
      <c r="W348" s="58">
        <f>(1000*CHOOSE(CONTROL!$C$42, 0.1146, 0.1146)*CHOOSE(CONTROL!$C$42, 121.5, 121.5)*CHOOSE(CONTROL!$C$42, 31, 31))/1000000</f>
        <v>0.43164089999999994</v>
      </c>
      <c r="X348" s="58">
        <f>(31*0.1790888*100000/1000000)+(31*0.2374*100000/1000000)</f>
        <v>1.2911152800000001</v>
      </c>
      <c r="Y348" s="58"/>
      <c r="Z348" s="10"/>
      <c r="AA348" s="57"/>
      <c r="AB348" s="51">
        <f>(B348*122.58+C348*297.941+D348*89.177+E348*40.302+F348*40+G348*160+H348*0+I348*100+J348*300)/(122.58+297.941+89.177+40.302+0+40+160+100+300)</f>
        <v>11.412755777391304</v>
      </c>
      <c r="AC348" s="27">
        <f>(M348*'RAP TEMPLATE-GAS AVAILABILITY'!O347+N348*'RAP TEMPLATE-GAS AVAILABILITY'!P347+O348*'RAP TEMPLATE-GAS AVAILABILITY'!Q347+P348*'RAP TEMPLATE-GAS AVAILABILITY'!R347)/('RAP TEMPLATE-GAS AVAILABILITY'!O347+'RAP TEMPLATE-GAS AVAILABILITY'!P347+'RAP TEMPLATE-GAS AVAILABILITY'!Q347+'RAP TEMPLATE-GAS AVAILABILITY'!R347)</f>
        <v>11.327479856115106</v>
      </c>
    </row>
    <row r="349" spans="1:29" ht="15.75" x14ac:dyDescent="0.25">
      <c r="A349" s="14">
        <v>51532</v>
      </c>
      <c r="B349" s="10">
        <f>CHOOSE(CONTROL!$C$42, 12.3585, 12.3585) * CHOOSE(CONTROL!$C$21, $C$9, 100%, $E$9)</f>
        <v>12.358499999999999</v>
      </c>
      <c r="C349" s="10">
        <f>CHOOSE(CONTROL!$C$42, 12.3634, 12.3634) * CHOOSE(CONTROL!$C$21, $C$9, 100%, $E$9)</f>
        <v>12.3634</v>
      </c>
      <c r="D349" s="10">
        <f>CHOOSE(CONTROL!$C$42, 12.4136, 12.4136) * CHOOSE(CONTROL!$C$21, $C$9, 100%, $E$9)</f>
        <v>12.413600000000001</v>
      </c>
      <c r="E349" s="10">
        <f>CHOOSE(CONTROL!$C$42, 12.4474, 12.4474) * CHOOSE(CONTROL!$C$21, $C$9, 100%, $E$9)</f>
        <v>12.4474</v>
      </c>
      <c r="F349" s="10">
        <f>CHOOSE(CONTROL!$C$42, 12.3238, 12.3238)*CHOOSE(CONTROL!$C$21, $C$9, 100%, $E$9)</f>
        <v>12.3238</v>
      </c>
      <c r="G349" s="10">
        <f>CHOOSE(CONTROL!$C$42, 12.3414, 12.3414)*CHOOSE(CONTROL!$C$21, $C$9, 100%, $E$9)</f>
        <v>12.3414</v>
      </c>
      <c r="H349" s="10">
        <f>CHOOSE(CONTROL!$C$42, 12.4366, 12.4366) * CHOOSE(CONTROL!$C$21, $C$9, 100%, $E$9)</f>
        <v>12.4366</v>
      </c>
      <c r="I349" s="10">
        <f>CHOOSE(CONTROL!$C$42, 12.3324, 12.3324)* CHOOSE(CONTROL!$C$21, $C$9, 100%, $E$9)</f>
        <v>12.3324</v>
      </c>
      <c r="J349" s="10">
        <f>CHOOSE(CONTROL!$C$42, 12.3168, 12.3168)* CHOOSE(CONTROL!$C$21, $C$9, 100%, $E$9)</f>
        <v>12.316800000000001</v>
      </c>
      <c r="K349" s="54">
        <f>CHOOSE(CONTROL!$C$42, 12.3285, 12.3285) * CHOOSE(CONTROL!$C$21, $C$9, 100%, $E$9)</f>
        <v>12.3285</v>
      </c>
      <c r="L349" s="10">
        <f>CHOOSE(CONTROL!$C$42, 13.0236, 13.0236) * CHOOSE(CONTROL!$C$21, $C$9, 100%, $E$9)</f>
        <v>13.0236</v>
      </c>
      <c r="M349" s="10">
        <f>CHOOSE(CONTROL!$C$42, 12.2064, 12.2064) * CHOOSE(CONTROL!$C$21, $C$9, 100%, $E$9)</f>
        <v>12.2064</v>
      </c>
      <c r="N349" s="10">
        <f>CHOOSE(CONTROL!$C$42, 12.2237, 12.2237) * CHOOSE(CONTROL!$C$21, $C$9, 100%, $E$9)</f>
        <v>12.223699999999999</v>
      </c>
      <c r="O349" s="10">
        <f>CHOOSE(CONTROL!$C$42, 12.3249, 12.3249) * CHOOSE(CONTROL!$C$21, $C$9, 100%, $E$9)</f>
        <v>12.3249</v>
      </c>
      <c r="P349" s="10">
        <f>CHOOSE(CONTROL!$C$42, 12.2218, 12.2218) * CHOOSE(CONTROL!$C$21, $C$9, 100%, $E$9)</f>
        <v>12.2218</v>
      </c>
      <c r="Q349" s="10">
        <f>CHOOSE(CONTROL!$C$42, 12.9202, 12.9202) * CHOOSE(CONTROL!$C$21, $C$9, 100%, $E$9)</f>
        <v>12.920199999999999</v>
      </c>
      <c r="R349" s="10">
        <f>CHOOSE(CONTROL!$C$42, 13.5395, 13.5395) * CHOOSE(CONTROL!$C$21, $C$9, 100%, $E$9)</f>
        <v>13.5395</v>
      </c>
      <c r="S349" s="10">
        <f>CHOOSE(CONTROL!$C$42, 11.9992, 11.9992) * CHOOSE(CONTROL!$C$21, $C$9, 100%, $E$9)</f>
        <v>11.9992</v>
      </c>
      <c r="T349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349" s="58">
        <f>(1000*CHOOSE(CONTROL!$C$42, 695, 695)*CHOOSE(CONTROL!$C$42, 0.5599, 0.5599)*CHOOSE(CONTROL!$C$42, 31, 31))/1000000</f>
        <v>12.063045499999998</v>
      </c>
      <c r="V349" s="58">
        <f>(1000*CHOOSE(CONTROL!$C$42, 500, 500)*CHOOSE(CONTROL!$C$42, 0.275, 0.275)*CHOOSE(CONTROL!$C$42, 31, 31))/1000000</f>
        <v>4.2625000000000002</v>
      </c>
      <c r="W349" s="58">
        <f>(1000*CHOOSE(CONTROL!$C$42, 0.1146, 0.1146)*CHOOSE(CONTROL!$C$42, 121.5, 121.5)*CHOOSE(CONTROL!$C$42, 31, 31))/1000000</f>
        <v>0.43164089999999994</v>
      </c>
      <c r="X349" s="58">
        <f>(31*0.1790888*100000/1000000)+(31*0.2374*100000/1000000)</f>
        <v>1.2911152800000001</v>
      </c>
      <c r="Y349" s="58"/>
      <c r="Z349" s="10"/>
      <c r="AA349" s="57"/>
      <c r="AB349" s="51">
        <f>(B349*122.58+C349*297.941+D349*89.177+E349*40.302+F349*40+G349*160+H349*0+I349*100+J349*300)/(122.58+297.941+89.177+40.302+0+40+160+100+300)</f>
        <v>12.350423836000001</v>
      </c>
      <c r="AC349" s="27">
        <f>(M349*'RAP TEMPLATE-GAS AVAILABILITY'!O348+N349*'RAP TEMPLATE-GAS AVAILABILITY'!P348+O349*'RAP TEMPLATE-GAS AVAILABILITY'!Q348+P349*'RAP TEMPLATE-GAS AVAILABILITY'!R348)/('RAP TEMPLATE-GAS AVAILABILITY'!O348+'RAP TEMPLATE-GAS AVAILABILITY'!P348+'RAP TEMPLATE-GAS AVAILABILITY'!Q348+'RAP TEMPLATE-GAS AVAILABILITY'!R348)</f>
        <v>12.263320143884892</v>
      </c>
    </row>
    <row r="350" spans="1:29" ht="15.75" x14ac:dyDescent="0.25">
      <c r="A350" s="14">
        <v>51560</v>
      </c>
      <c r="B350" s="10">
        <f>CHOOSE(CONTROL!$C$42, 12.5784, 12.5784) * CHOOSE(CONTROL!$C$21, $C$9, 100%, $E$9)</f>
        <v>12.5784</v>
      </c>
      <c r="C350" s="10">
        <f>CHOOSE(CONTROL!$C$42, 12.5834, 12.5834) * CHOOSE(CONTROL!$C$21, $C$9, 100%, $E$9)</f>
        <v>12.583399999999999</v>
      </c>
      <c r="D350" s="10">
        <f>CHOOSE(CONTROL!$C$42, 12.6439, 12.6439) * CHOOSE(CONTROL!$C$21, $C$9, 100%, $E$9)</f>
        <v>12.6439</v>
      </c>
      <c r="E350" s="10">
        <f>CHOOSE(CONTROL!$C$42, 12.6776, 12.6776) * CHOOSE(CONTROL!$C$21, $C$9, 100%, $E$9)</f>
        <v>12.6776</v>
      </c>
      <c r="F350" s="10">
        <f>CHOOSE(CONTROL!$C$42, 12.5716, 12.5716)*CHOOSE(CONTROL!$C$21, $C$9, 100%, $E$9)</f>
        <v>12.5716</v>
      </c>
      <c r="G350" s="10">
        <f>CHOOSE(CONTROL!$C$42, 12.5889, 12.5889)*CHOOSE(CONTROL!$C$21, $C$9, 100%, $E$9)</f>
        <v>12.588900000000001</v>
      </c>
      <c r="H350" s="10">
        <f>CHOOSE(CONTROL!$C$42, 12.6668, 12.6668) * CHOOSE(CONTROL!$C$21, $C$9, 100%, $E$9)</f>
        <v>12.6668</v>
      </c>
      <c r="I350" s="10">
        <f>CHOOSE(CONTROL!$C$42, 12.5652, 12.5652)* CHOOSE(CONTROL!$C$21, $C$9, 100%, $E$9)</f>
        <v>12.565200000000001</v>
      </c>
      <c r="J350" s="10">
        <f>CHOOSE(CONTROL!$C$42, 12.5646, 12.5646)* CHOOSE(CONTROL!$C$21, $C$9, 100%, $E$9)</f>
        <v>12.5646</v>
      </c>
      <c r="K350" s="54">
        <f>CHOOSE(CONTROL!$C$42, 12.5613, 12.5613) * CHOOSE(CONTROL!$C$21, $C$9, 100%, $E$9)</f>
        <v>12.561299999999999</v>
      </c>
      <c r="L350" s="10">
        <f>CHOOSE(CONTROL!$C$42, 13.2538, 13.2538) * CHOOSE(CONTROL!$C$21, $C$9, 100%, $E$9)</f>
        <v>13.2538</v>
      </c>
      <c r="M350" s="10">
        <f>CHOOSE(CONTROL!$C$42, 12.4517, 12.4517) * CHOOSE(CONTROL!$C$21, $C$9, 100%, $E$9)</f>
        <v>12.451700000000001</v>
      </c>
      <c r="N350" s="10">
        <f>CHOOSE(CONTROL!$C$42, 12.4688, 12.4688) * CHOOSE(CONTROL!$C$21, $C$9, 100%, $E$9)</f>
        <v>12.4688</v>
      </c>
      <c r="O350" s="10">
        <f>CHOOSE(CONTROL!$C$42, 12.5528, 12.5528) * CHOOSE(CONTROL!$C$21, $C$9, 100%, $E$9)</f>
        <v>12.5528</v>
      </c>
      <c r="P350" s="10">
        <f>CHOOSE(CONTROL!$C$42, 12.4522, 12.4522) * CHOOSE(CONTROL!$C$21, $C$9, 100%, $E$9)</f>
        <v>12.452199999999999</v>
      </c>
      <c r="Q350" s="10">
        <f>CHOOSE(CONTROL!$C$42, 13.1481, 13.1481) * CHOOSE(CONTROL!$C$21, $C$9, 100%, $E$9)</f>
        <v>13.148099999999999</v>
      </c>
      <c r="R350" s="10">
        <f>CHOOSE(CONTROL!$C$42, 13.768, 13.768) * CHOOSE(CONTROL!$C$21, $C$9, 100%, $E$9)</f>
        <v>13.768000000000001</v>
      </c>
      <c r="S350" s="10">
        <f>CHOOSE(CONTROL!$C$42, 12.2128, 12.2128) * CHOOSE(CONTROL!$C$21, $C$9, 100%, $E$9)</f>
        <v>12.2128</v>
      </c>
      <c r="T350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350" s="58">
        <f>(1000*CHOOSE(CONTROL!$C$42, 695, 695)*CHOOSE(CONTROL!$C$42, 0.5599, 0.5599)*CHOOSE(CONTROL!$C$42, 28, 28))/1000000</f>
        <v>10.895653999999999</v>
      </c>
      <c r="V350" s="58">
        <f>(1000*CHOOSE(CONTROL!$C$42, 500, 500)*CHOOSE(CONTROL!$C$42, 0.275, 0.275)*CHOOSE(CONTROL!$C$42, 28, 28))/1000000</f>
        <v>3.85</v>
      </c>
      <c r="W350" s="58">
        <f>(1000*CHOOSE(CONTROL!$C$42, 0.1146, 0.1146)*CHOOSE(CONTROL!$C$42, 121.5, 121.5)*CHOOSE(CONTROL!$C$42, 28, 28))/1000000</f>
        <v>0.38986920000000003</v>
      </c>
      <c r="X350" s="58">
        <f>(28*0.1790888*100000/1000000)+(28*0.2374*100000/1000000)</f>
        <v>1.16616864</v>
      </c>
      <c r="Y350" s="58"/>
      <c r="Z350" s="10"/>
      <c r="AA350" s="57"/>
      <c r="AB350" s="51">
        <f>(B350*122.58+C350*297.941+D350*89.177+E350*40.302+F350*40+G350*160+H350*0+I350*100+J350*300)/(122.58+297.941+89.177+40.302+0+40+160+100+300)</f>
        <v>12.584727614695653</v>
      </c>
      <c r="AC350" s="27">
        <f>(M350*'RAP TEMPLATE-GAS AVAILABILITY'!O349+N350*'RAP TEMPLATE-GAS AVAILABILITY'!P349+O350*'RAP TEMPLATE-GAS AVAILABILITY'!Q349+P350*'RAP TEMPLATE-GAS AVAILABILITY'!R349)/('RAP TEMPLATE-GAS AVAILABILITY'!O349+'RAP TEMPLATE-GAS AVAILABILITY'!P349+'RAP TEMPLATE-GAS AVAILABILITY'!Q349+'RAP TEMPLATE-GAS AVAILABILITY'!R349)</f>
        <v>12.498578417266188</v>
      </c>
    </row>
    <row r="351" spans="1:29" ht="15.75" x14ac:dyDescent="0.25">
      <c r="A351" s="14">
        <v>51591</v>
      </c>
      <c r="B351" s="10">
        <f>CHOOSE(CONTROL!$C$42, 12.2214, 12.2214) * CHOOSE(CONTROL!$C$21, $C$9, 100%, $E$9)</f>
        <v>12.221399999999999</v>
      </c>
      <c r="C351" s="10">
        <f>CHOOSE(CONTROL!$C$42, 12.2263, 12.2263) * CHOOSE(CONTROL!$C$21, $C$9, 100%, $E$9)</f>
        <v>12.2263</v>
      </c>
      <c r="D351" s="10">
        <f>CHOOSE(CONTROL!$C$42, 12.2868, 12.2868) * CHOOSE(CONTROL!$C$21, $C$9, 100%, $E$9)</f>
        <v>12.286799999999999</v>
      </c>
      <c r="E351" s="10">
        <f>CHOOSE(CONTROL!$C$42, 12.3206, 12.3206) * CHOOSE(CONTROL!$C$21, $C$9, 100%, $E$9)</f>
        <v>12.320600000000001</v>
      </c>
      <c r="F351" s="10">
        <f>CHOOSE(CONTROL!$C$42, 12.2091, 12.2091)*CHOOSE(CONTROL!$C$21, $C$9, 100%, $E$9)</f>
        <v>12.209099999999999</v>
      </c>
      <c r="G351" s="10">
        <f>CHOOSE(CONTROL!$C$42, 12.2263, 12.2263)*CHOOSE(CONTROL!$C$21, $C$9, 100%, $E$9)</f>
        <v>12.2263</v>
      </c>
      <c r="H351" s="10">
        <f>CHOOSE(CONTROL!$C$42, 12.3098, 12.3098) * CHOOSE(CONTROL!$C$21, $C$9, 100%, $E$9)</f>
        <v>12.309799999999999</v>
      </c>
      <c r="I351" s="10">
        <f>CHOOSE(CONTROL!$C$42, 12.1953, 12.1953)* CHOOSE(CONTROL!$C$21, $C$9, 100%, $E$9)</f>
        <v>12.1953</v>
      </c>
      <c r="J351" s="10">
        <f>CHOOSE(CONTROL!$C$42, 12.2021, 12.2021)* CHOOSE(CONTROL!$C$21, $C$9, 100%, $E$9)</f>
        <v>12.2021</v>
      </c>
      <c r="K351" s="54">
        <f>CHOOSE(CONTROL!$C$42, 12.1914, 12.1914) * CHOOSE(CONTROL!$C$21, $C$9, 100%, $E$9)</f>
        <v>12.1914</v>
      </c>
      <c r="L351" s="10">
        <f>CHOOSE(CONTROL!$C$42, 12.8968, 12.8968) * CHOOSE(CONTROL!$C$21, $C$9, 100%, $E$9)</f>
        <v>12.896800000000001</v>
      </c>
      <c r="M351" s="10">
        <f>CHOOSE(CONTROL!$C$42, 12.0928, 12.0928) * CHOOSE(CONTROL!$C$21, $C$9, 100%, $E$9)</f>
        <v>12.0928</v>
      </c>
      <c r="N351" s="10">
        <f>CHOOSE(CONTROL!$C$42, 12.1098, 12.1098) * CHOOSE(CONTROL!$C$21, $C$9, 100%, $E$9)</f>
        <v>12.1098</v>
      </c>
      <c r="O351" s="10">
        <f>CHOOSE(CONTROL!$C$42, 12.1994, 12.1994) * CHOOSE(CONTROL!$C$21, $C$9, 100%, $E$9)</f>
        <v>12.199400000000001</v>
      </c>
      <c r="P351" s="10">
        <f>CHOOSE(CONTROL!$C$42, 12.0861, 12.0861) * CHOOSE(CONTROL!$C$21, $C$9, 100%, $E$9)</f>
        <v>12.0861</v>
      </c>
      <c r="Q351" s="10">
        <f>CHOOSE(CONTROL!$C$42, 12.7947, 12.7947) * CHOOSE(CONTROL!$C$21, $C$9, 100%, $E$9)</f>
        <v>12.794700000000001</v>
      </c>
      <c r="R351" s="10">
        <f>CHOOSE(CONTROL!$C$42, 13.4137, 13.4137) * CHOOSE(CONTROL!$C$21, $C$9, 100%, $E$9)</f>
        <v>13.4137</v>
      </c>
      <c r="S351" s="10">
        <f>CHOOSE(CONTROL!$C$42, 11.866, 11.866) * CHOOSE(CONTROL!$C$21, $C$9, 100%, $E$9)</f>
        <v>11.866</v>
      </c>
      <c r="T351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351" s="58">
        <f>(1000*CHOOSE(CONTROL!$C$42, 695, 695)*CHOOSE(CONTROL!$C$42, 0.5599, 0.5599)*CHOOSE(CONTROL!$C$42, 31, 31))/1000000</f>
        <v>12.063045499999998</v>
      </c>
      <c r="V351" s="58">
        <f>(1000*CHOOSE(CONTROL!$C$42, 500, 500)*CHOOSE(CONTROL!$C$42, 0.275, 0.275)*CHOOSE(CONTROL!$C$42, 31, 31))/1000000</f>
        <v>4.2625000000000002</v>
      </c>
      <c r="W351" s="58">
        <f>(1000*CHOOSE(CONTROL!$C$42, 0.1146, 0.1146)*CHOOSE(CONTROL!$C$42, 121.5, 121.5)*CHOOSE(CONTROL!$C$42, 31, 31))/1000000</f>
        <v>0.43164089999999994</v>
      </c>
      <c r="X351" s="58">
        <f>(31*0.1790888*100000/1000000)+(31*0.2374*100000/1000000)</f>
        <v>1.2911152800000001</v>
      </c>
      <c r="Y351" s="58"/>
      <c r="Z351" s="10"/>
      <c r="AA351" s="57"/>
      <c r="AB351" s="51">
        <f>(B351*122.58+C351*297.941+D351*89.177+E351*40.302+F351*40+G351*160+H351*0+I351*100+J351*300)/(122.58+297.941+89.177+40.302+0+40+160+100+300)</f>
        <v>12.224166995739129</v>
      </c>
      <c r="AC351" s="27">
        <f>(M351*'RAP TEMPLATE-GAS AVAILABILITY'!O350+N351*'RAP TEMPLATE-GAS AVAILABILITY'!P350+O351*'RAP TEMPLATE-GAS AVAILABILITY'!Q350+P351*'RAP TEMPLATE-GAS AVAILABILITY'!R350)/('RAP TEMPLATE-GAS AVAILABILITY'!O350+'RAP TEMPLATE-GAS AVAILABILITY'!P350+'RAP TEMPLATE-GAS AVAILABILITY'!Q350+'RAP TEMPLATE-GAS AVAILABILITY'!R350)</f>
        <v>12.141129496402879</v>
      </c>
    </row>
    <row r="352" spans="1:29" ht="15.75" x14ac:dyDescent="0.25">
      <c r="A352" s="14">
        <v>51621</v>
      </c>
      <c r="B352" s="10">
        <f>CHOOSE(CONTROL!$C$42, 12.186, 12.186) * CHOOSE(CONTROL!$C$21, $C$9, 100%, $E$9)</f>
        <v>12.186</v>
      </c>
      <c r="C352" s="10">
        <f>CHOOSE(CONTROL!$C$42, 12.1903, 12.1903) * CHOOSE(CONTROL!$C$21, $C$9, 100%, $E$9)</f>
        <v>12.190300000000001</v>
      </c>
      <c r="D352" s="10">
        <f>CHOOSE(CONTROL!$C$42, 12.3859, 12.3859) * CHOOSE(CONTROL!$C$21, $C$9, 100%, $E$9)</f>
        <v>12.385899999999999</v>
      </c>
      <c r="E352" s="10">
        <f>CHOOSE(CONTROL!$C$42, 12.4177, 12.4177) * CHOOSE(CONTROL!$C$21, $C$9, 100%, $E$9)</f>
        <v>12.4177</v>
      </c>
      <c r="F352" s="10">
        <f>CHOOSE(CONTROL!$C$42, 12.1538, 12.1538)*CHOOSE(CONTROL!$C$21, $C$9, 100%, $E$9)</f>
        <v>12.1538</v>
      </c>
      <c r="G352" s="10">
        <f>CHOOSE(CONTROL!$C$42, 12.1706, 12.1706)*CHOOSE(CONTROL!$C$21, $C$9, 100%, $E$9)</f>
        <v>12.1706</v>
      </c>
      <c r="H352" s="10">
        <f>CHOOSE(CONTROL!$C$42, 12.4075, 12.4075) * CHOOSE(CONTROL!$C$21, $C$9, 100%, $E$9)</f>
        <v>12.407500000000001</v>
      </c>
      <c r="I352" s="10">
        <f>CHOOSE(CONTROL!$C$42, 12.1539, 12.1539)* CHOOSE(CONTROL!$C$21, $C$9, 100%, $E$9)</f>
        <v>12.1539</v>
      </c>
      <c r="J352" s="10">
        <f>CHOOSE(CONTROL!$C$42, 12.1468, 12.1468)* CHOOSE(CONTROL!$C$21, $C$9, 100%, $E$9)</f>
        <v>12.146800000000001</v>
      </c>
      <c r="K352" s="54">
        <f>CHOOSE(CONTROL!$C$42, 12.15, 12.15) * CHOOSE(CONTROL!$C$21, $C$9, 100%, $E$9)</f>
        <v>12.15</v>
      </c>
      <c r="L352" s="10">
        <f>CHOOSE(CONTROL!$C$42, 12.9945, 12.9945) * CHOOSE(CONTROL!$C$21, $C$9, 100%, $E$9)</f>
        <v>12.9945</v>
      </c>
      <c r="M352" s="10">
        <f>CHOOSE(CONTROL!$C$42, 12.038, 12.038) * CHOOSE(CONTROL!$C$21, $C$9, 100%, $E$9)</f>
        <v>12.038</v>
      </c>
      <c r="N352" s="10">
        <f>CHOOSE(CONTROL!$C$42, 12.0546, 12.0546) * CHOOSE(CONTROL!$C$21, $C$9, 100%, $E$9)</f>
        <v>12.054600000000001</v>
      </c>
      <c r="O352" s="10">
        <f>CHOOSE(CONTROL!$C$42, 12.2961, 12.2961) * CHOOSE(CONTROL!$C$21, $C$9, 100%, $E$9)</f>
        <v>12.296099999999999</v>
      </c>
      <c r="P352" s="10">
        <f>CHOOSE(CONTROL!$C$42, 12.0451, 12.0451) * CHOOSE(CONTROL!$C$21, $C$9, 100%, $E$9)</f>
        <v>12.0451</v>
      </c>
      <c r="Q352" s="10">
        <f>CHOOSE(CONTROL!$C$42, 12.8914, 12.8914) * CHOOSE(CONTROL!$C$21, $C$9, 100%, $E$9)</f>
        <v>12.891400000000001</v>
      </c>
      <c r="R352" s="10">
        <f>CHOOSE(CONTROL!$C$42, 13.5106, 13.5106) * CHOOSE(CONTROL!$C$21, $C$9, 100%, $E$9)</f>
        <v>13.5106</v>
      </c>
      <c r="S352" s="10">
        <f>CHOOSE(CONTROL!$C$42, 11.8309, 11.8309) * CHOOSE(CONTROL!$C$21, $C$9, 100%, $E$9)</f>
        <v>11.8309</v>
      </c>
      <c r="T352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352" s="58">
        <f>(1000*CHOOSE(CONTROL!$C$42, 695, 695)*CHOOSE(CONTROL!$C$42, 0.5599, 0.5599)*CHOOSE(CONTROL!$C$42, 30, 30))/1000000</f>
        <v>11.673914999999997</v>
      </c>
      <c r="V352" s="58">
        <f>(1000*CHOOSE(CONTROL!$C$42, 500, 500)*CHOOSE(CONTROL!$C$42, 0.275, 0.275)*CHOOSE(CONTROL!$C$42, 30, 30))/1000000</f>
        <v>4.125</v>
      </c>
      <c r="W352" s="58">
        <f>(1000*CHOOSE(CONTROL!$C$42, 0.1146, 0.1146)*CHOOSE(CONTROL!$C$42, 121.5, 121.5)*CHOOSE(CONTROL!$C$42, 30, 30))/1000000</f>
        <v>0.417717</v>
      </c>
      <c r="X352" s="58">
        <f>(30*0.1790888*245000/1000000)+(30*0.2374*100000/1000000)</f>
        <v>2.0285026799999999</v>
      </c>
      <c r="Y352" s="58"/>
      <c r="Z352" s="10"/>
      <c r="AA352" s="57"/>
      <c r="AB352" s="51">
        <f>(B352*141.293+C352*267.993+D352*115.016+E352*89.698+F352*40+G352*185+H352*0+I352*100+J352*300)/(141.293+267.993+115.016+89.698+0+40+185+100+300)</f>
        <v>12.206839463196125</v>
      </c>
      <c r="AC352" s="27">
        <f>(M352*'RAP TEMPLATE-GAS AVAILABILITY'!O351+N352*'RAP TEMPLATE-GAS AVAILABILITY'!P351+O352*'RAP TEMPLATE-GAS AVAILABILITY'!Q351+P352*'RAP TEMPLATE-GAS AVAILABILITY'!R351)/('RAP TEMPLATE-GAS AVAILABILITY'!O351+'RAP TEMPLATE-GAS AVAILABILITY'!P351+'RAP TEMPLATE-GAS AVAILABILITY'!Q351+'RAP TEMPLATE-GAS AVAILABILITY'!R351)</f>
        <v>12.115259712230216</v>
      </c>
    </row>
    <row r="353" spans="1:29" ht="15.75" x14ac:dyDescent="0.25">
      <c r="A353" s="14">
        <v>51652</v>
      </c>
      <c r="B353" s="10">
        <f>CHOOSE(CONTROL!$C$42, 12.2949, 12.2949) * CHOOSE(CONTROL!$C$21, $C$9, 100%, $E$9)</f>
        <v>12.2949</v>
      </c>
      <c r="C353" s="10">
        <f>CHOOSE(CONTROL!$C$42, 12.3028, 12.3028) * CHOOSE(CONTROL!$C$21, $C$9, 100%, $E$9)</f>
        <v>12.3028</v>
      </c>
      <c r="D353" s="10">
        <f>CHOOSE(CONTROL!$C$42, 12.4952, 12.4952) * CHOOSE(CONTROL!$C$21, $C$9, 100%, $E$9)</f>
        <v>12.495200000000001</v>
      </c>
      <c r="E353" s="10">
        <f>CHOOSE(CONTROL!$C$42, 12.5264, 12.5264) * CHOOSE(CONTROL!$C$21, $C$9, 100%, $E$9)</f>
        <v>12.526400000000001</v>
      </c>
      <c r="F353" s="10">
        <f>CHOOSE(CONTROL!$C$42, 12.2611, 12.2611)*CHOOSE(CONTROL!$C$21, $C$9, 100%, $E$9)</f>
        <v>12.261100000000001</v>
      </c>
      <c r="G353" s="10">
        <f>CHOOSE(CONTROL!$C$42, 12.2783, 12.2783)*CHOOSE(CONTROL!$C$21, $C$9, 100%, $E$9)</f>
        <v>12.2783</v>
      </c>
      <c r="H353" s="10">
        <f>CHOOSE(CONTROL!$C$42, 12.515, 12.515) * CHOOSE(CONTROL!$C$21, $C$9, 100%, $E$9)</f>
        <v>12.515000000000001</v>
      </c>
      <c r="I353" s="10">
        <f>CHOOSE(CONTROL!$C$42, 12.2615, 12.2615)* CHOOSE(CONTROL!$C$21, $C$9, 100%, $E$9)</f>
        <v>12.2615</v>
      </c>
      <c r="J353" s="10">
        <f>CHOOSE(CONTROL!$C$42, 12.2541, 12.2541)* CHOOSE(CONTROL!$C$21, $C$9, 100%, $E$9)</f>
        <v>12.254099999999999</v>
      </c>
      <c r="K353" s="54">
        <f>CHOOSE(CONTROL!$C$42, 12.2576, 12.2576) * CHOOSE(CONTROL!$C$21, $C$9, 100%, $E$9)</f>
        <v>12.2576</v>
      </c>
      <c r="L353" s="10">
        <f>CHOOSE(CONTROL!$C$42, 13.102, 13.102) * CHOOSE(CONTROL!$C$21, $C$9, 100%, $E$9)</f>
        <v>13.102</v>
      </c>
      <c r="M353" s="10">
        <f>CHOOSE(CONTROL!$C$42, 12.1443, 12.1443) * CHOOSE(CONTROL!$C$21, $C$9, 100%, $E$9)</f>
        <v>12.144299999999999</v>
      </c>
      <c r="N353" s="10">
        <f>CHOOSE(CONTROL!$C$42, 12.1612, 12.1612) * CHOOSE(CONTROL!$C$21, $C$9, 100%, $E$9)</f>
        <v>12.161199999999999</v>
      </c>
      <c r="O353" s="10">
        <f>CHOOSE(CONTROL!$C$42, 12.4025, 12.4025) * CHOOSE(CONTROL!$C$21, $C$9, 100%, $E$9)</f>
        <v>12.4025</v>
      </c>
      <c r="P353" s="10">
        <f>CHOOSE(CONTROL!$C$42, 12.1516, 12.1516) * CHOOSE(CONTROL!$C$21, $C$9, 100%, $E$9)</f>
        <v>12.1516</v>
      </c>
      <c r="Q353" s="10">
        <f>CHOOSE(CONTROL!$C$42, 12.9978, 12.9978) * CHOOSE(CONTROL!$C$21, $C$9, 100%, $E$9)</f>
        <v>12.9978</v>
      </c>
      <c r="R353" s="10">
        <f>CHOOSE(CONTROL!$C$42, 13.6173, 13.6173) * CHOOSE(CONTROL!$C$21, $C$9, 100%, $E$9)</f>
        <v>13.6173</v>
      </c>
      <c r="S353" s="10">
        <f>CHOOSE(CONTROL!$C$42, 11.9353, 11.9353) * CHOOSE(CONTROL!$C$21, $C$9, 100%, $E$9)</f>
        <v>11.9353</v>
      </c>
      <c r="T353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353" s="58">
        <f>(1000*CHOOSE(CONTROL!$C$42, 695, 695)*CHOOSE(CONTROL!$C$42, 0.5599, 0.5599)*CHOOSE(CONTROL!$C$42, 31, 31))/1000000</f>
        <v>12.063045499999998</v>
      </c>
      <c r="V353" s="58">
        <f>(1000*CHOOSE(CONTROL!$C$42, 500, 500)*CHOOSE(CONTROL!$C$42, 0.275, 0.275)*CHOOSE(CONTROL!$C$42, 31, 31))/1000000</f>
        <v>4.2625000000000002</v>
      </c>
      <c r="W353" s="58">
        <f>(1000*CHOOSE(CONTROL!$C$42, 0.1146, 0.1146)*CHOOSE(CONTROL!$C$42, 121.5, 121.5)*CHOOSE(CONTROL!$C$42, 31, 31))/1000000</f>
        <v>0.43164089999999994</v>
      </c>
      <c r="X353" s="58">
        <f>(31*0.1790888*245000/1000000)+(31*0.2374*100000/1000000)</f>
        <v>2.0961194359999999</v>
      </c>
      <c r="Y353" s="58"/>
      <c r="Z353" s="10"/>
      <c r="AA353" s="57"/>
      <c r="AB353" s="51">
        <f>(B353*194.205+C353*267.466+D353*133.845+E353*53.484+F353*40+G353*185+H353*0+I353*100+J353*300)/(194.205+267.466+133.845+53.484+0+40+185+100+300)</f>
        <v>12.311619529748821</v>
      </c>
      <c r="AC353" s="27">
        <f>(M353*'RAP TEMPLATE-GAS AVAILABILITY'!O352+N353*'RAP TEMPLATE-GAS AVAILABILITY'!P352+O353*'RAP TEMPLATE-GAS AVAILABILITY'!Q352+P353*'RAP TEMPLATE-GAS AVAILABILITY'!R352)/('RAP TEMPLATE-GAS AVAILABILITY'!O352+'RAP TEMPLATE-GAS AVAILABILITY'!P352+'RAP TEMPLATE-GAS AVAILABILITY'!Q352+'RAP TEMPLATE-GAS AVAILABILITY'!R352)</f>
        <v>12.221685611510791</v>
      </c>
    </row>
    <row r="354" spans="1:29" ht="15.75" x14ac:dyDescent="0.25">
      <c r="A354" s="14">
        <v>51682</v>
      </c>
      <c r="B354" s="10">
        <f>CHOOSE(CONTROL!$C$42, 12.6435, 12.6435) * CHOOSE(CONTROL!$C$21, $C$9, 100%, $E$9)</f>
        <v>12.6435</v>
      </c>
      <c r="C354" s="10">
        <f>CHOOSE(CONTROL!$C$42, 12.6514, 12.6514) * CHOOSE(CONTROL!$C$21, $C$9, 100%, $E$9)</f>
        <v>12.651400000000001</v>
      </c>
      <c r="D354" s="10">
        <f>CHOOSE(CONTROL!$C$42, 12.8438, 12.8438) * CHOOSE(CONTROL!$C$21, $C$9, 100%, $E$9)</f>
        <v>12.8438</v>
      </c>
      <c r="E354" s="10">
        <f>CHOOSE(CONTROL!$C$42, 12.875, 12.875) * CHOOSE(CONTROL!$C$21, $C$9, 100%, $E$9)</f>
        <v>12.875</v>
      </c>
      <c r="F354" s="10">
        <f>CHOOSE(CONTROL!$C$42, 12.61, 12.61)*CHOOSE(CONTROL!$C$21, $C$9, 100%, $E$9)</f>
        <v>12.61</v>
      </c>
      <c r="G354" s="10">
        <f>CHOOSE(CONTROL!$C$42, 12.6272, 12.6272)*CHOOSE(CONTROL!$C$21, $C$9, 100%, $E$9)</f>
        <v>12.6272</v>
      </c>
      <c r="H354" s="10">
        <f>CHOOSE(CONTROL!$C$42, 12.8636, 12.8636) * CHOOSE(CONTROL!$C$21, $C$9, 100%, $E$9)</f>
        <v>12.8636</v>
      </c>
      <c r="I354" s="10">
        <f>CHOOSE(CONTROL!$C$42, 12.6101, 12.6101)* CHOOSE(CONTROL!$C$21, $C$9, 100%, $E$9)</f>
        <v>12.610099999999999</v>
      </c>
      <c r="J354" s="10">
        <f>CHOOSE(CONTROL!$C$42, 12.603, 12.603)* CHOOSE(CONTROL!$C$21, $C$9, 100%, $E$9)</f>
        <v>12.603</v>
      </c>
      <c r="K354" s="54">
        <f>CHOOSE(CONTROL!$C$42, 12.6062, 12.6062) * CHOOSE(CONTROL!$C$21, $C$9, 100%, $E$9)</f>
        <v>12.606199999999999</v>
      </c>
      <c r="L354" s="10">
        <f>CHOOSE(CONTROL!$C$42, 13.4506, 13.4506) * CHOOSE(CONTROL!$C$21, $C$9, 100%, $E$9)</f>
        <v>13.4506</v>
      </c>
      <c r="M354" s="10">
        <f>CHOOSE(CONTROL!$C$42, 12.4896, 12.4896) * CHOOSE(CONTROL!$C$21, $C$9, 100%, $E$9)</f>
        <v>12.489599999999999</v>
      </c>
      <c r="N354" s="10">
        <f>CHOOSE(CONTROL!$C$42, 12.5066, 12.5066) * CHOOSE(CONTROL!$C$21, $C$9, 100%, $E$9)</f>
        <v>12.506600000000001</v>
      </c>
      <c r="O354" s="10">
        <f>CHOOSE(CONTROL!$C$42, 12.7476, 12.7476) * CHOOSE(CONTROL!$C$21, $C$9, 100%, $E$9)</f>
        <v>12.7476</v>
      </c>
      <c r="P354" s="10">
        <f>CHOOSE(CONTROL!$C$42, 12.4967, 12.4967) * CHOOSE(CONTROL!$C$21, $C$9, 100%, $E$9)</f>
        <v>12.496700000000001</v>
      </c>
      <c r="Q354" s="10">
        <f>CHOOSE(CONTROL!$C$42, 13.3429, 13.3429) * CHOOSE(CONTROL!$C$21, $C$9, 100%, $E$9)</f>
        <v>13.3429</v>
      </c>
      <c r="R354" s="10">
        <f>CHOOSE(CONTROL!$C$42, 13.9633, 13.9633) * CHOOSE(CONTROL!$C$21, $C$9, 100%, $E$9)</f>
        <v>13.9633</v>
      </c>
      <c r="S354" s="10">
        <f>CHOOSE(CONTROL!$C$42, 12.2738, 12.2738) * CHOOSE(CONTROL!$C$21, $C$9, 100%, $E$9)</f>
        <v>12.2738</v>
      </c>
      <c r="T354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354" s="58">
        <f>(1000*CHOOSE(CONTROL!$C$42, 695, 695)*CHOOSE(CONTROL!$C$42, 0.5599, 0.5599)*CHOOSE(CONTROL!$C$42, 30, 30))/1000000</f>
        <v>11.673914999999997</v>
      </c>
      <c r="V354" s="58">
        <f>(1000*CHOOSE(CONTROL!$C$42, 500, 500)*CHOOSE(CONTROL!$C$42, 0.275, 0.275)*CHOOSE(CONTROL!$C$42, 30, 30))/1000000</f>
        <v>4.125</v>
      </c>
      <c r="W354" s="58">
        <f>(1000*CHOOSE(CONTROL!$C$42, 0.1146, 0.1146)*CHOOSE(CONTROL!$C$42, 121.5, 121.5)*CHOOSE(CONTROL!$C$42, 30, 30))/1000000</f>
        <v>0.417717</v>
      </c>
      <c r="X354" s="58">
        <f>(30*0.1790888*245000/1000000)+(30*0.2374*100000/1000000)</f>
        <v>2.0285026799999999</v>
      </c>
      <c r="Y354" s="58"/>
      <c r="Z354" s="10"/>
      <c r="AA354" s="57"/>
      <c r="AB354" s="51">
        <f>(B354*194.205+C354*267.466+D354*133.845+E354*53.484+F354*40+G354*185+H354*0+I354*100+J354*300)/(194.205+267.466+133.845+53.484+0+40+185+100+300)</f>
        <v>12.660343156122449</v>
      </c>
      <c r="AC354" s="27">
        <f>(M354*'RAP TEMPLATE-GAS AVAILABILITY'!O353+N354*'RAP TEMPLATE-GAS AVAILABILITY'!P353+O354*'RAP TEMPLATE-GAS AVAILABILITY'!Q353+P354*'RAP TEMPLATE-GAS AVAILABILITY'!R353)/('RAP TEMPLATE-GAS AVAILABILITY'!O353+'RAP TEMPLATE-GAS AVAILABILITY'!P353+'RAP TEMPLATE-GAS AVAILABILITY'!Q353+'RAP TEMPLATE-GAS AVAILABILITY'!R353)</f>
        <v>12.566923741007193</v>
      </c>
    </row>
    <row r="355" spans="1:29" ht="15.75" x14ac:dyDescent="0.25">
      <c r="A355" s="14">
        <v>51713</v>
      </c>
      <c r="B355" s="10">
        <f>CHOOSE(CONTROL!$C$42, 12.401, 12.401) * CHOOSE(CONTROL!$C$21, $C$9, 100%, $E$9)</f>
        <v>12.401</v>
      </c>
      <c r="C355" s="10">
        <f>CHOOSE(CONTROL!$C$42, 12.4089, 12.4089) * CHOOSE(CONTROL!$C$21, $C$9, 100%, $E$9)</f>
        <v>12.408899999999999</v>
      </c>
      <c r="D355" s="10">
        <f>CHOOSE(CONTROL!$C$42, 12.6014, 12.6014) * CHOOSE(CONTROL!$C$21, $C$9, 100%, $E$9)</f>
        <v>12.6014</v>
      </c>
      <c r="E355" s="10">
        <f>CHOOSE(CONTROL!$C$42, 12.6325, 12.6325) * CHOOSE(CONTROL!$C$21, $C$9, 100%, $E$9)</f>
        <v>12.6325</v>
      </c>
      <c r="F355" s="10">
        <f>CHOOSE(CONTROL!$C$42, 12.3679, 12.3679)*CHOOSE(CONTROL!$C$21, $C$9, 100%, $E$9)</f>
        <v>12.367900000000001</v>
      </c>
      <c r="G355" s="10">
        <f>CHOOSE(CONTROL!$C$42, 12.3852, 12.3852)*CHOOSE(CONTROL!$C$21, $C$9, 100%, $E$9)</f>
        <v>12.385199999999999</v>
      </c>
      <c r="H355" s="10">
        <f>CHOOSE(CONTROL!$C$42, 12.6212, 12.6212) * CHOOSE(CONTROL!$C$21, $C$9, 100%, $E$9)</f>
        <v>12.6212</v>
      </c>
      <c r="I355" s="10">
        <f>CHOOSE(CONTROL!$C$42, 12.3676, 12.3676)* CHOOSE(CONTROL!$C$21, $C$9, 100%, $E$9)</f>
        <v>12.367599999999999</v>
      </c>
      <c r="J355" s="10">
        <f>CHOOSE(CONTROL!$C$42, 12.3609, 12.3609)* CHOOSE(CONTROL!$C$21, $C$9, 100%, $E$9)</f>
        <v>12.360900000000001</v>
      </c>
      <c r="K355" s="54">
        <f>CHOOSE(CONTROL!$C$42, 12.3637, 12.3637) * CHOOSE(CONTROL!$C$21, $C$9, 100%, $E$9)</f>
        <v>12.3637</v>
      </c>
      <c r="L355" s="10">
        <f>CHOOSE(CONTROL!$C$42, 13.2082, 13.2082) * CHOOSE(CONTROL!$C$21, $C$9, 100%, $E$9)</f>
        <v>13.2082</v>
      </c>
      <c r="M355" s="10">
        <f>CHOOSE(CONTROL!$C$42, 12.25, 12.25) * CHOOSE(CONTROL!$C$21, $C$9, 100%, $E$9)</f>
        <v>12.25</v>
      </c>
      <c r="N355" s="10">
        <f>CHOOSE(CONTROL!$C$42, 12.2671, 12.2671) * CHOOSE(CONTROL!$C$21, $C$9, 100%, $E$9)</f>
        <v>12.267099999999999</v>
      </c>
      <c r="O355" s="10">
        <f>CHOOSE(CONTROL!$C$42, 12.5076, 12.5076) * CHOOSE(CONTROL!$C$21, $C$9, 100%, $E$9)</f>
        <v>12.5076</v>
      </c>
      <c r="P355" s="10">
        <f>CHOOSE(CONTROL!$C$42, 12.2567, 12.2567) * CHOOSE(CONTROL!$C$21, $C$9, 100%, $E$9)</f>
        <v>12.2567</v>
      </c>
      <c r="Q355" s="10">
        <f>CHOOSE(CONTROL!$C$42, 13.1029, 13.1029) * CHOOSE(CONTROL!$C$21, $C$9, 100%, $E$9)</f>
        <v>13.1029</v>
      </c>
      <c r="R355" s="10">
        <f>CHOOSE(CONTROL!$C$42, 13.7227, 13.7227) * CHOOSE(CONTROL!$C$21, $C$9, 100%, $E$9)</f>
        <v>13.7227</v>
      </c>
      <c r="S355" s="10">
        <f>CHOOSE(CONTROL!$C$42, 12.0384, 12.0384) * CHOOSE(CONTROL!$C$21, $C$9, 100%, $E$9)</f>
        <v>12.038399999999999</v>
      </c>
      <c r="T355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355" s="58">
        <f>(1000*CHOOSE(CONTROL!$C$42, 695, 695)*CHOOSE(CONTROL!$C$42, 0.5599, 0.5599)*CHOOSE(CONTROL!$C$42, 31, 31))/1000000</f>
        <v>12.063045499999998</v>
      </c>
      <c r="V355" s="58">
        <f>(1000*CHOOSE(CONTROL!$C$42, 500, 500)*CHOOSE(CONTROL!$C$42, 0.275, 0.275)*CHOOSE(CONTROL!$C$42, 31, 31))/1000000</f>
        <v>4.2625000000000002</v>
      </c>
      <c r="W355" s="58">
        <f>(1000*CHOOSE(CONTROL!$C$42, 0.1146, 0.1146)*CHOOSE(CONTROL!$C$42, 121.5, 121.5)*CHOOSE(CONTROL!$C$42, 31, 31))/1000000</f>
        <v>0.43164089999999994</v>
      </c>
      <c r="X355" s="58">
        <f>(31*0.1790888*245000/1000000)+(31*0.2374*100000/1000000)</f>
        <v>2.0961194359999999</v>
      </c>
      <c r="Y355" s="58"/>
      <c r="Z355" s="10"/>
      <c r="AA355" s="57"/>
      <c r="AB355" s="51">
        <f>(B355*194.205+C355*267.466+D355*133.845+E355*53.484+F355*40+G355*185+H355*0+I355*100+J355*300)/(194.205+267.466+133.845+53.484+0+40+185+100+300)</f>
        <v>12.418033018367346</v>
      </c>
      <c r="AC355" s="27">
        <f>(M355*'RAP TEMPLATE-GAS AVAILABILITY'!O354+N355*'RAP TEMPLATE-GAS AVAILABILITY'!P354+O355*'RAP TEMPLATE-GAS AVAILABILITY'!Q354+P355*'RAP TEMPLATE-GAS AVAILABILITY'!R354)/('RAP TEMPLATE-GAS AVAILABILITY'!O354+'RAP TEMPLATE-GAS AVAILABILITY'!P354+'RAP TEMPLATE-GAS AVAILABILITY'!Q354+'RAP TEMPLATE-GAS AVAILABILITY'!R354)</f>
        <v>12.327176978417265</v>
      </c>
    </row>
    <row r="356" spans="1:29" ht="15.75" x14ac:dyDescent="0.25">
      <c r="A356" s="14">
        <v>51744</v>
      </c>
      <c r="B356" s="10">
        <f>CHOOSE(CONTROL!$C$42, 11.7888, 11.7888) * CHOOSE(CONTROL!$C$21, $C$9, 100%, $E$9)</f>
        <v>11.7888</v>
      </c>
      <c r="C356" s="10">
        <f>CHOOSE(CONTROL!$C$42, 11.7967, 11.7967) * CHOOSE(CONTROL!$C$21, $C$9, 100%, $E$9)</f>
        <v>11.7967</v>
      </c>
      <c r="D356" s="10">
        <f>CHOOSE(CONTROL!$C$42, 11.9891, 11.9891) * CHOOSE(CONTROL!$C$21, $C$9, 100%, $E$9)</f>
        <v>11.989100000000001</v>
      </c>
      <c r="E356" s="10">
        <f>CHOOSE(CONTROL!$C$42, 12.0202, 12.0202) * CHOOSE(CONTROL!$C$21, $C$9, 100%, $E$9)</f>
        <v>12.020200000000001</v>
      </c>
      <c r="F356" s="10">
        <f>CHOOSE(CONTROL!$C$42, 11.7558, 11.7558)*CHOOSE(CONTROL!$C$21, $C$9, 100%, $E$9)</f>
        <v>11.755800000000001</v>
      </c>
      <c r="G356" s="10">
        <f>CHOOSE(CONTROL!$C$42, 11.7732, 11.7732)*CHOOSE(CONTROL!$C$21, $C$9, 100%, $E$9)</f>
        <v>11.773199999999999</v>
      </c>
      <c r="H356" s="10">
        <f>CHOOSE(CONTROL!$C$42, 12.0089, 12.0089) * CHOOSE(CONTROL!$C$21, $C$9, 100%, $E$9)</f>
        <v>12.008900000000001</v>
      </c>
      <c r="I356" s="10">
        <f>CHOOSE(CONTROL!$C$42, 11.7553, 11.7553)* CHOOSE(CONTROL!$C$21, $C$9, 100%, $E$9)</f>
        <v>11.7553</v>
      </c>
      <c r="J356" s="10">
        <f>CHOOSE(CONTROL!$C$42, 11.7488, 11.7488)* CHOOSE(CONTROL!$C$21, $C$9, 100%, $E$9)</f>
        <v>11.748799999999999</v>
      </c>
      <c r="K356" s="54">
        <f>CHOOSE(CONTROL!$C$42, 11.7514, 11.7514) * CHOOSE(CONTROL!$C$21, $C$9, 100%, $E$9)</f>
        <v>11.7514</v>
      </c>
      <c r="L356" s="10">
        <f>CHOOSE(CONTROL!$C$42, 12.5959, 12.5959) * CHOOSE(CONTROL!$C$21, $C$9, 100%, $E$9)</f>
        <v>12.5959</v>
      </c>
      <c r="M356" s="10">
        <f>CHOOSE(CONTROL!$C$42, 11.6441, 11.6441) * CHOOSE(CONTROL!$C$21, $C$9, 100%, $E$9)</f>
        <v>11.6441</v>
      </c>
      <c r="N356" s="10">
        <f>CHOOSE(CONTROL!$C$42, 11.6612, 11.6612) * CHOOSE(CONTROL!$C$21, $C$9, 100%, $E$9)</f>
        <v>11.661199999999999</v>
      </c>
      <c r="O356" s="10">
        <f>CHOOSE(CONTROL!$C$42, 11.9015, 11.9015) * CHOOSE(CONTROL!$C$21, $C$9, 100%, $E$9)</f>
        <v>11.9015</v>
      </c>
      <c r="P356" s="10">
        <f>CHOOSE(CONTROL!$C$42, 11.6506, 11.6506) * CHOOSE(CONTROL!$C$21, $C$9, 100%, $E$9)</f>
        <v>11.650600000000001</v>
      </c>
      <c r="Q356" s="10">
        <f>CHOOSE(CONTROL!$C$42, 12.4968, 12.4968) * CHOOSE(CONTROL!$C$21, $C$9, 100%, $E$9)</f>
        <v>12.4968</v>
      </c>
      <c r="R356" s="10">
        <f>CHOOSE(CONTROL!$C$42, 13.1151, 13.1151) * CHOOSE(CONTROL!$C$21, $C$9, 100%, $E$9)</f>
        <v>13.1151</v>
      </c>
      <c r="S356" s="10">
        <f>CHOOSE(CONTROL!$C$42, 11.4438, 11.4438) * CHOOSE(CONTROL!$C$21, $C$9, 100%, $E$9)</f>
        <v>11.4438</v>
      </c>
      <c r="T356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356" s="58">
        <f>(1000*CHOOSE(CONTROL!$C$42, 695, 695)*CHOOSE(CONTROL!$C$42, 0.5599, 0.5599)*CHOOSE(CONTROL!$C$42, 31, 31))/1000000</f>
        <v>12.063045499999998</v>
      </c>
      <c r="V356" s="58">
        <f>(1000*CHOOSE(CONTROL!$C$42, 500, 500)*CHOOSE(CONTROL!$C$42, 0.275, 0.275)*CHOOSE(CONTROL!$C$42, 31, 31))/1000000</f>
        <v>4.2625000000000002</v>
      </c>
      <c r="W356" s="58">
        <f>(1000*CHOOSE(CONTROL!$C$42, 0.1146, 0.1146)*CHOOSE(CONTROL!$C$42, 121.5, 121.5)*CHOOSE(CONTROL!$C$42, 31, 31))/1000000</f>
        <v>0.43164089999999994</v>
      </c>
      <c r="X356" s="58">
        <f>(31*0.1790888*245000/1000000)+(31*0.2374*100000/1000000)</f>
        <v>2.0961194359999999</v>
      </c>
      <c r="Y356" s="58"/>
      <c r="Z356" s="10"/>
      <c r="AA356" s="57"/>
      <c r="AB356" s="51">
        <f>(B356*194.205+C356*267.466+D356*133.845+E356*53.484+F356*40+G356*185+H356*0+I356*100+J356*300)/(194.205+267.466+133.845+53.484+0+40+185+100+300)</f>
        <v>11.805866195054945</v>
      </c>
      <c r="AC356" s="27">
        <f>(M356*'RAP TEMPLATE-GAS AVAILABILITY'!O355+N356*'RAP TEMPLATE-GAS AVAILABILITY'!P355+O356*'RAP TEMPLATE-GAS AVAILABILITY'!Q355+P356*'RAP TEMPLATE-GAS AVAILABILITY'!R355)/('RAP TEMPLATE-GAS AVAILABILITY'!O355+'RAP TEMPLATE-GAS AVAILABILITY'!P355+'RAP TEMPLATE-GAS AVAILABILITY'!Q355+'RAP TEMPLATE-GAS AVAILABILITY'!R355)</f>
        <v>11.721192086330936</v>
      </c>
    </row>
    <row r="357" spans="1:29" ht="15.75" x14ac:dyDescent="0.25">
      <c r="A357" s="14">
        <v>51774</v>
      </c>
      <c r="B357" s="10">
        <f>CHOOSE(CONTROL!$C$42, 11.0403, 11.0403) * CHOOSE(CONTROL!$C$21, $C$9, 100%, $E$9)</f>
        <v>11.0403</v>
      </c>
      <c r="C357" s="10">
        <f>CHOOSE(CONTROL!$C$42, 11.0482, 11.0482) * CHOOSE(CONTROL!$C$21, $C$9, 100%, $E$9)</f>
        <v>11.0482</v>
      </c>
      <c r="D357" s="10">
        <f>CHOOSE(CONTROL!$C$42, 11.2406, 11.2406) * CHOOSE(CONTROL!$C$21, $C$9, 100%, $E$9)</f>
        <v>11.240600000000001</v>
      </c>
      <c r="E357" s="10">
        <f>CHOOSE(CONTROL!$C$42, 11.2718, 11.2718) * CHOOSE(CONTROL!$C$21, $C$9, 100%, $E$9)</f>
        <v>11.271800000000001</v>
      </c>
      <c r="F357" s="10">
        <f>CHOOSE(CONTROL!$C$42, 11.0072, 11.0072)*CHOOSE(CONTROL!$C$21, $C$9, 100%, $E$9)</f>
        <v>11.007199999999999</v>
      </c>
      <c r="G357" s="10">
        <f>CHOOSE(CONTROL!$C$42, 11.0245, 11.0245)*CHOOSE(CONTROL!$C$21, $C$9, 100%, $E$9)</f>
        <v>11.0245</v>
      </c>
      <c r="H357" s="10">
        <f>CHOOSE(CONTROL!$C$42, 11.2604, 11.2604) * CHOOSE(CONTROL!$C$21, $C$9, 100%, $E$9)</f>
        <v>11.260400000000001</v>
      </c>
      <c r="I357" s="10">
        <f>CHOOSE(CONTROL!$C$42, 11.0068, 11.0068)* CHOOSE(CONTROL!$C$21, $C$9, 100%, $E$9)</f>
        <v>11.0068</v>
      </c>
      <c r="J357" s="10">
        <f>CHOOSE(CONTROL!$C$42, 11.0002, 11.0002)* CHOOSE(CONTROL!$C$21, $C$9, 100%, $E$9)</f>
        <v>11.0002</v>
      </c>
      <c r="K357" s="54">
        <f>CHOOSE(CONTROL!$C$42, 11.003, 11.003) * CHOOSE(CONTROL!$C$21, $C$9, 100%, $E$9)</f>
        <v>11.003</v>
      </c>
      <c r="L357" s="10">
        <f>CHOOSE(CONTROL!$C$42, 11.8474, 11.8474) * CHOOSE(CONTROL!$C$21, $C$9, 100%, $E$9)</f>
        <v>11.8474</v>
      </c>
      <c r="M357" s="10">
        <f>CHOOSE(CONTROL!$C$42, 10.903, 10.903) * CHOOSE(CONTROL!$C$21, $C$9, 100%, $E$9)</f>
        <v>10.903</v>
      </c>
      <c r="N357" s="10">
        <f>CHOOSE(CONTROL!$C$42, 10.9201, 10.9201) * CHOOSE(CONTROL!$C$21, $C$9, 100%, $E$9)</f>
        <v>10.9201</v>
      </c>
      <c r="O357" s="10">
        <f>CHOOSE(CONTROL!$C$42, 11.1606, 11.1606) * CHOOSE(CONTROL!$C$21, $C$9, 100%, $E$9)</f>
        <v>11.160600000000001</v>
      </c>
      <c r="P357" s="10">
        <f>CHOOSE(CONTROL!$C$42, 10.9096, 10.9096) * CHOOSE(CONTROL!$C$21, $C$9, 100%, $E$9)</f>
        <v>10.909599999999999</v>
      </c>
      <c r="Q357" s="10">
        <f>CHOOSE(CONTROL!$C$42, 11.7559, 11.7559) * CHOOSE(CONTROL!$C$21, $C$9, 100%, $E$9)</f>
        <v>11.7559</v>
      </c>
      <c r="R357" s="10">
        <f>CHOOSE(CONTROL!$C$42, 12.3723, 12.3723) * CHOOSE(CONTROL!$C$21, $C$9, 100%, $E$9)</f>
        <v>12.372299999999999</v>
      </c>
      <c r="S357" s="10">
        <f>CHOOSE(CONTROL!$C$42, 10.717, 10.717) * CHOOSE(CONTROL!$C$21, $C$9, 100%, $E$9)</f>
        <v>10.717000000000001</v>
      </c>
      <c r="T357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357" s="58">
        <f>(1000*CHOOSE(CONTROL!$C$42, 695, 695)*CHOOSE(CONTROL!$C$42, 0.5599, 0.5599)*CHOOSE(CONTROL!$C$42, 30, 30))/1000000</f>
        <v>11.673914999999997</v>
      </c>
      <c r="V357" s="58">
        <f>(1000*CHOOSE(CONTROL!$C$42, 500, 500)*CHOOSE(CONTROL!$C$42, 0.275, 0.275)*CHOOSE(CONTROL!$C$42, 30, 30))/1000000</f>
        <v>4.125</v>
      </c>
      <c r="W357" s="58">
        <f>(1000*CHOOSE(CONTROL!$C$42, 0.1146, 0.1146)*CHOOSE(CONTROL!$C$42, 121.5, 121.5)*CHOOSE(CONTROL!$C$42, 30, 30))/1000000</f>
        <v>0.417717</v>
      </c>
      <c r="X357" s="58">
        <f>(30*0.1790888*245000/1000000)+(30*0.2374*100000/1000000)</f>
        <v>2.0285026799999999</v>
      </c>
      <c r="Y357" s="58"/>
      <c r="Z357" s="10"/>
      <c r="AA357" s="57"/>
      <c r="AB357" s="51">
        <f>(B357*194.205+C357*267.466+D357*133.845+E357*53.484+F357*40+G357*185+H357*0+I357*100+J357*300)/(194.205+267.466+133.845+53.484+0+40+185+100+300)</f>
        <v>11.057314663186812</v>
      </c>
      <c r="AC357" s="27">
        <f>(M357*'RAP TEMPLATE-GAS AVAILABILITY'!O356+N357*'RAP TEMPLATE-GAS AVAILABILITY'!P356+O357*'RAP TEMPLATE-GAS AVAILABILITY'!Q356+P357*'RAP TEMPLATE-GAS AVAILABILITY'!R356)/('RAP TEMPLATE-GAS AVAILABILITY'!O356+'RAP TEMPLATE-GAS AVAILABILITY'!P356+'RAP TEMPLATE-GAS AVAILABILITY'!Q356+'RAP TEMPLATE-GAS AVAILABILITY'!R356)</f>
        <v>10.980162589928057</v>
      </c>
    </row>
    <row r="358" spans="1:29" ht="15.75" x14ac:dyDescent="0.25">
      <c r="A358" s="14">
        <v>51805</v>
      </c>
      <c r="B358" s="10">
        <f>CHOOSE(CONTROL!$C$42, 10.8145, 10.8145) * CHOOSE(CONTROL!$C$21, $C$9, 100%, $E$9)</f>
        <v>10.814500000000001</v>
      </c>
      <c r="C358" s="10">
        <f>CHOOSE(CONTROL!$C$42, 10.8197, 10.8197) * CHOOSE(CONTROL!$C$21, $C$9, 100%, $E$9)</f>
        <v>10.819699999999999</v>
      </c>
      <c r="D358" s="10">
        <f>CHOOSE(CONTROL!$C$42, 11.0171, 11.0171) * CHOOSE(CONTROL!$C$21, $C$9, 100%, $E$9)</f>
        <v>11.017099999999999</v>
      </c>
      <c r="E358" s="10">
        <f>CHOOSE(CONTROL!$C$42, 11.0459, 11.0459) * CHOOSE(CONTROL!$C$21, $C$9, 100%, $E$9)</f>
        <v>11.0459</v>
      </c>
      <c r="F358" s="10">
        <f>CHOOSE(CONTROL!$C$42, 10.7834, 10.7834)*CHOOSE(CONTROL!$C$21, $C$9, 100%, $E$9)</f>
        <v>10.7834</v>
      </c>
      <c r="G358" s="10">
        <f>CHOOSE(CONTROL!$C$42, 10.8003, 10.8003)*CHOOSE(CONTROL!$C$21, $C$9, 100%, $E$9)</f>
        <v>10.8003</v>
      </c>
      <c r="H358" s="10">
        <f>CHOOSE(CONTROL!$C$42, 11.0363, 11.0363) * CHOOSE(CONTROL!$C$21, $C$9, 100%, $E$9)</f>
        <v>11.036300000000001</v>
      </c>
      <c r="I358" s="10">
        <f>CHOOSE(CONTROL!$C$42, 10.7828, 10.7828)* CHOOSE(CONTROL!$C$21, $C$9, 100%, $E$9)</f>
        <v>10.7828</v>
      </c>
      <c r="J358" s="10">
        <f>CHOOSE(CONTROL!$C$42, 10.7764, 10.7764)* CHOOSE(CONTROL!$C$21, $C$9, 100%, $E$9)</f>
        <v>10.776400000000001</v>
      </c>
      <c r="K358" s="54">
        <f>CHOOSE(CONTROL!$C$42, 10.7789, 10.7789) * CHOOSE(CONTROL!$C$21, $C$9, 100%, $E$9)</f>
        <v>10.7789</v>
      </c>
      <c r="L358" s="10">
        <f>CHOOSE(CONTROL!$C$42, 11.6233, 11.6233) * CHOOSE(CONTROL!$C$21, $C$9, 100%, $E$9)</f>
        <v>11.6233</v>
      </c>
      <c r="M358" s="10">
        <f>CHOOSE(CONTROL!$C$42, 10.6814, 10.6814) * CHOOSE(CONTROL!$C$21, $C$9, 100%, $E$9)</f>
        <v>10.6814</v>
      </c>
      <c r="N358" s="10">
        <f>CHOOSE(CONTROL!$C$42, 10.6982, 10.6982) * CHOOSE(CONTROL!$C$21, $C$9, 100%, $E$9)</f>
        <v>10.6982</v>
      </c>
      <c r="O358" s="10">
        <f>CHOOSE(CONTROL!$C$42, 10.9388, 10.9388) * CHOOSE(CONTROL!$C$21, $C$9, 100%, $E$9)</f>
        <v>10.938800000000001</v>
      </c>
      <c r="P358" s="10">
        <f>CHOOSE(CONTROL!$C$42, 10.6878, 10.6878) * CHOOSE(CONTROL!$C$21, $C$9, 100%, $E$9)</f>
        <v>10.687799999999999</v>
      </c>
      <c r="Q358" s="10">
        <f>CHOOSE(CONTROL!$C$42, 11.5341, 11.5341) * CHOOSE(CONTROL!$C$21, $C$9, 100%, $E$9)</f>
        <v>11.5341</v>
      </c>
      <c r="R358" s="10">
        <f>CHOOSE(CONTROL!$C$42, 12.1499, 12.1499) * CHOOSE(CONTROL!$C$21, $C$9, 100%, $E$9)</f>
        <v>12.149900000000001</v>
      </c>
      <c r="S358" s="10">
        <f>CHOOSE(CONTROL!$C$42, 10.4994, 10.4994) * CHOOSE(CONTROL!$C$21, $C$9, 100%, $E$9)</f>
        <v>10.4994</v>
      </c>
      <c r="T358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358" s="58">
        <f>(1000*CHOOSE(CONTROL!$C$42, 695, 695)*CHOOSE(CONTROL!$C$42, 0.5599, 0.5599)*CHOOSE(CONTROL!$C$42, 31, 31))/1000000</f>
        <v>12.063045499999998</v>
      </c>
      <c r="V358" s="58">
        <f>(1000*CHOOSE(CONTROL!$C$42, 500, 500)*CHOOSE(CONTROL!$C$42, 0.275, 0.275)*CHOOSE(CONTROL!$C$42, 31, 31))/1000000</f>
        <v>4.2625000000000002</v>
      </c>
      <c r="W358" s="58">
        <f>(1000*CHOOSE(CONTROL!$C$42, 0.1146, 0.1146)*CHOOSE(CONTROL!$C$42, 121.5, 121.5)*CHOOSE(CONTROL!$C$42, 31, 31))/1000000</f>
        <v>0.43164089999999994</v>
      </c>
      <c r="X358" s="58">
        <f>(31*0.1790888*245000/1000000)+(31*0.2374*100000/1000000)</f>
        <v>2.0961194359999999</v>
      </c>
      <c r="Y358" s="58"/>
      <c r="Z358" s="10"/>
      <c r="AA358" s="57"/>
      <c r="AB358" s="51">
        <f>(B358*131.881+C358*277.167+D358*79.08+E358*125.872+F358*40+G358*185+H358*0+I358*100+J358*300)/(131.881+277.167+79.08+125.872+0+40+185+100+300)</f>
        <v>10.837194638579499</v>
      </c>
      <c r="AC358" s="27">
        <f>(M358*'RAP TEMPLATE-GAS AVAILABILITY'!O357+N358*'RAP TEMPLATE-GAS AVAILABILITY'!P357+O358*'RAP TEMPLATE-GAS AVAILABILITY'!Q357+P358*'RAP TEMPLATE-GAS AVAILABILITY'!R357)/('RAP TEMPLATE-GAS AVAILABILITY'!O357+'RAP TEMPLATE-GAS AVAILABILITY'!P357+'RAP TEMPLATE-GAS AVAILABILITY'!Q357+'RAP TEMPLATE-GAS AVAILABILITY'!R357)</f>
        <v>10.758408633093525</v>
      </c>
    </row>
    <row r="359" spans="1:29" ht="15.75" x14ac:dyDescent="0.25">
      <c r="A359" s="14">
        <v>51835</v>
      </c>
      <c r="B359" s="10">
        <f>CHOOSE(CONTROL!$C$42, 11.0989, 11.0989) * CHOOSE(CONTROL!$C$21, $C$9, 100%, $E$9)</f>
        <v>11.0989</v>
      </c>
      <c r="C359" s="10">
        <f>CHOOSE(CONTROL!$C$42, 11.1038, 11.1038) * CHOOSE(CONTROL!$C$21, $C$9, 100%, $E$9)</f>
        <v>11.1038</v>
      </c>
      <c r="D359" s="10">
        <f>CHOOSE(CONTROL!$C$42, 11.1334, 11.1334) * CHOOSE(CONTROL!$C$21, $C$9, 100%, $E$9)</f>
        <v>11.1334</v>
      </c>
      <c r="E359" s="10">
        <f>CHOOSE(CONTROL!$C$42, 11.1672, 11.1672) * CHOOSE(CONTROL!$C$21, $C$9, 100%, $E$9)</f>
        <v>11.167199999999999</v>
      </c>
      <c r="F359" s="10">
        <f>CHOOSE(CONTROL!$C$42, 11.0656, 11.0656)*CHOOSE(CONTROL!$C$21, $C$9, 100%, $E$9)</f>
        <v>11.0656</v>
      </c>
      <c r="G359" s="10">
        <f>CHOOSE(CONTROL!$C$42, 11.0828, 11.0828)*CHOOSE(CONTROL!$C$21, $C$9, 100%, $E$9)</f>
        <v>11.082800000000001</v>
      </c>
      <c r="H359" s="10">
        <f>CHOOSE(CONTROL!$C$42, 11.1564, 11.1564) * CHOOSE(CONTROL!$C$21, $C$9, 100%, $E$9)</f>
        <v>11.1564</v>
      </c>
      <c r="I359" s="10">
        <f>CHOOSE(CONTROL!$C$42, 11.0625, 11.0625)* CHOOSE(CONTROL!$C$21, $C$9, 100%, $E$9)</f>
        <v>11.0625</v>
      </c>
      <c r="J359" s="10">
        <f>CHOOSE(CONTROL!$C$42, 11.0586, 11.0586)* CHOOSE(CONTROL!$C$21, $C$9, 100%, $E$9)</f>
        <v>11.0586</v>
      </c>
      <c r="K359" s="54">
        <f>CHOOSE(CONTROL!$C$42, 11.0586, 11.0586) * CHOOSE(CONTROL!$C$21, $C$9, 100%, $E$9)</f>
        <v>11.0586</v>
      </c>
      <c r="L359" s="10">
        <f>CHOOSE(CONTROL!$C$42, 11.7434, 11.7434) * CHOOSE(CONTROL!$C$21, $C$9, 100%, $E$9)</f>
        <v>11.743399999999999</v>
      </c>
      <c r="M359" s="10">
        <f>CHOOSE(CONTROL!$C$42, 10.9609, 10.9609) * CHOOSE(CONTROL!$C$21, $C$9, 100%, $E$9)</f>
        <v>10.960900000000001</v>
      </c>
      <c r="N359" s="10">
        <f>CHOOSE(CONTROL!$C$42, 10.9778, 10.9778) * CHOOSE(CONTROL!$C$21, $C$9, 100%, $E$9)</f>
        <v>10.9778</v>
      </c>
      <c r="O359" s="10">
        <f>CHOOSE(CONTROL!$C$42, 11.0576, 11.0576) * CHOOSE(CONTROL!$C$21, $C$9, 100%, $E$9)</f>
        <v>11.057600000000001</v>
      </c>
      <c r="P359" s="10">
        <f>CHOOSE(CONTROL!$C$42, 10.9647, 10.9647) * CHOOSE(CONTROL!$C$21, $C$9, 100%, $E$9)</f>
        <v>10.964700000000001</v>
      </c>
      <c r="Q359" s="10">
        <f>CHOOSE(CONTROL!$C$42, 11.6529, 11.6529) * CHOOSE(CONTROL!$C$21, $C$9, 100%, $E$9)</f>
        <v>11.652900000000001</v>
      </c>
      <c r="R359" s="10">
        <f>CHOOSE(CONTROL!$C$42, 12.2691, 12.2691) * CHOOSE(CONTROL!$C$21, $C$9, 100%, $E$9)</f>
        <v>12.2691</v>
      </c>
      <c r="S359" s="10">
        <f>CHOOSE(CONTROL!$C$42, 10.776, 10.776) * CHOOSE(CONTROL!$C$21, $C$9, 100%, $E$9)</f>
        <v>10.776</v>
      </c>
      <c r="T359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359" s="58">
        <f>(1000*CHOOSE(CONTROL!$C$42, 695, 695)*CHOOSE(CONTROL!$C$42, 0.5599, 0.5599)*CHOOSE(CONTROL!$C$42, 30, 30))/1000000</f>
        <v>11.673914999999997</v>
      </c>
      <c r="V359" s="58">
        <f>(1000*CHOOSE(CONTROL!$C$42, 500, 500)*CHOOSE(CONTROL!$C$42, 0.275, 0.275)*CHOOSE(CONTROL!$C$42, 30, 30))/1000000</f>
        <v>4.125</v>
      </c>
      <c r="W359" s="58">
        <f>(1000*CHOOSE(CONTROL!$C$42, 0.1146, 0.1146)*CHOOSE(CONTROL!$C$42, 121.5, 121.5)*CHOOSE(CONTROL!$C$42, 30, 30))/1000000</f>
        <v>0.417717</v>
      </c>
      <c r="X359" s="58">
        <f>(30*0.1790888*100000/1000000)+(30*0.2374*100000/1000000)</f>
        <v>1.2494664</v>
      </c>
      <c r="Y359" s="58"/>
      <c r="Z359" s="10"/>
      <c r="AA359" s="57"/>
      <c r="AB359" s="51">
        <f>(B359*122.58+C359*297.941+D359*89.177+E359*40.302+F359*40+G359*160+H359*0+I359*100+J359*300)/(122.58+297.941+89.177+40.302+0+40+160+100+300)</f>
        <v>11.088161864347827</v>
      </c>
      <c r="AC359" s="27">
        <f>(M359*'RAP TEMPLATE-GAS AVAILABILITY'!O358+N359*'RAP TEMPLATE-GAS AVAILABILITY'!P358+O359*'RAP TEMPLATE-GAS AVAILABILITY'!Q358+P359*'RAP TEMPLATE-GAS AVAILABILITY'!R358)/('RAP TEMPLATE-GAS AVAILABILITY'!O358+'RAP TEMPLATE-GAS AVAILABILITY'!P358+'RAP TEMPLATE-GAS AVAILABILITY'!Q358+'RAP TEMPLATE-GAS AVAILABILITY'!R358)</f>
        <v>11.006247482014389</v>
      </c>
    </row>
    <row r="360" spans="1:29" ht="15.75" x14ac:dyDescent="0.25">
      <c r="A360" s="14">
        <v>51866</v>
      </c>
      <c r="B360" s="10">
        <f>CHOOSE(CONTROL!$C$42, 11.8554, 11.8554) * CHOOSE(CONTROL!$C$21, $C$9, 100%, $E$9)</f>
        <v>11.855399999999999</v>
      </c>
      <c r="C360" s="10">
        <f>CHOOSE(CONTROL!$C$42, 11.8603, 11.8603) * CHOOSE(CONTROL!$C$21, $C$9, 100%, $E$9)</f>
        <v>11.860300000000001</v>
      </c>
      <c r="D360" s="10">
        <f>CHOOSE(CONTROL!$C$42, 11.8899, 11.8899) * CHOOSE(CONTROL!$C$21, $C$9, 100%, $E$9)</f>
        <v>11.889900000000001</v>
      </c>
      <c r="E360" s="10">
        <f>CHOOSE(CONTROL!$C$42, 11.9237, 11.9237) * CHOOSE(CONTROL!$C$21, $C$9, 100%, $E$9)</f>
        <v>11.9237</v>
      </c>
      <c r="F360" s="10">
        <f>CHOOSE(CONTROL!$C$42, 11.8236, 11.8236)*CHOOSE(CONTROL!$C$21, $C$9, 100%, $E$9)</f>
        <v>11.823600000000001</v>
      </c>
      <c r="G360" s="10">
        <f>CHOOSE(CONTROL!$C$42, 11.8411, 11.8411)*CHOOSE(CONTROL!$C$21, $C$9, 100%, $E$9)</f>
        <v>11.841100000000001</v>
      </c>
      <c r="H360" s="10">
        <f>CHOOSE(CONTROL!$C$42, 11.9129, 11.9129) * CHOOSE(CONTROL!$C$21, $C$9, 100%, $E$9)</f>
        <v>11.9129</v>
      </c>
      <c r="I360" s="10">
        <f>CHOOSE(CONTROL!$C$42, 11.819, 11.819)* CHOOSE(CONTROL!$C$21, $C$9, 100%, $E$9)</f>
        <v>11.819000000000001</v>
      </c>
      <c r="J360" s="10">
        <f>CHOOSE(CONTROL!$C$42, 11.8166, 11.8166)* CHOOSE(CONTROL!$C$21, $C$9, 100%, $E$9)</f>
        <v>11.816599999999999</v>
      </c>
      <c r="K360" s="54">
        <f>CHOOSE(CONTROL!$C$42, 11.8151, 11.8151) * CHOOSE(CONTROL!$C$21, $C$9, 100%, $E$9)</f>
        <v>11.815099999999999</v>
      </c>
      <c r="L360" s="10">
        <f>CHOOSE(CONTROL!$C$42, 12.4999, 12.4999) * CHOOSE(CONTROL!$C$21, $C$9, 100%, $E$9)</f>
        <v>12.4999</v>
      </c>
      <c r="M360" s="10">
        <f>CHOOSE(CONTROL!$C$42, 11.7112, 11.7112) * CHOOSE(CONTROL!$C$21, $C$9, 100%, $E$9)</f>
        <v>11.7112</v>
      </c>
      <c r="N360" s="10">
        <f>CHOOSE(CONTROL!$C$42, 11.7285, 11.7285) * CHOOSE(CONTROL!$C$21, $C$9, 100%, $E$9)</f>
        <v>11.7285</v>
      </c>
      <c r="O360" s="10">
        <f>CHOOSE(CONTROL!$C$42, 11.8065, 11.8065) * CHOOSE(CONTROL!$C$21, $C$9, 100%, $E$9)</f>
        <v>11.8065</v>
      </c>
      <c r="P360" s="10">
        <f>CHOOSE(CONTROL!$C$42, 11.7136, 11.7136) * CHOOSE(CONTROL!$C$21, $C$9, 100%, $E$9)</f>
        <v>11.7136</v>
      </c>
      <c r="Q360" s="10">
        <f>CHOOSE(CONTROL!$C$42, 12.4018, 12.4018) * CHOOSE(CONTROL!$C$21, $C$9, 100%, $E$9)</f>
        <v>12.4018</v>
      </c>
      <c r="R360" s="10">
        <f>CHOOSE(CONTROL!$C$42, 13.0198, 13.0198) * CHOOSE(CONTROL!$C$21, $C$9, 100%, $E$9)</f>
        <v>13.0198</v>
      </c>
      <c r="S360" s="10">
        <f>CHOOSE(CONTROL!$C$42, 11.5106, 11.5106) * CHOOSE(CONTROL!$C$21, $C$9, 100%, $E$9)</f>
        <v>11.5106</v>
      </c>
      <c r="T360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360" s="58">
        <f>(1000*CHOOSE(CONTROL!$C$42, 695, 695)*CHOOSE(CONTROL!$C$42, 0.5599, 0.5599)*CHOOSE(CONTROL!$C$42, 31, 31))/1000000</f>
        <v>12.063045499999998</v>
      </c>
      <c r="V360" s="58">
        <f>(1000*CHOOSE(CONTROL!$C$42, 500, 500)*CHOOSE(CONTROL!$C$42, 0.275, 0.275)*CHOOSE(CONTROL!$C$42, 31, 31))/1000000</f>
        <v>4.2625000000000002</v>
      </c>
      <c r="W360" s="58">
        <f>(1000*CHOOSE(CONTROL!$C$42, 0.1146, 0.1146)*CHOOSE(CONTROL!$C$42, 121.5, 121.5)*CHOOSE(CONTROL!$C$42, 31, 31))/1000000</f>
        <v>0.43164089999999994</v>
      </c>
      <c r="X360" s="58">
        <f>(31*0.1790888*100000/1000000)+(31*0.2374*100000/1000000)</f>
        <v>1.2911152800000001</v>
      </c>
      <c r="Y360" s="58"/>
      <c r="Z360" s="10"/>
      <c r="AA360" s="57"/>
      <c r="AB360" s="51">
        <f>(B360*122.58+C360*297.941+D360*89.177+E360*40.302+F360*40+G360*160+H360*0+I360*100+J360*300)/(122.58+297.941+89.177+40.302+0+40+160+100+300)</f>
        <v>11.845355777391303</v>
      </c>
      <c r="AC360" s="27">
        <f>(M360*'RAP TEMPLATE-GAS AVAILABILITY'!O359+N360*'RAP TEMPLATE-GAS AVAILABILITY'!P359+O360*'RAP TEMPLATE-GAS AVAILABILITY'!Q359+P360*'RAP TEMPLATE-GAS AVAILABILITY'!R359)/('RAP TEMPLATE-GAS AVAILABILITY'!O359+'RAP TEMPLATE-GAS AVAILABILITY'!P359+'RAP TEMPLATE-GAS AVAILABILITY'!Q359+'RAP TEMPLATE-GAS AVAILABILITY'!R359)</f>
        <v>11.755734532374101</v>
      </c>
    </row>
    <row r="361" spans="1:29" ht="15.75" x14ac:dyDescent="0.25">
      <c r="A361" s="14">
        <v>51897</v>
      </c>
      <c r="B361" s="10">
        <f>CHOOSE(CONTROL!$C$42, 12.8265, 12.8265) * CHOOSE(CONTROL!$C$21, $C$9, 100%, $E$9)</f>
        <v>12.826499999999999</v>
      </c>
      <c r="C361" s="10">
        <f>CHOOSE(CONTROL!$C$42, 12.8315, 12.8315) * CHOOSE(CONTROL!$C$21, $C$9, 100%, $E$9)</f>
        <v>12.8315</v>
      </c>
      <c r="D361" s="10">
        <f>CHOOSE(CONTROL!$C$42, 12.8817, 12.8817) * CHOOSE(CONTROL!$C$21, $C$9, 100%, $E$9)</f>
        <v>12.8817</v>
      </c>
      <c r="E361" s="10">
        <f>CHOOSE(CONTROL!$C$42, 12.9154, 12.9154) * CHOOSE(CONTROL!$C$21, $C$9, 100%, $E$9)</f>
        <v>12.9154</v>
      </c>
      <c r="F361" s="10">
        <f>CHOOSE(CONTROL!$C$42, 12.7919, 12.7919)*CHOOSE(CONTROL!$C$21, $C$9, 100%, $E$9)</f>
        <v>12.7919</v>
      </c>
      <c r="G361" s="10">
        <f>CHOOSE(CONTROL!$C$42, 12.8094, 12.8094)*CHOOSE(CONTROL!$C$21, $C$9, 100%, $E$9)</f>
        <v>12.8094</v>
      </c>
      <c r="H361" s="10">
        <f>CHOOSE(CONTROL!$C$42, 12.9046, 12.9046) * CHOOSE(CONTROL!$C$21, $C$9, 100%, $E$9)</f>
        <v>12.9046</v>
      </c>
      <c r="I361" s="10">
        <f>CHOOSE(CONTROL!$C$42, 12.8004, 12.8004)* CHOOSE(CONTROL!$C$21, $C$9, 100%, $E$9)</f>
        <v>12.8004</v>
      </c>
      <c r="J361" s="10">
        <f>CHOOSE(CONTROL!$C$42, 12.7849, 12.7849)* CHOOSE(CONTROL!$C$21, $C$9, 100%, $E$9)</f>
        <v>12.7849</v>
      </c>
      <c r="K361" s="54">
        <f>CHOOSE(CONTROL!$C$42, 12.7965, 12.7965) * CHOOSE(CONTROL!$C$21, $C$9, 100%, $E$9)</f>
        <v>12.7965</v>
      </c>
      <c r="L361" s="10">
        <f>CHOOSE(CONTROL!$C$42, 13.4916, 13.4916) * CHOOSE(CONTROL!$C$21, $C$9, 100%, $E$9)</f>
        <v>13.4916</v>
      </c>
      <c r="M361" s="10">
        <f>CHOOSE(CONTROL!$C$42, 12.6697, 12.6697) * CHOOSE(CONTROL!$C$21, $C$9, 100%, $E$9)</f>
        <v>12.669700000000001</v>
      </c>
      <c r="N361" s="10">
        <f>CHOOSE(CONTROL!$C$42, 12.6871, 12.6871) * CHOOSE(CONTROL!$C$21, $C$9, 100%, $E$9)</f>
        <v>12.687099999999999</v>
      </c>
      <c r="O361" s="10">
        <f>CHOOSE(CONTROL!$C$42, 12.7882, 12.7882) * CHOOSE(CONTROL!$C$21, $C$9, 100%, $E$9)</f>
        <v>12.7882</v>
      </c>
      <c r="P361" s="10">
        <f>CHOOSE(CONTROL!$C$42, 12.6851, 12.6851) * CHOOSE(CONTROL!$C$21, $C$9, 100%, $E$9)</f>
        <v>12.6851</v>
      </c>
      <c r="Q361" s="10">
        <f>CHOOSE(CONTROL!$C$42, 13.3835, 13.3835) * CHOOSE(CONTROL!$C$21, $C$9, 100%, $E$9)</f>
        <v>13.3835</v>
      </c>
      <c r="R361" s="10">
        <f>CHOOSE(CONTROL!$C$42, 14.004, 14.004) * CHOOSE(CONTROL!$C$21, $C$9, 100%, $E$9)</f>
        <v>14.004</v>
      </c>
      <c r="S361" s="10">
        <f>CHOOSE(CONTROL!$C$42, 12.4537, 12.4537) * CHOOSE(CONTROL!$C$21, $C$9, 100%, $E$9)</f>
        <v>12.4537</v>
      </c>
      <c r="T361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361" s="58">
        <f>(1000*CHOOSE(CONTROL!$C$42, 695, 695)*CHOOSE(CONTROL!$C$42, 0.5599, 0.5599)*CHOOSE(CONTROL!$C$42, 31, 31))/1000000</f>
        <v>12.063045499999998</v>
      </c>
      <c r="V361" s="58">
        <f>(1000*CHOOSE(CONTROL!$C$42, 500, 500)*CHOOSE(CONTROL!$C$42, 0.275, 0.275)*CHOOSE(CONTROL!$C$42, 31, 31))/1000000</f>
        <v>4.2625000000000002</v>
      </c>
      <c r="W361" s="58">
        <f>(1000*CHOOSE(CONTROL!$C$42, 0.1146, 0.1146)*CHOOSE(CONTROL!$C$42, 121.5, 121.5)*CHOOSE(CONTROL!$C$42, 31, 31))/1000000</f>
        <v>0.43164089999999994</v>
      </c>
      <c r="X361" s="58">
        <f>(31*0.1790888*100000/1000000)+(31*0.2374*100000/1000000)</f>
        <v>1.2911152800000001</v>
      </c>
      <c r="Y361" s="58"/>
      <c r="Z361" s="10"/>
      <c r="AA361" s="57"/>
      <c r="AB361" s="51">
        <f>(B361*122.58+C361*297.941+D361*89.177+E361*40.302+F361*40+G361*160+H361*0+I361*100+J361*300)/(122.58+297.941+89.177+40.302+0+40+160+100+300)</f>
        <v>12.818487063652174</v>
      </c>
      <c r="AC361" s="27">
        <f>(M361*'RAP TEMPLATE-GAS AVAILABILITY'!O360+N361*'RAP TEMPLATE-GAS AVAILABILITY'!P360+O361*'RAP TEMPLATE-GAS AVAILABILITY'!Q360+P361*'RAP TEMPLATE-GAS AVAILABILITY'!R360)/('RAP TEMPLATE-GAS AVAILABILITY'!O360+'RAP TEMPLATE-GAS AVAILABILITY'!P360+'RAP TEMPLATE-GAS AVAILABILITY'!Q360+'RAP TEMPLATE-GAS AVAILABILITY'!R360)</f>
        <v>12.726625899280574</v>
      </c>
    </row>
    <row r="362" spans="1:29" ht="15.75" x14ac:dyDescent="0.25">
      <c r="A362" s="14">
        <v>51925</v>
      </c>
      <c r="B362" s="10">
        <f>CHOOSE(CONTROL!$C$42, 13.0548, 13.0548) * CHOOSE(CONTROL!$C$21, $C$9, 100%, $E$9)</f>
        <v>13.0548</v>
      </c>
      <c r="C362" s="10">
        <f>CHOOSE(CONTROL!$C$42, 13.0597, 13.0597) * CHOOSE(CONTROL!$C$21, $C$9, 100%, $E$9)</f>
        <v>13.059699999999999</v>
      </c>
      <c r="D362" s="10">
        <f>CHOOSE(CONTROL!$C$42, 13.1202, 13.1202) * CHOOSE(CONTROL!$C$21, $C$9, 100%, $E$9)</f>
        <v>13.120200000000001</v>
      </c>
      <c r="E362" s="10">
        <f>CHOOSE(CONTROL!$C$42, 13.154, 13.154) * CHOOSE(CONTROL!$C$21, $C$9, 100%, $E$9)</f>
        <v>13.154</v>
      </c>
      <c r="F362" s="10">
        <f>CHOOSE(CONTROL!$C$42, 13.048, 13.048)*CHOOSE(CONTROL!$C$21, $C$9, 100%, $E$9)</f>
        <v>13.048</v>
      </c>
      <c r="G362" s="10">
        <f>CHOOSE(CONTROL!$C$42, 13.0653, 13.0653)*CHOOSE(CONTROL!$C$21, $C$9, 100%, $E$9)</f>
        <v>13.065300000000001</v>
      </c>
      <c r="H362" s="10">
        <f>CHOOSE(CONTROL!$C$42, 13.1432, 13.1432) * CHOOSE(CONTROL!$C$21, $C$9, 100%, $E$9)</f>
        <v>13.1432</v>
      </c>
      <c r="I362" s="10">
        <f>CHOOSE(CONTROL!$C$42, 13.0416, 13.0416)* CHOOSE(CONTROL!$C$21, $C$9, 100%, $E$9)</f>
        <v>13.041600000000001</v>
      </c>
      <c r="J362" s="10">
        <f>CHOOSE(CONTROL!$C$42, 13.041, 13.041)* CHOOSE(CONTROL!$C$21, $C$9, 100%, $E$9)</f>
        <v>13.041</v>
      </c>
      <c r="K362" s="54">
        <f>CHOOSE(CONTROL!$C$42, 13.0377, 13.0377) * CHOOSE(CONTROL!$C$21, $C$9, 100%, $E$9)</f>
        <v>13.037699999999999</v>
      </c>
      <c r="L362" s="10">
        <f>CHOOSE(CONTROL!$C$42, 13.7302, 13.7302) * CHOOSE(CONTROL!$C$21, $C$9, 100%, $E$9)</f>
        <v>13.7302</v>
      </c>
      <c r="M362" s="10">
        <f>CHOOSE(CONTROL!$C$42, 12.9232, 12.9232) * CHOOSE(CONTROL!$C$21, $C$9, 100%, $E$9)</f>
        <v>12.9232</v>
      </c>
      <c r="N362" s="10">
        <f>CHOOSE(CONTROL!$C$42, 12.9404, 12.9404) * CHOOSE(CONTROL!$C$21, $C$9, 100%, $E$9)</f>
        <v>12.9404</v>
      </c>
      <c r="O362" s="10">
        <f>CHOOSE(CONTROL!$C$42, 13.0244, 13.0244) * CHOOSE(CONTROL!$C$21, $C$9, 100%, $E$9)</f>
        <v>13.0244</v>
      </c>
      <c r="P362" s="10">
        <f>CHOOSE(CONTROL!$C$42, 12.9238, 12.9238) * CHOOSE(CONTROL!$C$21, $C$9, 100%, $E$9)</f>
        <v>12.9238</v>
      </c>
      <c r="Q362" s="10">
        <f>CHOOSE(CONTROL!$C$42, 13.6197, 13.6197) * CHOOSE(CONTROL!$C$21, $C$9, 100%, $E$9)</f>
        <v>13.6197</v>
      </c>
      <c r="R362" s="10">
        <f>CHOOSE(CONTROL!$C$42, 14.2408, 14.2408) * CHOOSE(CONTROL!$C$21, $C$9, 100%, $E$9)</f>
        <v>14.2408</v>
      </c>
      <c r="S362" s="10">
        <f>CHOOSE(CONTROL!$C$42, 12.6754, 12.6754) * CHOOSE(CONTROL!$C$21, $C$9, 100%, $E$9)</f>
        <v>12.6754</v>
      </c>
      <c r="T362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362" s="58">
        <f>(1000*CHOOSE(CONTROL!$C$42, 695, 695)*CHOOSE(CONTROL!$C$42, 0.5599, 0.5599)*CHOOSE(CONTROL!$C$42, 28, 28))/1000000</f>
        <v>10.895653999999999</v>
      </c>
      <c r="V362" s="58">
        <f>(1000*CHOOSE(CONTROL!$C$42, 500, 500)*CHOOSE(CONTROL!$C$42, 0.275, 0.275)*CHOOSE(CONTROL!$C$42, 28, 28))/1000000</f>
        <v>3.85</v>
      </c>
      <c r="W362" s="58">
        <f>(1000*CHOOSE(CONTROL!$C$42, 0.1146, 0.1146)*CHOOSE(CONTROL!$C$42, 121.5, 121.5)*CHOOSE(CONTROL!$C$42, 28, 28))/1000000</f>
        <v>0.38986920000000003</v>
      </c>
      <c r="X362" s="58">
        <f>(28*0.1790888*100000/1000000)+(28*0.2374*100000/1000000)</f>
        <v>1.16616864</v>
      </c>
      <c r="Y362" s="58"/>
      <c r="Z362" s="10"/>
      <c r="AA362" s="57"/>
      <c r="AB362" s="51">
        <f>(B362*122.58+C362*297.941+D362*89.177+E362*40.302+F362*40+G362*160+H362*0+I362*100+J362*300)/(122.58+297.941+89.177+40.302+0+40+160+100+300)</f>
        <v>13.061093952260869</v>
      </c>
      <c r="AC362" s="27">
        <f>(M362*'RAP TEMPLATE-GAS AVAILABILITY'!O361+N362*'RAP TEMPLATE-GAS AVAILABILITY'!P361+O362*'RAP TEMPLATE-GAS AVAILABILITY'!Q361+P362*'RAP TEMPLATE-GAS AVAILABILITY'!R361)/('RAP TEMPLATE-GAS AVAILABILITY'!O361+'RAP TEMPLATE-GAS AVAILABILITY'!P361+'RAP TEMPLATE-GAS AVAILABILITY'!Q361+'RAP TEMPLATE-GAS AVAILABILITY'!R361)</f>
        <v>12.970143884892087</v>
      </c>
    </row>
    <row r="363" spans="1:29" ht="15.75" x14ac:dyDescent="0.25">
      <c r="A363" s="14">
        <v>51956</v>
      </c>
      <c r="B363" s="10">
        <f>CHOOSE(CONTROL!$C$42, 12.6842, 12.6842) * CHOOSE(CONTROL!$C$21, $C$9, 100%, $E$9)</f>
        <v>12.684200000000001</v>
      </c>
      <c r="C363" s="10">
        <f>CHOOSE(CONTROL!$C$42, 12.6892, 12.6892) * CHOOSE(CONTROL!$C$21, $C$9, 100%, $E$9)</f>
        <v>12.6892</v>
      </c>
      <c r="D363" s="10">
        <f>CHOOSE(CONTROL!$C$42, 12.7497, 12.7497) * CHOOSE(CONTROL!$C$21, $C$9, 100%, $E$9)</f>
        <v>12.749700000000001</v>
      </c>
      <c r="E363" s="10">
        <f>CHOOSE(CONTROL!$C$42, 12.7835, 12.7835) * CHOOSE(CONTROL!$C$21, $C$9, 100%, $E$9)</f>
        <v>12.7835</v>
      </c>
      <c r="F363" s="10">
        <f>CHOOSE(CONTROL!$C$42, 12.672, 12.672)*CHOOSE(CONTROL!$C$21, $C$9, 100%, $E$9)</f>
        <v>12.672000000000001</v>
      </c>
      <c r="G363" s="10">
        <f>CHOOSE(CONTROL!$C$42, 12.6892, 12.6892)*CHOOSE(CONTROL!$C$21, $C$9, 100%, $E$9)</f>
        <v>12.6892</v>
      </c>
      <c r="H363" s="10">
        <f>CHOOSE(CONTROL!$C$42, 12.7727, 12.7727) * CHOOSE(CONTROL!$C$21, $C$9, 100%, $E$9)</f>
        <v>12.7727</v>
      </c>
      <c r="I363" s="10">
        <f>CHOOSE(CONTROL!$C$42, 12.6581, 12.6581)* CHOOSE(CONTROL!$C$21, $C$9, 100%, $E$9)</f>
        <v>12.658099999999999</v>
      </c>
      <c r="J363" s="10">
        <f>CHOOSE(CONTROL!$C$42, 12.665, 12.665)* CHOOSE(CONTROL!$C$21, $C$9, 100%, $E$9)</f>
        <v>12.664999999999999</v>
      </c>
      <c r="K363" s="54">
        <f>CHOOSE(CONTROL!$C$42, 12.6542, 12.6542) * CHOOSE(CONTROL!$C$21, $C$9, 100%, $E$9)</f>
        <v>12.654199999999999</v>
      </c>
      <c r="L363" s="10">
        <f>CHOOSE(CONTROL!$C$42, 13.3597, 13.3597) * CHOOSE(CONTROL!$C$21, $C$9, 100%, $E$9)</f>
        <v>13.3597</v>
      </c>
      <c r="M363" s="10">
        <f>CHOOSE(CONTROL!$C$42, 12.551, 12.551) * CHOOSE(CONTROL!$C$21, $C$9, 100%, $E$9)</f>
        <v>12.551</v>
      </c>
      <c r="N363" s="10">
        <f>CHOOSE(CONTROL!$C$42, 12.568, 12.568) * CHOOSE(CONTROL!$C$21, $C$9, 100%, $E$9)</f>
        <v>12.568</v>
      </c>
      <c r="O363" s="10">
        <f>CHOOSE(CONTROL!$C$42, 12.6576, 12.6576) * CHOOSE(CONTROL!$C$21, $C$9, 100%, $E$9)</f>
        <v>12.6576</v>
      </c>
      <c r="P363" s="10">
        <f>CHOOSE(CONTROL!$C$42, 12.5443, 12.5443) * CHOOSE(CONTROL!$C$21, $C$9, 100%, $E$9)</f>
        <v>12.5443</v>
      </c>
      <c r="Q363" s="10">
        <f>CHOOSE(CONTROL!$C$42, 13.2529, 13.2529) * CHOOSE(CONTROL!$C$21, $C$9, 100%, $E$9)</f>
        <v>13.2529</v>
      </c>
      <c r="R363" s="10">
        <f>CHOOSE(CONTROL!$C$42, 13.873, 13.873) * CHOOSE(CONTROL!$C$21, $C$9, 100%, $E$9)</f>
        <v>13.872999999999999</v>
      </c>
      <c r="S363" s="10">
        <f>CHOOSE(CONTROL!$C$42, 12.3155, 12.3155) * CHOOSE(CONTROL!$C$21, $C$9, 100%, $E$9)</f>
        <v>12.3155</v>
      </c>
      <c r="T363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363" s="58">
        <f>(1000*CHOOSE(CONTROL!$C$42, 695, 695)*CHOOSE(CONTROL!$C$42, 0.5599, 0.5599)*CHOOSE(CONTROL!$C$42, 31, 31))/1000000</f>
        <v>12.063045499999998</v>
      </c>
      <c r="V363" s="58">
        <f>(1000*CHOOSE(CONTROL!$C$42, 500, 500)*CHOOSE(CONTROL!$C$42, 0.275, 0.275)*CHOOSE(CONTROL!$C$42, 31, 31))/1000000</f>
        <v>4.2625000000000002</v>
      </c>
      <c r="W363" s="58">
        <f>(1000*CHOOSE(CONTROL!$C$42, 0.1146, 0.1146)*CHOOSE(CONTROL!$C$42, 121.5, 121.5)*CHOOSE(CONTROL!$C$42, 31, 31))/1000000</f>
        <v>0.43164089999999994</v>
      </c>
      <c r="X363" s="58">
        <f>(31*0.1790888*100000/1000000)+(31*0.2374*100000/1000000)</f>
        <v>1.2911152800000001</v>
      </c>
      <c r="Y363" s="58"/>
      <c r="Z363" s="10"/>
      <c r="AA363" s="57"/>
      <c r="AB363" s="51">
        <f>(B363*122.58+C363*297.941+D363*89.177+E363*40.302+F363*40+G363*160+H363*0+I363*100+J363*300)/(122.58+297.941+89.177+40.302+0+40+160+100+300)</f>
        <v>12.687047640956521</v>
      </c>
      <c r="AC363" s="27">
        <f>(M363*'RAP TEMPLATE-GAS AVAILABILITY'!O362+N363*'RAP TEMPLATE-GAS AVAILABILITY'!P362+O363*'RAP TEMPLATE-GAS AVAILABILITY'!Q362+P363*'RAP TEMPLATE-GAS AVAILABILITY'!R362)/('RAP TEMPLATE-GAS AVAILABILITY'!O362+'RAP TEMPLATE-GAS AVAILABILITY'!P362+'RAP TEMPLATE-GAS AVAILABILITY'!Q362+'RAP TEMPLATE-GAS AVAILABILITY'!R362)</f>
        <v>12.599329496402877</v>
      </c>
    </row>
    <row r="364" spans="1:29" ht="15.75" x14ac:dyDescent="0.25">
      <c r="A364" s="14">
        <v>51986</v>
      </c>
      <c r="B364" s="10">
        <f>CHOOSE(CONTROL!$C$42, 12.6474, 12.6474) * CHOOSE(CONTROL!$C$21, $C$9, 100%, $E$9)</f>
        <v>12.647399999999999</v>
      </c>
      <c r="C364" s="10">
        <f>CHOOSE(CONTROL!$C$42, 12.6518, 12.6518) * CHOOSE(CONTROL!$C$21, $C$9, 100%, $E$9)</f>
        <v>12.6518</v>
      </c>
      <c r="D364" s="10">
        <f>CHOOSE(CONTROL!$C$42, 12.8474, 12.8474) * CHOOSE(CONTROL!$C$21, $C$9, 100%, $E$9)</f>
        <v>12.8474</v>
      </c>
      <c r="E364" s="10">
        <f>CHOOSE(CONTROL!$C$42, 12.8792, 12.8792) * CHOOSE(CONTROL!$C$21, $C$9, 100%, $E$9)</f>
        <v>12.879200000000001</v>
      </c>
      <c r="F364" s="10">
        <f>CHOOSE(CONTROL!$C$42, 12.6152, 12.6152)*CHOOSE(CONTROL!$C$21, $C$9, 100%, $E$9)</f>
        <v>12.6152</v>
      </c>
      <c r="G364" s="10">
        <f>CHOOSE(CONTROL!$C$42, 12.632, 12.632)*CHOOSE(CONTROL!$C$21, $C$9, 100%, $E$9)</f>
        <v>12.632</v>
      </c>
      <c r="H364" s="10">
        <f>CHOOSE(CONTROL!$C$42, 12.869, 12.869) * CHOOSE(CONTROL!$C$21, $C$9, 100%, $E$9)</f>
        <v>12.869</v>
      </c>
      <c r="I364" s="10">
        <f>CHOOSE(CONTROL!$C$42, 12.6154, 12.6154)* CHOOSE(CONTROL!$C$21, $C$9, 100%, $E$9)</f>
        <v>12.615399999999999</v>
      </c>
      <c r="J364" s="10">
        <f>CHOOSE(CONTROL!$C$42, 12.6082, 12.6082)* CHOOSE(CONTROL!$C$21, $C$9, 100%, $E$9)</f>
        <v>12.6082</v>
      </c>
      <c r="K364" s="54">
        <f>CHOOSE(CONTROL!$C$42, 12.6115, 12.6115) * CHOOSE(CONTROL!$C$21, $C$9, 100%, $E$9)</f>
        <v>12.611499999999999</v>
      </c>
      <c r="L364" s="10">
        <f>CHOOSE(CONTROL!$C$42, 13.456, 13.456) * CHOOSE(CONTROL!$C$21, $C$9, 100%, $E$9)</f>
        <v>13.456</v>
      </c>
      <c r="M364" s="10">
        <f>CHOOSE(CONTROL!$C$42, 12.4948, 12.4948) * CHOOSE(CONTROL!$C$21, $C$9, 100%, $E$9)</f>
        <v>12.4948</v>
      </c>
      <c r="N364" s="10">
        <f>CHOOSE(CONTROL!$C$42, 12.5114, 12.5114) * CHOOSE(CONTROL!$C$21, $C$9, 100%, $E$9)</f>
        <v>12.5114</v>
      </c>
      <c r="O364" s="10">
        <f>CHOOSE(CONTROL!$C$42, 12.7529, 12.7529) * CHOOSE(CONTROL!$C$21, $C$9, 100%, $E$9)</f>
        <v>12.7529</v>
      </c>
      <c r="P364" s="10">
        <f>CHOOSE(CONTROL!$C$42, 12.502, 12.502) * CHOOSE(CONTROL!$C$21, $C$9, 100%, $E$9)</f>
        <v>12.502000000000001</v>
      </c>
      <c r="Q364" s="10">
        <f>CHOOSE(CONTROL!$C$42, 13.3482, 13.3482) * CHOOSE(CONTROL!$C$21, $C$9, 100%, $E$9)</f>
        <v>13.3482</v>
      </c>
      <c r="R364" s="10">
        <f>CHOOSE(CONTROL!$C$42, 13.9686, 13.9686) * CHOOSE(CONTROL!$C$21, $C$9, 100%, $E$9)</f>
        <v>13.9686</v>
      </c>
      <c r="S364" s="10">
        <f>CHOOSE(CONTROL!$C$42, 12.279, 12.279) * CHOOSE(CONTROL!$C$21, $C$9, 100%, $E$9)</f>
        <v>12.279</v>
      </c>
      <c r="T364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364" s="58">
        <f>(1000*CHOOSE(CONTROL!$C$42, 695, 695)*CHOOSE(CONTROL!$C$42, 0.5599, 0.5599)*CHOOSE(CONTROL!$C$42, 30, 30))/1000000</f>
        <v>11.673914999999997</v>
      </c>
      <c r="V364" s="58">
        <f>(1000*CHOOSE(CONTROL!$C$42, 500, 500)*CHOOSE(CONTROL!$C$42, 0.275, 0.275)*CHOOSE(CONTROL!$C$42, 30, 30))/1000000</f>
        <v>4.125</v>
      </c>
      <c r="W364" s="58">
        <f>(1000*CHOOSE(CONTROL!$C$42, 0.1146, 0.1146)*CHOOSE(CONTROL!$C$42, 121.5, 121.5)*CHOOSE(CONTROL!$C$42, 30, 30))/1000000</f>
        <v>0.417717</v>
      </c>
      <c r="X364" s="58">
        <f>(30*0.1790888*245000/1000000)+(30*0.2374*100000/1000000)</f>
        <v>2.0285026799999999</v>
      </c>
      <c r="Y364" s="58"/>
      <c r="Z364" s="10"/>
      <c r="AA364" s="57"/>
      <c r="AB364" s="51">
        <f>(B364*141.293+C364*267.993+D364*115.016+E364*89.698+F364*40+G364*185+H364*0+I364*100+J364*300)/(141.293+267.993+115.016+89.698+0+40+185+100+300)</f>
        <v>12.668285686521386</v>
      </c>
      <c r="AC364" s="27">
        <f>(M364*'RAP TEMPLATE-GAS AVAILABILITY'!O363+N364*'RAP TEMPLATE-GAS AVAILABILITY'!P363+O364*'RAP TEMPLATE-GAS AVAILABILITY'!Q363+P364*'RAP TEMPLATE-GAS AVAILABILITY'!R363)/('RAP TEMPLATE-GAS AVAILABILITY'!O363+'RAP TEMPLATE-GAS AVAILABILITY'!P363+'RAP TEMPLATE-GAS AVAILABILITY'!Q363+'RAP TEMPLATE-GAS AVAILABILITY'!R363)</f>
        <v>12.572074100719425</v>
      </c>
    </row>
    <row r="365" spans="1:29" ht="15.75" x14ac:dyDescent="0.25">
      <c r="A365" s="14">
        <v>52017</v>
      </c>
      <c r="B365" s="10">
        <f>CHOOSE(CONTROL!$C$42, 12.7604, 12.7604) * CHOOSE(CONTROL!$C$21, $C$9, 100%, $E$9)</f>
        <v>12.760400000000001</v>
      </c>
      <c r="C365" s="10">
        <f>CHOOSE(CONTROL!$C$42, 12.7683, 12.7683) * CHOOSE(CONTROL!$C$21, $C$9, 100%, $E$9)</f>
        <v>12.7683</v>
      </c>
      <c r="D365" s="10">
        <f>CHOOSE(CONTROL!$C$42, 12.9608, 12.9608) * CHOOSE(CONTROL!$C$21, $C$9, 100%, $E$9)</f>
        <v>12.960800000000001</v>
      </c>
      <c r="E365" s="10">
        <f>CHOOSE(CONTROL!$C$42, 12.9919, 12.9919) * CHOOSE(CONTROL!$C$21, $C$9, 100%, $E$9)</f>
        <v>12.991899999999999</v>
      </c>
      <c r="F365" s="10">
        <f>CHOOSE(CONTROL!$C$42, 12.7267, 12.7267)*CHOOSE(CONTROL!$C$21, $C$9, 100%, $E$9)</f>
        <v>12.726699999999999</v>
      </c>
      <c r="G365" s="10">
        <f>CHOOSE(CONTROL!$C$42, 12.7438, 12.7438)*CHOOSE(CONTROL!$C$21, $C$9, 100%, $E$9)</f>
        <v>12.7438</v>
      </c>
      <c r="H365" s="10">
        <f>CHOOSE(CONTROL!$C$42, 12.9805, 12.9805) * CHOOSE(CONTROL!$C$21, $C$9, 100%, $E$9)</f>
        <v>12.980499999999999</v>
      </c>
      <c r="I365" s="10">
        <f>CHOOSE(CONTROL!$C$42, 12.727, 12.727)* CHOOSE(CONTROL!$C$21, $C$9, 100%, $E$9)</f>
        <v>12.727</v>
      </c>
      <c r="J365" s="10">
        <f>CHOOSE(CONTROL!$C$42, 12.7197, 12.7197)* CHOOSE(CONTROL!$C$21, $C$9, 100%, $E$9)</f>
        <v>12.7197</v>
      </c>
      <c r="K365" s="54">
        <f>CHOOSE(CONTROL!$C$42, 12.7231, 12.7231) * CHOOSE(CONTROL!$C$21, $C$9, 100%, $E$9)</f>
        <v>12.723100000000001</v>
      </c>
      <c r="L365" s="10">
        <f>CHOOSE(CONTROL!$C$42, 13.5675, 13.5675) * CHOOSE(CONTROL!$C$21, $C$9, 100%, $E$9)</f>
        <v>13.567500000000001</v>
      </c>
      <c r="M365" s="10">
        <f>CHOOSE(CONTROL!$C$42, 12.6051, 12.6051) * CHOOSE(CONTROL!$C$21, $C$9, 100%, $E$9)</f>
        <v>12.6051</v>
      </c>
      <c r="N365" s="10">
        <f>CHOOSE(CONTROL!$C$42, 12.6221, 12.6221) * CHOOSE(CONTROL!$C$21, $C$9, 100%, $E$9)</f>
        <v>12.6221</v>
      </c>
      <c r="O365" s="10">
        <f>CHOOSE(CONTROL!$C$42, 12.8634, 12.8634) * CHOOSE(CONTROL!$C$21, $C$9, 100%, $E$9)</f>
        <v>12.8634</v>
      </c>
      <c r="P365" s="10">
        <f>CHOOSE(CONTROL!$C$42, 12.6124, 12.6124) * CHOOSE(CONTROL!$C$21, $C$9, 100%, $E$9)</f>
        <v>12.612399999999999</v>
      </c>
      <c r="Q365" s="10">
        <f>CHOOSE(CONTROL!$C$42, 13.4587, 13.4587) * CHOOSE(CONTROL!$C$21, $C$9, 100%, $E$9)</f>
        <v>13.4587</v>
      </c>
      <c r="R365" s="10">
        <f>CHOOSE(CONTROL!$C$42, 14.0793, 14.0793) * CHOOSE(CONTROL!$C$21, $C$9, 100%, $E$9)</f>
        <v>14.0793</v>
      </c>
      <c r="S365" s="10">
        <f>CHOOSE(CONTROL!$C$42, 12.3874, 12.3874) * CHOOSE(CONTROL!$C$21, $C$9, 100%, $E$9)</f>
        <v>12.3874</v>
      </c>
      <c r="T365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365" s="58">
        <f>(1000*CHOOSE(CONTROL!$C$42, 695, 695)*CHOOSE(CONTROL!$C$42, 0.5599, 0.5599)*CHOOSE(CONTROL!$C$42, 31, 31))/1000000</f>
        <v>12.063045499999998</v>
      </c>
      <c r="V365" s="58">
        <f>(1000*CHOOSE(CONTROL!$C$42, 500, 500)*CHOOSE(CONTROL!$C$42, 0.275, 0.275)*CHOOSE(CONTROL!$C$42, 31, 31))/1000000</f>
        <v>4.2625000000000002</v>
      </c>
      <c r="W365" s="58">
        <f>(1000*CHOOSE(CONTROL!$C$42, 0.1146, 0.1146)*CHOOSE(CONTROL!$C$42, 121.5, 121.5)*CHOOSE(CONTROL!$C$42, 31, 31))/1000000</f>
        <v>0.43164089999999994</v>
      </c>
      <c r="X365" s="58">
        <f>(31*0.1790888*245000/1000000)+(31*0.2374*100000/1000000)</f>
        <v>2.0961194359999999</v>
      </c>
      <c r="Y365" s="58"/>
      <c r="Z365" s="10"/>
      <c r="AA365" s="57"/>
      <c r="AB365" s="51">
        <f>(B365*194.205+C365*267.466+D365*133.845+E365*53.484+F365*40+G365*185+H365*0+I365*100+J365*300)/(194.205+267.466+133.845+53.484+0+40+185+100+300)</f>
        <v>12.77715672323391</v>
      </c>
      <c r="AC365" s="27">
        <f>(M365*'RAP TEMPLATE-GAS AVAILABILITY'!O364+N365*'RAP TEMPLATE-GAS AVAILABILITY'!P364+O365*'RAP TEMPLATE-GAS AVAILABILITY'!Q364+P365*'RAP TEMPLATE-GAS AVAILABILITY'!R364)/('RAP TEMPLATE-GAS AVAILABILITY'!O364+'RAP TEMPLATE-GAS AVAILABILITY'!P364+'RAP TEMPLATE-GAS AVAILABILITY'!Q364+'RAP TEMPLATE-GAS AVAILABILITY'!R364)</f>
        <v>12.682536690647483</v>
      </c>
    </row>
    <row r="366" spans="1:29" ht="15.75" x14ac:dyDescent="0.25">
      <c r="A366" s="14">
        <v>52047</v>
      </c>
      <c r="B366" s="10">
        <f>CHOOSE(CONTROL!$C$42, 13.1222, 13.1222) * CHOOSE(CONTROL!$C$21, $C$9, 100%, $E$9)</f>
        <v>13.122199999999999</v>
      </c>
      <c r="C366" s="10">
        <f>CHOOSE(CONTROL!$C$42, 13.1302, 13.1302) * CHOOSE(CONTROL!$C$21, $C$9, 100%, $E$9)</f>
        <v>13.1302</v>
      </c>
      <c r="D366" s="10">
        <f>CHOOSE(CONTROL!$C$42, 13.3226, 13.3226) * CHOOSE(CONTROL!$C$21, $C$9, 100%, $E$9)</f>
        <v>13.3226</v>
      </c>
      <c r="E366" s="10">
        <f>CHOOSE(CONTROL!$C$42, 13.3537, 13.3537) * CHOOSE(CONTROL!$C$21, $C$9, 100%, $E$9)</f>
        <v>13.3537</v>
      </c>
      <c r="F366" s="10">
        <f>CHOOSE(CONTROL!$C$42, 13.0887, 13.0887)*CHOOSE(CONTROL!$C$21, $C$9, 100%, $E$9)</f>
        <v>13.088699999999999</v>
      </c>
      <c r="G366" s="10">
        <f>CHOOSE(CONTROL!$C$42, 13.1059, 13.1059)*CHOOSE(CONTROL!$C$21, $C$9, 100%, $E$9)</f>
        <v>13.1059</v>
      </c>
      <c r="H366" s="10">
        <f>CHOOSE(CONTROL!$C$42, 13.3424, 13.3424) * CHOOSE(CONTROL!$C$21, $C$9, 100%, $E$9)</f>
        <v>13.3424</v>
      </c>
      <c r="I366" s="10">
        <f>CHOOSE(CONTROL!$C$42, 13.0888, 13.0888)* CHOOSE(CONTROL!$C$21, $C$9, 100%, $E$9)</f>
        <v>13.088800000000001</v>
      </c>
      <c r="J366" s="10">
        <f>CHOOSE(CONTROL!$C$42, 13.0817, 13.0817)* CHOOSE(CONTROL!$C$21, $C$9, 100%, $E$9)</f>
        <v>13.0817</v>
      </c>
      <c r="K366" s="54">
        <f>CHOOSE(CONTROL!$C$42, 13.0849, 13.0849) * CHOOSE(CONTROL!$C$21, $C$9, 100%, $E$9)</f>
        <v>13.084899999999999</v>
      </c>
      <c r="L366" s="10">
        <f>CHOOSE(CONTROL!$C$42, 13.9294, 13.9294) * CHOOSE(CONTROL!$C$21, $C$9, 100%, $E$9)</f>
        <v>13.929399999999999</v>
      </c>
      <c r="M366" s="10">
        <f>CHOOSE(CONTROL!$C$42, 12.9635, 12.9635) * CHOOSE(CONTROL!$C$21, $C$9, 100%, $E$9)</f>
        <v>12.9635</v>
      </c>
      <c r="N366" s="10">
        <f>CHOOSE(CONTROL!$C$42, 12.9806, 12.9806) * CHOOSE(CONTROL!$C$21, $C$9, 100%, $E$9)</f>
        <v>12.980600000000001</v>
      </c>
      <c r="O366" s="10">
        <f>CHOOSE(CONTROL!$C$42, 13.2215, 13.2215) * CHOOSE(CONTROL!$C$21, $C$9, 100%, $E$9)</f>
        <v>13.221500000000001</v>
      </c>
      <c r="P366" s="10">
        <f>CHOOSE(CONTROL!$C$42, 12.9706, 12.9706) * CHOOSE(CONTROL!$C$21, $C$9, 100%, $E$9)</f>
        <v>12.970599999999999</v>
      </c>
      <c r="Q366" s="10">
        <f>CHOOSE(CONTROL!$C$42, 13.8168, 13.8168) * CHOOSE(CONTROL!$C$21, $C$9, 100%, $E$9)</f>
        <v>13.816800000000001</v>
      </c>
      <c r="R366" s="10">
        <f>CHOOSE(CONTROL!$C$42, 14.4384, 14.4384) * CHOOSE(CONTROL!$C$21, $C$9, 100%, $E$9)</f>
        <v>14.4384</v>
      </c>
      <c r="S366" s="10">
        <f>CHOOSE(CONTROL!$C$42, 12.7388, 12.7388) * CHOOSE(CONTROL!$C$21, $C$9, 100%, $E$9)</f>
        <v>12.738799999999999</v>
      </c>
      <c r="T366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366" s="58">
        <f>(1000*CHOOSE(CONTROL!$C$42, 695, 695)*CHOOSE(CONTROL!$C$42, 0.5599, 0.5599)*CHOOSE(CONTROL!$C$42, 30, 30))/1000000</f>
        <v>11.673914999999997</v>
      </c>
      <c r="V366" s="58">
        <f>(1000*CHOOSE(CONTROL!$C$42, 500, 500)*CHOOSE(CONTROL!$C$42, 0.275, 0.275)*CHOOSE(CONTROL!$C$42, 30, 30))/1000000</f>
        <v>4.125</v>
      </c>
      <c r="W366" s="58">
        <f>(1000*CHOOSE(CONTROL!$C$42, 0.1146, 0.1146)*CHOOSE(CONTROL!$C$42, 121.5, 121.5)*CHOOSE(CONTROL!$C$42, 30, 30))/1000000</f>
        <v>0.417717</v>
      </c>
      <c r="X366" s="58">
        <f>(30*0.1790888*245000/1000000)+(30*0.2374*100000/1000000)</f>
        <v>2.0285026799999999</v>
      </c>
      <c r="Y366" s="58"/>
      <c r="Z366" s="10"/>
      <c r="AA366" s="57"/>
      <c r="AB366" s="51">
        <f>(B366*194.205+C366*267.466+D366*133.845+E366*53.484+F366*40+G366*185+H366*0+I366*100+J366*300)/(194.205+267.466+133.845+53.484+0+40+185+100+300)</f>
        <v>13.139074656200942</v>
      </c>
      <c r="AC366" s="27">
        <f>(M366*'RAP TEMPLATE-GAS AVAILABILITY'!O365+N366*'RAP TEMPLATE-GAS AVAILABILITY'!P365+O366*'RAP TEMPLATE-GAS AVAILABILITY'!Q365+P366*'RAP TEMPLATE-GAS AVAILABILITY'!R365)/('RAP TEMPLATE-GAS AVAILABILITY'!O365+'RAP TEMPLATE-GAS AVAILABILITY'!P365+'RAP TEMPLATE-GAS AVAILABILITY'!Q365+'RAP TEMPLATE-GAS AVAILABILITY'!R365)</f>
        <v>13.040846762589929</v>
      </c>
    </row>
    <row r="367" spans="1:29" ht="15.75" x14ac:dyDescent="0.25">
      <c r="A367" s="14">
        <v>52078</v>
      </c>
      <c r="B367" s="10">
        <f>CHOOSE(CONTROL!$C$42, 12.8706, 12.8706) * CHOOSE(CONTROL!$C$21, $C$9, 100%, $E$9)</f>
        <v>12.8706</v>
      </c>
      <c r="C367" s="10">
        <f>CHOOSE(CONTROL!$C$42, 12.8785, 12.8785) * CHOOSE(CONTROL!$C$21, $C$9, 100%, $E$9)</f>
        <v>12.878500000000001</v>
      </c>
      <c r="D367" s="10">
        <f>CHOOSE(CONTROL!$C$42, 13.0709, 13.0709) * CHOOSE(CONTROL!$C$21, $C$9, 100%, $E$9)</f>
        <v>13.0709</v>
      </c>
      <c r="E367" s="10">
        <f>CHOOSE(CONTROL!$C$42, 13.1021, 13.1021) * CHOOSE(CONTROL!$C$21, $C$9, 100%, $E$9)</f>
        <v>13.1021</v>
      </c>
      <c r="F367" s="10">
        <f>CHOOSE(CONTROL!$C$42, 12.8375, 12.8375)*CHOOSE(CONTROL!$C$21, $C$9, 100%, $E$9)</f>
        <v>12.8375</v>
      </c>
      <c r="G367" s="10">
        <f>CHOOSE(CONTROL!$C$42, 12.8548, 12.8548)*CHOOSE(CONTROL!$C$21, $C$9, 100%, $E$9)</f>
        <v>12.854799999999999</v>
      </c>
      <c r="H367" s="10">
        <f>CHOOSE(CONTROL!$C$42, 13.0907, 13.0907) * CHOOSE(CONTROL!$C$21, $C$9, 100%, $E$9)</f>
        <v>13.0907</v>
      </c>
      <c r="I367" s="10">
        <f>CHOOSE(CONTROL!$C$42, 12.8372, 12.8372)* CHOOSE(CONTROL!$C$21, $C$9, 100%, $E$9)</f>
        <v>12.837199999999999</v>
      </c>
      <c r="J367" s="10">
        <f>CHOOSE(CONTROL!$C$42, 12.8305, 12.8305)* CHOOSE(CONTROL!$C$21, $C$9, 100%, $E$9)</f>
        <v>12.830500000000001</v>
      </c>
      <c r="K367" s="54">
        <f>CHOOSE(CONTROL!$C$42, 12.8333, 12.8333) * CHOOSE(CONTROL!$C$21, $C$9, 100%, $E$9)</f>
        <v>12.833299999999999</v>
      </c>
      <c r="L367" s="10">
        <f>CHOOSE(CONTROL!$C$42, 13.6777, 13.6777) * CHOOSE(CONTROL!$C$21, $C$9, 100%, $E$9)</f>
        <v>13.6777</v>
      </c>
      <c r="M367" s="10">
        <f>CHOOSE(CONTROL!$C$42, 12.7148, 12.7148) * CHOOSE(CONTROL!$C$21, $C$9, 100%, $E$9)</f>
        <v>12.7148</v>
      </c>
      <c r="N367" s="10">
        <f>CHOOSE(CONTROL!$C$42, 12.7319, 12.7319) * CHOOSE(CONTROL!$C$21, $C$9, 100%, $E$9)</f>
        <v>12.7319</v>
      </c>
      <c r="O367" s="10">
        <f>CHOOSE(CONTROL!$C$42, 12.9724, 12.9724) * CHOOSE(CONTROL!$C$21, $C$9, 100%, $E$9)</f>
        <v>12.9724</v>
      </c>
      <c r="P367" s="10">
        <f>CHOOSE(CONTROL!$C$42, 12.7215, 12.7215) * CHOOSE(CONTROL!$C$21, $C$9, 100%, $E$9)</f>
        <v>12.721500000000001</v>
      </c>
      <c r="Q367" s="10">
        <f>CHOOSE(CONTROL!$C$42, 13.5677, 13.5677) * CHOOSE(CONTROL!$C$21, $C$9, 100%, $E$9)</f>
        <v>13.5677</v>
      </c>
      <c r="R367" s="10">
        <f>CHOOSE(CONTROL!$C$42, 14.1887, 14.1887) * CHOOSE(CONTROL!$C$21, $C$9, 100%, $E$9)</f>
        <v>14.188700000000001</v>
      </c>
      <c r="S367" s="10">
        <f>CHOOSE(CONTROL!$C$42, 12.4944, 12.4944) * CHOOSE(CONTROL!$C$21, $C$9, 100%, $E$9)</f>
        <v>12.494400000000001</v>
      </c>
      <c r="T367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367" s="58">
        <f>(1000*CHOOSE(CONTROL!$C$42, 695, 695)*CHOOSE(CONTROL!$C$42, 0.5599, 0.5599)*CHOOSE(CONTROL!$C$42, 31, 31))/1000000</f>
        <v>12.063045499999998</v>
      </c>
      <c r="V367" s="58">
        <f>(1000*CHOOSE(CONTROL!$C$42, 500, 500)*CHOOSE(CONTROL!$C$42, 0.275, 0.275)*CHOOSE(CONTROL!$C$42, 31, 31))/1000000</f>
        <v>4.2625000000000002</v>
      </c>
      <c r="W367" s="58">
        <f>(1000*CHOOSE(CONTROL!$C$42, 0.1146, 0.1146)*CHOOSE(CONTROL!$C$42, 121.5, 121.5)*CHOOSE(CONTROL!$C$42, 31, 31))/1000000</f>
        <v>0.43164089999999994</v>
      </c>
      <c r="X367" s="58">
        <f>(31*0.1790888*245000/1000000)+(31*0.2374*100000/1000000)</f>
        <v>2.0961194359999999</v>
      </c>
      <c r="Y367" s="58"/>
      <c r="Z367" s="10"/>
      <c r="AA367" s="57"/>
      <c r="AB367" s="51">
        <f>(B367*194.205+C367*267.466+D367*133.845+E367*53.484+F367*40+G367*185+H367*0+I367*100+J367*300)/(194.205+267.466+133.845+53.484+0+40+185+100+300)</f>
        <v>12.887622512480377</v>
      </c>
      <c r="AC367" s="27">
        <f>(M367*'RAP TEMPLATE-GAS AVAILABILITY'!O366+N367*'RAP TEMPLATE-GAS AVAILABILITY'!P366+O367*'RAP TEMPLATE-GAS AVAILABILITY'!Q366+P367*'RAP TEMPLATE-GAS AVAILABILITY'!R366)/('RAP TEMPLATE-GAS AVAILABILITY'!O366+'RAP TEMPLATE-GAS AVAILABILITY'!P366+'RAP TEMPLATE-GAS AVAILABILITY'!Q366+'RAP TEMPLATE-GAS AVAILABILITY'!R366)</f>
        <v>12.791976978417265</v>
      </c>
    </row>
    <row r="368" spans="1:29" ht="15.75" x14ac:dyDescent="0.25">
      <c r="A368" s="14">
        <v>52109</v>
      </c>
      <c r="B368" s="10">
        <f>CHOOSE(CONTROL!$C$42, 12.2351, 12.2351) * CHOOSE(CONTROL!$C$21, $C$9, 100%, $E$9)</f>
        <v>12.235099999999999</v>
      </c>
      <c r="C368" s="10">
        <f>CHOOSE(CONTROL!$C$42, 12.243, 12.243) * CHOOSE(CONTROL!$C$21, $C$9, 100%, $E$9)</f>
        <v>12.243</v>
      </c>
      <c r="D368" s="10">
        <f>CHOOSE(CONTROL!$C$42, 12.4355, 12.4355) * CHOOSE(CONTROL!$C$21, $C$9, 100%, $E$9)</f>
        <v>12.435499999999999</v>
      </c>
      <c r="E368" s="10">
        <f>CHOOSE(CONTROL!$C$42, 12.4666, 12.4666) * CHOOSE(CONTROL!$C$21, $C$9, 100%, $E$9)</f>
        <v>12.4666</v>
      </c>
      <c r="F368" s="10">
        <f>CHOOSE(CONTROL!$C$42, 12.2022, 12.2022)*CHOOSE(CONTROL!$C$21, $C$9, 100%, $E$9)</f>
        <v>12.202199999999999</v>
      </c>
      <c r="G368" s="10">
        <f>CHOOSE(CONTROL!$C$42, 12.2195, 12.2195)*CHOOSE(CONTROL!$C$21, $C$9, 100%, $E$9)</f>
        <v>12.2195</v>
      </c>
      <c r="H368" s="10">
        <f>CHOOSE(CONTROL!$C$42, 12.4552, 12.4552) * CHOOSE(CONTROL!$C$21, $C$9, 100%, $E$9)</f>
        <v>12.4552</v>
      </c>
      <c r="I368" s="10">
        <f>CHOOSE(CONTROL!$C$42, 12.2017, 12.2017)* CHOOSE(CONTROL!$C$21, $C$9, 100%, $E$9)</f>
        <v>12.201700000000001</v>
      </c>
      <c r="J368" s="10">
        <f>CHOOSE(CONTROL!$C$42, 12.1952, 12.1952)* CHOOSE(CONTROL!$C$21, $C$9, 100%, $E$9)</f>
        <v>12.1952</v>
      </c>
      <c r="K368" s="54">
        <f>CHOOSE(CONTROL!$C$42, 12.1978, 12.1978) * CHOOSE(CONTROL!$C$21, $C$9, 100%, $E$9)</f>
        <v>12.197800000000001</v>
      </c>
      <c r="L368" s="10">
        <f>CHOOSE(CONTROL!$C$42, 13.0422, 13.0422) * CHOOSE(CONTROL!$C$21, $C$9, 100%, $E$9)</f>
        <v>13.042199999999999</v>
      </c>
      <c r="M368" s="10">
        <f>CHOOSE(CONTROL!$C$42, 12.0859, 12.0859) * CHOOSE(CONTROL!$C$21, $C$9, 100%, $E$9)</f>
        <v>12.085900000000001</v>
      </c>
      <c r="N368" s="10">
        <f>CHOOSE(CONTROL!$C$42, 12.1031, 12.1031) * CHOOSE(CONTROL!$C$21, $C$9, 100%, $E$9)</f>
        <v>12.1031</v>
      </c>
      <c r="O368" s="10">
        <f>CHOOSE(CONTROL!$C$42, 12.3434, 12.3434) * CHOOSE(CONTROL!$C$21, $C$9, 100%, $E$9)</f>
        <v>12.343400000000001</v>
      </c>
      <c r="P368" s="10">
        <f>CHOOSE(CONTROL!$C$42, 12.0924, 12.0924) * CHOOSE(CONTROL!$C$21, $C$9, 100%, $E$9)</f>
        <v>12.0924</v>
      </c>
      <c r="Q368" s="10">
        <f>CHOOSE(CONTROL!$C$42, 12.9387, 12.9387) * CHOOSE(CONTROL!$C$21, $C$9, 100%, $E$9)</f>
        <v>12.938700000000001</v>
      </c>
      <c r="R368" s="10">
        <f>CHOOSE(CONTROL!$C$42, 13.558, 13.558) * CHOOSE(CONTROL!$C$21, $C$9, 100%, $E$9)</f>
        <v>13.558</v>
      </c>
      <c r="S368" s="10">
        <f>CHOOSE(CONTROL!$C$42, 11.8773, 11.8773) * CHOOSE(CONTROL!$C$21, $C$9, 100%, $E$9)</f>
        <v>11.8773</v>
      </c>
      <c r="T368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368" s="58">
        <f>(1000*CHOOSE(CONTROL!$C$42, 695, 695)*CHOOSE(CONTROL!$C$42, 0.5599, 0.5599)*CHOOSE(CONTROL!$C$42, 31, 31))/1000000</f>
        <v>12.063045499999998</v>
      </c>
      <c r="V368" s="58">
        <f>(1000*CHOOSE(CONTROL!$C$42, 500, 500)*CHOOSE(CONTROL!$C$42, 0.275, 0.275)*CHOOSE(CONTROL!$C$42, 31, 31))/1000000</f>
        <v>4.2625000000000002</v>
      </c>
      <c r="W368" s="58">
        <f>(1000*CHOOSE(CONTROL!$C$42, 0.1146, 0.1146)*CHOOSE(CONTROL!$C$42, 121.5, 121.5)*CHOOSE(CONTROL!$C$42, 31, 31))/1000000</f>
        <v>0.43164089999999994</v>
      </c>
      <c r="X368" s="58">
        <f>(31*0.1790888*245000/1000000)+(31*0.2374*100000/1000000)</f>
        <v>2.0961194359999999</v>
      </c>
      <c r="Y368" s="58"/>
      <c r="Z368" s="10"/>
      <c r="AA368" s="57"/>
      <c r="AB368" s="51">
        <f>(B368*194.205+C368*267.466+D368*133.845+E368*53.484+F368*40+G368*185+H368*0+I368*100+J368*300)/(194.205+267.466+133.845+53.484+0+40+185+100+300)</f>
        <v>12.252215435949763</v>
      </c>
      <c r="AC368" s="27">
        <f>(M368*'RAP TEMPLATE-GAS AVAILABILITY'!O367+N368*'RAP TEMPLATE-GAS AVAILABILITY'!P367+O368*'RAP TEMPLATE-GAS AVAILABILITY'!Q367+P368*'RAP TEMPLATE-GAS AVAILABILITY'!R367)/('RAP TEMPLATE-GAS AVAILABILITY'!O367+'RAP TEMPLATE-GAS AVAILABILITY'!P367+'RAP TEMPLATE-GAS AVAILABILITY'!Q367+'RAP TEMPLATE-GAS AVAILABILITY'!R367)</f>
        <v>12.163043165467627</v>
      </c>
    </row>
    <row r="369" spans="1:29" ht="15.75" x14ac:dyDescent="0.25">
      <c r="A369" s="14">
        <v>52139</v>
      </c>
      <c r="B369" s="10">
        <f>CHOOSE(CONTROL!$C$42, 11.4583, 11.4583) * CHOOSE(CONTROL!$C$21, $C$9, 100%, $E$9)</f>
        <v>11.458299999999999</v>
      </c>
      <c r="C369" s="10">
        <f>CHOOSE(CONTROL!$C$42, 11.4662, 11.4662) * CHOOSE(CONTROL!$C$21, $C$9, 100%, $E$9)</f>
        <v>11.466200000000001</v>
      </c>
      <c r="D369" s="10">
        <f>CHOOSE(CONTROL!$C$42, 11.6587, 11.6587) * CHOOSE(CONTROL!$C$21, $C$9, 100%, $E$9)</f>
        <v>11.6587</v>
      </c>
      <c r="E369" s="10">
        <f>CHOOSE(CONTROL!$C$42, 11.6898, 11.6898) * CHOOSE(CONTROL!$C$21, $C$9, 100%, $E$9)</f>
        <v>11.6898</v>
      </c>
      <c r="F369" s="10">
        <f>CHOOSE(CONTROL!$C$42, 11.4252, 11.4252)*CHOOSE(CONTROL!$C$21, $C$9, 100%, $E$9)</f>
        <v>11.4252</v>
      </c>
      <c r="G369" s="10">
        <f>CHOOSE(CONTROL!$C$42, 11.4425, 11.4425)*CHOOSE(CONTROL!$C$21, $C$9, 100%, $E$9)</f>
        <v>11.442500000000001</v>
      </c>
      <c r="H369" s="10">
        <f>CHOOSE(CONTROL!$C$42, 11.6784, 11.6784) * CHOOSE(CONTROL!$C$21, $C$9, 100%, $E$9)</f>
        <v>11.6784</v>
      </c>
      <c r="I369" s="10">
        <f>CHOOSE(CONTROL!$C$42, 11.4249, 11.4249)* CHOOSE(CONTROL!$C$21, $C$9, 100%, $E$9)</f>
        <v>11.424899999999999</v>
      </c>
      <c r="J369" s="10">
        <f>CHOOSE(CONTROL!$C$42, 11.4182, 11.4182)* CHOOSE(CONTROL!$C$21, $C$9, 100%, $E$9)</f>
        <v>11.418200000000001</v>
      </c>
      <c r="K369" s="54">
        <f>CHOOSE(CONTROL!$C$42, 11.421, 11.421) * CHOOSE(CONTROL!$C$21, $C$9, 100%, $E$9)</f>
        <v>11.420999999999999</v>
      </c>
      <c r="L369" s="10">
        <f>CHOOSE(CONTROL!$C$42, 12.2654, 12.2654) * CHOOSE(CONTROL!$C$21, $C$9, 100%, $E$9)</f>
        <v>12.2654</v>
      </c>
      <c r="M369" s="10">
        <f>CHOOSE(CONTROL!$C$42, 11.3168, 11.3168) * CHOOSE(CONTROL!$C$21, $C$9, 100%, $E$9)</f>
        <v>11.316800000000001</v>
      </c>
      <c r="N369" s="10">
        <f>CHOOSE(CONTROL!$C$42, 11.3339, 11.3339) * CHOOSE(CONTROL!$C$21, $C$9, 100%, $E$9)</f>
        <v>11.3339</v>
      </c>
      <c r="O369" s="10">
        <f>CHOOSE(CONTROL!$C$42, 11.5744, 11.5744) * CHOOSE(CONTROL!$C$21, $C$9, 100%, $E$9)</f>
        <v>11.574400000000001</v>
      </c>
      <c r="P369" s="10">
        <f>CHOOSE(CONTROL!$C$42, 11.3234, 11.3234) * CHOOSE(CONTROL!$C$21, $C$9, 100%, $E$9)</f>
        <v>11.323399999999999</v>
      </c>
      <c r="Q369" s="10">
        <f>CHOOSE(CONTROL!$C$42, 12.1697, 12.1697) * CHOOSE(CONTROL!$C$21, $C$9, 100%, $E$9)</f>
        <v>12.169700000000001</v>
      </c>
      <c r="R369" s="10">
        <f>CHOOSE(CONTROL!$C$42, 12.7871, 12.7871) * CHOOSE(CONTROL!$C$21, $C$9, 100%, $E$9)</f>
        <v>12.787100000000001</v>
      </c>
      <c r="S369" s="10">
        <f>CHOOSE(CONTROL!$C$42, 11.1229, 11.1229) * CHOOSE(CONTROL!$C$21, $C$9, 100%, $E$9)</f>
        <v>11.1229</v>
      </c>
      <c r="T369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369" s="58">
        <f>(1000*CHOOSE(CONTROL!$C$42, 695, 695)*CHOOSE(CONTROL!$C$42, 0.5599, 0.5599)*CHOOSE(CONTROL!$C$42, 30, 30))/1000000</f>
        <v>11.673914999999997</v>
      </c>
      <c r="V369" s="58">
        <f>(1000*CHOOSE(CONTROL!$C$42, 500, 500)*CHOOSE(CONTROL!$C$42, 0.275, 0.275)*CHOOSE(CONTROL!$C$42, 30, 30))/1000000</f>
        <v>4.125</v>
      </c>
      <c r="W369" s="58">
        <f>(1000*CHOOSE(CONTROL!$C$42, 0.1146, 0.1146)*CHOOSE(CONTROL!$C$42, 121.5, 121.5)*CHOOSE(CONTROL!$C$42, 30, 30))/1000000</f>
        <v>0.417717</v>
      </c>
      <c r="X369" s="58">
        <f>(30*0.1790888*245000/1000000)+(30*0.2374*100000/1000000)</f>
        <v>2.0285026799999999</v>
      </c>
      <c r="Y369" s="58"/>
      <c r="Z369" s="10"/>
      <c r="AA369" s="57"/>
      <c r="AB369" s="51">
        <f>(B369*194.205+C369*267.466+D369*133.845+E369*53.484+F369*40+G369*185+H369*0+I369*100+J369*300)/(194.205+267.466+133.845+53.484+0+40+185+100+300)</f>
        <v>11.475333018367349</v>
      </c>
      <c r="AC369" s="27">
        <f>(M369*'RAP TEMPLATE-GAS AVAILABILITY'!O368+N369*'RAP TEMPLATE-GAS AVAILABILITY'!P368+O369*'RAP TEMPLATE-GAS AVAILABILITY'!Q368+P369*'RAP TEMPLATE-GAS AVAILABILITY'!R368)/('RAP TEMPLATE-GAS AVAILABILITY'!O368+'RAP TEMPLATE-GAS AVAILABILITY'!P368+'RAP TEMPLATE-GAS AVAILABILITY'!Q368+'RAP TEMPLATE-GAS AVAILABILITY'!R368)</f>
        <v>11.393962589928059</v>
      </c>
    </row>
    <row r="370" spans="1:29" ht="15.75" x14ac:dyDescent="0.25">
      <c r="A370" s="14">
        <v>52170</v>
      </c>
      <c r="B370" s="10">
        <f>CHOOSE(CONTROL!$C$42, 11.224, 11.224) * CHOOSE(CONTROL!$C$21, $C$9, 100%, $E$9)</f>
        <v>11.224</v>
      </c>
      <c r="C370" s="10">
        <f>CHOOSE(CONTROL!$C$42, 11.2292, 11.2292) * CHOOSE(CONTROL!$C$21, $C$9, 100%, $E$9)</f>
        <v>11.229200000000001</v>
      </c>
      <c r="D370" s="10">
        <f>CHOOSE(CONTROL!$C$42, 11.4266, 11.4266) * CHOOSE(CONTROL!$C$21, $C$9, 100%, $E$9)</f>
        <v>11.426600000000001</v>
      </c>
      <c r="E370" s="10">
        <f>CHOOSE(CONTROL!$C$42, 11.4554, 11.4554) * CHOOSE(CONTROL!$C$21, $C$9, 100%, $E$9)</f>
        <v>11.455399999999999</v>
      </c>
      <c r="F370" s="10">
        <f>CHOOSE(CONTROL!$C$42, 11.1929, 11.1929)*CHOOSE(CONTROL!$C$21, $C$9, 100%, $E$9)</f>
        <v>11.1929</v>
      </c>
      <c r="G370" s="10">
        <f>CHOOSE(CONTROL!$C$42, 11.2099, 11.2099)*CHOOSE(CONTROL!$C$21, $C$9, 100%, $E$9)</f>
        <v>11.209899999999999</v>
      </c>
      <c r="H370" s="10">
        <f>CHOOSE(CONTROL!$C$42, 11.4459, 11.4459) * CHOOSE(CONTROL!$C$21, $C$9, 100%, $E$9)</f>
        <v>11.4459</v>
      </c>
      <c r="I370" s="10">
        <f>CHOOSE(CONTROL!$C$42, 11.1923, 11.1923)* CHOOSE(CONTROL!$C$21, $C$9, 100%, $E$9)</f>
        <v>11.192299999999999</v>
      </c>
      <c r="J370" s="10">
        <f>CHOOSE(CONTROL!$C$42, 11.1859, 11.1859)* CHOOSE(CONTROL!$C$21, $C$9, 100%, $E$9)</f>
        <v>11.1859</v>
      </c>
      <c r="K370" s="54">
        <f>CHOOSE(CONTROL!$C$42, 11.1884, 11.1884) * CHOOSE(CONTROL!$C$21, $C$9, 100%, $E$9)</f>
        <v>11.1884</v>
      </c>
      <c r="L370" s="10">
        <f>CHOOSE(CONTROL!$C$42, 12.0329, 12.0329) * CHOOSE(CONTROL!$C$21, $C$9, 100%, $E$9)</f>
        <v>12.0329</v>
      </c>
      <c r="M370" s="10">
        <f>CHOOSE(CONTROL!$C$42, 11.0868, 11.0868) * CHOOSE(CONTROL!$C$21, $C$9, 100%, $E$9)</f>
        <v>11.0868</v>
      </c>
      <c r="N370" s="10">
        <f>CHOOSE(CONTROL!$C$42, 11.1036, 11.1036) * CHOOSE(CONTROL!$C$21, $C$9, 100%, $E$9)</f>
        <v>11.1036</v>
      </c>
      <c r="O370" s="10">
        <f>CHOOSE(CONTROL!$C$42, 11.3442, 11.3442) * CHOOSE(CONTROL!$C$21, $C$9, 100%, $E$9)</f>
        <v>11.344200000000001</v>
      </c>
      <c r="P370" s="10">
        <f>CHOOSE(CONTROL!$C$42, 11.0932, 11.0932) * CHOOSE(CONTROL!$C$21, $C$9, 100%, $E$9)</f>
        <v>11.0932</v>
      </c>
      <c r="Q370" s="10">
        <f>CHOOSE(CONTROL!$C$42, 11.9395, 11.9395) * CHOOSE(CONTROL!$C$21, $C$9, 100%, $E$9)</f>
        <v>11.939500000000001</v>
      </c>
      <c r="R370" s="10">
        <f>CHOOSE(CONTROL!$C$42, 12.5563, 12.5563) * CHOOSE(CONTROL!$C$21, $C$9, 100%, $E$9)</f>
        <v>12.5563</v>
      </c>
      <c r="S370" s="10">
        <f>CHOOSE(CONTROL!$C$42, 10.8971, 10.8971) * CHOOSE(CONTROL!$C$21, $C$9, 100%, $E$9)</f>
        <v>10.8971</v>
      </c>
      <c r="T370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370" s="58">
        <f>(1000*CHOOSE(CONTROL!$C$42, 695, 695)*CHOOSE(CONTROL!$C$42, 0.5599, 0.5599)*CHOOSE(CONTROL!$C$42, 31, 31))/1000000</f>
        <v>12.063045499999998</v>
      </c>
      <c r="V370" s="58">
        <f>(1000*CHOOSE(CONTROL!$C$42, 500, 500)*CHOOSE(CONTROL!$C$42, 0.275, 0.275)*CHOOSE(CONTROL!$C$42, 31, 31))/1000000</f>
        <v>4.2625000000000002</v>
      </c>
      <c r="W370" s="58">
        <f>(1000*CHOOSE(CONTROL!$C$42, 0.1146, 0.1146)*CHOOSE(CONTROL!$C$42, 121.5, 121.5)*CHOOSE(CONTROL!$C$42, 31, 31))/1000000</f>
        <v>0.43164089999999994</v>
      </c>
      <c r="X370" s="58">
        <f>(31*0.1790888*245000/1000000)+(31*0.2374*100000/1000000)</f>
        <v>2.0961194359999999</v>
      </c>
      <c r="Y370" s="58"/>
      <c r="Z370" s="10"/>
      <c r="AA370" s="57"/>
      <c r="AB370" s="51">
        <f>(B370*131.881+C370*277.167+D370*79.08+E370*125.872+F370*40+G370*185+H370*0+I370*100+J370*300)/(131.881+277.167+79.08+125.872+0+40+185+100+300)</f>
        <v>11.246709569975788</v>
      </c>
      <c r="AC370" s="27">
        <f>(M370*'RAP TEMPLATE-GAS AVAILABILITY'!O369+N370*'RAP TEMPLATE-GAS AVAILABILITY'!P369+O370*'RAP TEMPLATE-GAS AVAILABILITY'!Q369+P370*'RAP TEMPLATE-GAS AVAILABILITY'!R369)/('RAP TEMPLATE-GAS AVAILABILITY'!O369+'RAP TEMPLATE-GAS AVAILABILITY'!P369+'RAP TEMPLATE-GAS AVAILABILITY'!Q369+'RAP TEMPLATE-GAS AVAILABILITY'!R369)</f>
        <v>11.163808633093526</v>
      </c>
    </row>
    <row r="371" spans="1:29" ht="15.75" x14ac:dyDescent="0.25">
      <c r="A371" s="14">
        <v>52200</v>
      </c>
      <c r="B371" s="10">
        <f>CHOOSE(CONTROL!$C$42, 11.5192, 11.5192) * CHOOSE(CONTROL!$C$21, $C$9, 100%, $E$9)</f>
        <v>11.5192</v>
      </c>
      <c r="C371" s="10">
        <f>CHOOSE(CONTROL!$C$42, 11.5241, 11.5241) * CHOOSE(CONTROL!$C$21, $C$9, 100%, $E$9)</f>
        <v>11.524100000000001</v>
      </c>
      <c r="D371" s="10">
        <f>CHOOSE(CONTROL!$C$42, 11.5537, 11.5537) * CHOOSE(CONTROL!$C$21, $C$9, 100%, $E$9)</f>
        <v>11.553699999999999</v>
      </c>
      <c r="E371" s="10">
        <f>CHOOSE(CONTROL!$C$42, 11.5875, 11.5875) * CHOOSE(CONTROL!$C$21, $C$9, 100%, $E$9)</f>
        <v>11.5875</v>
      </c>
      <c r="F371" s="10">
        <f>CHOOSE(CONTROL!$C$42, 11.486, 11.486)*CHOOSE(CONTROL!$C$21, $C$9, 100%, $E$9)</f>
        <v>11.486000000000001</v>
      </c>
      <c r="G371" s="10">
        <f>CHOOSE(CONTROL!$C$42, 11.5031, 11.5031)*CHOOSE(CONTROL!$C$21, $C$9, 100%, $E$9)</f>
        <v>11.5031</v>
      </c>
      <c r="H371" s="10">
        <f>CHOOSE(CONTROL!$C$42, 11.5767, 11.5767) * CHOOSE(CONTROL!$C$21, $C$9, 100%, $E$9)</f>
        <v>11.576700000000001</v>
      </c>
      <c r="I371" s="10">
        <f>CHOOSE(CONTROL!$C$42, 11.4828, 11.4828)* CHOOSE(CONTROL!$C$21, $C$9, 100%, $E$9)</f>
        <v>11.482799999999999</v>
      </c>
      <c r="J371" s="10">
        <f>CHOOSE(CONTROL!$C$42, 11.479, 11.479)* CHOOSE(CONTROL!$C$21, $C$9, 100%, $E$9)</f>
        <v>11.478999999999999</v>
      </c>
      <c r="K371" s="54">
        <f>CHOOSE(CONTROL!$C$42, 11.4789, 11.4789) * CHOOSE(CONTROL!$C$21, $C$9, 100%, $E$9)</f>
        <v>11.478899999999999</v>
      </c>
      <c r="L371" s="10">
        <f>CHOOSE(CONTROL!$C$42, 12.1637, 12.1637) * CHOOSE(CONTROL!$C$21, $C$9, 100%, $E$9)</f>
        <v>12.1637</v>
      </c>
      <c r="M371" s="10">
        <f>CHOOSE(CONTROL!$C$42, 11.377, 11.377) * CHOOSE(CONTROL!$C$21, $C$9, 100%, $E$9)</f>
        <v>11.377000000000001</v>
      </c>
      <c r="N371" s="10">
        <f>CHOOSE(CONTROL!$C$42, 11.3939, 11.3939) * CHOOSE(CONTROL!$C$21, $C$9, 100%, $E$9)</f>
        <v>11.3939</v>
      </c>
      <c r="O371" s="10">
        <f>CHOOSE(CONTROL!$C$42, 11.4737, 11.4737) * CHOOSE(CONTROL!$C$21, $C$9, 100%, $E$9)</f>
        <v>11.473699999999999</v>
      </c>
      <c r="P371" s="10">
        <f>CHOOSE(CONTROL!$C$42, 11.3808, 11.3808) * CHOOSE(CONTROL!$C$21, $C$9, 100%, $E$9)</f>
        <v>11.380800000000001</v>
      </c>
      <c r="Q371" s="10">
        <f>CHOOSE(CONTROL!$C$42, 12.069, 12.069) * CHOOSE(CONTROL!$C$21, $C$9, 100%, $E$9)</f>
        <v>12.069000000000001</v>
      </c>
      <c r="R371" s="10">
        <f>CHOOSE(CONTROL!$C$42, 12.6862, 12.6862) * CHOOSE(CONTROL!$C$21, $C$9, 100%, $E$9)</f>
        <v>12.686199999999999</v>
      </c>
      <c r="S371" s="10">
        <f>CHOOSE(CONTROL!$C$42, 11.1841, 11.1841) * CHOOSE(CONTROL!$C$21, $C$9, 100%, $E$9)</f>
        <v>11.184100000000001</v>
      </c>
      <c r="T371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371" s="58">
        <f>(1000*CHOOSE(CONTROL!$C$42, 695, 695)*CHOOSE(CONTROL!$C$42, 0.5599, 0.5599)*CHOOSE(CONTROL!$C$42, 30, 30))/1000000</f>
        <v>11.673914999999997</v>
      </c>
      <c r="V371" s="58">
        <f>(1000*CHOOSE(CONTROL!$C$42, 500, 500)*CHOOSE(CONTROL!$C$42, 0.275, 0.275)*CHOOSE(CONTROL!$C$42, 30, 30))/1000000</f>
        <v>4.125</v>
      </c>
      <c r="W371" s="58">
        <f>(1000*CHOOSE(CONTROL!$C$42, 0.1146, 0.1146)*CHOOSE(CONTROL!$C$42, 121.5, 121.5)*CHOOSE(CONTROL!$C$42, 30, 30))/1000000</f>
        <v>0.417717</v>
      </c>
      <c r="X371" s="58">
        <f>(30*0.1790888*100000/1000000)+(30*0.2374*100000/1000000)</f>
        <v>1.2494664</v>
      </c>
      <c r="Y371" s="58"/>
      <c r="Z371" s="10"/>
      <c r="AA371" s="57"/>
      <c r="AB371" s="51">
        <f>(B371*122.58+C371*297.941+D371*89.177+E371*40.302+F371*40+G371*160+H371*0+I371*100+J371*300)/(122.58+297.941+89.177+40.302+0+40+160+100+300)</f>
        <v>11.508491429565218</v>
      </c>
      <c r="AC371" s="27">
        <f>(M371*'RAP TEMPLATE-GAS AVAILABILITY'!O370+N371*'RAP TEMPLATE-GAS AVAILABILITY'!P370+O371*'RAP TEMPLATE-GAS AVAILABILITY'!Q370+P371*'RAP TEMPLATE-GAS AVAILABILITY'!R370)/('RAP TEMPLATE-GAS AVAILABILITY'!O370+'RAP TEMPLATE-GAS AVAILABILITY'!P370+'RAP TEMPLATE-GAS AVAILABILITY'!Q370+'RAP TEMPLATE-GAS AVAILABILITY'!R370)</f>
        <v>11.422347482014388</v>
      </c>
    </row>
    <row r="372" spans="1:29" ht="15.75" x14ac:dyDescent="0.25">
      <c r="A372" s="14">
        <v>52231</v>
      </c>
      <c r="B372" s="10">
        <f>CHOOSE(CONTROL!$C$42, 12.3044, 12.3044) * CHOOSE(CONTROL!$C$21, $C$9, 100%, $E$9)</f>
        <v>12.304399999999999</v>
      </c>
      <c r="C372" s="10">
        <f>CHOOSE(CONTROL!$C$42, 12.3093, 12.3093) * CHOOSE(CONTROL!$C$21, $C$9, 100%, $E$9)</f>
        <v>12.3093</v>
      </c>
      <c r="D372" s="10">
        <f>CHOOSE(CONTROL!$C$42, 12.3389, 12.3389) * CHOOSE(CONTROL!$C$21, $C$9, 100%, $E$9)</f>
        <v>12.338900000000001</v>
      </c>
      <c r="E372" s="10">
        <f>CHOOSE(CONTROL!$C$42, 12.3727, 12.3727) * CHOOSE(CONTROL!$C$21, $C$9, 100%, $E$9)</f>
        <v>12.3727</v>
      </c>
      <c r="F372" s="10">
        <f>CHOOSE(CONTROL!$C$42, 12.2726, 12.2726)*CHOOSE(CONTROL!$C$21, $C$9, 100%, $E$9)</f>
        <v>12.272600000000001</v>
      </c>
      <c r="G372" s="10">
        <f>CHOOSE(CONTROL!$C$42, 12.2901, 12.2901)*CHOOSE(CONTROL!$C$21, $C$9, 100%, $E$9)</f>
        <v>12.290100000000001</v>
      </c>
      <c r="H372" s="10">
        <f>CHOOSE(CONTROL!$C$42, 12.3619, 12.3619) * CHOOSE(CONTROL!$C$21, $C$9, 100%, $E$9)</f>
        <v>12.3619</v>
      </c>
      <c r="I372" s="10">
        <f>CHOOSE(CONTROL!$C$42, 12.268, 12.268)* CHOOSE(CONTROL!$C$21, $C$9, 100%, $E$9)</f>
        <v>12.268000000000001</v>
      </c>
      <c r="J372" s="10">
        <f>CHOOSE(CONTROL!$C$42, 12.2656, 12.2656)* CHOOSE(CONTROL!$C$21, $C$9, 100%, $E$9)</f>
        <v>12.265599999999999</v>
      </c>
      <c r="K372" s="54">
        <f>CHOOSE(CONTROL!$C$42, 12.2641, 12.2641) * CHOOSE(CONTROL!$C$21, $C$9, 100%, $E$9)</f>
        <v>12.264099999999999</v>
      </c>
      <c r="L372" s="10">
        <f>CHOOSE(CONTROL!$C$42, 12.9489, 12.9489) * CHOOSE(CONTROL!$C$21, $C$9, 100%, $E$9)</f>
        <v>12.9489</v>
      </c>
      <c r="M372" s="10">
        <f>CHOOSE(CONTROL!$C$42, 12.1556, 12.1556) * CHOOSE(CONTROL!$C$21, $C$9, 100%, $E$9)</f>
        <v>12.1556</v>
      </c>
      <c r="N372" s="10">
        <f>CHOOSE(CONTROL!$C$42, 12.1729, 12.1729) * CHOOSE(CONTROL!$C$21, $C$9, 100%, $E$9)</f>
        <v>12.1729</v>
      </c>
      <c r="O372" s="10">
        <f>CHOOSE(CONTROL!$C$42, 12.251, 12.251) * CHOOSE(CONTROL!$C$21, $C$9, 100%, $E$9)</f>
        <v>12.250999999999999</v>
      </c>
      <c r="P372" s="10">
        <f>CHOOSE(CONTROL!$C$42, 12.158, 12.158) * CHOOSE(CONTROL!$C$21, $C$9, 100%, $E$9)</f>
        <v>12.157999999999999</v>
      </c>
      <c r="Q372" s="10">
        <f>CHOOSE(CONTROL!$C$42, 12.8463, 12.8463) * CHOOSE(CONTROL!$C$21, $C$9, 100%, $E$9)</f>
        <v>12.846299999999999</v>
      </c>
      <c r="R372" s="10">
        <f>CHOOSE(CONTROL!$C$42, 13.4654, 13.4654) * CHOOSE(CONTROL!$C$21, $C$9, 100%, $E$9)</f>
        <v>13.465400000000001</v>
      </c>
      <c r="S372" s="10">
        <f>CHOOSE(CONTROL!$C$42, 11.9466, 11.9466) * CHOOSE(CONTROL!$C$21, $C$9, 100%, $E$9)</f>
        <v>11.9466</v>
      </c>
      <c r="T372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372" s="58">
        <f>(1000*CHOOSE(CONTROL!$C$42, 695, 695)*CHOOSE(CONTROL!$C$42, 0.5599, 0.5599)*CHOOSE(CONTROL!$C$42, 31, 31))/1000000</f>
        <v>12.063045499999998</v>
      </c>
      <c r="V372" s="58">
        <f>(1000*CHOOSE(CONTROL!$C$42, 500, 500)*CHOOSE(CONTROL!$C$42, 0.275, 0.275)*CHOOSE(CONTROL!$C$42, 31, 31))/1000000</f>
        <v>4.2625000000000002</v>
      </c>
      <c r="W372" s="58">
        <f>(1000*CHOOSE(CONTROL!$C$42, 0.1146, 0.1146)*CHOOSE(CONTROL!$C$42, 121.5, 121.5)*CHOOSE(CONTROL!$C$42, 31, 31))/1000000</f>
        <v>0.43164089999999994</v>
      </c>
      <c r="X372" s="58">
        <f>(31*0.1790888*100000/1000000)+(31*0.2374*100000/1000000)</f>
        <v>1.2911152800000001</v>
      </c>
      <c r="Y372" s="58"/>
      <c r="Z372" s="10"/>
      <c r="AA372" s="57"/>
      <c r="AB372" s="51">
        <f>(B372*122.58+C372*297.941+D372*89.177+E372*40.302+F372*40+G372*160+H372*0+I372*100+J372*300)/(122.58+297.941+89.177+40.302+0+40+160+100+300)</f>
        <v>12.294355777391305</v>
      </c>
      <c r="AC372" s="27">
        <f>(M372*'RAP TEMPLATE-GAS AVAILABILITY'!O371+N372*'RAP TEMPLATE-GAS AVAILABILITY'!P371+O372*'RAP TEMPLATE-GAS AVAILABILITY'!Q371+P372*'RAP TEMPLATE-GAS AVAILABILITY'!R371)/('RAP TEMPLATE-GAS AVAILABILITY'!O371+'RAP TEMPLATE-GAS AVAILABILITY'!P371+'RAP TEMPLATE-GAS AVAILABILITY'!Q371+'RAP TEMPLATE-GAS AVAILABILITY'!R371)</f>
        <v>12.200179856115108</v>
      </c>
    </row>
    <row r="373" spans="1:29" ht="15.75" x14ac:dyDescent="0.25">
      <c r="A373" s="14">
        <v>52262</v>
      </c>
      <c r="B373" s="10">
        <f>CHOOSE(CONTROL!$C$42, 13.3123, 13.3123) * CHOOSE(CONTROL!$C$21, $C$9, 100%, $E$9)</f>
        <v>13.3123</v>
      </c>
      <c r="C373" s="10">
        <f>CHOOSE(CONTROL!$C$42, 13.3172, 13.3172) * CHOOSE(CONTROL!$C$21, $C$9, 100%, $E$9)</f>
        <v>13.3172</v>
      </c>
      <c r="D373" s="10">
        <f>CHOOSE(CONTROL!$C$42, 13.3674, 13.3674) * CHOOSE(CONTROL!$C$21, $C$9, 100%, $E$9)</f>
        <v>13.3674</v>
      </c>
      <c r="E373" s="10">
        <f>CHOOSE(CONTROL!$C$42, 13.4012, 13.4012) * CHOOSE(CONTROL!$C$21, $C$9, 100%, $E$9)</f>
        <v>13.401199999999999</v>
      </c>
      <c r="F373" s="10">
        <f>CHOOSE(CONTROL!$C$42, 13.2776, 13.2776)*CHOOSE(CONTROL!$C$21, $C$9, 100%, $E$9)</f>
        <v>13.2776</v>
      </c>
      <c r="G373" s="10">
        <f>CHOOSE(CONTROL!$C$42, 13.2952, 13.2952)*CHOOSE(CONTROL!$C$21, $C$9, 100%, $E$9)</f>
        <v>13.295199999999999</v>
      </c>
      <c r="H373" s="10">
        <f>CHOOSE(CONTROL!$C$42, 13.3904, 13.3904) * CHOOSE(CONTROL!$C$21, $C$9, 100%, $E$9)</f>
        <v>13.3904</v>
      </c>
      <c r="I373" s="10">
        <f>CHOOSE(CONTROL!$C$42, 13.2862, 13.2862)* CHOOSE(CONTROL!$C$21, $C$9, 100%, $E$9)</f>
        <v>13.286199999999999</v>
      </c>
      <c r="J373" s="10">
        <f>CHOOSE(CONTROL!$C$42, 13.2706, 13.2706)* CHOOSE(CONTROL!$C$21, $C$9, 100%, $E$9)</f>
        <v>13.2706</v>
      </c>
      <c r="K373" s="54">
        <f>CHOOSE(CONTROL!$C$42, 13.2823, 13.2823) * CHOOSE(CONTROL!$C$21, $C$9, 100%, $E$9)</f>
        <v>13.282299999999999</v>
      </c>
      <c r="L373" s="10">
        <f>CHOOSE(CONTROL!$C$42, 13.9774, 13.9774) * CHOOSE(CONTROL!$C$21, $C$9, 100%, $E$9)</f>
        <v>13.977399999999999</v>
      </c>
      <c r="M373" s="10">
        <f>CHOOSE(CONTROL!$C$42, 13.1506, 13.1506) * CHOOSE(CONTROL!$C$21, $C$9, 100%, $E$9)</f>
        <v>13.150600000000001</v>
      </c>
      <c r="N373" s="10">
        <f>CHOOSE(CONTROL!$C$42, 13.1679, 13.1679) * CHOOSE(CONTROL!$C$21, $C$9, 100%, $E$9)</f>
        <v>13.167899999999999</v>
      </c>
      <c r="O373" s="10">
        <f>CHOOSE(CONTROL!$C$42, 13.2691, 13.2691) * CHOOSE(CONTROL!$C$21, $C$9, 100%, $E$9)</f>
        <v>13.2691</v>
      </c>
      <c r="P373" s="10">
        <f>CHOOSE(CONTROL!$C$42, 13.166, 13.166) * CHOOSE(CONTROL!$C$21, $C$9, 100%, $E$9)</f>
        <v>13.166</v>
      </c>
      <c r="Q373" s="10">
        <f>CHOOSE(CONTROL!$C$42, 13.8644, 13.8644) * CHOOSE(CONTROL!$C$21, $C$9, 100%, $E$9)</f>
        <v>13.8644</v>
      </c>
      <c r="R373" s="10">
        <f>CHOOSE(CONTROL!$C$42, 14.4861, 14.4861) * CHOOSE(CONTROL!$C$21, $C$9, 100%, $E$9)</f>
        <v>14.4861</v>
      </c>
      <c r="S373" s="10">
        <f>CHOOSE(CONTROL!$C$42, 12.9254, 12.9254) * CHOOSE(CONTROL!$C$21, $C$9, 100%, $E$9)</f>
        <v>12.9254</v>
      </c>
      <c r="T373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373" s="58">
        <f>(1000*CHOOSE(CONTROL!$C$42, 695, 695)*CHOOSE(CONTROL!$C$42, 0.5599, 0.5599)*CHOOSE(CONTROL!$C$42, 31, 31))/1000000</f>
        <v>12.063045499999998</v>
      </c>
      <c r="V373" s="58">
        <f>(1000*CHOOSE(CONTROL!$C$42, 500, 500)*CHOOSE(CONTROL!$C$42, 0.275, 0.275)*CHOOSE(CONTROL!$C$42, 31, 31))/1000000</f>
        <v>4.2625000000000002</v>
      </c>
      <c r="W373" s="58">
        <f>(1000*CHOOSE(CONTROL!$C$42, 0.1146, 0.1146)*CHOOSE(CONTROL!$C$42, 121.5, 121.5)*CHOOSE(CONTROL!$C$42, 31, 31))/1000000</f>
        <v>0.43164089999999994</v>
      </c>
      <c r="X373" s="58">
        <f>(31*0.1790888*100000/1000000)+(31*0.2374*100000/1000000)</f>
        <v>1.2911152800000001</v>
      </c>
      <c r="Y373" s="58"/>
      <c r="Z373" s="10"/>
      <c r="AA373" s="57"/>
      <c r="AB373" s="51">
        <f>(B373*122.58+C373*297.941+D373*89.177+E373*40.302+F373*40+G373*160+H373*0+I373*100+J373*300)/(122.58+297.941+89.177+40.302+0+40+160+100+300)</f>
        <v>13.304223836</v>
      </c>
      <c r="AC373" s="27">
        <f>(M373*'RAP TEMPLATE-GAS AVAILABILITY'!O372+N373*'RAP TEMPLATE-GAS AVAILABILITY'!P372+O373*'RAP TEMPLATE-GAS AVAILABILITY'!Q372+P373*'RAP TEMPLATE-GAS AVAILABILITY'!R372)/('RAP TEMPLATE-GAS AVAILABILITY'!O372+'RAP TEMPLATE-GAS AVAILABILITY'!P372+'RAP TEMPLATE-GAS AVAILABILITY'!Q372+'RAP TEMPLATE-GAS AVAILABILITY'!R372)</f>
        <v>13.207520143884894</v>
      </c>
    </row>
    <row r="374" spans="1:29" ht="15.75" x14ac:dyDescent="0.25">
      <c r="A374" s="14">
        <v>52290</v>
      </c>
      <c r="B374" s="10">
        <f>CHOOSE(CONTROL!$C$42, 13.5492, 13.5492) * CHOOSE(CONTROL!$C$21, $C$9, 100%, $E$9)</f>
        <v>13.549200000000001</v>
      </c>
      <c r="C374" s="10">
        <f>CHOOSE(CONTROL!$C$42, 13.5542, 13.5542) * CHOOSE(CONTROL!$C$21, $C$9, 100%, $E$9)</f>
        <v>13.5542</v>
      </c>
      <c r="D374" s="10">
        <f>CHOOSE(CONTROL!$C$42, 13.6147, 13.6147) * CHOOSE(CONTROL!$C$21, $C$9, 100%, $E$9)</f>
        <v>13.614699999999999</v>
      </c>
      <c r="E374" s="10">
        <f>CHOOSE(CONTROL!$C$42, 13.6484, 13.6484) * CHOOSE(CONTROL!$C$21, $C$9, 100%, $E$9)</f>
        <v>13.648400000000001</v>
      </c>
      <c r="F374" s="10">
        <f>CHOOSE(CONTROL!$C$42, 13.5424, 13.5424)*CHOOSE(CONTROL!$C$21, $C$9, 100%, $E$9)</f>
        <v>13.542400000000001</v>
      </c>
      <c r="G374" s="10">
        <f>CHOOSE(CONTROL!$C$42, 13.5597, 13.5597)*CHOOSE(CONTROL!$C$21, $C$9, 100%, $E$9)</f>
        <v>13.559699999999999</v>
      </c>
      <c r="H374" s="10">
        <f>CHOOSE(CONTROL!$C$42, 13.6376, 13.6376) * CHOOSE(CONTROL!$C$21, $C$9, 100%, $E$9)</f>
        <v>13.637600000000001</v>
      </c>
      <c r="I374" s="10">
        <f>CHOOSE(CONTROL!$C$42, 13.536, 13.536)* CHOOSE(CONTROL!$C$21, $C$9, 100%, $E$9)</f>
        <v>13.536</v>
      </c>
      <c r="J374" s="10">
        <f>CHOOSE(CONTROL!$C$42, 13.5354, 13.5354)* CHOOSE(CONTROL!$C$21, $C$9, 100%, $E$9)</f>
        <v>13.535399999999999</v>
      </c>
      <c r="K374" s="54">
        <f>CHOOSE(CONTROL!$C$42, 13.5321, 13.5321) * CHOOSE(CONTROL!$C$21, $C$9, 100%, $E$9)</f>
        <v>13.5321</v>
      </c>
      <c r="L374" s="10">
        <f>CHOOSE(CONTROL!$C$42, 14.2246, 14.2246) * CHOOSE(CONTROL!$C$21, $C$9, 100%, $E$9)</f>
        <v>14.224600000000001</v>
      </c>
      <c r="M374" s="10">
        <f>CHOOSE(CONTROL!$C$42, 13.4127, 13.4127) * CHOOSE(CONTROL!$C$21, $C$9, 100%, $E$9)</f>
        <v>13.412699999999999</v>
      </c>
      <c r="N374" s="10">
        <f>CHOOSE(CONTROL!$C$42, 13.4298, 13.4298) * CHOOSE(CONTROL!$C$21, $C$9, 100%, $E$9)</f>
        <v>13.4298</v>
      </c>
      <c r="O374" s="10">
        <f>CHOOSE(CONTROL!$C$42, 13.5138, 13.5138) * CHOOSE(CONTROL!$C$21, $C$9, 100%, $E$9)</f>
        <v>13.5138</v>
      </c>
      <c r="P374" s="10">
        <f>CHOOSE(CONTROL!$C$42, 13.4132, 13.4132) * CHOOSE(CONTROL!$C$21, $C$9, 100%, $E$9)</f>
        <v>13.4132</v>
      </c>
      <c r="Q374" s="10">
        <f>CHOOSE(CONTROL!$C$42, 14.1091, 14.1091) * CHOOSE(CONTROL!$C$21, $C$9, 100%, $E$9)</f>
        <v>14.1091</v>
      </c>
      <c r="R374" s="10">
        <f>CHOOSE(CONTROL!$C$42, 14.7314, 14.7314) * CHOOSE(CONTROL!$C$21, $C$9, 100%, $E$9)</f>
        <v>14.731400000000001</v>
      </c>
      <c r="S374" s="10">
        <f>CHOOSE(CONTROL!$C$42, 13.1555, 13.1555) * CHOOSE(CONTROL!$C$21, $C$9, 100%, $E$9)</f>
        <v>13.1555</v>
      </c>
      <c r="T374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374" s="58">
        <f>(1000*CHOOSE(CONTROL!$C$42, 695, 695)*CHOOSE(CONTROL!$C$42, 0.5599, 0.5599)*CHOOSE(CONTROL!$C$42, 28, 28))/1000000</f>
        <v>10.895653999999999</v>
      </c>
      <c r="V374" s="58">
        <f>(1000*CHOOSE(CONTROL!$C$42, 500, 500)*CHOOSE(CONTROL!$C$42, 0.275, 0.275)*CHOOSE(CONTROL!$C$42, 28, 28))/1000000</f>
        <v>3.85</v>
      </c>
      <c r="W374" s="58">
        <f>(1000*CHOOSE(CONTROL!$C$42, 0.1146, 0.1146)*CHOOSE(CONTROL!$C$42, 121.5, 121.5)*CHOOSE(CONTROL!$C$42, 28, 28))/1000000</f>
        <v>0.38986920000000003</v>
      </c>
      <c r="X374" s="58">
        <f>(28*0.1790888*100000/1000000)+(28*0.2374*100000/1000000)</f>
        <v>1.16616864</v>
      </c>
      <c r="Y374" s="58"/>
      <c r="Z374" s="10"/>
      <c r="AA374" s="57"/>
      <c r="AB374" s="51">
        <f>(B374*122.58+C374*297.941+D374*89.177+E374*40.302+F374*40+G374*160+H374*0+I374*100+J374*300)/(122.58+297.941+89.177+40.302+0+40+160+100+300)</f>
        <v>13.555527614695652</v>
      </c>
      <c r="AC374" s="27">
        <f>(M374*'RAP TEMPLATE-GAS AVAILABILITY'!O373+N374*'RAP TEMPLATE-GAS AVAILABILITY'!P373+O374*'RAP TEMPLATE-GAS AVAILABILITY'!Q373+P374*'RAP TEMPLATE-GAS AVAILABILITY'!R373)/('RAP TEMPLATE-GAS AVAILABILITY'!O373+'RAP TEMPLATE-GAS AVAILABILITY'!P373+'RAP TEMPLATE-GAS AVAILABILITY'!Q373+'RAP TEMPLATE-GAS AVAILABILITY'!R373)</f>
        <v>13.459578417266187</v>
      </c>
    </row>
    <row r="375" spans="1:29" ht="15.75" x14ac:dyDescent="0.25">
      <c r="A375" s="14">
        <v>52321</v>
      </c>
      <c r="B375" s="10">
        <f>CHOOSE(CONTROL!$C$42, 13.1646, 13.1646) * CHOOSE(CONTROL!$C$21, $C$9, 100%, $E$9)</f>
        <v>13.1646</v>
      </c>
      <c r="C375" s="10">
        <f>CHOOSE(CONTROL!$C$42, 13.1696, 13.1696) * CHOOSE(CONTROL!$C$21, $C$9, 100%, $E$9)</f>
        <v>13.169600000000001</v>
      </c>
      <c r="D375" s="10">
        <f>CHOOSE(CONTROL!$C$42, 13.2301, 13.2301) * CHOOSE(CONTROL!$C$21, $C$9, 100%, $E$9)</f>
        <v>13.2301</v>
      </c>
      <c r="E375" s="10">
        <f>CHOOSE(CONTROL!$C$42, 13.2639, 13.2639) * CHOOSE(CONTROL!$C$21, $C$9, 100%, $E$9)</f>
        <v>13.2639</v>
      </c>
      <c r="F375" s="10">
        <f>CHOOSE(CONTROL!$C$42, 13.1523, 13.1523)*CHOOSE(CONTROL!$C$21, $C$9, 100%, $E$9)</f>
        <v>13.1523</v>
      </c>
      <c r="G375" s="10">
        <f>CHOOSE(CONTROL!$C$42, 13.1696, 13.1696)*CHOOSE(CONTROL!$C$21, $C$9, 100%, $E$9)</f>
        <v>13.169600000000001</v>
      </c>
      <c r="H375" s="10">
        <f>CHOOSE(CONTROL!$C$42, 13.2531, 13.2531) * CHOOSE(CONTROL!$C$21, $C$9, 100%, $E$9)</f>
        <v>13.2531</v>
      </c>
      <c r="I375" s="10">
        <f>CHOOSE(CONTROL!$C$42, 13.1385, 13.1385)* CHOOSE(CONTROL!$C$21, $C$9, 100%, $E$9)</f>
        <v>13.138500000000001</v>
      </c>
      <c r="J375" s="10">
        <f>CHOOSE(CONTROL!$C$42, 13.1453, 13.1453)* CHOOSE(CONTROL!$C$21, $C$9, 100%, $E$9)</f>
        <v>13.145300000000001</v>
      </c>
      <c r="K375" s="54">
        <f>CHOOSE(CONTROL!$C$42, 13.1346, 13.1346) * CHOOSE(CONTROL!$C$21, $C$9, 100%, $E$9)</f>
        <v>13.134600000000001</v>
      </c>
      <c r="L375" s="10">
        <f>CHOOSE(CONTROL!$C$42, 13.8401, 13.8401) * CHOOSE(CONTROL!$C$21, $C$9, 100%, $E$9)</f>
        <v>13.8401</v>
      </c>
      <c r="M375" s="10">
        <f>CHOOSE(CONTROL!$C$42, 13.0265, 13.0265) * CHOOSE(CONTROL!$C$21, $C$9, 100%, $E$9)</f>
        <v>13.0265</v>
      </c>
      <c r="N375" s="10">
        <f>CHOOSE(CONTROL!$C$42, 13.0435, 13.0435) * CHOOSE(CONTROL!$C$21, $C$9, 100%, $E$9)</f>
        <v>13.0435</v>
      </c>
      <c r="O375" s="10">
        <f>CHOOSE(CONTROL!$C$42, 13.1331, 13.1331) * CHOOSE(CONTROL!$C$21, $C$9, 100%, $E$9)</f>
        <v>13.133100000000001</v>
      </c>
      <c r="P375" s="10">
        <f>CHOOSE(CONTROL!$C$42, 13.0198, 13.0198) * CHOOSE(CONTROL!$C$21, $C$9, 100%, $E$9)</f>
        <v>13.0198</v>
      </c>
      <c r="Q375" s="10">
        <f>CHOOSE(CONTROL!$C$42, 13.7284, 13.7284) * CHOOSE(CONTROL!$C$21, $C$9, 100%, $E$9)</f>
        <v>13.728400000000001</v>
      </c>
      <c r="R375" s="10">
        <f>CHOOSE(CONTROL!$C$42, 14.3498, 14.3498) * CHOOSE(CONTROL!$C$21, $C$9, 100%, $E$9)</f>
        <v>14.3498</v>
      </c>
      <c r="S375" s="10">
        <f>CHOOSE(CONTROL!$C$42, 12.782, 12.782) * CHOOSE(CONTROL!$C$21, $C$9, 100%, $E$9)</f>
        <v>12.782</v>
      </c>
      <c r="T375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375" s="58">
        <f>(1000*CHOOSE(CONTROL!$C$42, 695, 695)*CHOOSE(CONTROL!$C$42, 0.5599, 0.5599)*CHOOSE(CONTROL!$C$42, 31, 31))/1000000</f>
        <v>12.063045499999998</v>
      </c>
      <c r="V375" s="58">
        <f>(1000*CHOOSE(CONTROL!$C$42, 500, 500)*CHOOSE(CONTROL!$C$42, 0.275, 0.275)*CHOOSE(CONTROL!$C$42, 31, 31))/1000000</f>
        <v>4.2625000000000002</v>
      </c>
      <c r="W375" s="58">
        <f>(1000*CHOOSE(CONTROL!$C$42, 0.1146, 0.1146)*CHOOSE(CONTROL!$C$42, 121.5, 121.5)*CHOOSE(CONTROL!$C$42, 31, 31))/1000000</f>
        <v>0.43164089999999994</v>
      </c>
      <c r="X375" s="58">
        <f>(31*0.1790888*100000/1000000)+(31*0.2374*100000/1000000)</f>
        <v>1.2911152800000001</v>
      </c>
      <c r="Y375" s="58"/>
      <c r="Z375" s="10"/>
      <c r="AA375" s="57"/>
      <c r="AB375" s="51">
        <f>(B375*122.58+C375*297.941+D375*89.177+E375*40.302+F375*40+G375*160+H375*0+I375*100+J375*300)/(122.58+297.941+89.177+40.302+0+40+160+100+300)</f>
        <v>13.16741807573913</v>
      </c>
      <c r="AC375" s="27">
        <f>(M375*'RAP TEMPLATE-GAS AVAILABILITY'!O374+N375*'RAP TEMPLATE-GAS AVAILABILITY'!P374+O375*'RAP TEMPLATE-GAS AVAILABILITY'!Q374+P375*'RAP TEMPLATE-GAS AVAILABILITY'!R374)/('RAP TEMPLATE-GAS AVAILABILITY'!O374+'RAP TEMPLATE-GAS AVAILABILITY'!P374+'RAP TEMPLATE-GAS AVAILABILITY'!Q374+'RAP TEMPLATE-GAS AVAILABILITY'!R374)</f>
        <v>13.074829496402879</v>
      </c>
    </row>
    <row r="376" spans="1:29" ht="15.75" x14ac:dyDescent="0.25">
      <c r="A376" s="14">
        <v>52351</v>
      </c>
      <c r="B376" s="10">
        <f>CHOOSE(CONTROL!$C$42, 13.1264, 13.1264) * CHOOSE(CONTROL!$C$21, $C$9, 100%, $E$9)</f>
        <v>13.1264</v>
      </c>
      <c r="C376" s="10">
        <f>CHOOSE(CONTROL!$C$42, 13.1308, 13.1308) * CHOOSE(CONTROL!$C$21, $C$9, 100%, $E$9)</f>
        <v>13.130800000000001</v>
      </c>
      <c r="D376" s="10">
        <f>CHOOSE(CONTROL!$C$42, 13.3263, 13.3263) * CHOOSE(CONTROL!$C$21, $C$9, 100%, $E$9)</f>
        <v>13.3263</v>
      </c>
      <c r="E376" s="10">
        <f>CHOOSE(CONTROL!$C$42, 13.3581, 13.3581) * CHOOSE(CONTROL!$C$21, $C$9, 100%, $E$9)</f>
        <v>13.3581</v>
      </c>
      <c r="F376" s="10">
        <f>CHOOSE(CONTROL!$C$42, 13.0942, 13.0942)*CHOOSE(CONTROL!$C$21, $C$9, 100%, $E$9)</f>
        <v>13.094200000000001</v>
      </c>
      <c r="G376" s="10">
        <f>CHOOSE(CONTROL!$C$42, 13.111, 13.111)*CHOOSE(CONTROL!$C$21, $C$9, 100%, $E$9)</f>
        <v>13.111000000000001</v>
      </c>
      <c r="H376" s="10">
        <f>CHOOSE(CONTROL!$C$42, 13.3479, 13.3479) * CHOOSE(CONTROL!$C$21, $C$9, 100%, $E$9)</f>
        <v>13.347899999999999</v>
      </c>
      <c r="I376" s="10">
        <f>CHOOSE(CONTROL!$C$42, 13.0944, 13.0944)* CHOOSE(CONTROL!$C$21, $C$9, 100%, $E$9)</f>
        <v>13.0944</v>
      </c>
      <c r="J376" s="10">
        <f>CHOOSE(CONTROL!$C$42, 13.0872, 13.0872)* CHOOSE(CONTROL!$C$21, $C$9, 100%, $E$9)</f>
        <v>13.087199999999999</v>
      </c>
      <c r="K376" s="54">
        <f>CHOOSE(CONTROL!$C$42, 13.0905, 13.0905) * CHOOSE(CONTROL!$C$21, $C$9, 100%, $E$9)</f>
        <v>13.0905</v>
      </c>
      <c r="L376" s="10">
        <f>CHOOSE(CONTROL!$C$42, 13.9349, 13.9349) * CHOOSE(CONTROL!$C$21, $C$9, 100%, $E$9)</f>
        <v>13.934900000000001</v>
      </c>
      <c r="M376" s="10">
        <f>CHOOSE(CONTROL!$C$42, 12.9689, 12.9689) * CHOOSE(CONTROL!$C$21, $C$9, 100%, $E$9)</f>
        <v>12.9689</v>
      </c>
      <c r="N376" s="10">
        <f>CHOOSE(CONTROL!$C$42, 12.9856, 12.9856) * CHOOSE(CONTROL!$C$21, $C$9, 100%, $E$9)</f>
        <v>12.9856</v>
      </c>
      <c r="O376" s="10">
        <f>CHOOSE(CONTROL!$C$42, 13.227, 13.227) * CHOOSE(CONTROL!$C$21, $C$9, 100%, $E$9)</f>
        <v>13.227</v>
      </c>
      <c r="P376" s="10">
        <f>CHOOSE(CONTROL!$C$42, 12.9761, 12.9761) * CHOOSE(CONTROL!$C$21, $C$9, 100%, $E$9)</f>
        <v>12.976100000000001</v>
      </c>
      <c r="Q376" s="10">
        <f>CHOOSE(CONTROL!$C$42, 13.8223, 13.8223) * CHOOSE(CONTROL!$C$21, $C$9, 100%, $E$9)</f>
        <v>13.8223</v>
      </c>
      <c r="R376" s="10">
        <f>CHOOSE(CONTROL!$C$42, 14.4439, 14.4439) * CHOOSE(CONTROL!$C$21, $C$9, 100%, $E$9)</f>
        <v>14.443899999999999</v>
      </c>
      <c r="S376" s="10">
        <f>CHOOSE(CONTROL!$C$42, 12.7441, 12.7441) * CHOOSE(CONTROL!$C$21, $C$9, 100%, $E$9)</f>
        <v>12.7441</v>
      </c>
      <c r="T376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376" s="58">
        <f>(1000*CHOOSE(CONTROL!$C$42, 695, 695)*CHOOSE(CONTROL!$C$42, 0.5599, 0.5599)*CHOOSE(CONTROL!$C$42, 30, 30))/1000000</f>
        <v>11.673914999999997</v>
      </c>
      <c r="V376" s="58">
        <f>(1000*CHOOSE(CONTROL!$C$42, 500, 500)*CHOOSE(CONTROL!$C$42, 0.275, 0.275)*CHOOSE(CONTROL!$C$42, 30, 30))/1000000</f>
        <v>4.125</v>
      </c>
      <c r="W376" s="58">
        <f>(1000*CHOOSE(CONTROL!$C$42, 0.1146, 0.1146)*CHOOSE(CONTROL!$C$42, 121.5, 121.5)*CHOOSE(CONTROL!$C$42, 30, 30))/1000000</f>
        <v>0.417717</v>
      </c>
      <c r="X376" s="58">
        <f>(30*0.1790888*245000/1000000)+(30*0.2374*100000/1000000)</f>
        <v>2.0285026799999999</v>
      </c>
      <c r="Y376" s="58"/>
      <c r="Z376" s="10"/>
      <c r="AA376" s="57"/>
      <c r="AB376" s="51">
        <f>(B376*141.293+C376*267.993+D376*115.016+E376*89.698+F376*40+G376*185+H376*0+I376*100+J376*300)/(141.293+267.993+115.016+89.698+0+40+185+100+300)</f>
        <v>13.147269164003228</v>
      </c>
      <c r="AC376" s="27">
        <f>(M376*'RAP TEMPLATE-GAS AVAILABILITY'!O375+N376*'RAP TEMPLATE-GAS AVAILABILITY'!P375+O376*'RAP TEMPLATE-GAS AVAILABILITY'!Q375+P376*'RAP TEMPLATE-GAS AVAILABILITY'!R375)/('RAP TEMPLATE-GAS AVAILABILITY'!O375+'RAP TEMPLATE-GAS AVAILABILITY'!P375+'RAP TEMPLATE-GAS AVAILABILITY'!Q375+'RAP TEMPLATE-GAS AVAILABILITY'!R375)</f>
        <v>13.046197122302159</v>
      </c>
    </row>
    <row r="377" spans="1:29" ht="15.75" x14ac:dyDescent="0.25">
      <c r="A377" s="14">
        <v>52382</v>
      </c>
      <c r="B377" s="10">
        <f>CHOOSE(CONTROL!$C$42, 13.2436, 13.2436) * CHOOSE(CONTROL!$C$21, $C$9, 100%, $E$9)</f>
        <v>13.243600000000001</v>
      </c>
      <c r="C377" s="10">
        <f>CHOOSE(CONTROL!$C$42, 13.2515, 13.2515) * CHOOSE(CONTROL!$C$21, $C$9, 100%, $E$9)</f>
        <v>13.2515</v>
      </c>
      <c r="D377" s="10">
        <f>CHOOSE(CONTROL!$C$42, 13.444, 13.444) * CHOOSE(CONTROL!$C$21, $C$9, 100%, $E$9)</f>
        <v>13.444000000000001</v>
      </c>
      <c r="E377" s="10">
        <f>CHOOSE(CONTROL!$C$42, 13.4751, 13.4751) * CHOOSE(CONTROL!$C$21, $C$9, 100%, $E$9)</f>
        <v>13.475099999999999</v>
      </c>
      <c r="F377" s="10">
        <f>CHOOSE(CONTROL!$C$42, 13.2099, 13.2099)*CHOOSE(CONTROL!$C$21, $C$9, 100%, $E$9)</f>
        <v>13.209899999999999</v>
      </c>
      <c r="G377" s="10">
        <f>CHOOSE(CONTROL!$C$42, 13.227, 13.227)*CHOOSE(CONTROL!$C$21, $C$9, 100%, $E$9)</f>
        <v>13.227</v>
      </c>
      <c r="H377" s="10">
        <f>CHOOSE(CONTROL!$C$42, 13.4637, 13.4637) * CHOOSE(CONTROL!$C$21, $C$9, 100%, $E$9)</f>
        <v>13.463699999999999</v>
      </c>
      <c r="I377" s="10">
        <f>CHOOSE(CONTROL!$C$42, 13.2102, 13.2102)* CHOOSE(CONTROL!$C$21, $C$9, 100%, $E$9)</f>
        <v>13.2102</v>
      </c>
      <c r="J377" s="10">
        <f>CHOOSE(CONTROL!$C$42, 13.2029, 13.2029)* CHOOSE(CONTROL!$C$21, $C$9, 100%, $E$9)</f>
        <v>13.2029</v>
      </c>
      <c r="K377" s="54">
        <f>CHOOSE(CONTROL!$C$42, 13.2063, 13.2063) * CHOOSE(CONTROL!$C$21, $C$9, 100%, $E$9)</f>
        <v>13.206300000000001</v>
      </c>
      <c r="L377" s="10">
        <f>CHOOSE(CONTROL!$C$42, 14.0507, 14.0507) * CHOOSE(CONTROL!$C$21, $C$9, 100%, $E$9)</f>
        <v>14.050700000000001</v>
      </c>
      <c r="M377" s="10">
        <f>CHOOSE(CONTROL!$C$42, 13.0834, 13.0834) * CHOOSE(CONTROL!$C$21, $C$9, 100%, $E$9)</f>
        <v>13.083399999999999</v>
      </c>
      <c r="N377" s="10">
        <f>CHOOSE(CONTROL!$C$42, 13.1004, 13.1004) * CHOOSE(CONTROL!$C$21, $C$9, 100%, $E$9)</f>
        <v>13.1004</v>
      </c>
      <c r="O377" s="10">
        <f>CHOOSE(CONTROL!$C$42, 13.3417, 13.3417) * CHOOSE(CONTROL!$C$21, $C$9, 100%, $E$9)</f>
        <v>13.341699999999999</v>
      </c>
      <c r="P377" s="10">
        <f>CHOOSE(CONTROL!$C$42, 13.0907, 13.0907) * CHOOSE(CONTROL!$C$21, $C$9, 100%, $E$9)</f>
        <v>13.0907</v>
      </c>
      <c r="Q377" s="10">
        <f>CHOOSE(CONTROL!$C$42, 13.937, 13.937) * CHOOSE(CONTROL!$C$21, $C$9, 100%, $E$9)</f>
        <v>13.936999999999999</v>
      </c>
      <c r="R377" s="10">
        <f>CHOOSE(CONTROL!$C$42, 14.5588, 14.5588) * CHOOSE(CONTROL!$C$21, $C$9, 100%, $E$9)</f>
        <v>14.5588</v>
      </c>
      <c r="S377" s="10">
        <f>CHOOSE(CONTROL!$C$42, 12.8566, 12.8566) * CHOOSE(CONTROL!$C$21, $C$9, 100%, $E$9)</f>
        <v>12.8566</v>
      </c>
      <c r="T377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377" s="58">
        <f>(1000*CHOOSE(CONTROL!$C$42, 695, 695)*CHOOSE(CONTROL!$C$42, 0.5599, 0.5599)*CHOOSE(CONTROL!$C$42, 31, 31))/1000000</f>
        <v>12.063045499999998</v>
      </c>
      <c r="V377" s="58">
        <f>(1000*CHOOSE(CONTROL!$C$42, 500, 500)*CHOOSE(CONTROL!$C$42, 0.275, 0.275)*CHOOSE(CONTROL!$C$42, 31, 31))/1000000</f>
        <v>4.2625000000000002</v>
      </c>
      <c r="W377" s="58">
        <f>(1000*CHOOSE(CONTROL!$C$42, 0.1146, 0.1146)*CHOOSE(CONTROL!$C$42, 121.5, 121.5)*CHOOSE(CONTROL!$C$42, 31, 31))/1000000</f>
        <v>0.43164089999999994</v>
      </c>
      <c r="X377" s="58">
        <f>(31*0.1790888*245000/1000000)+(31*0.2374*100000/1000000)</f>
        <v>2.0961194359999999</v>
      </c>
      <c r="Y377" s="58"/>
      <c r="Z377" s="10"/>
      <c r="AA377" s="57"/>
      <c r="AB377" s="51">
        <f>(B377*194.205+C377*267.466+D377*133.845+E377*53.484+F377*40+G377*185+H377*0+I377*100+J377*300)/(194.205+267.466+133.845+53.484+0+40+185+100+300)</f>
        <v>13.260356723233908</v>
      </c>
      <c r="AC377" s="27">
        <f>(M377*'RAP TEMPLATE-GAS AVAILABILITY'!O376+N377*'RAP TEMPLATE-GAS AVAILABILITY'!P376+O377*'RAP TEMPLATE-GAS AVAILABILITY'!Q376+P377*'RAP TEMPLATE-GAS AVAILABILITY'!R376)/('RAP TEMPLATE-GAS AVAILABILITY'!O376+'RAP TEMPLATE-GAS AVAILABILITY'!P376+'RAP TEMPLATE-GAS AVAILABILITY'!Q376+'RAP TEMPLATE-GAS AVAILABILITY'!R376)</f>
        <v>13.16083669064748</v>
      </c>
    </row>
    <row r="378" spans="1:29" ht="15.75" x14ac:dyDescent="0.25">
      <c r="A378" s="14">
        <v>52412</v>
      </c>
      <c r="B378" s="10">
        <f>CHOOSE(CONTROL!$C$42, 13.6191, 13.6191) * CHOOSE(CONTROL!$C$21, $C$9, 100%, $E$9)</f>
        <v>13.6191</v>
      </c>
      <c r="C378" s="10">
        <f>CHOOSE(CONTROL!$C$42, 13.627, 13.627) * CHOOSE(CONTROL!$C$21, $C$9, 100%, $E$9)</f>
        <v>13.627000000000001</v>
      </c>
      <c r="D378" s="10">
        <f>CHOOSE(CONTROL!$C$42, 13.8195, 13.8195) * CHOOSE(CONTROL!$C$21, $C$9, 100%, $E$9)</f>
        <v>13.8195</v>
      </c>
      <c r="E378" s="10">
        <f>CHOOSE(CONTROL!$C$42, 13.8506, 13.8506) * CHOOSE(CONTROL!$C$21, $C$9, 100%, $E$9)</f>
        <v>13.8506</v>
      </c>
      <c r="F378" s="10">
        <f>CHOOSE(CONTROL!$C$42, 13.5856, 13.5856)*CHOOSE(CONTROL!$C$21, $C$9, 100%, $E$9)</f>
        <v>13.585599999999999</v>
      </c>
      <c r="G378" s="10">
        <f>CHOOSE(CONTROL!$C$42, 13.6028, 13.6028)*CHOOSE(CONTROL!$C$21, $C$9, 100%, $E$9)</f>
        <v>13.6028</v>
      </c>
      <c r="H378" s="10">
        <f>CHOOSE(CONTROL!$C$42, 13.8392, 13.8392) * CHOOSE(CONTROL!$C$21, $C$9, 100%, $E$9)</f>
        <v>13.8392</v>
      </c>
      <c r="I378" s="10">
        <f>CHOOSE(CONTROL!$C$42, 13.5857, 13.5857)* CHOOSE(CONTROL!$C$21, $C$9, 100%, $E$9)</f>
        <v>13.585699999999999</v>
      </c>
      <c r="J378" s="10">
        <f>CHOOSE(CONTROL!$C$42, 13.5786, 13.5786)* CHOOSE(CONTROL!$C$21, $C$9, 100%, $E$9)</f>
        <v>13.5786</v>
      </c>
      <c r="K378" s="54">
        <f>CHOOSE(CONTROL!$C$42, 13.5818, 13.5818) * CHOOSE(CONTROL!$C$21, $C$9, 100%, $E$9)</f>
        <v>13.581799999999999</v>
      </c>
      <c r="L378" s="10">
        <f>CHOOSE(CONTROL!$C$42, 14.4262, 14.4262) * CHOOSE(CONTROL!$C$21, $C$9, 100%, $E$9)</f>
        <v>14.4262</v>
      </c>
      <c r="M378" s="10">
        <f>CHOOSE(CONTROL!$C$42, 13.4554, 13.4554) * CHOOSE(CONTROL!$C$21, $C$9, 100%, $E$9)</f>
        <v>13.455399999999999</v>
      </c>
      <c r="N378" s="10">
        <f>CHOOSE(CONTROL!$C$42, 13.4724, 13.4724) * CHOOSE(CONTROL!$C$21, $C$9, 100%, $E$9)</f>
        <v>13.4724</v>
      </c>
      <c r="O378" s="10">
        <f>CHOOSE(CONTROL!$C$42, 13.7134, 13.7134) * CHOOSE(CONTROL!$C$21, $C$9, 100%, $E$9)</f>
        <v>13.7134</v>
      </c>
      <c r="P378" s="10">
        <f>CHOOSE(CONTROL!$C$42, 13.4625, 13.4625) * CHOOSE(CONTROL!$C$21, $C$9, 100%, $E$9)</f>
        <v>13.4625</v>
      </c>
      <c r="Q378" s="10">
        <f>CHOOSE(CONTROL!$C$42, 14.3087, 14.3087) * CHOOSE(CONTROL!$C$21, $C$9, 100%, $E$9)</f>
        <v>14.3087</v>
      </c>
      <c r="R378" s="10">
        <f>CHOOSE(CONTROL!$C$42, 14.9315, 14.9315) * CHOOSE(CONTROL!$C$21, $C$9, 100%, $E$9)</f>
        <v>14.9315</v>
      </c>
      <c r="S378" s="10">
        <f>CHOOSE(CONTROL!$C$42, 13.2213, 13.2213) * CHOOSE(CONTROL!$C$21, $C$9, 100%, $E$9)</f>
        <v>13.221299999999999</v>
      </c>
      <c r="T378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378" s="58">
        <f>(1000*CHOOSE(CONTROL!$C$42, 695, 695)*CHOOSE(CONTROL!$C$42, 0.5599, 0.5599)*CHOOSE(CONTROL!$C$42, 30, 30))/1000000</f>
        <v>11.673914999999997</v>
      </c>
      <c r="V378" s="58">
        <f>(1000*CHOOSE(CONTROL!$C$42, 500, 500)*CHOOSE(CONTROL!$C$42, 0.275, 0.275)*CHOOSE(CONTROL!$C$42, 30, 30))/1000000</f>
        <v>4.125</v>
      </c>
      <c r="W378" s="58">
        <f>(1000*CHOOSE(CONTROL!$C$42, 0.1146, 0.1146)*CHOOSE(CONTROL!$C$42, 121.5, 121.5)*CHOOSE(CONTROL!$C$42, 30, 30))/1000000</f>
        <v>0.417717</v>
      </c>
      <c r="X378" s="58">
        <f>(30*0.1790888*245000/1000000)+(30*0.2374*100000/1000000)</f>
        <v>2.0285026799999999</v>
      </c>
      <c r="Y378" s="58"/>
      <c r="Z378" s="10"/>
      <c r="AA378" s="57"/>
      <c r="AB378" s="51">
        <f>(B378*194.205+C378*267.466+D378*133.845+E378*53.484+F378*40+G378*185+H378*0+I378*100+J378*300)/(194.205+267.466+133.845+53.484+0+40+185+100+300)</f>
        <v>13.635953662009419</v>
      </c>
      <c r="AC378" s="27">
        <f>(M378*'RAP TEMPLATE-GAS AVAILABILITY'!O377+N378*'RAP TEMPLATE-GAS AVAILABILITY'!P377+O378*'RAP TEMPLATE-GAS AVAILABILITY'!Q377+P378*'RAP TEMPLATE-GAS AVAILABILITY'!R377)/('RAP TEMPLATE-GAS AVAILABILITY'!O377+'RAP TEMPLATE-GAS AVAILABILITY'!P377+'RAP TEMPLATE-GAS AVAILABILITY'!Q377+'RAP TEMPLATE-GAS AVAILABILITY'!R377)</f>
        <v>13.532723741007192</v>
      </c>
    </row>
    <row r="379" spans="1:29" ht="15.75" x14ac:dyDescent="0.25">
      <c r="A379" s="14">
        <v>52443</v>
      </c>
      <c r="B379" s="10">
        <f>CHOOSE(CONTROL!$C$42, 13.3579, 13.3579) * CHOOSE(CONTROL!$C$21, $C$9, 100%, $E$9)</f>
        <v>13.357900000000001</v>
      </c>
      <c r="C379" s="10">
        <f>CHOOSE(CONTROL!$C$42, 13.3659, 13.3659) * CHOOSE(CONTROL!$C$21, $C$9, 100%, $E$9)</f>
        <v>13.3659</v>
      </c>
      <c r="D379" s="10">
        <f>CHOOSE(CONTROL!$C$42, 13.5583, 13.5583) * CHOOSE(CONTROL!$C$21, $C$9, 100%, $E$9)</f>
        <v>13.558299999999999</v>
      </c>
      <c r="E379" s="10">
        <f>CHOOSE(CONTROL!$C$42, 13.5894, 13.5894) * CHOOSE(CONTROL!$C$21, $C$9, 100%, $E$9)</f>
        <v>13.589399999999999</v>
      </c>
      <c r="F379" s="10">
        <f>CHOOSE(CONTROL!$C$42, 13.3248, 13.3248)*CHOOSE(CONTROL!$C$21, $C$9, 100%, $E$9)</f>
        <v>13.3248</v>
      </c>
      <c r="G379" s="10">
        <f>CHOOSE(CONTROL!$C$42, 13.3421, 13.3421)*CHOOSE(CONTROL!$C$21, $C$9, 100%, $E$9)</f>
        <v>13.3421</v>
      </c>
      <c r="H379" s="10">
        <f>CHOOSE(CONTROL!$C$42, 13.5781, 13.5781) * CHOOSE(CONTROL!$C$21, $C$9, 100%, $E$9)</f>
        <v>13.578099999999999</v>
      </c>
      <c r="I379" s="10">
        <f>CHOOSE(CONTROL!$C$42, 13.3245, 13.3245)* CHOOSE(CONTROL!$C$21, $C$9, 100%, $E$9)</f>
        <v>13.3245</v>
      </c>
      <c r="J379" s="10">
        <f>CHOOSE(CONTROL!$C$42, 13.3178, 13.3178)* CHOOSE(CONTROL!$C$21, $C$9, 100%, $E$9)</f>
        <v>13.3178</v>
      </c>
      <c r="K379" s="54">
        <f>CHOOSE(CONTROL!$C$42, 13.3206, 13.3206) * CHOOSE(CONTROL!$C$21, $C$9, 100%, $E$9)</f>
        <v>13.320600000000001</v>
      </c>
      <c r="L379" s="10">
        <f>CHOOSE(CONTROL!$C$42, 14.1651, 14.1651) * CHOOSE(CONTROL!$C$21, $C$9, 100%, $E$9)</f>
        <v>14.165100000000001</v>
      </c>
      <c r="M379" s="10">
        <f>CHOOSE(CONTROL!$C$42, 13.1973, 13.1973) * CHOOSE(CONTROL!$C$21, $C$9, 100%, $E$9)</f>
        <v>13.1973</v>
      </c>
      <c r="N379" s="10">
        <f>CHOOSE(CONTROL!$C$42, 13.2144, 13.2144) * CHOOSE(CONTROL!$C$21, $C$9, 100%, $E$9)</f>
        <v>13.214399999999999</v>
      </c>
      <c r="O379" s="10">
        <f>CHOOSE(CONTROL!$C$42, 13.4549, 13.4549) * CHOOSE(CONTROL!$C$21, $C$9, 100%, $E$9)</f>
        <v>13.4549</v>
      </c>
      <c r="P379" s="10">
        <f>CHOOSE(CONTROL!$C$42, 13.2039, 13.2039) * CHOOSE(CONTROL!$C$21, $C$9, 100%, $E$9)</f>
        <v>13.203900000000001</v>
      </c>
      <c r="Q379" s="10">
        <f>CHOOSE(CONTROL!$C$42, 14.0502, 14.0502) * CHOOSE(CONTROL!$C$21, $C$9, 100%, $E$9)</f>
        <v>14.0502</v>
      </c>
      <c r="R379" s="10">
        <f>CHOOSE(CONTROL!$C$42, 14.6723, 14.6723) * CHOOSE(CONTROL!$C$21, $C$9, 100%, $E$9)</f>
        <v>14.6723</v>
      </c>
      <c r="S379" s="10">
        <f>CHOOSE(CONTROL!$C$42, 12.9677, 12.9677) * CHOOSE(CONTROL!$C$21, $C$9, 100%, $E$9)</f>
        <v>12.967700000000001</v>
      </c>
      <c r="T379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379" s="58">
        <f>(1000*CHOOSE(CONTROL!$C$42, 695, 695)*CHOOSE(CONTROL!$C$42, 0.5599, 0.5599)*CHOOSE(CONTROL!$C$42, 31, 31))/1000000</f>
        <v>12.063045499999998</v>
      </c>
      <c r="V379" s="58">
        <f>(1000*CHOOSE(CONTROL!$C$42, 500, 500)*CHOOSE(CONTROL!$C$42, 0.275, 0.275)*CHOOSE(CONTROL!$C$42, 31, 31))/1000000</f>
        <v>4.2625000000000002</v>
      </c>
      <c r="W379" s="58">
        <f>(1000*CHOOSE(CONTROL!$C$42, 0.1146, 0.1146)*CHOOSE(CONTROL!$C$42, 121.5, 121.5)*CHOOSE(CONTROL!$C$42, 31, 31))/1000000</f>
        <v>0.43164089999999994</v>
      </c>
      <c r="X379" s="58">
        <f>(31*0.1790888*245000/1000000)+(31*0.2374*100000/1000000)</f>
        <v>2.0961194359999999</v>
      </c>
      <c r="Y379" s="58"/>
      <c r="Z379" s="10"/>
      <c r="AA379" s="57"/>
      <c r="AB379" s="51">
        <f>(B379*194.205+C379*267.466+D379*133.845+E379*53.484+F379*40+G379*185+H379*0+I379*100+J379*300)/(194.205+267.466+133.845+53.484+0+40+185+100+300)</f>
        <v>13.37495401255887</v>
      </c>
      <c r="AC379" s="27">
        <f>(M379*'RAP TEMPLATE-GAS AVAILABILITY'!O378+N379*'RAP TEMPLATE-GAS AVAILABILITY'!P378+O379*'RAP TEMPLATE-GAS AVAILABILITY'!Q378+P379*'RAP TEMPLATE-GAS AVAILABILITY'!R378)/('RAP TEMPLATE-GAS AVAILABILITY'!O378+'RAP TEMPLATE-GAS AVAILABILITY'!P378+'RAP TEMPLATE-GAS AVAILABILITY'!Q378+'RAP TEMPLATE-GAS AVAILABILITY'!R378)</f>
        <v>13.274462589928058</v>
      </c>
    </row>
    <row r="380" spans="1:29" ht="15.75" x14ac:dyDescent="0.25">
      <c r="A380" s="14">
        <v>52474</v>
      </c>
      <c r="B380" s="10">
        <f>CHOOSE(CONTROL!$C$42, 12.6984, 12.6984) * CHOOSE(CONTROL!$C$21, $C$9, 100%, $E$9)</f>
        <v>12.698399999999999</v>
      </c>
      <c r="C380" s="10">
        <f>CHOOSE(CONTROL!$C$42, 12.7063, 12.7063) * CHOOSE(CONTROL!$C$21, $C$9, 100%, $E$9)</f>
        <v>12.706300000000001</v>
      </c>
      <c r="D380" s="10">
        <f>CHOOSE(CONTROL!$C$42, 12.8988, 12.8988) * CHOOSE(CONTROL!$C$21, $C$9, 100%, $E$9)</f>
        <v>12.8988</v>
      </c>
      <c r="E380" s="10">
        <f>CHOOSE(CONTROL!$C$42, 12.9299, 12.9299) * CHOOSE(CONTROL!$C$21, $C$9, 100%, $E$9)</f>
        <v>12.9299</v>
      </c>
      <c r="F380" s="10">
        <f>CHOOSE(CONTROL!$C$42, 12.6655, 12.6655)*CHOOSE(CONTROL!$C$21, $C$9, 100%, $E$9)</f>
        <v>12.6655</v>
      </c>
      <c r="G380" s="10">
        <f>CHOOSE(CONTROL!$C$42, 12.6828, 12.6828)*CHOOSE(CONTROL!$C$21, $C$9, 100%, $E$9)</f>
        <v>12.6828</v>
      </c>
      <c r="H380" s="10">
        <f>CHOOSE(CONTROL!$C$42, 12.9185, 12.9185) * CHOOSE(CONTROL!$C$21, $C$9, 100%, $E$9)</f>
        <v>12.9185</v>
      </c>
      <c r="I380" s="10">
        <f>CHOOSE(CONTROL!$C$42, 12.665, 12.665)* CHOOSE(CONTROL!$C$21, $C$9, 100%, $E$9)</f>
        <v>12.664999999999999</v>
      </c>
      <c r="J380" s="10">
        <f>CHOOSE(CONTROL!$C$42, 12.6585, 12.6585)* CHOOSE(CONTROL!$C$21, $C$9, 100%, $E$9)</f>
        <v>12.6585</v>
      </c>
      <c r="K380" s="54">
        <f>CHOOSE(CONTROL!$C$42, 12.6611, 12.6611) * CHOOSE(CONTROL!$C$21, $C$9, 100%, $E$9)</f>
        <v>12.661099999999999</v>
      </c>
      <c r="L380" s="10">
        <f>CHOOSE(CONTROL!$C$42, 13.5055, 13.5055) * CHOOSE(CONTROL!$C$21, $C$9, 100%, $E$9)</f>
        <v>13.5055</v>
      </c>
      <c r="M380" s="10">
        <f>CHOOSE(CONTROL!$C$42, 12.5445, 12.5445) * CHOOSE(CONTROL!$C$21, $C$9, 100%, $E$9)</f>
        <v>12.544499999999999</v>
      </c>
      <c r="N380" s="10">
        <f>CHOOSE(CONTROL!$C$42, 12.5617, 12.5617) * CHOOSE(CONTROL!$C$21, $C$9, 100%, $E$9)</f>
        <v>12.5617</v>
      </c>
      <c r="O380" s="10">
        <f>CHOOSE(CONTROL!$C$42, 12.802, 12.802) * CHOOSE(CONTROL!$C$21, $C$9, 100%, $E$9)</f>
        <v>12.802</v>
      </c>
      <c r="P380" s="10">
        <f>CHOOSE(CONTROL!$C$42, 12.551, 12.551) * CHOOSE(CONTROL!$C$21, $C$9, 100%, $E$9)</f>
        <v>12.551</v>
      </c>
      <c r="Q380" s="10">
        <f>CHOOSE(CONTROL!$C$42, 13.3973, 13.3973) * CHOOSE(CONTROL!$C$21, $C$9, 100%, $E$9)</f>
        <v>13.3973</v>
      </c>
      <c r="R380" s="10">
        <f>CHOOSE(CONTROL!$C$42, 14.0178, 14.0178) * CHOOSE(CONTROL!$C$21, $C$9, 100%, $E$9)</f>
        <v>14.017799999999999</v>
      </c>
      <c r="S380" s="10">
        <f>CHOOSE(CONTROL!$C$42, 12.3272, 12.3272) * CHOOSE(CONTROL!$C$21, $C$9, 100%, $E$9)</f>
        <v>12.327199999999999</v>
      </c>
      <c r="T380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380" s="58">
        <f>(1000*CHOOSE(CONTROL!$C$42, 695, 695)*CHOOSE(CONTROL!$C$42, 0.5599, 0.5599)*CHOOSE(CONTROL!$C$42, 31, 31))/1000000</f>
        <v>12.063045499999998</v>
      </c>
      <c r="V380" s="58">
        <f>(1000*CHOOSE(CONTROL!$C$42, 500, 500)*CHOOSE(CONTROL!$C$42, 0.275, 0.275)*CHOOSE(CONTROL!$C$42, 31, 31))/1000000</f>
        <v>4.2625000000000002</v>
      </c>
      <c r="W380" s="58">
        <f>(1000*CHOOSE(CONTROL!$C$42, 0.1146, 0.1146)*CHOOSE(CONTROL!$C$42, 121.5, 121.5)*CHOOSE(CONTROL!$C$42, 31, 31))/1000000</f>
        <v>0.43164089999999994</v>
      </c>
      <c r="X380" s="58">
        <f>(31*0.1790888*245000/1000000)+(31*0.2374*100000/1000000)</f>
        <v>2.0961194359999999</v>
      </c>
      <c r="Y380" s="58"/>
      <c r="Z380" s="10"/>
      <c r="AA380" s="57"/>
      <c r="AB380" s="51">
        <f>(B380*194.205+C380*267.466+D380*133.845+E380*53.484+F380*40+G380*185+H380*0+I380*100+J380*300)/(194.205+267.466+133.845+53.484+0+40+185+100+300)</f>
        <v>12.715515435949765</v>
      </c>
      <c r="AC380" s="27">
        <f>(M380*'RAP TEMPLATE-GAS AVAILABILITY'!O379+N380*'RAP TEMPLATE-GAS AVAILABILITY'!P379+O380*'RAP TEMPLATE-GAS AVAILABILITY'!Q379+P380*'RAP TEMPLATE-GAS AVAILABILITY'!R379)/('RAP TEMPLATE-GAS AVAILABILITY'!O379+'RAP TEMPLATE-GAS AVAILABILITY'!P379+'RAP TEMPLATE-GAS AVAILABILITY'!Q379+'RAP TEMPLATE-GAS AVAILABILITY'!R379)</f>
        <v>12.621643165467626</v>
      </c>
    </row>
    <row r="381" spans="1:29" ht="15.75" x14ac:dyDescent="0.25">
      <c r="A381" s="14">
        <v>52504</v>
      </c>
      <c r="B381" s="10">
        <f>CHOOSE(CONTROL!$C$42, 11.8922, 11.8922) * CHOOSE(CONTROL!$C$21, $C$9, 100%, $E$9)</f>
        <v>11.892200000000001</v>
      </c>
      <c r="C381" s="10">
        <f>CHOOSE(CONTROL!$C$42, 11.9001, 11.9001) * CHOOSE(CONTROL!$C$21, $C$9, 100%, $E$9)</f>
        <v>11.9001</v>
      </c>
      <c r="D381" s="10">
        <f>CHOOSE(CONTROL!$C$42, 12.0925, 12.0925) * CHOOSE(CONTROL!$C$21, $C$9, 100%, $E$9)</f>
        <v>12.092499999999999</v>
      </c>
      <c r="E381" s="10">
        <f>CHOOSE(CONTROL!$C$42, 12.1237, 12.1237) * CHOOSE(CONTROL!$C$21, $C$9, 100%, $E$9)</f>
        <v>12.123699999999999</v>
      </c>
      <c r="F381" s="10">
        <f>CHOOSE(CONTROL!$C$42, 11.8591, 11.8591)*CHOOSE(CONTROL!$C$21, $C$9, 100%, $E$9)</f>
        <v>11.8591</v>
      </c>
      <c r="G381" s="10">
        <f>CHOOSE(CONTROL!$C$42, 11.8764, 11.8764)*CHOOSE(CONTROL!$C$21, $C$9, 100%, $E$9)</f>
        <v>11.8764</v>
      </c>
      <c r="H381" s="10">
        <f>CHOOSE(CONTROL!$C$42, 12.1123, 12.1123) * CHOOSE(CONTROL!$C$21, $C$9, 100%, $E$9)</f>
        <v>12.112299999999999</v>
      </c>
      <c r="I381" s="10">
        <f>CHOOSE(CONTROL!$C$42, 11.8587, 11.8587)* CHOOSE(CONTROL!$C$21, $C$9, 100%, $E$9)</f>
        <v>11.858700000000001</v>
      </c>
      <c r="J381" s="10">
        <f>CHOOSE(CONTROL!$C$42, 11.8521, 11.8521)* CHOOSE(CONTROL!$C$21, $C$9, 100%, $E$9)</f>
        <v>11.8521</v>
      </c>
      <c r="K381" s="54">
        <f>CHOOSE(CONTROL!$C$42, 11.8548, 11.8548) * CHOOSE(CONTROL!$C$21, $C$9, 100%, $E$9)</f>
        <v>11.854799999999999</v>
      </c>
      <c r="L381" s="10">
        <f>CHOOSE(CONTROL!$C$42, 12.6993, 12.6993) * CHOOSE(CONTROL!$C$21, $C$9, 100%, $E$9)</f>
        <v>12.699299999999999</v>
      </c>
      <c r="M381" s="10">
        <f>CHOOSE(CONTROL!$C$42, 11.7463, 11.7463) * CHOOSE(CONTROL!$C$21, $C$9, 100%, $E$9)</f>
        <v>11.7463</v>
      </c>
      <c r="N381" s="10">
        <f>CHOOSE(CONTROL!$C$42, 11.7634, 11.7634) * CHOOSE(CONTROL!$C$21, $C$9, 100%, $E$9)</f>
        <v>11.763400000000001</v>
      </c>
      <c r="O381" s="10">
        <f>CHOOSE(CONTROL!$C$42, 12.0039, 12.0039) * CHOOSE(CONTROL!$C$21, $C$9, 100%, $E$9)</f>
        <v>12.0039</v>
      </c>
      <c r="P381" s="10">
        <f>CHOOSE(CONTROL!$C$42, 11.7529, 11.7529) * CHOOSE(CONTROL!$C$21, $C$9, 100%, $E$9)</f>
        <v>11.7529</v>
      </c>
      <c r="Q381" s="10">
        <f>CHOOSE(CONTROL!$C$42, 12.5992, 12.5992) * CHOOSE(CONTROL!$C$21, $C$9, 100%, $E$9)</f>
        <v>12.5992</v>
      </c>
      <c r="R381" s="10">
        <f>CHOOSE(CONTROL!$C$42, 13.2177, 13.2177) * CHOOSE(CONTROL!$C$21, $C$9, 100%, $E$9)</f>
        <v>13.217700000000001</v>
      </c>
      <c r="S381" s="10">
        <f>CHOOSE(CONTROL!$C$42, 11.5442, 11.5442) * CHOOSE(CONTROL!$C$21, $C$9, 100%, $E$9)</f>
        <v>11.5442</v>
      </c>
      <c r="T381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381" s="58">
        <f>(1000*CHOOSE(CONTROL!$C$42, 695, 695)*CHOOSE(CONTROL!$C$42, 0.5599, 0.5599)*CHOOSE(CONTROL!$C$42, 30, 30))/1000000</f>
        <v>11.673914999999997</v>
      </c>
      <c r="V381" s="58">
        <f>(1000*CHOOSE(CONTROL!$C$42, 500, 500)*CHOOSE(CONTROL!$C$42, 0.275, 0.275)*CHOOSE(CONTROL!$C$42, 30, 30))/1000000</f>
        <v>4.125</v>
      </c>
      <c r="W381" s="58">
        <f>(1000*CHOOSE(CONTROL!$C$42, 0.1146, 0.1146)*CHOOSE(CONTROL!$C$42, 121.5, 121.5)*CHOOSE(CONTROL!$C$42, 30, 30))/1000000</f>
        <v>0.417717</v>
      </c>
      <c r="X381" s="58">
        <f>(30*0.1790888*245000/1000000)+(30*0.2374*100000/1000000)</f>
        <v>2.0285026799999999</v>
      </c>
      <c r="Y381" s="58"/>
      <c r="Z381" s="10"/>
      <c r="AA381" s="57"/>
      <c r="AB381" s="51">
        <f>(B381*194.205+C381*267.466+D381*133.845+E381*53.484+F381*40+G381*185+H381*0+I381*100+J381*300)/(194.205+267.466+133.845+53.484+0+40+185+100+300)</f>
        <v>11.909214663186814</v>
      </c>
      <c r="AC381" s="27">
        <f>(M381*'RAP TEMPLATE-GAS AVAILABILITY'!O380+N381*'RAP TEMPLATE-GAS AVAILABILITY'!P380+O381*'RAP TEMPLATE-GAS AVAILABILITY'!Q380+P381*'RAP TEMPLATE-GAS AVAILABILITY'!R380)/('RAP TEMPLATE-GAS AVAILABILITY'!O380+'RAP TEMPLATE-GAS AVAILABILITY'!P380+'RAP TEMPLATE-GAS AVAILABILITY'!Q380+'RAP TEMPLATE-GAS AVAILABILITY'!R380)</f>
        <v>11.823462589928056</v>
      </c>
    </row>
    <row r="382" spans="1:29" ht="15.75" x14ac:dyDescent="0.25">
      <c r="A382" s="14">
        <v>52535</v>
      </c>
      <c r="B382" s="10">
        <f>CHOOSE(CONTROL!$C$42, 11.6491, 11.6491) * CHOOSE(CONTROL!$C$21, $C$9, 100%, $E$9)</f>
        <v>11.649100000000001</v>
      </c>
      <c r="C382" s="10">
        <f>CHOOSE(CONTROL!$C$42, 11.6543, 11.6543) * CHOOSE(CONTROL!$C$21, $C$9, 100%, $E$9)</f>
        <v>11.654299999999999</v>
      </c>
      <c r="D382" s="10">
        <f>CHOOSE(CONTROL!$C$42, 11.8517, 11.8517) * CHOOSE(CONTROL!$C$21, $C$9, 100%, $E$9)</f>
        <v>11.851699999999999</v>
      </c>
      <c r="E382" s="10">
        <f>CHOOSE(CONTROL!$C$42, 11.8805, 11.8805) * CHOOSE(CONTROL!$C$21, $C$9, 100%, $E$9)</f>
        <v>11.8805</v>
      </c>
      <c r="F382" s="10">
        <f>CHOOSE(CONTROL!$C$42, 11.618, 11.618)*CHOOSE(CONTROL!$C$21, $C$9, 100%, $E$9)</f>
        <v>11.618</v>
      </c>
      <c r="G382" s="10">
        <f>CHOOSE(CONTROL!$C$42, 11.6349, 11.6349)*CHOOSE(CONTROL!$C$21, $C$9, 100%, $E$9)</f>
        <v>11.6349</v>
      </c>
      <c r="H382" s="10">
        <f>CHOOSE(CONTROL!$C$42, 11.8709, 11.8709) * CHOOSE(CONTROL!$C$21, $C$9, 100%, $E$9)</f>
        <v>11.870900000000001</v>
      </c>
      <c r="I382" s="10">
        <f>CHOOSE(CONTROL!$C$42, 11.6174, 11.6174)* CHOOSE(CONTROL!$C$21, $C$9, 100%, $E$9)</f>
        <v>11.6174</v>
      </c>
      <c r="J382" s="10">
        <f>CHOOSE(CONTROL!$C$42, 11.611, 11.611)* CHOOSE(CONTROL!$C$21, $C$9, 100%, $E$9)</f>
        <v>11.611000000000001</v>
      </c>
      <c r="K382" s="54">
        <f>CHOOSE(CONTROL!$C$42, 11.6135, 11.6135) * CHOOSE(CONTROL!$C$21, $C$9, 100%, $E$9)</f>
        <v>11.6135</v>
      </c>
      <c r="L382" s="10">
        <f>CHOOSE(CONTROL!$C$42, 12.4579, 12.4579) * CHOOSE(CONTROL!$C$21, $C$9, 100%, $E$9)</f>
        <v>12.4579</v>
      </c>
      <c r="M382" s="10">
        <f>CHOOSE(CONTROL!$C$42, 11.5076, 11.5076) * CHOOSE(CONTROL!$C$21, $C$9, 100%, $E$9)</f>
        <v>11.5076</v>
      </c>
      <c r="N382" s="10">
        <f>CHOOSE(CONTROL!$C$42, 11.5244, 11.5244) * CHOOSE(CONTROL!$C$21, $C$9, 100%, $E$9)</f>
        <v>11.5244</v>
      </c>
      <c r="O382" s="10">
        <f>CHOOSE(CONTROL!$C$42, 11.765, 11.765) * CHOOSE(CONTROL!$C$21, $C$9, 100%, $E$9)</f>
        <v>11.765000000000001</v>
      </c>
      <c r="P382" s="10">
        <f>CHOOSE(CONTROL!$C$42, 11.514, 11.514) * CHOOSE(CONTROL!$C$21, $C$9, 100%, $E$9)</f>
        <v>11.513999999999999</v>
      </c>
      <c r="Q382" s="10">
        <f>CHOOSE(CONTROL!$C$42, 12.3603, 12.3603) * CHOOSE(CONTROL!$C$21, $C$9, 100%, $E$9)</f>
        <v>12.360300000000001</v>
      </c>
      <c r="R382" s="10">
        <f>CHOOSE(CONTROL!$C$42, 12.9782, 12.9782) * CHOOSE(CONTROL!$C$21, $C$9, 100%, $E$9)</f>
        <v>12.978199999999999</v>
      </c>
      <c r="S382" s="10">
        <f>CHOOSE(CONTROL!$C$42, 11.3099, 11.3099) * CHOOSE(CONTROL!$C$21, $C$9, 100%, $E$9)</f>
        <v>11.309900000000001</v>
      </c>
      <c r="T382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382" s="58">
        <f>(1000*CHOOSE(CONTROL!$C$42, 695, 695)*CHOOSE(CONTROL!$C$42, 0.5599, 0.5599)*CHOOSE(CONTROL!$C$42, 31, 31))/1000000</f>
        <v>12.063045499999998</v>
      </c>
      <c r="V382" s="58">
        <f>(1000*CHOOSE(CONTROL!$C$42, 500, 500)*CHOOSE(CONTROL!$C$42, 0.275, 0.275)*CHOOSE(CONTROL!$C$42, 31, 31))/1000000</f>
        <v>4.2625000000000002</v>
      </c>
      <c r="W382" s="58">
        <f>(1000*CHOOSE(CONTROL!$C$42, 0.1146, 0.1146)*CHOOSE(CONTROL!$C$42, 121.5, 121.5)*CHOOSE(CONTROL!$C$42, 31, 31))/1000000</f>
        <v>0.43164089999999994</v>
      </c>
      <c r="X382" s="58">
        <f>(31*0.1790888*245000/1000000)+(31*0.2374*100000/1000000)</f>
        <v>2.0961194359999999</v>
      </c>
      <c r="Y382" s="58"/>
      <c r="Z382" s="10"/>
      <c r="AA382" s="57"/>
      <c r="AB382" s="51">
        <f>(B382*131.881+C382*277.167+D382*79.08+E382*125.872+F382*40+G382*185+H382*0+I382*100+J382*300)/(131.881+277.167+79.08+125.872+0+40+185+100+300)</f>
        <v>11.671794638579499</v>
      </c>
      <c r="AC382" s="27">
        <f>(M382*'RAP TEMPLATE-GAS AVAILABILITY'!O381+N382*'RAP TEMPLATE-GAS AVAILABILITY'!P381+O382*'RAP TEMPLATE-GAS AVAILABILITY'!Q381+P382*'RAP TEMPLATE-GAS AVAILABILITY'!R381)/('RAP TEMPLATE-GAS AVAILABILITY'!O381+'RAP TEMPLATE-GAS AVAILABILITY'!P381+'RAP TEMPLATE-GAS AVAILABILITY'!Q381+'RAP TEMPLATE-GAS AVAILABILITY'!R381)</f>
        <v>11.584608633093525</v>
      </c>
    </row>
    <row r="383" spans="1:29" ht="15.75" x14ac:dyDescent="0.25">
      <c r="A383" s="14">
        <v>52565</v>
      </c>
      <c r="B383" s="10">
        <f>CHOOSE(CONTROL!$C$42, 11.9554, 11.9554) * CHOOSE(CONTROL!$C$21, $C$9, 100%, $E$9)</f>
        <v>11.955399999999999</v>
      </c>
      <c r="C383" s="10">
        <f>CHOOSE(CONTROL!$C$42, 11.9604, 11.9604) * CHOOSE(CONTROL!$C$21, $C$9, 100%, $E$9)</f>
        <v>11.9604</v>
      </c>
      <c r="D383" s="10">
        <f>CHOOSE(CONTROL!$C$42, 11.99, 11.99) * CHOOSE(CONTROL!$C$21, $C$9, 100%, $E$9)</f>
        <v>11.99</v>
      </c>
      <c r="E383" s="10">
        <f>CHOOSE(CONTROL!$C$42, 12.0238, 12.0238) * CHOOSE(CONTROL!$C$21, $C$9, 100%, $E$9)</f>
        <v>12.0238</v>
      </c>
      <c r="F383" s="10">
        <f>CHOOSE(CONTROL!$C$42, 11.9222, 11.9222)*CHOOSE(CONTROL!$C$21, $C$9, 100%, $E$9)</f>
        <v>11.9222</v>
      </c>
      <c r="G383" s="10">
        <f>CHOOSE(CONTROL!$C$42, 11.9394, 11.9394)*CHOOSE(CONTROL!$C$21, $C$9, 100%, $E$9)</f>
        <v>11.939399999999999</v>
      </c>
      <c r="H383" s="10">
        <f>CHOOSE(CONTROL!$C$42, 12.013, 12.013) * CHOOSE(CONTROL!$C$21, $C$9, 100%, $E$9)</f>
        <v>12.013</v>
      </c>
      <c r="I383" s="10">
        <f>CHOOSE(CONTROL!$C$42, 11.919, 11.919)* CHOOSE(CONTROL!$C$21, $C$9, 100%, $E$9)</f>
        <v>11.919</v>
      </c>
      <c r="J383" s="10">
        <f>CHOOSE(CONTROL!$C$42, 11.9152, 11.9152)* CHOOSE(CONTROL!$C$21, $C$9, 100%, $E$9)</f>
        <v>11.9152</v>
      </c>
      <c r="K383" s="54">
        <f>CHOOSE(CONTROL!$C$42, 11.9151, 11.9151) * CHOOSE(CONTROL!$C$21, $C$9, 100%, $E$9)</f>
        <v>11.915100000000001</v>
      </c>
      <c r="L383" s="10">
        <f>CHOOSE(CONTROL!$C$42, 12.6, 12.6) * CHOOSE(CONTROL!$C$21, $C$9, 100%, $E$9)</f>
        <v>12.6</v>
      </c>
      <c r="M383" s="10">
        <f>CHOOSE(CONTROL!$C$42, 11.8088, 11.8088) * CHOOSE(CONTROL!$C$21, $C$9, 100%, $E$9)</f>
        <v>11.8088</v>
      </c>
      <c r="N383" s="10">
        <f>CHOOSE(CONTROL!$C$42, 11.8258, 11.8258) * CHOOSE(CONTROL!$C$21, $C$9, 100%, $E$9)</f>
        <v>11.825799999999999</v>
      </c>
      <c r="O383" s="10">
        <f>CHOOSE(CONTROL!$C$42, 11.9056, 11.9056) * CHOOSE(CONTROL!$C$21, $C$9, 100%, $E$9)</f>
        <v>11.9056</v>
      </c>
      <c r="P383" s="10">
        <f>CHOOSE(CONTROL!$C$42, 11.8126, 11.8126) * CHOOSE(CONTROL!$C$21, $C$9, 100%, $E$9)</f>
        <v>11.8126</v>
      </c>
      <c r="Q383" s="10">
        <f>CHOOSE(CONTROL!$C$42, 12.5009, 12.5009) * CHOOSE(CONTROL!$C$21, $C$9, 100%, $E$9)</f>
        <v>12.5009</v>
      </c>
      <c r="R383" s="10">
        <f>CHOOSE(CONTROL!$C$42, 13.1191, 13.1191) * CHOOSE(CONTROL!$C$21, $C$9, 100%, $E$9)</f>
        <v>13.1191</v>
      </c>
      <c r="S383" s="10">
        <f>CHOOSE(CONTROL!$C$42, 11.6078, 11.6078) * CHOOSE(CONTROL!$C$21, $C$9, 100%, $E$9)</f>
        <v>11.607799999999999</v>
      </c>
      <c r="T383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383" s="58">
        <f>(1000*CHOOSE(CONTROL!$C$42, 695, 695)*CHOOSE(CONTROL!$C$42, 0.5599, 0.5599)*CHOOSE(CONTROL!$C$42, 30, 30))/1000000</f>
        <v>11.673914999999997</v>
      </c>
      <c r="V383" s="58">
        <f>(1000*CHOOSE(CONTROL!$C$42, 500, 500)*CHOOSE(CONTROL!$C$42, 0.275, 0.275)*CHOOSE(CONTROL!$C$42, 30, 30))/1000000</f>
        <v>4.125</v>
      </c>
      <c r="W383" s="58">
        <f>(1000*CHOOSE(CONTROL!$C$42, 0.1146, 0.1146)*CHOOSE(CONTROL!$C$42, 121.5, 121.5)*CHOOSE(CONTROL!$C$42, 30, 30))/1000000</f>
        <v>0.417717</v>
      </c>
      <c r="X383" s="58">
        <f>(30*0.1790888*100000/1000000)+(30*0.2374*100000/1000000)</f>
        <v>1.2494664</v>
      </c>
      <c r="Y383" s="58"/>
      <c r="Z383" s="10"/>
      <c r="AA383" s="57"/>
      <c r="AB383" s="51">
        <f>(B383*122.58+C383*297.941+D383*89.177+E383*40.302+F383*40+G383*160+H383*0+I383*100+J383*300)/(122.58+297.941+89.177+40.302+0+40+160+100+300)</f>
        <v>11.944742509565216</v>
      </c>
      <c r="AC383" s="27">
        <f>(M383*'RAP TEMPLATE-GAS AVAILABILITY'!O382+N383*'RAP TEMPLATE-GAS AVAILABILITY'!P382+O383*'RAP TEMPLATE-GAS AVAILABILITY'!Q382+P383*'RAP TEMPLATE-GAS AVAILABILITY'!R382)/('RAP TEMPLATE-GAS AVAILABILITY'!O382+'RAP TEMPLATE-GAS AVAILABILITY'!P382+'RAP TEMPLATE-GAS AVAILABILITY'!Q382+'RAP TEMPLATE-GAS AVAILABILITY'!R382)</f>
        <v>11.854198561151078</v>
      </c>
    </row>
    <row r="384" spans="1:29" ht="15.75" x14ac:dyDescent="0.25">
      <c r="A384" s="14">
        <v>52596</v>
      </c>
      <c r="B384" s="10">
        <f>CHOOSE(CONTROL!$C$42, 12.7704, 12.7704) * CHOOSE(CONTROL!$C$21, $C$9, 100%, $E$9)</f>
        <v>12.7704</v>
      </c>
      <c r="C384" s="10">
        <f>CHOOSE(CONTROL!$C$42, 12.7753, 12.7753) * CHOOSE(CONTROL!$C$21, $C$9, 100%, $E$9)</f>
        <v>12.7753</v>
      </c>
      <c r="D384" s="10">
        <f>CHOOSE(CONTROL!$C$42, 12.8049, 12.8049) * CHOOSE(CONTROL!$C$21, $C$9, 100%, $E$9)</f>
        <v>12.8049</v>
      </c>
      <c r="E384" s="10">
        <f>CHOOSE(CONTROL!$C$42, 12.8387, 12.8387) * CHOOSE(CONTROL!$C$21, $C$9, 100%, $E$9)</f>
        <v>12.838699999999999</v>
      </c>
      <c r="F384" s="10">
        <f>CHOOSE(CONTROL!$C$42, 12.7386, 12.7386)*CHOOSE(CONTROL!$C$21, $C$9, 100%, $E$9)</f>
        <v>12.7386</v>
      </c>
      <c r="G384" s="10">
        <f>CHOOSE(CONTROL!$C$42, 12.7561, 12.7561)*CHOOSE(CONTROL!$C$21, $C$9, 100%, $E$9)</f>
        <v>12.7561</v>
      </c>
      <c r="H384" s="10">
        <f>CHOOSE(CONTROL!$C$42, 12.8279, 12.8279) * CHOOSE(CONTROL!$C$21, $C$9, 100%, $E$9)</f>
        <v>12.8279</v>
      </c>
      <c r="I384" s="10">
        <f>CHOOSE(CONTROL!$C$42, 12.7339, 12.7339)* CHOOSE(CONTROL!$C$21, $C$9, 100%, $E$9)</f>
        <v>12.7339</v>
      </c>
      <c r="J384" s="10">
        <f>CHOOSE(CONTROL!$C$42, 12.7316, 12.7316)* CHOOSE(CONTROL!$C$21, $C$9, 100%, $E$9)</f>
        <v>12.7316</v>
      </c>
      <c r="K384" s="54">
        <f>CHOOSE(CONTROL!$C$42, 12.7301, 12.7301) * CHOOSE(CONTROL!$C$21, $C$9, 100%, $E$9)</f>
        <v>12.7301</v>
      </c>
      <c r="L384" s="10">
        <f>CHOOSE(CONTROL!$C$42, 13.4149, 13.4149) * CHOOSE(CONTROL!$C$21, $C$9, 100%, $E$9)</f>
        <v>13.414899999999999</v>
      </c>
      <c r="M384" s="10">
        <f>CHOOSE(CONTROL!$C$42, 12.6169, 12.6169) * CHOOSE(CONTROL!$C$21, $C$9, 100%, $E$9)</f>
        <v>12.616899999999999</v>
      </c>
      <c r="N384" s="10">
        <f>CHOOSE(CONTROL!$C$42, 12.6342, 12.6342) * CHOOSE(CONTROL!$C$21, $C$9, 100%, $E$9)</f>
        <v>12.6342</v>
      </c>
      <c r="O384" s="10">
        <f>CHOOSE(CONTROL!$C$42, 12.7123, 12.7123) * CHOOSE(CONTROL!$C$21, $C$9, 100%, $E$9)</f>
        <v>12.712300000000001</v>
      </c>
      <c r="P384" s="10">
        <f>CHOOSE(CONTROL!$C$42, 12.6193, 12.6193) * CHOOSE(CONTROL!$C$21, $C$9, 100%, $E$9)</f>
        <v>12.619300000000001</v>
      </c>
      <c r="Q384" s="10">
        <f>CHOOSE(CONTROL!$C$42, 13.3076, 13.3076) * CHOOSE(CONTROL!$C$21, $C$9, 100%, $E$9)</f>
        <v>13.307600000000001</v>
      </c>
      <c r="R384" s="10">
        <f>CHOOSE(CONTROL!$C$42, 13.9278, 13.9278) * CHOOSE(CONTROL!$C$21, $C$9, 100%, $E$9)</f>
        <v>13.9278</v>
      </c>
      <c r="S384" s="10">
        <f>CHOOSE(CONTROL!$C$42, 12.3992, 12.3992) * CHOOSE(CONTROL!$C$21, $C$9, 100%, $E$9)</f>
        <v>12.3992</v>
      </c>
      <c r="T384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384" s="58">
        <f>(1000*CHOOSE(CONTROL!$C$42, 695, 695)*CHOOSE(CONTROL!$C$42, 0.5599, 0.5599)*CHOOSE(CONTROL!$C$42, 31, 31))/1000000</f>
        <v>12.063045499999998</v>
      </c>
      <c r="V384" s="58">
        <f>(1000*CHOOSE(CONTROL!$C$42, 500, 500)*CHOOSE(CONTROL!$C$42, 0.275, 0.275)*CHOOSE(CONTROL!$C$42, 31, 31))/1000000</f>
        <v>4.2625000000000002</v>
      </c>
      <c r="W384" s="58">
        <f>(1000*CHOOSE(CONTROL!$C$42, 0.1146, 0.1146)*CHOOSE(CONTROL!$C$42, 121.5, 121.5)*CHOOSE(CONTROL!$C$42, 31, 31))/1000000</f>
        <v>0.43164089999999994</v>
      </c>
      <c r="X384" s="58">
        <f>(31*0.1790888*100000/1000000)+(31*0.2374*100000/1000000)</f>
        <v>1.2911152800000001</v>
      </c>
      <c r="Y384" s="58"/>
      <c r="Z384" s="10"/>
      <c r="AA384" s="57"/>
      <c r="AB384" s="51">
        <f>(B384*122.58+C384*297.941+D384*89.177+E384*40.302+F384*40+G384*160+H384*0+I384*100+J384*300)/(122.58+297.941+89.177+40.302+0+40+160+100+300)</f>
        <v>12.76034708173913</v>
      </c>
      <c r="AC384" s="27">
        <f>(M384*'RAP TEMPLATE-GAS AVAILABILITY'!O383+N384*'RAP TEMPLATE-GAS AVAILABILITY'!P383+O384*'RAP TEMPLATE-GAS AVAILABILITY'!Q383+P384*'RAP TEMPLATE-GAS AVAILABILITY'!R383)/('RAP TEMPLATE-GAS AVAILABILITY'!O383+'RAP TEMPLATE-GAS AVAILABILITY'!P383+'RAP TEMPLATE-GAS AVAILABILITY'!Q383+'RAP TEMPLATE-GAS AVAILABILITY'!R383)</f>
        <v>12.661479856115109</v>
      </c>
    </row>
    <row r="385" spans="1:29" ht="15.75" x14ac:dyDescent="0.25">
      <c r="A385" s="14">
        <v>52627</v>
      </c>
      <c r="B385" s="10">
        <f>CHOOSE(CONTROL!$C$42, 13.8165, 13.8165) * CHOOSE(CONTROL!$C$21, $C$9, 100%, $E$9)</f>
        <v>13.8165</v>
      </c>
      <c r="C385" s="10">
        <f>CHOOSE(CONTROL!$C$42, 13.8214, 13.8214) * CHOOSE(CONTROL!$C$21, $C$9, 100%, $E$9)</f>
        <v>13.821400000000001</v>
      </c>
      <c r="D385" s="10">
        <f>CHOOSE(CONTROL!$C$42, 13.8716, 13.8716) * CHOOSE(CONTROL!$C$21, $C$9, 100%, $E$9)</f>
        <v>13.871600000000001</v>
      </c>
      <c r="E385" s="10">
        <f>CHOOSE(CONTROL!$C$42, 13.9054, 13.9054) * CHOOSE(CONTROL!$C$21, $C$9, 100%, $E$9)</f>
        <v>13.9054</v>
      </c>
      <c r="F385" s="10">
        <f>CHOOSE(CONTROL!$C$42, 13.7818, 13.7818)*CHOOSE(CONTROL!$C$21, $C$9, 100%, $E$9)</f>
        <v>13.7818</v>
      </c>
      <c r="G385" s="10">
        <f>CHOOSE(CONTROL!$C$42, 13.7994, 13.7994)*CHOOSE(CONTROL!$C$21, $C$9, 100%, $E$9)</f>
        <v>13.7994</v>
      </c>
      <c r="H385" s="10">
        <f>CHOOSE(CONTROL!$C$42, 13.8946, 13.8946) * CHOOSE(CONTROL!$C$21, $C$9, 100%, $E$9)</f>
        <v>13.894600000000001</v>
      </c>
      <c r="I385" s="10">
        <f>CHOOSE(CONTROL!$C$42, 13.7904, 13.7904)* CHOOSE(CONTROL!$C$21, $C$9, 100%, $E$9)</f>
        <v>13.7904</v>
      </c>
      <c r="J385" s="10">
        <f>CHOOSE(CONTROL!$C$42, 13.7748, 13.7748)* CHOOSE(CONTROL!$C$21, $C$9, 100%, $E$9)</f>
        <v>13.774800000000001</v>
      </c>
      <c r="K385" s="54">
        <f>CHOOSE(CONTROL!$C$42, 13.7865, 13.7865) * CHOOSE(CONTROL!$C$21, $C$9, 100%, $E$9)</f>
        <v>13.7865</v>
      </c>
      <c r="L385" s="10">
        <f>CHOOSE(CONTROL!$C$42, 14.4816, 14.4816) * CHOOSE(CONTROL!$C$21, $C$9, 100%, $E$9)</f>
        <v>14.4816</v>
      </c>
      <c r="M385" s="10">
        <f>CHOOSE(CONTROL!$C$42, 13.6496, 13.6496) * CHOOSE(CONTROL!$C$21, $C$9, 100%, $E$9)</f>
        <v>13.6496</v>
      </c>
      <c r="N385" s="10">
        <f>CHOOSE(CONTROL!$C$42, 13.667, 13.667) * CHOOSE(CONTROL!$C$21, $C$9, 100%, $E$9)</f>
        <v>13.667</v>
      </c>
      <c r="O385" s="10">
        <f>CHOOSE(CONTROL!$C$42, 13.7682, 13.7682) * CHOOSE(CONTROL!$C$21, $C$9, 100%, $E$9)</f>
        <v>13.7682</v>
      </c>
      <c r="P385" s="10">
        <f>CHOOSE(CONTROL!$C$42, 13.6651, 13.6651) * CHOOSE(CONTROL!$C$21, $C$9, 100%, $E$9)</f>
        <v>13.665100000000001</v>
      </c>
      <c r="Q385" s="10">
        <f>CHOOSE(CONTROL!$C$42, 14.3635, 14.3635) * CHOOSE(CONTROL!$C$21, $C$9, 100%, $E$9)</f>
        <v>14.3635</v>
      </c>
      <c r="R385" s="10">
        <f>CHOOSE(CONTROL!$C$42, 14.9864, 14.9864) * CHOOSE(CONTROL!$C$21, $C$9, 100%, $E$9)</f>
        <v>14.9864</v>
      </c>
      <c r="S385" s="10">
        <f>CHOOSE(CONTROL!$C$42, 13.415, 13.415) * CHOOSE(CONTROL!$C$21, $C$9, 100%, $E$9)</f>
        <v>13.414999999999999</v>
      </c>
      <c r="T385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385" s="58">
        <f>(1000*CHOOSE(CONTROL!$C$42, 695, 695)*CHOOSE(CONTROL!$C$42, 0.5599, 0.5599)*CHOOSE(CONTROL!$C$42, 31, 31))/1000000</f>
        <v>12.063045499999998</v>
      </c>
      <c r="V385" s="58">
        <f>(1000*CHOOSE(CONTROL!$C$42, 500, 500)*CHOOSE(CONTROL!$C$42, 0.275, 0.275)*CHOOSE(CONTROL!$C$42, 31, 31))/1000000</f>
        <v>4.2625000000000002</v>
      </c>
      <c r="W385" s="58">
        <f>(1000*CHOOSE(CONTROL!$C$42, 0.1146, 0.1146)*CHOOSE(CONTROL!$C$42, 121.5, 121.5)*CHOOSE(CONTROL!$C$42, 31, 31))/1000000</f>
        <v>0.43164089999999994</v>
      </c>
      <c r="X385" s="58">
        <f>(31*0.1790888*100000/1000000)+(31*0.2374*100000/1000000)</f>
        <v>1.2911152800000001</v>
      </c>
      <c r="Y385" s="58"/>
      <c r="Z385" s="10"/>
      <c r="AA385" s="57"/>
      <c r="AB385" s="51">
        <f>(B385*122.58+C385*297.941+D385*89.177+E385*40.302+F385*40+G385*160+H385*0+I385*100+J385*300)/(122.58+297.941+89.177+40.302+0+40+160+100+300)</f>
        <v>13.808423835999999</v>
      </c>
      <c r="AC385" s="27">
        <f>(M385*'RAP TEMPLATE-GAS AVAILABILITY'!O384+N385*'RAP TEMPLATE-GAS AVAILABILITY'!P384+O385*'RAP TEMPLATE-GAS AVAILABILITY'!Q384+P385*'RAP TEMPLATE-GAS AVAILABILITY'!R384)/('RAP TEMPLATE-GAS AVAILABILITY'!O384+'RAP TEMPLATE-GAS AVAILABILITY'!P384+'RAP TEMPLATE-GAS AVAILABILITY'!Q384+'RAP TEMPLATE-GAS AVAILABILITY'!R384)</f>
        <v>13.706585611510791</v>
      </c>
    </row>
    <row r="386" spans="1:29" ht="15.75" x14ac:dyDescent="0.25">
      <c r="A386" s="14">
        <v>52655</v>
      </c>
      <c r="B386" s="10">
        <f>CHOOSE(CONTROL!$C$42, 14.0624, 14.0624) * CHOOSE(CONTROL!$C$21, $C$9, 100%, $E$9)</f>
        <v>14.0624</v>
      </c>
      <c r="C386" s="10">
        <f>CHOOSE(CONTROL!$C$42, 14.0673, 14.0673) * CHOOSE(CONTROL!$C$21, $C$9, 100%, $E$9)</f>
        <v>14.067299999999999</v>
      </c>
      <c r="D386" s="10">
        <f>CHOOSE(CONTROL!$C$42, 14.1278, 14.1278) * CHOOSE(CONTROL!$C$21, $C$9, 100%, $E$9)</f>
        <v>14.127800000000001</v>
      </c>
      <c r="E386" s="10">
        <f>CHOOSE(CONTROL!$C$42, 14.1616, 14.1616) * CHOOSE(CONTROL!$C$21, $C$9, 100%, $E$9)</f>
        <v>14.1616</v>
      </c>
      <c r="F386" s="10">
        <f>CHOOSE(CONTROL!$C$42, 14.0556, 14.0556)*CHOOSE(CONTROL!$C$21, $C$9, 100%, $E$9)</f>
        <v>14.0556</v>
      </c>
      <c r="G386" s="10">
        <f>CHOOSE(CONTROL!$C$42, 14.0729, 14.0729)*CHOOSE(CONTROL!$C$21, $C$9, 100%, $E$9)</f>
        <v>14.072900000000001</v>
      </c>
      <c r="H386" s="10">
        <f>CHOOSE(CONTROL!$C$42, 14.1508, 14.1508) * CHOOSE(CONTROL!$C$21, $C$9, 100%, $E$9)</f>
        <v>14.1508</v>
      </c>
      <c r="I386" s="10">
        <f>CHOOSE(CONTROL!$C$42, 14.0491, 14.0491)* CHOOSE(CONTROL!$C$21, $C$9, 100%, $E$9)</f>
        <v>14.049099999999999</v>
      </c>
      <c r="J386" s="10">
        <f>CHOOSE(CONTROL!$C$42, 14.0486, 14.0486)* CHOOSE(CONTROL!$C$21, $C$9, 100%, $E$9)</f>
        <v>14.0486</v>
      </c>
      <c r="K386" s="54">
        <f>CHOOSE(CONTROL!$C$42, 14.0452, 14.0452) * CHOOSE(CONTROL!$C$21, $C$9, 100%, $E$9)</f>
        <v>14.045199999999999</v>
      </c>
      <c r="L386" s="10">
        <f>CHOOSE(CONTROL!$C$42, 14.7378, 14.7378) * CHOOSE(CONTROL!$C$21, $C$9, 100%, $E$9)</f>
        <v>14.7378</v>
      </c>
      <c r="M386" s="10">
        <f>CHOOSE(CONTROL!$C$42, 13.9206, 13.9206) * CHOOSE(CONTROL!$C$21, $C$9, 100%, $E$9)</f>
        <v>13.9206</v>
      </c>
      <c r="N386" s="10">
        <f>CHOOSE(CONTROL!$C$42, 13.9378, 13.9378) * CHOOSE(CONTROL!$C$21, $C$9, 100%, $E$9)</f>
        <v>13.937799999999999</v>
      </c>
      <c r="O386" s="10">
        <f>CHOOSE(CONTROL!$C$42, 14.0218, 14.0218) * CHOOSE(CONTROL!$C$21, $C$9, 100%, $E$9)</f>
        <v>14.021800000000001</v>
      </c>
      <c r="P386" s="10">
        <f>CHOOSE(CONTROL!$C$42, 13.9212, 13.9212) * CHOOSE(CONTROL!$C$21, $C$9, 100%, $E$9)</f>
        <v>13.921200000000001</v>
      </c>
      <c r="Q386" s="10">
        <f>CHOOSE(CONTROL!$C$42, 14.6171, 14.6171) * CHOOSE(CONTROL!$C$21, $C$9, 100%, $E$9)</f>
        <v>14.617100000000001</v>
      </c>
      <c r="R386" s="10">
        <f>CHOOSE(CONTROL!$C$42, 15.2407, 15.2407) * CHOOSE(CONTROL!$C$21, $C$9, 100%, $E$9)</f>
        <v>15.2407</v>
      </c>
      <c r="S386" s="10">
        <f>CHOOSE(CONTROL!$C$42, 13.6538, 13.6538) * CHOOSE(CONTROL!$C$21, $C$9, 100%, $E$9)</f>
        <v>13.6538</v>
      </c>
      <c r="T386" s="5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386" s="58">
        <f>(1000*CHOOSE(CONTROL!$C$42, 695, 695)*CHOOSE(CONTROL!$C$42, 0.5599, 0.5599)*CHOOSE(CONTROL!$C$42, 29, 29))/1000000</f>
        <v>11.284784499999999</v>
      </c>
      <c r="V386" s="58">
        <f>(1000*CHOOSE(CONTROL!$C$42, 500, 500)*CHOOSE(CONTROL!$C$42, 0.275, 0.275)*CHOOSE(CONTROL!$C$42, 29, 29))/1000000</f>
        <v>3.9874999999999998</v>
      </c>
      <c r="W386" s="58">
        <f>(1000*CHOOSE(CONTROL!$C$42, 0.1146, 0.1146)*CHOOSE(CONTROL!$C$42, 121.5, 121.5)*CHOOSE(CONTROL!$C$42, 29, 29))/1000000</f>
        <v>0.40379309999999996</v>
      </c>
      <c r="X386" s="58">
        <f>(29*0.1790888*100000/1000000)+(29*0.2374*100000/1000000)</f>
        <v>1.2078175199999999</v>
      </c>
      <c r="Y386" s="58"/>
      <c r="Z386" s="10"/>
      <c r="AA386" s="57"/>
      <c r="AB386" s="51">
        <f>(B386*122.58+C386*297.941+D386*89.177+E386*40.302+F386*40+G386*160+H386*0+I386*100+J386*300)/(122.58+297.941+89.177+40.302+0+40+160+100+300)</f>
        <v>14.068685256608696</v>
      </c>
      <c r="AC386" s="27">
        <f>(M386*'RAP TEMPLATE-GAS AVAILABILITY'!O385+N386*'RAP TEMPLATE-GAS AVAILABILITY'!P385+O386*'RAP TEMPLATE-GAS AVAILABILITY'!Q385+P386*'RAP TEMPLATE-GAS AVAILABILITY'!R385)/('RAP TEMPLATE-GAS AVAILABILITY'!O385+'RAP TEMPLATE-GAS AVAILABILITY'!P385+'RAP TEMPLATE-GAS AVAILABILITY'!Q385+'RAP TEMPLATE-GAS AVAILABILITY'!R385)</f>
        <v>13.967543884892088</v>
      </c>
    </row>
    <row r="387" spans="1:29" ht="15.75" x14ac:dyDescent="0.25">
      <c r="A387" s="14">
        <v>52687</v>
      </c>
      <c r="B387" s="10">
        <f>CHOOSE(CONTROL!$C$42, 13.6632, 13.6632) * CHOOSE(CONTROL!$C$21, $C$9, 100%, $E$9)</f>
        <v>13.6632</v>
      </c>
      <c r="C387" s="10">
        <f>CHOOSE(CONTROL!$C$42, 13.6682, 13.6682) * CHOOSE(CONTROL!$C$21, $C$9, 100%, $E$9)</f>
        <v>13.668200000000001</v>
      </c>
      <c r="D387" s="10">
        <f>CHOOSE(CONTROL!$C$42, 13.7287, 13.7287) * CHOOSE(CONTROL!$C$21, $C$9, 100%, $E$9)</f>
        <v>13.7287</v>
      </c>
      <c r="E387" s="10">
        <f>CHOOSE(CONTROL!$C$42, 13.7624, 13.7624) * CHOOSE(CONTROL!$C$21, $C$9, 100%, $E$9)</f>
        <v>13.7624</v>
      </c>
      <c r="F387" s="10">
        <f>CHOOSE(CONTROL!$C$42, 13.6509, 13.6509)*CHOOSE(CONTROL!$C$21, $C$9, 100%, $E$9)</f>
        <v>13.6509</v>
      </c>
      <c r="G387" s="10">
        <f>CHOOSE(CONTROL!$C$42, 13.6681, 13.6681)*CHOOSE(CONTROL!$C$21, $C$9, 100%, $E$9)</f>
        <v>13.668100000000001</v>
      </c>
      <c r="H387" s="10">
        <f>CHOOSE(CONTROL!$C$42, 13.7516, 13.7516) * CHOOSE(CONTROL!$C$21, $C$9, 100%, $E$9)</f>
        <v>13.7516</v>
      </c>
      <c r="I387" s="10">
        <f>CHOOSE(CONTROL!$C$42, 13.6371, 13.6371)* CHOOSE(CONTROL!$C$21, $C$9, 100%, $E$9)</f>
        <v>13.6371</v>
      </c>
      <c r="J387" s="10">
        <f>CHOOSE(CONTROL!$C$42, 13.6439, 13.6439)* CHOOSE(CONTROL!$C$21, $C$9, 100%, $E$9)</f>
        <v>13.6439</v>
      </c>
      <c r="K387" s="54">
        <f>CHOOSE(CONTROL!$C$42, 13.6332, 13.6332) * CHOOSE(CONTROL!$C$21, $C$9, 100%, $E$9)</f>
        <v>13.6332</v>
      </c>
      <c r="L387" s="10">
        <f>CHOOSE(CONTROL!$C$42, 14.3386, 14.3386) * CHOOSE(CONTROL!$C$21, $C$9, 100%, $E$9)</f>
        <v>14.3386</v>
      </c>
      <c r="M387" s="10">
        <f>CHOOSE(CONTROL!$C$42, 13.5201, 13.5201) * CHOOSE(CONTROL!$C$21, $C$9, 100%, $E$9)</f>
        <v>13.520099999999999</v>
      </c>
      <c r="N387" s="10">
        <f>CHOOSE(CONTROL!$C$42, 13.5371, 13.5371) * CHOOSE(CONTROL!$C$21, $C$9, 100%, $E$9)</f>
        <v>13.537100000000001</v>
      </c>
      <c r="O387" s="10">
        <f>CHOOSE(CONTROL!$C$42, 13.6267, 13.6267) * CHOOSE(CONTROL!$C$21, $C$9, 100%, $E$9)</f>
        <v>13.6267</v>
      </c>
      <c r="P387" s="10">
        <f>CHOOSE(CONTROL!$C$42, 13.5134, 13.5134) * CHOOSE(CONTROL!$C$21, $C$9, 100%, $E$9)</f>
        <v>13.513400000000001</v>
      </c>
      <c r="Q387" s="10">
        <f>CHOOSE(CONTROL!$C$42, 14.222, 14.222) * CHOOSE(CONTROL!$C$21, $C$9, 100%, $E$9)</f>
        <v>14.222</v>
      </c>
      <c r="R387" s="10">
        <f>CHOOSE(CONTROL!$C$42, 14.8445, 14.8445) * CHOOSE(CONTROL!$C$21, $C$9, 100%, $E$9)</f>
        <v>14.8445</v>
      </c>
      <c r="S387" s="10">
        <f>CHOOSE(CONTROL!$C$42, 13.2662, 13.2662) * CHOOSE(CONTROL!$C$21, $C$9, 100%, $E$9)</f>
        <v>13.2662</v>
      </c>
      <c r="T387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387" s="58">
        <f>(1000*CHOOSE(CONTROL!$C$42, 695, 695)*CHOOSE(CONTROL!$C$42, 0.5599, 0.5599)*CHOOSE(CONTROL!$C$42, 31, 31))/1000000</f>
        <v>12.063045499999998</v>
      </c>
      <c r="V387" s="58">
        <f>(1000*CHOOSE(CONTROL!$C$42, 500, 500)*CHOOSE(CONTROL!$C$42, 0.275, 0.275)*CHOOSE(CONTROL!$C$42, 31, 31))/1000000</f>
        <v>4.2625000000000002</v>
      </c>
      <c r="W387" s="58">
        <f>(1000*CHOOSE(CONTROL!$C$42, 0.1146, 0.1146)*CHOOSE(CONTROL!$C$42, 121.5, 121.5)*CHOOSE(CONTROL!$C$42, 31, 31))/1000000</f>
        <v>0.43164089999999994</v>
      </c>
      <c r="X387" s="58">
        <f>(31*0.1790888*100000/1000000)+(31*0.2374*100000/1000000)</f>
        <v>1.2911152800000001</v>
      </c>
      <c r="Y387" s="58"/>
      <c r="Z387" s="10"/>
      <c r="AA387" s="57"/>
      <c r="AB387" s="51">
        <f>(B387*122.58+C387*297.941+D387*89.177+E387*40.302+F387*40+G387*160+H387*0+I387*100+J387*300)/(122.58+297.941+89.177+40.302+0+40+160+100+300)</f>
        <v>13.666000658173914</v>
      </c>
      <c r="AC387" s="27">
        <f>(M387*'RAP TEMPLATE-GAS AVAILABILITY'!O386+N387*'RAP TEMPLATE-GAS AVAILABILITY'!P386+O387*'RAP TEMPLATE-GAS AVAILABILITY'!Q386+P387*'RAP TEMPLATE-GAS AVAILABILITY'!R386)/('RAP TEMPLATE-GAS AVAILABILITY'!O386+'RAP TEMPLATE-GAS AVAILABILITY'!P386+'RAP TEMPLATE-GAS AVAILABILITY'!Q386+'RAP TEMPLATE-GAS AVAILABILITY'!R386)</f>
        <v>13.568429496402876</v>
      </c>
    </row>
    <row r="388" spans="1:29" ht="15.75" x14ac:dyDescent="0.25">
      <c r="A388" s="14">
        <v>52717</v>
      </c>
      <c r="B388" s="10">
        <f>CHOOSE(CONTROL!$C$42, 13.6235, 13.6235) * CHOOSE(CONTROL!$C$21, $C$9, 100%, $E$9)</f>
        <v>13.6235</v>
      </c>
      <c r="C388" s="10">
        <f>CHOOSE(CONTROL!$C$42, 13.6279, 13.6279) * CHOOSE(CONTROL!$C$21, $C$9, 100%, $E$9)</f>
        <v>13.6279</v>
      </c>
      <c r="D388" s="10">
        <f>CHOOSE(CONTROL!$C$42, 13.8234, 13.8234) * CHOOSE(CONTROL!$C$21, $C$9, 100%, $E$9)</f>
        <v>13.823399999999999</v>
      </c>
      <c r="E388" s="10">
        <f>CHOOSE(CONTROL!$C$42, 13.8552, 13.8552) * CHOOSE(CONTROL!$C$21, $C$9, 100%, $E$9)</f>
        <v>13.8552</v>
      </c>
      <c r="F388" s="10">
        <f>CHOOSE(CONTROL!$C$42, 13.5913, 13.5913)*CHOOSE(CONTROL!$C$21, $C$9, 100%, $E$9)</f>
        <v>13.5913</v>
      </c>
      <c r="G388" s="10">
        <f>CHOOSE(CONTROL!$C$42, 13.6081, 13.6081)*CHOOSE(CONTROL!$C$21, $C$9, 100%, $E$9)</f>
        <v>13.6081</v>
      </c>
      <c r="H388" s="10">
        <f>CHOOSE(CONTROL!$C$42, 13.845, 13.845) * CHOOSE(CONTROL!$C$21, $C$9, 100%, $E$9)</f>
        <v>13.845000000000001</v>
      </c>
      <c r="I388" s="10">
        <f>CHOOSE(CONTROL!$C$42, 13.5914, 13.5914)* CHOOSE(CONTROL!$C$21, $C$9, 100%, $E$9)</f>
        <v>13.5914</v>
      </c>
      <c r="J388" s="10">
        <f>CHOOSE(CONTROL!$C$42, 13.5843, 13.5843)* CHOOSE(CONTROL!$C$21, $C$9, 100%, $E$9)</f>
        <v>13.584300000000001</v>
      </c>
      <c r="K388" s="54">
        <f>CHOOSE(CONTROL!$C$42, 13.5876, 13.5876) * CHOOSE(CONTROL!$C$21, $C$9, 100%, $E$9)</f>
        <v>13.5876</v>
      </c>
      <c r="L388" s="10">
        <f>CHOOSE(CONTROL!$C$42, 14.432, 14.432) * CHOOSE(CONTROL!$C$21, $C$9, 100%, $E$9)</f>
        <v>14.432</v>
      </c>
      <c r="M388" s="10">
        <f>CHOOSE(CONTROL!$C$42, 13.461, 13.461) * CHOOSE(CONTROL!$C$21, $C$9, 100%, $E$9)</f>
        <v>13.461</v>
      </c>
      <c r="N388" s="10">
        <f>CHOOSE(CONTROL!$C$42, 13.4776, 13.4776) * CHOOSE(CONTROL!$C$21, $C$9, 100%, $E$9)</f>
        <v>13.477600000000001</v>
      </c>
      <c r="O388" s="10">
        <f>CHOOSE(CONTROL!$C$42, 13.7191, 13.7191) * CHOOSE(CONTROL!$C$21, $C$9, 100%, $E$9)</f>
        <v>13.719099999999999</v>
      </c>
      <c r="P388" s="10">
        <f>CHOOSE(CONTROL!$C$42, 13.4682, 13.4682) * CHOOSE(CONTROL!$C$21, $C$9, 100%, $E$9)</f>
        <v>13.4682</v>
      </c>
      <c r="Q388" s="10">
        <f>CHOOSE(CONTROL!$C$42, 14.3144, 14.3144) * CHOOSE(CONTROL!$C$21, $C$9, 100%, $E$9)</f>
        <v>14.314399999999999</v>
      </c>
      <c r="R388" s="10">
        <f>CHOOSE(CONTROL!$C$42, 14.9372, 14.9372) * CHOOSE(CONTROL!$C$21, $C$9, 100%, $E$9)</f>
        <v>14.937200000000001</v>
      </c>
      <c r="S388" s="10">
        <f>CHOOSE(CONTROL!$C$42, 13.2269, 13.2269) * CHOOSE(CONTROL!$C$21, $C$9, 100%, $E$9)</f>
        <v>13.226900000000001</v>
      </c>
      <c r="T388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388" s="58">
        <f>(1000*CHOOSE(CONTROL!$C$42, 695, 695)*CHOOSE(CONTROL!$C$42, 0.5599, 0.5599)*CHOOSE(CONTROL!$C$42, 30, 30))/1000000</f>
        <v>11.673914999999997</v>
      </c>
      <c r="V388" s="58">
        <f>(1000*CHOOSE(CONTROL!$C$42, 500, 500)*CHOOSE(CONTROL!$C$42, 0.275, 0.275)*CHOOSE(CONTROL!$C$42, 30, 30))/1000000</f>
        <v>4.125</v>
      </c>
      <c r="W388" s="58">
        <f>(1000*CHOOSE(CONTROL!$C$42, 0.1146, 0.1146)*CHOOSE(CONTROL!$C$42, 121.5, 121.5)*CHOOSE(CONTROL!$C$42, 30, 30))/1000000</f>
        <v>0.417717</v>
      </c>
      <c r="X388" s="58">
        <f>(30*0.1790888*245000/1000000)+(30*0.2374*100000/1000000)</f>
        <v>2.0285026799999999</v>
      </c>
      <c r="Y388" s="58"/>
      <c r="Z388" s="10"/>
      <c r="AA388" s="57"/>
      <c r="AB388" s="51">
        <f>(B388*141.293+C388*267.993+D388*115.016+E388*89.698+F388*40+G388*185+H388*0+I388*100+J388*300)/(141.293+267.993+115.016+89.698+0+40+185+100+300)</f>
        <v>13.644361092978206</v>
      </c>
      <c r="AC388" s="27">
        <f>(M388*'RAP TEMPLATE-GAS AVAILABILITY'!O387+N388*'RAP TEMPLATE-GAS AVAILABILITY'!P387+O388*'RAP TEMPLATE-GAS AVAILABILITY'!Q387+P388*'RAP TEMPLATE-GAS AVAILABILITY'!R387)/('RAP TEMPLATE-GAS AVAILABILITY'!O387+'RAP TEMPLATE-GAS AVAILABILITY'!P387+'RAP TEMPLATE-GAS AVAILABILITY'!Q387+'RAP TEMPLATE-GAS AVAILABILITY'!R387)</f>
        <v>13.538274100719425</v>
      </c>
    </row>
    <row r="389" spans="1:29" ht="15.75" x14ac:dyDescent="0.25">
      <c r="A389" s="14">
        <v>52748</v>
      </c>
      <c r="B389" s="10">
        <f>CHOOSE(CONTROL!$C$42, 13.7451, 13.7451) * CHOOSE(CONTROL!$C$21, $C$9, 100%, $E$9)</f>
        <v>13.745100000000001</v>
      </c>
      <c r="C389" s="10">
        <f>CHOOSE(CONTROL!$C$42, 13.753, 13.753) * CHOOSE(CONTROL!$C$21, $C$9, 100%, $E$9)</f>
        <v>13.753</v>
      </c>
      <c r="D389" s="10">
        <f>CHOOSE(CONTROL!$C$42, 13.9454, 13.9454) * CHOOSE(CONTROL!$C$21, $C$9, 100%, $E$9)</f>
        <v>13.945399999999999</v>
      </c>
      <c r="E389" s="10">
        <f>CHOOSE(CONTROL!$C$42, 13.9766, 13.9766) * CHOOSE(CONTROL!$C$21, $C$9, 100%, $E$9)</f>
        <v>13.976599999999999</v>
      </c>
      <c r="F389" s="10">
        <f>CHOOSE(CONTROL!$C$42, 13.7113, 13.7113)*CHOOSE(CONTROL!$C$21, $C$9, 100%, $E$9)</f>
        <v>13.7113</v>
      </c>
      <c r="G389" s="10">
        <f>CHOOSE(CONTROL!$C$42, 13.7285, 13.7285)*CHOOSE(CONTROL!$C$21, $C$9, 100%, $E$9)</f>
        <v>13.7285</v>
      </c>
      <c r="H389" s="10">
        <f>CHOOSE(CONTROL!$C$42, 13.9652, 13.9652) * CHOOSE(CONTROL!$C$21, $C$9, 100%, $E$9)</f>
        <v>13.965199999999999</v>
      </c>
      <c r="I389" s="10">
        <f>CHOOSE(CONTROL!$C$42, 13.7117, 13.7117)* CHOOSE(CONTROL!$C$21, $C$9, 100%, $E$9)</f>
        <v>13.7117</v>
      </c>
      <c r="J389" s="10">
        <f>CHOOSE(CONTROL!$C$42, 13.7043, 13.7043)* CHOOSE(CONTROL!$C$21, $C$9, 100%, $E$9)</f>
        <v>13.7043</v>
      </c>
      <c r="K389" s="54">
        <f>CHOOSE(CONTROL!$C$42, 13.7078, 13.7078) * CHOOSE(CONTROL!$C$21, $C$9, 100%, $E$9)</f>
        <v>13.707800000000001</v>
      </c>
      <c r="L389" s="10">
        <f>CHOOSE(CONTROL!$C$42, 14.5522, 14.5522) * CHOOSE(CONTROL!$C$21, $C$9, 100%, $E$9)</f>
        <v>14.552199999999999</v>
      </c>
      <c r="M389" s="10">
        <f>CHOOSE(CONTROL!$C$42, 13.5799, 13.5799) * CHOOSE(CONTROL!$C$21, $C$9, 100%, $E$9)</f>
        <v>13.5799</v>
      </c>
      <c r="N389" s="10">
        <f>CHOOSE(CONTROL!$C$42, 13.5968, 13.5968) * CHOOSE(CONTROL!$C$21, $C$9, 100%, $E$9)</f>
        <v>13.5968</v>
      </c>
      <c r="O389" s="10">
        <f>CHOOSE(CONTROL!$C$42, 13.8381, 13.8381) * CHOOSE(CONTROL!$C$21, $C$9, 100%, $E$9)</f>
        <v>13.838100000000001</v>
      </c>
      <c r="P389" s="10">
        <f>CHOOSE(CONTROL!$C$42, 13.5871, 13.5871) * CHOOSE(CONTROL!$C$21, $C$9, 100%, $E$9)</f>
        <v>13.5871</v>
      </c>
      <c r="Q389" s="10">
        <f>CHOOSE(CONTROL!$C$42, 14.4334, 14.4334) * CHOOSE(CONTROL!$C$21, $C$9, 100%, $E$9)</f>
        <v>14.433400000000001</v>
      </c>
      <c r="R389" s="10">
        <f>CHOOSE(CONTROL!$C$42, 15.0565, 15.0565) * CHOOSE(CONTROL!$C$21, $C$9, 100%, $E$9)</f>
        <v>15.0565</v>
      </c>
      <c r="S389" s="10">
        <f>CHOOSE(CONTROL!$C$42, 13.3436, 13.3436) * CHOOSE(CONTROL!$C$21, $C$9, 100%, $E$9)</f>
        <v>13.3436</v>
      </c>
      <c r="T389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389" s="58">
        <f>(1000*CHOOSE(CONTROL!$C$42, 695, 695)*CHOOSE(CONTROL!$C$42, 0.5599, 0.5599)*CHOOSE(CONTROL!$C$42, 31, 31))/1000000</f>
        <v>12.063045499999998</v>
      </c>
      <c r="V389" s="58">
        <f>(1000*CHOOSE(CONTROL!$C$42, 500, 500)*CHOOSE(CONTROL!$C$42, 0.275, 0.275)*CHOOSE(CONTROL!$C$42, 31, 31))/1000000</f>
        <v>4.2625000000000002</v>
      </c>
      <c r="W389" s="58">
        <f>(1000*CHOOSE(CONTROL!$C$42, 0.1146, 0.1146)*CHOOSE(CONTROL!$C$42, 121.5, 121.5)*CHOOSE(CONTROL!$C$42, 31, 31))/1000000</f>
        <v>0.43164089999999994</v>
      </c>
      <c r="X389" s="58">
        <f>(31*0.1790888*245000/1000000)+(31*0.2374*100000/1000000)</f>
        <v>2.0961194359999999</v>
      </c>
      <c r="Y389" s="58"/>
      <c r="Z389" s="10"/>
      <c r="AA389" s="57"/>
      <c r="AB389" s="51">
        <f>(B389*194.205+C389*267.466+D389*133.845+E389*53.484+F389*40+G389*185+H389*0+I389*100+J389*300)/(194.205+267.466+133.845+53.484+0+40+185+100+300)</f>
        <v>13.761819529748822</v>
      </c>
      <c r="AC389" s="27">
        <f>(M389*'RAP TEMPLATE-GAS AVAILABILITY'!O388+N389*'RAP TEMPLATE-GAS AVAILABILITY'!P388+O389*'RAP TEMPLATE-GAS AVAILABILITY'!Q388+P389*'RAP TEMPLATE-GAS AVAILABILITY'!R388)/('RAP TEMPLATE-GAS AVAILABILITY'!O388+'RAP TEMPLATE-GAS AVAILABILITY'!P388+'RAP TEMPLATE-GAS AVAILABILITY'!Q388+'RAP TEMPLATE-GAS AVAILABILITY'!R388)</f>
        <v>13.657271223021583</v>
      </c>
    </row>
    <row r="390" spans="1:29" ht="15.75" x14ac:dyDescent="0.25">
      <c r="A390" s="14">
        <v>52778</v>
      </c>
      <c r="B390" s="10">
        <f>CHOOSE(CONTROL!$C$42, 14.1348, 14.1348) * CHOOSE(CONTROL!$C$21, $C$9, 100%, $E$9)</f>
        <v>14.1348</v>
      </c>
      <c r="C390" s="10">
        <f>CHOOSE(CONTROL!$C$42, 14.1427, 14.1427) * CHOOSE(CONTROL!$C$21, $C$9, 100%, $E$9)</f>
        <v>14.1427</v>
      </c>
      <c r="D390" s="10">
        <f>CHOOSE(CONTROL!$C$42, 14.3352, 14.3352) * CHOOSE(CONTROL!$C$21, $C$9, 100%, $E$9)</f>
        <v>14.3352</v>
      </c>
      <c r="E390" s="10">
        <f>CHOOSE(CONTROL!$C$42, 14.3663, 14.3663) * CHOOSE(CONTROL!$C$21, $C$9, 100%, $E$9)</f>
        <v>14.366300000000001</v>
      </c>
      <c r="F390" s="10">
        <f>CHOOSE(CONTROL!$C$42, 14.1013, 14.1013)*CHOOSE(CONTROL!$C$21, $C$9, 100%, $E$9)</f>
        <v>14.1013</v>
      </c>
      <c r="G390" s="10">
        <f>CHOOSE(CONTROL!$C$42, 14.1185, 14.1185)*CHOOSE(CONTROL!$C$21, $C$9, 100%, $E$9)</f>
        <v>14.118499999999999</v>
      </c>
      <c r="H390" s="10">
        <f>CHOOSE(CONTROL!$C$42, 14.3549, 14.3549) * CHOOSE(CONTROL!$C$21, $C$9, 100%, $E$9)</f>
        <v>14.354900000000001</v>
      </c>
      <c r="I390" s="10">
        <f>CHOOSE(CONTROL!$C$42, 14.1014, 14.1014)* CHOOSE(CONTROL!$C$21, $C$9, 100%, $E$9)</f>
        <v>14.1014</v>
      </c>
      <c r="J390" s="10">
        <f>CHOOSE(CONTROL!$C$42, 14.0943, 14.0943)* CHOOSE(CONTROL!$C$21, $C$9, 100%, $E$9)</f>
        <v>14.0943</v>
      </c>
      <c r="K390" s="54">
        <f>CHOOSE(CONTROL!$C$42, 14.0975, 14.0975) * CHOOSE(CONTROL!$C$21, $C$9, 100%, $E$9)</f>
        <v>14.0975</v>
      </c>
      <c r="L390" s="10">
        <f>CHOOSE(CONTROL!$C$42, 14.9419, 14.9419) * CHOOSE(CONTROL!$C$21, $C$9, 100%, $E$9)</f>
        <v>14.9419</v>
      </c>
      <c r="M390" s="10">
        <f>CHOOSE(CONTROL!$C$42, 13.9659, 13.9659) * CHOOSE(CONTROL!$C$21, $C$9, 100%, $E$9)</f>
        <v>13.9659</v>
      </c>
      <c r="N390" s="10">
        <f>CHOOSE(CONTROL!$C$42, 13.9829, 13.9829) * CHOOSE(CONTROL!$C$21, $C$9, 100%, $E$9)</f>
        <v>13.982900000000001</v>
      </c>
      <c r="O390" s="10">
        <f>CHOOSE(CONTROL!$C$42, 14.2239, 14.2239) * CHOOSE(CONTROL!$C$21, $C$9, 100%, $E$9)</f>
        <v>14.2239</v>
      </c>
      <c r="P390" s="10">
        <f>CHOOSE(CONTROL!$C$42, 13.973, 13.973) * CHOOSE(CONTROL!$C$21, $C$9, 100%, $E$9)</f>
        <v>13.973000000000001</v>
      </c>
      <c r="Q390" s="10">
        <f>CHOOSE(CONTROL!$C$42, 14.8192, 14.8192) * CHOOSE(CONTROL!$C$21, $C$9, 100%, $E$9)</f>
        <v>14.8192</v>
      </c>
      <c r="R390" s="10">
        <f>CHOOSE(CONTROL!$C$42, 15.4433, 15.4433) * CHOOSE(CONTROL!$C$21, $C$9, 100%, $E$9)</f>
        <v>15.443300000000001</v>
      </c>
      <c r="S390" s="10">
        <f>CHOOSE(CONTROL!$C$42, 13.7221, 13.7221) * CHOOSE(CONTROL!$C$21, $C$9, 100%, $E$9)</f>
        <v>13.722099999999999</v>
      </c>
      <c r="T390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390" s="58">
        <f>(1000*CHOOSE(CONTROL!$C$42, 695, 695)*CHOOSE(CONTROL!$C$42, 0.5599, 0.5599)*CHOOSE(CONTROL!$C$42, 30, 30))/1000000</f>
        <v>11.673914999999997</v>
      </c>
      <c r="V390" s="58">
        <f>(1000*CHOOSE(CONTROL!$C$42, 500, 500)*CHOOSE(CONTROL!$C$42, 0.275, 0.275)*CHOOSE(CONTROL!$C$42, 30, 30))/1000000</f>
        <v>4.125</v>
      </c>
      <c r="W390" s="58">
        <f>(1000*CHOOSE(CONTROL!$C$42, 0.1146, 0.1146)*CHOOSE(CONTROL!$C$42, 121.5, 121.5)*CHOOSE(CONTROL!$C$42, 30, 30))/1000000</f>
        <v>0.417717</v>
      </c>
      <c r="X390" s="58">
        <f>(30*0.1790888*245000/1000000)+(30*0.2374*100000/1000000)</f>
        <v>2.0285026799999999</v>
      </c>
      <c r="Y390" s="58"/>
      <c r="Z390" s="10"/>
      <c r="AA390" s="57"/>
      <c r="AB390" s="51">
        <f>(B390*194.205+C390*267.466+D390*133.845+E390*53.484+F390*40+G390*185+H390*0+I390*100+J390*300)/(194.205+267.466+133.845+53.484+0+40+185+100+300)</f>
        <v>14.151653662009418</v>
      </c>
      <c r="AC390" s="27">
        <f>(M390*'RAP TEMPLATE-GAS AVAILABILITY'!O389+N390*'RAP TEMPLATE-GAS AVAILABILITY'!P389+O390*'RAP TEMPLATE-GAS AVAILABILITY'!Q389+P390*'RAP TEMPLATE-GAS AVAILABILITY'!R389)/('RAP TEMPLATE-GAS AVAILABILITY'!O389+'RAP TEMPLATE-GAS AVAILABILITY'!P389+'RAP TEMPLATE-GAS AVAILABILITY'!Q389+'RAP TEMPLATE-GAS AVAILABILITY'!R389)</f>
        <v>14.043223741007193</v>
      </c>
    </row>
    <row r="391" spans="1:29" ht="15.75" x14ac:dyDescent="0.25">
      <c r="A391" s="14">
        <v>52809</v>
      </c>
      <c r="B391" s="10">
        <f>CHOOSE(CONTROL!$C$42, 13.8638, 13.8638) * CHOOSE(CONTROL!$C$21, $C$9, 100%, $E$9)</f>
        <v>13.863799999999999</v>
      </c>
      <c r="C391" s="10">
        <f>CHOOSE(CONTROL!$C$42, 13.8717, 13.8717) * CHOOSE(CONTROL!$C$21, $C$9, 100%, $E$9)</f>
        <v>13.871700000000001</v>
      </c>
      <c r="D391" s="10">
        <f>CHOOSE(CONTROL!$C$42, 14.0641, 14.0641) * CHOOSE(CONTROL!$C$21, $C$9, 100%, $E$9)</f>
        <v>14.0641</v>
      </c>
      <c r="E391" s="10">
        <f>CHOOSE(CONTROL!$C$42, 14.0952, 14.0952) * CHOOSE(CONTROL!$C$21, $C$9, 100%, $E$9)</f>
        <v>14.0952</v>
      </c>
      <c r="F391" s="10">
        <f>CHOOSE(CONTROL!$C$42, 13.8306, 13.8306)*CHOOSE(CONTROL!$C$21, $C$9, 100%, $E$9)</f>
        <v>13.8306</v>
      </c>
      <c r="G391" s="10">
        <f>CHOOSE(CONTROL!$C$42, 13.8479, 13.8479)*CHOOSE(CONTROL!$C$21, $C$9, 100%, $E$9)</f>
        <v>13.847899999999999</v>
      </c>
      <c r="H391" s="10">
        <f>CHOOSE(CONTROL!$C$42, 14.0839, 14.0839) * CHOOSE(CONTROL!$C$21, $C$9, 100%, $E$9)</f>
        <v>14.0839</v>
      </c>
      <c r="I391" s="10">
        <f>CHOOSE(CONTROL!$C$42, 13.8303, 13.8303)* CHOOSE(CONTROL!$C$21, $C$9, 100%, $E$9)</f>
        <v>13.830299999999999</v>
      </c>
      <c r="J391" s="10">
        <f>CHOOSE(CONTROL!$C$42, 13.8236, 13.8236)* CHOOSE(CONTROL!$C$21, $C$9, 100%, $E$9)</f>
        <v>13.823600000000001</v>
      </c>
      <c r="K391" s="54">
        <f>CHOOSE(CONTROL!$C$42, 13.8264, 13.8264) * CHOOSE(CONTROL!$C$21, $C$9, 100%, $E$9)</f>
        <v>13.8264</v>
      </c>
      <c r="L391" s="10">
        <f>CHOOSE(CONTROL!$C$42, 14.6709, 14.6709) * CHOOSE(CONTROL!$C$21, $C$9, 100%, $E$9)</f>
        <v>14.6709</v>
      </c>
      <c r="M391" s="10">
        <f>CHOOSE(CONTROL!$C$42, 13.698, 13.698) * CHOOSE(CONTROL!$C$21, $C$9, 100%, $E$9)</f>
        <v>13.698</v>
      </c>
      <c r="N391" s="10">
        <f>CHOOSE(CONTROL!$C$42, 13.7151, 13.7151) * CHOOSE(CONTROL!$C$21, $C$9, 100%, $E$9)</f>
        <v>13.7151</v>
      </c>
      <c r="O391" s="10">
        <f>CHOOSE(CONTROL!$C$42, 13.9556, 13.9556) * CHOOSE(CONTROL!$C$21, $C$9, 100%, $E$9)</f>
        <v>13.9556</v>
      </c>
      <c r="P391" s="10">
        <f>CHOOSE(CONTROL!$C$42, 13.7046, 13.7046) * CHOOSE(CONTROL!$C$21, $C$9, 100%, $E$9)</f>
        <v>13.704599999999999</v>
      </c>
      <c r="Q391" s="10">
        <f>CHOOSE(CONTROL!$C$42, 14.5509, 14.5509) * CHOOSE(CONTROL!$C$21, $C$9, 100%, $E$9)</f>
        <v>14.5509</v>
      </c>
      <c r="R391" s="10">
        <f>CHOOSE(CONTROL!$C$42, 15.1743, 15.1743) * CHOOSE(CONTROL!$C$21, $C$9, 100%, $E$9)</f>
        <v>15.174300000000001</v>
      </c>
      <c r="S391" s="10">
        <f>CHOOSE(CONTROL!$C$42, 13.4588, 13.4588) * CHOOSE(CONTROL!$C$21, $C$9, 100%, $E$9)</f>
        <v>13.4588</v>
      </c>
      <c r="T391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391" s="58">
        <f>(1000*CHOOSE(CONTROL!$C$42, 695, 695)*CHOOSE(CONTROL!$C$42, 0.5599, 0.5599)*CHOOSE(CONTROL!$C$42, 31, 31))/1000000</f>
        <v>12.063045499999998</v>
      </c>
      <c r="V391" s="58">
        <f>(1000*CHOOSE(CONTROL!$C$42, 500, 500)*CHOOSE(CONTROL!$C$42, 0.275, 0.275)*CHOOSE(CONTROL!$C$42, 31, 31))/1000000</f>
        <v>4.2625000000000002</v>
      </c>
      <c r="W391" s="58">
        <f>(1000*CHOOSE(CONTROL!$C$42, 0.1146, 0.1146)*CHOOSE(CONTROL!$C$42, 121.5, 121.5)*CHOOSE(CONTROL!$C$42, 31, 31))/1000000</f>
        <v>0.43164089999999994</v>
      </c>
      <c r="X391" s="58">
        <f>(31*0.1790888*245000/1000000)+(31*0.2374*100000/1000000)</f>
        <v>2.0961194359999999</v>
      </c>
      <c r="Y391" s="58"/>
      <c r="Z391" s="10"/>
      <c r="AA391" s="57"/>
      <c r="AB391" s="51">
        <f>(B391*194.205+C391*267.466+D391*133.845+E391*53.484+F391*40+G391*185+H391*0+I391*100+J391*300)/(194.205+267.466+133.845+53.484+0+40+185+100+300)</f>
        <v>13.880769256279436</v>
      </c>
      <c r="AC391" s="27">
        <f>(M391*'RAP TEMPLATE-GAS AVAILABILITY'!O390+N391*'RAP TEMPLATE-GAS AVAILABILITY'!P390+O391*'RAP TEMPLATE-GAS AVAILABILITY'!Q390+P391*'RAP TEMPLATE-GAS AVAILABILITY'!R390)/('RAP TEMPLATE-GAS AVAILABILITY'!O390+'RAP TEMPLATE-GAS AVAILABILITY'!P390+'RAP TEMPLATE-GAS AVAILABILITY'!Q390+'RAP TEMPLATE-GAS AVAILABILITY'!R390)</f>
        <v>13.77516258992806</v>
      </c>
    </row>
    <row r="392" spans="1:29" ht="15.75" x14ac:dyDescent="0.25">
      <c r="A392" s="14">
        <v>52840</v>
      </c>
      <c r="B392" s="10">
        <f>CHOOSE(CONTROL!$C$42, 13.1792, 13.1792) * CHOOSE(CONTROL!$C$21, $C$9, 100%, $E$9)</f>
        <v>13.1792</v>
      </c>
      <c r="C392" s="10">
        <f>CHOOSE(CONTROL!$C$42, 13.1871, 13.1871) * CHOOSE(CONTROL!$C$21, $C$9, 100%, $E$9)</f>
        <v>13.187099999999999</v>
      </c>
      <c r="D392" s="10">
        <f>CHOOSE(CONTROL!$C$42, 13.3796, 13.3796) * CHOOSE(CONTROL!$C$21, $C$9, 100%, $E$9)</f>
        <v>13.3796</v>
      </c>
      <c r="E392" s="10">
        <f>CHOOSE(CONTROL!$C$42, 13.4107, 13.4107) * CHOOSE(CONTROL!$C$21, $C$9, 100%, $E$9)</f>
        <v>13.4107</v>
      </c>
      <c r="F392" s="10">
        <f>CHOOSE(CONTROL!$C$42, 13.1463, 13.1463)*CHOOSE(CONTROL!$C$21, $C$9, 100%, $E$9)</f>
        <v>13.1463</v>
      </c>
      <c r="G392" s="10">
        <f>CHOOSE(CONTROL!$C$42, 13.1636, 13.1636)*CHOOSE(CONTROL!$C$21, $C$9, 100%, $E$9)</f>
        <v>13.163600000000001</v>
      </c>
      <c r="H392" s="10">
        <f>CHOOSE(CONTROL!$C$42, 13.3994, 13.3994) * CHOOSE(CONTROL!$C$21, $C$9, 100%, $E$9)</f>
        <v>13.3994</v>
      </c>
      <c r="I392" s="10">
        <f>CHOOSE(CONTROL!$C$42, 13.1458, 13.1458)* CHOOSE(CONTROL!$C$21, $C$9, 100%, $E$9)</f>
        <v>13.145799999999999</v>
      </c>
      <c r="J392" s="10">
        <f>CHOOSE(CONTROL!$C$42, 13.1393, 13.1393)* CHOOSE(CONTROL!$C$21, $C$9, 100%, $E$9)</f>
        <v>13.1393</v>
      </c>
      <c r="K392" s="54">
        <f>CHOOSE(CONTROL!$C$42, 13.1419, 13.1419) * CHOOSE(CONTROL!$C$21, $C$9, 100%, $E$9)</f>
        <v>13.1419</v>
      </c>
      <c r="L392" s="10">
        <f>CHOOSE(CONTROL!$C$42, 13.9864, 13.9864) * CHOOSE(CONTROL!$C$21, $C$9, 100%, $E$9)</f>
        <v>13.9864</v>
      </c>
      <c r="M392" s="10">
        <f>CHOOSE(CONTROL!$C$42, 13.0205, 13.0205) * CHOOSE(CONTROL!$C$21, $C$9, 100%, $E$9)</f>
        <v>13.0205</v>
      </c>
      <c r="N392" s="10">
        <f>CHOOSE(CONTROL!$C$42, 13.0377, 13.0377) * CHOOSE(CONTROL!$C$21, $C$9, 100%, $E$9)</f>
        <v>13.037699999999999</v>
      </c>
      <c r="O392" s="10">
        <f>CHOOSE(CONTROL!$C$42, 13.278, 13.278) * CHOOSE(CONTROL!$C$21, $C$9, 100%, $E$9)</f>
        <v>13.278</v>
      </c>
      <c r="P392" s="10">
        <f>CHOOSE(CONTROL!$C$42, 13.027, 13.027) * CHOOSE(CONTROL!$C$21, $C$9, 100%, $E$9)</f>
        <v>13.026999999999999</v>
      </c>
      <c r="Q392" s="10">
        <f>CHOOSE(CONTROL!$C$42, 13.8733, 13.8733) * CHOOSE(CONTROL!$C$21, $C$9, 100%, $E$9)</f>
        <v>13.8733</v>
      </c>
      <c r="R392" s="10">
        <f>CHOOSE(CONTROL!$C$42, 14.4949, 14.4949) * CHOOSE(CONTROL!$C$21, $C$9, 100%, $E$9)</f>
        <v>14.494899999999999</v>
      </c>
      <c r="S392" s="10">
        <f>CHOOSE(CONTROL!$C$42, 12.7941, 12.7941) * CHOOSE(CONTROL!$C$21, $C$9, 100%, $E$9)</f>
        <v>12.7941</v>
      </c>
      <c r="T392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392" s="58">
        <f>(1000*CHOOSE(CONTROL!$C$42, 695, 695)*CHOOSE(CONTROL!$C$42, 0.5599, 0.5599)*CHOOSE(CONTROL!$C$42, 31, 31))/1000000</f>
        <v>12.063045499999998</v>
      </c>
      <c r="V392" s="58">
        <f>(1000*CHOOSE(CONTROL!$C$42, 500, 500)*CHOOSE(CONTROL!$C$42, 0.275, 0.275)*CHOOSE(CONTROL!$C$42, 31, 31))/1000000</f>
        <v>4.2625000000000002</v>
      </c>
      <c r="W392" s="58">
        <f>(1000*CHOOSE(CONTROL!$C$42, 0.1146, 0.1146)*CHOOSE(CONTROL!$C$42, 121.5, 121.5)*CHOOSE(CONTROL!$C$42, 31, 31))/1000000</f>
        <v>0.43164089999999994</v>
      </c>
      <c r="X392" s="58">
        <f>(31*0.1790888*245000/1000000)+(31*0.2374*100000/1000000)</f>
        <v>2.0961194359999999</v>
      </c>
      <c r="Y392" s="58"/>
      <c r="Z392" s="10"/>
      <c r="AA392" s="57"/>
      <c r="AB392" s="51">
        <f>(B392*194.205+C392*267.466+D392*133.845+E392*53.484+F392*40+G392*185+H392*0+I392*100+J392*300)/(194.205+267.466+133.845+53.484+0+40+185+100+300)</f>
        <v>13.196315435949765</v>
      </c>
      <c r="AC392" s="27">
        <f>(M392*'RAP TEMPLATE-GAS AVAILABILITY'!O391+N392*'RAP TEMPLATE-GAS AVAILABILITY'!P391+O392*'RAP TEMPLATE-GAS AVAILABILITY'!Q391+P392*'RAP TEMPLATE-GAS AVAILABILITY'!R391)/('RAP TEMPLATE-GAS AVAILABILITY'!O391+'RAP TEMPLATE-GAS AVAILABILITY'!P391+'RAP TEMPLATE-GAS AVAILABILITY'!Q391+'RAP TEMPLATE-GAS AVAILABILITY'!R391)</f>
        <v>13.097643165467625</v>
      </c>
    </row>
    <row r="393" spans="1:29" ht="15.75" x14ac:dyDescent="0.25">
      <c r="A393" s="14">
        <v>52870</v>
      </c>
      <c r="B393" s="10">
        <f>CHOOSE(CONTROL!$C$42, 12.3425, 12.3425) * CHOOSE(CONTROL!$C$21, $C$9, 100%, $E$9)</f>
        <v>12.342499999999999</v>
      </c>
      <c r="C393" s="10">
        <f>CHOOSE(CONTROL!$C$42, 12.3504, 12.3504) * CHOOSE(CONTROL!$C$21, $C$9, 100%, $E$9)</f>
        <v>12.3504</v>
      </c>
      <c r="D393" s="10">
        <f>CHOOSE(CONTROL!$C$42, 12.5428, 12.5428) * CHOOSE(CONTROL!$C$21, $C$9, 100%, $E$9)</f>
        <v>12.5428</v>
      </c>
      <c r="E393" s="10">
        <f>CHOOSE(CONTROL!$C$42, 12.574, 12.574) * CHOOSE(CONTROL!$C$21, $C$9, 100%, $E$9)</f>
        <v>12.574</v>
      </c>
      <c r="F393" s="10">
        <f>CHOOSE(CONTROL!$C$42, 12.3094, 12.3094)*CHOOSE(CONTROL!$C$21, $C$9, 100%, $E$9)</f>
        <v>12.3094</v>
      </c>
      <c r="G393" s="10">
        <f>CHOOSE(CONTROL!$C$42, 12.3267, 12.3267)*CHOOSE(CONTROL!$C$21, $C$9, 100%, $E$9)</f>
        <v>12.326700000000001</v>
      </c>
      <c r="H393" s="10">
        <f>CHOOSE(CONTROL!$C$42, 12.5626, 12.5626) * CHOOSE(CONTROL!$C$21, $C$9, 100%, $E$9)</f>
        <v>12.5626</v>
      </c>
      <c r="I393" s="10">
        <f>CHOOSE(CONTROL!$C$42, 12.309, 12.309)* CHOOSE(CONTROL!$C$21, $C$9, 100%, $E$9)</f>
        <v>12.308999999999999</v>
      </c>
      <c r="J393" s="10">
        <f>CHOOSE(CONTROL!$C$42, 12.3024, 12.3024)* CHOOSE(CONTROL!$C$21, $C$9, 100%, $E$9)</f>
        <v>12.3024</v>
      </c>
      <c r="K393" s="54">
        <f>CHOOSE(CONTROL!$C$42, 12.3052, 12.3052) * CHOOSE(CONTROL!$C$21, $C$9, 100%, $E$9)</f>
        <v>12.305199999999999</v>
      </c>
      <c r="L393" s="10">
        <f>CHOOSE(CONTROL!$C$42, 13.1496, 13.1496) * CHOOSE(CONTROL!$C$21, $C$9, 100%, $E$9)</f>
        <v>13.1496</v>
      </c>
      <c r="M393" s="10">
        <f>CHOOSE(CONTROL!$C$42, 12.192, 12.192) * CHOOSE(CONTROL!$C$21, $C$9, 100%, $E$9)</f>
        <v>12.192</v>
      </c>
      <c r="N393" s="10">
        <f>CHOOSE(CONTROL!$C$42, 12.2092, 12.2092) * CHOOSE(CONTROL!$C$21, $C$9, 100%, $E$9)</f>
        <v>12.209199999999999</v>
      </c>
      <c r="O393" s="10">
        <f>CHOOSE(CONTROL!$C$42, 12.4496, 12.4496) * CHOOSE(CONTROL!$C$21, $C$9, 100%, $E$9)</f>
        <v>12.4496</v>
      </c>
      <c r="P393" s="10">
        <f>CHOOSE(CONTROL!$C$42, 12.1987, 12.1987) * CHOOSE(CONTROL!$C$21, $C$9, 100%, $E$9)</f>
        <v>12.198700000000001</v>
      </c>
      <c r="Q393" s="10">
        <f>CHOOSE(CONTROL!$C$42, 13.0449, 13.0449) * CHOOSE(CONTROL!$C$21, $C$9, 100%, $E$9)</f>
        <v>13.0449</v>
      </c>
      <c r="R393" s="10">
        <f>CHOOSE(CONTROL!$C$42, 13.6646, 13.6646) * CHOOSE(CONTROL!$C$21, $C$9, 100%, $E$9)</f>
        <v>13.6646</v>
      </c>
      <c r="S393" s="10">
        <f>CHOOSE(CONTROL!$C$42, 11.9815, 11.9815) * CHOOSE(CONTROL!$C$21, $C$9, 100%, $E$9)</f>
        <v>11.9815</v>
      </c>
      <c r="T393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393" s="58">
        <f>(1000*CHOOSE(CONTROL!$C$42, 695, 695)*CHOOSE(CONTROL!$C$42, 0.5599, 0.5599)*CHOOSE(CONTROL!$C$42, 30, 30))/1000000</f>
        <v>11.673914999999997</v>
      </c>
      <c r="V393" s="58">
        <f>(1000*CHOOSE(CONTROL!$C$42, 500, 500)*CHOOSE(CONTROL!$C$42, 0.275, 0.275)*CHOOSE(CONTROL!$C$42, 30, 30))/1000000</f>
        <v>4.125</v>
      </c>
      <c r="W393" s="58">
        <f>(1000*CHOOSE(CONTROL!$C$42, 0.1146, 0.1146)*CHOOSE(CONTROL!$C$42, 121.5, 121.5)*CHOOSE(CONTROL!$C$42, 30, 30))/1000000</f>
        <v>0.417717</v>
      </c>
      <c r="X393" s="58">
        <f>(30*0.1790888*245000/1000000)+(30*0.2374*100000/1000000)</f>
        <v>2.0285026799999999</v>
      </c>
      <c r="Y393" s="58"/>
      <c r="Z393" s="10"/>
      <c r="AA393" s="57"/>
      <c r="AB393" s="51">
        <f>(B393*194.205+C393*267.466+D393*133.845+E393*53.484+F393*40+G393*185+H393*0+I393*100+J393*300)/(194.205+267.466+133.845+53.484+0+40+185+100+300)</f>
        <v>12.359514663186815</v>
      </c>
      <c r="AC393" s="27">
        <f>(M393*'RAP TEMPLATE-GAS AVAILABILITY'!O392+N393*'RAP TEMPLATE-GAS AVAILABILITY'!P392+O393*'RAP TEMPLATE-GAS AVAILABILITY'!Q392+P393*'RAP TEMPLATE-GAS AVAILABILITY'!R392)/('RAP TEMPLATE-GAS AVAILABILITY'!O392+'RAP TEMPLATE-GAS AVAILABILITY'!P392+'RAP TEMPLATE-GAS AVAILABILITY'!Q392+'RAP TEMPLATE-GAS AVAILABILITY'!R392)</f>
        <v>12.269200000000001</v>
      </c>
    </row>
    <row r="394" spans="1:29" ht="15.75" x14ac:dyDescent="0.25">
      <c r="A394" s="14">
        <v>52901</v>
      </c>
      <c r="B394" s="10">
        <f>CHOOSE(CONTROL!$C$42, 12.0902, 12.0902) * CHOOSE(CONTROL!$C$21, $C$9, 100%, $E$9)</f>
        <v>12.090199999999999</v>
      </c>
      <c r="C394" s="10">
        <f>CHOOSE(CONTROL!$C$42, 12.0954, 12.0954) * CHOOSE(CONTROL!$C$21, $C$9, 100%, $E$9)</f>
        <v>12.0954</v>
      </c>
      <c r="D394" s="10">
        <f>CHOOSE(CONTROL!$C$42, 12.2928, 12.2928) * CHOOSE(CONTROL!$C$21, $C$9, 100%, $E$9)</f>
        <v>12.2928</v>
      </c>
      <c r="E394" s="10">
        <f>CHOOSE(CONTROL!$C$42, 12.3216, 12.3216) * CHOOSE(CONTROL!$C$21, $C$9, 100%, $E$9)</f>
        <v>12.3216</v>
      </c>
      <c r="F394" s="10">
        <f>CHOOSE(CONTROL!$C$42, 12.0591, 12.0591)*CHOOSE(CONTROL!$C$21, $C$9, 100%, $E$9)</f>
        <v>12.059100000000001</v>
      </c>
      <c r="G394" s="10">
        <f>CHOOSE(CONTROL!$C$42, 12.0761, 12.0761)*CHOOSE(CONTROL!$C$21, $C$9, 100%, $E$9)</f>
        <v>12.0761</v>
      </c>
      <c r="H394" s="10">
        <f>CHOOSE(CONTROL!$C$42, 12.3121, 12.3121) * CHOOSE(CONTROL!$C$21, $C$9, 100%, $E$9)</f>
        <v>12.312099999999999</v>
      </c>
      <c r="I394" s="10">
        <f>CHOOSE(CONTROL!$C$42, 12.0585, 12.0585)* CHOOSE(CONTROL!$C$21, $C$9, 100%, $E$9)</f>
        <v>12.0585</v>
      </c>
      <c r="J394" s="10">
        <f>CHOOSE(CONTROL!$C$42, 12.0521, 12.0521)* CHOOSE(CONTROL!$C$21, $C$9, 100%, $E$9)</f>
        <v>12.052099999999999</v>
      </c>
      <c r="K394" s="54">
        <f>CHOOSE(CONTROL!$C$42, 12.0547, 12.0547) * CHOOSE(CONTROL!$C$21, $C$9, 100%, $E$9)</f>
        <v>12.0547</v>
      </c>
      <c r="L394" s="10">
        <f>CHOOSE(CONTROL!$C$42, 12.8991, 12.8991) * CHOOSE(CONTROL!$C$21, $C$9, 100%, $E$9)</f>
        <v>12.899100000000001</v>
      </c>
      <c r="M394" s="10">
        <f>CHOOSE(CONTROL!$C$42, 11.9443, 11.9443) * CHOOSE(CONTROL!$C$21, $C$9, 100%, $E$9)</f>
        <v>11.9443</v>
      </c>
      <c r="N394" s="10">
        <f>CHOOSE(CONTROL!$C$42, 11.9611, 11.9611) * CHOOSE(CONTROL!$C$21, $C$9, 100%, $E$9)</f>
        <v>11.9611</v>
      </c>
      <c r="O394" s="10">
        <f>CHOOSE(CONTROL!$C$42, 12.2017, 12.2017) * CHOOSE(CONTROL!$C$21, $C$9, 100%, $E$9)</f>
        <v>12.201700000000001</v>
      </c>
      <c r="P394" s="10">
        <f>CHOOSE(CONTROL!$C$42, 11.9507, 11.9507) * CHOOSE(CONTROL!$C$21, $C$9, 100%, $E$9)</f>
        <v>11.950699999999999</v>
      </c>
      <c r="Q394" s="10">
        <f>CHOOSE(CONTROL!$C$42, 12.797, 12.797) * CHOOSE(CONTROL!$C$21, $C$9, 100%, $E$9)</f>
        <v>12.797000000000001</v>
      </c>
      <c r="R394" s="10">
        <f>CHOOSE(CONTROL!$C$42, 13.416, 13.416) * CHOOSE(CONTROL!$C$21, $C$9, 100%, $E$9)</f>
        <v>13.416</v>
      </c>
      <c r="S394" s="10">
        <f>CHOOSE(CONTROL!$C$42, 11.7383, 11.7383) * CHOOSE(CONTROL!$C$21, $C$9, 100%, $E$9)</f>
        <v>11.738300000000001</v>
      </c>
      <c r="T394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394" s="58">
        <f>(1000*CHOOSE(CONTROL!$C$42, 695, 695)*CHOOSE(CONTROL!$C$42, 0.5599, 0.5599)*CHOOSE(CONTROL!$C$42, 31, 31))/1000000</f>
        <v>12.063045499999998</v>
      </c>
      <c r="V394" s="58">
        <f>(1000*CHOOSE(CONTROL!$C$42, 500, 500)*CHOOSE(CONTROL!$C$42, 0.275, 0.275)*CHOOSE(CONTROL!$C$42, 31, 31))/1000000</f>
        <v>4.2625000000000002</v>
      </c>
      <c r="W394" s="58">
        <f>(1000*CHOOSE(CONTROL!$C$42, 0.1146, 0.1146)*CHOOSE(CONTROL!$C$42, 121.5, 121.5)*CHOOSE(CONTROL!$C$42, 31, 31))/1000000</f>
        <v>0.43164089999999994</v>
      </c>
      <c r="X394" s="58">
        <f>(31*0.1790888*245000/1000000)+(31*0.2374*100000/1000000)</f>
        <v>2.0961194359999999</v>
      </c>
      <c r="Y394" s="58"/>
      <c r="Z394" s="10"/>
      <c r="AA394" s="57"/>
      <c r="AB394" s="51">
        <f>(B394*131.881+C394*277.167+D394*79.08+E394*125.872+F394*40+G394*185+H394*0+I394*100+J394*300)/(131.881+277.167+79.08+125.872+0+40+185+100+300)</f>
        <v>12.112909569975786</v>
      </c>
      <c r="AC394" s="27">
        <f>(M394*'RAP TEMPLATE-GAS AVAILABILITY'!O393+N394*'RAP TEMPLATE-GAS AVAILABILITY'!P393+O394*'RAP TEMPLATE-GAS AVAILABILITY'!Q393+P394*'RAP TEMPLATE-GAS AVAILABILITY'!R393)/('RAP TEMPLATE-GAS AVAILABILITY'!O393+'RAP TEMPLATE-GAS AVAILABILITY'!P393+'RAP TEMPLATE-GAS AVAILABILITY'!Q393+'RAP TEMPLATE-GAS AVAILABILITY'!R393)</f>
        <v>12.021308633093527</v>
      </c>
    </row>
    <row r="395" spans="1:29" ht="15.75" x14ac:dyDescent="0.25">
      <c r="A395" s="14">
        <v>52931</v>
      </c>
      <c r="B395" s="10">
        <f>CHOOSE(CONTROL!$C$42, 12.4082, 12.4082) * CHOOSE(CONTROL!$C$21, $C$9, 100%, $E$9)</f>
        <v>12.408200000000001</v>
      </c>
      <c r="C395" s="10">
        <f>CHOOSE(CONTROL!$C$42, 12.4132, 12.4132) * CHOOSE(CONTROL!$C$21, $C$9, 100%, $E$9)</f>
        <v>12.4132</v>
      </c>
      <c r="D395" s="10">
        <f>CHOOSE(CONTROL!$C$42, 12.4428, 12.4428) * CHOOSE(CONTROL!$C$21, $C$9, 100%, $E$9)</f>
        <v>12.4428</v>
      </c>
      <c r="E395" s="10">
        <f>CHOOSE(CONTROL!$C$42, 12.4766, 12.4766) * CHOOSE(CONTROL!$C$21, $C$9, 100%, $E$9)</f>
        <v>12.476599999999999</v>
      </c>
      <c r="F395" s="10">
        <f>CHOOSE(CONTROL!$C$42, 12.375, 12.375)*CHOOSE(CONTROL!$C$21, $C$9, 100%, $E$9)</f>
        <v>12.375</v>
      </c>
      <c r="G395" s="10">
        <f>CHOOSE(CONTROL!$C$42, 12.3921, 12.3921)*CHOOSE(CONTROL!$C$21, $C$9, 100%, $E$9)</f>
        <v>12.392099999999999</v>
      </c>
      <c r="H395" s="10">
        <f>CHOOSE(CONTROL!$C$42, 12.4658, 12.4658) * CHOOSE(CONTROL!$C$21, $C$9, 100%, $E$9)</f>
        <v>12.4658</v>
      </c>
      <c r="I395" s="10">
        <f>CHOOSE(CONTROL!$C$42, 12.3718, 12.3718)* CHOOSE(CONTROL!$C$21, $C$9, 100%, $E$9)</f>
        <v>12.3718</v>
      </c>
      <c r="J395" s="10">
        <f>CHOOSE(CONTROL!$C$42, 12.368, 12.368)* CHOOSE(CONTROL!$C$21, $C$9, 100%, $E$9)</f>
        <v>12.368</v>
      </c>
      <c r="K395" s="54">
        <f>CHOOSE(CONTROL!$C$42, 12.3679, 12.3679) * CHOOSE(CONTROL!$C$21, $C$9, 100%, $E$9)</f>
        <v>12.367900000000001</v>
      </c>
      <c r="L395" s="10">
        <f>CHOOSE(CONTROL!$C$42, 13.0528, 13.0528) * CHOOSE(CONTROL!$C$21, $C$9, 100%, $E$9)</f>
        <v>13.0528</v>
      </c>
      <c r="M395" s="10">
        <f>CHOOSE(CONTROL!$C$42, 12.257, 12.257) * CHOOSE(CONTROL!$C$21, $C$9, 100%, $E$9)</f>
        <v>12.257</v>
      </c>
      <c r="N395" s="10">
        <f>CHOOSE(CONTROL!$C$42, 12.274, 12.274) * CHOOSE(CONTROL!$C$21, $C$9, 100%, $E$9)</f>
        <v>12.273999999999999</v>
      </c>
      <c r="O395" s="10">
        <f>CHOOSE(CONTROL!$C$42, 12.3538, 12.3538) * CHOOSE(CONTROL!$C$21, $C$9, 100%, $E$9)</f>
        <v>12.3538</v>
      </c>
      <c r="P395" s="10">
        <f>CHOOSE(CONTROL!$C$42, 12.2608, 12.2608) * CHOOSE(CONTROL!$C$21, $C$9, 100%, $E$9)</f>
        <v>12.2608</v>
      </c>
      <c r="Q395" s="10">
        <f>CHOOSE(CONTROL!$C$42, 12.9491, 12.9491) * CHOOSE(CONTROL!$C$21, $C$9, 100%, $E$9)</f>
        <v>12.9491</v>
      </c>
      <c r="R395" s="10">
        <f>CHOOSE(CONTROL!$C$42, 13.5685, 13.5685) * CHOOSE(CONTROL!$C$21, $C$9, 100%, $E$9)</f>
        <v>13.5685</v>
      </c>
      <c r="S395" s="10">
        <f>CHOOSE(CONTROL!$C$42, 12.0475, 12.0475) * CHOOSE(CONTROL!$C$21, $C$9, 100%, $E$9)</f>
        <v>12.047499999999999</v>
      </c>
      <c r="T395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395" s="58">
        <f>(1000*CHOOSE(CONTROL!$C$42, 695, 695)*CHOOSE(CONTROL!$C$42, 0.5599, 0.5599)*CHOOSE(CONTROL!$C$42, 30, 30))/1000000</f>
        <v>11.673914999999997</v>
      </c>
      <c r="V395" s="58">
        <f>(1000*CHOOSE(CONTROL!$C$42, 500, 500)*CHOOSE(CONTROL!$C$42, 0.275, 0.275)*CHOOSE(CONTROL!$C$42, 30, 30))/1000000</f>
        <v>4.125</v>
      </c>
      <c r="W395" s="58">
        <f>(1000*CHOOSE(CONTROL!$C$42, 0.1146, 0.1146)*CHOOSE(CONTROL!$C$42, 121.5, 121.5)*CHOOSE(CONTROL!$C$42, 30, 30))/1000000</f>
        <v>0.417717</v>
      </c>
      <c r="X395" s="58">
        <f>(30*0.1790888*100000/1000000)+(30*0.2374*100000/1000000)</f>
        <v>1.2494664</v>
      </c>
      <c r="Y395" s="58"/>
      <c r="Z395" s="10"/>
      <c r="AA395" s="57"/>
      <c r="AB395" s="51">
        <f>(B395*122.58+C395*297.941+D395*89.177+E395*40.302+F395*40+G395*160+H395*0+I395*100+J395*300)/(122.58+297.941+89.177+40.302+0+40+160+100+300)</f>
        <v>12.397528596521738</v>
      </c>
      <c r="AC395" s="27">
        <f>(M395*'RAP TEMPLATE-GAS AVAILABILITY'!O394+N395*'RAP TEMPLATE-GAS AVAILABILITY'!P394+O395*'RAP TEMPLATE-GAS AVAILABILITY'!Q394+P395*'RAP TEMPLATE-GAS AVAILABILITY'!R394)/('RAP TEMPLATE-GAS AVAILABILITY'!O394+'RAP TEMPLATE-GAS AVAILABILITY'!P394+'RAP TEMPLATE-GAS AVAILABILITY'!Q394+'RAP TEMPLATE-GAS AVAILABILITY'!R394)</f>
        <v>12.302398561151078</v>
      </c>
    </row>
    <row r="396" spans="1:29" ht="15.75" x14ac:dyDescent="0.25">
      <c r="A396" s="14">
        <v>52962</v>
      </c>
      <c r="B396" s="10">
        <f>CHOOSE(CONTROL!$C$42, 13.254, 13.254) * CHOOSE(CONTROL!$C$21, $C$9, 100%, $E$9)</f>
        <v>13.254</v>
      </c>
      <c r="C396" s="10">
        <f>CHOOSE(CONTROL!$C$42, 13.259, 13.259) * CHOOSE(CONTROL!$C$21, $C$9, 100%, $E$9)</f>
        <v>13.259</v>
      </c>
      <c r="D396" s="10">
        <f>CHOOSE(CONTROL!$C$42, 13.2886, 13.2886) * CHOOSE(CONTROL!$C$21, $C$9, 100%, $E$9)</f>
        <v>13.288600000000001</v>
      </c>
      <c r="E396" s="10">
        <f>CHOOSE(CONTROL!$C$42, 13.3223, 13.3223) * CHOOSE(CONTROL!$C$21, $C$9, 100%, $E$9)</f>
        <v>13.3223</v>
      </c>
      <c r="F396" s="10">
        <f>CHOOSE(CONTROL!$C$42, 13.2222, 13.2222)*CHOOSE(CONTROL!$C$21, $C$9, 100%, $E$9)</f>
        <v>13.222200000000001</v>
      </c>
      <c r="G396" s="10">
        <f>CHOOSE(CONTROL!$C$42, 13.2397, 13.2397)*CHOOSE(CONTROL!$C$21, $C$9, 100%, $E$9)</f>
        <v>13.239699999999999</v>
      </c>
      <c r="H396" s="10">
        <f>CHOOSE(CONTROL!$C$42, 13.3115, 13.3115) * CHOOSE(CONTROL!$C$21, $C$9, 100%, $E$9)</f>
        <v>13.311500000000001</v>
      </c>
      <c r="I396" s="10">
        <f>CHOOSE(CONTROL!$C$42, 13.2176, 13.2176)* CHOOSE(CONTROL!$C$21, $C$9, 100%, $E$9)</f>
        <v>13.217599999999999</v>
      </c>
      <c r="J396" s="10">
        <f>CHOOSE(CONTROL!$C$42, 13.2152, 13.2152)* CHOOSE(CONTROL!$C$21, $C$9, 100%, $E$9)</f>
        <v>13.215199999999999</v>
      </c>
      <c r="K396" s="54">
        <f>CHOOSE(CONTROL!$C$42, 13.2137, 13.2137) * CHOOSE(CONTROL!$C$21, $C$9, 100%, $E$9)</f>
        <v>13.213699999999999</v>
      </c>
      <c r="L396" s="10">
        <f>CHOOSE(CONTROL!$C$42, 13.8985, 13.8985) * CHOOSE(CONTROL!$C$21, $C$9, 100%, $E$9)</f>
        <v>13.8985</v>
      </c>
      <c r="M396" s="10">
        <f>CHOOSE(CONTROL!$C$42, 13.0957, 13.0957) * CHOOSE(CONTROL!$C$21, $C$9, 100%, $E$9)</f>
        <v>13.095700000000001</v>
      </c>
      <c r="N396" s="10">
        <f>CHOOSE(CONTROL!$C$42, 13.113, 13.113) * CHOOSE(CONTROL!$C$21, $C$9, 100%, $E$9)</f>
        <v>13.113</v>
      </c>
      <c r="O396" s="10">
        <f>CHOOSE(CONTROL!$C$42, 13.191, 13.191) * CHOOSE(CONTROL!$C$21, $C$9, 100%, $E$9)</f>
        <v>13.191000000000001</v>
      </c>
      <c r="P396" s="10">
        <f>CHOOSE(CONTROL!$C$42, 13.0981, 13.0981) * CHOOSE(CONTROL!$C$21, $C$9, 100%, $E$9)</f>
        <v>13.098100000000001</v>
      </c>
      <c r="Q396" s="10">
        <f>CHOOSE(CONTROL!$C$42, 13.7863, 13.7863) * CHOOSE(CONTROL!$C$21, $C$9, 100%, $E$9)</f>
        <v>13.786300000000001</v>
      </c>
      <c r="R396" s="10">
        <f>CHOOSE(CONTROL!$C$42, 14.4078, 14.4078) * CHOOSE(CONTROL!$C$21, $C$9, 100%, $E$9)</f>
        <v>14.4078</v>
      </c>
      <c r="S396" s="10">
        <f>CHOOSE(CONTROL!$C$42, 12.8688, 12.8688) * CHOOSE(CONTROL!$C$21, $C$9, 100%, $E$9)</f>
        <v>12.8688</v>
      </c>
      <c r="T396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396" s="58">
        <f>(1000*CHOOSE(CONTROL!$C$42, 695, 695)*CHOOSE(CONTROL!$C$42, 0.5599, 0.5599)*CHOOSE(CONTROL!$C$42, 31, 31))/1000000</f>
        <v>12.063045499999998</v>
      </c>
      <c r="V396" s="58">
        <f>(1000*CHOOSE(CONTROL!$C$42, 500, 500)*CHOOSE(CONTROL!$C$42, 0.275, 0.275)*CHOOSE(CONTROL!$C$42, 31, 31))/1000000</f>
        <v>4.2625000000000002</v>
      </c>
      <c r="W396" s="58">
        <f>(1000*CHOOSE(CONTROL!$C$42, 0.1146, 0.1146)*CHOOSE(CONTROL!$C$42, 121.5, 121.5)*CHOOSE(CONTROL!$C$42, 31, 31))/1000000</f>
        <v>0.43164089999999994</v>
      </c>
      <c r="X396" s="58">
        <f>(31*0.1790888*100000/1000000)+(31*0.2374*100000/1000000)</f>
        <v>1.2911152800000001</v>
      </c>
      <c r="Y396" s="58"/>
      <c r="Z396" s="10"/>
      <c r="AA396" s="57"/>
      <c r="AB396" s="51">
        <f>(B396*122.58+C396*297.941+D396*89.177+E396*40.302+F396*40+G396*160+H396*0+I396*100+J396*300)/(122.58+297.941+89.177+40.302+0+40+160+100+300)</f>
        <v>13.243989439826088</v>
      </c>
      <c r="AC396" s="27">
        <f>(M396*'RAP TEMPLATE-GAS AVAILABILITY'!O395+N396*'RAP TEMPLATE-GAS AVAILABILITY'!P395+O396*'RAP TEMPLATE-GAS AVAILABILITY'!Q395+P396*'RAP TEMPLATE-GAS AVAILABILITY'!R395)/('RAP TEMPLATE-GAS AVAILABILITY'!O395+'RAP TEMPLATE-GAS AVAILABILITY'!P395+'RAP TEMPLATE-GAS AVAILABILITY'!Q395+'RAP TEMPLATE-GAS AVAILABILITY'!R395)</f>
        <v>13.1402345323741</v>
      </c>
    </row>
    <row r="397" spans="1:29" ht="15.75" x14ac:dyDescent="0.25">
      <c r="A397" s="14">
        <v>52993</v>
      </c>
      <c r="B397" s="10">
        <f>CHOOSE(CONTROL!$C$42, 14.3397, 14.3397) * CHOOSE(CONTROL!$C$21, $C$9, 100%, $E$9)</f>
        <v>14.339700000000001</v>
      </c>
      <c r="C397" s="10">
        <f>CHOOSE(CONTROL!$C$42, 14.3447, 14.3447) * CHOOSE(CONTROL!$C$21, $C$9, 100%, $E$9)</f>
        <v>14.3447</v>
      </c>
      <c r="D397" s="10">
        <f>CHOOSE(CONTROL!$C$42, 14.3949, 14.3949) * CHOOSE(CONTROL!$C$21, $C$9, 100%, $E$9)</f>
        <v>14.3949</v>
      </c>
      <c r="E397" s="10">
        <f>CHOOSE(CONTROL!$C$42, 14.4287, 14.4287) * CHOOSE(CONTROL!$C$21, $C$9, 100%, $E$9)</f>
        <v>14.428699999999999</v>
      </c>
      <c r="F397" s="10">
        <f>CHOOSE(CONTROL!$C$42, 14.3051, 14.3051)*CHOOSE(CONTROL!$C$21, $C$9, 100%, $E$9)</f>
        <v>14.305099999999999</v>
      </c>
      <c r="G397" s="10">
        <f>CHOOSE(CONTROL!$C$42, 14.3227, 14.3227)*CHOOSE(CONTROL!$C$21, $C$9, 100%, $E$9)</f>
        <v>14.322699999999999</v>
      </c>
      <c r="H397" s="10">
        <f>CHOOSE(CONTROL!$C$42, 14.4179, 14.4179) * CHOOSE(CONTROL!$C$21, $C$9, 100%, $E$9)</f>
        <v>14.417899999999999</v>
      </c>
      <c r="I397" s="10">
        <f>CHOOSE(CONTROL!$C$42, 14.3136, 14.3136)* CHOOSE(CONTROL!$C$21, $C$9, 100%, $E$9)</f>
        <v>14.313599999999999</v>
      </c>
      <c r="J397" s="10">
        <f>CHOOSE(CONTROL!$C$42, 14.2981, 14.2981)* CHOOSE(CONTROL!$C$21, $C$9, 100%, $E$9)</f>
        <v>14.2981</v>
      </c>
      <c r="K397" s="54">
        <f>CHOOSE(CONTROL!$C$42, 14.3098, 14.3098) * CHOOSE(CONTROL!$C$21, $C$9, 100%, $E$9)</f>
        <v>14.309799999999999</v>
      </c>
      <c r="L397" s="10">
        <f>CHOOSE(CONTROL!$C$42, 15.0049, 15.0049) * CHOOSE(CONTROL!$C$21, $C$9, 100%, $E$9)</f>
        <v>15.004899999999999</v>
      </c>
      <c r="M397" s="10">
        <f>CHOOSE(CONTROL!$C$42, 14.1676, 14.1676) * CHOOSE(CONTROL!$C$21, $C$9, 100%, $E$9)</f>
        <v>14.1676</v>
      </c>
      <c r="N397" s="10">
        <f>CHOOSE(CONTROL!$C$42, 14.185, 14.185) * CHOOSE(CONTROL!$C$21, $C$9, 100%, $E$9)</f>
        <v>14.185</v>
      </c>
      <c r="O397" s="10">
        <f>CHOOSE(CONTROL!$C$42, 14.2862, 14.2862) * CHOOSE(CONTROL!$C$21, $C$9, 100%, $E$9)</f>
        <v>14.286199999999999</v>
      </c>
      <c r="P397" s="10">
        <f>CHOOSE(CONTROL!$C$42, 14.1831, 14.1831) * CHOOSE(CONTROL!$C$21, $C$9, 100%, $E$9)</f>
        <v>14.1831</v>
      </c>
      <c r="Q397" s="10">
        <f>CHOOSE(CONTROL!$C$42, 14.8815, 14.8815) * CHOOSE(CONTROL!$C$21, $C$9, 100%, $E$9)</f>
        <v>14.881500000000001</v>
      </c>
      <c r="R397" s="10">
        <f>CHOOSE(CONTROL!$C$42, 15.5057, 15.5057) * CHOOSE(CONTROL!$C$21, $C$9, 100%, $E$9)</f>
        <v>15.505699999999999</v>
      </c>
      <c r="S397" s="10">
        <f>CHOOSE(CONTROL!$C$42, 13.9232, 13.9232) * CHOOSE(CONTROL!$C$21, $C$9, 100%, $E$9)</f>
        <v>13.9232</v>
      </c>
      <c r="T397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397" s="58">
        <f>(1000*CHOOSE(CONTROL!$C$42, 695, 695)*CHOOSE(CONTROL!$C$42, 0.5599, 0.5599)*CHOOSE(CONTROL!$C$42, 31, 31))/1000000</f>
        <v>12.063045499999998</v>
      </c>
      <c r="V397" s="58">
        <f>(1000*CHOOSE(CONTROL!$C$42, 500, 500)*CHOOSE(CONTROL!$C$42, 0.275, 0.275)*CHOOSE(CONTROL!$C$42, 31, 31))/1000000</f>
        <v>4.2625000000000002</v>
      </c>
      <c r="W397" s="58">
        <f>(1000*CHOOSE(CONTROL!$C$42, 0.1146, 0.1146)*CHOOSE(CONTROL!$C$42, 121.5, 121.5)*CHOOSE(CONTROL!$C$42, 31, 31))/1000000</f>
        <v>0.43164089999999994</v>
      </c>
      <c r="X397" s="58">
        <f>(31*0.1790888*100000/1000000)+(31*0.2374*100000/1000000)</f>
        <v>1.2911152800000001</v>
      </c>
      <c r="Y397" s="58"/>
      <c r="Z397" s="10"/>
      <c r="AA397" s="57"/>
      <c r="AB397" s="51">
        <f>(B397*122.58+C397*297.941+D397*89.177+E397*40.302+F397*40+G397*160+H397*0+I397*100+J397*300)/(122.58+297.941+89.177+40.302+0+40+160+100+300)</f>
        <v>14.331704481217391</v>
      </c>
      <c r="AC397" s="27">
        <f>(M397*'RAP TEMPLATE-GAS AVAILABILITY'!O396+N397*'RAP TEMPLATE-GAS AVAILABILITY'!P396+O397*'RAP TEMPLATE-GAS AVAILABILITY'!Q396+P397*'RAP TEMPLATE-GAS AVAILABILITY'!R396)/('RAP TEMPLATE-GAS AVAILABILITY'!O396+'RAP TEMPLATE-GAS AVAILABILITY'!P396+'RAP TEMPLATE-GAS AVAILABILITY'!Q396+'RAP TEMPLATE-GAS AVAILABILITY'!R396)</f>
        <v>14.22458561151079</v>
      </c>
    </row>
    <row r="398" spans="1:29" ht="15.75" x14ac:dyDescent="0.25">
      <c r="A398" s="14">
        <v>53021</v>
      </c>
      <c r="B398" s="10">
        <f>CHOOSE(CONTROL!$C$42, 14.595, 14.595) * CHOOSE(CONTROL!$C$21, $C$9, 100%, $E$9)</f>
        <v>14.595000000000001</v>
      </c>
      <c r="C398" s="10">
        <f>CHOOSE(CONTROL!$C$42, 14.5999, 14.5999) * CHOOSE(CONTROL!$C$21, $C$9, 100%, $E$9)</f>
        <v>14.5999</v>
      </c>
      <c r="D398" s="10">
        <f>CHOOSE(CONTROL!$C$42, 14.6604, 14.6604) * CHOOSE(CONTROL!$C$21, $C$9, 100%, $E$9)</f>
        <v>14.660399999999999</v>
      </c>
      <c r="E398" s="10">
        <f>CHOOSE(CONTROL!$C$42, 14.6942, 14.6942) * CHOOSE(CONTROL!$C$21, $C$9, 100%, $E$9)</f>
        <v>14.6942</v>
      </c>
      <c r="F398" s="10">
        <f>CHOOSE(CONTROL!$C$42, 14.5882, 14.5882)*CHOOSE(CONTROL!$C$21, $C$9, 100%, $E$9)</f>
        <v>14.588200000000001</v>
      </c>
      <c r="G398" s="10">
        <f>CHOOSE(CONTROL!$C$42, 14.6055, 14.6055)*CHOOSE(CONTROL!$C$21, $C$9, 100%, $E$9)</f>
        <v>14.605499999999999</v>
      </c>
      <c r="H398" s="10">
        <f>CHOOSE(CONTROL!$C$42, 14.6834, 14.6834) * CHOOSE(CONTROL!$C$21, $C$9, 100%, $E$9)</f>
        <v>14.683400000000001</v>
      </c>
      <c r="I398" s="10">
        <f>CHOOSE(CONTROL!$C$42, 14.5817, 14.5817)* CHOOSE(CONTROL!$C$21, $C$9, 100%, $E$9)</f>
        <v>14.5817</v>
      </c>
      <c r="J398" s="10">
        <f>CHOOSE(CONTROL!$C$42, 14.5812, 14.5812)* CHOOSE(CONTROL!$C$21, $C$9, 100%, $E$9)</f>
        <v>14.581200000000001</v>
      </c>
      <c r="K398" s="54">
        <f>CHOOSE(CONTROL!$C$42, 14.5778, 14.5778) * CHOOSE(CONTROL!$C$21, $C$9, 100%, $E$9)</f>
        <v>14.5778</v>
      </c>
      <c r="L398" s="10">
        <f>CHOOSE(CONTROL!$C$42, 15.2704, 15.2704) * CHOOSE(CONTROL!$C$21, $C$9, 100%, $E$9)</f>
        <v>15.2704</v>
      </c>
      <c r="M398" s="10">
        <f>CHOOSE(CONTROL!$C$42, 14.4479, 14.4479) * CHOOSE(CONTROL!$C$21, $C$9, 100%, $E$9)</f>
        <v>14.447900000000001</v>
      </c>
      <c r="N398" s="10">
        <f>CHOOSE(CONTROL!$C$42, 14.465, 14.465) * CHOOSE(CONTROL!$C$21, $C$9, 100%, $E$9)</f>
        <v>14.465</v>
      </c>
      <c r="O398" s="10">
        <f>CHOOSE(CONTROL!$C$42, 14.549, 14.549) * CHOOSE(CONTROL!$C$21, $C$9, 100%, $E$9)</f>
        <v>14.548999999999999</v>
      </c>
      <c r="P398" s="10">
        <f>CHOOSE(CONTROL!$C$42, 14.4484, 14.4484) * CHOOSE(CONTROL!$C$21, $C$9, 100%, $E$9)</f>
        <v>14.448399999999999</v>
      </c>
      <c r="Q398" s="10">
        <f>CHOOSE(CONTROL!$C$42, 15.1443, 15.1443) * CHOOSE(CONTROL!$C$21, $C$9, 100%, $E$9)</f>
        <v>15.144299999999999</v>
      </c>
      <c r="R398" s="10">
        <f>CHOOSE(CONTROL!$C$42, 15.7692, 15.7692) * CHOOSE(CONTROL!$C$21, $C$9, 100%, $E$9)</f>
        <v>15.7692</v>
      </c>
      <c r="S398" s="10">
        <f>CHOOSE(CONTROL!$C$42, 14.171, 14.171) * CHOOSE(CONTROL!$C$21, $C$9, 100%, $E$9)</f>
        <v>14.170999999999999</v>
      </c>
      <c r="T398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398" s="58">
        <f>(1000*CHOOSE(CONTROL!$C$42, 695, 695)*CHOOSE(CONTROL!$C$42, 0.5599, 0.5599)*CHOOSE(CONTROL!$C$42, 28, 28))/1000000</f>
        <v>10.895653999999999</v>
      </c>
      <c r="V398" s="58">
        <f>(1000*CHOOSE(CONTROL!$C$42, 500, 500)*CHOOSE(CONTROL!$C$42, 0.275, 0.275)*CHOOSE(CONTROL!$C$42, 28, 28))/1000000</f>
        <v>3.85</v>
      </c>
      <c r="W398" s="58">
        <f>(1000*CHOOSE(CONTROL!$C$42, 0.1146, 0.1146)*CHOOSE(CONTROL!$C$42, 121.5, 121.5)*CHOOSE(CONTROL!$C$42, 28, 28))/1000000</f>
        <v>0.38986920000000003</v>
      </c>
      <c r="X398" s="58">
        <f>(28*0.1790888*100000/1000000)+(28*0.2374*100000/1000000)</f>
        <v>1.16616864</v>
      </c>
      <c r="Y398" s="58"/>
      <c r="Z398" s="10"/>
      <c r="AA398" s="57"/>
      <c r="AB398" s="51">
        <f>(B398*122.58+C398*297.941+D398*89.177+E398*40.302+F398*40+G398*160+H398*0+I398*100+J398*300)/(122.58+297.941+89.177+40.302+0+40+160+100+300)</f>
        <v>14.601285256608699</v>
      </c>
      <c r="AC398" s="27">
        <f>(M398*'RAP TEMPLATE-GAS AVAILABILITY'!O397+N398*'RAP TEMPLATE-GAS AVAILABILITY'!P397+O398*'RAP TEMPLATE-GAS AVAILABILITY'!Q397+P398*'RAP TEMPLATE-GAS AVAILABILITY'!R397)/('RAP TEMPLATE-GAS AVAILABILITY'!O397+'RAP TEMPLATE-GAS AVAILABILITY'!P397+'RAP TEMPLATE-GAS AVAILABILITY'!Q397+'RAP TEMPLATE-GAS AVAILABILITY'!R397)</f>
        <v>14.494778417266186</v>
      </c>
    </row>
    <row r="399" spans="1:29" ht="15.75" x14ac:dyDescent="0.25">
      <c r="A399" s="14">
        <v>53052</v>
      </c>
      <c r="B399" s="10">
        <f>CHOOSE(CONTROL!$C$42, 14.1807, 14.1807) * CHOOSE(CONTROL!$C$21, $C$9, 100%, $E$9)</f>
        <v>14.1807</v>
      </c>
      <c r="C399" s="10">
        <f>CHOOSE(CONTROL!$C$42, 14.1856, 14.1856) * CHOOSE(CONTROL!$C$21, $C$9, 100%, $E$9)</f>
        <v>14.185600000000001</v>
      </c>
      <c r="D399" s="10">
        <f>CHOOSE(CONTROL!$C$42, 14.2461, 14.2461) * CHOOSE(CONTROL!$C$21, $C$9, 100%, $E$9)</f>
        <v>14.2461</v>
      </c>
      <c r="E399" s="10">
        <f>CHOOSE(CONTROL!$C$42, 14.2799, 14.2799) * CHOOSE(CONTROL!$C$21, $C$9, 100%, $E$9)</f>
        <v>14.2799</v>
      </c>
      <c r="F399" s="10">
        <f>CHOOSE(CONTROL!$C$42, 14.1684, 14.1684)*CHOOSE(CONTROL!$C$21, $C$9, 100%, $E$9)</f>
        <v>14.1684</v>
      </c>
      <c r="G399" s="10">
        <f>CHOOSE(CONTROL!$C$42, 14.1856, 14.1856)*CHOOSE(CONTROL!$C$21, $C$9, 100%, $E$9)</f>
        <v>14.185600000000001</v>
      </c>
      <c r="H399" s="10">
        <f>CHOOSE(CONTROL!$C$42, 14.2691, 14.2691) * CHOOSE(CONTROL!$C$21, $C$9, 100%, $E$9)</f>
        <v>14.2691</v>
      </c>
      <c r="I399" s="10">
        <f>CHOOSE(CONTROL!$C$42, 14.1546, 14.1546)* CHOOSE(CONTROL!$C$21, $C$9, 100%, $E$9)</f>
        <v>14.1546</v>
      </c>
      <c r="J399" s="10">
        <f>CHOOSE(CONTROL!$C$42, 14.1614, 14.1614)* CHOOSE(CONTROL!$C$21, $C$9, 100%, $E$9)</f>
        <v>14.1614</v>
      </c>
      <c r="K399" s="54">
        <f>CHOOSE(CONTROL!$C$42, 14.1507, 14.1507) * CHOOSE(CONTROL!$C$21, $C$9, 100%, $E$9)</f>
        <v>14.150700000000001</v>
      </c>
      <c r="L399" s="10">
        <f>CHOOSE(CONTROL!$C$42, 14.8561, 14.8561) * CHOOSE(CONTROL!$C$21, $C$9, 100%, $E$9)</f>
        <v>14.8561</v>
      </c>
      <c r="M399" s="10">
        <f>CHOOSE(CONTROL!$C$42, 14.0323, 14.0323) * CHOOSE(CONTROL!$C$21, $C$9, 100%, $E$9)</f>
        <v>14.032299999999999</v>
      </c>
      <c r="N399" s="10">
        <f>CHOOSE(CONTROL!$C$42, 14.0494, 14.0494) * CHOOSE(CONTROL!$C$21, $C$9, 100%, $E$9)</f>
        <v>14.0494</v>
      </c>
      <c r="O399" s="10">
        <f>CHOOSE(CONTROL!$C$42, 14.1389, 14.1389) * CHOOSE(CONTROL!$C$21, $C$9, 100%, $E$9)</f>
        <v>14.1389</v>
      </c>
      <c r="P399" s="10">
        <f>CHOOSE(CONTROL!$C$42, 14.0256, 14.0256) * CHOOSE(CONTROL!$C$21, $C$9, 100%, $E$9)</f>
        <v>14.025600000000001</v>
      </c>
      <c r="Q399" s="10">
        <f>CHOOSE(CONTROL!$C$42, 14.7342, 14.7342) * CHOOSE(CONTROL!$C$21, $C$9, 100%, $E$9)</f>
        <v>14.7342</v>
      </c>
      <c r="R399" s="10">
        <f>CHOOSE(CONTROL!$C$42, 15.3581, 15.3581) * CHOOSE(CONTROL!$C$21, $C$9, 100%, $E$9)</f>
        <v>15.3581</v>
      </c>
      <c r="S399" s="10">
        <f>CHOOSE(CONTROL!$C$42, 13.7687, 13.7687) * CHOOSE(CONTROL!$C$21, $C$9, 100%, $E$9)</f>
        <v>13.768700000000001</v>
      </c>
      <c r="T399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399" s="58">
        <f>(1000*CHOOSE(CONTROL!$C$42, 695, 695)*CHOOSE(CONTROL!$C$42, 0.5599, 0.5599)*CHOOSE(CONTROL!$C$42, 31, 31))/1000000</f>
        <v>12.063045499999998</v>
      </c>
      <c r="V399" s="58">
        <f>(1000*CHOOSE(CONTROL!$C$42, 500, 500)*CHOOSE(CONTROL!$C$42, 0.275, 0.275)*CHOOSE(CONTROL!$C$42, 31, 31))/1000000</f>
        <v>4.2625000000000002</v>
      </c>
      <c r="W399" s="58">
        <f>(1000*CHOOSE(CONTROL!$C$42, 0.1146, 0.1146)*CHOOSE(CONTROL!$C$42, 121.5, 121.5)*CHOOSE(CONTROL!$C$42, 31, 31))/1000000</f>
        <v>0.43164089999999994</v>
      </c>
      <c r="X399" s="58">
        <f>(31*0.1790888*100000/1000000)+(31*0.2374*100000/1000000)</f>
        <v>1.2911152800000001</v>
      </c>
      <c r="Y399" s="58"/>
      <c r="Z399" s="10"/>
      <c r="AA399" s="57"/>
      <c r="AB399" s="51">
        <f>(B399*122.58+C399*297.941+D399*89.177+E399*40.302+F399*40+G399*160+H399*0+I399*100+J399*300)/(122.58+297.941+89.177+40.302+0+40+160+100+300)</f>
        <v>14.183466995739131</v>
      </c>
      <c r="AC399" s="27">
        <f>(M399*'RAP TEMPLATE-GAS AVAILABILITY'!O398+N399*'RAP TEMPLATE-GAS AVAILABILITY'!P398+O399*'RAP TEMPLATE-GAS AVAILABILITY'!Q398+P399*'RAP TEMPLATE-GAS AVAILABILITY'!R398)/('RAP TEMPLATE-GAS AVAILABILITY'!O398+'RAP TEMPLATE-GAS AVAILABILITY'!P398+'RAP TEMPLATE-GAS AVAILABILITY'!Q398+'RAP TEMPLATE-GAS AVAILABILITY'!R398)</f>
        <v>14.08063525179856</v>
      </c>
    </row>
    <row r="400" spans="1:29" ht="15.75" x14ac:dyDescent="0.25">
      <c r="A400" s="14">
        <v>53082</v>
      </c>
      <c r="B400" s="10">
        <f>CHOOSE(CONTROL!$C$42, 14.1394, 14.1394) * CHOOSE(CONTROL!$C$21, $C$9, 100%, $E$9)</f>
        <v>14.1394</v>
      </c>
      <c r="C400" s="10">
        <f>CHOOSE(CONTROL!$C$42, 14.1438, 14.1438) * CHOOSE(CONTROL!$C$21, $C$9, 100%, $E$9)</f>
        <v>14.143800000000001</v>
      </c>
      <c r="D400" s="10">
        <f>CHOOSE(CONTROL!$C$42, 14.3394, 14.3394) * CHOOSE(CONTROL!$C$21, $C$9, 100%, $E$9)</f>
        <v>14.339399999999999</v>
      </c>
      <c r="E400" s="10">
        <f>CHOOSE(CONTROL!$C$42, 14.3711, 14.3711) * CHOOSE(CONTROL!$C$21, $C$9, 100%, $E$9)</f>
        <v>14.3711</v>
      </c>
      <c r="F400" s="10">
        <f>CHOOSE(CONTROL!$C$42, 14.1072, 14.1072)*CHOOSE(CONTROL!$C$21, $C$9, 100%, $E$9)</f>
        <v>14.107200000000001</v>
      </c>
      <c r="G400" s="10">
        <f>CHOOSE(CONTROL!$C$42, 14.124, 14.124)*CHOOSE(CONTROL!$C$21, $C$9, 100%, $E$9)</f>
        <v>14.124000000000001</v>
      </c>
      <c r="H400" s="10">
        <f>CHOOSE(CONTROL!$C$42, 14.3609, 14.3609) * CHOOSE(CONTROL!$C$21, $C$9, 100%, $E$9)</f>
        <v>14.360900000000001</v>
      </c>
      <c r="I400" s="10">
        <f>CHOOSE(CONTROL!$C$42, 14.1074, 14.1074)* CHOOSE(CONTROL!$C$21, $C$9, 100%, $E$9)</f>
        <v>14.1074</v>
      </c>
      <c r="J400" s="10">
        <f>CHOOSE(CONTROL!$C$42, 14.1002, 14.1002)* CHOOSE(CONTROL!$C$21, $C$9, 100%, $E$9)</f>
        <v>14.100199999999999</v>
      </c>
      <c r="K400" s="54">
        <f>CHOOSE(CONTROL!$C$42, 14.1035, 14.1035) * CHOOSE(CONTROL!$C$21, $C$9, 100%, $E$9)</f>
        <v>14.1035</v>
      </c>
      <c r="L400" s="10">
        <f>CHOOSE(CONTROL!$C$42, 14.9479, 14.9479) * CHOOSE(CONTROL!$C$21, $C$9, 100%, $E$9)</f>
        <v>14.947900000000001</v>
      </c>
      <c r="M400" s="10">
        <f>CHOOSE(CONTROL!$C$42, 13.9717, 13.9717) * CHOOSE(CONTROL!$C$21, $C$9, 100%, $E$9)</f>
        <v>13.9717</v>
      </c>
      <c r="N400" s="10">
        <f>CHOOSE(CONTROL!$C$42, 13.9884, 13.9884) * CHOOSE(CONTROL!$C$21, $C$9, 100%, $E$9)</f>
        <v>13.9884</v>
      </c>
      <c r="O400" s="10">
        <f>CHOOSE(CONTROL!$C$42, 14.2298, 14.2298) * CHOOSE(CONTROL!$C$21, $C$9, 100%, $E$9)</f>
        <v>14.229799999999999</v>
      </c>
      <c r="P400" s="10">
        <f>CHOOSE(CONTROL!$C$42, 13.9789, 13.9789) * CHOOSE(CONTROL!$C$21, $C$9, 100%, $E$9)</f>
        <v>13.978899999999999</v>
      </c>
      <c r="Q400" s="10">
        <f>CHOOSE(CONTROL!$C$42, 14.8251, 14.8251) * CHOOSE(CONTROL!$C$21, $C$9, 100%, $E$9)</f>
        <v>14.825100000000001</v>
      </c>
      <c r="R400" s="10">
        <f>CHOOSE(CONTROL!$C$42, 15.4492, 15.4492) * CHOOSE(CONTROL!$C$21, $C$9, 100%, $E$9)</f>
        <v>15.449199999999999</v>
      </c>
      <c r="S400" s="10">
        <f>CHOOSE(CONTROL!$C$42, 13.7279, 13.7279) * CHOOSE(CONTROL!$C$21, $C$9, 100%, $E$9)</f>
        <v>13.7279</v>
      </c>
      <c r="T400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400" s="58">
        <f>(1000*CHOOSE(CONTROL!$C$42, 695, 695)*CHOOSE(CONTROL!$C$42, 0.5599, 0.5599)*CHOOSE(CONTROL!$C$42, 30, 30))/1000000</f>
        <v>11.673914999999997</v>
      </c>
      <c r="V400" s="58">
        <f>(1000*CHOOSE(CONTROL!$C$42, 500, 500)*CHOOSE(CONTROL!$C$42, 0.275, 0.275)*CHOOSE(CONTROL!$C$42, 30, 30))/1000000</f>
        <v>4.125</v>
      </c>
      <c r="W400" s="58">
        <f>(1000*CHOOSE(CONTROL!$C$42, 0.1146, 0.1146)*CHOOSE(CONTROL!$C$42, 121.5, 121.5)*CHOOSE(CONTROL!$C$42, 30, 30))/1000000</f>
        <v>0.417717</v>
      </c>
      <c r="X400" s="58">
        <f>(30*0.1790888*245000/1000000)+(30*0.2374*100000/1000000)</f>
        <v>2.0285026799999999</v>
      </c>
      <c r="Y400" s="58"/>
      <c r="Z400" s="10"/>
      <c r="AA400" s="57"/>
      <c r="AB400" s="51">
        <f>(B400*141.293+C400*267.993+D400*115.016+E400*89.698+F400*40+G400*185+H400*0+I400*100+J400*300)/(141.293+267.993+115.016+89.698+0+40+185+100+300)</f>
        <v>14.160278446973365</v>
      </c>
      <c r="AC400" s="27">
        <f>(M400*'RAP TEMPLATE-GAS AVAILABILITY'!O399+N400*'RAP TEMPLATE-GAS AVAILABILITY'!P399+O400*'RAP TEMPLATE-GAS AVAILABILITY'!Q399+P400*'RAP TEMPLATE-GAS AVAILABILITY'!R399)/('RAP TEMPLATE-GAS AVAILABILITY'!O399+'RAP TEMPLATE-GAS AVAILABILITY'!P399+'RAP TEMPLATE-GAS AVAILABILITY'!Q399+'RAP TEMPLATE-GAS AVAILABILITY'!R399)</f>
        <v>14.048997122302158</v>
      </c>
    </row>
    <row r="401" spans="1:29" ht="15.75" x14ac:dyDescent="0.25">
      <c r="A401" s="14">
        <v>53113</v>
      </c>
      <c r="B401" s="10">
        <f>CHOOSE(CONTROL!$C$42, 14.2656, 14.2656) * CHOOSE(CONTROL!$C$21, $C$9, 100%, $E$9)</f>
        <v>14.265599999999999</v>
      </c>
      <c r="C401" s="10">
        <f>CHOOSE(CONTROL!$C$42, 14.2735, 14.2735) * CHOOSE(CONTROL!$C$21, $C$9, 100%, $E$9)</f>
        <v>14.2735</v>
      </c>
      <c r="D401" s="10">
        <f>CHOOSE(CONTROL!$C$42, 14.4659, 14.4659) * CHOOSE(CONTROL!$C$21, $C$9, 100%, $E$9)</f>
        <v>14.4659</v>
      </c>
      <c r="E401" s="10">
        <f>CHOOSE(CONTROL!$C$42, 14.4971, 14.4971) * CHOOSE(CONTROL!$C$21, $C$9, 100%, $E$9)</f>
        <v>14.4971</v>
      </c>
      <c r="F401" s="10">
        <f>CHOOSE(CONTROL!$C$42, 14.2318, 14.2318)*CHOOSE(CONTROL!$C$21, $C$9, 100%, $E$9)</f>
        <v>14.2318</v>
      </c>
      <c r="G401" s="10">
        <f>CHOOSE(CONTROL!$C$42, 14.2489, 14.2489)*CHOOSE(CONTROL!$C$21, $C$9, 100%, $E$9)</f>
        <v>14.248900000000001</v>
      </c>
      <c r="H401" s="10">
        <f>CHOOSE(CONTROL!$C$42, 14.4857, 14.4857) * CHOOSE(CONTROL!$C$21, $C$9, 100%, $E$9)</f>
        <v>14.4857</v>
      </c>
      <c r="I401" s="10">
        <f>CHOOSE(CONTROL!$C$42, 14.2321, 14.2321)* CHOOSE(CONTROL!$C$21, $C$9, 100%, $E$9)</f>
        <v>14.232100000000001</v>
      </c>
      <c r="J401" s="10">
        <f>CHOOSE(CONTROL!$C$42, 14.2248, 14.2248)* CHOOSE(CONTROL!$C$21, $C$9, 100%, $E$9)</f>
        <v>14.2248</v>
      </c>
      <c r="K401" s="54">
        <f>CHOOSE(CONTROL!$C$42, 14.2282, 14.2282) * CHOOSE(CONTROL!$C$21, $C$9, 100%, $E$9)</f>
        <v>14.228199999999999</v>
      </c>
      <c r="L401" s="10">
        <f>CHOOSE(CONTROL!$C$42, 15.0727, 15.0727) * CHOOSE(CONTROL!$C$21, $C$9, 100%, $E$9)</f>
        <v>15.072699999999999</v>
      </c>
      <c r="M401" s="10">
        <f>CHOOSE(CONTROL!$C$42, 14.0951, 14.0951) * CHOOSE(CONTROL!$C$21, $C$9, 100%, $E$9)</f>
        <v>14.0951</v>
      </c>
      <c r="N401" s="10">
        <f>CHOOSE(CONTROL!$C$42, 14.112, 14.112) * CHOOSE(CONTROL!$C$21, $C$9, 100%, $E$9)</f>
        <v>14.112</v>
      </c>
      <c r="O401" s="10">
        <f>CHOOSE(CONTROL!$C$42, 14.3533, 14.3533) * CHOOSE(CONTROL!$C$21, $C$9, 100%, $E$9)</f>
        <v>14.353300000000001</v>
      </c>
      <c r="P401" s="10">
        <f>CHOOSE(CONTROL!$C$42, 14.1024, 14.1024) * CHOOSE(CONTROL!$C$21, $C$9, 100%, $E$9)</f>
        <v>14.102399999999999</v>
      </c>
      <c r="Q401" s="10">
        <f>CHOOSE(CONTROL!$C$42, 14.9486, 14.9486) * CHOOSE(CONTROL!$C$21, $C$9, 100%, $E$9)</f>
        <v>14.948600000000001</v>
      </c>
      <c r="R401" s="10">
        <f>CHOOSE(CONTROL!$C$42, 15.573, 15.573) * CHOOSE(CONTROL!$C$21, $C$9, 100%, $E$9)</f>
        <v>15.573</v>
      </c>
      <c r="S401" s="10">
        <f>CHOOSE(CONTROL!$C$42, 13.849, 13.849) * CHOOSE(CONTROL!$C$21, $C$9, 100%, $E$9)</f>
        <v>13.849</v>
      </c>
      <c r="T401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401" s="58">
        <f>(1000*CHOOSE(CONTROL!$C$42, 695, 695)*CHOOSE(CONTROL!$C$42, 0.5599, 0.5599)*CHOOSE(CONTROL!$C$42, 31, 31))/1000000</f>
        <v>12.063045499999998</v>
      </c>
      <c r="V401" s="58">
        <f>(1000*CHOOSE(CONTROL!$C$42, 500, 500)*CHOOSE(CONTROL!$C$42, 0.275, 0.275)*CHOOSE(CONTROL!$C$42, 31, 31))/1000000</f>
        <v>4.2625000000000002</v>
      </c>
      <c r="W401" s="58">
        <f>(1000*CHOOSE(CONTROL!$C$42, 0.1146, 0.1146)*CHOOSE(CONTROL!$C$42, 121.5, 121.5)*CHOOSE(CONTROL!$C$42, 31, 31))/1000000</f>
        <v>0.43164089999999994</v>
      </c>
      <c r="X401" s="58">
        <f>(31*0.1790888*245000/1000000)+(31*0.2374*100000/1000000)</f>
        <v>2.0961194359999999</v>
      </c>
      <c r="Y401" s="58"/>
      <c r="Z401" s="10"/>
      <c r="AA401" s="57"/>
      <c r="AB401" s="51">
        <f>(B401*194.205+C401*267.466+D401*133.845+E401*53.484+F401*40+G401*185+H401*0+I401*100+J401*300)/(194.205+267.466+133.845+53.484+0+40+185+100+300)</f>
        <v>14.282297159262164</v>
      </c>
      <c r="AC401" s="27">
        <f>(M401*'RAP TEMPLATE-GAS AVAILABILITY'!O400+N401*'RAP TEMPLATE-GAS AVAILABILITY'!P400+O401*'RAP TEMPLATE-GAS AVAILABILITY'!Q400+P401*'RAP TEMPLATE-GAS AVAILABILITY'!R400)/('RAP TEMPLATE-GAS AVAILABILITY'!O400+'RAP TEMPLATE-GAS AVAILABILITY'!P400+'RAP TEMPLATE-GAS AVAILABILITY'!Q400+'RAP TEMPLATE-GAS AVAILABILITY'!R400)</f>
        <v>14.172485611510792</v>
      </c>
    </row>
    <row r="402" spans="1:29" ht="15.75" x14ac:dyDescent="0.25">
      <c r="A402" s="14">
        <v>53143</v>
      </c>
      <c r="B402" s="10">
        <f>CHOOSE(CONTROL!$C$42, 14.6701, 14.6701) * CHOOSE(CONTROL!$C$21, $C$9, 100%, $E$9)</f>
        <v>14.6701</v>
      </c>
      <c r="C402" s="10">
        <f>CHOOSE(CONTROL!$C$42, 14.678, 14.678) * CHOOSE(CONTROL!$C$21, $C$9, 100%, $E$9)</f>
        <v>14.678000000000001</v>
      </c>
      <c r="D402" s="10">
        <f>CHOOSE(CONTROL!$C$42, 14.8704, 14.8704) * CHOOSE(CONTROL!$C$21, $C$9, 100%, $E$9)</f>
        <v>14.8704</v>
      </c>
      <c r="E402" s="10">
        <f>CHOOSE(CONTROL!$C$42, 14.9016, 14.9016) * CHOOSE(CONTROL!$C$21, $C$9, 100%, $E$9)</f>
        <v>14.9016</v>
      </c>
      <c r="F402" s="10">
        <f>CHOOSE(CONTROL!$C$42, 14.6366, 14.6366)*CHOOSE(CONTROL!$C$21, $C$9, 100%, $E$9)</f>
        <v>14.6366</v>
      </c>
      <c r="G402" s="10">
        <f>CHOOSE(CONTROL!$C$42, 14.6537, 14.6537)*CHOOSE(CONTROL!$C$21, $C$9, 100%, $E$9)</f>
        <v>14.653700000000001</v>
      </c>
      <c r="H402" s="10">
        <f>CHOOSE(CONTROL!$C$42, 14.8902, 14.8902) * CHOOSE(CONTROL!$C$21, $C$9, 100%, $E$9)</f>
        <v>14.8902</v>
      </c>
      <c r="I402" s="10">
        <f>CHOOSE(CONTROL!$C$42, 14.6366, 14.6366)* CHOOSE(CONTROL!$C$21, $C$9, 100%, $E$9)</f>
        <v>14.6366</v>
      </c>
      <c r="J402" s="10">
        <f>CHOOSE(CONTROL!$C$42, 14.6296, 14.6296)* CHOOSE(CONTROL!$C$21, $C$9, 100%, $E$9)</f>
        <v>14.6296</v>
      </c>
      <c r="K402" s="54">
        <f>CHOOSE(CONTROL!$C$42, 14.6328, 14.6328) * CHOOSE(CONTROL!$C$21, $C$9, 100%, $E$9)</f>
        <v>14.6328</v>
      </c>
      <c r="L402" s="10">
        <f>CHOOSE(CONTROL!$C$42, 15.4772, 15.4772) * CHOOSE(CONTROL!$C$21, $C$9, 100%, $E$9)</f>
        <v>15.4772</v>
      </c>
      <c r="M402" s="10">
        <f>CHOOSE(CONTROL!$C$42, 14.4957, 14.4957) * CHOOSE(CONTROL!$C$21, $C$9, 100%, $E$9)</f>
        <v>14.495699999999999</v>
      </c>
      <c r="N402" s="10">
        <f>CHOOSE(CONTROL!$C$42, 14.5128, 14.5128) * CHOOSE(CONTROL!$C$21, $C$9, 100%, $E$9)</f>
        <v>14.5128</v>
      </c>
      <c r="O402" s="10">
        <f>CHOOSE(CONTROL!$C$42, 14.7538, 14.7538) * CHOOSE(CONTROL!$C$21, $C$9, 100%, $E$9)</f>
        <v>14.7538</v>
      </c>
      <c r="P402" s="10">
        <f>CHOOSE(CONTROL!$C$42, 14.5028, 14.5028) * CHOOSE(CONTROL!$C$21, $C$9, 100%, $E$9)</f>
        <v>14.502800000000001</v>
      </c>
      <c r="Q402" s="10">
        <f>CHOOSE(CONTROL!$C$42, 15.3491, 15.3491) * CHOOSE(CONTROL!$C$21, $C$9, 100%, $E$9)</f>
        <v>15.3491</v>
      </c>
      <c r="R402" s="10">
        <f>CHOOSE(CONTROL!$C$42, 15.9744, 15.9744) * CHOOSE(CONTROL!$C$21, $C$9, 100%, $E$9)</f>
        <v>15.974399999999999</v>
      </c>
      <c r="S402" s="10">
        <f>CHOOSE(CONTROL!$C$42, 14.2419, 14.2419) * CHOOSE(CONTROL!$C$21, $C$9, 100%, $E$9)</f>
        <v>14.241899999999999</v>
      </c>
      <c r="T402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402" s="58">
        <f>(1000*CHOOSE(CONTROL!$C$42, 695, 695)*CHOOSE(CONTROL!$C$42, 0.5599, 0.5599)*CHOOSE(CONTROL!$C$42, 30, 30))/1000000</f>
        <v>11.673914999999997</v>
      </c>
      <c r="V402" s="58">
        <f>(1000*CHOOSE(CONTROL!$C$42, 500, 500)*CHOOSE(CONTROL!$C$42, 0.275, 0.275)*CHOOSE(CONTROL!$C$42, 30, 30))/1000000</f>
        <v>4.125</v>
      </c>
      <c r="W402" s="58">
        <f>(1000*CHOOSE(CONTROL!$C$42, 0.1146, 0.1146)*CHOOSE(CONTROL!$C$42, 121.5, 121.5)*CHOOSE(CONTROL!$C$42, 30, 30))/1000000</f>
        <v>0.417717</v>
      </c>
      <c r="X402" s="58">
        <f>(30*0.1790888*245000/1000000)+(30*0.2374*100000/1000000)</f>
        <v>2.0285026799999999</v>
      </c>
      <c r="Y402" s="58"/>
      <c r="Z402" s="10"/>
      <c r="AA402" s="57"/>
      <c r="AB402" s="51">
        <f>(B402*194.205+C402*267.466+D402*133.845+E402*53.484+F402*40+G402*185+H402*0+I402*100+J402*300)/(194.205+267.466+133.845+53.484+0+40+185+100+300)</f>
        <v>14.686920785635794</v>
      </c>
      <c r="AC402" s="27">
        <f>(M402*'RAP TEMPLATE-GAS AVAILABILITY'!O401+N402*'RAP TEMPLATE-GAS AVAILABILITY'!P401+O402*'RAP TEMPLATE-GAS AVAILABILITY'!Q401+P402*'RAP TEMPLATE-GAS AVAILABILITY'!R401)/('RAP TEMPLATE-GAS AVAILABILITY'!O401+'RAP TEMPLATE-GAS AVAILABILITY'!P401+'RAP TEMPLATE-GAS AVAILABILITY'!Q401+'RAP TEMPLATE-GAS AVAILABILITY'!R401)</f>
        <v>14.573074820143885</v>
      </c>
    </row>
    <row r="403" spans="1:29" ht="15.75" x14ac:dyDescent="0.25">
      <c r="A403" s="14">
        <v>53174</v>
      </c>
      <c r="B403" s="10">
        <f>CHOOSE(CONTROL!$C$42, 14.3887, 14.3887) * CHOOSE(CONTROL!$C$21, $C$9, 100%, $E$9)</f>
        <v>14.3887</v>
      </c>
      <c r="C403" s="10">
        <f>CHOOSE(CONTROL!$C$42, 14.3967, 14.3967) * CHOOSE(CONTROL!$C$21, $C$9, 100%, $E$9)</f>
        <v>14.396699999999999</v>
      </c>
      <c r="D403" s="10">
        <f>CHOOSE(CONTROL!$C$42, 14.5891, 14.5891) * CHOOSE(CONTROL!$C$21, $C$9, 100%, $E$9)</f>
        <v>14.5891</v>
      </c>
      <c r="E403" s="10">
        <f>CHOOSE(CONTROL!$C$42, 14.6202, 14.6202) * CHOOSE(CONTROL!$C$21, $C$9, 100%, $E$9)</f>
        <v>14.620200000000001</v>
      </c>
      <c r="F403" s="10">
        <f>CHOOSE(CONTROL!$C$42, 14.3556, 14.3556)*CHOOSE(CONTROL!$C$21, $C$9, 100%, $E$9)</f>
        <v>14.355600000000001</v>
      </c>
      <c r="G403" s="10">
        <f>CHOOSE(CONTROL!$C$42, 14.3729, 14.3729)*CHOOSE(CONTROL!$C$21, $C$9, 100%, $E$9)</f>
        <v>14.3729</v>
      </c>
      <c r="H403" s="10">
        <f>CHOOSE(CONTROL!$C$42, 14.6089, 14.6089) * CHOOSE(CONTROL!$C$21, $C$9, 100%, $E$9)</f>
        <v>14.6089</v>
      </c>
      <c r="I403" s="10">
        <f>CHOOSE(CONTROL!$C$42, 14.3553, 14.3553)* CHOOSE(CONTROL!$C$21, $C$9, 100%, $E$9)</f>
        <v>14.3553</v>
      </c>
      <c r="J403" s="10">
        <f>CHOOSE(CONTROL!$C$42, 14.3486, 14.3486)* CHOOSE(CONTROL!$C$21, $C$9, 100%, $E$9)</f>
        <v>14.348599999999999</v>
      </c>
      <c r="K403" s="54">
        <f>CHOOSE(CONTROL!$C$42, 14.3514, 14.3514) * CHOOSE(CONTROL!$C$21, $C$9, 100%, $E$9)</f>
        <v>14.3514</v>
      </c>
      <c r="L403" s="10">
        <f>CHOOSE(CONTROL!$C$42, 15.1959, 15.1959) * CHOOSE(CONTROL!$C$21, $C$9, 100%, $E$9)</f>
        <v>15.1959</v>
      </c>
      <c r="M403" s="10">
        <f>CHOOSE(CONTROL!$C$42, 14.2176, 14.2176) * CHOOSE(CONTROL!$C$21, $C$9, 100%, $E$9)</f>
        <v>14.217599999999999</v>
      </c>
      <c r="N403" s="10">
        <f>CHOOSE(CONTROL!$C$42, 14.2348, 14.2348) * CHOOSE(CONTROL!$C$21, $C$9, 100%, $E$9)</f>
        <v>14.2348</v>
      </c>
      <c r="O403" s="10">
        <f>CHOOSE(CONTROL!$C$42, 14.4753, 14.4753) * CHOOSE(CONTROL!$C$21, $C$9, 100%, $E$9)</f>
        <v>14.475300000000001</v>
      </c>
      <c r="P403" s="10">
        <f>CHOOSE(CONTROL!$C$42, 14.2243, 14.2243) * CHOOSE(CONTROL!$C$21, $C$9, 100%, $E$9)</f>
        <v>14.224299999999999</v>
      </c>
      <c r="Q403" s="10">
        <f>CHOOSE(CONTROL!$C$42, 15.0706, 15.0706) * CHOOSE(CONTROL!$C$21, $C$9, 100%, $E$9)</f>
        <v>15.070600000000001</v>
      </c>
      <c r="R403" s="10">
        <f>CHOOSE(CONTROL!$C$42, 15.6952, 15.6952) * CHOOSE(CONTROL!$C$21, $C$9, 100%, $E$9)</f>
        <v>15.6952</v>
      </c>
      <c r="S403" s="10">
        <f>CHOOSE(CONTROL!$C$42, 13.9687, 13.9687) * CHOOSE(CONTROL!$C$21, $C$9, 100%, $E$9)</f>
        <v>13.9687</v>
      </c>
      <c r="T403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403" s="58">
        <f>(1000*CHOOSE(CONTROL!$C$42, 695, 695)*CHOOSE(CONTROL!$C$42, 0.5599, 0.5599)*CHOOSE(CONTROL!$C$42, 31, 31))/1000000</f>
        <v>12.063045499999998</v>
      </c>
      <c r="V403" s="58">
        <f>(1000*CHOOSE(CONTROL!$C$42, 500, 500)*CHOOSE(CONTROL!$C$42, 0.275, 0.275)*CHOOSE(CONTROL!$C$42, 31, 31))/1000000</f>
        <v>4.2625000000000002</v>
      </c>
      <c r="W403" s="58">
        <f>(1000*CHOOSE(CONTROL!$C$42, 0.1146, 0.1146)*CHOOSE(CONTROL!$C$42, 121.5, 121.5)*CHOOSE(CONTROL!$C$42, 31, 31))/1000000</f>
        <v>0.43164089999999994</v>
      </c>
      <c r="X403" s="58">
        <f>(31*0.1790888*245000/1000000)+(31*0.2374*100000/1000000)</f>
        <v>2.0961194359999999</v>
      </c>
      <c r="Y403" s="58"/>
      <c r="Z403" s="10"/>
      <c r="AA403" s="57"/>
      <c r="AB403" s="51">
        <f>(B403*194.205+C403*267.466+D403*133.845+E403*53.484+F403*40+G403*185+H403*0+I403*100+J403*300)/(194.205+267.466+133.845+53.484+0+40+185+100+300)</f>
        <v>14.405754012558869</v>
      </c>
      <c r="AC403" s="27">
        <f>(M403*'RAP TEMPLATE-GAS AVAILABILITY'!O402+N403*'RAP TEMPLATE-GAS AVAILABILITY'!P402+O403*'RAP TEMPLATE-GAS AVAILABILITY'!Q402+P403*'RAP TEMPLATE-GAS AVAILABILITY'!R402)/('RAP TEMPLATE-GAS AVAILABILITY'!O402+'RAP TEMPLATE-GAS AVAILABILITY'!P402+'RAP TEMPLATE-GAS AVAILABILITY'!Q402+'RAP TEMPLATE-GAS AVAILABILITY'!R402)</f>
        <v>14.294828057553959</v>
      </c>
    </row>
    <row r="404" spans="1:29" ht="15.75" x14ac:dyDescent="0.25">
      <c r="A404" s="14">
        <v>53205</v>
      </c>
      <c r="B404" s="10">
        <f>CHOOSE(CONTROL!$C$42, 13.6783, 13.6783) * CHOOSE(CONTROL!$C$21, $C$9, 100%, $E$9)</f>
        <v>13.6783</v>
      </c>
      <c r="C404" s="10">
        <f>CHOOSE(CONTROL!$C$42, 13.6862, 13.6862) * CHOOSE(CONTROL!$C$21, $C$9, 100%, $E$9)</f>
        <v>13.686199999999999</v>
      </c>
      <c r="D404" s="10">
        <f>CHOOSE(CONTROL!$C$42, 13.8786, 13.8786) * CHOOSE(CONTROL!$C$21, $C$9, 100%, $E$9)</f>
        <v>13.8786</v>
      </c>
      <c r="E404" s="10">
        <f>CHOOSE(CONTROL!$C$42, 13.9098, 13.9098) * CHOOSE(CONTROL!$C$21, $C$9, 100%, $E$9)</f>
        <v>13.909800000000001</v>
      </c>
      <c r="F404" s="10">
        <f>CHOOSE(CONTROL!$C$42, 13.6453, 13.6453)*CHOOSE(CONTROL!$C$21, $C$9, 100%, $E$9)</f>
        <v>13.645300000000001</v>
      </c>
      <c r="G404" s="10">
        <f>CHOOSE(CONTROL!$C$42, 13.6627, 13.6627)*CHOOSE(CONTROL!$C$21, $C$9, 100%, $E$9)</f>
        <v>13.662699999999999</v>
      </c>
      <c r="H404" s="10">
        <f>CHOOSE(CONTROL!$C$42, 13.8984, 13.8984) * CHOOSE(CONTROL!$C$21, $C$9, 100%, $E$9)</f>
        <v>13.898400000000001</v>
      </c>
      <c r="I404" s="10">
        <f>CHOOSE(CONTROL!$C$42, 13.6448, 13.6448)* CHOOSE(CONTROL!$C$21, $C$9, 100%, $E$9)</f>
        <v>13.6448</v>
      </c>
      <c r="J404" s="10">
        <f>CHOOSE(CONTROL!$C$42, 13.6383, 13.6383)* CHOOSE(CONTROL!$C$21, $C$9, 100%, $E$9)</f>
        <v>13.638299999999999</v>
      </c>
      <c r="K404" s="54">
        <f>CHOOSE(CONTROL!$C$42, 13.641, 13.641) * CHOOSE(CONTROL!$C$21, $C$9, 100%, $E$9)</f>
        <v>13.641</v>
      </c>
      <c r="L404" s="10">
        <f>CHOOSE(CONTROL!$C$42, 14.4854, 14.4854) * CHOOSE(CONTROL!$C$21, $C$9, 100%, $E$9)</f>
        <v>14.4854</v>
      </c>
      <c r="M404" s="10">
        <f>CHOOSE(CONTROL!$C$42, 13.5145, 13.5145) * CHOOSE(CONTROL!$C$21, $C$9, 100%, $E$9)</f>
        <v>13.5145</v>
      </c>
      <c r="N404" s="10">
        <f>CHOOSE(CONTROL!$C$42, 13.5317, 13.5317) * CHOOSE(CONTROL!$C$21, $C$9, 100%, $E$9)</f>
        <v>13.531700000000001</v>
      </c>
      <c r="O404" s="10">
        <f>CHOOSE(CONTROL!$C$42, 13.772, 13.772) * CHOOSE(CONTROL!$C$21, $C$9, 100%, $E$9)</f>
        <v>13.772</v>
      </c>
      <c r="P404" s="10">
        <f>CHOOSE(CONTROL!$C$42, 13.521, 13.521) * CHOOSE(CONTROL!$C$21, $C$9, 100%, $E$9)</f>
        <v>13.521000000000001</v>
      </c>
      <c r="Q404" s="10">
        <f>CHOOSE(CONTROL!$C$42, 14.3673, 14.3673) * CHOOSE(CONTROL!$C$21, $C$9, 100%, $E$9)</f>
        <v>14.3673</v>
      </c>
      <c r="R404" s="10">
        <f>CHOOSE(CONTROL!$C$42, 14.9902, 14.9902) * CHOOSE(CONTROL!$C$21, $C$9, 100%, $E$9)</f>
        <v>14.9902</v>
      </c>
      <c r="S404" s="10">
        <f>CHOOSE(CONTROL!$C$42, 13.2787, 13.2787) * CHOOSE(CONTROL!$C$21, $C$9, 100%, $E$9)</f>
        <v>13.278700000000001</v>
      </c>
      <c r="T404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404" s="58">
        <f>(1000*CHOOSE(CONTROL!$C$42, 695, 695)*CHOOSE(CONTROL!$C$42, 0.5599, 0.5599)*CHOOSE(CONTROL!$C$42, 31, 31))/1000000</f>
        <v>12.063045499999998</v>
      </c>
      <c r="V404" s="58">
        <f>(1000*CHOOSE(CONTROL!$C$42, 500, 500)*CHOOSE(CONTROL!$C$42, 0.275, 0.275)*CHOOSE(CONTROL!$C$42, 31, 31))/1000000</f>
        <v>4.2625000000000002</v>
      </c>
      <c r="W404" s="58">
        <f>(1000*CHOOSE(CONTROL!$C$42, 0.1146, 0.1146)*CHOOSE(CONTROL!$C$42, 121.5, 121.5)*CHOOSE(CONTROL!$C$42, 31, 31))/1000000</f>
        <v>0.43164089999999994</v>
      </c>
      <c r="X404" s="58">
        <f>(31*0.1790888*245000/1000000)+(31*0.2374*100000/1000000)</f>
        <v>2.0961194359999999</v>
      </c>
      <c r="Y404" s="58"/>
      <c r="Z404" s="10"/>
      <c r="AA404" s="57"/>
      <c r="AB404" s="51">
        <f>(B404*194.205+C404*267.466+D404*133.845+E404*53.484+F404*40+G404*185+H404*0+I404*100+J404*300)/(194.205+267.466+133.845+53.484+0+40+185+100+300)</f>
        <v>13.695370393171112</v>
      </c>
      <c r="AC404" s="27">
        <f>(M404*'RAP TEMPLATE-GAS AVAILABILITY'!O403+N404*'RAP TEMPLATE-GAS AVAILABILITY'!P403+O404*'RAP TEMPLATE-GAS AVAILABILITY'!Q403+P404*'RAP TEMPLATE-GAS AVAILABILITY'!R403)/('RAP TEMPLATE-GAS AVAILABILITY'!O403+'RAP TEMPLATE-GAS AVAILABILITY'!P403+'RAP TEMPLATE-GAS AVAILABILITY'!Q403+'RAP TEMPLATE-GAS AVAILABILITY'!R403)</f>
        <v>13.591643165467625</v>
      </c>
    </row>
    <row r="405" spans="1:29" ht="15.75" x14ac:dyDescent="0.25">
      <c r="A405" s="14">
        <v>53235</v>
      </c>
      <c r="B405" s="10">
        <f>CHOOSE(CONTROL!$C$42, 12.8098, 12.8098) * CHOOSE(CONTROL!$C$21, $C$9, 100%, $E$9)</f>
        <v>12.809799999999999</v>
      </c>
      <c r="C405" s="10">
        <f>CHOOSE(CONTROL!$C$42, 12.8177, 12.8177) * CHOOSE(CONTROL!$C$21, $C$9, 100%, $E$9)</f>
        <v>12.8177</v>
      </c>
      <c r="D405" s="10">
        <f>CHOOSE(CONTROL!$C$42, 13.0102, 13.0102) * CHOOSE(CONTROL!$C$21, $C$9, 100%, $E$9)</f>
        <v>13.010199999999999</v>
      </c>
      <c r="E405" s="10">
        <f>CHOOSE(CONTROL!$C$42, 13.0413, 13.0413) * CHOOSE(CONTROL!$C$21, $C$9, 100%, $E$9)</f>
        <v>13.0413</v>
      </c>
      <c r="F405" s="10">
        <f>CHOOSE(CONTROL!$C$42, 12.7767, 12.7767)*CHOOSE(CONTROL!$C$21, $C$9, 100%, $E$9)</f>
        <v>12.7767</v>
      </c>
      <c r="G405" s="10">
        <f>CHOOSE(CONTROL!$C$42, 12.794, 12.794)*CHOOSE(CONTROL!$C$21, $C$9, 100%, $E$9)</f>
        <v>12.794</v>
      </c>
      <c r="H405" s="10">
        <f>CHOOSE(CONTROL!$C$42, 13.03, 13.03) * CHOOSE(CONTROL!$C$21, $C$9, 100%, $E$9)</f>
        <v>13.03</v>
      </c>
      <c r="I405" s="10">
        <f>CHOOSE(CONTROL!$C$42, 12.7764, 12.7764)* CHOOSE(CONTROL!$C$21, $C$9, 100%, $E$9)</f>
        <v>12.776400000000001</v>
      </c>
      <c r="J405" s="10">
        <f>CHOOSE(CONTROL!$C$42, 12.7697, 12.7697)* CHOOSE(CONTROL!$C$21, $C$9, 100%, $E$9)</f>
        <v>12.7697</v>
      </c>
      <c r="K405" s="54">
        <f>CHOOSE(CONTROL!$C$42, 12.7725, 12.7725) * CHOOSE(CONTROL!$C$21, $C$9, 100%, $E$9)</f>
        <v>12.772500000000001</v>
      </c>
      <c r="L405" s="10">
        <f>CHOOSE(CONTROL!$C$42, 13.617, 13.617) * CHOOSE(CONTROL!$C$21, $C$9, 100%, $E$9)</f>
        <v>13.617000000000001</v>
      </c>
      <c r="M405" s="10">
        <f>CHOOSE(CONTROL!$C$42, 12.6547, 12.6547) * CHOOSE(CONTROL!$C$21, $C$9, 100%, $E$9)</f>
        <v>12.6547</v>
      </c>
      <c r="N405" s="10">
        <f>CHOOSE(CONTROL!$C$42, 12.6718, 12.6718) * CHOOSE(CONTROL!$C$21, $C$9, 100%, $E$9)</f>
        <v>12.671799999999999</v>
      </c>
      <c r="O405" s="10">
        <f>CHOOSE(CONTROL!$C$42, 12.9123, 12.9123) * CHOOSE(CONTROL!$C$21, $C$9, 100%, $E$9)</f>
        <v>12.9123</v>
      </c>
      <c r="P405" s="10">
        <f>CHOOSE(CONTROL!$C$42, 12.6613, 12.6613) * CHOOSE(CONTROL!$C$21, $C$9, 100%, $E$9)</f>
        <v>12.661300000000001</v>
      </c>
      <c r="Q405" s="10">
        <f>CHOOSE(CONTROL!$C$42, 13.5076, 13.5076) * CHOOSE(CONTROL!$C$21, $C$9, 100%, $E$9)</f>
        <v>13.5076</v>
      </c>
      <c r="R405" s="10">
        <f>CHOOSE(CONTROL!$C$42, 14.1284, 14.1284) * CHOOSE(CONTROL!$C$21, $C$9, 100%, $E$9)</f>
        <v>14.128399999999999</v>
      </c>
      <c r="S405" s="10">
        <f>CHOOSE(CONTROL!$C$42, 12.4354, 12.4354) * CHOOSE(CONTROL!$C$21, $C$9, 100%, $E$9)</f>
        <v>12.4354</v>
      </c>
      <c r="T405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405" s="58">
        <f>(1000*CHOOSE(CONTROL!$C$42, 695, 695)*CHOOSE(CONTROL!$C$42, 0.5599, 0.5599)*CHOOSE(CONTROL!$C$42, 30, 30))/1000000</f>
        <v>11.673914999999997</v>
      </c>
      <c r="V405" s="58">
        <f>(1000*CHOOSE(CONTROL!$C$42, 500, 500)*CHOOSE(CONTROL!$C$42, 0.275, 0.275)*CHOOSE(CONTROL!$C$42, 30, 30))/1000000</f>
        <v>4.125</v>
      </c>
      <c r="W405" s="58">
        <f>(1000*CHOOSE(CONTROL!$C$42, 0.1146, 0.1146)*CHOOSE(CONTROL!$C$42, 121.5, 121.5)*CHOOSE(CONTROL!$C$42, 30, 30))/1000000</f>
        <v>0.417717</v>
      </c>
      <c r="X405" s="58">
        <f>(30*0.1790888*245000/1000000)+(30*0.2374*100000/1000000)</f>
        <v>2.0285026799999999</v>
      </c>
      <c r="Y405" s="58"/>
      <c r="Z405" s="10"/>
      <c r="AA405" s="57"/>
      <c r="AB405" s="51">
        <f>(B405*194.205+C405*267.466+D405*133.845+E405*53.484+F405*40+G405*185+H405*0+I405*100+J405*300)/(194.205+267.466+133.845+53.484+0+40+185+100+300)</f>
        <v>12.826833018367346</v>
      </c>
      <c r="AC405" s="27">
        <f>(M405*'RAP TEMPLATE-GAS AVAILABILITY'!O404+N405*'RAP TEMPLATE-GAS AVAILABILITY'!P404+O405*'RAP TEMPLATE-GAS AVAILABILITY'!Q404+P405*'RAP TEMPLATE-GAS AVAILABILITY'!R404)/('RAP TEMPLATE-GAS AVAILABILITY'!O404+'RAP TEMPLATE-GAS AVAILABILITY'!P404+'RAP TEMPLATE-GAS AVAILABILITY'!Q404+'RAP TEMPLATE-GAS AVAILABILITY'!R404)</f>
        <v>12.731862589928058</v>
      </c>
    </row>
    <row r="406" spans="1:29" ht="15.75" x14ac:dyDescent="0.25">
      <c r="A406" s="14">
        <v>53266</v>
      </c>
      <c r="B406" s="10">
        <f>CHOOSE(CONTROL!$C$42, 12.5481, 12.5481) * CHOOSE(CONTROL!$C$21, $C$9, 100%, $E$9)</f>
        <v>12.5481</v>
      </c>
      <c r="C406" s="10">
        <f>CHOOSE(CONTROL!$C$42, 12.5533, 12.5533) * CHOOSE(CONTROL!$C$21, $C$9, 100%, $E$9)</f>
        <v>12.5533</v>
      </c>
      <c r="D406" s="10">
        <f>CHOOSE(CONTROL!$C$42, 12.7507, 12.7507) * CHOOSE(CONTROL!$C$21, $C$9, 100%, $E$9)</f>
        <v>12.7507</v>
      </c>
      <c r="E406" s="10">
        <f>CHOOSE(CONTROL!$C$42, 12.7795, 12.7795) * CHOOSE(CONTROL!$C$21, $C$9, 100%, $E$9)</f>
        <v>12.779500000000001</v>
      </c>
      <c r="F406" s="10">
        <f>CHOOSE(CONTROL!$C$42, 12.517, 12.517)*CHOOSE(CONTROL!$C$21, $C$9, 100%, $E$9)</f>
        <v>12.516999999999999</v>
      </c>
      <c r="G406" s="10">
        <f>CHOOSE(CONTROL!$C$42, 12.534, 12.534)*CHOOSE(CONTROL!$C$21, $C$9, 100%, $E$9)</f>
        <v>12.534000000000001</v>
      </c>
      <c r="H406" s="10">
        <f>CHOOSE(CONTROL!$C$42, 12.77, 12.77) * CHOOSE(CONTROL!$C$21, $C$9, 100%, $E$9)</f>
        <v>12.77</v>
      </c>
      <c r="I406" s="10">
        <f>CHOOSE(CONTROL!$C$42, 12.5164, 12.5164)* CHOOSE(CONTROL!$C$21, $C$9, 100%, $E$9)</f>
        <v>12.516400000000001</v>
      </c>
      <c r="J406" s="10">
        <f>CHOOSE(CONTROL!$C$42, 12.51, 12.51)* CHOOSE(CONTROL!$C$21, $C$9, 100%, $E$9)</f>
        <v>12.51</v>
      </c>
      <c r="K406" s="54">
        <f>CHOOSE(CONTROL!$C$42, 12.5125, 12.5125) * CHOOSE(CONTROL!$C$21, $C$9, 100%, $E$9)</f>
        <v>12.512499999999999</v>
      </c>
      <c r="L406" s="10">
        <f>CHOOSE(CONTROL!$C$42, 13.357, 13.357) * CHOOSE(CONTROL!$C$21, $C$9, 100%, $E$9)</f>
        <v>13.356999999999999</v>
      </c>
      <c r="M406" s="10">
        <f>CHOOSE(CONTROL!$C$42, 12.3976, 12.3976) * CHOOSE(CONTROL!$C$21, $C$9, 100%, $E$9)</f>
        <v>12.397600000000001</v>
      </c>
      <c r="N406" s="10">
        <f>CHOOSE(CONTROL!$C$42, 12.4144, 12.4144) * CHOOSE(CONTROL!$C$21, $C$9, 100%, $E$9)</f>
        <v>12.414400000000001</v>
      </c>
      <c r="O406" s="10">
        <f>CHOOSE(CONTROL!$C$42, 12.6549, 12.6549) * CHOOSE(CONTROL!$C$21, $C$9, 100%, $E$9)</f>
        <v>12.6549</v>
      </c>
      <c r="P406" s="10">
        <f>CHOOSE(CONTROL!$C$42, 12.404, 12.404) * CHOOSE(CONTROL!$C$21, $C$9, 100%, $E$9)</f>
        <v>12.404</v>
      </c>
      <c r="Q406" s="10">
        <f>CHOOSE(CONTROL!$C$42, 13.2502, 13.2502) * CHOOSE(CONTROL!$C$21, $C$9, 100%, $E$9)</f>
        <v>13.2502</v>
      </c>
      <c r="R406" s="10">
        <f>CHOOSE(CONTROL!$C$42, 13.8703, 13.8703) * CHOOSE(CONTROL!$C$21, $C$9, 100%, $E$9)</f>
        <v>13.8703</v>
      </c>
      <c r="S406" s="10">
        <f>CHOOSE(CONTROL!$C$42, 12.1829, 12.1829) * CHOOSE(CONTROL!$C$21, $C$9, 100%, $E$9)</f>
        <v>12.1829</v>
      </c>
      <c r="T406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406" s="58">
        <f>(1000*CHOOSE(CONTROL!$C$42, 695, 695)*CHOOSE(CONTROL!$C$42, 0.5599, 0.5599)*CHOOSE(CONTROL!$C$42, 31, 31))/1000000</f>
        <v>12.063045499999998</v>
      </c>
      <c r="V406" s="58">
        <f>(1000*CHOOSE(CONTROL!$C$42, 500, 500)*CHOOSE(CONTROL!$C$42, 0.275, 0.275)*CHOOSE(CONTROL!$C$42, 31, 31))/1000000</f>
        <v>4.2625000000000002</v>
      </c>
      <c r="W406" s="58">
        <f>(1000*CHOOSE(CONTROL!$C$42, 0.1146, 0.1146)*CHOOSE(CONTROL!$C$42, 121.5, 121.5)*CHOOSE(CONTROL!$C$42, 31, 31))/1000000</f>
        <v>0.43164089999999994</v>
      </c>
      <c r="X406" s="58">
        <f>(31*0.1790888*245000/1000000)+(31*0.2374*100000/1000000)</f>
        <v>2.0961194359999999</v>
      </c>
      <c r="Y406" s="58"/>
      <c r="Z406" s="10"/>
      <c r="AA406" s="57"/>
      <c r="AB406" s="51">
        <f>(B406*131.881+C406*277.167+D406*79.08+E406*125.872+F406*40+G406*185+H406*0+I406*100+J406*300)/(131.881+277.167+79.08+125.872+0+40+185+100+300)</f>
        <v>12.570809569975786</v>
      </c>
      <c r="AC406" s="27">
        <f>(M406*'RAP TEMPLATE-GAS AVAILABILITY'!O405+N406*'RAP TEMPLATE-GAS AVAILABILITY'!P405+O406*'RAP TEMPLATE-GAS AVAILABILITY'!Q405+P406*'RAP TEMPLATE-GAS AVAILABILITY'!R405)/('RAP TEMPLATE-GAS AVAILABILITY'!O405+'RAP TEMPLATE-GAS AVAILABILITY'!P405+'RAP TEMPLATE-GAS AVAILABILITY'!Q405+'RAP TEMPLATE-GAS AVAILABILITY'!R405)</f>
        <v>12.474580575539569</v>
      </c>
    </row>
    <row r="407" spans="1:29" ht="15.75" x14ac:dyDescent="0.25">
      <c r="A407" s="14">
        <v>53296</v>
      </c>
      <c r="B407" s="10">
        <f>CHOOSE(CONTROL!$C$42, 12.8782, 12.8782) * CHOOSE(CONTROL!$C$21, $C$9, 100%, $E$9)</f>
        <v>12.8782</v>
      </c>
      <c r="C407" s="10">
        <f>CHOOSE(CONTROL!$C$42, 12.8831, 12.8831) * CHOOSE(CONTROL!$C$21, $C$9, 100%, $E$9)</f>
        <v>12.883100000000001</v>
      </c>
      <c r="D407" s="10">
        <f>CHOOSE(CONTROL!$C$42, 12.9127, 12.9127) * CHOOSE(CONTROL!$C$21, $C$9, 100%, $E$9)</f>
        <v>12.912699999999999</v>
      </c>
      <c r="E407" s="10">
        <f>CHOOSE(CONTROL!$C$42, 12.9465, 12.9465) * CHOOSE(CONTROL!$C$21, $C$9, 100%, $E$9)</f>
        <v>12.9465</v>
      </c>
      <c r="F407" s="10">
        <f>CHOOSE(CONTROL!$C$42, 12.8449, 12.8449)*CHOOSE(CONTROL!$C$21, $C$9, 100%, $E$9)</f>
        <v>12.844900000000001</v>
      </c>
      <c r="G407" s="10">
        <f>CHOOSE(CONTROL!$C$42, 12.8621, 12.8621)*CHOOSE(CONTROL!$C$21, $C$9, 100%, $E$9)</f>
        <v>12.8621</v>
      </c>
      <c r="H407" s="10">
        <f>CHOOSE(CONTROL!$C$42, 12.9357, 12.9357) * CHOOSE(CONTROL!$C$21, $C$9, 100%, $E$9)</f>
        <v>12.935700000000001</v>
      </c>
      <c r="I407" s="10">
        <f>CHOOSE(CONTROL!$C$42, 12.8418, 12.8418)* CHOOSE(CONTROL!$C$21, $C$9, 100%, $E$9)</f>
        <v>12.841799999999999</v>
      </c>
      <c r="J407" s="10">
        <f>CHOOSE(CONTROL!$C$42, 12.8379, 12.8379)* CHOOSE(CONTROL!$C$21, $C$9, 100%, $E$9)</f>
        <v>12.837899999999999</v>
      </c>
      <c r="K407" s="54">
        <f>CHOOSE(CONTROL!$C$42, 12.8379, 12.8379) * CHOOSE(CONTROL!$C$21, $C$9, 100%, $E$9)</f>
        <v>12.837899999999999</v>
      </c>
      <c r="L407" s="10">
        <f>CHOOSE(CONTROL!$C$42, 13.5227, 13.5227) * CHOOSE(CONTROL!$C$21, $C$9, 100%, $E$9)</f>
        <v>13.5227</v>
      </c>
      <c r="M407" s="10">
        <f>CHOOSE(CONTROL!$C$42, 12.7222, 12.7222) * CHOOSE(CONTROL!$C$21, $C$9, 100%, $E$9)</f>
        <v>12.722200000000001</v>
      </c>
      <c r="N407" s="10">
        <f>CHOOSE(CONTROL!$C$42, 12.7392, 12.7392) * CHOOSE(CONTROL!$C$21, $C$9, 100%, $E$9)</f>
        <v>12.7392</v>
      </c>
      <c r="O407" s="10">
        <f>CHOOSE(CONTROL!$C$42, 12.819, 12.819) * CHOOSE(CONTROL!$C$21, $C$9, 100%, $E$9)</f>
        <v>12.819000000000001</v>
      </c>
      <c r="P407" s="10">
        <f>CHOOSE(CONTROL!$C$42, 12.726, 12.726) * CHOOSE(CONTROL!$C$21, $C$9, 100%, $E$9)</f>
        <v>12.726000000000001</v>
      </c>
      <c r="Q407" s="10">
        <f>CHOOSE(CONTROL!$C$42, 13.4143, 13.4143) * CHOOSE(CONTROL!$C$21, $C$9, 100%, $E$9)</f>
        <v>13.414300000000001</v>
      </c>
      <c r="R407" s="10">
        <f>CHOOSE(CONTROL!$C$42, 14.0348, 14.0348) * CHOOSE(CONTROL!$C$21, $C$9, 100%, $E$9)</f>
        <v>14.034800000000001</v>
      </c>
      <c r="S407" s="10">
        <f>CHOOSE(CONTROL!$C$42, 12.5038, 12.5038) * CHOOSE(CONTROL!$C$21, $C$9, 100%, $E$9)</f>
        <v>12.5038</v>
      </c>
      <c r="T407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407" s="58">
        <f>(1000*CHOOSE(CONTROL!$C$42, 695, 695)*CHOOSE(CONTROL!$C$42, 0.5599, 0.5599)*CHOOSE(CONTROL!$C$42, 30, 30))/1000000</f>
        <v>11.673914999999997</v>
      </c>
      <c r="V407" s="58">
        <f>(1000*CHOOSE(CONTROL!$C$42, 500, 500)*CHOOSE(CONTROL!$C$42, 0.275, 0.275)*CHOOSE(CONTROL!$C$42, 30, 30))/1000000</f>
        <v>4.125</v>
      </c>
      <c r="W407" s="58">
        <f>(1000*CHOOSE(CONTROL!$C$42, 0.1146, 0.1146)*CHOOSE(CONTROL!$C$42, 121.5, 121.5)*CHOOSE(CONTROL!$C$42, 30, 30))/1000000</f>
        <v>0.417717</v>
      </c>
      <c r="X407" s="58">
        <f>(30*0.1790888*100000/1000000)+(30*0.2374*100000/1000000)</f>
        <v>1.2494664</v>
      </c>
      <c r="Y407" s="58"/>
      <c r="Z407" s="10"/>
      <c r="AA407" s="57"/>
      <c r="AB407" s="51">
        <f>(B407*122.58+C407*297.941+D407*89.177+E407*40.302+F407*40+G407*160+H407*0+I407*100+J407*300)/(122.58+297.941+89.177+40.302+0+40+160+100+300)</f>
        <v>12.867461864347826</v>
      </c>
      <c r="AC407" s="27">
        <f>(M407*'RAP TEMPLATE-GAS AVAILABILITY'!O406+N407*'RAP TEMPLATE-GAS AVAILABILITY'!P406+O407*'RAP TEMPLATE-GAS AVAILABILITY'!Q406+P407*'RAP TEMPLATE-GAS AVAILABILITY'!R406)/('RAP TEMPLATE-GAS AVAILABILITY'!O406+'RAP TEMPLATE-GAS AVAILABILITY'!P406+'RAP TEMPLATE-GAS AVAILABILITY'!Q406+'RAP TEMPLATE-GAS AVAILABILITY'!R406)</f>
        <v>12.767598561151081</v>
      </c>
    </row>
    <row r="408" spans="1:29" ht="15.75" x14ac:dyDescent="0.25">
      <c r="A408" s="14">
        <v>53327</v>
      </c>
      <c r="B408" s="10">
        <f>CHOOSE(CONTROL!$C$42, 13.756, 13.756) * CHOOSE(CONTROL!$C$21, $C$9, 100%, $E$9)</f>
        <v>13.756</v>
      </c>
      <c r="C408" s="10">
        <f>CHOOSE(CONTROL!$C$42, 13.7609, 13.7609) * CHOOSE(CONTROL!$C$21, $C$9, 100%, $E$9)</f>
        <v>13.760899999999999</v>
      </c>
      <c r="D408" s="10">
        <f>CHOOSE(CONTROL!$C$42, 13.7905, 13.7905) * CHOOSE(CONTROL!$C$21, $C$9, 100%, $E$9)</f>
        <v>13.7905</v>
      </c>
      <c r="E408" s="10">
        <f>CHOOSE(CONTROL!$C$42, 13.8243, 13.8243) * CHOOSE(CONTROL!$C$21, $C$9, 100%, $E$9)</f>
        <v>13.824299999999999</v>
      </c>
      <c r="F408" s="10">
        <f>CHOOSE(CONTROL!$C$42, 13.7242, 13.7242)*CHOOSE(CONTROL!$C$21, $C$9, 100%, $E$9)</f>
        <v>13.7242</v>
      </c>
      <c r="G408" s="10">
        <f>CHOOSE(CONTROL!$C$42, 13.7417, 13.7417)*CHOOSE(CONTROL!$C$21, $C$9, 100%, $E$9)</f>
        <v>13.7417</v>
      </c>
      <c r="H408" s="10">
        <f>CHOOSE(CONTROL!$C$42, 13.8135, 13.8135) * CHOOSE(CONTROL!$C$21, $C$9, 100%, $E$9)</f>
        <v>13.813499999999999</v>
      </c>
      <c r="I408" s="10">
        <f>CHOOSE(CONTROL!$C$42, 13.7196, 13.7196)* CHOOSE(CONTROL!$C$21, $C$9, 100%, $E$9)</f>
        <v>13.7196</v>
      </c>
      <c r="J408" s="10">
        <f>CHOOSE(CONTROL!$C$42, 13.7172, 13.7172)* CHOOSE(CONTROL!$C$21, $C$9, 100%, $E$9)</f>
        <v>13.7172</v>
      </c>
      <c r="K408" s="54">
        <f>CHOOSE(CONTROL!$C$42, 13.7157, 13.7157) * CHOOSE(CONTROL!$C$21, $C$9, 100%, $E$9)</f>
        <v>13.7157</v>
      </c>
      <c r="L408" s="10">
        <f>CHOOSE(CONTROL!$C$42, 14.4005, 14.4005) * CHOOSE(CONTROL!$C$21, $C$9, 100%, $E$9)</f>
        <v>14.400499999999999</v>
      </c>
      <c r="M408" s="10">
        <f>CHOOSE(CONTROL!$C$42, 13.5926, 13.5926) * CHOOSE(CONTROL!$C$21, $C$9, 100%, $E$9)</f>
        <v>13.592599999999999</v>
      </c>
      <c r="N408" s="10">
        <f>CHOOSE(CONTROL!$C$42, 13.6099, 13.6099) * CHOOSE(CONTROL!$C$21, $C$9, 100%, $E$9)</f>
        <v>13.6099</v>
      </c>
      <c r="O408" s="10">
        <f>CHOOSE(CONTROL!$C$42, 13.6879, 13.6879) * CHOOSE(CONTROL!$C$21, $C$9, 100%, $E$9)</f>
        <v>13.687900000000001</v>
      </c>
      <c r="P408" s="10">
        <f>CHOOSE(CONTROL!$C$42, 13.595, 13.595) * CHOOSE(CONTROL!$C$21, $C$9, 100%, $E$9)</f>
        <v>13.595000000000001</v>
      </c>
      <c r="Q408" s="10">
        <f>CHOOSE(CONTROL!$C$42, 14.2832, 14.2832) * CHOOSE(CONTROL!$C$21, $C$9, 100%, $E$9)</f>
        <v>14.283200000000001</v>
      </c>
      <c r="R408" s="10">
        <f>CHOOSE(CONTROL!$C$42, 14.9059, 14.9059) * CHOOSE(CONTROL!$C$21, $C$9, 100%, $E$9)</f>
        <v>14.905900000000001</v>
      </c>
      <c r="S408" s="10">
        <f>CHOOSE(CONTROL!$C$42, 13.3563, 13.3563) * CHOOSE(CONTROL!$C$21, $C$9, 100%, $E$9)</f>
        <v>13.356299999999999</v>
      </c>
      <c r="T408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408" s="58">
        <f>(1000*CHOOSE(CONTROL!$C$42, 695, 695)*CHOOSE(CONTROL!$C$42, 0.5599, 0.5599)*CHOOSE(CONTROL!$C$42, 31, 31))/1000000</f>
        <v>12.063045499999998</v>
      </c>
      <c r="V408" s="58">
        <f>(1000*CHOOSE(CONTROL!$C$42, 500, 500)*CHOOSE(CONTROL!$C$42, 0.275, 0.275)*CHOOSE(CONTROL!$C$42, 31, 31))/1000000</f>
        <v>4.2625000000000002</v>
      </c>
      <c r="W408" s="58">
        <f>(1000*CHOOSE(CONTROL!$C$42, 0.1146, 0.1146)*CHOOSE(CONTROL!$C$42, 121.5, 121.5)*CHOOSE(CONTROL!$C$42, 31, 31))/1000000</f>
        <v>0.43164089999999994</v>
      </c>
      <c r="X408" s="58">
        <f>(31*0.1790888*100000/1000000)+(31*0.2374*100000/1000000)</f>
        <v>1.2911152800000001</v>
      </c>
      <c r="Y408" s="58"/>
      <c r="Z408" s="10"/>
      <c r="AA408" s="57"/>
      <c r="AB408" s="51">
        <f>(B408*122.58+C408*297.941+D408*89.177+E408*40.302+F408*40+G408*160+H408*0+I408*100+J408*300)/(122.58+297.941+89.177+40.302+0+40+160+100+300)</f>
        <v>13.745955777391304</v>
      </c>
      <c r="AC408" s="27">
        <f>(M408*'RAP TEMPLATE-GAS AVAILABILITY'!O407+N408*'RAP TEMPLATE-GAS AVAILABILITY'!P407+O408*'RAP TEMPLATE-GAS AVAILABILITY'!Q407+P408*'RAP TEMPLATE-GAS AVAILABILITY'!R407)/('RAP TEMPLATE-GAS AVAILABILITY'!O407+'RAP TEMPLATE-GAS AVAILABILITY'!P407+'RAP TEMPLATE-GAS AVAILABILITY'!Q407+'RAP TEMPLATE-GAS AVAILABILITY'!R407)</f>
        <v>13.6371345323741</v>
      </c>
    </row>
    <row r="409" spans="1:29" ht="15.75" x14ac:dyDescent="0.25">
      <c r="A409" s="14">
        <v>53358</v>
      </c>
      <c r="B409" s="10">
        <f>CHOOSE(CONTROL!$C$42, 14.8829, 14.8829) * CHOOSE(CONTROL!$C$21, $C$9, 100%, $E$9)</f>
        <v>14.882899999999999</v>
      </c>
      <c r="C409" s="10">
        <f>CHOOSE(CONTROL!$C$42, 14.8878, 14.8878) * CHOOSE(CONTROL!$C$21, $C$9, 100%, $E$9)</f>
        <v>14.8878</v>
      </c>
      <c r="D409" s="10">
        <f>CHOOSE(CONTROL!$C$42, 14.938, 14.938) * CHOOSE(CONTROL!$C$21, $C$9, 100%, $E$9)</f>
        <v>14.938000000000001</v>
      </c>
      <c r="E409" s="10">
        <f>CHOOSE(CONTROL!$C$42, 14.9718, 14.9718) * CHOOSE(CONTROL!$C$21, $C$9, 100%, $E$9)</f>
        <v>14.9718</v>
      </c>
      <c r="F409" s="10">
        <f>CHOOSE(CONTROL!$C$42, 14.8482, 14.8482)*CHOOSE(CONTROL!$C$21, $C$9, 100%, $E$9)</f>
        <v>14.8482</v>
      </c>
      <c r="G409" s="10">
        <f>CHOOSE(CONTROL!$C$42, 14.8658, 14.8658)*CHOOSE(CONTROL!$C$21, $C$9, 100%, $E$9)</f>
        <v>14.8658</v>
      </c>
      <c r="H409" s="10">
        <f>CHOOSE(CONTROL!$C$42, 14.961, 14.961) * CHOOSE(CONTROL!$C$21, $C$9, 100%, $E$9)</f>
        <v>14.961</v>
      </c>
      <c r="I409" s="10">
        <f>CHOOSE(CONTROL!$C$42, 14.8567, 14.8567)* CHOOSE(CONTROL!$C$21, $C$9, 100%, $E$9)</f>
        <v>14.8567</v>
      </c>
      <c r="J409" s="10">
        <f>CHOOSE(CONTROL!$C$42, 14.8412, 14.8412)* CHOOSE(CONTROL!$C$21, $C$9, 100%, $E$9)</f>
        <v>14.841200000000001</v>
      </c>
      <c r="K409" s="54">
        <f>CHOOSE(CONTROL!$C$42, 14.8529, 14.8529) * CHOOSE(CONTROL!$C$21, $C$9, 100%, $E$9)</f>
        <v>14.8529</v>
      </c>
      <c r="L409" s="10">
        <f>CHOOSE(CONTROL!$C$42, 15.548, 15.548) * CHOOSE(CONTROL!$C$21, $C$9, 100%, $E$9)</f>
        <v>15.548</v>
      </c>
      <c r="M409" s="10">
        <f>CHOOSE(CONTROL!$C$42, 14.7053, 14.7053) * CHOOSE(CONTROL!$C$21, $C$9, 100%, $E$9)</f>
        <v>14.705299999999999</v>
      </c>
      <c r="N409" s="10">
        <f>CHOOSE(CONTROL!$C$42, 14.7226, 14.7226) * CHOOSE(CONTROL!$C$21, $C$9, 100%, $E$9)</f>
        <v>14.7226</v>
      </c>
      <c r="O409" s="10">
        <f>CHOOSE(CONTROL!$C$42, 14.8238, 14.8238) * CHOOSE(CONTROL!$C$21, $C$9, 100%, $E$9)</f>
        <v>14.8238</v>
      </c>
      <c r="P409" s="10">
        <f>CHOOSE(CONTROL!$C$42, 14.7207, 14.7207) * CHOOSE(CONTROL!$C$21, $C$9, 100%, $E$9)</f>
        <v>14.720700000000001</v>
      </c>
      <c r="Q409" s="10">
        <f>CHOOSE(CONTROL!$C$42, 15.4191, 15.4191) * CHOOSE(CONTROL!$C$21, $C$9, 100%, $E$9)</f>
        <v>15.4191</v>
      </c>
      <c r="R409" s="10">
        <f>CHOOSE(CONTROL!$C$42, 16.0447, 16.0447) * CHOOSE(CONTROL!$C$21, $C$9, 100%, $E$9)</f>
        <v>16.044699999999999</v>
      </c>
      <c r="S409" s="10">
        <f>CHOOSE(CONTROL!$C$42, 14.4506, 14.4506) * CHOOSE(CONTROL!$C$21, $C$9, 100%, $E$9)</f>
        <v>14.4506</v>
      </c>
      <c r="T409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409" s="58">
        <f>(1000*CHOOSE(CONTROL!$C$42, 695, 695)*CHOOSE(CONTROL!$C$42, 0.5599, 0.5599)*CHOOSE(CONTROL!$C$42, 31, 31))/1000000</f>
        <v>12.063045499999998</v>
      </c>
      <c r="V409" s="58">
        <f>(1000*CHOOSE(CONTROL!$C$42, 500, 500)*CHOOSE(CONTROL!$C$42, 0.275, 0.275)*CHOOSE(CONTROL!$C$42, 31, 31))/1000000</f>
        <v>4.2625000000000002</v>
      </c>
      <c r="W409" s="58">
        <f>(1000*CHOOSE(CONTROL!$C$42, 0.1146, 0.1146)*CHOOSE(CONTROL!$C$42, 121.5, 121.5)*CHOOSE(CONTROL!$C$42, 31, 31))/1000000</f>
        <v>0.43164089999999994</v>
      </c>
      <c r="X409" s="58">
        <f>(31*0.1790888*100000/1000000)+(31*0.2374*100000/1000000)</f>
        <v>1.2911152800000001</v>
      </c>
      <c r="Y409" s="58"/>
      <c r="Z409" s="10"/>
      <c r="AA409" s="57"/>
      <c r="AB409" s="51">
        <f>(B409*122.58+C409*297.941+D409*89.177+E409*40.302+F409*40+G409*160+H409*0+I409*100+J409*300)/(122.58+297.941+89.177+40.302+0+40+160+100+300)</f>
        <v>14.874815140347826</v>
      </c>
      <c r="AC409" s="27">
        <f>(M409*'RAP TEMPLATE-GAS AVAILABILITY'!O408+N409*'RAP TEMPLATE-GAS AVAILABILITY'!P408+O409*'RAP TEMPLATE-GAS AVAILABILITY'!Q408+P409*'RAP TEMPLATE-GAS AVAILABILITY'!R408)/('RAP TEMPLATE-GAS AVAILABILITY'!O408+'RAP TEMPLATE-GAS AVAILABILITY'!P408+'RAP TEMPLATE-GAS AVAILABILITY'!Q408+'RAP TEMPLATE-GAS AVAILABILITY'!R408)</f>
        <v>14.762220143884891</v>
      </c>
    </row>
    <row r="410" spans="1:29" ht="15.75" x14ac:dyDescent="0.25">
      <c r="A410" s="14">
        <v>53386</v>
      </c>
      <c r="B410" s="10">
        <f>CHOOSE(CONTROL!$C$42, 15.1477, 15.1477) * CHOOSE(CONTROL!$C$21, $C$9, 100%, $E$9)</f>
        <v>15.1477</v>
      </c>
      <c r="C410" s="10">
        <f>CHOOSE(CONTROL!$C$42, 15.1527, 15.1527) * CHOOSE(CONTROL!$C$21, $C$9, 100%, $E$9)</f>
        <v>15.152699999999999</v>
      </c>
      <c r="D410" s="10">
        <f>CHOOSE(CONTROL!$C$42, 15.2132, 15.2132) * CHOOSE(CONTROL!$C$21, $C$9, 100%, $E$9)</f>
        <v>15.213200000000001</v>
      </c>
      <c r="E410" s="10">
        <f>CHOOSE(CONTROL!$C$42, 15.247, 15.247) * CHOOSE(CONTROL!$C$21, $C$9, 100%, $E$9)</f>
        <v>15.247</v>
      </c>
      <c r="F410" s="10">
        <f>CHOOSE(CONTROL!$C$42, 15.141, 15.141)*CHOOSE(CONTROL!$C$21, $C$9, 100%, $E$9)</f>
        <v>15.141</v>
      </c>
      <c r="G410" s="10">
        <f>CHOOSE(CONTROL!$C$42, 15.1583, 15.1583)*CHOOSE(CONTROL!$C$21, $C$9, 100%, $E$9)</f>
        <v>15.158300000000001</v>
      </c>
      <c r="H410" s="10">
        <f>CHOOSE(CONTROL!$C$42, 15.2362, 15.2362) * CHOOSE(CONTROL!$C$21, $C$9, 100%, $E$9)</f>
        <v>15.2362</v>
      </c>
      <c r="I410" s="10">
        <f>CHOOSE(CONTROL!$C$42, 15.1345, 15.1345)* CHOOSE(CONTROL!$C$21, $C$9, 100%, $E$9)</f>
        <v>15.134499999999999</v>
      </c>
      <c r="J410" s="10">
        <f>CHOOSE(CONTROL!$C$42, 15.134, 15.134)* CHOOSE(CONTROL!$C$21, $C$9, 100%, $E$9)</f>
        <v>15.134</v>
      </c>
      <c r="K410" s="54">
        <f>CHOOSE(CONTROL!$C$42, 15.1306, 15.1306) * CHOOSE(CONTROL!$C$21, $C$9, 100%, $E$9)</f>
        <v>15.130599999999999</v>
      </c>
      <c r="L410" s="10">
        <f>CHOOSE(CONTROL!$C$42, 15.8232, 15.8232) * CHOOSE(CONTROL!$C$21, $C$9, 100%, $E$9)</f>
        <v>15.8232</v>
      </c>
      <c r="M410" s="10">
        <f>CHOOSE(CONTROL!$C$42, 14.9951, 14.9951) * CHOOSE(CONTROL!$C$21, $C$9, 100%, $E$9)</f>
        <v>14.995100000000001</v>
      </c>
      <c r="N410" s="10">
        <f>CHOOSE(CONTROL!$C$42, 15.0122, 15.0122) * CHOOSE(CONTROL!$C$21, $C$9, 100%, $E$9)</f>
        <v>15.0122</v>
      </c>
      <c r="O410" s="10">
        <f>CHOOSE(CONTROL!$C$42, 15.0962, 15.0962) * CHOOSE(CONTROL!$C$21, $C$9, 100%, $E$9)</f>
        <v>15.0962</v>
      </c>
      <c r="P410" s="10">
        <f>CHOOSE(CONTROL!$C$42, 14.9956, 14.9956) * CHOOSE(CONTROL!$C$21, $C$9, 100%, $E$9)</f>
        <v>14.9956</v>
      </c>
      <c r="Q410" s="10">
        <f>CHOOSE(CONTROL!$C$42, 15.6915, 15.6915) * CHOOSE(CONTROL!$C$21, $C$9, 100%, $E$9)</f>
        <v>15.6915</v>
      </c>
      <c r="R410" s="10">
        <f>CHOOSE(CONTROL!$C$42, 16.3178, 16.3178) * CHOOSE(CONTROL!$C$21, $C$9, 100%, $E$9)</f>
        <v>16.317799999999998</v>
      </c>
      <c r="S410" s="10">
        <f>CHOOSE(CONTROL!$C$42, 14.7078, 14.7078) * CHOOSE(CONTROL!$C$21, $C$9, 100%, $E$9)</f>
        <v>14.707800000000001</v>
      </c>
      <c r="T410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410" s="58">
        <f>(1000*CHOOSE(CONTROL!$C$42, 695, 695)*CHOOSE(CONTROL!$C$42, 0.5599, 0.5599)*CHOOSE(CONTROL!$C$42, 28, 28))/1000000</f>
        <v>10.895653999999999</v>
      </c>
      <c r="V410" s="58">
        <f>(1000*CHOOSE(CONTROL!$C$42, 500, 500)*CHOOSE(CONTROL!$C$42, 0.275, 0.275)*CHOOSE(CONTROL!$C$42, 28, 28))/1000000</f>
        <v>3.85</v>
      </c>
      <c r="W410" s="58">
        <f>(1000*CHOOSE(CONTROL!$C$42, 0.1146, 0.1146)*CHOOSE(CONTROL!$C$42, 121.5, 121.5)*CHOOSE(CONTROL!$C$42, 28, 28))/1000000</f>
        <v>0.38986920000000003</v>
      </c>
      <c r="X410" s="58">
        <f>(28*0.1790888*100000/1000000)+(28*0.2374*100000/1000000)</f>
        <v>1.16616864</v>
      </c>
      <c r="Y410" s="58"/>
      <c r="Z410" s="10"/>
      <c r="AA410" s="57"/>
      <c r="AB410" s="51">
        <f>(B410*122.58+C410*297.941+D410*89.177+E410*40.302+F410*40+G410*160+H410*0+I410*100+J410*300)/(122.58+297.941+89.177+40.302+0+40+160+100+300)</f>
        <v>15.15407459747826</v>
      </c>
      <c r="AC410" s="27">
        <f>(M410*'RAP TEMPLATE-GAS AVAILABILITY'!O409+N410*'RAP TEMPLATE-GAS AVAILABILITY'!P409+O410*'RAP TEMPLATE-GAS AVAILABILITY'!Q409+P410*'RAP TEMPLATE-GAS AVAILABILITY'!R409)/('RAP TEMPLATE-GAS AVAILABILITY'!O409+'RAP TEMPLATE-GAS AVAILABILITY'!P409+'RAP TEMPLATE-GAS AVAILABILITY'!Q409+'RAP TEMPLATE-GAS AVAILABILITY'!R409)</f>
        <v>15.041978417266186</v>
      </c>
    </row>
    <row r="411" spans="1:29" ht="15.75" x14ac:dyDescent="0.25">
      <c r="A411" s="14">
        <v>53417</v>
      </c>
      <c r="B411" s="10">
        <f>CHOOSE(CONTROL!$C$42, 14.7178, 14.7178) * CHOOSE(CONTROL!$C$21, $C$9, 100%, $E$9)</f>
        <v>14.7178</v>
      </c>
      <c r="C411" s="10">
        <f>CHOOSE(CONTROL!$C$42, 14.7227, 14.7227) * CHOOSE(CONTROL!$C$21, $C$9, 100%, $E$9)</f>
        <v>14.7227</v>
      </c>
      <c r="D411" s="10">
        <f>CHOOSE(CONTROL!$C$42, 14.7832, 14.7832) * CHOOSE(CONTROL!$C$21, $C$9, 100%, $E$9)</f>
        <v>14.783200000000001</v>
      </c>
      <c r="E411" s="10">
        <f>CHOOSE(CONTROL!$C$42, 14.817, 14.817) * CHOOSE(CONTROL!$C$21, $C$9, 100%, $E$9)</f>
        <v>14.817</v>
      </c>
      <c r="F411" s="10">
        <f>CHOOSE(CONTROL!$C$42, 14.7055, 14.7055)*CHOOSE(CONTROL!$C$21, $C$9, 100%, $E$9)</f>
        <v>14.705500000000001</v>
      </c>
      <c r="G411" s="10">
        <f>CHOOSE(CONTROL!$C$42, 14.7227, 14.7227)*CHOOSE(CONTROL!$C$21, $C$9, 100%, $E$9)</f>
        <v>14.7227</v>
      </c>
      <c r="H411" s="10">
        <f>CHOOSE(CONTROL!$C$42, 14.8062, 14.8062) * CHOOSE(CONTROL!$C$21, $C$9, 100%, $E$9)</f>
        <v>14.8062</v>
      </c>
      <c r="I411" s="10">
        <f>CHOOSE(CONTROL!$C$42, 14.6917, 14.6917)* CHOOSE(CONTROL!$C$21, $C$9, 100%, $E$9)</f>
        <v>14.691700000000001</v>
      </c>
      <c r="J411" s="10">
        <f>CHOOSE(CONTROL!$C$42, 14.6985, 14.6985)* CHOOSE(CONTROL!$C$21, $C$9, 100%, $E$9)</f>
        <v>14.698499999999999</v>
      </c>
      <c r="K411" s="54">
        <f>CHOOSE(CONTROL!$C$42, 14.6878, 14.6878) * CHOOSE(CONTROL!$C$21, $C$9, 100%, $E$9)</f>
        <v>14.687799999999999</v>
      </c>
      <c r="L411" s="10">
        <f>CHOOSE(CONTROL!$C$42, 15.3932, 15.3932) * CHOOSE(CONTROL!$C$21, $C$9, 100%, $E$9)</f>
        <v>15.3932</v>
      </c>
      <c r="M411" s="10">
        <f>CHOOSE(CONTROL!$C$42, 14.564, 14.564) * CHOOSE(CONTROL!$C$21, $C$9, 100%, $E$9)</f>
        <v>14.564</v>
      </c>
      <c r="N411" s="10">
        <f>CHOOSE(CONTROL!$C$42, 14.581, 14.581) * CHOOSE(CONTROL!$C$21, $C$9, 100%, $E$9)</f>
        <v>14.581</v>
      </c>
      <c r="O411" s="10">
        <f>CHOOSE(CONTROL!$C$42, 14.6706, 14.6706) * CHOOSE(CONTROL!$C$21, $C$9, 100%, $E$9)</f>
        <v>14.6706</v>
      </c>
      <c r="P411" s="10">
        <f>CHOOSE(CONTROL!$C$42, 14.5573, 14.5573) * CHOOSE(CONTROL!$C$21, $C$9, 100%, $E$9)</f>
        <v>14.5573</v>
      </c>
      <c r="Q411" s="10">
        <f>CHOOSE(CONTROL!$C$42, 15.2659, 15.2659) * CHOOSE(CONTROL!$C$21, $C$9, 100%, $E$9)</f>
        <v>15.2659</v>
      </c>
      <c r="R411" s="10">
        <f>CHOOSE(CONTROL!$C$42, 15.8911, 15.8911) * CHOOSE(CONTROL!$C$21, $C$9, 100%, $E$9)</f>
        <v>15.8911</v>
      </c>
      <c r="S411" s="10">
        <f>CHOOSE(CONTROL!$C$42, 14.2903, 14.2903) * CHOOSE(CONTROL!$C$21, $C$9, 100%, $E$9)</f>
        <v>14.2903</v>
      </c>
      <c r="T411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411" s="58">
        <f>(1000*CHOOSE(CONTROL!$C$42, 695, 695)*CHOOSE(CONTROL!$C$42, 0.5599, 0.5599)*CHOOSE(CONTROL!$C$42, 31, 31))/1000000</f>
        <v>12.063045499999998</v>
      </c>
      <c r="V411" s="58">
        <f>(1000*CHOOSE(CONTROL!$C$42, 500, 500)*CHOOSE(CONTROL!$C$42, 0.275, 0.275)*CHOOSE(CONTROL!$C$42, 31, 31))/1000000</f>
        <v>4.2625000000000002</v>
      </c>
      <c r="W411" s="58">
        <f>(1000*CHOOSE(CONTROL!$C$42, 0.1146, 0.1146)*CHOOSE(CONTROL!$C$42, 121.5, 121.5)*CHOOSE(CONTROL!$C$42, 31, 31))/1000000</f>
        <v>0.43164089999999994</v>
      </c>
      <c r="X411" s="58">
        <f>(31*0.1790888*100000/1000000)+(31*0.2374*100000/1000000)</f>
        <v>1.2911152800000001</v>
      </c>
      <c r="Y411" s="58"/>
      <c r="Z411" s="10"/>
      <c r="AA411" s="57"/>
      <c r="AB411" s="51">
        <f>(B411*122.58+C411*297.941+D411*89.177+E411*40.302+F411*40+G411*160+H411*0+I411*100+J411*300)/(122.58+297.941+89.177+40.302+0+40+160+100+300)</f>
        <v>14.72056699573913</v>
      </c>
      <c r="AC411" s="27">
        <f>(M411*'RAP TEMPLATE-GAS AVAILABILITY'!O410+N411*'RAP TEMPLATE-GAS AVAILABILITY'!P410+O411*'RAP TEMPLATE-GAS AVAILABILITY'!Q410+P411*'RAP TEMPLATE-GAS AVAILABILITY'!R410)/('RAP TEMPLATE-GAS AVAILABILITY'!O410+'RAP TEMPLATE-GAS AVAILABILITY'!P410+'RAP TEMPLATE-GAS AVAILABILITY'!Q410+'RAP TEMPLATE-GAS AVAILABILITY'!R410)</f>
        <v>14.612329496402877</v>
      </c>
    </row>
    <row r="412" spans="1:29" ht="15.75" x14ac:dyDescent="0.25">
      <c r="A412" s="14">
        <v>53447</v>
      </c>
      <c r="B412" s="10">
        <f>CHOOSE(CONTROL!$C$42, 14.6749, 14.6749) * CHOOSE(CONTROL!$C$21, $C$9, 100%, $E$9)</f>
        <v>14.674899999999999</v>
      </c>
      <c r="C412" s="10">
        <f>CHOOSE(CONTROL!$C$42, 14.6793, 14.6793) * CHOOSE(CONTROL!$C$21, $C$9, 100%, $E$9)</f>
        <v>14.6793</v>
      </c>
      <c r="D412" s="10">
        <f>CHOOSE(CONTROL!$C$42, 14.8748, 14.8748) * CHOOSE(CONTROL!$C$21, $C$9, 100%, $E$9)</f>
        <v>14.8748</v>
      </c>
      <c r="E412" s="10">
        <f>CHOOSE(CONTROL!$C$42, 14.9066, 14.9066) * CHOOSE(CONTROL!$C$21, $C$9, 100%, $E$9)</f>
        <v>14.906599999999999</v>
      </c>
      <c r="F412" s="10">
        <f>CHOOSE(CONTROL!$C$42, 14.6427, 14.6427)*CHOOSE(CONTROL!$C$21, $C$9, 100%, $E$9)</f>
        <v>14.6427</v>
      </c>
      <c r="G412" s="10">
        <f>CHOOSE(CONTROL!$C$42, 14.6595, 14.6595)*CHOOSE(CONTROL!$C$21, $C$9, 100%, $E$9)</f>
        <v>14.6595</v>
      </c>
      <c r="H412" s="10">
        <f>CHOOSE(CONTROL!$C$42, 14.8964, 14.8964) * CHOOSE(CONTROL!$C$21, $C$9, 100%, $E$9)</f>
        <v>14.8964</v>
      </c>
      <c r="I412" s="10">
        <f>CHOOSE(CONTROL!$C$42, 14.6428, 14.6428)* CHOOSE(CONTROL!$C$21, $C$9, 100%, $E$9)</f>
        <v>14.642799999999999</v>
      </c>
      <c r="J412" s="10">
        <f>CHOOSE(CONTROL!$C$42, 14.6357, 14.6357)* CHOOSE(CONTROL!$C$21, $C$9, 100%, $E$9)</f>
        <v>14.6357</v>
      </c>
      <c r="K412" s="54">
        <f>CHOOSE(CONTROL!$C$42, 14.639, 14.639) * CHOOSE(CONTROL!$C$21, $C$9, 100%, $E$9)</f>
        <v>14.638999999999999</v>
      </c>
      <c r="L412" s="10">
        <f>CHOOSE(CONTROL!$C$42, 15.4834, 15.4834) * CHOOSE(CONTROL!$C$21, $C$9, 100%, $E$9)</f>
        <v>15.4834</v>
      </c>
      <c r="M412" s="10">
        <f>CHOOSE(CONTROL!$C$42, 14.5018, 14.5018) * CHOOSE(CONTROL!$C$21, $C$9, 100%, $E$9)</f>
        <v>14.501799999999999</v>
      </c>
      <c r="N412" s="10">
        <f>CHOOSE(CONTROL!$C$42, 14.5184, 14.5184) * CHOOSE(CONTROL!$C$21, $C$9, 100%, $E$9)</f>
        <v>14.5184</v>
      </c>
      <c r="O412" s="10">
        <f>CHOOSE(CONTROL!$C$42, 14.7599, 14.7599) * CHOOSE(CONTROL!$C$21, $C$9, 100%, $E$9)</f>
        <v>14.7599</v>
      </c>
      <c r="P412" s="10">
        <f>CHOOSE(CONTROL!$C$42, 14.5089, 14.5089) * CHOOSE(CONTROL!$C$21, $C$9, 100%, $E$9)</f>
        <v>14.508900000000001</v>
      </c>
      <c r="Q412" s="10">
        <f>CHOOSE(CONTROL!$C$42, 15.3552, 15.3552) * CHOOSE(CONTROL!$C$21, $C$9, 100%, $E$9)</f>
        <v>15.3552</v>
      </c>
      <c r="R412" s="10">
        <f>CHOOSE(CONTROL!$C$42, 15.9806, 15.9806) * CHOOSE(CONTROL!$C$21, $C$9, 100%, $E$9)</f>
        <v>15.980600000000001</v>
      </c>
      <c r="S412" s="10">
        <f>CHOOSE(CONTROL!$C$42, 14.2479, 14.2479) * CHOOSE(CONTROL!$C$21, $C$9, 100%, $E$9)</f>
        <v>14.2479</v>
      </c>
      <c r="T412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412" s="58">
        <f>(1000*CHOOSE(CONTROL!$C$42, 695, 695)*CHOOSE(CONTROL!$C$42, 0.5599, 0.5599)*CHOOSE(CONTROL!$C$42, 30, 30))/1000000</f>
        <v>11.673914999999997</v>
      </c>
      <c r="V412" s="58">
        <f>(1000*CHOOSE(CONTROL!$C$42, 500, 500)*CHOOSE(CONTROL!$C$42, 0.275, 0.275)*CHOOSE(CONTROL!$C$42, 30, 30))/1000000</f>
        <v>4.125</v>
      </c>
      <c r="W412" s="58">
        <f>(1000*CHOOSE(CONTROL!$C$42, 0.1146, 0.1146)*CHOOSE(CONTROL!$C$42, 121.5, 121.5)*CHOOSE(CONTROL!$C$42, 30, 30))/1000000</f>
        <v>0.417717</v>
      </c>
      <c r="X412" s="58">
        <f>(30*0.1790888*245000/1000000)+(30*0.2374*100000/1000000)</f>
        <v>2.0285026799999999</v>
      </c>
      <c r="Y412" s="58"/>
      <c r="Z412" s="10"/>
      <c r="AA412" s="57"/>
      <c r="AB412" s="51">
        <f>(B412*141.293+C412*267.993+D412*115.016+E412*89.698+F412*40+G412*185+H412*0+I412*100+J412*300)/(141.293+267.993+115.016+89.698+0+40+185+100+300)</f>
        <v>14.695761092978209</v>
      </c>
      <c r="AC412" s="27">
        <f>(M412*'RAP TEMPLATE-GAS AVAILABILITY'!O411+N412*'RAP TEMPLATE-GAS AVAILABILITY'!P411+O412*'RAP TEMPLATE-GAS AVAILABILITY'!Q411+P412*'RAP TEMPLATE-GAS AVAILABILITY'!R411)/('RAP TEMPLATE-GAS AVAILABILITY'!O411+'RAP TEMPLATE-GAS AVAILABILITY'!P411+'RAP TEMPLATE-GAS AVAILABILITY'!Q411+'RAP TEMPLATE-GAS AVAILABILITY'!R411)</f>
        <v>14.579059712230215</v>
      </c>
    </row>
    <row r="413" spans="1:29" ht="15.75" x14ac:dyDescent="0.25">
      <c r="A413" s="14">
        <v>53478</v>
      </c>
      <c r="B413" s="10">
        <f>CHOOSE(CONTROL!$C$42, 14.8058, 14.8058) * CHOOSE(CONTROL!$C$21, $C$9, 100%, $E$9)</f>
        <v>14.8058</v>
      </c>
      <c r="C413" s="10">
        <f>CHOOSE(CONTROL!$C$42, 14.8137, 14.8137) * CHOOSE(CONTROL!$C$21, $C$9, 100%, $E$9)</f>
        <v>14.813700000000001</v>
      </c>
      <c r="D413" s="10">
        <f>CHOOSE(CONTROL!$C$42, 15.0061, 15.0061) * CHOOSE(CONTROL!$C$21, $C$9, 100%, $E$9)</f>
        <v>15.0061</v>
      </c>
      <c r="E413" s="10">
        <f>CHOOSE(CONTROL!$C$42, 15.0372, 15.0372) * CHOOSE(CONTROL!$C$21, $C$9, 100%, $E$9)</f>
        <v>15.0372</v>
      </c>
      <c r="F413" s="10">
        <f>CHOOSE(CONTROL!$C$42, 14.772, 14.772)*CHOOSE(CONTROL!$C$21, $C$9, 100%, $E$9)</f>
        <v>14.772</v>
      </c>
      <c r="G413" s="10">
        <f>CHOOSE(CONTROL!$C$42, 14.7891, 14.7891)*CHOOSE(CONTROL!$C$21, $C$9, 100%, $E$9)</f>
        <v>14.789099999999999</v>
      </c>
      <c r="H413" s="10">
        <f>CHOOSE(CONTROL!$C$42, 15.0259, 15.0259) * CHOOSE(CONTROL!$C$21, $C$9, 100%, $E$9)</f>
        <v>15.0259</v>
      </c>
      <c r="I413" s="10">
        <f>CHOOSE(CONTROL!$C$42, 14.7723, 14.7723)* CHOOSE(CONTROL!$C$21, $C$9, 100%, $E$9)</f>
        <v>14.7723</v>
      </c>
      <c r="J413" s="10">
        <f>CHOOSE(CONTROL!$C$42, 14.765, 14.765)* CHOOSE(CONTROL!$C$21, $C$9, 100%, $E$9)</f>
        <v>14.765000000000001</v>
      </c>
      <c r="K413" s="54">
        <f>CHOOSE(CONTROL!$C$42, 14.7684, 14.7684) * CHOOSE(CONTROL!$C$21, $C$9, 100%, $E$9)</f>
        <v>14.7684</v>
      </c>
      <c r="L413" s="10">
        <f>CHOOSE(CONTROL!$C$42, 15.6129, 15.6129) * CHOOSE(CONTROL!$C$21, $C$9, 100%, $E$9)</f>
        <v>15.6129</v>
      </c>
      <c r="M413" s="10">
        <f>CHOOSE(CONTROL!$C$42, 14.6298, 14.6298) * CHOOSE(CONTROL!$C$21, $C$9, 100%, $E$9)</f>
        <v>14.629799999999999</v>
      </c>
      <c r="N413" s="10">
        <f>CHOOSE(CONTROL!$C$42, 14.6468, 14.6468) * CHOOSE(CONTROL!$C$21, $C$9, 100%, $E$9)</f>
        <v>14.646800000000001</v>
      </c>
      <c r="O413" s="10">
        <f>CHOOSE(CONTROL!$C$42, 14.8881, 14.8881) * CHOOSE(CONTROL!$C$21, $C$9, 100%, $E$9)</f>
        <v>14.8881</v>
      </c>
      <c r="P413" s="10">
        <f>CHOOSE(CONTROL!$C$42, 14.6371, 14.6371) * CHOOSE(CONTROL!$C$21, $C$9, 100%, $E$9)</f>
        <v>14.6371</v>
      </c>
      <c r="Q413" s="10">
        <f>CHOOSE(CONTROL!$C$42, 15.4834, 15.4834) * CHOOSE(CONTROL!$C$21, $C$9, 100%, $E$9)</f>
        <v>15.4834</v>
      </c>
      <c r="R413" s="10">
        <f>CHOOSE(CONTROL!$C$42, 16.1091, 16.1091) * CHOOSE(CONTROL!$C$21, $C$9, 100%, $E$9)</f>
        <v>16.109100000000002</v>
      </c>
      <c r="S413" s="10">
        <f>CHOOSE(CONTROL!$C$42, 14.3736, 14.3736) * CHOOSE(CONTROL!$C$21, $C$9, 100%, $E$9)</f>
        <v>14.3736</v>
      </c>
      <c r="T413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413" s="58">
        <f>(1000*CHOOSE(CONTROL!$C$42, 695, 695)*CHOOSE(CONTROL!$C$42, 0.5599, 0.5599)*CHOOSE(CONTROL!$C$42, 31, 31))/1000000</f>
        <v>12.063045499999998</v>
      </c>
      <c r="V413" s="58">
        <f>(1000*CHOOSE(CONTROL!$C$42, 500, 500)*CHOOSE(CONTROL!$C$42, 0.275, 0.275)*CHOOSE(CONTROL!$C$42, 31, 31))/1000000</f>
        <v>4.2625000000000002</v>
      </c>
      <c r="W413" s="58">
        <f>(1000*CHOOSE(CONTROL!$C$42, 0.1146, 0.1146)*CHOOSE(CONTROL!$C$42, 121.5, 121.5)*CHOOSE(CONTROL!$C$42, 31, 31))/1000000</f>
        <v>0.43164089999999994</v>
      </c>
      <c r="X413" s="58">
        <f>(31*0.1790888*245000/1000000)+(31*0.2374*100000/1000000)</f>
        <v>2.0961194359999999</v>
      </c>
      <c r="Y413" s="58"/>
      <c r="Z413" s="10"/>
      <c r="AA413" s="57"/>
      <c r="AB413" s="51">
        <f>(B413*194.205+C413*267.466+D413*133.845+E413*53.484+F413*40+G413*185+H413*0+I413*100+J413*300)/(194.205+267.466+133.845+53.484+0+40+185+100+300)</f>
        <v>14.822492961145997</v>
      </c>
      <c r="AC413" s="27">
        <f>(M413*'RAP TEMPLATE-GAS AVAILABILITY'!O412+N413*'RAP TEMPLATE-GAS AVAILABILITY'!P412+O413*'RAP TEMPLATE-GAS AVAILABILITY'!Q412+P413*'RAP TEMPLATE-GAS AVAILABILITY'!R412)/('RAP TEMPLATE-GAS AVAILABILITY'!O412+'RAP TEMPLATE-GAS AVAILABILITY'!P412+'RAP TEMPLATE-GAS AVAILABILITY'!Q412+'RAP TEMPLATE-GAS AVAILABILITY'!R412)</f>
        <v>14.707236690647482</v>
      </c>
    </row>
    <row r="414" spans="1:29" ht="15.75" x14ac:dyDescent="0.25">
      <c r="A414" s="14">
        <v>53508</v>
      </c>
      <c r="B414" s="10">
        <f>CHOOSE(CONTROL!$C$42, 15.2256, 15.2256) * CHOOSE(CONTROL!$C$21, $C$9, 100%, $E$9)</f>
        <v>15.2256</v>
      </c>
      <c r="C414" s="10">
        <f>CHOOSE(CONTROL!$C$42, 15.2335, 15.2335) * CHOOSE(CONTROL!$C$21, $C$9, 100%, $E$9)</f>
        <v>15.233499999999999</v>
      </c>
      <c r="D414" s="10">
        <f>CHOOSE(CONTROL!$C$42, 15.4259, 15.4259) * CHOOSE(CONTROL!$C$21, $C$9, 100%, $E$9)</f>
        <v>15.4259</v>
      </c>
      <c r="E414" s="10">
        <f>CHOOSE(CONTROL!$C$42, 15.4571, 15.4571) * CHOOSE(CONTROL!$C$21, $C$9, 100%, $E$9)</f>
        <v>15.457100000000001</v>
      </c>
      <c r="F414" s="10">
        <f>CHOOSE(CONTROL!$C$42, 15.1921, 15.1921)*CHOOSE(CONTROL!$C$21, $C$9, 100%, $E$9)</f>
        <v>15.1921</v>
      </c>
      <c r="G414" s="10">
        <f>CHOOSE(CONTROL!$C$42, 15.2093, 15.2093)*CHOOSE(CONTROL!$C$21, $C$9, 100%, $E$9)</f>
        <v>15.209300000000001</v>
      </c>
      <c r="H414" s="10">
        <f>CHOOSE(CONTROL!$C$42, 15.4457, 15.4457) * CHOOSE(CONTROL!$C$21, $C$9, 100%, $E$9)</f>
        <v>15.4457</v>
      </c>
      <c r="I414" s="10">
        <f>CHOOSE(CONTROL!$C$42, 15.1922, 15.1922)* CHOOSE(CONTROL!$C$21, $C$9, 100%, $E$9)</f>
        <v>15.1922</v>
      </c>
      <c r="J414" s="10">
        <f>CHOOSE(CONTROL!$C$42, 15.1851, 15.1851)* CHOOSE(CONTROL!$C$21, $C$9, 100%, $E$9)</f>
        <v>15.1851</v>
      </c>
      <c r="K414" s="54">
        <f>CHOOSE(CONTROL!$C$42, 15.1883, 15.1883) * CHOOSE(CONTROL!$C$21, $C$9, 100%, $E$9)</f>
        <v>15.1883</v>
      </c>
      <c r="L414" s="10">
        <f>CHOOSE(CONTROL!$C$42, 16.0327, 16.0327) * CHOOSE(CONTROL!$C$21, $C$9, 100%, $E$9)</f>
        <v>16.032699999999998</v>
      </c>
      <c r="M414" s="10">
        <f>CHOOSE(CONTROL!$C$42, 15.0457, 15.0457) * CHOOSE(CONTROL!$C$21, $C$9, 100%, $E$9)</f>
        <v>15.0457</v>
      </c>
      <c r="N414" s="10">
        <f>CHOOSE(CONTROL!$C$42, 15.0627, 15.0627) * CHOOSE(CONTROL!$C$21, $C$9, 100%, $E$9)</f>
        <v>15.0627</v>
      </c>
      <c r="O414" s="10">
        <f>CHOOSE(CONTROL!$C$42, 15.3037, 15.3037) * CHOOSE(CONTROL!$C$21, $C$9, 100%, $E$9)</f>
        <v>15.303699999999999</v>
      </c>
      <c r="P414" s="10">
        <f>CHOOSE(CONTROL!$C$42, 15.0527, 15.0527) * CHOOSE(CONTROL!$C$21, $C$9, 100%, $E$9)</f>
        <v>15.0527</v>
      </c>
      <c r="Q414" s="10">
        <f>CHOOSE(CONTROL!$C$42, 15.899, 15.899) * CHOOSE(CONTROL!$C$21, $C$9, 100%, $E$9)</f>
        <v>15.898999999999999</v>
      </c>
      <c r="R414" s="10">
        <f>CHOOSE(CONTROL!$C$42, 16.5257, 16.5257) * CHOOSE(CONTROL!$C$21, $C$9, 100%, $E$9)</f>
        <v>16.525700000000001</v>
      </c>
      <c r="S414" s="10">
        <f>CHOOSE(CONTROL!$C$42, 14.7813, 14.7813) * CHOOSE(CONTROL!$C$21, $C$9, 100%, $E$9)</f>
        <v>14.7813</v>
      </c>
      <c r="T414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414" s="58">
        <f>(1000*CHOOSE(CONTROL!$C$42, 695, 695)*CHOOSE(CONTROL!$C$42, 0.5599, 0.5599)*CHOOSE(CONTROL!$C$42, 30, 30))/1000000</f>
        <v>11.673914999999997</v>
      </c>
      <c r="V414" s="58">
        <f>(1000*CHOOSE(CONTROL!$C$42, 500, 500)*CHOOSE(CONTROL!$C$42, 0.275, 0.275)*CHOOSE(CONTROL!$C$42, 30, 30))/1000000</f>
        <v>4.125</v>
      </c>
      <c r="W414" s="58">
        <f>(1000*CHOOSE(CONTROL!$C$42, 0.1146, 0.1146)*CHOOSE(CONTROL!$C$42, 121.5, 121.5)*CHOOSE(CONTROL!$C$42, 30, 30))/1000000</f>
        <v>0.417717</v>
      </c>
      <c r="X414" s="58">
        <f>(30*0.1790888*245000/1000000)+(30*0.2374*100000/1000000)</f>
        <v>2.0285026799999999</v>
      </c>
      <c r="Y414" s="58"/>
      <c r="Z414" s="10"/>
      <c r="AA414" s="57"/>
      <c r="AB414" s="51">
        <f>(B414*194.205+C414*267.466+D414*133.845+E414*53.484+F414*40+G414*185+H414*0+I414*100+J414*300)/(194.205+267.466+133.845+53.484+0+40+185+100+300)</f>
        <v>15.242443156122448</v>
      </c>
      <c r="AC414" s="27">
        <f>(M414*'RAP TEMPLATE-GAS AVAILABILITY'!O413+N414*'RAP TEMPLATE-GAS AVAILABILITY'!P413+O414*'RAP TEMPLATE-GAS AVAILABILITY'!Q413+P414*'RAP TEMPLATE-GAS AVAILABILITY'!R413)/('RAP TEMPLATE-GAS AVAILABILITY'!O413+'RAP TEMPLATE-GAS AVAILABILITY'!P413+'RAP TEMPLATE-GAS AVAILABILITY'!Q413+'RAP TEMPLATE-GAS AVAILABILITY'!R413)</f>
        <v>15.123009352517986</v>
      </c>
    </row>
    <row r="415" spans="1:29" ht="15.75" x14ac:dyDescent="0.25">
      <c r="A415" s="14">
        <v>53539</v>
      </c>
      <c r="B415" s="10">
        <f>CHOOSE(CONTROL!$C$42, 14.9336, 14.9336) * CHOOSE(CONTROL!$C$21, $C$9, 100%, $E$9)</f>
        <v>14.9336</v>
      </c>
      <c r="C415" s="10">
        <f>CHOOSE(CONTROL!$C$42, 14.9415, 14.9415) * CHOOSE(CONTROL!$C$21, $C$9, 100%, $E$9)</f>
        <v>14.9415</v>
      </c>
      <c r="D415" s="10">
        <f>CHOOSE(CONTROL!$C$42, 15.1339, 15.1339) * CHOOSE(CONTROL!$C$21, $C$9, 100%, $E$9)</f>
        <v>15.133900000000001</v>
      </c>
      <c r="E415" s="10">
        <f>CHOOSE(CONTROL!$C$42, 15.1651, 15.1651) * CHOOSE(CONTROL!$C$21, $C$9, 100%, $E$9)</f>
        <v>15.165100000000001</v>
      </c>
      <c r="F415" s="10">
        <f>CHOOSE(CONTROL!$C$42, 14.9005, 14.9005)*CHOOSE(CONTROL!$C$21, $C$9, 100%, $E$9)</f>
        <v>14.900499999999999</v>
      </c>
      <c r="G415" s="10">
        <f>CHOOSE(CONTROL!$C$42, 14.9178, 14.9178)*CHOOSE(CONTROL!$C$21, $C$9, 100%, $E$9)</f>
        <v>14.9178</v>
      </c>
      <c r="H415" s="10">
        <f>CHOOSE(CONTROL!$C$42, 15.1537, 15.1537) * CHOOSE(CONTROL!$C$21, $C$9, 100%, $E$9)</f>
        <v>15.153700000000001</v>
      </c>
      <c r="I415" s="10">
        <f>CHOOSE(CONTROL!$C$42, 14.9002, 14.9002)* CHOOSE(CONTROL!$C$21, $C$9, 100%, $E$9)</f>
        <v>14.9002</v>
      </c>
      <c r="J415" s="10">
        <f>CHOOSE(CONTROL!$C$42, 14.8935, 14.8935)* CHOOSE(CONTROL!$C$21, $C$9, 100%, $E$9)</f>
        <v>14.8935</v>
      </c>
      <c r="K415" s="54">
        <f>CHOOSE(CONTROL!$C$42, 14.8963, 14.8963) * CHOOSE(CONTROL!$C$21, $C$9, 100%, $E$9)</f>
        <v>14.8963</v>
      </c>
      <c r="L415" s="10">
        <f>CHOOSE(CONTROL!$C$42, 15.7407, 15.7407) * CHOOSE(CONTROL!$C$21, $C$9, 100%, $E$9)</f>
        <v>15.7407</v>
      </c>
      <c r="M415" s="10">
        <f>CHOOSE(CONTROL!$C$42, 14.757, 14.757) * CHOOSE(CONTROL!$C$21, $C$9, 100%, $E$9)</f>
        <v>14.757</v>
      </c>
      <c r="N415" s="10">
        <f>CHOOSE(CONTROL!$C$42, 14.7741, 14.7741) * CHOOSE(CONTROL!$C$21, $C$9, 100%, $E$9)</f>
        <v>14.774100000000001</v>
      </c>
      <c r="O415" s="10">
        <f>CHOOSE(CONTROL!$C$42, 15.0146, 15.0146) * CHOOSE(CONTROL!$C$21, $C$9, 100%, $E$9)</f>
        <v>15.0146</v>
      </c>
      <c r="P415" s="10">
        <f>CHOOSE(CONTROL!$C$42, 14.7637, 14.7637) * CHOOSE(CONTROL!$C$21, $C$9, 100%, $E$9)</f>
        <v>14.7637</v>
      </c>
      <c r="Q415" s="10">
        <f>CHOOSE(CONTROL!$C$42, 15.6099, 15.6099) * CHOOSE(CONTROL!$C$21, $C$9, 100%, $E$9)</f>
        <v>15.6099</v>
      </c>
      <c r="R415" s="10">
        <f>CHOOSE(CONTROL!$C$42, 16.2359, 16.2359) * CHOOSE(CONTROL!$C$21, $C$9, 100%, $E$9)</f>
        <v>16.235900000000001</v>
      </c>
      <c r="S415" s="10">
        <f>CHOOSE(CONTROL!$C$42, 14.4978, 14.4978) * CHOOSE(CONTROL!$C$21, $C$9, 100%, $E$9)</f>
        <v>14.4978</v>
      </c>
      <c r="T415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415" s="58">
        <f>(1000*CHOOSE(CONTROL!$C$42, 695, 695)*CHOOSE(CONTROL!$C$42, 0.5599, 0.5599)*CHOOSE(CONTROL!$C$42, 31, 31))/1000000</f>
        <v>12.063045499999998</v>
      </c>
      <c r="V415" s="58">
        <f>(1000*CHOOSE(CONTROL!$C$42, 500, 500)*CHOOSE(CONTROL!$C$42, 0.275, 0.275)*CHOOSE(CONTROL!$C$42, 31, 31))/1000000</f>
        <v>4.2625000000000002</v>
      </c>
      <c r="W415" s="58">
        <f>(1000*CHOOSE(CONTROL!$C$42, 0.1146, 0.1146)*CHOOSE(CONTROL!$C$42, 121.5, 121.5)*CHOOSE(CONTROL!$C$42, 31, 31))/1000000</f>
        <v>0.43164089999999994</v>
      </c>
      <c r="X415" s="58">
        <f>(31*0.1790888*245000/1000000)+(31*0.2374*100000/1000000)</f>
        <v>2.0961194359999999</v>
      </c>
      <c r="Y415" s="58"/>
      <c r="Z415" s="10"/>
      <c r="AA415" s="57"/>
      <c r="AB415" s="51">
        <f>(B415*194.205+C415*267.466+D415*133.845+E415*53.484+F415*40+G415*185+H415*0+I415*100+J415*300)/(194.205+267.466+133.845+53.484+0+40+185+100+300)</f>
        <v>14.950622512480379</v>
      </c>
      <c r="AC415" s="27">
        <f>(M415*'RAP TEMPLATE-GAS AVAILABILITY'!O414+N415*'RAP TEMPLATE-GAS AVAILABILITY'!P414+O415*'RAP TEMPLATE-GAS AVAILABILITY'!Q414+P415*'RAP TEMPLATE-GAS AVAILABILITY'!R414)/('RAP TEMPLATE-GAS AVAILABILITY'!O414+'RAP TEMPLATE-GAS AVAILABILITY'!P414+'RAP TEMPLATE-GAS AVAILABILITY'!Q414+'RAP TEMPLATE-GAS AVAILABILITY'!R414)</f>
        <v>14.834176978417267</v>
      </c>
    </row>
    <row r="416" spans="1:29" ht="15.75" x14ac:dyDescent="0.25">
      <c r="A416" s="14">
        <v>53570</v>
      </c>
      <c r="B416" s="10">
        <f>CHOOSE(CONTROL!$C$42, 14.1962, 14.1962) * CHOOSE(CONTROL!$C$21, $C$9, 100%, $E$9)</f>
        <v>14.196199999999999</v>
      </c>
      <c r="C416" s="10">
        <f>CHOOSE(CONTROL!$C$42, 14.2041, 14.2041) * CHOOSE(CONTROL!$C$21, $C$9, 100%, $E$9)</f>
        <v>14.2041</v>
      </c>
      <c r="D416" s="10">
        <f>CHOOSE(CONTROL!$C$42, 14.3966, 14.3966) * CHOOSE(CONTROL!$C$21, $C$9, 100%, $E$9)</f>
        <v>14.396599999999999</v>
      </c>
      <c r="E416" s="10">
        <f>CHOOSE(CONTROL!$C$42, 14.4277, 14.4277) * CHOOSE(CONTROL!$C$21, $C$9, 100%, $E$9)</f>
        <v>14.4277</v>
      </c>
      <c r="F416" s="10">
        <f>CHOOSE(CONTROL!$C$42, 14.1633, 14.1633)*CHOOSE(CONTROL!$C$21, $C$9, 100%, $E$9)</f>
        <v>14.1633</v>
      </c>
      <c r="G416" s="10">
        <f>CHOOSE(CONTROL!$C$42, 14.1806, 14.1806)*CHOOSE(CONTROL!$C$21, $C$9, 100%, $E$9)</f>
        <v>14.1806</v>
      </c>
      <c r="H416" s="10">
        <f>CHOOSE(CONTROL!$C$42, 14.4163, 14.4163) * CHOOSE(CONTROL!$C$21, $C$9, 100%, $E$9)</f>
        <v>14.4163</v>
      </c>
      <c r="I416" s="10">
        <f>CHOOSE(CONTROL!$C$42, 14.1628, 14.1628)* CHOOSE(CONTROL!$C$21, $C$9, 100%, $E$9)</f>
        <v>14.162800000000001</v>
      </c>
      <c r="J416" s="10">
        <f>CHOOSE(CONTROL!$C$42, 14.1563, 14.1563)* CHOOSE(CONTROL!$C$21, $C$9, 100%, $E$9)</f>
        <v>14.1563</v>
      </c>
      <c r="K416" s="54">
        <f>CHOOSE(CONTROL!$C$42, 14.1589, 14.1589) * CHOOSE(CONTROL!$C$21, $C$9, 100%, $E$9)</f>
        <v>14.158899999999999</v>
      </c>
      <c r="L416" s="10">
        <f>CHOOSE(CONTROL!$C$42, 15.0033, 15.0033) * CHOOSE(CONTROL!$C$21, $C$9, 100%, $E$9)</f>
        <v>15.003299999999999</v>
      </c>
      <c r="M416" s="10">
        <f>CHOOSE(CONTROL!$C$42, 14.0272, 14.0272) * CHOOSE(CONTROL!$C$21, $C$9, 100%, $E$9)</f>
        <v>14.027200000000001</v>
      </c>
      <c r="N416" s="10">
        <f>CHOOSE(CONTROL!$C$42, 14.0444, 14.0444) * CHOOSE(CONTROL!$C$21, $C$9, 100%, $E$9)</f>
        <v>14.0444</v>
      </c>
      <c r="O416" s="10">
        <f>CHOOSE(CONTROL!$C$42, 14.2847, 14.2847) * CHOOSE(CONTROL!$C$21, $C$9, 100%, $E$9)</f>
        <v>14.284700000000001</v>
      </c>
      <c r="P416" s="10">
        <f>CHOOSE(CONTROL!$C$42, 14.0337, 14.0337) * CHOOSE(CONTROL!$C$21, $C$9, 100%, $E$9)</f>
        <v>14.0337</v>
      </c>
      <c r="Q416" s="10">
        <f>CHOOSE(CONTROL!$C$42, 14.88, 14.88) * CHOOSE(CONTROL!$C$21, $C$9, 100%, $E$9)</f>
        <v>14.88</v>
      </c>
      <c r="R416" s="10">
        <f>CHOOSE(CONTROL!$C$42, 15.5042, 15.5042) * CHOOSE(CONTROL!$C$21, $C$9, 100%, $E$9)</f>
        <v>15.504200000000001</v>
      </c>
      <c r="S416" s="10">
        <f>CHOOSE(CONTROL!$C$42, 13.7817, 13.7817) * CHOOSE(CONTROL!$C$21, $C$9, 100%, $E$9)</f>
        <v>13.781700000000001</v>
      </c>
      <c r="T416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416" s="58">
        <f>(1000*CHOOSE(CONTROL!$C$42, 695, 695)*CHOOSE(CONTROL!$C$42, 0.5599, 0.5599)*CHOOSE(CONTROL!$C$42, 31, 31))/1000000</f>
        <v>12.063045499999998</v>
      </c>
      <c r="V416" s="58">
        <f>(1000*CHOOSE(CONTROL!$C$42, 500, 500)*CHOOSE(CONTROL!$C$42, 0.275, 0.275)*CHOOSE(CONTROL!$C$42, 31, 31))/1000000</f>
        <v>4.2625000000000002</v>
      </c>
      <c r="W416" s="58">
        <f>(1000*CHOOSE(CONTROL!$C$42, 0.1146, 0.1146)*CHOOSE(CONTROL!$C$42, 121.5, 121.5)*CHOOSE(CONTROL!$C$42, 31, 31))/1000000</f>
        <v>0.43164089999999994</v>
      </c>
      <c r="X416" s="58">
        <f>(31*0.1790888*245000/1000000)+(31*0.2374*100000/1000000)</f>
        <v>2.0961194359999999</v>
      </c>
      <c r="Y416" s="58"/>
      <c r="Z416" s="10"/>
      <c r="AA416" s="57"/>
      <c r="AB416" s="51">
        <f>(B416*194.205+C416*267.466+D416*133.845+E416*53.484+F416*40+G416*185+H416*0+I416*100+J416*300)/(194.205+267.466+133.845+53.484+0+40+185+100+300)</f>
        <v>14.213315435949765</v>
      </c>
      <c r="AC416" s="27">
        <f>(M416*'RAP TEMPLATE-GAS AVAILABILITY'!O415+N416*'RAP TEMPLATE-GAS AVAILABILITY'!P415+O416*'RAP TEMPLATE-GAS AVAILABILITY'!Q415+P416*'RAP TEMPLATE-GAS AVAILABILITY'!R415)/('RAP TEMPLATE-GAS AVAILABILITY'!O415+'RAP TEMPLATE-GAS AVAILABILITY'!P415+'RAP TEMPLATE-GAS AVAILABILITY'!Q415+'RAP TEMPLATE-GAS AVAILABILITY'!R415)</f>
        <v>14.104343165467624</v>
      </c>
    </row>
    <row r="417" spans="1:29" ht="15.75" x14ac:dyDescent="0.25">
      <c r="A417" s="14">
        <v>53600</v>
      </c>
      <c r="B417" s="10">
        <f>CHOOSE(CONTROL!$C$42, 13.2949, 13.2949) * CHOOSE(CONTROL!$C$21, $C$9, 100%, $E$9)</f>
        <v>13.2949</v>
      </c>
      <c r="C417" s="10">
        <f>CHOOSE(CONTROL!$C$42, 13.3028, 13.3028) * CHOOSE(CONTROL!$C$21, $C$9, 100%, $E$9)</f>
        <v>13.3028</v>
      </c>
      <c r="D417" s="10">
        <f>CHOOSE(CONTROL!$C$42, 13.4952, 13.4952) * CHOOSE(CONTROL!$C$21, $C$9, 100%, $E$9)</f>
        <v>13.495200000000001</v>
      </c>
      <c r="E417" s="10">
        <f>CHOOSE(CONTROL!$C$42, 13.5264, 13.5264) * CHOOSE(CONTROL!$C$21, $C$9, 100%, $E$9)</f>
        <v>13.526400000000001</v>
      </c>
      <c r="F417" s="10">
        <f>CHOOSE(CONTROL!$C$42, 13.2618, 13.2618)*CHOOSE(CONTROL!$C$21, $C$9, 100%, $E$9)</f>
        <v>13.261799999999999</v>
      </c>
      <c r="G417" s="10">
        <f>CHOOSE(CONTROL!$C$42, 13.2791, 13.2791)*CHOOSE(CONTROL!$C$21, $C$9, 100%, $E$9)</f>
        <v>13.2791</v>
      </c>
      <c r="H417" s="10">
        <f>CHOOSE(CONTROL!$C$42, 13.515, 13.515) * CHOOSE(CONTROL!$C$21, $C$9, 100%, $E$9)</f>
        <v>13.515000000000001</v>
      </c>
      <c r="I417" s="10">
        <f>CHOOSE(CONTROL!$C$42, 13.2615, 13.2615)* CHOOSE(CONTROL!$C$21, $C$9, 100%, $E$9)</f>
        <v>13.2615</v>
      </c>
      <c r="J417" s="10">
        <f>CHOOSE(CONTROL!$C$42, 13.2548, 13.2548)* CHOOSE(CONTROL!$C$21, $C$9, 100%, $E$9)</f>
        <v>13.254799999999999</v>
      </c>
      <c r="K417" s="54">
        <f>CHOOSE(CONTROL!$C$42, 13.2576, 13.2576) * CHOOSE(CONTROL!$C$21, $C$9, 100%, $E$9)</f>
        <v>13.2576</v>
      </c>
      <c r="L417" s="10">
        <f>CHOOSE(CONTROL!$C$42, 14.102, 14.102) * CHOOSE(CONTROL!$C$21, $C$9, 100%, $E$9)</f>
        <v>14.102</v>
      </c>
      <c r="M417" s="10">
        <f>CHOOSE(CONTROL!$C$42, 13.1349, 13.1349) * CHOOSE(CONTROL!$C$21, $C$9, 100%, $E$9)</f>
        <v>13.1349</v>
      </c>
      <c r="N417" s="10">
        <f>CHOOSE(CONTROL!$C$42, 13.152, 13.152) * CHOOSE(CONTROL!$C$21, $C$9, 100%, $E$9)</f>
        <v>13.151999999999999</v>
      </c>
      <c r="O417" s="10">
        <f>CHOOSE(CONTROL!$C$42, 13.3925, 13.3925) * CHOOSE(CONTROL!$C$21, $C$9, 100%, $E$9)</f>
        <v>13.3925</v>
      </c>
      <c r="P417" s="10">
        <f>CHOOSE(CONTROL!$C$42, 13.1415, 13.1415) * CHOOSE(CONTROL!$C$21, $C$9, 100%, $E$9)</f>
        <v>13.141500000000001</v>
      </c>
      <c r="Q417" s="10">
        <f>CHOOSE(CONTROL!$C$42, 13.9878, 13.9878) * CHOOSE(CONTROL!$C$21, $C$9, 100%, $E$9)</f>
        <v>13.9878</v>
      </c>
      <c r="R417" s="10">
        <f>CHOOSE(CONTROL!$C$42, 14.6097, 14.6097) * CHOOSE(CONTROL!$C$21, $C$9, 100%, $E$9)</f>
        <v>14.6097</v>
      </c>
      <c r="S417" s="10">
        <f>CHOOSE(CONTROL!$C$42, 12.9064, 12.9064) * CHOOSE(CONTROL!$C$21, $C$9, 100%, $E$9)</f>
        <v>12.9064</v>
      </c>
      <c r="T417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417" s="58">
        <f>(1000*CHOOSE(CONTROL!$C$42, 695, 695)*CHOOSE(CONTROL!$C$42, 0.5599, 0.5599)*CHOOSE(CONTROL!$C$42, 30, 30))/1000000</f>
        <v>11.673914999999997</v>
      </c>
      <c r="V417" s="58">
        <f>(1000*CHOOSE(CONTROL!$C$42, 500, 500)*CHOOSE(CONTROL!$C$42, 0.275, 0.275)*CHOOSE(CONTROL!$C$42, 30, 30))/1000000</f>
        <v>4.125</v>
      </c>
      <c r="W417" s="58">
        <f>(1000*CHOOSE(CONTROL!$C$42, 0.1146, 0.1146)*CHOOSE(CONTROL!$C$42, 121.5, 121.5)*CHOOSE(CONTROL!$C$42, 30, 30))/1000000</f>
        <v>0.417717</v>
      </c>
      <c r="X417" s="58">
        <f>(30*0.1790888*245000/1000000)+(30*0.2374*100000/1000000)</f>
        <v>2.0285026799999999</v>
      </c>
      <c r="Y417" s="58"/>
      <c r="Z417" s="10"/>
      <c r="AA417" s="57"/>
      <c r="AB417" s="51">
        <f>(B417*194.205+C417*267.466+D417*133.845+E417*53.484+F417*40+G417*185+H417*0+I417*100+J417*300)/(194.205+267.466+133.845+53.484+0+40+185+100+300)</f>
        <v>13.311922512480376</v>
      </c>
      <c r="AC417" s="27">
        <f>(M417*'RAP TEMPLATE-GAS AVAILABILITY'!O416+N417*'RAP TEMPLATE-GAS AVAILABILITY'!P416+O417*'RAP TEMPLATE-GAS AVAILABILITY'!Q416+P417*'RAP TEMPLATE-GAS AVAILABILITY'!R416)/('RAP TEMPLATE-GAS AVAILABILITY'!O416+'RAP TEMPLATE-GAS AVAILABILITY'!P416+'RAP TEMPLATE-GAS AVAILABILITY'!Q416+'RAP TEMPLATE-GAS AVAILABILITY'!R416)</f>
        <v>13.212062589928058</v>
      </c>
    </row>
    <row r="418" spans="1:29" ht="15.75" x14ac:dyDescent="0.25">
      <c r="A418" s="14">
        <v>53631</v>
      </c>
      <c r="B418" s="10">
        <f>CHOOSE(CONTROL!$C$42, 13.0233, 13.0233) * CHOOSE(CONTROL!$C$21, $C$9, 100%, $E$9)</f>
        <v>13.023300000000001</v>
      </c>
      <c r="C418" s="10">
        <f>CHOOSE(CONTROL!$C$42, 13.0285, 13.0285) * CHOOSE(CONTROL!$C$21, $C$9, 100%, $E$9)</f>
        <v>13.028499999999999</v>
      </c>
      <c r="D418" s="10">
        <f>CHOOSE(CONTROL!$C$42, 13.2259, 13.2259) * CHOOSE(CONTROL!$C$21, $C$9, 100%, $E$9)</f>
        <v>13.225899999999999</v>
      </c>
      <c r="E418" s="10">
        <f>CHOOSE(CONTROL!$C$42, 13.2547, 13.2547) * CHOOSE(CONTROL!$C$21, $C$9, 100%, $E$9)</f>
        <v>13.2547</v>
      </c>
      <c r="F418" s="10">
        <f>CHOOSE(CONTROL!$C$42, 12.9922, 12.9922)*CHOOSE(CONTROL!$C$21, $C$9, 100%, $E$9)</f>
        <v>12.9922</v>
      </c>
      <c r="G418" s="10">
        <f>CHOOSE(CONTROL!$C$42, 13.0092, 13.0092)*CHOOSE(CONTROL!$C$21, $C$9, 100%, $E$9)</f>
        <v>13.0092</v>
      </c>
      <c r="H418" s="10">
        <f>CHOOSE(CONTROL!$C$42, 13.2452, 13.2452) * CHOOSE(CONTROL!$C$21, $C$9, 100%, $E$9)</f>
        <v>13.245200000000001</v>
      </c>
      <c r="I418" s="10">
        <f>CHOOSE(CONTROL!$C$42, 12.9916, 12.9916)* CHOOSE(CONTROL!$C$21, $C$9, 100%, $E$9)</f>
        <v>12.9916</v>
      </c>
      <c r="J418" s="10">
        <f>CHOOSE(CONTROL!$C$42, 12.9852, 12.9852)* CHOOSE(CONTROL!$C$21, $C$9, 100%, $E$9)</f>
        <v>12.985200000000001</v>
      </c>
      <c r="K418" s="54">
        <f>CHOOSE(CONTROL!$C$42, 12.9877, 12.9877) * CHOOSE(CONTROL!$C$21, $C$9, 100%, $E$9)</f>
        <v>12.9877</v>
      </c>
      <c r="L418" s="10">
        <f>CHOOSE(CONTROL!$C$42, 13.8322, 13.8322) * CHOOSE(CONTROL!$C$21, $C$9, 100%, $E$9)</f>
        <v>13.8322</v>
      </c>
      <c r="M418" s="10">
        <f>CHOOSE(CONTROL!$C$42, 12.868, 12.868) * CHOOSE(CONTROL!$C$21, $C$9, 100%, $E$9)</f>
        <v>12.868</v>
      </c>
      <c r="N418" s="10">
        <f>CHOOSE(CONTROL!$C$42, 12.8848, 12.8848) * CHOOSE(CONTROL!$C$21, $C$9, 100%, $E$9)</f>
        <v>12.8848</v>
      </c>
      <c r="O418" s="10">
        <f>CHOOSE(CONTROL!$C$42, 13.1253, 13.1253) * CHOOSE(CONTROL!$C$21, $C$9, 100%, $E$9)</f>
        <v>13.125299999999999</v>
      </c>
      <c r="P418" s="10">
        <f>CHOOSE(CONTROL!$C$42, 12.8744, 12.8744) * CHOOSE(CONTROL!$C$21, $C$9, 100%, $E$9)</f>
        <v>12.8744</v>
      </c>
      <c r="Q418" s="10">
        <f>CHOOSE(CONTROL!$C$42, 13.7206, 13.7206) * CHOOSE(CONTROL!$C$21, $C$9, 100%, $E$9)</f>
        <v>13.720599999999999</v>
      </c>
      <c r="R418" s="10">
        <f>CHOOSE(CONTROL!$C$42, 14.3419, 14.3419) * CHOOSE(CONTROL!$C$21, $C$9, 100%, $E$9)</f>
        <v>14.341900000000001</v>
      </c>
      <c r="S418" s="10">
        <f>CHOOSE(CONTROL!$C$42, 12.6444, 12.6444) * CHOOSE(CONTROL!$C$21, $C$9, 100%, $E$9)</f>
        <v>12.644399999999999</v>
      </c>
      <c r="T418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418" s="58">
        <f>(1000*CHOOSE(CONTROL!$C$42, 695, 695)*CHOOSE(CONTROL!$C$42, 0.5599, 0.5599)*CHOOSE(CONTROL!$C$42, 31, 31))/1000000</f>
        <v>12.063045499999998</v>
      </c>
      <c r="V418" s="58">
        <f>(1000*CHOOSE(CONTROL!$C$42, 500, 500)*CHOOSE(CONTROL!$C$42, 0.275, 0.275)*CHOOSE(CONTROL!$C$42, 31, 31))/1000000</f>
        <v>4.2625000000000002</v>
      </c>
      <c r="W418" s="58">
        <f>(1000*CHOOSE(CONTROL!$C$42, 0.1146, 0.1146)*CHOOSE(CONTROL!$C$42, 121.5, 121.5)*CHOOSE(CONTROL!$C$42, 31, 31))/1000000</f>
        <v>0.43164089999999994</v>
      </c>
      <c r="X418" s="58">
        <f>(31*0.1790888*245000/1000000)+(31*0.2374*100000/1000000)</f>
        <v>2.0961194359999999</v>
      </c>
      <c r="Y418" s="58"/>
      <c r="Z418" s="10"/>
      <c r="AA418" s="57"/>
      <c r="AB418" s="51">
        <f>(B418*131.881+C418*277.167+D418*79.08+E418*125.872+F418*40+G418*185+H418*0+I418*100+J418*300)/(131.881+277.167+79.08+125.872+0+40+185+100+300)</f>
        <v>13.046009569975785</v>
      </c>
      <c r="AC418" s="27">
        <f>(M418*'RAP TEMPLATE-GAS AVAILABILITY'!O417+N418*'RAP TEMPLATE-GAS AVAILABILITY'!P417+O418*'RAP TEMPLATE-GAS AVAILABILITY'!Q417+P418*'RAP TEMPLATE-GAS AVAILABILITY'!R417)/('RAP TEMPLATE-GAS AVAILABILITY'!O417+'RAP TEMPLATE-GAS AVAILABILITY'!P417+'RAP TEMPLATE-GAS AVAILABILITY'!Q417+'RAP TEMPLATE-GAS AVAILABILITY'!R417)</f>
        <v>12.944980575539569</v>
      </c>
    </row>
    <row r="419" spans="1:29" ht="15.75" x14ac:dyDescent="0.25">
      <c r="A419" s="14">
        <v>53661</v>
      </c>
      <c r="B419" s="10">
        <f>CHOOSE(CONTROL!$C$42, 13.3659, 13.3659) * CHOOSE(CONTROL!$C$21, $C$9, 100%, $E$9)</f>
        <v>13.3659</v>
      </c>
      <c r="C419" s="10">
        <f>CHOOSE(CONTROL!$C$42, 13.3708, 13.3708) * CHOOSE(CONTROL!$C$21, $C$9, 100%, $E$9)</f>
        <v>13.370799999999999</v>
      </c>
      <c r="D419" s="10">
        <f>CHOOSE(CONTROL!$C$42, 13.4005, 13.4005) * CHOOSE(CONTROL!$C$21, $C$9, 100%, $E$9)</f>
        <v>13.400499999999999</v>
      </c>
      <c r="E419" s="10">
        <f>CHOOSE(CONTROL!$C$42, 13.4342, 13.4342) * CHOOSE(CONTROL!$C$21, $C$9, 100%, $E$9)</f>
        <v>13.434200000000001</v>
      </c>
      <c r="F419" s="10">
        <f>CHOOSE(CONTROL!$C$42, 13.3327, 13.3327)*CHOOSE(CONTROL!$C$21, $C$9, 100%, $E$9)</f>
        <v>13.332700000000001</v>
      </c>
      <c r="G419" s="10">
        <f>CHOOSE(CONTROL!$C$42, 13.3498, 13.3498)*CHOOSE(CONTROL!$C$21, $C$9, 100%, $E$9)</f>
        <v>13.3498</v>
      </c>
      <c r="H419" s="10">
        <f>CHOOSE(CONTROL!$C$42, 13.4234, 13.4234) * CHOOSE(CONTROL!$C$21, $C$9, 100%, $E$9)</f>
        <v>13.423400000000001</v>
      </c>
      <c r="I419" s="10">
        <f>CHOOSE(CONTROL!$C$42, 13.3295, 13.3295)* CHOOSE(CONTROL!$C$21, $C$9, 100%, $E$9)</f>
        <v>13.329499999999999</v>
      </c>
      <c r="J419" s="10">
        <f>CHOOSE(CONTROL!$C$42, 13.3257, 13.3257)* CHOOSE(CONTROL!$C$21, $C$9, 100%, $E$9)</f>
        <v>13.325699999999999</v>
      </c>
      <c r="K419" s="54">
        <f>CHOOSE(CONTROL!$C$42, 13.3256, 13.3256) * CHOOSE(CONTROL!$C$21, $C$9, 100%, $E$9)</f>
        <v>13.3256</v>
      </c>
      <c r="L419" s="10">
        <f>CHOOSE(CONTROL!$C$42, 14.0104, 14.0104) * CHOOSE(CONTROL!$C$21, $C$9, 100%, $E$9)</f>
        <v>14.010400000000001</v>
      </c>
      <c r="M419" s="10">
        <f>CHOOSE(CONTROL!$C$42, 13.205, 13.205) * CHOOSE(CONTROL!$C$21, $C$9, 100%, $E$9)</f>
        <v>13.205</v>
      </c>
      <c r="N419" s="10">
        <f>CHOOSE(CONTROL!$C$42, 13.222, 13.222) * CHOOSE(CONTROL!$C$21, $C$9, 100%, $E$9)</f>
        <v>13.222</v>
      </c>
      <c r="O419" s="10">
        <f>CHOOSE(CONTROL!$C$42, 13.3018, 13.3018) * CHOOSE(CONTROL!$C$21, $C$9, 100%, $E$9)</f>
        <v>13.3018</v>
      </c>
      <c r="P419" s="10">
        <f>CHOOSE(CONTROL!$C$42, 13.2088, 13.2088) * CHOOSE(CONTROL!$C$21, $C$9, 100%, $E$9)</f>
        <v>13.2088</v>
      </c>
      <c r="Q419" s="10">
        <f>CHOOSE(CONTROL!$C$42, 13.8971, 13.8971) * CHOOSE(CONTROL!$C$21, $C$9, 100%, $E$9)</f>
        <v>13.8971</v>
      </c>
      <c r="R419" s="10">
        <f>CHOOSE(CONTROL!$C$42, 14.5188, 14.5188) * CHOOSE(CONTROL!$C$21, $C$9, 100%, $E$9)</f>
        <v>14.518800000000001</v>
      </c>
      <c r="S419" s="10">
        <f>CHOOSE(CONTROL!$C$42, 12.9775, 12.9775) * CHOOSE(CONTROL!$C$21, $C$9, 100%, $E$9)</f>
        <v>12.977499999999999</v>
      </c>
      <c r="T419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419" s="58">
        <f>(1000*CHOOSE(CONTROL!$C$42, 695, 695)*CHOOSE(CONTROL!$C$42, 0.5599, 0.5599)*CHOOSE(CONTROL!$C$42, 30, 30))/1000000</f>
        <v>11.673914999999997</v>
      </c>
      <c r="V419" s="58">
        <f>(1000*CHOOSE(CONTROL!$C$42, 500, 500)*CHOOSE(CONTROL!$C$42, 0.275, 0.275)*CHOOSE(CONTROL!$C$42, 30, 30))/1000000</f>
        <v>4.125</v>
      </c>
      <c r="W419" s="58">
        <f>(1000*CHOOSE(CONTROL!$C$42, 0.1146, 0.1146)*CHOOSE(CONTROL!$C$42, 121.5, 121.5)*CHOOSE(CONTROL!$C$42, 30, 30))/1000000</f>
        <v>0.417717</v>
      </c>
      <c r="X419" s="58">
        <f>(30*0.1790888*100000/1000000)+(30*0.2374*100000/1000000)</f>
        <v>1.2494664</v>
      </c>
      <c r="Y419" s="58"/>
      <c r="Z419" s="10"/>
      <c r="AA419" s="57"/>
      <c r="AB419" s="51">
        <f>(B419*122.58+C419*297.941+D419*89.177+E419*40.302+F419*40+G419*160+H419*0+I419*100+J419*300)/(122.58+297.941+89.177+40.302+0+40+160+100+300)</f>
        <v>13.355199184086956</v>
      </c>
      <c r="AC419" s="27">
        <f>(M419*'RAP TEMPLATE-GAS AVAILABILITY'!O418+N419*'RAP TEMPLATE-GAS AVAILABILITY'!P418+O419*'RAP TEMPLATE-GAS AVAILABILITY'!Q418+P419*'RAP TEMPLATE-GAS AVAILABILITY'!R418)/('RAP TEMPLATE-GAS AVAILABILITY'!O418+'RAP TEMPLATE-GAS AVAILABILITY'!P418+'RAP TEMPLATE-GAS AVAILABILITY'!Q418+'RAP TEMPLATE-GAS AVAILABILITY'!R418)</f>
        <v>13.25039856115108</v>
      </c>
    </row>
    <row r="420" spans="1:29" ht="15.75" x14ac:dyDescent="0.25">
      <c r="A420" s="14">
        <v>53692</v>
      </c>
      <c r="B420" s="10">
        <f>CHOOSE(CONTROL!$C$42, 14.277, 14.277) * CHOOSE(CONTROL!$C$21, $C$9, 100%, $E$9)</f>
        <v>14.276999999999999</v>
      </c>
      <c r="C420" s="10">
        <f>CHOOSE(CONTROL!$C$42, 14.2819, 14.2819) * CHOOSE(CONTROL!$C$21, $C$9, 100%, $E$9)</f>
        <v>14.2819</v>
      </c>
      <c r="D420" s="10">
        <f>CHOOSE(CONTROL!$C$42, 14.3115, 14.3115) * CHOOSE(CONTROL!$C$21, $C$9, 100%, $E$9)</f>
        <v>14.311500000000001</v>
      </c>
      <c r="E420" s="10">
        <f>CHOOSE(CONTROL!$C$42, 14.3453, 14.3453) * CHOOSE(CONTROL!$C$21, $C$9, 100%, $E$9)</f>
        <v>14.3453</v>
      </c>
      <c r="F420" s="10">
        <f>CHOOSE(CONTROL!$C$42, 14.2452, 14.2452)*CHOOSE(CONTROL!$C$21, $C$9, 100%, $E$9)</f>
        <v>14.245200000000001</v>
      </c>
      <c r="G420" s="10">
        <f>CHOOSE(CONTROL!$C$42, 14.2627, 14.2627)*CHOOSE(CONTROL!$C$21, $C$9, 100%, $E$9)</f>
        <v>14.262700000000001</v>
      </c>
      <c r="H420" s="10">
        <f>CHOOSE(CONTROL!$C$42, 14.3345, 14.3345) * CHOOSE(CONTROL!$C$21, $C$9, 100%, $E$9)</f>
        <v>14.3345</v>
      </c>
      <c r="I420" s="10">
        <f>CHOOSE(CONTROL!$C$42, 14.2406, 14.2406)* CHOOSE(CONTROL!$C$21, $C$9, 100%, $E$9)</f>
        <v>14.240600000000001</v>
      </c>
      <c r="J420" s="10">
        <f>CHOOSE(CONTROL!$C$42, 14.2382, 14.2382)* CHOOSE(CONTROL!$C$21, $C$9, 100%, $E$9)</f>
        <v>14.238200000000001</v>
      </c>
      <c r="K420" s="54">
        <f>CHOOSE(CONTROL!$C$42, 14.2367, 14.2367) * CHOOSE(CONTROL!$C$21, $C$9, 100%, $E$9)</f>
        <v>14.236700000000001</v>
      </c>
      <c r="L420" s="10">
        <f>CHOOSE(CONTROL!$C$42, 14.9215, 14.9215) * CHOOSE(CONTROL!$C$21, $C$9, 100%, $E$9)</f>
        <v>14.9215</v>
      </c>
      <c r="M420" s="10">
        <f>CHOOSE(CONTROL!$C$42, 14.1083, 14.1083) * CHOOSE(CONTROL!$C$21, $C$9, 100%, $E$9)</f>
        <v>14.1083</v>
      </c>
      <c r="N420" s="10">
        <f>CHOOSE(CONTROL!$C$42, 14.1256, 14.1256) * CHOOSE(CONTROL!$C$21, $C$9, 100%, $E$9)</f>
        <v>14.1256</v>
      </c>
      <c r="O420" s="10">
        <f>CHOOSE(CONTROL!$C$42, 14.2037, 14.2037) * CHOOSE(CONTROL!$C$21, $C$9, 100%, $E$9)</f>
        <v>14.2037</v>
      </c>
      <c r="P420" s="10">
        <f>CHOOSE(CONTROL!$C$42, 14.1107, 14.1107) * CHOOSE(CONTROL!$C$21, $C$9, 100%, $E$9)</f>
        <v>14.1107</v>
      </c>
      <c r="Q420" s="10">
        <f>CHOOSE(CONTROL!$C$42, 14.799, 14.799) * CHOOSE(CONTROL!$C$21, $C$9, 100%, $E$9)</f>
        <v>14.798999999999999</v>
      </c>
      <c r="R420" s="10">
        <f>CHOOSE(CONTROL!$C$42, 15.423, 15.423) * CHOOSE(CONTROL!$C$21, $C$9, 100%, $E$9)</f>
        <v>15.423</v>
      </c>
      <c r="S420" s="10">
        <f>CHOOSE(CONTROL!$C$42, 13.8622, 13.8622) * CHOOSE(CONTROL!$C$21, $C$9, 100%, $E$9)</f>
        <v>13.8622</v>
      </c>
      <c r="T420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420" s="58">
        <f>(1000*CHOOSE(CONTROL!$C$42, 695, 695)*CHOOSE(CONTROL!$C$42, 0.5599, 0.5599)*CHOOSE(CONTROL!$C$42, 31, 31))/1000000</f>
        <v>12.063045499999998</v>
      </c>
      <c r="V420" s="58">
        <f>(1000*CHOOSE(CONTROL!$C$42, 500, 500)*CHOOSE(CONTROL!$C$42, 0.275, 0.275)*CHOOSE(CONTROL!$C$42, 31, 31))/1000000</f>
        <v>4.2625000000000002</v>
      </c>
      <c r="W420" s="58">
        <f>(1000*CHOOSE(CONTROL!$C$42, 0.1146, 0.1146)*CHOOSE(CONTROL!$C$42, 121.5, 121.5)*CHOOSE(CONTROL!$C$42, 31, 31))/1000000</f>
        <v>0.43164089999999994</v>
      </c>
      <c r="X420" s="58">
        <f>(31*0.1790888*100000/1000000)+(31*0.2374*100000/1000000)</f>
        <v>1.2911152800000001</v>
      </c>
      <c r="Y420" s="58"/>
      <c r="Z420" s="10"/>
      <c r="AA420" s="57"/>
      <c r="AB420" s="51">
        <f>(B420*122.58+C420*297.941+D420*89.177+E420*40.302+F420*40+G420*160+H420*0+I420*100+J420*300)/(122.58+297.941+89.177+40.302+0+40+160+100+300)</f>
        <v>14.266955777391306</v>
      </c>
      <c r="AC420" s="27">
        <f>(M420*'RAP TEMPLATE-GAS AVAILABILITY'!O419+N420*'RAP TEMPLATE-GAS AVAILABILITY'!P419+O420*'RAP TEMPLATE-GAS AVAILABILITY'!Q419+P420*'RAP TEMPLATE-GAS AVAILABILITY'!R419)/('RAP TEMPLATE-GAS AVAILABILITY'!O419+'RAP TEMPLATE-GAS AVAILABILITY'!P419+'RAP TEMPLATE-GAS AVAILABILITY'!Q419+'RAP TEMPLATE-GAS AVAILABILITY'!R419)</f>
        <v>14.152879856115108</v>
      </c>
    </row>
    <row r="421" spans="1:29" ht="15.75" x14ac:dyDescent="0.25">
      <c r="A421" s="14">
        <v>53723</v>
      </c>
      <c r="B421" s="10">
        <f>CHOOSE(CONTROL!$C$42, 15.4465, 15.4465) * CHOOSE(CONTROL!$C$21, $C$9, 100%, $E$9)</f>
        <v>15.4465</v>
      </c>
      <c r="C421" s="10">
        <f>CHOOSE(CONTROL!$C$42, 15.4515, 15.4515) * CHOOSE(CONTROL!$C$21, $C$9, 100%, $E$9)</f>
        <v>15.451499999999999</v>
      </c>
      <c r="D421" s="10">
        <f>CHOOSE(CONTROL!$C$42, 15.5017, 15.5017) * CHOOSE(CONTROL!$C$21, $C$9, 100%, $E$9)</f>
        <v>15.5017</v>
      </c>
      <c r="E421" s="10">
        <f>CHOOSE(CONTROL!$C$42, 15.5355, 15.5355) * CHOOSE(CONTROL!$C$21, $C$9, 100%, $E$9)</f>
        <v>15.535500000000001</v>
      </c>
      <c r="F421" s="10">
        <f>CHOOSE(CONTROL!$C$42, 15.4119, 15.4119)*CHOOSE(CONTROL!$C$21, $C$9, 100%, $E$9)</f>
        <v>15.411899999999999</v>
      </c>
      <c r="G421" s="10">
        <f>CHOOSE(CONTROL!$C$42, 15.4294, 15.4294)*CHOOSE(CONTROL!$C$21, $C$9, 100%, $E$9)</f>
        <v>15.429399999999999</v>
      </c>
      <c r="H421" s="10">
        <f>CHOOSE(CONTROL!$C$42, 15.5247, 15.5247) * CHOOSE(CONTROL!$C$21, $C$9, 100%, $E$9)</f>
        <v>15.524699999999999</v>
      </c>
      <c r="I421" s="10">
        <f>CHOOSE(CONTROL!$C$42, 15.4204, 15.4204)* CHOOSE(CONTROL!$C$21, $C$9, 100%, $E$9)</f>
        <v>15.420400000000001</v>
      </c>
      <c r="J421" s="10">
        <f>CHOOSE(CONTROL!$C$42, 15.4049, 15.4049)* CHOOSE(CONTROL!$C$21, $C$9, 100%, $E$9)</f>
        <v>15.4049</v>
      </c>
      <c r="K421" s="54">
        <f>CHOOSE(CONTROL!$C$42, 15.4165, 15.4165) * CHOOSE(CONTROL!$C$21, $C$9, 100%, $E$9)</f>
        <v>15.416499999999999</v>
      </c>
      <c r="L421" s="10">
        <f>CHOOSE(CONTROL!$C$42, 16.1117, 16.1117) * CHOOSE(CONTROL!$C$21, $C$9, 100%, $E$9)</f>
        <v>16.111699999999999</v>
      </c>
      <c r="M421" s="10">
        <f>CHOOSE(CONTROL!$C$42, 15.2633, 15.2633) * CHOOSE(CONTROL!$C$21, $C$9, 100%, $E$9)</f>
        <v>15.263299999999999</v>
      </c>
      <c r="N421" s="10">
        <f>CHOOSE(CONTROL!$C$42, 15.2806, 15.2806) * CHOOSE(CONTROL!$C$21, $C$9, 100%, $E$9)</f>
        <v>15.2806</v>
      </c>
      <c r="O421" s="10">
        <f>CHOOSE(CONTROL!$C$42, 15.3818, 15.3818) * CHOOSE(CONTROL!$C$21, $C$9, 100%, $E$9)</f>
        <v>15.3818</v>
      </c>
      <c r="P421" s="10">
        <f>CHOOSE(CONTROL!$C$42, 15.2787, 15.2787) * CHOOSE(CONTROL!$C$21, $C$9, 100%, $E$9)</f>
        <v>15.278700000000001</v>
      </c>
      <c r="Q421" s="10">
        <f>CHOOSE(CONTROL!$C$42, 15.9771, 15.9771) * CHOOSE(CONTROL!$C$21, $C$9, 100%, $E$9)</f>
        <v>15.9771</v>
      </c>
      <c r="R421" s="10">
        <f>CHOOSE(CONTROL!$C$42, 16.6041, 16.6041) * CHOOSE(CONTROL!$C$21, $C$9, 100%, $E$9)</f>
        <v>16.604099999999999</v>
      </c>
      <c r="S421" s="10">
        <f>CHOOSE(CONTROL!$C$42, 14.998, 14.998) * CHOOSE(CONTROL!$C$21, $C$9, 100%, $E$9)</f>
        <v>14.997999999999999</v>
      </c>
      <c r="T421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421" s="58">
        <f>(1000*CHOOSE(CONTROL!$C$42, 695, 695)*CHOOSE(CONTROL!$C$42, 0.5599, 0.5599)*CHOOSE(CONTROL!$C$42, 31, 31))/1000000</f>
        <v>12.063045499999998</v>
      </c>
      <c r="V421" s="58">
        <f>(1000*CHOOSE(CONTROL!$C$42, 500, 500)*CHOOSE(CONTROL!$C$42, 0.275, 0.275)*CHOOSE(CONTROL!$C$42, 31, 31))/1000000</f>
        <v>4.2625000000000002</v>
      </c>
      <c r="W421" s="58">
        <f>(1000*CHOOSE(CONTROL!$C$42, 0.1146, 0.1146)*CHOOSE(CONTROL!$C$42, 121.5, 121.5)*CHOOSE(CONTROL!$C$42, 31, 31))/1000000</f>
        <v>0.43164089999999994</v>
      </c>
      <c r="X421" s="58">
        <f>(31*0.1790888*100000/1000000)+(31*0.2374*100000/1000000)</f>
        <v>1.2911152800000001</v>
      </c>
      <c r="Y421" s="58"/>
      <c r="Z421" s="10"/>
      <c r="AA421" s="57"/>
      <c r="AB421" s="51">
        <f>(B421*122.58+C421*297.941+D421*89.177+E421*40.302+F421*40+G421*160+H421*0+I421*100+J421*300)/(122.58+297.941+89.177+40.302+0+40+160+100+300)</f>
        <v>15.438490568173917</v>
      </c>
      <c r="AC421" s="27">
        <f>(M421*'RAP TEMPLATE-GAS AVAILABILITY'!O420+N421*'RAP TEMPLATE-GAS AVAILABILITY'!P420+O421*'RAP TEMPLATE-GAS AVAILABILITY'!Q420+P421*'RAP TEMPLATE-GAS AVAILABILITY'!R420)/('RAP TEMPLATE-GAS AVAILABILITY'!O420+'RAP TEMPLATE-GAS AVAILABILITY'!P420+'RAP TEMPLATE-GAS AVAILABILITY'!Q420+'RAP TEMPLATE-GAS AVAILABILITY'!R420)</f>
        <v>15.320220143884894</v>
      </c>
    </row>
    <row r="422" spans="1:29" ht="15.75" x14ac:dyDescent="0.25">
      <c r="A422" s="14">
        <v>53751</v>
      </c>
      <c r="B422" s="10">
        <f>CHOOSE(CONTROL!$C$42, 15.7214, 15.7214) * CHOOSE(CONTROL!$C$21, $C$9, 100%, $E$9)</f>
        <v>15.721399999999999</v>
      </c>
      <c r="C422" s="10">
        <f>CHOOSE(CONTROL!$C$42, 15.7264, 15.7264) * CHOOSE(CONTROL!$C$21, $C$9, 100%, $E$9)</f>
        <v>15.7264</v>
      </c>
      <c r="D422" s="10">
        <f>CHOOSE(CONTROL!$C$42, 15.7869, 15.7869) * CHOOSE(CONTROL!$C$21, $C$9, 100%, $E$9)</f>
        <v>15.786899999999999</v>
      </c>
      <c r="E422" s="10">
        <f>CHOOSE(CONTROL!$C$42, 15.8207, 15.8207) * CHOOSE(CONTROL!$C$21, $C$9, 100%, $E$9)</f>
        <v>15.8207</v>
      </c>
      <c r="F422" s="10">
        <f>CHOOSE(CONTROL!$C$42, 15.7147, 15.7147)*CHOOSE(CONTROL!$C$21, $C$9, 100%, $E$9)</f>
        <v>15.714700000000001</v>
      </c>
      <c r="G422" s="10">
        <f>CHOOSE(CONTROL!$C$42, 15.732, 15.732)*CHOOSE(CONTROL!$C$21, $C$9, 100%, $E$9)</f>
        <v>15.731999999999999</v>
      </c>
      <c r="H422" s="10">
        <f>CHOOSE(CONTROL!$C$42, 15.8099, 15.8099) * CHOOSE(CONTROL!$C$21, $C$9, 100%, $E$9)</f>
        <v>15.809900000000001</v>
      </c>
      <c r="I422" s="10">
        <f>CHOOSE(CONTROL!$C$42, 15.7082, 15.7082)* CHOOSE(CONTROL!$C$21, $C$9, 100%, $E$9)</f>
        <v>15.7082</v>
      </c>
      <c r="J422" s="10">
        <f>CHOOSE(CONTROL!$C$42, 15.7077, 15.7077)* CHOOSE(CONTROL!$C$21, $C$9, 100%, $E$9)</f>
        <v>15.707700000000001</v>
      </c>
      <c r="K422" s="54">
        <f>CHOOSE(CONTROL!$C$42, 15.7043, 15.7043) * CHOOSE(CONTROL!$C$21, $C$9, 100%, $E$9)</f>
        <v>15.7043</v>
      </c>
      <c r="L422" s="10">
        <f>CHOOSE(CONTROL!$C$42, 16.3969, 16.3969) * CHOOSE(CONTROL!$C$21, $C$9, 100%, $E$9)</f>
        <v>16.396899999999999</v>
      </c>
      <c r="M422" s="10">
        <f>CHOOSE(CONTROL!$C$42, 15.563, 15.563) * CHOOSE(CONTROL!$C$21, $C$9, 100%, $E$9)</f>
        <v>15.563000000000001</v>
      </c>
      <c r="N422" s="10">
        <f>CHOOSE(CONTROL!$C$42, 15.5801, 15.5801) * CHOOSE(CONTROL!$C$21, $C$9, 100%, $E$9)</f>
        <v>15.5801</v>
      </c>
      <c r="O422" s="10">
        <f>CHOOSE(CONTROL!$C$42, 15.6642, 15.6642) * CHOOSE(CONTROL!$C$21, $C$9, 100%, $E$9)</f>
        <v>15.664199999999999</v>
      </c>
      <c r="P422" s="10">
        <f>CHOOSE(CONTROL!$C$42, 15.5636, 15.5636) * CHOOSE(CONTROL!$C$21, $C$9, 100%, $E$9)</f>
        <v>15.563599999999999</v>
      </c>
      <c r="Q422" s="10">
        <f>CHOOSE(CONTROL!$C$42, 16.2595, 16.2595) * CHOOSE(CONTROL!$C$21, $C$9, 100%, $E$9)</f>
        <v>16.259499999999999</v>
      </c>
      <c r="R422" s="10">
        <f>CHOOSE(CONTROL!$C$42, 16.8871, 16.8871) * CHOOSE(CONTROL!$C$21, $C$9, 100%, $E$9)</f>
        <v>16.8871</v>
      </c>
      <c r="S422" s="10">
        <f>CHOOSE(CONTROL!$C$42, 15.265, 15.265) * CHOOSE(CONTROL!$C$21, $C$9, 100%, $E$9)</f>
        <v>15.265000000000001</v>
      </c>
      <c r="T422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422" s="58">
        <f>(1000*CHOOSE(CONTROL!$C$42, 695, 695)*CHOOSE(CONTROL!$C$42, 0.5599, 0.5599)*CHOOSE(CONTROL!$C$42, 28, 28))/1000000</f>
        <v>10.895653999999999</v>
      </c>
      <c r="V422" s="58">
        <f>(1000*CHOOSE(CONTROL!$C$42, 500, 500)*CHOOSE(CONTROL!$C$42, 0.275, 0.275)*CHOOSE(CONTROL!$C$42, 28, 28))/1000000</f>
        <v>3.85</v>
      </c>
      <c r="W422" s="58">
        <f>(1000*CHOOSE(CONTROL!$C$42, 0.1146, 0.1146)*CHOOSE(CONTROL!$C$42, 121.5, 121.5)*CHOOSE(CONTROL!$C$42, 28, 28))/1000000</f>
        <v>0.38986920000000003</v>
      </c>
      <c r="X422" s="58">
        <f>(28*0.1790888*100000/1000000)+(28*0.2374*100000/1000000)</f>
        <v>1.16616864</v>
      </c>
      <c r="Y422" s="58"/>
      <c r="Z422" s="10"/>
      <c r="AA422" s="57"/>
      <c r="AB422" s="51">
        <f>(B422*122.58+C422*297.941+D422*89.177+E422*40.302+F422*40+G422*160+H422*0+I422*100+J422*300)/(122.58+297.941+89.177+40.302+0+40+160+100+300)</f>
        <v>15.727774597478261</v>
      </c>
      <c r="AC422" s="27">
        <f>(M422*'RAP TEMPLATE-GAS AVAILABILITY'!O421+N422*'RAP TEMPLATE-GAS AVAILABILITY'!P421+O422*'RAP TEMPLATE-GAS AVAILABILITY'!Q421+P422*'RAP TEMPLATE-GAS AVAILABILITY'!R421)/('RAP TEMPLATE-GAS AVAILABILITY'!O421+'RAP TEMPLATE-GAS AVAILABILITY'!P421+'RAP TEMPLATE-GAS AVAILABILITY'!Q421+'RAP TEMPLATE-GAS AVAILABILITY'!R421)</f>
        <v>15.609938129496404</v>
      </c>
    </row>
    <row r="423" spans="1:29" ht="15.75" x14ac:dyDescent="0.25">
      <c r="A423" s="14">
        <v>53782</v>
      </c>
      <c r="B423" s="10">
        <f>CHOOSE(CONTROL!$C$42, 15.2752, 15.2752) * CHOOSE(CONTROL!$C$21, $C$9, 100%, $E$9)</f>
        <v>15.2752</v>
      </c>
      <c r="C423" s="10">
        <f>CHOOSE(CONTROL!$C$42, 15.2801, 15.2801) * CHOOSE(CONTROL!$C$21, $C$9, 100%, $E$9)</f>
        <v>15.280099999999999</v>
      </c>
      <c r="D423" s="10">
        <f>CHOOSE(CONTROL!$C$42, 15.3406, 15.3406) * CHOOSE(CONTROL!$C$21, $C$9, 100%, $E$9)</f>
        <v>15.3406</v>
      </c>
      <c r="E423" s="10">
        <f>CHOOSE(CONTROL!$C$42, 15.3744, 15.3744) * CHOOSE(CONTROL!$C$21, $C$9, 100%, $E$9)</f>
        <v>15.3744</v>
      </c>
      <c r="F423" s="10">
        <f>CHOOSE(CONTROL!$C$42, 15.2629, 15.2629)*CHOOSE(CONTROL!$C$21, $C$9, 100%, $E$9)</f>
        <v>15.2629</v>
      </c>
      <c r="G423" s="10">
        <f>CHOOSE(CONTROL!$C$42, 15.2801, 15.2801)*CHOOSE(CONTROL!$C$21, $C$9, 100%, $E$9)</f>
        <v>15.280099999999999</v>
      </c>
      <c r="H423" s="10">
        <f>CHOOSE(CONTROL!$C$42, 15.3636, 15.3636) * CHOOSE(CONTROL!$C$21, $C$9, 100%, $E$9)</f>
        <v>15.3636</v>
      </c>
      <c r="I423" s="10">
        <f>CHOOSE(CONTROL!$C$42, 15.2491, 15.2491)* CHOOSE(CONTROL!$C$21, $C$9, 100%, $E$9)</f>
        <v>15.2491</v>
      </c>
      <c r="J423" s="10">
        <f>CHOOSE(CONTROL!$C$42, 15.2559, 15.2559)* CHOOSE(CONTROL!$C$21, $C$9, 100%, $E$9)</f>
        <v>15.2559</v>
      </c>
      <c r="K423" s="54">
        <f>CHOOSE(CONTROL!$C$42, 15.2452, 15.2452) * CHOOSE(CONTROL!$C$21, $C$9, 100%, $E$9)</f>
        <v>15.245200000000001</v>
      </c>
      <c r="L423" s="10">
        <f>CHOOSE(CONTROL!$C$42, 15.9506, 15.9506) * CHOOSE(CONTROL!$C$21, $C$9, 100%, $E$9)</f>
        <v>15.9506</v>
      </c>
      <c r="M423" s="10">
        <f>CHOOSE(CONTROL!$C$42, 15.1158, 15.1158) * CHOOSE(CONTROL!$C$21, $C$9, 100%, $E$9)</f>
        <v>15.1158</v>
      </c>
      <c r="N423" s="10">
        <f>CHOOSE(CONTROL!$C$42, 15.1328, 15.1328) * CHOOSE(CONTROL!$C$21, $C$9, 100%, $E$9)</f>
        <v>15.1328</v>
      </c>
      <c r="O423" s="10">
        <f>CHOOSE(CONTROL!$C$42, 15.2224, 15.2224) * CHOOSE(CONTROL!$C$21, $C$9, 100%, $E$9)</f>
        <v>15.2224</v>
      </c>
      <c r="P423" s="10">
        <f>CHOOSE(CONTROL!$C$42, 15.1091, 15.1091) * CHOOSE(CONTROL!$C$21, $C$9, 100%, $E$9)</f>
        <v>15.1091</v>
      </c>
      <c r="Q423" s="10">
        <f>CHOOSE(CONTROL!$C$42, 15.8177, 15.8177) * CHOOSE(CONTROL!$C$21, $C$9, 100%, $E$9)</f>
        <v>15.8177</v>
      </c>
      <c r="R423" s="10">
        <f>CHOOSE(CONTROL!$C$42, 16.4442, 16.4442) * CHOOSE(CONTROL!$C$21, $C$9, 100%, $E$9)</f>
        <v>16.444199999999999</v>
      </c>
      <c r="S423" s="10">
        <f>CHOOSE(CONTROL!$C$42, 14.8316, 14.8316) * CHOOSE(CONTROL!$C$21, $C$9, 100%, $E$9)</f>
        <v>14.8316</v>
      </c>
      <c r="T423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423" s="58">
        <f>(1000*CHOOSE(CONTROL!$C$42, 695, 695)*CHOOSE(CONTROL!$C$42, 0.5599, 0.5599)*CHOOSE(CONTROL!$C$42, 31, 31))/1000000</f>
        <v>12.063045499999998</v>
      </c>
      <c r="V423" s="58">
        <f>(1000*CHOOSE(CONTROL!$C$42, 500, 500)*CHOOSE(CONTROL!$C$42, 0.275, 0.275)*CHOOSE(CONTROL!$C$42, 31, 31))/1000000</f>
        <v>4.2625000000000002</v>
      </c>
      <c r="W423" s="58">
        <f>(1000*CHOOSE(CONTROL!$C$42, 0.1146, 0.1146)*CHOOSE(CONTROL!$C$42, 121.5, 121.5)*CHOOSE(CONTROL!$C$42, 31, 31))/1000000</f>
        <v>0.43164089999999994</v>
      </c>
      <c r="X423" s="58">
        <f>(31*0.1790888*100000/1000000)+(31*0.2374*100000/1000000)</f>
        <v>1.2911152800000001</v>
      </c>
      <c r="Y423" s="58"/>
      <c r="Z423" s="10"/>
      <c r="AA423" s="57"/>
      <c r="AB423" s="51">
        <f>(B423*122.58+C423*297.941+D423*89.177+E423*40.302+F423*40+G423*160+H423*0+I423*100+J423*300)/(122.58+297.941+89.177+40.302+0+40+160+100+300)</f>
        <v>15.27796699573913</v>
      </c>
      <c r="AC423" s="27">
        <f>(M423*'RAP TEMPLATE-GAS AVAILABILITY'!O422+N423*'RAP TEMPLATE-GAS AVAILABILITY'!P422+O423*'RAP TEMPLATE-GAS AVAILABILITY'!Q422+P423*'RAP TEMPLATE-GAS AVAILABILITY'!R422)/('RAP TEMPLATE-GAS AVAILABILITY'!O422+'RAP TEMPLATE-GAS AVAILABILITY'!P422+'RAP TEMPLATE-GAS AVAILABILITY'!Q422+'RAP TEMPLATE-GAS AVAILABILITY'!R422)</f>
        <v>15.164129496402877</v>
      </c>
    </row>
    <row r="424" spans="1:29" ht="15.75" x14ac:dyDescent="0.25">
      <c r="A424" s="14">
        <v>53812</v>
      </c>
      <c r="B424" s="10">
        <f>CHOOSE(CONTROL!$C$42, 15.2306, 15.2306) * CHOOSE(CONTROL!$C$21, $C$9, 100%, $E$9)</f>
        <v>15.230600000000001</v>
      </c>
      <c r="C424" s="10">
        <f>CHOOSE(CONTROL!$C$42, 15.235, 15.235) * CHOOSE(CONTROL!$C$21, $C$9, 100%, $E$9)</f>
        <v>15.234999999999999</v>
      </c>
      <c r="D424" s="10">
        <f>CHOOSE(CONTROL!$C$42, 15.4306, 15.4306) * CHOOSE(CONTROL!$C$21, $C$9, 100%, $E$9)</f>
        <v>15.4306</v>
      </c>
      <c r="E424" s="10">
        <f>CHOOSE(CONTROL!$C$42, 15.4624, 15.4624) * CHOOSE(CONTROL!$C$21, $C$9, 100%, $E$9)</f>
        <v>15.462400000000001</v>
      </c>
      <c r="F424" s="10">
        <f>CHOOSE(CONTROL!$C$42, 15.1984, 15.1984)*CHOOSE(CONTROL!$C$21, $C$9, 100%, $E$9)</f>
        <v>15.198399999999999</v>
      </c>
      <c r="G424" s="10">
        <f>CHOOSE(CONTROL!$C$42, 15.2152, 15.2152)*CHOOSE(CONTROL!$C$21, $C$9, 100%, $E$9)</f>
        <v>15.215199999999999</v>
      </c>
      <c r="H424" s="10">
        <f>CHOOSE(CONTROL!$C$42, 15.4521, 15.4521) * CHOOSE(CONTROL!$C$21, $C$9, 100%, $E$9)</f>
        <v>15.4521</v>
      </c>
      <c r="I424" s="10">
        <f>CHOOSE(CONTROL!$C$42, 15.1986, 15.1986)* CHOOSE(CONTROL!$C$21, $C$9, 100%, $E$9)</f>
        <v>15.198600000000001</v>
      </c>
      <c r="J424" s="10">
        <f>CHOOSE(CONTROL!$C$42, 15.1914, 15.1914)* CHOOSE(CONTROL!$C$21, $C$9, 100%, $E$9)</f>
        <v>15.1914</v>
      </c>
      <c r="K424" s="54">
        <f>CHOOSE(CONTROL!$C$42, 15.1947, 15.1947) * CHOOSE(CONTROL!$C$21, $C$9, 100%, $E$9)</f>
        <v>15.194699999999999</v>
      </c>
      <c r="L424" s="10">
        <f>CHOOSE(CONTROL!$C$42, 16.0391, 16.0391) * CHOOSE(CONTROL!$C$21, $C$9, 100%, $E$9)</f>
        <v>16.039100000000001</v>
      </c>
      <c r="M424" s="10">
        <f>CHOOSE(CONTROL!$C$42, 15.052, 15.052) * CHOOSE(CONTROL!$C$21, $C$9, 100%, $E$9)</f>
        <v>15.052</v>
      </c>
      <c r="N424" s="10">
        <f>CHOOSE(CONTROL!$C$42, 15.0686, 15.0686) * CHOOSE(CONTROL!$C$21, $C$9, 100%, $E$9)</f>
        <v>15.0686</v>
      </c>
      <c r="O424" s="10">
        <f>CHOOSE(CONTROL!$C$42, 15.31, 15.31) * CHOOSE(CONTROL!$C$21, $C$9, 100%, $E$9)</f>
        <v>15.31</v>
      </c>
      <c r="P424" s="10">
        <f>CHOOSE(CONTROL!$C$42, 15.0591, 15.0591) * CHOOSE(CONTROL!$C$21, $C$9, 100%, $E$9)</f>
        <v>15.059100000000001</v>
      </c>
      <c r="Q424" s="10">
        <f>CHOOSE(CONTROL!$C$42, 15.9053, 15.9053) * CHOOSE(CONTROL!$C$21, $C$9, 100%, $E$9)</f>
        <v>15.9053</v>
      </c>
      <c r="R424" s="10">
        <f>CHOOSE(CONTROL!$C$42, 16.5321, 16.5321) * CHOOSE(CONTROL!$C$21, $C$9, 100%, $E$9)</f>
        <v>16.5321</v>
      </c>
      <c r="S424" s="10">
        <f>CHOOSE(CONTROL!$C$42, 14.7876, 14.7876) * CHOOSE(CONTROL!$C$21, $C$9, 100%, $E$9)</f>
        <v>14.787599999999999</v>
      </c>
      <c r="T424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424" s="58">
        <f>(1000*CHOOSE(CONTROL!$C$42, 695, 695)*CHOOSE(CONTROL!$C$42, 0.5599, 0.5599)*CHOOSE(CONTROL!$C$42, 30, 30))/1000000</f>
        <v>11.673914999999997</v>
      </c>
      <c r="V424" s="58">
        <f>(1000*CHOOSE(CONTROL!$C$42, 500, 500)*CHOOSE(CONTROL!$C$42, 0.275, 0.275)*CHOOSE(CONTROL!$C$42, 30, 30))/1000000</f>
        <v>4.125</v>
      </c>
      <c r="W424" s="58">
        <f>(1000*CHOOSE(CONTROL!$C$42, 0.1146, 0.1146)*CHOOSE(CONTROL!$C$42, 121.5, 121.5)*CHOOSE(CONTROL!$C$42, 30, 30))/1000000</f>
        <v>0.417717</v>
      </c>
      <c r="X424" s="58">
        <f>(30*0.1790888*245000/1000000)+(30*0.2374*100000/1000000)</f>
        <v>2.0285026799999999</v>
      </c>
      <c r="Y424" s="58"/>
      <c r="Z424" s="10"/>
      <c r="AA424" s="57"/>
      <c r="AB424" s="51">
        <f>(B424*141.293+C424*267.993+D424*115.016+E424*89.698+F424*40+G424*185+H424*0+I424*100+J424*300)/(141.293+267.993+115.016+89.698+0+40+185+100+300)</f>
        <v>15.25148568652139</v>
      </c>
      <c r="AC424" s="27">
        <f>(M424*'RAP TEMPLATE-GAS AVAILABILITY'!O423+N424*'RAP TEMPLATE-GAS AVAILABILITY'!P423+O424*'RAP TEMPLATE-GAS AVAILABILITY'!Q423+P424*'RAP TEMPLATE-GAS AVAILABILITY'!R423)/('RAP TEMPLATE-GAS AVAILABILITY'!O423+'RAP TEMPLATE-GAS AVAILABILITY'!P423+'RAP TEMPLATE-GAS AVAILABILITY'!Q423+'RAP TEMPLATE-GAS AVAILABILITY'!R423)</f>
        <v>15.129231654676261</v>
      </c>
    </row>
    <row r="425" spans="1:29" ht="15.75" x14ac:dyDescent="0.25">
      <c r="A425" s="14">
        <v>53843</v>
      </c>
      <c r="B425" s="10">
        <f>CHOOSE(CONTROL!$C$42, 15.3664, 15.3664) * CHOOSE(CONTROL!$C$21, $C$9, 100%, $E$9)</f>
        <v>15.366400000000001</v>
      </c>
      <c r="C425" s="10">
        <f>CHOOSE(CONTROL!$C$42, 15.3743, 15.3743) * CHOOSE(CONTROL!$C$21, $C$9, 100%, $E$9)</f>
        <v>15.3743</v>
      </c>
      <c r="D425" s="10">
        <f>CHOOSE(CONTROL!$C$42, 15.5668, 15.5668) * CHOOSE(CONTROL!$C$21, $C$9, 100%, $E$9)</f>
        <v>15.566800000000001</v>
      </c>
      <c r="E425" s="10">
        <f>CHOOSE(CONTROL!$C$42, 15.5979, 15.5979) * CHOOSE(CONTROL!$C$21, $C$9, 100%, $E$9)</f>
        <v>15.597899999999999</v>
      </c>
      <c r="F425" s="10">
        <f>CHOOSE(CONTROL!$C$42, 15.3327, 15.3327)*CHOOSE(CONTROL!$C$21, $C$9, 100%, $E$9)</f>
        <v>15.332700000000001</v>
      </c>
      <c r="G425" s="10">
        <f>CHOOSE(CONTROL!$C$42, 15.3498, 15.3498)*CHOOSE(CONTROL!$C$21, $C$9, 100%, $E$9)</f>
        <v>15.3498</v>
      </c>
      <c r="H425" s="10">
        <f>CHOOSE(CONTROL!$C$42, 15.5865, 15.5865) * CHOOSE(CONTROL!$C$21, $C$9, 100%, $E$9)</f>
        <v>15.586499999999999</v>
      </c>
      <c r="I425" s="10">
        <f>CHOOSE(CONTROL!$C$42, 15.333, 15.333)* CHOOSE(CONTROL!$C$21, $C$9, 100%, $E$9)</f>
        <v>15.333</v>
      </c>
      <c r="J425" s="10">
        <f>CHOOSE(CONTROL!$C$42, 15.3257, 15.3257)* CHOOSE(CONTROL!$C$21, $C$9, 100%, $E$9)</f>
        <v>15.325699999999999</v>
      </c>
      <c r="K425" s="54">
        <f>CHOOSE(CONTROL!$C$42, 15.3291, 15.3291) * CHOOSE(CONTROL!$C$21, $C$9, 100%, $E$9)</f>
        <v>15.3291</v>
      </c>
      <c r="L425" s="10">
        <f>CHOOSE(CONTROL!$C$42, 16.1735, 16.1735) * CHOOSE(CONTROL!$C$21, $C$9, 100%, $E$9)</f>
        <v>16.173500000000001</v>
      </c>
      <c r="M425" s="10">
        <f>CHOOSE(CONTROL!$C$42, 15.1848, 15.1848) * CHOOSE(CONTROL!$C$21, $C$9, 100%, $E$9)</f>
        <v>15.184799999999999</v>
      </c>
      <c r="N425" s="10">
        <f>CHOOSE(CONTROL!$C$42, 15.2018, 15.2018) * CHOOSE(CONTROL!$C$21, $C$9, 100%, $E$9)</f>
        <v>15.2018</v>
      </c>
      <c r="O425" s="10">
        <f>CHOOSE(CONTROL!$C$42, 15.4431, 15.4431) * CHOOSE(CONTROL!$C$21, $C$9, 100%, $E$9)</f>
        <v>15.443099999999999</v>
      </c>
      <c r="P425" s="10">
        <f>CHOOSE(CONTROL!$C$42, 15.1921, 15.1921) * CHOOSE(CONTROL!$C$21, $C$9, 100%, $E$9)</f>
        <v>15.1921</v>
      </c>
      <c r="Q425" s="10">
        <f>CHOOSE(CONTROL!$C$42, 16.0384, 16.0384) * CHOOSE(CONTROL!$C$21, $C$9, 100%, $E$9)</f>
        <v>16.038399999999999</v>
      </c>
      <c r="R425" s="10">
        <f>CHOOSE(CONTROL!$C$42, 16.6655, 16.6655) * CHOOSE(CONTROL!$C$21, $C$9, 100%, $E$9)</f>
        <v>16.665500000000002</v>
      </c>
      <c r="S425" s="10">
        <f>CHOOSE(CONTROL!$C$42, 14.9181, 14.9181) * CHOOSE(CONTROL!$C$21, $C$9, 100%, $E$9)</f>
        <v>14.918100000000001</v>
      </c>
      <c r="T425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425" s="58">
        <f>(1000*CHOOSE(CONTROL!$C$42, 695, 695)*CHOOSE(CONTROL!$C$42, 0.5599, 0.5599)*CHOOSE(CONTROL!$C$42, 31, 31))/1000000</f>
        <v>12.063045499999998</v>
      </c>
      <c r="V425" s="58">
        <f>(1000*CHOOSE(CONTROL!$C$42, 500, 500)*CHOOSE(CONTROL!$C$42, 0.275, 0.275)*CHOOSE(CONTROL!$C$42, 31, 31))/1000000</f>
        <v>4.2625000000000002</v>
      </c>
      <c r="W425" s="58">
        <f>(1000*CHOOSE(CONTROL!$C$42, 0.1146, 0.1146)*CHOOSE(CONTROL!$C$42, 121.5, 121.5)*CHOOSE(CONTROL!$C$42, 31, 31))/1000000</f>
        <v>0.43164089999999994</v>
      </c>
      <c r="X425" s="58">
        <f>(31*0.1790888*245000/1000000)+(31*0.2374*100000/1000000)</f>
        <v>2.0961194359999999</v>
      </c>
      <c r="Y425" s="58"/>
      <c r="Z425" s="10"/>
      <c r="AA425" s="57"/>
      <c r="AB425" s="51">
        <f>(B425*194.205+C425*267.466+D425*133.845+E425*53.484+F425*40+G425*185+H425*0+I425*100+J425*300)/(194.205+267.466+133.845+53.484+0+40+185+100+300)</f>
        <v>15.383156723233908</v>
      </c>
      <c r="AC425" s="27">
        <f>(M425*'RAP TEMPLATE-GAS AVAILABILITY'!O424+N425*'RAP TEMPLATE-GAS AVAILABILITY'!P424+O425*'RAP TEMPLATE-GAS AVAILABILITY'!Q424+P425*'RAP TEMPLATE-GAS AVAILABILITY'!R424)/('RAP TEMPLATE-GAS AVAILABILITY'!O424+'RAP TEMPLATE-GAS AVAILABILITY'!P424+'RAP TEMPLATE-GAS AVAILABILITY'!Q424+'RAP TEMPLATE-GAS AVAILABILITY'!R424)</f>
        <v>15.26223669064748</v>
      </c>
    </row>
    <row r="426" spans="1:29" ht="15.75" x14ac:dyDescent="0.25">
      <c r="A426" s="14">
        <v>53873</v>
      </c>
      <c r="B426" s="10">
        <f>CHOOSE(CONTROL!$C$42, 15.8022, 15.8022) * CHOOSE(CONTROL!$C$21, $C$9, 100%, $E$9)</f>
        <v>15.802199999999999</v>
      </c>
      <c r="C426" s="10">
        <f>CHOOSE(CONTROL!$C$42, 15.8101, 15.8101) * CHOOSE(CONTROL!$C$21, $C$9, 100%, $E$9)</f>
        <v>15.8101</v>
      </c>
      <c r="D426" s="10">
        <f>CHOOSE(CONTROL!$C$42, 16.0025, 16.0025) * CHOOSE(CONTROL!$C$21, $C$9, 100%, $E$9)</f>
        <v>16.002500000000001</v>
      </c>
      <c r="E426" s="10">
        <f>CHOOSE(CONTROL!$C$42, 16.0336, 16.0336) * CHOOSE(CONTROL!$C$21, $C$9, 100%, $E$9)</f>
        <v>16.0336</v>
      </c>
      <c r="F426" s="10">
        <f>CHOOSE(CONTROL!$C$42, 15.7686, 15.7686)*CHOOSE(CONTROL!$C$21, $C$9, 100%, $E$9)</f>
        <v>15.768599999999999</v>
      </c>
      <c r="G426" s="10">
        <f>CHOOSE(CONTROL!$C$42, 15.7858, 15.7858)*CHOOSE(CONTROL!$C$21, $C$9, 100%, $E$9)</f>
        <v>15.7858</v>
      </c>
      <c r="H426" s="10">
        <f>CHOOSE(CONTROL!$C$42, 16.0223, 16.0223) * CHOOSE(CONTROL!$C$21, $C$9, 100%, $E$9)</f>
        <v>16.022300000000001</v>
      </c>
      <c r="I426" s="10">
        <f>CHOOSE(CONTROL!$C$42, 15.7687, 15.7687)* CHOOSE(CONTROL!$C$21, $C$9, 100%, $E$9)</f>
        <v>15.768700000000001</v>
      </c>
      <c r="J426" s="10">
        <f>CHOOSE(CONTROL!$C$42, 15.7616, 15.7616)* CHOOSE(CONTROL!$C$21, $C$9, 100%, $E$9)</f>
        <v>15.7616</v>
      </c>
      <c r="K426" s="54">
        <f>CHOOSE(CONTROL!$C$42, 15.7648, 15.7648) * CHOOSE(CONTROL!$C$21, $C$9, 100%, $E$9)</f>
        <v>15.764799999999999</v>
      </c>
      <c r="L426" s="10">
        <f>CHOOSE(CONTROL!$C$42, 16.6093, 16.6093) * CHOOSE(CONTROL!$C$21, $C$9, 100%, $E$9)</f>
        <v>16.609300000000001</v>
      </c>
      <c r="M426" s="10">
        <f>CHOOSE(CONTROL!$C$42, 15.6164, 15.6164) * CHOOSE(CONTROL!$C$21, $C$9, 100%, $E$9)</f>
        <v>15.616400000000001</v>
      </c>
      <c r="N426" s="10">
        <f>CHOOSE(CONTROL!$C$42, 15.6334, 15.6334) * CHOOSE(CONTROL!$C$21, $C$9, 100%, $E$9)</f>
        <v>15.6334</v>
      </c>
      <c r="O426" s="10">
        <f>CHOOSE(CONTROL!$C$42, 15.8744, 15.8744) * CHOOSE(CONTROL!$C$21, $C$9, 100%, $E$9)</f>
        <v>15.8744</v>
      </c>
      <c r="P426" s="10">
        <f>CHOOSE(CONTROL!$C$42, 15.6235, 15.6235) * CHOOSE(CONTROL!$C$21, $C$9, 100%, $E$9)</f>
        <v>15.6235</v>
      </c>
      <c r="Q426" s="10">
        <f>CHOOSE(CONTROL!$C$42, 16.4697, 16.4697) * CHOOSE(CONTROL!$C$21, $C$9, 100%, $E$9)</f>
        <v>16.4697</v>
      </c>
      <c r="R426" s="10">
        <f>CHOOSE(CONTROL!$C$42, 17.0979, 17.0979) * CHOOSE(CONTROL!$C$21, $C$9, 100%, $E$9)</f>
        <v>17.097899999999999</v>
      </c>
      <c r="S426" s="10">
        <f>CHOOSE(CONTROL!$C$42, 15.3412, 15.3412) * CHOOSE(CONTROL!$C$21, $C$9, 100%, $E$9)</f>
        <v>15.341200000000001</v>
      </c>
      <c r="T426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426" s="58">
        <f>(1000*CHOOSE(CONTROL!$C$42, 695, 695)*CHOOSE(CONTROL!$C$42, 0.5599, 0.5599)*CHOOSE(CONTROL!$C$42, 30, 30))/1000000</f>
        <v>11.673914999999997</v>
      </c>
      <c r="V426" s="58">
        <f>(1000*CHOOSE(CONTROL!$C$42, 500, 500)*CHOOSE(CONTROL!$C$42, 0.275, 0.275)*CHOOSE(CONTROL!$C$42, 30, 30))/1000000</f>
        <v>4.125</v>
      </c>
      <c r="W426" s="58">
        <f>(1000*CHOOSE(CONTROL!$C$42, 0.1146, 0.1146)*CHOOSE(CONTROL!$C$42, 121.5, 121.5)*CHOOSE(CONTROL!$C$42, 30, 30))/1000000</f>
        <v>0.417717</v>
      </c>
      <c r="X426" s="58">
        <f>(30*0.1790888*245000/1000000)+(30*0.2374*100000/1000000)</f>
        <v>2.0285026799999999</v>
      </c>
      <c r="Y426" s="58"/>
      <c r="Z426" s="10"/>
      <c r="AA426" s="57"/>
      <c r="AB426" s="51">
        <f>(B426*194.205+C426*267.466+D426*133.845+E426*53.484+F426*40+G426*185+H426*0+I426*100+J426*300)/(194.205+267.466+133.845+53.484+0+40+185+100+300)</f>
        <v>15.818989899921508</v>
      </c>
      <c r="AC426" s="27">
        <f>(M426*'RAP TEMPLATE-GAS AVAILABILITY'!O425+N426*'RAP TEMPLATE-GAS AVAILABILITY'!P425+O426*'RAP TEMPLATE-GAS AVAILABILITY'!Q425+P426*'RAP TEMPLATE-GAS AVAILABILITY'!R425)/('RAP TEMPLATE-GAS AVAILABILITY'!O425+'RAP TEMPLATE-GAS AVAILABILITY'!P425+'RAP TEMPLATE-GAS AVAILABILITY'!Q425+'RAP TEMPLATE-GAS AVAILABILITY'!R425)</f>
        <v>15.693723741007195</v>
      </c>
    </row>
    <row r="427" spans="1:29" ht="15.75" x14ac:dyDescent="0.25">
      <c r="A427" s="14">
        <v>53904</v>
      </c>
      <c r="B427" s="10">
        <f>CHOOSE(CONTROL!$C$42, 15.4991, 15.4991) * CHOOSE(CONTROL!$C$21, $C$9, 100%, $E$9)</f>
        <v>15.4991</v>
      </c>
      <c r="C427" s="10">
        <f>CHOOSE(CONTROL!$C$42, 15.507, 15.507) * CHOOSE(CONTROL!$C$21, $C$9, 100%, $E$9)</f>
        <v>15.507</v>
      </c>
      <c r="D427" s="10">
        <f>CHOOSE(CONTROL!$C$42, 15.6994, 15.6994) * CHOOSE(CONTROL!$C$21, $C$9, 100%, $E$9)</f>
        <v>15.699400000000001</v>
      </c>
      <c r="E427" s="10">
        <f>CHOOSE(CONTROL!$C$42, 15.7306, 15.7306) * CHOOSE(CONTROL!$C$21, $C$9, 100%, $E$9)</f>
        <v>15.730600000000001</v>
      </c>
      <c r="F427" s="10">
        <f>CHOOSE(CONTROL!$C$42, 15.466, 15.466)*CHOOSE(CONTROL!$C$21, $C$9, 100%, $E$9)</f>
        <v>15.465999999999999</v>
      </c>
      <c r="G427" s="10">
        <f>CHOOSE(CONTROL!$C$42, 15.4833, 15.4833)*CHOOSE(CONTROL!$C$21, $C$9, 100%, $E$9)</f>
        <v>15.4833</v>
      </c>
      <c r="H427" s="10">
        <f>CHOOSE(CONTROL!$C$42, 15.7192, 15.7192) * CHOOSE(CONTROL!$C$21, $C$9, 100%, $E$9)</f>
        <v>15.719200000000001</v>
      </c>
      <c r="I427" s="10">
        <f>CHOOSE(CONTROL!$C$42, 15.4657, 15.4657)* CHOOSE(CONTROL!$C$21, $C$9, 100%, $E$9)</f>
        <v>15.4657</v>
      </c>
      <c r="J427" s="10">
        <f>CHOOSE(CONTROL!$C$42, 15.459, 15.459)* CHOOSE(CONTROL!$C$21, $C$9, 100%, $E$9)</f>
        <v>15.459</v>
      </c>
      <c r="K427" s="54">
        <f>CHOOSE(CONTROL!$C$42, 15.4618, 15.4618) * CHOOSE(CONTROL!$C$21, $C$9, 100%, $E$9)</f>
        <v>15.4618</v>
      </c>
      <c r="L427" s="10">
        <f>CHOOSE(CONTROL!$C$42, 16.3062, 16.3062) * CHOOSE(CONTROL!$C$21, $C$9, 100%, $E$9)</f>
        <v>16.3062</v>
      </c>
      <c r="M427" s="10">
        <f>CHOOSE(CONTROL!$C$42, 15.3168, 15.3168) * CHOOSE(CONTROL!$C$21, $C$9, 100%, $E$9)</f>
        <v>15.316800000000001</v>
      </c>
      <c r="N427" s="10">
        <f>CHOOSE(CONTROL!$C$42, 15.3339, 15.3339) * CHOOSE(CONTROL!$C$21, $C$9, 100%, $E$9)</f>
        <v>15.3339</v>
      </c>
      <c r="O427" s="10">
        <f>CHOOSE(CONTROL!$C$42, 15.5744, 15.5744) * CHOOSE(CONTROL!$C$21, $C$9, 100%, $E$9)</f>
        <v>15.574400000000001</v>
      </c>
      <c r="P427" s="10">
        <f>CHOOSE(CONTROL!$C$42, 15.3235, 15.3235) * CHOOSE(CONTROL!$C$21, $C$9, 100%, $E$9)</f>
        <v>15.323499999999999</v>
      </c>
      <c r="Q427" s="10">
        <f>CHOOSE(CONTROL!$C$42, 16.1697, 16.1697) * CHOOSE(CONTROL!$C$21, $C$9, 100%, $E$9)</f>
        <v>16.169699999999999</v>
      </c>
      <c r="R427" s="10">
        <f>CHOOSE(CONTROL!$C$42, 16.7971, 16.7971) * CHOOSE(CONTROL!$C$21, $C$9, 100%, $E$9)</f>
        <v>16.7971</v>
      </c>
      <c r="S427" s="10">
        <f>CHOOSE(CONTROL!$C$42, 15.0469, 15.0469) * CHOOSE(CONTROL!$C$21, $C$9, 100%, $E$9)</f>
        <v>15.046900000000001</v>
      </c>
      <c r="T427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427" s="58">
        <f>(1000*CHOOSE(CONTROL!$C$42, 695, 695)*CHOOSE(CONTROL!$C$42, 0.5599, 0.5599)*CHOOSE(CONTROL!$C$42, 31, 31))/1000000</f>
        <v>12.063045499999998</v>
      </c>
      <c r="V427" s="58">
        <f>(1000*CHOOSE(CONTROL!$C$42, 500, 500)*CHOOSE(CONTROL!$C$42, 0.275, 0.275)*CHOOSE(CONTROL!$C$42, 31, 31))/1000000</f>
        <v>4.2625000000000002</v>
      </c>
      <c r="W427" s="58">
        <f>(1000*CHOOSE(CONTROL!$C$42, 0.1146, 0.1146)*CHOOSE(CONTROL!$C$42, 121.5, 121.5)*CHOOSE(CONTROL!$C$42, 31, 31))/1000000</f>
        <v>0.43164089999999994</v>
      </c>
      <c r="X427" s="58">
        <f>(31*0.1790888*245000/1000000)+(31*0.2374*100000/1000000)</f>
        <v>2.0961194359999999</v>
      </c>
      <c r="Y427" s="58"/>
      <c r="Z427" s="10"/>
      <c r="AA427" s="57"/>
      <c r="AB427" s="51">
        <f>(B427*194.205+C427*267.466+D427*133.845+E427*53.484+F427*40+G427*185+H427*0+I427*100+J427*300)/(194.205+267.466+133.845+53.484+0+40+185+100+300)</f>
        <v>15.516122512480376</v>
      </c>
      <c r="AC427" s="27">
        <f>(M427*'RAP TEMPLATE-GAS AVAILABILITY'!O426+N427*'RAP TEMPLATE-GAS AVAILABILITY'!P426+O427*'RAP TEMPLATE-GAS AVAILABILITY'!Q426+P427*'RAP TEMPLATE-GAS AVAILABILITY'!R426)/('RAP TEMPLATE-GAS AVAILABILITY'!O426+'RAP TEMPLATE-GAS AVAILABILITY'!P426+'RAP TEMPLATE-GAS AVAILABILITY'!Q426+'RAP TEMPLATE-GAS AVAILABILITY'!R426)</f>
        <v>15.393976978417266</v>
      </c>
    </row>
    <row r="428" spans="1:29" ht="15.75" x14ac:dyDescent="0.25">
      <c r="A428" s="14">
        <v>53935</v>
      </c>
      <c r="B428" s="10">
        <f>CHOOSE(CONTROL!$C$42, 14.7338, 14.7338) * CHOOSE(CONTROL!$C$21, $C$9, 100%, $E$9)</f>
        <v>14.7338</v>
      </c>
      <c r="C428" s="10">
        <f>CHOOSE(CONTROL!$C$42, 14.7417, 14.7417) * CHOOSE(CONTROL!$C$21, $C$9, 100%, $E$9)</f>
        <v>14.7417</v>
      </c>
      <c r="D428" s="10">
        <f>CHOOSE(CONTROL!$C$42, 14.9341, 14.9341) * CHOOSE(CONTROL!$C$21, $C$9, 100%, $E$9)</f>
        <v>14.934100000000001</v>
      </c>
      <c r="E428" s="10">
        <f>CHOOSE(CONTROL!$C$42, 14.9653, 14.9653) * CHOOSE(CONTROL!$C$21, $C$9, 100%, $E$9)</f>
        <v>14.965299999999999</v>
      </c>
      <c r="F428" s="10">
        <f>CHOOSE(CONTROL!$C$42, 14.7008, 14.7008)*CHOOSE(CONTROL!$C$21, $C$9, 100%, $E$9)</f>
        <v>14.700799999999999</v>
      </c>
      <c r="G428" s="10">
        <f>CHOOSE(CONTROL!$C$42, 14.7182, 14.7182)*CHOOSE(CONTROL!$C$21, $C$9, 100%, $E$9)</f>
        <v>14.7182</v>
      </c>
      <c r="H428" s="10">
        <f>CHOOSE(CONTROL!$C$42, 14.9539, 14.9539) * CHOOSE(CONTROL!$C$21, $C$9, 100%, $E$9)</f>
        <v>14.953900000000001</v>
      </c>
      <c r="I428" s="10">
        <f>CHOOSE(CONTROL!$C$42, 14.7004, 14.7004)* CHOOSE(CONTROL!$C$21, $C$9, 100%, $E$9)</f>
        <v>14.7004</v>
      </c>
      <c r="J428" s="10">
        <f>CHOOSE(CONTROL!$C$42, 14.6938, 14.6938)* CHOOSE(CONTROL!$C$21, $C$9, 100%, $E$9)</f>
        <v>14.6938</v>
      </c>
      <c r="K428" s="54">
        <f>CHOOSE(CONTROL!$C$42, 14.6965, 14.6965) * CHOOSE(CONTROL!$C$21, $C$9, 100%, $E$9)</f>
        <v>14.6965</v>
      </c>
      <c r="L428" s="10">
        <f>CHOOSE(CONTROL!$C$42, 15.5409, 15.5409) * CHOOSE(CONTROL!$C$21, $C$9, 100%, $E$9)</f>
        <v>15.540900000000001</v>
      </c>
      <c r="M428" s="10">
        <f>CHOOSE(CONTROL!$C$42, 14.5594, 14.5594) * CHOOSE(CONTROL!$C$21, $C$9, 100%, $E$9)</f>
        <v>14.5594</v>
      </c>
      <c r="N428" s="10">
        <f>CHOOSE(CONTROL!$C$42, 14.5766, 14.5766) * CHOOSE(CONTROL!$C$21, $C$9, 100%, $E$9)</f>
        <v>14.576599999999999</v>
      </c>
      <c r="O428" s="10">
        <f>CHOOSE(CONTROL!$C$42, 14.8168, 14.8168) * CHOOSE(CONTROL!$C$21, $C$9, 100%, $E$9)</f>
        <v>14.816800000000001</v>
      </c>
      <c r="P428" s="10">
        <f>CHOOSE(CONTROL!$C$42, 14.5659, 14.5659) * CHOOSE(CONTROL!$C$21, $C$9, 100%, $E$9)</f>
        <v>14.565899999999999</v>
      </c>
      <c r="Q428" s="10">
        <f>CHOOSE(CONTROL!$C$42, 15.4121, 15.4121) * CHOOSE(CONTROL!$C$21, $C$9, 100%, $E$9)</f>
        <v>15.412100000000001</v>
      </c>
      <c r="R428" s="10">
        <f>CHOOSE(CONTROL!$C$42, 16.0377, 16.0377) * CHOOSE(CONTROL!$C$21, $C$9, 100%, $E$9)</f>
        <v>16.037700000000001</v>
      </c>
      <c r="S428" s="10">
        <f>CHOOSE(CONTROL!$C$42, 14.3037, 14.3037) * CHOOSE(CONTROL!$C$21, $C$9, 100%, $E$9)</f>
        <v>14.303699999999999</v>
      </c>
      <c r="T428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428" s="58">
        <f>(1000*CHOOSE(CONTROL!$C$42, 695, 695)*CHOOSE(CONTROL!$C$42, 0.5599, 0.5599)*CHOOSE(CONTROL!$C$42, 31, 31))/1000000</f>
        <v>12.063045499999998</v>
      </c>
      <c r="V428" s="58">
        <f>(1000*CHOOSE(CONTROL!$C$42, 500, 500)*CHOOSE(CONTROL!$C$42, 0.275, 0.275)*CHOOSE(CONTROL!$C$42, 31, 31))/1000000</f>
        <v>4.2625000000000002</v>
      </c>
      <c r="W428" s="58">
        <f>(1000*CHOOSE(CONTROL!$C$42, 0.1146, 0.1146)*CHOOSE(CONTROL!$C$42, 121.5, 121.5)*CHOOSE(CONTROL!$C$42, 31, 31))/1000000</f>
        <v>0.43164089999999994</v>
      </c>
      <c r="X428" s="58">
        <f>(31*0.1790888*245000/1000000)+(31*0.2374*100000/1000000)</f>
        <v>2.0961194359999999</v>
      </c>
      <c r="Y428" s="58"/>
      <c r="Z428" s="10"/>
      <c r="AA428" s="57"/>
      <c r="AB428" s="51">
        <f>(B428*194.205+C428*267.466+D428*133.845+E428*53.484+F428*40+G428*185+H428*0+I428*100+J428*300)/(194.205+267.466+133.845+53.484+0+40+185+100+300)</f>
        <v>14.750878242464676</v>
      </c>
      <c r="AC428" s="27">
        <f>(M428*'RAP TEMPLATE-GAS AVAILABILITY'!O427+N428*'RAP TEMPLATE-GAS AVAILABILITY'!P427+O428*'RAP TEMPLATE-GAS AVAILABILITY'!Q427+P428*'RAP TEMPLATE-GAS AVAILABILITY'!R427)/('RAP TEMPLATE-GAS AVAILABILITY'!O427+'RAP TEMPLATE-GAS AVAILABILITY'!P427+'RAP TEMPLATE-GAS AVAILABILITY'!Q427+'RAP TEMPLATE-GAS AVAILABILITY'!R427)</f>
        <v>14.63651510791367</v>
      </c>
    </row>
    <row r="429" spans="1:29" ht="15.75" x14ac:dyDescent="0.25">
      <c r="A429" s="14">
        <v>53965</v>
      </c>
      <c r="B429" s="10">
        <f>CHOOSE(CONTROL!$C$42, 13.7983, 13.7983) * CHOOSE(CONTROL!$C$21, $C$9, 100%, $E$9)</f>
        <v>13.798299999999999</v>
      </c>
      <c r="C429" s="10">
        <f>CHOOSE(CONTROL!$C$42, 13.8063, 13.8063) * CHOOSE(CONTROL!$C$21, $C$9, 100%, $E$9)</f>
        <v>13.8063</v>
      </c>
      <c r="D429" s="10">
        <f>CHOOSE(CONTROL!$C$42, 13.9987, 13.9987) * CHOOSE(CONTROL!$C$21, $C$9, 100%, $E$9)</f>
        <v>13.998699999999999</v>
      </c>
      <c r="E429" s="10">
        <f>CHOOSE(CONTROL!$C$42, 14.0298, 14.0298) * CHOOSE(CONTROL!$C$21, $C$9, 100%, $E$9)</f>
        <v>14.0298</v>
      </c>
      <c r="F429" s="10">
        <f>CHOOSE(CONTROL!$C$42, 13.7652, 13.7652)*CHOOSE(CONTROL!$C$21, $C$9, 100%, $E$9)</f>
        <v>13.7652</v>
      </c>
      <c r="G429" s="10">
        <f>CHOOSE(CONTROL!$C$42, 13.7825, 13.7825)*CHOOSE(CONTROL!$C$21, $C$9, 100%, $E$9)</f>
        <v>13.782500000000001</v>
      </c>
      <c r="H429" s="10">
        <f>CHOOSE(CONTROL!$C$42, 14.0185, 14.0185) * CHOOSE(CONTROL!$C$21, $C$9, 100%, $E$9)</f>
        <v>14.0185</v>
      </c>
      <c r="I429" s="10">
        <f>CHOOSE(CONTROL!$C$42, 13.7649, 13.7649)* CHOOSE(CONTROL!$C$21, $C$9, 100%, $E$9)</f>
        <v>13.764900000000001</v>
      </c>
      <c r="J429" s="10">
        <f>CHOOSE(CONTROL!$C$42, 13.7582, 13.7582)* CHOOSE(CONTROL!$C$21, $C$9, 100%, $E$9)</f>
        <v>13.7582</v>
      </c>
      <c r="K429" s="54">
        <f>CHOOSE(CONTROL!$C$42, 13.761, 13.761) * CHOOSE(CONTROL!$C$21, $C$9, 100%, $E$9)</f>
        <v>13.760999999999999</v>
      </c>
      <c r="L429" s="10">
        <f>CHOOSE(CONTROL!$C$42, 14.6055, 14.6055) * CHOOSE(CONTROL!$C$21, $C$9, 100%, $E$9)</f>
        <v>14.605499999999999</v>
      </c>
      <c r="M429" s="10">
        <f>CHOOSE(CONTROL!$C$42, 13.6332, 13.6332) * CHOOSE(CONTROL!$C$21, $C$9, 100%, $E$9)</f>
        <v>13.6332</v>
      </c>
      <c r="N429" s="10">
        <f>CHOOSE(CONTROL!$C$42, 13.6503, 13.6503) * CHOOSE(CONTROL!$C$21, $C$9, 100%, $E$9)</f>
        <v>13.6503</v>
      </c>
      <c r="O429" s="10">
        <f>CHOOSE(CONTROL!$C$42, 13.8908, 13.8908) * CHOOSE(CONTROL!$C$21, $C$9, 100%, $E$9)</f>
        <v>13.8908</v>
      </c>
      <c r="P429" s="10">
        <f>CHOOSE(CONTROL!$C$42, 13.6399, 13.6399) * CHOOSE(CONTROL!$C$21, $C$9, 100%, $E$9)</f>
        <v>13.639900000000001</v>
      </c>
      <c r="Q429" s="10">
        <f>CHOOSE(CONTROL!$C$42, 14.4861, 14.4861) * CHOOSE(CONTROL!$C$21, $C$9, 100%, $E$9)</f>
        <v>14.4861</v>
      </c>
      <c r="R429" s="10">
        <f>CHOOSE(CONTROL!$C$42, 15.1093, 15.1093) * CHOOSE(CONTROL!$C$21, $C$9, 100%, $E$9)</f>
        <v>15.109299999999999</v>
      </c>
      <c r="S429" s="10">
        <f>CHOOSE(CONTROL!$C$42, 13.3953, 13.3953) * CHOOSE(CONTROL!$C$21, $C$9, 100%, $E$9)</f>
        <v>13.395300000000001</v>
      </c>
      <c r="T429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429" s="58">
        <f>(1000*CHOOSE(CONTROL!$C$42, 695, 695)*CHOOSE(CONTROL!$C$42, 0.5599, 0.5599)*CHOOSE(CONTROL!$C$42, 30, 30))/1000000</f>
        <v>11.673914999999997</v>
      </c>
      <c r="V429" s="58">
        <f>(1000*CHOOSE(CONTROL!$C$42, 500, 500)*CHOOSE(CONTROL!$C$42, 0.275, 0.275)*CHOOSE(CONTROL!$C$42, 30, 30))/1000000</f>
        <v>4.125</v>
      </c>
      <c r="W429" s="58">
        <f>(1000*CHOOSE(CONTROL!$C$42, 0.1146, 0.1146)*CHOOSE(CONTROL!$C$42, 121.5, 121.5)*CHOOSE(CONTROL!$C$42, 30, 30))/1000000</f>
        <v>0.417717</v>
      </c>
      <c r="X429" s="58">
        <f>(30*0.1790888*245000/1000000)+(30*0.2374*100000/1000000)</f>
        <v>2.0285026799999999</v>
      </c>
      <c r="Y429" s="58"/>
      <c r="Z429" s="10"/>
      <c r="AA429" s="57"/>
      <c r="AB429" s="51">
        <f>(B429*194.205+C429*267.466+D429*133.845+E429*53.484+F429*40+G429*185+H429*0+I429*100+J429*300)/(194.205+267.466+133.845+53.484+0+40+185+100+300)</f>
        <v>13.815354012558872</v>
      </c>
      <c r="AC429" s="27">
        <f>(M429*'RAP TEMPLATE-GAS AVAILABILITY'!O428+N429*'RAP TEMPLATE-GAS AVAILABILITY'!P428+O429*'RAP TEMPLATE-GAS AVAILABILITY'!Q428+P429*'RAP TEMPLATE-GAS AVAILABILITY'!R428)/('RAP TEMPLATE-GAS AVAILABILITY'!O428+'RAP TEMPLATE-GAS AVAILABILITY'!P428+'RAP TEMPLATE-GAS AVAILABILITY'!Q428+'RAP TEMPLATE-GAS AVAILABILITY'!R428)</f>
        <v>13.710376978417266</v>
      </c>
    </row>
    <row r="430" spans="1:29" ht="15.75" x14ac:dyDescent="0.25">
      <c r="A430" s="14">
        <v>53996</v>
      </c>
      <c r="B430" s="10">
        <f>CHOOSE(CONTROL!$C$42, 13.5165, 13.5165) * CHOOSE(CONTROL!$C$21, $C$9, 100%, $E$9)</f>
        <v>13.516500000000001</v>
      </c>
      <c r="C430" s="10">
        <f>CHOOSE(CONTROL!$C$42, 13.5217, 13.5217) * CHOOSE(CONTROL!$C$21, $C$9, 100%, $E$9)</f>
        <v>13.521699999999999</v>
      </c>
      <c r="D430" s="10">
        <f>CHOOSE(CONTROL!$C$42, 13.7191, 13.7191) * CHOOSE(CONTROL!$C$21, $C$9, 100%, $E$9)</f>
        <v>13.719099999999999</v>
      </c>
      <c r="E430" s="10">
        <f>CHOOSE(CONTROL!$C$42, 13.7479, 13.7479) * CHOOSE(CONTROL!$C$21, $C$9, 100%, $E$9)</f>
        <v>13.7479</v>
      </c>
      <c r="F430" s="10">
        <f>CHOOSE(CONTROL!$C$42, 13.4854, 13.4854)*CHOOSE(CONTROL!$C$21, $C$9, 100%, $E$9)</f>
        <v>13.4854</v>
      </c>
      <c r="G430" s="10">
        <f>CHOOSE(CONTROL!$C$42, 13.5024, 13.5024)*CHOOSE(CONTROL!$C$21, $C$9, 100%, $E$9)</f>
        <v>13.5024</v>
      </c>
      <c r="H430" s="10">
        <f>CHOOSE(CONTROL!$C$42, 13.7384, 13.7384) * CHOOSE(CONTROL!$C$21, $C$9, 100%, $E$9)</f>
        <v>13.7384</v>
      </c>
      <c r="I430" s="10">
        <f>CHOOSE(CONTROL!$C$42, 13.4848, 13.4848)* CHOOSE(CONTROL!$C$21, $C$9, 100%, $E$9)</f>
        <v>13.4848</v>
      </c>
      <c r="J430" s="10">
        <f>CHOOSE(CONTROL!$C$42, 13.4784, 13.4784)* CHOOSE(CONTROL!$C$21, $C$9, 100%, $E$9)</f>
        <v>13.478400000000001</v>
      </c>
      <c r="K430" s="54">
        <f>CHOOSE(CONTROL!$C$42, 13.481, 13.481) * CHOOSE(CONTROL!$C$21, $C$9, 100%, $E$9)</f>
        <v>13.481</v>
      </c>
      <c r="L430" s="10">
        <f>CHOOSE(CONTROL!$C$42, 14.3254, 14.3254) * CHOOSE(CONTROL!$C$21, $C$9, 100%, $E$9)</f>
        <v>14.3254</v>
      </c>
      <c r="M430" s="10">
        <f>CHOOSE(CONTROL!$C$42, 13.3562, 13.3562) * CHOOSE(CONTROL!$C$21, $C$9, 100%, $E$9)</f>
        <v>13.356199999999999</v>
      </c>
      <c r="N430" s="10">
        <f>CHOOSE(CONTROL!$C$42, 13.373, 13.373) * CHOOSE(CONTROL!$C$21, $C$9, 100%, $E$9)</f>
        <v>13.372999999999999</v>
      </c>
      <c r="O430" s="10">
        <f>CHOOSE(CONTROL!$C$42, 13.6136, 13.6136) * CHOOSE(CONTROL!$C$21, $C$9, 100%, $E$9)</f>
        <v>13.6136</v>
      </c>
      <c r="P430" s="10">
        <f>CHOOSE(CONTROL!$C$42, 13.3626, 13.3626) * CHOOSE(CONTROL!$C$21, $C$9, 100%, $E$9)</f>
        <v>13.3626</v>
      </c>
      <c r="Q430" s="10">
        <f>CHOOSE(CONTROL!$C$42, 14.2089, 14.2089) * CHOOSE(CONTROL!$C$21, $C$9, 100%, $E$9)</f>
        <v>14.2089</v>
      </c>
      <c r="R430" s="10">
        <f>CHOOSE(CONTROL!$C$42, 14.8314, 14.8314) * CHOOSE(CONTROL!$C$21, $C$9, 100%, $E$9)</f>
        <v>14.8314</v>
      </c>
      <c r="S430" s="10">
        <f>CHOOSE(CONTROL!$C$42, 13.1234, 13.1234) * CHOOSE(CONTROL!$C$21, $C$9, 100%, $E$9)</f>
        <v>13.1234</v>
      </c>
      <c r="T430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430" s="58">
        <f>(1000*CHOOSE(CONTROL!$C$42, 695, 695)*CHOOSE(CONTROL!$C$42, 0.5599, 0.5599)*CHOOSE(CONTROL!$C$42, 31, 31))/1000000</f>
        <v>12.063045499999998</v>
      </c>
      <c r="V430" s="58">
        <f>(1000*CHOOSE(CONTROL!$C$42, 500, 500)*CHOOSE(CONTROL!$C$42, 0.275, 0.275)*CHOOSE(CONTROL!$C$42, 31, 31))/1000000</f>
        <v>4.2625000000000002</v>
      </c>
      <c r="W430" s="58">
        <f>(1000*CHOOSE(CONTROL!$C$42, 0.1146, 0.1146)*CHOOSE(CONTROL!$C$42, 121.5, 121.5)*CHOOSE(CONTROL!$C$42, 31, 31))/1000000</f>
        <v>0.43164089999999994</v>
      </c>
      <c r="X430" s="58">
        <f>(31*0.1790888*245000/1000000)+(31*0.2374*100000/1000000)</f>
        <v>2.0961194359999999</v>
      </c>
      <c r="Y430" s="58"/>
      <c r="Z430" s="10"/>
      <c r="AA430" s="57"/>
      <c r="AB430" s="51">
        <f>(B430*131.881+C430*277.167+D430*79.08+E430*125.872+F430*40+G430*185+H430*0+I430*100+J430*300)/(131.881+277.167+79.08+125.872+0+40+185+100+300)</f>
        <v>13.539209569975784</v>
      </c>
      <c r="AC430" s="27">
        <f>(M430*'RAP TEMPLATE-GAS AVAILABILITY'!O429+N430*'RAP TEMPLATE-GAS AVAILABILITY'!P429+O430*'RAP TEMPLATE-GAS AVAILABILITY'!Q429+P430*'RAP TEMPLATE-GAS AVAILABILITY'!R429)/('RAP TEMPLATE-GAS AVAILABILITY'!O429+'RAP TEMPLATE-GAS AVAILABILITY'!P429+'RAP TEMPLATE-GAS AVAILABILITY'!Q429+'RAP TEMPLATE-GAS AVAILABILITY'!R429)</f>
        <v>13.433208633093525</v>
      </c>
    </row>
    <row r="431" spans="1:29" ht="15.75" x14ac:dyDescent="0.25">
      <c r="A431" s="14">
        <v>54026</v>
      </c>
      <c r="B431" s="10">
        <f>CHOOSE(CONTROL!$C$42, 13.8721, 13.8721) * CHOOSE(CONTROL!$C$21, $C$9, 100%, $E$9)</f>
        <v>13.8721</v>
      </c>
      <c r="C431" s="10">
        <f>CHOOSE(CONTROL!$C$42, 13.8771, 13.8771) * CHOOSE(CONTROL!$C$21, $C$9, 100%, $E$9)</f>
        <v>13.8771</v>
      </c>
      <c r="D431" s="10">
        <f>CHOOSE(CONTROL!$C$42, 13.9067, 13.9067) * CHOOSE(CONTROL!$C$21, $C$9, 100%, $E$9)</f>
        <v>13.906700000000001</v>
      </c>
      <c r="E431" s="10">
        <f>CHOOSE(CONTROL!$C$42, 13.9404, 13.9404) * CHOOSE(CONTROL!$C$21, $C$9, 100%, $E$9)</f>
        <v>13.9404</v>
      </c>
      <c r="F431" s="10">
        <f>CHOOSE(CONTROL!$C$42, 13.8389, 13.8389)*CHOOSE(CONTROL!$C$21, $C$9, 100%, $E$9)</f>
        <v>13.838900000000001</v>
      </c>
      <c r="G431" s="10">
        <f>CHOOSE(CONTROL!$C$42, 13.856, 13.856)*CHOOSE(CONTROL!$C$21, $C$9, 100%, $E$9)</f>
        <v>13.856</v>
      </c>
      <c r="H431" s="10">
        <f>CHOOSE(CONTROL!$C$42, 13.9296, 13.9296) * CHOOSE(CONTROL!$C$21, $C$9, 100%, $E$9)</f>
        <v>13.929600000000001</v>
      </c>
      <c r="I431" s="10">
        <f>CHOOSE(CONTROL!$C$42, 13.8357, 13.8357)* CHOOSE(CONTROL!$C$21, $C$9, 100%, $E$9)</f>
        <v>13.835699999999999</v>
      </c>
      <c r="J431" s="10">
        <f>CHOOSE(CONTROL!$C$42, 13.8319, 13.8319)* CHOOSE(CONTROL!$C$21, $C$9, 100%, $E$9)</f>
        <v>13.831899999999999</v>
      </c>
      <c r="K431" s="54">
        <f>CHOOSE(CONTROL!$C$42, 13.8318, 13.8318) * CHOOSE(CONTROL!$C$21, $C$9, 100%, $E$9)</f>
        <v>13.831799999999999</v>
      </c>
      <c r="L431" s="10">
        <f>CHOOSE(CONTROL!$C$42, 14.5166, 14.5166) * CHOOSE(CONTROL!$C$21, $C$9, 100%, $E$9)</f>
        <v>14.5166</v>
      </c>
      <c r="M431" s="10">
        <f>CHOOSE(CONTROL!$C$42, 13.7061, 13.7061) * CHOOSE(CONTROL!$C$21, $C$9, 100%, $E$9)</f>
        <v>13.706099999999999</v>
      </c>
      <c r="N431" s="10">
        <f>CHOOSE(CONTROL!$C$42, 13.7231, 13.7231) * CHOOSE(CONTROL!$C$21, $C$9, 100%, $E$9)</f>
        <v>13.723100000000001</v>
      </c>
      <c r="O431" s="10">
        <f>CHOOSE(CONTROL!$C$42, 13.8029, 13.8029) * CHOOSE(CONTROL!$C$21, $C$9, 100%, $E$9)</f>
        <v>13.802899999999999</v>
      </c>
      <c r="P431" s="10">
        <f>CHOOSE(CONTROL!$C$42, 13.7099, 13.7099) * CHOOSE(CONTROL!$C$21, $C$9, 100%, $E$9)</f>
        <v>13.709899999999999</v>
      </c>
      <c r="Q431" s="10">
        <f>CHOOSE(CONTROL!$C$42, 14.3982, 14.3982) * CHOOSE(CONTROL!$C$21, $C$9, 100%, $E$9)</f>
        <v>14.398199999999999</v>
      </c>
      <c r="R431" s="10">
        <f>CHOOSE(CONTROL!$C$42, 15.0212, 15.0212) * CHOOSE(CONTROL!$C$21, $C$9, 100%, $E$9)</f>
        <v>15.0212</v>
      </c>
      <c r="S431" s="10">
        <f>CHOOSE(CONTROL!$C$42, 13.4691, 13.4691) * CHOOSE(CONTROL!$C$21, $C$9, 100%, $E$9)</f>
        <v>13.469099999999999</v>
      </c>
      <c r="T431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431" s="58">
        <f>(1000*CHOOSE(CONTROL!$C$42, 695, 695)*CHOOSE(CONTROL!$C$42, 0.5599, 0.5599)*CHOOSE(CONTROL!$C$42, 30, 30))/1000000</f>
        <v>11.673914999999997</v>
      </c>
      <c r="V431" s="58">
        <f>(1000*CHOOSE(CONTROL!$C$42, 500, 500)*CHOOSE(CONTROL!$C$42, 0.275, 0.275)*CHOOSE(CONTROL!$C$42, 30, 30))/1000000</f>
        <v>4.125</v>
      </c>
      <c r="W431" s="58">
        <f>(1000*CHOOSE(CONTROL!$C$42, 0.1146, 0.1146)*CHOOSE(CONTROL!$C$42, 121.5, 121.5)*CHOOSE(CONTROL!$C$42, 30, 30))/1000000</f>
        <v>0.417717</v>
      </c>
      <c r="X431" s="58">
        <f>(30*0.1790888*100000/1000000)+(30*0.2374*100000/1000000)</f>
        <v>1.2494664</v>
      </c>
      <c r="Y431" s="58"/>
      <c r="Z431" s="10"/>
      <c r="AA431" s="57"/>
      <c r="AB431" s="51">
        <f>(B431*122.58+C431*297.941+D431*89.177+E431*40.302+F431*40+G431*160+H431*0+I431*100+J431*300)/(122.58+297.941+89.177+40.302+0+40+160+100+300)</f>
        <v>13.861425091999999</v>
      </c>
      <c r="AC431" s="27">
        <f>(M431*'RAP TEMPLATE-GAS AVAILABILITY'!O430+N431*'RAP TEMPLATE-GAS AVAILABILITY'!P430+O431*'RAP TEMPLATE-GAS AVAILABILITY'!Q430+P431*'RAP TEMPLATE-GAS AVAILABILITY'!R430)/('RAP TEMPLATE-GAS AVAILABILITY'!O430+'RAP TEMPLATE-GAS AVAILABILITY'!P430+'RAP TEMPLATE-GAS AVAILABILITY'!Q430+'RAP TEMPLATE-GAS AVAILABILITY'!R430)</f>
        <v>13.751498561151077</v>
      </c>
    </row>
    <row r="432" spans="1:29" ht="15.75" x14ac:dyDescent="0.25">
      <c r="A432" s="14">
        <v>54057</v>
      </c>
      <c r="B432" s="10">
        <f>CHOOSE(CONTROL!$C$42, 14.8177, 14.8177) * CHOOSE(CONTROL!$C$21, $C$9, 100%, $E$9)</f>
        <v>14.8177</v>
      </c>
      <c r="C432" s="10">
        <f>CHOOSE(CONTROL!$C$42, 14.8226, 14.8226) * CHOOSE(CONTROL!$C$21, $C$9, 100%, $E$9)</f>
        <v>14.8226</v>
      </c>
      <c r="D432" s="10">
        <f>CHOOSE(CONTROL!$C$42, 14.8523, 14.8523) * CHOOSE(CONTROL!$C$21, $C$9, 100%, $E$9)</f>
        <v>14.8523</v>
      </c>
      <c r="E432" s="10">
        <f>CHOOSE(CONTROL!$C$42, 14.886, 14.886) * CHOOSE(CONTROL!$C$21, $C$9, 100%, $E$9)</f>
        <v>14.885999999999999</v>
      </c>
      <c r="F432" s="10">
        <f>CHOOSE(CONTROL!$C$42, 14.7859, 14.7859)*CHOOSE(CONTROL!$C$21, $C$9, 100%, $E$9)</f>
        <v>14.7859</v>
      </c>
      <c r="G432" s="10">
        <f>CHOOSE(CONTROL!$C$42, 14.8034, 14.8034)*CHOOSE(CONTROL!$C$21, $C$9, 100%, $E$9)</f>
        <v>14.8034</v>
      </c>
      <c r="H432" s="10">
        <f>CHOOSE(CONTROL!$C$42, 14.8752, 14.8752) * CHOOSE(CONTROL!$C$21, $C$9, 100%, $E$9)</f>
        <v>14.8752</v>
      </c>
      <c r="I432" s="10">
        <f>CHOOSE(CONTROL!$C$42, 14.7813, 14.7813)* CHOOSE(CONTROL!$C$21, $C$9, 100%, $E$9)</f>
        <v>14.7813</v>
      </c>
      <c r="J432" s="10">
        <f>CHOOSE(CONTROL!$C$42, 14.7789, 14.7789)* CHOOSE(CONTROL!$C$21, $C$9, 100%, $E$9)</f>
        <v>14.7789</v>
      </c>
      <c r="K432" s="54">
        <f>CHOOSE(CONTROL!$C$42, 14.7774, 14.7774) * CHOOSE(CONTROL!$C$21, $C$9, 100%, $E$9)</f>
        <v>14.7774</v>
      </c>
      <c r="L432" s="10">
        <f>CHOOSE(CONTROL!$C$42, 15.4622, 15.4622) * CHOOSE(CONTROL!$C$21, $C$9, 100%, $E$9)</f>
        <v>15.462199999999999</v>
      </c>
      <c r="M432" s="10">
        <f>CHOOSE(CONTROL!$C$42, 14.6436, 14.6436) * CHOOSE(CONTROL!$C$21, $C$9, 100%, $E$9)</f>
        <v>14.643599999999999</v>
      </c>
      <c r="N432" s="10">
        <f>CHOOSE(CONTROL!$C$42, 14.6609, 14.6609) * CHOOSE(CONTROL!$C$21, $C$9, 100%, $E$9)</f>
        <v>14.6609</v>
      </c>
      <c r="O432" s="10">
        <f>CHOOSE(CONTROL!$C$42, 14.7389, 14.7389) * CHOOSE(CONTROL!$C$21, $C$9, 100%, $E$9)</f>
        <v>14.738899999999999</v>
      </c>
      <c r="P432" s="10">
        <f>CHOOSE(CONTROL!$C$42, 14.646, 14.646) * CHOOSE(CONTROL!$C$21, $C$9, 100%, $E$9)</f>
        <v>14.646000000000001</v>
      </c>
      <c r="Q432" s="10">
        <f>CHOOSE(CONTROL!$C$42, 15.3342, 15.3342) * CHOOSE(CONTROL!$C$21, $C$9, 100%, $E$9)</f>
        <v>15.334199999999999</v>
      </c>
      <c r="R432" s="10">
        <f>CHOOSE(CONTROL!$C$42, 15.9596, 15.9596) * CHOOSE(CONTROL!$C$21, $C$9, 100%, $E$9)</f>
        <v>15.9596</v>
      </c>
      <c r="S432" s="10">
        <f>CHOOSE(CONTROL!$C$42, 14.3873, 14.3873) * CHOOSE(CONTROL!$C$21, $C$9, 100%, $E$9)</f>
        <v>14.3873</v>
      </c>
      <c r="T432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432" s="58">
        <f>(1000*CHOOSE(CONTROL!$C$42, 695, 695)*CHOOSE(CONTROL!$C$42, 0.5599, 0.5599)*CHOOSE(CONTROL!$C$42, 31, 31))/1000000</f>
        <v>12.063045499999998</v>
      </c>
      <c r="V432" s="58">
        <f>(1000*CHOOSE(CONTROL!$C$42, 500, 500)*CHOOSE(CONTROL!$C$42, 0.275, 0.275)*CHOOSE(CONTROL!$C$42, 31, 31))/1000000</f>
        <v>4.2625000000000002</v>
      </c>
      <c r="W432" s="58">
        <f>(1000*CHOOSE(CONTROL!$C$42, 0.1146, 0.1146)*CHOOSE(CONTROL!$C$42, 121.5, 121.5)*CHOOSE(CONTROL!$C$42, 31, 31))/1000000</f>
        <v>0.43164089999999994</v>
      </c>
      <c r="X432" s="58">
        <f>(31*0.1790888*100000/1000000)+(31*0.2374*100000/1000000)</f>
        <v>1.2911152800000001</v>
      </c>
      <c r="Y432" s="58"/>
      <c r="Z432" s="10"/>
      <c r="AA432" s="57"/>
      <c r="AB432" s="51">
        <f>(B432*122.58+C432*297.941+D432*89.177+E432*40.302+F432*40+G432*160+H432*0+I432*100+J432*300)/(122.58+297.941+89.177+40.302+0+40+160+100+300)</f>
        <v>14.807663531913043</v>
      </c>
      <c r="AC432" s="27">
        <f>(M432*'RAP TEMPLATE-GAS AVAILABILITY'!O431+N432*'RAP TEMPLATE-GAS AVAILABILITY'!P431+O432*'RAP TEMPLATE-GAS AVAILABILITY'!Q431+P432*'RAP TEMPLATE-GAS AVAILABILITY'!R431)/('RAP TEMPLATE-GAS AVAILABILITY'!O431+'RAP TEMPLATE-GAS AVAILABILITY'!P431+'RAP TEMPLATE-GAS AVAILABILITY'!Q431+'RAP TEMPLATE-GAS AVAILABILITY'!R431)</f>
        <v>14.688134532374102</v>
      </c>
    </row>
    <row r="433" spans="1:29" ht="15.75" x14ac:dyDescent="0.25">
      <c r="A433" s="14">
        <v>54088</v>
      </c>
      <c r="B433" s="10">
        <f>CHOOSE(CONTROL!$C$42, 16.0316, 16.0316) * CHOOSE(CONTROL!$C$21, $C$9, 100%, $E$9)</f>
        <v>16.031600000000001</v>
      </c>
      <c r="C433" s="10">
        <f>CHOOSE(CONTROL!$C$42, 16.0365, 16.0365) * CHOOSE(CONTROL!$C$21, $C$9, 100%, $E$9)</f>
        <v>16.0365</v>
      </c>
      <c r="D433" s="10">
        <f>CHOOSE(CONTROL!$C$42, 16.0867, 16.0867) * CHOOSE(CONTROL!$C$21, $C$9, 100%, $E$9)</f>
        <v>16.0867</v>
      </c>
      <c r="E433" s="10">
        <f>CHOOSE(CONTROL!$C$42, 16.1205, 16.1205) * CHOOSE(CONTROL!$C$21, $C$9, 100%, $E$9)</f>
        <v>16.1205</v>
      </c>
      <c r="F433" s="10">
        <f>CHOOSE(CONTROL!$C$42, 15.9969, 15.9969)*CHOOSE(CONTROL!$C$21, $C$9, 100%, $E$9)</f>
        <v>15.9969</v>
      </c>
      <c r="G433" s="10">
        <f>CHOOSE(CONTROL!$C$42, 16.0145, 16.0145)*CHOOSE(CONTROL!$C$21, $C$9, 100%, $E$9)</f>
        <v>16.014500000000002</v>
      </c>
      <c r="H433" s="10">
        <f>CHOOSE(CONTROL!$C$42, 16.1097, 16.1097) * CHOOSE(CONTROL!$C$21, $C$9, 100%, $E$9)</f>
        <v>16.1097</v>
      </c>
      <c r="I433" s="10">
        <f>CHOOSE(CONTROL!$C$42, 16.0055, 16.0055)* CHOOSE(CONTROL!$C$21, $C$9, 100%, $E$9)</f>
        <v>16.005500000000001</v>
      </c>
      <c r="J433" s="10">
        <f>CHOOSE(CONTROL!$C$42, 15.9899, 15.9899)* CHOOSE(CONTROL!$C$21, $C$9, 100%, $E$9)</f>
        <v>15.9899</v>
      </c>
      <c r="K433" s="54">
        <f>CHOOSE(CONTROL!$C$42, 16.0016, 16.0016) * CHOOSE(CONTROL!$C$21, $C$9, 100%, $E$9)</f>
        <v>16.0016</v>
      </c>
      <c r="L433" s="10">
        <f>CHOOSE(CONTROL!$C$42, 16.6967, 16.6967) * CHOOSE(CONTROL!$C$21, $C$9, 100%, $E$9)</f>
        <v>16.6967</v>
      </c>
      <c r="M433" s="10">
        <f>CHOOSE(CONTROL!$C$42, 15.8424, 15.8424) * CHOOSE(CONTROL!$C$21, $C$9, 100%, $E$9)</f>
        <v>15.8424</v>
      </c>
      <c r="N433" s="10">
        <f>CHOOSE(CONTROL!$C$42, 15.8598, 15.8598) * CHOOSE(CONTROL!$C$21, $C$9, 100%, $E$9)</f>
        <v>15.8598</v>
      </c>
      <c r="O433" s="10">
        <f>CHOOSE(CONTROL!$C$42, 15.9609, 15.9609) * CHOOSE(CONTROL!$C$21, $C$9, 100%, $E$9)</f>
        <v>15.960900000000001</v>
      </c>
      <c r="P433" s="10">
        <f>CHOOSE(CONTROL!$C$42, 15.8578, 15.8578) * CHOOSE(CONTROL!$C$21, $C$9, 100%, $E$9)</f>
        <v>15.857799999999999</v>
      </c>
      <c r="Q433" s="10">
        <f>CHOOSE(CONTROL!$C$42, 16.5562, 16.5562) * CHOOSE(CONTROL!$C$21, $C$9, 100%, $E$9)</f>
        <v>16.5562</v>
      </c>
      <c r="R433" s="10">
        <f>CHOOSE(CONTROL!$C$42, 17.1846, 17.1846) * CHOOSE(CONTROL!$C$21, $C$9, 100%, $E$9)</f>
        <v>17.1846</v>
      </c>
      <c r="S433" s="10">
        <f>CHOOSE(CONTROL!$C$42, 15.5661, 15.5661) * CHOOSE(CONTROL!$C$21, $C$9, 100%, $E$9)</f>
        <v>15.5661</v>
      </c>
      <c r="T433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433" s="58">
        <f>(1000*CHOOSE(CONTROL!$C$42, 695, 695)*CHOOSE(CONTROL!$C$42, 0.5599, 0.5599)*CHOOSE(CONTROL!$C$42, 31, 31))/1000000</f>
        <v>12.063045499999998</v>
      </c>
      <c r="V433" s="58">
        <f>(1000*CHOOSE(CONTROL!$C$42, 500, 500)*CHOOSE(CONTROL!$C$42, 0.275, 0.275)*CHOOSE(CONTROL!$C$42, 31, 31))/1000000</f>
        <v>4.2625000000000002</v>
      </c>
      <c r="W433" s="58">
        <f>(1000*CHOOSE(CONTROL!$C$42, 0.1146, 0.1146)*CHOOSE(CONTROL!$C$42, 121.5, 121.5)*CHOOSE(CONTROL!$C$42, 31, 31))/1000000</f>
        <v>0.43164089999999994</v>
      </c>
      <c r="X433" s="58">
        <f>(31*0.1790888*100000/1000000)+(31*0.2374*100000/1000000)</f>
        <v>1.2911152800000001</v>
      </c>
      <c r="Y433" s="58"/>
      <c r="Z433" s="10"/>
      <c r="AA433" s="57"/>
      <c r="AB433" s="51">
        <f>(B433*122.58+C433*297.941+D433*89.177+E433*40.302+F433*40+G433*160+H433*0+I433*100+J433*300)/(122.58+297.941+89.177+40.302+0+40+160+100+300)</f>
        <v>16.023523835999999</v>
      </c>
      <c r="AC433" s="27">
        <f>(M433*'RAP TEMPLATE-GAS AVAILABILITY'!O432+N433*'RAP TEMPLATE-GAS AVAILABILITY'!P432+O433*'RAP TEMPLATE-GAS AVAILABILITY'!Q432+P433*'RAP TEMPLATE-GAS AVAILABILITY'!R432)/('RAP TEMPLATE-GAS AVAILABILITY'!O432+'RAP TEMPLATE-GAS AVAILABILITY'!P432+'RAP TEMPLATE-GAS AVAILABILITY'!Q432+'RAP TEMPLATE-GAS AVAILABILITY'!R432)</f>
        <v>15.899325899280576</v>
      </c>
    </row>
    <row r="434" spans="1:29" ht="15.75" x14ac:dyDescent="0.25">
      <c r="A434" s="14">
        <v>54116</v>
      </c>
      <c r="B434" s="10">
        <f>CHOOSE(CONTROL!$C$42, 16.3169, 16.3169) * CHOOSE(CONTROL!$C$21, $C$9, 100%, $E$9)</f>
        <v>16.3169</v>
      </c>
      <c r="C434" s="10">
        <f>CHOOSE(CONTROL!$C$42, 16.3218, 16.3218) * CHOOSE(CONTROL!$C$21, $C$9, 100%, $E$9)</f>
        <v>16.3218</v>
      </c>
      <c r="D434" s="10">
        <f>CHOOSE(CONTROL!$C$42, 16.3823, 16.3823) * CHOOSE(CONTROL!$C$21, $C$9, 100%, $E$9)</f>
        <v>16.382300000000001</v>
      </c>
      <c r="E434" s="10">
        <f>CHOOSE(CONTROL!$C$42, 16.4161, 16.4161) * CHOOSE(CONTROL!$C$21, $C$9, 100%, $E$9)</f>
        <v>16.4161</v>
      </c>
      <c r="F434" s="10">
        <f>CHOOSE(CONTROL!$C$42, 16.3101, 16.3101)*CHOOSE(CONTROL!$C$21, $C$9, 100%, $E$9)</f>
        <v>16.310099999999998</v>
      </c>
      <c r="G434" s="10">
        <f>CHOOSE(CONTROL!$C$42, 16.3274, 16.3274)*CHOOSE(CONTROL!$C$21, $C$9, 100%, $E$9)</f>
        <v>16.327400000000001</v>
      </c>
      <c r="H434" s="10">
        <f>CHOOSE(CONTROL!$C$42, 16.4053, 16.4053) * CHOOSE(CONTROL!$C$21, $C$9, 100%, $E$9)</f>
        <v>16.4053</v>
      </c>
      <c r="I434" s="10">
        <f>CHOOSE(CONTROL!$C$42, 16.3037, 16.3037)* CHOOSE(CONTROL!$C$21, $C$9, 100%, $E$9)</f>
        <v>16.303699999999999</v>
      </c>
      <c r="J434" s="10">
        <f>CHOOSE(CONTROL!$C$42, 16.3031, 16.3031)* CHOOSE(CONTROL!$C$21, $C$9, 100%, $E$9)</f>
        <v>16.303100000000001</v>
      </c>
      <c r="K434" s="54">
        <f>CHOOSE(CONTROL!$C$42, 16.2998, 16.2998) * CHOOSE(CONTROL!$C$21, $C$9, 100%, $E$9)</f>
        <v>16.299800000000001</v>
      </c>
      <c r="L434" s="10">
        <f>CHOOSE(CONTROL!$C$42, 16.9923, 16.9923) * CHOOSE(CONTROL!$C$21, $C$9, 100%, $E$9)</f>
        <v>16.9923</v>
      </c>
      <c r="M434" s="10">
        <f>CHOOSE(CONTROL!$C$42, 16.1524, 16.1524) * CHOOSE(CONTROL!$C$21, $C$9, 100%, $E$9)</f>
        <v>16.1524</v>
      </c>
      <c r="N434" s="10">
        <f>CHOOSE(CONTROL!$C$42, 16.1695, 16.1695) * CHOOSE(CONTROL!$C$21, $C$9, 100%, $E$9)</f>
        <v>16.169499999999999</v>
      </c>
      <c r="O434" s="10">
        <f>CHOOSE(CONTROL!$C$42, 16.2536, 16.2536) * CHOOSE(CONTROL!$C$21, $C$9, 100%, $E$9)</f>
        <v>16.253599999999999</v>
      </c>
      <c r="P434" s="10">
        <f>CHOOSE(CONTROL!$C$42, 16.153, 16.153) * CHOOSE(CONTROL!$C$21, $C$9, 100%, $E$9)</f>
        <v>16.152999999999999</v>
      </c>
      <c r="Q434" s="10">
        <f>CHOOSE(CONTROL!$C$42, 16.8489, 16.8489) * CHOOSE(CONTROL!$C$21, $C$9, 100%, $E$9)</f>
        <v>16.8489</v>
      </c>
      <c r="R434" s="10">
        <f>CHOOSE(CONTROL!$C$42, 17.478, 17.478) * CHOOSE(CONTROL!$C$21, $C$9, 100%, $E$9)</f>
        <v>17.478000000000002</v>
      </c>
      <c r="S434" s="10">
        <f>CHOOSE(CONTROL!$C$42, 15.8432, 15.8432) * CHOOSE(CONTROL!$C$21, $C$9, 100%, $E$9)</f>
        <v>15.8432</v>
      </c>
      <c r="T434" s="5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434" s="58">
        <f>(1000*CHOOSE(CONTROL!$C$42, 695, 695)*CHOOSE(CONTROL!$C$42, 0.5599, 0.5599)*CHOOSE(CONTROL!$C$42, 29, 29))/1000000</f>
        <v>11.284784499999999</v>
      </c>
      <c r="V434" s="58">
        <f>(1000*CHOOSE(CONTROL!$C$42, 500, 500)*CHOOSE(CONTROL!$C$42, 0.275, 0.275)*CHOOSE(CONTROL!$C$42, 29, 29))/1000000</f>
        <v>3.9874999999999998</v>
      </c>
      <c r="W434" s="58">
        <f>(1000*CHOOSE(CONTROL!$C$42, 0.1146, 0.1146)*CHOOSE(CONTROL!$C$42, 121.5, 121.5)*CHOOSE(CONTROL!$C$42, 29, 29))/1000000</f>
        <v>0.40379309999999996</v>
      </c>
      <c r="X434" s="58">
        <f>(29*0.1790888*100000/1000000)+(29*0.2374*100000/1000000)</f>
        <v>1.2078175199999999</v>
      </c>
      <c r="Y434" s="58"/>
      <c r="Z434" s="10"/>
      <c r="AA434" s="57"/>
      <c r="AB434" s="51">
        <f>(B434*122.58+C434*297.941+D434*89.177+E434*40.302+F434*40+G434*160+H434*0+I434*100+J434*300)/(122.58+297.941+89.177+40.302+0+40+160+100+300)</f>
        <v>16.323193952260869</v>
      </c>
      <c r="AC434" s="27">
        <f>(M434*'RAP TEMPLATE-GAS AVAILABILITY'!O433+N434*'RAP TEMPLATE-GAS AVAILABILITY'!P433+O434*'RAP TEMPLATE-GAS AVAILABILITY'!Q433+P434*'RAP TEMPLATE-GAS AVAILABILITY'!R433)/('RAP TEMPLATE-GAS AVAILABILITY'!O433+'RAP TEMPLATE-GAS AVAILABILITY'!P433+'RAP TEMPLATE-GAS AVAILABILITY'!Q433+'RAP TEMPLATE-GAS AVAILABILITY'!R433)</f>
        <v>16.1993381294964</v>
      </c>
    </row>
    <row r="435" spans="1:29" ht="15.75" x14ac:dyDescent="0.25">
      <c r="A435" s="14">
        <v>54148</v>
      </c>
      <c r="B435" s="10">
        <f>CHOOSE(CONTROL!$C$42, 15.8537, 15.8537) * CHOOSE(CONTROL!$C$21, $C$9, 100%, $E$9)</f>
        <v>15.8537</v>
      </c>
      <c r="C435" s="10">
        <f>CHOOSE(CONTROL!$C$42, 15.8587, 15.8587) * CHOOSE(CONTROL!$C$21, $C$9, 100%, $E$9)</f>
        <v>15.858700000000001</v>
      </c>
      <c r="D435" s="10">
        <f>CHOOSE(CONTROL!$C$42, 15.9192, 15.9192) * CHOOSE(CONTROL!$C$21, $C$9, 100%, $E$9)</f>
        <v>15.9192</v>
      </c>
      <c r="E435" s="10">
        <f>CHOOSE(CONTROL!$C$42, 15.953, 15.953) * CHOOSE(CONTROL!$C$21, $C$9, 100%, $E$9)</f>
        <v>15.952999999999999</v>
      </c>
      <c r="F435" s="10">
        <f>CHOOSE(CONTROL!$C$42, 15.8415, 15.8415)*CHOOSE(CONTROL!$C$21, $C$9, 100%, $E$9)</f>
        <v>15.8415</v>
      </c>
      <c r="G435" s="10">
        <f>CHOOSE(CONTROL!$C$42, 15.8587, 15.8587)*CHOOSE(CONTROL!$C$21, $C$9, 100%, $E$9)</f>
        <v>15.858700000000001</v>
      </c>
      <c r="H435" s="10">
        <f>CHOOSE(CONTROL!$C$42, 15.9422, 15.9422) * CHOOSE(CONTROL!$C$21, $C$9, 100%, $E$9)</f>
        <v>15.9422</v>
      </c>
      <c r="I435" s="10">
        <f>CHOOSE(CONTROL!$C$42, 15.8276, 15.8276)* CHOOSE(CONTROL!$C$21, $C$9, 100%, $E$9)</f>
        <v>15.8276</v>
      </c>
      <c r="J435" s="10">
        <f>CHOOSE(CONTROL!$C$42, 15.8345, 15.8345)* CHOOSE(CONTROL!$C$21, $C$9, 100%, $E$9)</f>
        <v>15.8345</v>
      </c>
      <c r="K435" s="54">
        <f>CHOOSE(CONTROL!$C$42, 15.8237, 15.8237) * CHOOSE(CONTROL!$C$21, $C$9, 100%, $E$9)</f>
        <v>15.823700000000001</v>
      </c>
      <c r="L435" s="10">
        <f>CHOOSE(CONTROL!$C$42, 16.5292, 16.5292) * CHOOSE(CONTROL!$C$21, $C$9, 100%, $E$9)</f>
        <v>16.529199999999999</v>
      </c>
      <c r="M435" s="10">
        <f>CHOOSE(CONTROL!$C$42, 15.6885, 15.6885) * CHOOSE(CONTROL!$C$21, $C$9, 100%, $E$9)</f>
        <v>15.688499999999999</v>
      </c>
      <c r="N435" s="10">
        <f>CHOOSE(CONTROL!$C$42, 15.7055, 15.7055) * CHOOSE(CONTROL!$C$21, $C$9, 100%, $E$9)</f>
        <v>15.705500000000001</v>
      </c>
      <c r="O435" s="10">
        <f>CHOOSE(CONTROL!$C$42, 15.7951, 15.7951) * CHOOSE(CONTROL!$C$21, $C$9, 100%, $E$9)</f>
        <v>15.7951</v>
      </c>
      <c r="P435" s="10">
        <f>CHOOSE(CONTROL!$C$42, 15.6818, 15.6818) * CHOOSE(CONTROL!$C$21, $C$9, 100%, $E$9)</f>
        <v>15.681800000000001</v>
      </c>
      <c r="Q435" s="10">
        <f>CHOOSE(CONTROL!$C$42, 16.3904, 16.3904) * CHOOSE(CONTROL!$C$21, $C$9, 100%, $E$9)</f>
        <v>16.3904</v>
      </c>
      <c r="R435" s="10">
        <f>CHOOSE(CONTROL!$C$42, 17.0184, 17.0184) * CHOOSE(CONTROL!$C$21, $C$9, 100%, $E$9)</f>
        <v>17.0184</v>
      </c>
      <c r="S435" s="10">
        <f>CHOOSE(CONTROL!$C$42, 15.3934, 15.3934) * CHOOSE(CONTROL!$C$21, $C$9, 100%, $E$9)</f>
        <v>15.3934</v>
      </c>
      <c r="T435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435" s="58">
        <f>(1000*CHOOSE(CONTROL!$C$42, 695, 695)*CHOOSE(CONTROL!$C$42, 0.5599, 0.5599)*CHOOSE(CONTROL!$C$42, 31, 31))/1000000</f>
        <v>12.063045499999998</v>
      </c>
      <c r="V435" s="58">
        <f>(1000*CHOOSE(CONTROL!$C$42, 500, 500)*CHOOSE(CONTROL!$C$42, 0.275, 0.275)*CHOOSE(CONTROL!$C$42, 31, 31))/1000000</f>
        <v>4.2625000000000002</v>
      </c>
      <c r="W435" s="58">
        <f>(1000*CHOOSE(CONTROL!$C$42, 0.1146, 0.1146)*CHOOSE(CONTROL!$C$42, 121.5, 121.5)*CHOOSE(CONTROL!$C$42, 31, 31))/1000000</f>
        <v>0.43164089999999994</v>
      </c>
      <c r="X435" s="58">
        <f>(31*0.1790888*100000/1000000)+(31*0.2374*100000/1000000)</f>
        <v>1.2911152800000001</v>
      </c>
      <c r="Y435" s="58"/>
      <c r="Z435" s="10"/>
      <c r="AA435" s="57"/>
      <c r="AB435" s="51">
        <f>(B435*122.58+C435*297.941+D435*89.177+E435*40.302+F435*40+G435*160+H435*0+I435*100+J435*300)/(122.58+297.941+89.177+40.302+0+40+160+100+300)</f>
        <v>15.856547640956522</v>
      </c>
      <c r="AC435" s="27">
        <f>(M435*'RAP TEMPLATE-GAS AVAILABILITY'!O434+N435*'RAP TEMPLATE-GAS AVAILABILITY'!P434+O435*'RAP TEMPLATE-GAS AVAILABILITY'!Q434+P435*'RAP TEMPLATE-GAS AVAILABILITY'!R434)/('RAP TEMPLATE-GAS AVAILABILITY'!O434+'RAP TEMPLATE-GAS AVAILABILITY'!P434+'RAP TEMPLATE-GAS AVAILABILITY'!Q434+'RAP TEMPLATE-GAS AVAILABILITY'!R434)</f>
        <v>15.736829496402876</v>
      </c>
    </row>
    <row r="436" spans="1:29" ht="15.75" x14ac:dyDescent="0.25">
      <c r="A436" s="14">
        <v>54178</v>
      </c>
      <c r="B436" s="10">
        <f>CHOOSE(CONTROL!$C$42, 15.8074, 15.8074) * CHOOSE(CONTROL!$C$21, $C$9, 100%, $E$9)</f>
        <v>15.807399999999999</v>
      </c>
      <c r="C436" s="10">
        <f>CHOOSE(CONTROL!$C$42, 15.8118, 15.8118) * CHOOSE(CONTROL!$C$21, $C$9, 100%, $E$9)</f>
        <v>15.8118</v>
      </c>
      <c r="D436" s="10">
        <f>CHOOSE(CONTROL!$C$42, 16.0074, 16.0074) * CHOOSE(CONTROL!$C$21, $C$9, 100%, $E$9)</f>
        <v>16.007400000000001</v>
      </c>
      <c r="E436" s="10">
        <f>CHOOSE(CONTROL!$C$42, 16.0392, 16.0392) * CHOOSE(CONTROL!$C$21, $C$9, 100%, $E$9)</f>
        <v>16.039200000000001</v>
      </c>
      <c r="F436" s="10">
        <f>CHOOSE(CONTROL!$C$42, 15.7752, 15.7752)*CHOOSE(CONTROL!$C$21, $C$9, 100%, $E$9)</f>
        <v>15.7752</v>
      </c>
      <c r="G436" s="10">
        <f>CHOOSE(CONTROL!$C$42, 15.792, 15.792)*CHOOSE(CONTROL!$C$21, $C$9, 100%, $E$9)</f>
        <v>15.792</v>
      </c>
      <c r="H436" s="10">
        <f>CHOOSE(CONTROL!$C$42, 16.029, 16.029) * CHOOSE(CONTROL!$C$21, $C$9, 100%, $E$9)</f>
        <v>16.029</v>
      </c>
      <c r="I436" s="10">
        <f>CHOOSE(CONTROL!$C$42, 15.7754, 15.7754)* CHOOSE(CONTROL!$C$21, $C$9, 100%, $E$9)</f>
        <v>15.775399999999999</v>
      </c>
      <c r="J436" s="10">
        <f>CHOOSE(CONTROL!$C$42, 15.7682, 15.7682)* CHOOSE(CONTROL!$C$21, $C$9, 100%, $E$9)</f>
        <v>15.7682</v>
      </c>
      <c r="K436" s="54">
        <f>CHOOSE(CONTROL!$C$42, 15.7715, 15.7715) * CHOOSE(CONTROL!$C$21, $C$9, 100%, $E$9)</f>
        <v>15.7715</v>
      </c>
      <c r="L436" s="10">
        <f>CHOOSE(CONTROL!$C$42, 16.616, 16.616) * CHOOSE(CONTROL!$C$21, $C$9, 100%, $E$9)</f>
        <v>16.616</v>
      </c>
      <c r="M436" s="10">
        <f>CHOOSE(CONTROL!$C$42, 15.6229, 15.6229) * CHOOSE(CONTROL!$C$21, $C$9, 100%, $E$9)</f>
        <v>15.6229</v>
      </c>
      <c r="N436" s="10">
        <f>CHOOSE(CONTROL!$C$42, 15.6396, 15.6396) * CHOOSE(CONTROL!$C$21, $C$9, 100%, $E$9)</f>
        <v>15.6396</v>
      </c>
      <c r="O436" s="10">
        <f>CHOOSE(CONTROL!$C$42, 15.881, 15.881) * CHOOSE(CONTROL!$C$21, $C$9, 100%, $E$9)</f>
        <v>15.881</v>
      </c>
      <c r="P436" s="10">
        <f>CHOOSE(CONTROL!$C$42, 15.6301, 15.6301) * CHOOSE(CONTROL!$C$21, $C$9, 100%, $E$9)</f>
        <v>15.630100000000001</v>
      </c>
      <c r="Q436" s="10">
        <f>CHOOSE(CONTROL!$C$42, 16.4763, 16.4763) * CHOOSE(CONTROL!$C$21, $C$9, 100%, $E$9)</f>
        <v>16.476299999999998</v>
      </c>
      <c r="R436" s="10">
        <f>CHOOSE(CONTROL!$C$42, 17.1045, 17.1045) * CHOOSE(CONTROL!$C$21, $C$9, 100%, $E$9)</f>
        <v>17.104500000000002</v>
      </c>
      <c r="S436" s="10">
        <f>CHOOSE(CONTROL!$C$42, 15.3477, 15.3477) * CHOOSE(CONTROL!$C$21, $C$9, 100%, $E$9)</f>
        <v>15.3477</v>
      </c>
      <c r="T436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436" s="58">
        <f>(1000*CHOOSE(CONTROL!$C$42, 695, 695)*CHOOSE(CONTROL!$C$42, 0.5599, 0.5599)*CHOOSE(CONTROL!$C$42, 30, 30))/1000000</f>
        <v>11.673914999999997</v>
      </c>
      <c r="V436" s="58">
        <f>(1000*CHOOSE(CONTROL!$C$42, 500, 500)*CHOOSE(CONTROL!$C$42, 0.275, 0.275)*CHOOSE(CONTROL!$C$42, 30, 30))/1000000</f>
        <v>4.125</v>
      </c>
      <c r="W436" s="58">
        <f>(1000*CHOOSE(CONTROL!$C$42, 0.1146, 0.1146)*CHOOSE(CONTROL!$C$42, 121.5, 121.5)*CHOOSE(CONTROL!$C$42, 30, 30))/1000000</f>
        <v>0.417717</v>
      </c>
      <c r="X436" s="58">
        <f>(30*0.1790888*245000/1000000)+(30*0.2374*100000/1000000)</f>
        <v>2.0285026799999999</v>
      </c>
      <c r="Y436" s="58"/>
      <c r="Z436" s="10"/>
      <c r="AA436" s="57"/>
      <c r="AB436" s="51">
        <f>(B436*141.293+C436*267.993+D436*115.016+E436*89.698+F436*40+G436*185+H436*0+I436*100+J436*300)/(141.293+267.993+115.016+89.698+0+40+185+100+300)</f>
        <v>15.828285686521388</v>
      </c>
      <c r="AC436" s="27">
        <f>(M436*'RAP TEMPLATE-GAS AVAILABILITY'!O435+N436*'RAP TEMPLATE-GAS AVAILABILITY'!P435+O436*'RAP TEMPLATE-GAS AVAILABILITY'!Q435+P436*'RAP TEMPLATE-GAS AVAILABILITY'!R435)/('RAP TEMPLATE-GAS AVAILABILITY'!O435+'RAP TEMPLATE-GAS AVAILABILITY'!P435+'RAP TEMPLATE-GAS AVAILABILITY'!Q435+'RAP TEMPLATE-GAS AVAILABILITY'!R435)</f>
        <v>15.700197122302159</v>
      </c>
    </row>
    <row r="437" spans="1:29" ht="15.75" x14ac:dyDescent="0.25">
      <c r="A437" s="14">
        <v>54209</v>
      </c>
      <c r="B437" s="10">
        <f>CHOOSE(CONTROL!$C$42, 15.9483, 15.9483) * CHOOSE(CONTROL!$C$21, $C$9, 100%, $E$9)</f>
        <v>15.9483</v>
      </c>
      <c r="C437" s="10">
        <f>CHOOSE(CONTROL!$C$42, 15.9562, 15.9562) * CHOOSE(CONTROL!$C$21, $C$9, 100%, $E$9)</f>
        <v>15.956200000000001</v>
      </c>
      <c r="D437" s="10">
        <f>CHOOSE(CONTROL!$C$42, 16.1487, 16.1487) * CHOOSE(CONTROL!$C$21, $C$9, 100%, $E$9)</f>
        <v>16.148700000000002</v>
      </c>
      <c r="E437" s="10">
        <f>CHOOSE(CONTROL!$C$42, 16.1798, 16.1798) * CHOOSE(CONTROL!$C$21, $C$9, 100%, $E$9)</f>
        <v>16.1798</v>
      </c>
      <c r="F437" s="10">
        <f>CHOOSE(CONTROL!$C$42, 15.9146, 15.9146)*CHOOSE(CONTROL!$C$21, $C$9, 100%, $E$9)</f>
        <v>15.9146</v>
      </c>
      <c r="G437" s="10">
        <f>CHOOSE(CONTROL!$C$42, 15.9317, 15.9317)*CHOOSE(CONTROL!$C$21, $C$9, 100%, $E$9)</f>
        <v>15.931699999999999</v>
      </c>
      <c r="H437" s="10">
        <f>CHOOSE(CONTROL!$C$42, 16.1684, 16.1684) * CHOOSE(CONTROL!$C$21, $C$9, 100%, $E$9)</f>
        <v>16.168399999999998</v>
      </c>
      <c r="I437" s="10">
        <f>CHOOSE(CONTROL!$C$42, 15.9149, 15.9149)* CHOOSE(CONTROL!$C$21, $C$9, 100%, $E$9)</f>
        <v>15.914899999999999</v>
      </c>
      <c r="J437" s="10">
        <f>CHOOSE(CONTROL!$C$42, 15.9076, 15.9076)* CHOOSE(CONTROL!$C$21, $C$9, 100%, $E$9)</f>
        <v>15.9076</v>
      </c>
      <c r="K437" s="54">
        <f>CHOOSE(CONTROL!$C$42, 15.911, 15.911) * CHOOSE(CONTROL!$C$21, $C$9, 100%, $E$9)</f>
        <v>15.911</v>
      </c>
      <c r="L437" s="10">
        <f>CHOOSE(CONTROL!$C$42, 16.7554, 16.7554) * CHOOSE(CONTROL!$C$21, $C$9, 100%, $E$9)</f>
        <v>16.755400000000002</v>
      </c>
      <c r="M437" s="10">
        <f>CHOOSE(CONTROL!$C$42, 15.7609, 15.7609) * CHOOSE(CONTROL!$C$21, $C$9, 100%, $E$9)</f>
        <v>15.760899999999999</v>
      </c>
      <c r="N437" s="10">
        <f>CHOOSE(CONTROL!$C$42, 15.7778, 15.7778) * CHOOSE(CONTROL!$C$21, $C$9, 100%, $E$9)</f>
        <v>15.777799999999999</v>
      </c>
      <c r="O437" s="10">
        <f>CHOOSE(CONTROL!$C$42, 16.0191, 16.0191) * CHOOSE(CONTROL!$C$21, $C$9, 100%, $E$9)</f>
        <v>16.019100000000002</v>
      </c>
      <c r="P437" s="10">
        <f>CHOOSE(CONTROL!$C$42, 15.7681, 15.7681) * CHOOSE(CONTROL!$C$21, $C$9, 100%, $E$9)</f>
        <v>15.7681</v>
      </c>
      <c r="Q437" s="10">
        <f>CHOOSE(CONTROL!$C$42, 16.6144, 16.6144) * CHOOSE(CONTROL!$C$21, $C$9, 100%, $E$9)</f>
        <v>16.6144</v>
      </c>
      <c r="R437" s="10">
        <f>CHOOSE(CONTROL!$C$42, 17.2429, 17.2429) * CHOOSE(CONTROL!$C$21, $C$9, 100%, $E$9)</f>
        <v>17.242899999999999</v>
      </c>
      <c r="S437" s="10">
        <f>CHOOSE(CONTROL!$C$42, 15.4832, 15.4832) * CHOOSE(CONTROL!$C$21, $C$9, 100%, $E$9)</f>
        <v>15.4832</v>
      </c>
      <c r="T437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437" s="58">
        <f>(1000*CHOOSE(CONTROL!$C$42, 695, 695)*CHOOSE(CONTROL!$C$42, 0.5599, 0.5599)*CHOOSE(CONTROL!$C$42, 31, 31))/1000000</f>
        <v>12.063045499999998</v>
      </c>
      <c r="V437" s="58">
        <f>(1000*CHOOSE(CONTROL!$C$42, 500, 500)*CHOOSE(CONTROL!$C$42, 0.275, 0.275)*CHOOSE(CONTROL!$C$42, 31, 31))/1000000</f>
        <v>4.2625000000000002</v>
      </c>
      <c r="W437" s="58">
        <f>(1000*CHOOSE(CONTROL!$C$42, 0.1146, 0.1146)*CHOOSE(CONTROL!$C$42, 121.5, 121.5)*CHOOSE(CONTROL!$C$42, 31, 31))/1000000</f>
        <v>0.43164089999999994</v>
      </c>
      <c r="X437" s="58">
        <f>(31*0.1790888*245000/1000000)+(31*0.2374*100000/1000000)</f>
        <v>2.0961194359999999</v>
      </c>
      <c r="Y437" s="58"/>
      <c r="Z437" s="10"/>
      <c r="AA437" s="57"/>
      <c r="AB437" s="51">
        <f>(B437*194.205+C437*267.466+D437*133.845+E437*53.484+F437*40+G437*185+H437*0+I437*100+J437*300)/(194.205+267.466+133.845+53.484+0+40+185+100+300)</f>
        <v>15.965056723233911</v>
      </c>
      <c r="AC437" s="27">
        <f>(M437*'RAP TEMPLATE-GAS AVAILABILITY'!O436+N437*'RAP TEMPLATE-GAS AVAILABILITY'!P436+O437*'RAP TEMPLATE-GAS AVAILABILITY'!Q436+P437*'RAP TEMPLATE-GAS AVAILABILITY'!R436)/('RAP TEMPLATE-GAS AVAILABILITY'!O436+'RAP TEMPLATE-GAS AVAILABILITY'!P436+'RAP TEMPLATE-GAS AVAILABILITY'!Q436+'RAP TEMPLATE-GAS AVAILABILITY'!R436)</f>
        <v>15.838271223021582</v>
      </c>
    </row>
    <row r="438" spans="1:29" ht="15.75" x14ac:dyDescent="0.25">
      <c r="A438" s="14">
        <v>54239</v>
      </c>
      <c r="B438" s="10">
        <f>CHOOSE(CONTROL!$C$42, 16.4006, 16.4006) * CHOOSE(CONTROL!$C$21, $C$9, 100%, $E$9)</f>
        <v>16.400600000000001</v>
      </c>
      <c r="C438" s="10">
        <f>CHOOSE(CONTROL!$C$42, 16.4085, 16.4085) * CHOOSE(CONTROL!$C$21, $C$9, 100%, $E$9)</f>
        <v>16.4085</v>
      </c>
      <c r="D438" s="10">
        <f>CHOOSE(CONTROL!$C$42, 16.6009, 16.6009) * CHOOSE(CONTROL!$C$21, $C$9, 100%, $E$9)</f>
        <v>16.600899999999999</v>
      </c>
      <c r="E438" s="10">
        <f>CHOOSE(CONTROL!$C$42, 16.632, 16.632) * CHOOSE(CONTROL!$C$21, $C$9, 100%, $E$9)</f>
        <v>16.632000000000001</v>
      </c>
      <c r="F438" s="10">
        <f>CHOOSE(CONTROL!$C$42, 16.367, 16.367)*CHOOSE(CONTROL!$C$21, $C$9, 100%, $E$9)</f>
        <v>16.367000000000001</v>
      </c>
      <c r="G438" s="10">
        <f>CHOOSE(CONTROL!$C$42, 16.3842, 16.3842)*CHOOSE(CONTROL!$C$21, $C$9, 100%, $E$9)</f>
        <v>16.3842</v>
      </c>
      <c r="H438" s="10">
        <f>CHOOSE(CONTROL!$C$42, 16.6207, 16.6207) * CHOOSE(CONTROL!$C$21, $C$9, 100%, $E$9)</f>
        <v>16.620699999999999</v>
      </c>
      <c r="I438" s="10">
        <f>CHOOSE(CONTROL!$C$42, 16.3671, 16.3671)* CHOOSE(CONTROL!$C$21, $C$9, 100%, $E$9)</f>
        <v>16.367100000000001</v>
      </c>
      <c r="J438" s="10">
        <f>CHOOSE(CONTROL!$C$42, 16.36, 16.36)* CHOOSE(CONTROL!$C$21, $C$9, 100%, $E$9)</f>
        <v>16.36</v>
      </c>
      <c r="K438" s="54">
        <f>CHOOSE(CONTROL!$C$42, 16.3632, 16.3632) * CHOOSE(CONTROL!$C$21, $C$9, 100%, $E$9)</f>
        <v>16.363199999999999</v>
      </c>
      <c r="L438" s="10">
        <f>CHOOSE(CONTROL!$C$42, 17.2077, 17.2077) * CHOOSE(CONTROL!$C$21, $C$9, 100%, $E$9)</f>
        <v>17.207699999999999</v>
      </c>
      <c r="M438" s="10">
        <f>CHOOSE(CONTROL!$C$42, 16.2088, 16.2088) * CHOOSE(CONTROL!$C$21, $C$9, 100%, $E$9)</f>
        <v>16.2088</v>
      </c>
      <c r="N438" s="10">
        <f>CHOOSE(CONTROL!$C$42, 16.2258, 16.2258) * CHOOSE(CONTROL!$C$21, $C$9, 100%, $E$9)</f>
        <v>16.2258</v>
      </c>
      <c r="O438" s="10">
        <f>CHOOSE(CONTROL!$C$42, 16.4668, 16.4668) * CHOOSE(CONTROL!$C$21, $C$9, 100%, $E$9)</f>
        <v>16.466799999999999</v>
      </c>
      <c r="P438" s="10">
        <f>CHOOSE(CONTROL!$C$42, 16.2158, 16.2158) * CHOOSE(CONTROL!$C$21, $C$9, 100%, $E$9)</f>
        <v>16.215800000000002</v>
      </c>
      <c r="Q438" s="10">
        <f>CHOOSE(CONTROL!$C$42, 17.0621, 17.0621) * CHOOSE(CONTROL!$C$21, $C$9, 100%, $E$9)</f>
        <v>17.062100000000001</v>
      </c>
      <c r="R438" s="10">
        <f>CHOOSE(CONTROL!$C$42, 17.6917, 17.6917) * CHOOSE(CONTROL!$C$21, $C$9, 100%, $E$9)</f>
        <v>17.691700000000001</v>
      </c>
      <c r="S438" s="10">
        <f>CHOOSE(CONTROL!$C$42, 15.9223, 15.9223) * CHOOSE(CONTROL!$C$21, $C$9, 100%, $E$9)</f>
        <v>15.9223</v>
      </c>
      <c r="T438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438" s="58">
        <f>(1000*CHOOSE(CONTROL!$C$42, 695, 695)*CHOOSE(CONTROL!$C$42, 0.5599, 0.5599)*CHOOSE(CONTROL!$C$42, 30, 30))/1000000</f>
        <v>11.673914999999997</v>
      </c>
      <c r="V438" s="58">
        <f>(1000*CHOOSE(CONTROL!$C$42, 500, 500)*CHOOSE(CONTROL!$C$42, 0.275, 0.275)*CHOOSE(CONTROL!$C$42, 30, 30))/1000000</f>
        <v>4.125</v>
      </c>
      <c r="W438" s="58">
        <f>(1000*CHOOSE(CONTROL!$C$42, 0.1146, 0.1146)*CHOOSE(CONTROL!$C$42, 121.5, 121.5)*CHOOSE(CONTROL!$C$42, 30, 30))/1000000</f>
        <v>0.417717</v>
      </c>
      <c r="X438" s="58">
        <f>(30*0.1790888*245000/1000000)+(30*0.2374*100000/1000000)</f>
        <v>2.0285026799999999</v>
      </c>
      <c r="Y438" s="58"/>
      <c r="Z438" s="10"/>
      <c r="AA438" s="57"/>
      <c r="AB438" s="51">
        <f>(B438*194.205+C438*267.466+D438*133.845+E438*53.484+F438*40+G438*185+H438*0+I438*100+J438*300)/(194.205+267.466+133.845+53.484+0+40+185+100+300)</f>
        <v>16.41738989992151</v>
      </c>
      <c r="AC438" s="27">
        <f>(M438*'RAP TEMPLATE-GAS AVAILABILITY'!O437+N438*'RAP TEMPLATE-GAS AVAILABILITY'!P437+O438*'RAP TEMPLATE-GAS AVAILABILITY'!Q437+P438*'RAP TEMPLATE-GAS AVAILABILITY'!R437)/('RAP TEMPLATE-GAS AVAILABILITY'!O437+'RAP TEMPLATE-GAS AVAILABILITY'!P437+'RAP TEMPLATE-GAS AVAILABILITY'!Q437+'RAP TEMPLATE-GAS AVAILABILITY'!R437)</f>
        <v>16.286109352517986</v>
      </c>
    </row>
    <row r="439" spans="1:29" ht="15.75" x14ac:dyDescent="0.25">
      <c r="A439" s="14">
        <v>54270</v>
      </c>
      <c r="B439" s="10">
        <f>CHOOSE(CONTROL!$C$42, 16.086, 16.086) * CHOOSE(CONTROL!$C$21, $C$9, 100%, $E$9)</f>
        <v>16.085999999999999</v>
      </c>
      <c r="C439" s="10">
        <f>CHOOSE(CONTROL!$C$42, 16.0939, 16.0939) * CHOOSE(CONTROL!$C$21, $C$9, 100%, $E$9)</f>
        <v>16.093900000000001</v>
      </c>
      <c r="D439" s="10">
        <f>CHOOSE(CONTROL!$C$42, 16.2864, 16.2864) * CHOOSE(CONTROL!$C$21, $C$9, 100%, $E$9)</f>
        <v>16.2864</v>
      </c>
      <c r="E439" s="10">
        <f>CHOOSE(CONTROL!$C$42, 16.3175, 16.3175) * CHOOSE(CONTROL!$C$21, $C$9, 100%, $E$9)</f>
        <v>16.317499999999999</v>
      </c>
      <c r="F439" s="10">
        <f>CHOOSE(CONTROL!$C$42, 16.0529, 16.0529)*CHOOSE(CONTROL!$C$21, $C$9, 100%, $E$9)</f>
        <v>16.052900000000001</v>
      </c>
      <c r="G439" s="10">
        <f>CHOOSE(CONTROL!$C$42, 16.0702, 16.0702)*CHOOSE(CONTROL!$C$21, $C$9, 100%, $E$9)</f>
        <v>16.0702</v>
      </c>
      <c r="H439" s="10">
        <f>CHOOSE(CONTROL!$C$42, 16.3061, 16.3061) * CHOOSE(CONTROL!$C$21, $C$9, 100%, $E$9)</f>
        <v>16.306100000000001</v>
      </c>
      <c r="I439" s="10">
        <f>CHOOSE(CONTROL!$C$42, 16.0526, 16.0526)* CHOOSE(CONTROL!$C$21, $C$9, 100%, $E$9)</f>
        <v>16.052600000000002</v>
      </c>
      <c r="J439" s="10">
        <f>CHOOSE(CONTROL!$C$42, 16.0459, 16.0459)* CHOOSE(CONTROL!$C$21, $C$9, 100%, $E$9)</f>
        <v>16.0459</v>
      </c>
      <c r="K439" s="54">
        <f>CHOOSE(CONTROL!$C$42, 16.0487, 16.0487) * CHOOSE(CONTROL!$C$21, $C$9, 100%, $E$9)</f>
        <v>16.0487</v>
      </c>
      <c r="L439" s="10">
        <f>CHOOSE(CONTROL!$C$42, 16.8931, 16.8931) * CHOOSE(CONTROL!$C$21, $C$9, 100%, $E$9)</f>
        <v>16.8931</v>
      </c>
      <c r="M439" s="10">
        <f>CHOOSE(CONTROL!$C$42, 15.8978, 15.8978) * CHOOSE(CONTROL!$C$21, $C$9, 100%, $E$9)</f>
        <v>15.8978</v>
      </c>
      <c r="N439" s="10">
        <f>CHOOSE(CONTROL!$C$42, 15.9149, 15.9149) * CHOOSE(CONTROL!$C$21, $C$9, 100%, $E$9)</f>
        <v>15.914899999999999</v>
      </c>
      <c r="O439" s="10">
        <f>CHOOSE(CONTROL!$C$42, 16.1554, 16.1554) * CHOOSE(CONTROL!$C$21, $C$9, 100%, $E$9)</f>
        <v>16.1554</v>
      </c>
      <c r="P439" s="10">
        <f>CHOOSE(CONTROL!$C$42, 15.9045, 15.9045) * CHOOSE(CONTROL!$C$21, $C$9, 100%, $E$9)</f>
        <v>15.904500000000001</v>
      </c>
      <c r="Q439" s="10">
        <f>CHOOSE(CONTROL!$C$42, 16.7507, 16.7507) * CHOOSE(CONTROL!$C$21, $C$9, 100%, $E$9)</f>
        <v>16.750699999999998</v>
      </c>
      <c r="R439" s="10">
        <f>CHOOSE(CONTROL!$C$42, 17.3796, 17.3796) * CHOOSE(CONTROL!$C$21, $C$9, 100%, $E$9)</f>
        <v>17.3796</v>
      </c>
      <c r="S439" s="10">
        <f>CHOOSE(CONTROL!$C$42, 15.6169, 15.6169) * CHOOSE(CONTROL!$C$21, $C$9, 100%, $E$9)</f>
        <v>15.616899999999999</v>
      </c>
      <c r="T439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439" s="58">
        <f>(1000*CHOOSE(CONTROL!$C$42, 695, 695)*CHOOSE(CONTROL!$C$42, 0.5599, 0.5599)*CHOOSE(CONTROL!$C$42, 31, 31))/1000000</f>
        <v>12.063045499999998</v>
      </c>
      <c r="V439" s="58">
        <f>(1000*CHOOSE(CONTROL!$C$42, 500, 500)*CHOOSE(CONTROL!$C$42, 0.275, 0.275)*CHOOSE(CONTROL!$C$42, 31, 31))/1000000</f>
        <v>4.2625000000000002</v>
      </c>
      <c r="W439" s="58">
        <f>(1000*CHOOSE(CONTROL!$C$42, 0.1146, 0.1146)*CHOOSE(CONTROL!$C$42, 121.5, 121.5)*CHOOSE(CONTROL!$C$42, 31, 31))/1000000</f>
        <v>0.43164089999999994</v>
      </c>
      <c r="X439" s="58">
        <f>(31*0.1790888*245000/1000000)+(31*0.2374*100000/1000000)</f>
        <v>2.0961194359999999</v>
      </c>
      <c r="Y439" s="58"/>
      <c r="Z439" s="10"/>
      <c r="AA439" s="57"/>
      <c r="AB439" s="51">
        <f>(B439*194.205+C439*267.466+D439*133.845+E439*53.484+F439*40+G439*185+H439*0+I439*100+J439*300)/(194.205+267.466+133.845+53.484+0+40+185+100+300)</f>
        <v>16.103033018367345</v>
      </c>
      <c r="AC439" s="27">
        <f>(M439*'RAP TEMPLATE-GAS AVAILABILITY'!O438+N439*'RAP TEMPLATE-GAS AVAILABILITY'!P438+O439*'RAP TEMPLATE-GAS AVAILABILITY'!Q438+P439*'RAP TEMPLATE-GAS AVAILABILITY'!R438)/('RAP TEMPLATE-GAS AVAILABILITY'!O438+'RAP TEMPLATE-GAS AVAILABILITY'!P438+'RAP TEMPLATE-GAS AVAILABILITY'!Q438+'RAP TEMPLATE-GAS AVAILABILITY'!R438)</f>
        <v>15.974976978417267</v>
      </c>
    </row>
    <row r="440" spans="1:29" ht="15.75" x14ac:dyDescent="0.25">
      <c r="A440" s="14">
        <v>54301</v>
      </c>
      <c r="B440" s="10">
        <f>CHOOSE(CONTROL!$C$42, 15.2917, 15.2917) * CHOOSE(CONTROL!$C$21, $C$9, 100%, $E$9)</f>
        <v>15.291700000000001</v>
      </c>
      <c r="C440" s="10">
        <f>CHOOSE(CONTROL!$C$42, 15.2996, 15.2996) * CHOOSE(CONTROL!$C$21, $C$9, 100%, $E$9)</f>
        <v>15.2996</v>
      </c>
      <c r="D440" s="10">
        <f>CHOOSE(CONTROL!$C$42, 15.4921, 15.4921) * CHOOSE(CONTROL!$C$21, $C$9, 100%, $E$9)</f>
        <v>15.492100000000001</v>
      </c>
      <c r="E440" s="10">
        <f>CHOOSE(CONTROL!$C$42, 15.5232, 15.5232) * CHOOSE(CONTROL!$C$21, $C$9, 100%, $E$9)</f>
        <v>15.523199999999999</v>
      </c>
      <c r="F440" s="10">
        <f>CHOOSE(CONTROL!$C$42, 15.2588, 15.2588)*CHOOSE(CONTROL!$C$21, $C$9, 100%, $E$9)</f>
        <v>15.258800000000001</v>
      </c>
      <c r="G440" s="10">
        <f>CHOOSE(CONTROL!$C$42, 15.2761, 15.2761)*CHOOSE(CONTROL!$C$21, $C$9, 100%, $E$9)</f>
        <v>15.2761</v>
      </c>
      <c r="H440" s="10">
        <f>CHOOSE(CONTROL!$C$42, 15.5118, 15.5118) * CHOOSE(CONTROL!$C$21, $C$9, 100%, $E$9)</f>
        <v>15.511799999999999</v>
      </c>
      <c r="I440" s="10">
        <f>CHOOSE(CONTROL!$C$42, 15.2583, 15.2583)* CHOOSE(CONTROL!$C$21, $C$9, 100%, $E$9)</f>
        <v>15.2583</v>
      </c>
      <c r="J440" s="10">
        <f>CHOOSE(CONTROL!$C$42, 15.2518, 15.2518)* CHOOSE(CONTROL!$C$21, $C$9, 100%, $E$9)</f>
        <v>15.251799999999999</v>
      </c>
      <c r="K440" s="54">
        <f>CHOOSE(CONTROL!$C$42, 15.2544, 15.2544) * CHOOSE(CONTROL!$C$21, $C$9, 100%, $E$9)</f>
        <v>15.2544</v>
      </c>
      <c r="L440" s="10">
        <f>CHOOSE(CONTROL!$C$42, 16.0988, 16.0988) * CHOOSE(CONTROL!$C$21, $C$9, 100%, $E$9)</f>
        <v>16.098800000000001</v>
      </c>
      <c r="M440" s="10">
        <f>CHOOSE(CONTROL!$C$42, 15.1117, 15.1117) * CHOOSE(CONTROL!$C$21, $C$9, 100%, $E$9)</f>
        <v>15.111700000000001</v>
      </c>
      <c r="N440" s="10">
        <f>CHOOSE(CONTROL!$C$42, 15.1289, 15.1289) * CHOOSE(CONTROL!$C$21, $C$9, 100%, $E$9)</f>
        <v>15.1289</v>
      </c>
      <c r="O440" s="10">
        <f>CHOOSE(CONTROL!$C$42, 15.3691, 15.3691) * CHOOSE(CONTROL!$C$21, $C$9, 100%, $E$9)</f>
        <v>15.3691</v>
      </c>
      <c r="P440" s="10">
        <f>CHOOSE(CONTROL!$C$42, 15.1182, 15.1182) * CHOOSE(CONTROL!$C$21, $C$9, 100%, $E$9)</f>
        <v>15.1182</v>
      </c>
      <c r="Q440" s="10">
        <f>CHOOSE(CONTROL!$C$42, 15.9644, 15.9644) * CHOOSE(CONTROL!$C$21, $C$9, 100%, $E$9)</f>
        <v>15.964399999999999</v>
      </c>
      <c r="R440" s="10">
        <f>CHOOSE(CONTROL!$C$42, 16.5913, 16.5913) * CHOOSE(CONTROL!$C$21, $C$9, 100%, $E$9)</f>
        <v>16.5913</v>
      </c>
      <c r="S440" s="10">
        <f>CHOOSE(CONTROL!$C$42, 14.8455, 14.8455) * CHOOSE(CONTROL!$C$21, $C$9, 100%, $E$9)</f>
        <v>14.845499999999999</v>
      </c>
      <c r="T440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440" s="58">
        <f>(1000*CHOOSE(CONTROL!$C$42, 695, 695)*CHOOSE(CONTROL!$C$42, 0.5599, 0.5599)*CHOOSE(CONTROL!$C$42, 31, 31))/1000000</f>
        <v>12.063045499999998</v>
      </c>
      <c r="V440" s="58">
        <f>(1000*CHOOSE(CONTROL!$C$42, 500, 500)*CHOOSE(CONTROL!$C$42, 0.275, 0.275)*CHOOSE(CONTROL!$C$42, 31, 31))/1000000</f>
        <v>4.2625000000000002</v>
      </c>
      <c r="W440" s="58">
        <f>(1000*CHOOSE(CONTROL!$C$42, 0.1146, 0.1146)*CHOOSE(CONTROL!$C$42, 121.5, 121.5)*CHOOSE(CONTROL!$C$42, 31, 31))/1000000</f>
        <v>0.43164089999999994</v>
      </c>
      <c r="X440" s="58">
        <f>(31*0.1790888*245000/1000000)+(31*0.2374*100000/1000000)</f>
        <v>2.0961194359999999</v>
      </c>
      <c r="Y440" s="58"/>
      <c r="Z440" s="10"/>
      <c r="AA440" s="57"/>
      <c r="AB440" s="51">
        <f>(B440*194.205+C440*267.466+D440*133.845+E440*53.484+F440*40+G440*185+H440*0+I440*100+J440*300)/(194.205+267.466+133.845+53.484+0+40+185+100+300)</f>
        <v>15.308815435949763</v>
      </c>
      <c r="AC440" s="27">
        <f>(M440*'RAP TEMPLATE-GAS AVAILABILITY'!O439+N440*'RAP TEMPLATE-GAS AVAILABILITY'!P439+O440*'RAP TEMPLATE-GAS AVAILABILITY'!Q439+P440*'RAP TEMPLATE-GAS AVAILABILITY'!R439)/('RAP TEMPLATE-GAS AVAILABILITY'!O439+'RAP TEMPLATE-GAS AVAILABILITY'!P439+'RAP TEMPLATE-GAS AVAILABILITY'!Q439+'RAP TEMPLATE-GAS AVAILABILITY'!R439)</f>
        <v>15.188815107913667</v>
      </c>
    </row>
    <row r="441" spans="1:29" ht="15.75" x14ac:dyDescent="0.25">
      <c r="A441" s="14">
        <v>54331</v>
      </c>
      <c r="B441" s="10">
        <f>CHOOSE(CONTROL!$C$42, 14.3208, 14.3208) * CHOOSE(CONTROL!$C$21, $C$9, 100%, $E$9)</f>
        <v>14.3208</v>
      </c>
      <c r="C441" s="10">
        <f>CHOOSE(CONTROL!$C$42, 14.3288, 14.3288) * CHOOSE(CONTROL!$C$21, $C$9, 100%, $E$9)</f>
        <v>14.328799999999999</v>
      </c>
      <c r="D441" s="10">
        <f>CHOOSE(CONTROL!$C$42, 14.5212, 14.5212) * CHOOSE(CONTROL!$C$21, $C$9, 100%, $E$9)</f>
        <v>14.5212</v>
      </c>
      <c r="E441" s="10">
        <f>CHOOSE(CONTROL!$C$42, 14.5523, 14.5523) * CHOOSE(CONTROL!$C$21, $C$9, 100%, $E$9)</f>
        <v>14.552300000000001</v>
      </c>
      <c r="F441" s="10">
        <f>CHOOSE(CONTROL!$C$42, 14.2877, 14.2877)*CHOOSE(CONTROL!$C$21, $C$9, 100%, $E$9)</f>
        <v>14.287699999999999</v>
      </c>
      <c r="G441" s="10">
        <f>CHOOSE(CONTROL!$C$42, 14.305, 14.305)*CHOOSE(CONTROL!$C$21, $C$9, 100%, $E$9)</f>
        <v>14.305</v>
      </c>
      <c r="H441" s="10">
        <f>CHOOSE(CONTROL!$C$42, 14.541, 14.541) * CHOOSE(CONTROL!$C$21, $C$9, 100%, $E$9)</f>
        <v>14.541</v>
      </c>
      <c r="I441" s="10">
        <f>CHOOSE(CONTROL!$C$42, 14.2874, 14.2874)* CHOOSE(CONTROL!$C$21, $C$9, 100%, $E$9)</f>
        <v>14.2874</v>
      </c>
      <c r="J441" s="10">
        <f>CHOOSE(CONTROL!$C$42, 14.2807, 14.2807)* CHOOSE(CONTROL!$C$21, $C$9, 100%, $E$9)</f>
        <v>14.2807</v>
      </c>
      <c r="K441" s="54">
        <f>CHOOSE(CONTROL!$C$42, 14.2835, 14.2835) * CHOOSE(CONTROL!$C$21, $C$9, 100%, $E$9)</f>
        <v>14.2835</v>
      </c>
      <c r="L441" s="10">
        <f>CHOOSE(CONTROL!$C$42, 15.128, 15.128) * CHOOSE(CONTROL!$C$21, $C$9, 100%, $E$9)</f>
        <v>15.128</v>
      </c>
      <c r="M441" s="10">
        <f>CHOOSE(CONTROL!$C$42, 14.1505, 14.1505) * CHOOSE(CONTROL!$C$21, $C$9, 100%, $E$9)</f>
        <v>14.150499999999999</v>
      </c>
      <c r="N441" s="10">
        <f>CHOOSE(CONTROL!$C$42, 14.1676, 14.1676) * CHOOSE(CONTROL!$C$21, $C$9, 100%, $E$9)</f>
        <v>14.1676</v>
      </c>
      <c r="O441" s="10">
        <f>CHOOSE(CONTROL!$C$42, 14.4081, 14.4081) * CHOOSE(CONTROL!$C$21, $C$9, 100%, $E$9)</f>
        <v>14.408099999999999</v>
      </c>
      <c r="P441" s="10">
        <f>CHOOSE(CONTROL!$C$42, 14.1571, 14.1571) * CHOOSE(CONTROL!$C$21, $C$9, 100%, $E$9)</f>
        <v>14.1571</v>
      </c>
      <c r="Q441" s="10">
        <f>CHOOSE(CONTROL!$C$42, 15.0034, 15.0034) * CHOOSE(CONTROL!$C$21, $C$9, 100%, $E$9)</f>
        <v>15.003399999999999</v>
      </c>
      <c r="R441" s="10">
        <f>CHOOSE(CONTROL!$C$42, 15.6279, 15.6279) * CHOOSE(CONTROL!$C$21, $C$9, 100%, $E$9)</f>
        <v>15.6279</v>
      </c>
      <c r="S441" s="10">
        <f>CHOOSE(CONTROL!$C$42, 13.9027, 13.9027) * CHOOSE(CONTROL!$C$21, $C$9, 100%, $E$9)</f>
        <v>13.902699999999999</v>
      </c>
      <c r="T441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441" s="58">
        <f>(1000*CHOOSE(CONTROL!$C$42, 695, 695)*CHOOSE(CONTROL!$C$42, 0.5599, 0.5599)*CHOOSE(CONTROL!$C$42, 30, 30))/1000000</f>
        <v>11.673914999999997</v>
      </c>
      <c r="V441" s="58">
        <f>(1000*CHOOSE(CONTROL!$C$42, 500, 500)*CHOOSE(CONTROL!$C$42, 0.275, 0.275)*CHOOSE(CONTROL!$C$42, 30, 30))/1000000</f>
        <v>4.125</v>
      </c>
      <c r="W441" s="58">
        <f>(1000*CHOOSE(CONTROL!$C$42, 0.1146, 0.1146)*CHOOSE(CONTROL!$C$42, 121.5, 121.5)*CHOOSE(CONTROL!$C$42, 30, 30))/1000000</f>
        <v>0.417717</v>
      </c>
      <c r="X441" s="58">
        <f>(30*0.1790888*245000/1000000)+(30*0.2374*100000/1000000)</f>
        <v>2.0285026799999999</v>
      </c>
      <c r="Y441" s="58"/>
      <c r="Z441" s="10"/>
      <c r="AA441" s="57"/>
      <c r="AB441" s="51">
        <f>(B441*194.205+C441*267.466+D441*133.845+E441*53.484+F441*40+G441*185+H441*0+I441*100+J441*300)/(194.205+267.466+133.845+53.484+0+40+185+100+300)</f>
        <v>14.33785401255887</v>
      </c>
      <c r="AC441" s="27">
        <f>(M441*'RAP TEMPLATE-GAS AVAILABILITY'!O440+N441*'RAP TEMPLATE-GAS AVAILABILITY'!P440+O441*'RAP TEMPLATE-GAS AVAILABILITY'!Q440+P441*'RAP TEMPLATE-GAS AVAILABILITY'!R440)/('RAP TEMPLATE-GAS AVAILABILITY'!O440+'RAP TEMPLATE-GAS AVAILABILITY'!P440+'RAP TEMPLATE-GAS AVAILABILITY'!Q440+'RAP TEMPLATE-GAS AVAILABILITY'!R440)</f>
        <v>14.227662589928059</v>
      </c>
    </row>
    <row r="442" spans="1:29" ht="15.75" x14ac:dyDescent="0.25">
      <c r="A442" s="14">
        <v>54362</v>
      </c>
      <c r="B442" s="10">
        <f>CHOOSE(CONTROL!$C$42, 14.0284, 14.0284) * CHOOSE(CONTROL!$C$21, $C$9, 100%, $E$9)</f>
        <v>14.0284</v>
      </c>
      <c r="C442" s="10">
        <f>CHOOSE(CONTROL!$C$42, 14.0336, 14.0336) * CHOOSE(CONTROL!$C$21, $C$9, 100%, $E$9)</f>
        <v>14.0336</v>
      </c>
      <c r="D442" s="10">
        <f>CHOOSE(CONTROL!$C$42, 14.231, 14.231) * CHOOSE(CONTROL!$C$21, $C$9, 100%, $E$9)</f>
        <v>14.231</v>
      </c>
      <c r="E442" s="10">
        <f>CHOOSE(CONTROL!$C$42, 14.2598, 14.2598) * CHOOSE(CONTROL!$C$21, $C$9, 100%, $E$9)</f>
        <v>14.2598</v>
      </c>
      <c r="F442" s="10">
        <f>CHOOSE(CONTROL!$C$42, 13.9973, 13.9973)*CHOOSE(CONTROL!$C$21, $C$9, 100%, $E$9)</f>
        <v>13.997299999999999</v>
      </c>
      <c r="G442" s="10">
        <f>CHOOSE(CONTROL!$C$42, 14.0143, 14.0143)*CHOOSE(CONTROL!$C$21, $C$9, 100%, $E$9)</f>
        <v>14.0143</v>
      </c>
      <c r="H442" s="10">
        <f>CHOOSE(CONTROL!$C$42, 14.2503, 14.2503) * CHOOSE(CONTROL!$C$21, $C$9, 100%, $E$9)</f>
        <v>14.250299999999999</v>
      </c>
      <c r="I442" s="10">
        <f>CHOOSE(CONTROL!$C$42, 13.9968, 13.9968)* CHOOSE(CONTROL!$C$21, $C$9, 100%, $E$9)</f>
        <v>13.9968</v>
      </c>
      <c r="J442" s="10">
        <f>CHOOSE(CONTROL!$C$42, 13.9903, 13.9903)* CHOOSE(CONTROL!$C$21, $C$9, 100%, $E$9)</f>
        <v>13.9903</v>
      </c>
      <c r="K442" s="54">
        <f>CHOOSE(CONTROL!$C$42, 13.9929, 13.9929) * CHOOSE(CONTROL!$C$21, $C$9, 100%, $E$9)</f>
        <v>13.992900000000001</v>
      </c>
      <c r="L442" s="10">
        <f>CHOOSE(CONTROL!$C$42, 14.8373, 14.8373) * CHOOSE(CONTROL!$C$21, $C$9, 100%, $E$9)</f>
        <v>14.837300000000001</v>
      </c>
      <c r="M442" s="10">
        <f>CHOOSE(CONTROL!$C$42, 13.863, 13.863) * CHOOSE(CONTROL!$C$21, $C$9, 100%, $E$9)</f>
        <v>13.863</v>
      </c>
      <c r="N442" s="10">
        <f>CHOOSE(CONTROL!$C$42, 13.8798, 13.8798) * CHOOSE(CONTROL!$C$21, $C$9, 100%, $E$9)</f>
        <v>13.879799999999999</v>
      </c>
      <c r="O442" s="10">
        <f>CHOOSE(CONTROL!$C$42, 14.1203, 14.1203) * CHOOSE(CONTROL!$C$21, $C$9, 100%, $E$9)</f>
        <v>14.1203</v>
      </c>
      <c r="P442" s="10">
        <f>CHOOSE(CONTROL!$C$42, 13.8694, 13.8694) * CHOOSE(CONTROL!$C$21, $C$9, 100%, $E$9)</f>
        <v>13.869400000000001</v>
      </c>
      <c r="Q442" s="10">
        <f>CHOOSE(CONTROL!$C$42, 14.7156, 14.7156) * CHOOSE(CONTROL!$C$21, $C$9, 100%, $E$9)</f>
        <v>14.7156</v>
      </c>
      <c r="R442" s="10">
        <f>CHOOSE(CONTROL!$C$42, 15.3394, 15.3394) * CHOOSE(CONTROL!$C$21, $C$9, 100%, $E$9)</f>
        <v>15.339399999999999</v>
      </c>
      <c r="S442" s="10">
        <f>CHOOSE(CONTROL!$C$42, 13.6205, 13.6205) * CHOOSE(CONTROL!$C$21, $C$9, 100%, $E$9)</f>
        <v>13.6205</v>
      </c>
      <c r="T442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442" s="58">
        <f>(1000*CHOOSE(CONTROL!$C$42, 695, 695)*CHOOSE(CONTROL!$C$42, 0.5599, 0.5599)*CHOOSE(CONTROL!$C$42, 31, 31))/1000000</f>
        <v>12.063045499999998</v>
      </c>
      <c r="V442" s="58">
        <f>(1000*CHOOSE(CONTROL!$C$42, 500, 500)*CHOOSE(CONTROL!$C$42, 0.275, 0.275)*CHOOSE(CONTROL!$C$42, 31, 31))/1000000</f>
        <v>4.2625000000000002</v>
      </c>
      <c r="W442" s="58">
        <f>(1000*CHOOSE(CONTROL!$C$42, 0.1146, 0.1146)*CHOOSE(CONTROL!$C$42, 121.5, 121.5)*CHOOSE(CONTROL!$C$42, 31, 31))/1000000</f>
        <v>0.43164089999999994</v>
      </c>
      <c r="X442" s="58">
        <f>(31*0.1790888*245000/1000000)+(31*0.2374*100000/1000000)</f>
        <v>2.0961194359999999</v>
      </c>
      <c r="Y442" s="58"/>
      <c r="Z442" s="10"/>
      <c r="AA442" s="57"/>
      <c r="AB442" s="51">
        <f>(B442*131.881+C442*277.167+D442*79.08+E442*125.872+F442*40+G442*185+H442*0+I442*100+J442*300)/(131.881+277.167+79.08+125.872+0+40+185+100+300)</f>
        <v>14.051117641000806</v>
      </c>
      <c r="AC442" s="27">
        <f>(M442*'RAP TEMPLATE-GAS AVAILABILITY'!O441+N442*'RAP TEMPLATE-GAS AVAILABILITY'!P441+O442*'RAP TEMPLATE-GAS AVAILABILITY'!Q441+P442*'RAP TEMPLATE-GAS AVAILABILITY'!R441)/('RAP TEMPLATE-GAS AVAILABILITY'!O441+'RAP TEMPLATE-GAS AVAILABILITY'!P441+'RAP TEMPLATE-GAS AVAILABILITY'!Q441+'RAP TEMPLATE-GAS AVAILABILITY'!R441)</f>
        <v>13.939980575539568</v>
      </c>
    </row>
    <row r="443" spans="1:29" ht="15.75" x14ac:dyDescent="0.25">
      <c r="A443" s="14">
        <v>54392</v>
      </c>
      <c r="B443" s="10">
        <f>CHOOSE(CONTROL!$C$42, 14.3975, 14.3975) * CHOOSE(CONTROL!$C$21, $C$9, 100%, $E$9)</f>
        <v>14.397500000000001</v>
      </c>
      <c r="C443" s="10">
        <f>CHOOSE(CONTROL!$C$42, 14.4024, 14.4024) * CHOOSE(CONTROL!$C$21, $C$9, 100%, $E$9)</f>
        <v>14.4024</v>
      </c>
      <c r="D443" s="10">
        <f>CHOOSE(CONTROL!$C$42, 14.4321, 14.4321) * CHOOSE(CONTROL!$C$21, $C$9, 100%, $E$9)</f>
        <v>14.4321</v>
      </c>
      <c r="E443" s="10">
        <f>CHOOSE(CONTROL!$C$42, 14.4658, 14.4658) * CHOOSE(CONTROL!$C$21, $C$9, 100%, $E$9)</f>
        <v>14.4658</v>
      </c>
      <c r="F443" s="10">
        <f>CHOOSE(CONTROL!$C$42, 14.3643, 14.3643)*CHOOSE(CONTROL!$C$21, $C$9, 100%, $E$9)</f>
        <v>14.3643</v>
      </c>
      <c r="G443" s="10">
        <f>CHOOSE(CONTROL!$C$42, 14.3814, 14.3814)*CHOOSE(CONTROL!$C$21, $C$9, 100%, $E$9)</f>
        <v>14.381399999999999</v>
      </c>
      <c r="H443" s="10">
        <f>CHOOSE(CONTROL!$C$42, 14.455, 14.455) * CHOOSE(CONTROL!$C$21, $C$9, 100%, $E$9)</f>
        <v>14.455</v>
      </c>
      <c r="I443" s="10">
        <f>CHOOSE(CONTROL!$C$42, 14.3611, 14.3611)* CHOOSE(CONTROL!$C$21, $C$9, 100%, $E$9)</f>
        <v>14.3611</v>
      </c>
      <c r="J443" s="10">
        <f>CHOOSE(CONTROL!$C$42, 14.3573, 14.3573)* CHOOSE(CONTROL!$C$21, $C$9, 100%, $E$9)</f>
        <v>14.3573</v>
      </c>
      <c r="K443" s="54">
        <f>CHOOSE(CONTROL!$C$42, 14.3572, 14.3572) * CHOOSE(CONTROL!$C$21, $C$9, 100%, $E$9)</f>
        <v>14.357200000000001</v>
      </c>
      <c r="L443" s="10">
        <f>CHOOSE(CONTROL!$C$42, 15.042, 15.042) * CHOOSE(CONTROL!$C$21, $C$9, 100%, $E$9)</f>
        <v>15.042</v>
      </c>
      <c r="M443" s="10">
        <f>CHOOSE(CONTROL!$C$42, 14.2262, 14.2262) * CHOOSE(CONTROL!$C$21, $C$9, 100%, $E$9)</f>
        <v>14.2262</v>
      </c>
      <c r="N443" s="10">
        <f>CHOOSE(CONTROL!$C$42, 14.2432, 14.2432) * CHOOSE(CONTROL!$C$21, $C$9, 100%, $E$9)</f>
        <v>14.2432</v>
      </c>
      <c r="O443" s="10">
        <f>CHOOSE(CONTROL!$C$42, 14.323, 14.323) * CHOOSE(CONTROL!$C$21, $C$9, 100%, $E$9)</f>
        <v>14.323</v>
      </c>
      <c r="P443" s="10">
        <f>CHOOSE(CONTROL!$C$42, 14.23, 14.23) * CHOOSE(CONTROL!$C$21, $C$9, 100%, $E$9)</f>
        <v>14.23</v>
      </c>
      <c r="Q443" s="10">
        <f>CHOOSE(CONTROL!$C$42, 14.9183, 14.9183) * CHOOSE(CONTROL!$C$21, $C$9, 100%, $E$9)</f>
        <v>14.9183</v>
      </c>
      <c r="R443" s="10">
        <f>CHOOSE(CONTROL!$C$42, 15.5426, 15.5426) * CHOOSE(CONTROL!$C$21, $C$9, 100%, $E$9)</f>
        <v>15.5426</v>
      </c>
      <c r="S443" s="10">
        <f>CHOOSE(CONTROL!$C$42, 13.9793, 13.9793) * CHOOSE(CONTROL!$C$21, $C$9, 100%, $E$9)</f>
        <v>13.9793</v>
      </c>
      <c r="T443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443" s="58">
        <f>(1000*CHOOSE(CONTROL!$C$42, 695, 695)*CHOOSE(CONTROL!$C$42, 0.5599, 0.5599)*CHOOSE(CONTROL!$C$42, 30, 30))/1000000</f>
        <v>11.673914999999997</v>
      </c>
      <c r="V443" s="58">
        <f>(1000*CHOOSE(CONTROL!$C$42, 500, 500)*CHOOSE(CONTROL!$C$42, 0.275, 0.275)*CHOOSE(CONTROL!$C$42, 30, 30))/1000000</f>
        <v>4.125</v>
      </c>
      <c r="W443" s="58">
        <f>(1000*CHOOSE(CONTROL!$C$42, 0.1146, 0.1146)*CHOOSE(CONTROL!$C$42, 121.5, 121.5)*CHOOSE(CONTROL!$C$42, 30, 30))/1000000</f>
        <v>0.417717</v>
      </c>
      <c r="X443" s="58">
        <f>(30*0.1790888*100000/1000000)+(30*0.2374*100000/1000000)</f>
        <v>1.2494664</v>
      </c>
      <c r="Y443" s="58"/>
      <c r="Z443" s="10"/>
      <c r="AA443" s="57"/>
      <c r="AB443" s="51">
        <f>(B443*122.58+C443*297.941+D443*89.177+E443*40.302+F443*40+G443*160+H443*0+I443*100+J443*300)/(122.58+297.941+89.177+40.302+0+40+160+100+300)</f>
        <v>14.386799184086957</v>
      </c>
      <c r="AC443" s="27">
        <f>(M443*'RAP TEMPLATE-GAS AVAILABILITY'!O442+N443*'RAP TEMPLATE-GAS AVAILABILITY'!P442+O443*'RAP TEMPLATE-GAS AVAILABILITY'!Q442+P443*'RAP TEMPLATE-GAS AVAILABILITY'!R442)/('RAP TEMPLATE-GAS AVAILABILITY'!O442+'RAP TEMPLATE-GAS AVAILABILITY'!P442+'RAP TEMPLATE-GAS AVAILABILITY'!Q442+'RAP TEMPLATE-GAS AVAILABILITY'!R442)</f>
        <v>14.27159856115108</v>
      </c>
    </row>
    <row r="444" spans="1:29" ht="15.75" x14ac:dyDescent="0.25">
      <c r="A444" s="14">
        <v>54423</v>
      </c>
      <c r="B444" s="10">
        <f>CHOOSE(CONTROL!$C$42, 15.3789, 15.3789) * CHOOSE(CONTROL!$C$21, $C$9, 100%, $E$9)</f>
        <v>15.3789</v>
      </c>
      <c r="C444" s="10">
        <f>CHOOSE(CONTROL!$C$42, 15.3839, 15.3839) * CHOOSE(CONTROL!$C$21, $C$9, 100%, $E$9)</f>
        <v>15.383900000000001</v>
      </c>
      <c r="D444" s="10">
        <f>CHOOSE(CONTROL!$C$42, 15.4135, 15.4135) * CHOOSE(CONTROL!$C$21, $C$9, 100%, $E$9)</f>
        <v>15.413500000000001</v>
      </c>
      <c r="E444" s="10">
        <f>CHOOSE(CONTROL!$C$42, 15.4472, 15.4472) * CHOOSE(CONTROL!$C$21, $C$9, 100%, $E$9)</f>
        <v>15.4472</v>
      </c>
      <c r="F444" s="10">
        <f>CHOOSE(CONTROL!$C$42, 15.3471, 15.3471)*CHOOSE(CONTROL!$C$21, $C$9, 100%, $E$9)</f>
        <v>15.347099999999999</v>
      </c>
      <c r="G444" s="10">
        <f>CHOOSE(CONTROL!$C$42, 15.3646, 15.3646)*CHOOSE(CONTROL!$C$21, $C$9, 100%, $E$9)</f>
        <v>15.364599999999999</v>
      </c>
      <c r="H444" s="10">
        <f>CHOOSE(CONTROL!$C$42, 15.4364, 15.4364) * CHOOSE(CONTROL!$C$21, $C$9, 100%, $E$9)</f>
        <v>15.436400000000001</v>
      </c>
      <c r="I444" s="10">
        <f>CHOOSE(CONTROL!$C$42, 15.3425, 15.3425)* CHOOSE(CONTROL!$C$21, $C$9, 100%, $E$9)</f>
        <v>15.342499999999999</v>
      </c>
      <c r="J444" s="10">
        <f>CHOOSE(CONTROL!$C$42, 15.3401, 15.3401)* CHOOSE(CONTROL!$C$21, $C$9, 100%, $E$9)</f>
        <v>15.3401</v>
      </c>
      <c r="K444" s="54">
        <f>CHOOSE(CONTROL!$C$42, 15.3386, 15.3386) * CHOOSE(CONTROL!$C$21, $C$9, 100%, $E$9)</f>
        <v>15.3386</v>
      </c>
      <c r="L444" s="10">
        <f>CHOOSE(CONTROL!$C$42, 16.0234, 16.0234) * CHOOSE(CONTROL!$C$21, $C$9, 100%, $E$9)</f>
        <v>16.023399999999999</v>
      </c>
      <c r="M444" s="10">
        <f>CHOOSE(CONTROL!$C$42, 15.1991, 15.1991) * CHOOSE(CONTROL!$C$21, $C$9, 100%, $E$9)</f>
        <v>15.1991</v>
      </c>
      <c r="N444" s="10">
        <f>CHOOSE(CONTROL!$C$42, 15.2164, 15.2164) * CHOOSE(CONTROL!$C$21, $C$9, 100%, $E$9)</f>
        <v>15.2164</v>
      </c>
      <c r="O444" s="10">
        <f>CHOOSE(CONTROL!$C$42, 15.2945, 15.2945) * CHOOSE(CONTROL!$C$21, $C$9, 100%, $E$9)</f>
        <v>15.294499999999999</v>
      </c>
      <c r="P444" s="10">
        <f>CHOOSE(CONTROL!$C$42, 15.2015, 15.2015) * CHOOSE(CONTROL!$C$21, $C$9, 100%, $E$9)</f>
        <v>15.201499999999999</v>
      </c>
      <c r="Q444" s="10">
        <f>CHOOSE(CONTROL!$C$42, 15.8898, 15.8898) * CHOOSE(CONTROL!$C$21, $C$9, 100%, $E$9)</f>
        <v>15.889799999999999</v>
      </c>
      <c r="R444" s="10">
        <f>CHOOSE(CONTROL!$C$42, 16.5165, 16.5165) * CHOOSE(CONTROL!$C$21, $C$9, 100%, $E$9)</f>
        <v>16.516500000000001</v>
      </c>
      <c r="S444" s="10">
        <f>CHOOSE(CONTROL!$C$42, 14.9323, 14.9323) * CHOOSE(CONTROL!$C$21, $C$9, 100%, $E$9)</f>
        <v>14.9323</v>
      </c>
      <c r="T444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444" s="58">
        <f>(1000*CHOOSE(CONTROL!$C$42, 695, 695)*CHOOSE(CONTROL!$C$42, 0.5599, 0.5599)*CHOOSE(CONTROL!$C$42, 31, 31))/1000000</f>
        <v>12.063045499999998</v>
      </c>
      <c r="V444" s="58">
        <f>(1000*CHOOSE(CONTROL!$C$42, 500, 500)*CHOOSE(CONTROL!$C$42, 0.275, 0.275)*CHOOSE(CONTROL!$C$42, 31, 31))/1000000</f>
        <v>4.2625000000000002</v>
      </c>
      <c r="W444" s="58">
        <f>(1000*CHOOSE(CONTROL!$C$42, 0.1146, 0.1146)*CHOOSE(CONTROL!$C$42, 121.5, 121.5)*CHOOSE(CONTROL!$C$42, 31, 31))/1000000</f>
        <v>0.43164089999999994</v>
      </c>
      <c r="X444" s="58">
        <f>(31*0.1790888*100000/1000000)+(31*0.2374*100000/1000000)</f>
        <v>1.2911152800000001</v>
      </c>
      <c r="Y444" s="58"/>
      <c r="Z444" s="10"/>
      <c r="AA444" s="57"/>
      <c r="AB444" s="51">
        <f>(B444*122.58+C444*297.941+D444*89.177+E444*40.302+F444*40+G444*160+H444*0+I444*100+J444*300)/(122.58+297.941+89.177+40.302+0+40+160+100+300)</f>
        <v>15.368889439826086</v>
      </c>
      <c r="AC444" s="27">
        <f>(M444*'RAP TEMPLATE-GAS AVAILABILITY'!O443+N444*'RAP TEMPLATE-GAS AVAILABILITY'!P443+O444*'RAP TEMPLATE-GAS AVAILABILITY'!Q443+P444*'RAP TEMPLATE-GAS AVAILABILITY'!R443)/('RAP TEMPLATE-GAS AVAILABILITY'!O443+'RAP TEMPLATE-GAS AVAILABILITY'!P443+'RAP TEMPLATE-GAS AVAILABILITY'!Q443+'RAP TEMPLATE-GAS AVAILABILITY'!R443)</f>
        <v>15.243679856115108</v>
      </c>
    </row>
    <row r="445" spans="1:29" ht="15.75" x14ac:dyDescent="0.25">
      <c r="A445" s="14">
        <v>54454</v>
      </c>
      <c r="B445" s="10">
        <f>CHOOSE(CONTROL!$C$42, 16.6388, 16.6388) * CHOOSE(CONTROL!$C$21, $C$9, 100%, $E$9)</f>
        <v>16.6388</v>
      </c>
      <c r="C445" s="10">
        <f>CHOOSE(CONTROL!$C$42, 16.6437, 16.6437) * CHOOSE(CONTROL!$C$21, $C$9, 100%, $E$9)</f>
        <v>16.643699999999999</v>
      </c>
      <c r="D445" s="10">
        <f>CHOOSE(CONTROL!$C$42, 16.6939, 16.6939) * CHOOSE(CONTROL!$C$21, $C$9, 100%, $E$9)</f>
        <v>16.693899999999999</v>
      </c>
      <c r="E445" s="10">
        <f>CHOOSE(CONTROL!$C$42, 16.7277, 16.7277) * CHOOSE(CONTROL!$C$21, $C$9, 100%, $E$9)</f>
        <v>16.727699999999999</v>
      </c>
      <c r="F445" s="10">
        <f>CHOOSE(CONTROL!$C$42, 16.6041, 16.6041)*CHOOSE(CONTROL!$C$21, $C$9, 100%, $E$9)</f>
        <v>16.604099999999999</v>
      </c>
      <c r="G445" s="10">
        <f>CHOOSE(CONTROL!$C$42, 16.6217, 16.6217)*CHOOSE(CONTROL!$C$21, $C$9, 100%, $E$9)</f>
        <v>16.621700000000001</v>
      </c>
      <c r="H445" s="10">
        <f>CHOOSE(CONTROL!$C$42, 16.7169, 16.7169) * CHOOSE(CONTROL!$C$21, $C$9, 100%, $E$9)</f>
        <v>16.716899999999999</v>
      </c>
      <c r="I445" s="10">
        <f>CHOOSE(CONTROL!$C$42, 16.6126, 16.6126)* CHOOSE(CONTROL!$C$21, $C$9, 100%, $E$9)</f>
        <v>16.6126</v>
      </c>
      <c r="J445" s="10">
        <f>CHOOSE(CONTROL!$C$42, 16.5971, 16.5971)* CHOOSE(CONTROL!$C$21, $C$9, 100%, $E$9)</f>
        <v>16.597100000000001</v>
      </c>
      <c r="K445" s="54">
        <f>CHOOSE(CONTROL!$C$42, 16.6088, 16.6088) * CHOOSE(CONTROL!$C$21, $C$9, 100%, $E$9)</f>
        <v>16.608799999999999</v>
      </c>
      <c r="L445" s="10">
        <f>CHOOSE(CONTROL!$C$42, 17.3039, 17.3039) * CHOOSE(CONTROL!$C$21, $C$9, 100%, $E$9)</f>
        <v>17.303899999999999</v>
      </c>
      <c r="M445" s="10">
        <f>CHOOSE(CONTROL!$C$42, 16.4434, 16.4434) * CHOOSE(CONTROL!$C$21, $C$9, 100%, $E$9)</f>
        <v>16.4434</v>
      </c>
      <c r="N445" s="10">
        <f>CHOOSE(CONTROL!$C$42, 16.4608, 16.4608) * CHOOSE(CONTROL!$C$21, $C$9, 100%, $E$9)</f>
        <v>16.460799999999999</v>
      </c>
      <c r="O445" s="10">
        <f>CHOOSE(CONTROL!$C$42, 16.562, 16.562) * CHOOSE(CONTROL!$C$21, $C$9, 100%, $E$9)</f>
        <v>16.562000000000001</v>
      </c>
      <c r="P445" s="10">
        <f>CHOOSE(CONTROL!$C$42, 16.4589, 16.4589) * CHOOSE(CONTROL!$C$21, $C$9, 100%, $E$9)</f>
        <v>16.4589</v>
      </c>
      <c r="Q445" s="10">
        <f>CHOOSE(CONTROL!$C$42, 17.1573, 17.1573) * CHOOSE(CONTROL!$C$21, $C$9, 100%, $E$9)</f>
        <v>17.157299999999999</v>
      </c>
      <c r="R445" s="10">
        <f>CHOOSE(CONTROL!$C$42, 17.7872, 17.7872) * CHOOSE(CONTROL!$C$21, $C$9, 100%, $E$9)</f>
        <v>17.787199999999999</v>
      </c>
      <c r="S445" s="10">
        <f>CHOOSE(CONTROL!$C$42, 16.1558, 16.1558) * CHOOSE(CONTROL!$C$21, $C$9, 100%, $E$9)</f>
        <v>16.155799999999999</v>
      </c>
      <c r="T445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445" s="58">
        <f>(1000*CHOOSE(CONTROL!$C$42, 695, 695)*CHOOSE(CONTROL!$C$42, 0.5599, 0.5599)*CHOOSE(CONTROL!$C$42, 31, 31))/1000000</f>
        <v>12.063045499999998</v>
      </c>
      <c r="V445" s="58">
        <f>(1000*CHOOSE(CONTROL!$C$42, 500, 500)*CHOOSE(CONTROL!$C$42, 0.275, 0.275)*CHOOSE(CONTROL!$C$42, 31, 31))/1000000</f>
        <v>4.2625000000000002</v>
      </c>
      <c r="W445" s="58">
        <f>(1000*CHOOSE(CONTROL!$C$42, 0.1146, 0.1146)*CHOOSE(CONTROL!$C$42, 121.5, 121.5)*CHOOSE(CONTROL!$C$42, 31, 31))/1000000</f>
        <v>0.43164089999999994</v>
      </c>
      <c r="X445" s="58">
        <f>(31*0.1790888*100000/1000000)+(31*0.2374*100000/1000000)</f>
        <v>1.2911152800000001</v>
      </c>
      <c r="Y445" s="58"/>
      <c r="Z445" s="10"/>
      <c r="AA445" s="57"/>
      <c r="AB445" s="51">
        <f>(B445*122.58+C445*297.941+D445*89.177+E445*40.302+F445*40+G445*160+H445*0+I445*100+J445*300)/(122.58+297.941+89.177+40.302+0+40+160+100+300)</f>
        <v>16.630715140347828</v>
      </c>
      <c r="AC445" s="27">
        <f>(M445*'RAP TEMPLATE-GAS AVAILABILITY'!O444+N445*'RAP TEMPLATE-GAS AVAILABILITY'!P444+O445*'RAP TEMPLATE-GAS AVAILABILITY'!Q444+P445*'RAP TEMPLATE-GAS AVAILABILITY'!R444)/('RAP TEMPLATE-GAS AVAILABILITY'!O444+'RAP TEMPLATE-GAS AVAILABILITY'!P444+'RAP TEMPLATE-GAS AVAILABILITY'!Q444+'RAP TEMPLATE-GAS AVAILABILITY'!R444)</f>
        <v>16.50038561151079</v>
      </c>
    </row>
    <row r="446" spans="1:29" ht="15.75" x14ac:dyDescent="0.25">
      <c r="A446" s="14">
        <v>54482</v>
      </c>
      <c r="B446" s="10">
        <f>CHOOSE(CONTROL!$C$42, 16.9349, 16.9349) * CHOOSE(CONTROL!$C$21, $C$9, 100%, $E$9)</f>
        <v>16.934899999999999</v>
      </c>
      <c r="C446" s="10">
        <f>CHOOSE(CONTROL!$C$42, 16.9398, 16.9398) * CHOOSE(CONTROL!$C$21, $C$9, 100%, $E$9)</f>
        <v>16.939800000000002</v>
      </c>
      <c r="D446" s="10">
        <f>CHOOSE(CONTROL!$C$42, 17.0003, 17.0003) * CHOOSE(CONTROL!$C$21, $C$9, 100%, $E$9)</f>
        <v>17.000299999999999</v>
      </c>
      <c r="E446" s="10">
        <f>CHOOSE(CONTROL!$C$42, 17.0341, 17.0341) * CHOOSE(CONTROL!$C$21, $C$9, 100%, $E$9)</f>
        <v>17.034099999999999</v>
      </c>
      <c r="F446" s="10">
        <f>CHOOSE(CONTROL!$C$42, 16.9281, 16.9281)*CHOOSE(CONTROL!$C$21, $C$9, 100%, $E$9)</f>
        <v>16.928100000000001</v>
      </c>
      <c r="G446" s="10">
        <f>CHOOSE(CONTROL!$C$42, 16.9454, 16.9454)*CHOOSE(CONTROL!$C$21, $C$9, 100%, $E$9)</f>
        <v>16.945399999999999</v>
      </c>
      <c r="H446" s="10">
        <f>CHOOSE(CONTROL!$C$42, 17.0233, 17.0233) * CHOOSE(CONTROL!$C$21, $C$9, 100%, $E$9)</f>
        <v>17.023299999999999</v>
      </c>
      <c r="I446" s="10">
        <f>CHOOSE(CONTROL!$C$42, 16.9217, 16.9217)* CHOOSE(CONTROL!$C$21, $C$9, 100%, $E$9)</f>
        <v>16.921700000000001</v>
      </c>
      <c r="J446" s="10">
        <f>CHOOSE(CONTROL!$C$42, 16.9211, 16.9211)* CHOOSE(CONTROL!$C$21, $C$9, 100%, $E$9)</f>
        <v>16.921099999999999</v>
      </c>
      <c r="K446" s="54">
        <f>CHOOSE(CONTROL!$C$42, 16.9178, 16.9178) * CHOOSE(CONTROL!$C$21, $C$9, 100%, $E$9)</f>
        <v>16.9178</v>
      </c>
      <c r="L446" s="10">
        <f>CHOOSE(CONTROL!$C$42, 17.6103, 17.6103) * CHOOSE(CONTROL!$C$21, $C$9, 100%, $E$9)</f>
        <v>17.610299999999999</v>
      </c>
      <c r="M446" s="10">
        <f>CHOOSE(CONTROL!$C$42, 16.7642, 16.7642) * CHOOSE(CONTROL!$C$21, $C$9, 100%, $E$9)</f>
        <v>16.764199999999999</v>
      </c>
      <c r="N446" s="10">
        <f>CHOOSE(CONTROL!$C$42, 16.7813, 16.7813) * CHOOSE(CONTROL!$C$21, $C$9, 100%, $E$9)</f>
        <v>16.781300000000002</v>
      </c>
      <c r="O446" s="10">
        <f>CHOOSE(CONTROL!$C$42, 16.8654, 16.8654) * CHOOSE(CONTROL!$C$21, $C$9, 100%, $E$9)</f>
        <v>16.865400000000001</v>
      </c>
      <c r="P446" s="10">
        <f>CHOOSE(CONTROL!$C$42, 16.7648, 16.7648) * CHOOSE(CONTROL!$C$21, $C$9, 100%, $E$9)</f>
        <v>16.764800000000001</v>
      </c>
      <c r="Q446" s="10">
        <f>CHOOSE(CONTROL!$C$42, 17.4607, 17.4607) * CHOOSE(CONTROL!$C$21, $C$9, 100%, $E$9)</f>
        <v>17.460699999999999</v>
      </c>
      <c r="R446" s="10">
        <f>CHOOSE(CONTROL!$C$42, 18.0913, 18.0913) * CHOOSE(CONTROL!$C$21, $C$9, 100%, $E$9)</f>
        <v>18.0913</v>
      </c>
      <c r="S446" s="10">
        <f>CHOOSE(CONTROL!$C$42, 16.4433, 16.4433) * CHOOSE(CONTROL!$C$21, $C$9, 100%, $E$9)</f>
        <v>16.443300000000001</v>
      </c>
      <c r="T446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446" s="58">
        <f>(1000*CHOOSE(CONTROL!$C$42, 695, 695)*CHOOSE(CONTROL!$C$42, 0.5599, 0.5599)*CHOOSE(CONTROL!$C$42, 28, 28))/1000000</f>
        <v>10.895653999999999</v>
      </c>
      <c r="V446" s="58">
        <f>(1000*CHOOSE(CONTROL!$C$42, 500, 500)*CHOOSE(CONTROL!$C$42, 0.275, 0.275)*CHOOSE(CONTROL!$C$42, 28, 28))/1000000</f>
        <v>3.85</v>
      </c>
      <c r="W446" s="58">
        <f>(1000*CHOOSE(CONTROL!$C$42, 0.1146, 0.1146)*CHOOSE(CONTROL!$C$42, 121.5, 121.5)*CHOOSE(CONTROL!$C$42, 28, 28))/1000000</f>
        <v>0.38986920000000003</v>
      </c>
      <c r="X446" s="58">
        <f>(28*0.1790888*100000/1000000)+(28*0.2374*100000/1000000)</f>
        <v>1.16616864</v>
      </c>
      <c r="Y446" s="58"/>
      <c r="Z446" s="10"/>
      <c r="AA446" s="57"/>
      <c r="AB446" s="51">
        <f>(B446*122.58+C446*297.941+D446*89.177+E446*40.302+F446*40+G446*160+H446*0+I446*100+J446*300)/(122.58+297.941+89.177+40.302+0+40+160+100+300)</f>
        <v>16.941193952260871</v>
      </c>
      <c r="AC446" s="27">
        <f>(M446*'RAP TEMPLATE-GAS AVAILABILITY'!O445+N446*'RAP TEMPLATE-GAS AVAILABILITY'!P445+O446*'RAP TEMPLATE-GAS AVAILABILITY'!Q445+P446*'RAP TEMPLATE-GAS AVAILABILITY'!R445)/('RAP TEMPLATE-GAS AVAILABILITY'!O445+'RAP TEMPLATE-GAS AVAILABILITY'!P445+'RAP TEMPLATE-GAS AVAILABILITY'!Q445+'RAP TEMPLATE-GAS AVAILABILITY'!R445)</f>
        <v>16.811138129496403</v>
      </c>
    </row>
    <row r="447" spans="1:29" ht="15.75" x14ac:dyDescent="0.25">
      <c r="A447" s="14">
        <v>54513</v>
      </c>
      <c r="B447" s="10">
        <f>CHOOSE(CONTROL!$C$42, 16.4542, 16.4542) * CHOOSE(CONTROL!$C$21, $C$9, 100%, $E$9)</f>
        <v>16.4542</v>
      </c>
      <c r="C447" s="10">
        <f>CHOOSE(CONTROL!$C$42, 16.4591, 16.4591) * CHOOSE(CONTROL!$C$21, $C$9, 100%, $E$9)</f>
        <v>16.459099999999999</v>
      </c>
      <c r="D447" s="10">
        <f>CHOOSE(CONTROL!$C$42, 16.5196, 16.5196) * CHOOSE(CONTROL!$C$21, $C$9, 100%, $E$9)</f>
        <v>16.519600000000001</v>
      </c>
      <c r="E447" s="10">
        <f>CHOOSE(CONTROL!$C$42, 16.5534, 16.5534) * CHOOSE(CONTROL!$C$21, $C$9, 100%, $E$9)</f>
        <v>16.5534</v>
      </c>
      <c r="F447" s="10">
        <f>CHOOSE(CONTROL!$C$42, 16.4419, 16.4419)*CHOOSE(CONTROL!$C$21, $C$9, 100%, $E$9)</f>
        <v>16.4419</v>
      </c>
      <c r="G447" s="10">
        <f>CHOOSE(CONTROL!$C$42, 16.4591, 16.4591)*CHOOSE(CONTROL!$C$21, $C$9, 100%, $E$9)</f>
        <v>16.459099999999999</v>
      </c>
      <c r="H447" s="10">
        <f>CHOOSE(CONTROL!$C$42, 16.5426, 16.5426) * CHOOSE(CONTROL!$C$21, $C$9, 100%, $E$9)</f>
        <v>16.5426</v>
      </c>
      <c r="I447" s="10">
        <f>CHOOSE(CONTROL!$C$42, 16.4281, 16.4281)* CHOOSE(CONTROL!$C$21, $C$9, 100%, $E$9)</f>
        <v>16.428100000000001</v>
      </c>
      <c r="J447" s="10">
        <f>CHOOSE(CONTROL!$C$42, 16.4349, 16.4349)* CHOOSE(CONTROL!$C$21, $C$9, 100%, $E$9)</f>
        <v>16.434899999999999</v>
      </c>
      <c r="K447" s="54">
        <f>CHOOSE(CONTROL!$C$42, 16.4242, 16.4242) * CHOOSE(CONTROL!$C$21, $C$9, 100%, $E$9)</f>
        <v>16.424199999999999</v>
      </c>
      <c r="L447" s="10">
        <f>CHOOSE(CONTROL!$C$42, 17.1296, 17.1296) * CHOOSE(CONTROL!$C$21, $C$9, 100%, $E$9)</f>
        <v>17.1296</v>
      </c>
      <c r="M447" s="10">
        <f>CHOOSE(CONTROL!$C$42, 16.2829, 16.2829) * CHOOSE(CONTROL!$C$21, $C$9, 100%, $E$9)</f>
        <v>16.282900000000001</v>
      </c>
      <c r="N447" s="10">
        <f>CHOOSE(CONTROL!$C$42, 16.2999, 16.2999) * CHOOSE(CONTROL!$C$21, $C$9, 100%, $E$9)</f>
        <v>16.299900000000001</v>
      </c>
      <c r="O447" s="10">
        <f>CHOOSE(CONTROL!$C$42, 16.3895, 16.3895) * CHOOSE(CONTROL!$C$21, $C$9, 100%, $E$9)</f>
        <v>16.389500000000002</v>
      </c>
      <c r="P447" s="10">
        <f>CHOOSE(CONTROL!$C$42, 16.2762, 16.2762) * CHOOSE(CONTROL!$C$21, $C$9, 100%, $E$9)</f>
        <v>16.276199999999999</v>
      </c>
      <c r="Q447" s="10">
        <f>CHOOSE(CONTROL!$C$42, 16.9848, 16.9848) * CHOOSE(CONTROL!$C$21, $C$9, 100%, $E$9)</f>
        <v>16.9848</v>
      </c>
      <c r="R447" s="10">
        <f>CHOOSE(CONTROL!$C$42, 17.6143, 17.6143) * CHOOSE(CONTROL!$C$21, $C$9, 100%, $E$9)</f>
        <v>17.6143</v>
      </c>
      <c r="S447" s="10">
        <f>CHOOSE(CONTROL!$C$42, 15.9765, 15.9765) * CHOOSE(CONTROL!$C$21, $C$9, 100%, $E$9)</f>
        <v>15.9765</v>
      </c>
      <c r="T447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447" s="58">
        <f>(1000*CHOOSE(CONTROL!$C$42, 695, 695)*CHOOSE(CONTROL!$C$42, 0.5599, 0.5599)*CHOOSE(CONTROL!$C$42, 31, 31))/1000000</f>
        <v>12.063045499999998</v>
      </c>
      <c r="V447" s="58">
        <f>(1000*CHOOSE(CONTROL!$C$42, 500, 500)*CHOOSE(CONTROL!$C$42, 0.275, 0.275)*CHOOSE(CONTROL!$C$42, 31, 31))/1000000</f>
        <v>4.2625000000000002</v>
      </c>
      <c r="W447" s="58">
        <f>(1000*CHOOSE(CONTROL!$C$42, 0.1146, 0.1146)*CHOOSE(CONTROL!$C$42, 121.5, 121.5)*CHOOSE(CONTROL!$C$42, 31, 31))/1000000</f>
        <v>0.43164089999999994</v>
      </c>
      <c r="X447" s="58">
        <f>(31*0.1790888*100000/1000000)+(31*0.2374*100000/1000000)</f>
        <v>1.2911152800000001</v>
      </c>
      <c r="Y447" s="58"/>
      <c r="Z447" s="10"/>
      <c r="AA447" s="57"/>
      <c r="AB447" s="51">
        <f>(B447*122.58+C447*297.941+D447*89.177+E447*40.302+F447*40+G447*160+H447*0+I447*100+J447*300)/(122.58+297.941+89.177+40.302+0+40+160+100+300)</f>
        <v>16.456966995739126</v>
      </c>
      <c r="AC447" s="27">
        <f>(M447*'RAP TEMPLATE-GAS AVAILABILITY'!O446+N447*'RAP TEMPLATE-GAS AVAILABILITY'!P446+O447*'RAP TEMPLATE-GAS AVAILABILITY'!Q446+P447*'RAP TEMPLATE-GAS AVAILABILITY'!R446)/('RAP TEMPLATE-GAS AVAILABILITY'!O446+'RAP TEMPLATE-GAS AVAILABILITY'!P446+'RAP TEMPLATE-GAS AVAILABILITY'!Q446+'RAP TEMPLATE-GAS AVAILABILITY'!R446)</f>
        <v>16.331229496402877</v>
      </c>
    </row>
    <row r="448" spans="1:29" ht="15.75" x14ac:dyDescent="0.25">
      <c r="A448" s="14">
        <v>54543</v>
      </c>
      <c r="B448" s="10">
        <f>CHOOSE(CONTROL!$C$42, 16.4061, 16.4061) * CHOOSE(CONTROL!$C$21, $C$9, 100%, $E$9)</f>
        <v>16.406099999999999</v>
      </c>
      <c r="C448" s="10">
        <f>CHOOSE(CONTROL!$C$42, 16.4105, 16.4105) * CHOOSE(CONTROL!$C$21, $C$9, 100%, $E$9)</f>
        <v>16.410499999999999</v>
      </c>
      <c r="D448" s="10">
        <f>CHOOSE(CONTROL!$C$42, 16.6061, 16.6061) * CHOOSE(CONTROL!$C$21, $C$9, 100%, $E$9)</f>
        <v>16.606100000000001</v>
      </c>
      <c r="E448" s="10">
        <f>CHOOSE(CONTROL!$C$42, 16.6378, 16.6378) * CHOOSE(CONTROL!$C$21, $C$9, 100%, $E$9)</f>
        <v>16.637799999999999</v>
      </c>
      <c r="F448" s="10">
        <f>CHOOSE(CONTROL!$C$42, 16.3739, 16.3739)*CHOOSE(CONTROL!$C$21, $C$9, 100%, $E$9)</f>
        <v>16.373899999999999</v>
      </c>
      <c r="G448" s="10">
        <f>CHOOSE(CONTROL!$C$42, 16.3907, 16.3907)*CHOOSE(CONTROL!$C$21, $C$9, 100%, $E$9)</f>
        <v>16.390699999999999</v>
      </c>
      <c r="H448" s="10">
        <f>CHOOSE(CONTROL!$C$42, 16.6276, 16.6276) * CHOOSE(CONTROL!$C$21, $C$9, 100%, $E$9)</f>
        <v>16.627600000000001</v>
      </c>
      <c r="I448" s="10">
        <f>CHOOSE(CONTROL!$C$42, 16.3741, 16.3741)* CHOOSE(CONTROL!$C$21, $C$9, 100%, $E$9)</f>
        <v>16.374099999999999</v>
      </c>
      <c r="J448" s="10">
        <f>CHOOSE(CONTROL!$C$42, 16.3669, 16.3669)* CHOOSE(CONTROL!$C$21, $C$9, 100%, $E$9)</f>
        <v>16.366900000000001</v>
      </c>
      <c r="K448" s="54">
        <f>CHOOSE(CONTROL!$C$42, 16.3702, 16.3702) * CHOOSE(CONTROL!$C$21, $C$9, 100%, $E$9)</f>
        <v>16.370200000000001</v>
      </c>
      <c r="L448" s="10">
        <f>CHOOSE(CONTROL!$C$42, 17.2146, 17.2146) * CHOOSE(CONTROL!$C$21, $C$9, 100%, $E$9)</f>
        <v>17.214600000000001</v>
      </c>
      <c r="M448" s="10">
        <f>CHOOSE(CONTROL!$C$42, 16.2156, 16.2156) * CHOOSE(CONTROL!$C$21, $C$9, 100%, $E$9)</f>
        <v>16.215599999999998</v>
      </c>
      <c r="N448" s="10">
        <f>CHOOSE(CONTROL!$C$42, 16.2322, 16.2322) * CHOOSE(CONTROL!$C$21, $C$9, 100%, $E$9)</f>
        <v>16.232199999999999</v>
      </c>
      <c r="O448" s="10">
        <f>CHOOSE(CONTROL!$C$42, 16.4736, 16.4736) * CHOOSE(CONTROL!$C$21, $C$9, 100%, $E$9)</f>
        <v>16.473600000000001</v>
      </c>
      <c r="P448" s="10">
        <f>CHOOSE(CONTROL!$C$42, 16.2227, 16.2227) * CHOOSE(CONTROL!$C$21, $C$9, 100%, $E$9)</f>
        <v>16.2227</v>
      </c>
      <c r="Q448" s="10">
        <f>CHOOSE(CONTROL!$C$42, 17.0689, 17.0689) * CHOOSE(CONTROL!$C$21, $C$9, 100%, $E$9)</f>
        <v>17.068899999999999</v>
      </c>
      <c r="R448" s="10">
        <f>CHOOSE(CONTROL!$C$42, 17.6986, 17.6986) * CHOOSE(CONTROL!$C$21, $C$9, 100%, $E$9)</f>
        <v>17.698599999999999</v>
      </c>
      <c r="S448" s="10">
        <f>CHOOSE(CONTROL!$C$42, 15.9291, 15.9291) * CHOOSE(CONTROL!$C$21, $C$9, 100%, $E$9)</f>
        <v>15.9291</v>
      </c>
      <c r="T448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448" s="58">
        <f>(1000*CHOOSE(CONTROL!$C$42, 695, 695)*CHOOSE(CONTROL!$C$42, 0.5599, 0.5599)*CHOOSE(CONTROL!$C$42, 30, 30))/1000000</f>
        <v>11.673914999999997</v>
      </c>
      <c r="V448" s="58">
        <f>(1000*CHOOSE(CONTROL!$C$42, 500, 500)*CHOOSE(CONTROL!$C$42, 0.275, 0.275)*CHOOSE(CONTROL!$C$42, 30, 30))/1000000</f>
        <v>4.125</v>
      </c>
      <c r="W448" s="58">
        <f>(1000*CHOOSE(CONTROL!$C$42, 0.1146, 0.1146)*CHOOSE(CONTROL!$C$42, 121.5, 121.5)*CHOOSE(CONTROL!$C$42, 30, 30))/1000000</f>
        <v>0.417717</v>
      </c>
      <c r="X448" s="58">
        <f>(30*0.1790888*245000/1000000)+(30*0.2374*100000/1000000)</f>
        <v>2.0285026799999999</v>
      </c>
      <c r="Y448" s="58"/>
      <c r="Z448" s="10"/>
      <c r="AA448" s="57"/>
      <c r="AB448" s="51">
        <f>(B448*141.293+C448*267.993+D448*115.016+E448*89.698+F448*40+G448*185+H448*0+I448*100+J448*300)/(141.293+267.993+115.016+89.698+0+40+185+100+300)</f>
        <v>16.426978446973365</v>
      </c>
      <c r="AC448" s="27">
        <f>(M448*'RAP TEMPLATE-GAS AVAILABILITY'!O447+N448*'RAP TEMPLATE-GAS AVAILABILITY'!P447+O448*'RAP TEMPLATE-GAS AVAILABILITY'!Q447+P448*'RAP TEMPLATE-GAS AVAILABILITY'!R447)/('RAP TEMPLATE-GAS AVAILABILITY'!O447+'RAP TEMPLATE-GAS AVAILABILITY'!P447+'RAP TEMPLATE-GAS AVAILABILITY'!Q447+'RAP TEMPLATE-GAS AVAILABILITY'!R447)</f>
        <v>16.292831654676259</v>
      </c>
    </row>
    <row r="449" spans="1:29" ht="15.75" x14ac:dyDescent="0.25">
      <c r="A449" s="14">
        <v>54574</v>
      </c>
      <c r="B449" s="10">
        <f>CHOOSE(CONTROL!$C$42, 16.5523, 16.5523) * CHOOSE(CONTROL!$C$21, $C$9, 100%, $E$9)</f>
        <v>16.552299999999999</v>
      </c>
      <c r="C449" s="10">
        <f>CHOOSE(CONTROL!$C$42, 16.5602, 16.5602) * CHOOSE(CONTROL!$C$21, $C$9, 100%, $E$9)</f>
        <v>16.560199999999998</v>
      </c>
      <c r="D449" s="10">
        <f>CHOOSE(CONTROL!$C$42, 16.7526, 16.7526) * CHOOSE(CONTROL!$C$21, $C$9, 100%, $E$9)</f>
        <v>16.752600000000001</v>
      </c>
      <c r="E449" s="10">
        <f>CHOOSE(CONTROL!$C$42, 16.7837, 16.7837) * CHOOSE(CONTROL!$C$21, $C$9, 100%, $E$9)</f>
        <v>16.7837</v>
      </c>
      <c r="F449" s="10">
        <f>CHOOSE(CONTROL!$C$42, 16.5185, 16.5185)*CHOOSE(CONTROL!$C$21, $C$9, 100%, $E$9)</f>
        <v>16.5185</v>
      </c>
      <c r="G449" s="10">
        <f>CHOOSE(CONTROL!$C$42, 16.5356, 16.5356)*CHOOSE(CONTROL!$C$21, $C$9, 100%, $E$9)</f>
        <v>16.535599999999999</v>
      </c>
      <c r="H449" s="10">
        <f>CHOOSE(CONTROL!$C$42, 16.7724, 16.7724) * CHOOSE(CONTROL!$C$21, $C$9, 100%, $E$9)</f>
        <v>16.772400000000001</v>
      </c>
      <c r="I449" s="10">
        <f>CHOOSE(CONTROL!$C$42, 16.5188, 16.5188)* CHOOSE(CONTROL!$C$21, $C$9, 100%, $E$9)</f>
        <v>16.518799999999999</v>
      </c>
      <c r="J449" s="10">
        <f>CHOOSE(CONTROL!$C$42, 16.5115, 16.5115)* CHOOSE(CONTROL!$C$21, $C$9, 100%, $E$9)</f>
        <v>16.511500000000002</v>
      </c>
      <c r="K449" s="54">
        <f>CHOOSE(CONTROL!$C$42, 16.5149, 16.5149) * CHOOSE(CONTROL!$C$21, $C$9, 100%, $E$9)</f>
        <v>16.514900000000001</v>
      </c>
      <c r="L449" s="10">
        <f>CHOOSE(CONTROL!$C$42, 17.3594, 17.3594) * CHOOSE(CONTROL!$C$21, $C$9, 100%, $E$9)</f>
        <v>17.359400000000001</v>
      </c>
      <c r="M449" s="10">
        <f>CHOOSE(CONTROL!$C$42, 16.3587, 16.3587) * CHOOSE(CONTROL!$C$21, $C$9, 100%, $E$9)</f>
        <v>16.358699999999999</v>
      </c>
      <c r="N449" s="10">
        <f>CHOOSE(CONTROL!$C$42, 16.3757, 16.3757) * CHOOSE(CONTROL!$C$21, $C$9, 100%, $E$9)</f>
        <v>16.375699999999998</v>
      </c>
      <c r="O449" s="10">
        <f>CHOOSE(CONTROL!$C$42, 16.6169, 16.6169) * CHOOSE(CONTROL!$C$21, $C$9, 100%, $E$9)</f>
        <v>16.616900000000001</v>
      </c>
      <c r="P449" s="10">
        <f>CHOOSE(CONTROL!$C$42, 16.366, 16.366) * CHOOSE(CONTROL!$C$21, $C$9, 100%, $E$9)</f>
        <v>16.366</v>
      </c>
      <c r="Q449" s="10">
        <f>CHOOSE(CONTROL!$C$42, 17.2122, 17.2122) * CHOOSE(CONTROL!$C$21, $C$9, 100%, $E$9)</f>
        <v>17.212199999999999</v>
      </c>
      <c r="R449" s="10">
        <f>CHOOSE(CONTROL!$C$42, 17.8423, 17.8423) * CHOOSE(CONTROL!$C$21, $C$9, 100%, $E$9)</f>
        <v>17.842300000000002</v>
      </c>
      <c r="S449" s="10">
        <f>CHOOSE(CONTROL!$C$42, 16.0697, 16.0697) * CHOOSE(CONTROL!$C$21, $C$9, 100%, $E$9)</f>
        <v>16.069700000000001</v>
      </c>
      <c r="T449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449" s="58">
        <f>(1000*CHOOSE(CONTROL!$C$42, 695, 695)*CHOOSE(CONTROL!$C$42, 0.5599, 0.5599)*CHOOSE(CONTROL!$C$42, 31, 31))/1000000</f>
        <v>12.063045499999998</v>
      </c>
      <c r="V449" s="58">
        <f>(1000*CHOOSE(CONTROL!$C$42, 500, 500)*CHOOSE(CONTROL!$C$42, 0.275, 0.275)*CHOOSE(CONTROL!$C$42, 31, 31))/1000000</f>
        <v>4.2625000000000002</v>
      </c>
      <c r="W449" s="58">
        <f>(1000*CHOOSE(CONTROL!$C$42, 0.1146, 0.1146)*CHOOSE(CONTROL!$C$42, 121.5, 121.5)*CHOOSE(CONTROL!$C$42, 31, 31))/1000000</f>
        <v>0.43164089999999994</v>
      </c>
      <c r="X449" s="58">
        <f>(31*0.1790888*245000/1000000)+(31*0.2374*100000/1000000)</f>
        <v>2.0961194359999999</v>
      </c>
      <c r="Y449" s="58"/>
      <c r="Z449" s="10"/>
      <c r="AA449" s="57"/>
      <c r="AB449" s="51">
        <f>(B449*194.205+C449*267.466+D449*133.845+E449*53.484+F449*40+G449*185+H449*0+I449*100+J449*300)/(194.205+267.466+133.845+53.484+0+40+185+100+300)</f>
        <v>16.568992961145995</v>
      </c>
      <c r="AC449" s="27">
        <f>(M449*'RAP TEMPLATE-GAS AVAILABILITY'!O448+N449*'RAP TEMPLATE-GAS AVAILABILITY'!P448+O449*'RAP TEMPLATE-GAS AVAILABILITY'!Q448+P449*'RAP TEMPLATE-GAS AVAILABILITY'!R448)/('RAP TEMPLATE-GAS AVAILABILITY'!O448+'RAP TEMPLATE-GAS AVAILABILITY'!P448+'RAP TEMPLATE-GAS AVAILABILITY'!Q448+'RAP TEMPLATE-GAS AVAILABILITY'!R448)</f>
        <v>16.436108633093525</v>
      </c>
    </row>
    <row r="450" spans="1:29" ht="15.75" x14ac:dyDescent="0.25">
      <c r="A450" s="14">
        <v>54604</v>
      </c>
      <c r="B450" s="10">
        <f>CHOOSE(CONTROL!$C$42, 17.0216, 17.0216) * CHOOSE(CONTROL!$C$21, $C$9, 100%, $E$9)</f>
        <v>17.021599999999999</v>
      </c>
      <c r="C450" s="10">
        <f>CHOOSE(CONTROL!$C$42, 17.0295, 17.0295) * CHOOSE(CONTROL!$C$21, $C$9, 100%, $E$9)</f>
        <v>17.029499999999999</v>
      </c>
      <c r="D450" s="10">
        <f>CHOOSE(CONTROL!$C$42, 17.222, 17.222) * CHOOSE(CONTROL!$C$21, $C$9, 100%, $E$9)</f>
        <v>17.222000000000001</v>
      </c>
      <c r="E450" s="10">
        <f>CHOOSE(CONTROL!$C$42, 17.2531, 17.2531) * CHOOSE(CONTROL!$C$21, $C$9, 100%, $E$9)</f>
        <v>17.2531</v>
      </c>
      <c r="F450" s="10">
        <f>CHOOSE(CONTROL!$C$42, 16.9881, 16.9881)*CHOOSE(CONTROL!$C$21, $C$9, 100%, $E$9)</f>
        <v>16.988099999999999</v>
      </c>
      <c r="G450" s="10">
        <f>CHOOSE(CONTROL!$C$42, 17.0053, 17.0053)*CHOOSE(CONTROL!$C$21, $C$9, 100%, $E$9)</f>
        <v>17.005299999999998</v>
      </c>
      <c r="H450" s="10">
        <f>CHOOSE(CONTROL!$C$42, 17.2418, 17.2418) * CHOOSE(CONTROL!$C$21, $C$9, 100%, $E$9)</f>
        <v>17.241800000000001</v>
      </c>
      <c r="I450" s="10">
        <f>CHOOSE(CONTROL!$C$42, 16.9882, 16.9882)* CHOOSE(CONTROL!$C$21, $C$9, 100%, $E$9)</f>
        <v>16.988199999999999</v>
      </c>
      <c r="J450" s="10">
        <f>CHOOSE(CONTROL!$C$42, 16.9811, 16.9811)* CHOOSE(CONTROL!$C$21, $C$9, 100%, $E$9)</f>
        <v>16.981100000000001</v>
      </c>
      <c r="K450" s="54">
        <f>CHOOSE(CONTROL!$C$42, 16.9843, 16.9843) * CHOOSE(CONTROL!$C$21, $C$9, 100%, $E$9)</f>
        <v>16.984300000000001</v>
      </c>
      <c r="L450" s="10">
        <f>CHOOSE(CONTROL!$C$42, 17.8288, 17.8288) * CHOOSE(CONTROL!$C$21, $C$9, 100%, $E$9)</f>
        <v>17.828800000000001</v>
      </c>
      <c r="M450" s="10">
        <f>CHOOSE(CONTROL!$C$42, 16.8236, 16.8236) * CHOOSE(CONTROL!$C$21, $C$9, 100%, $E$9)</f>
        <v>16.823599999999999</v>
      </c>
      <c r="N450" s="10">
        <f>CHOOSE(CONTROL!$C$42, 16.8406, 16.8406) * CHOOSE(CONTROL!$C$21, $C$9, 100%, $E$9)</f>
        <v>16.840599999999998</v>
      </c>
      <c r="O450" s="10">
        <f>CHOOSE(CONTROL!$C$42, 17.0816, 17.0816) * CHOOSE(CONTROL!$C$21, $C$9, 100%, $E$9)</f>
        <v>17.081600000000002</v>
      </c>
      <c r="P450" s="10">
        <f>CHOOSE(CONTROL!$C$42, 16.8306, 16.8306) * CHOOSE(CONTROL!$C$21, $C$9, 100%, $E$9)</f>
        <v>16.8306</v>
      </c>
      <c r="Q450" s="10">
        <f>CHOOSE(CONTROL!$C$42, 17.6769, 17.6769) * CHOOSE(CONTROL!$C$21, $C$9, 100%, $E$9)</f>
        <v>17.6769</v>
      </c>
      <c r="R450" s="10">
        <f>CHOOSE(CONTROL!$C$42, 18.3081, 18.3081) * CHOOSE(CONTROL!$C$21, $C$9, 100%, $E$9)</f>
        <v>18.3081</v>
      </c>
      <c r="S450" s="10">
        <f>CHOOSE(CONTROL!$C$42, 16.5255, 16.5255) * CHOOSE(CONTROL!$C$21, $C$9, 100%, $E$9)</f>
        <v>16.525500000000001</v>
      </c>
      <c r="T450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450" s="58">
        <f>(1000*CHOOSE(CONTROL!$C$42, 695, 695)*CHOOSE(CONTROL!$C$42, 0.5599, 0.5599)*CHOOSE(CONTROL!$C$42, 30, 30))/1000000</f>
        <v>11.673914999999997</v>
      </c>
      <c r="V450" s="58">
        <f>(1000*CHOOSE(CONTROL!$C$42, 500, 500)*CHOOSE(CONTROL!$C$42, 0.275, 0.275)*CHOOSE(CONTROL!$C$42, 30, 30))/1000000</f>
        <v>4.125</v>
      </c>
      <c r="W450" s="58">
        <f>(1000*CHOOSE(CONTROL!$C$42, 0.1146, 0.1146)*CHOOSE(CONTROL!$C$42, 121.5, 121.5)*CHOOSE(CONTROL!$C$42, 30, 30))/1000000</f>
        <v>0.417717</v>
      </c>
      <c r="X450" s="58">
        <f>(30*0.1790888*245000/1000000)+(30*0.2374*100000/1000000)</f>
        <v>2.0285026799999999</v>
      </c>
      <c r="Y450" s="58"/>
      <c r="Z450" s="10"/>
      <c r="AA450" s="57"/>
      <c r="AB450" s="51">
        <f>(B450*194.205+C450*267.466+D450*133.845+E450*53.484+F450*40+G450*185+H450*0+I450*100+J450*300)/(194.205+267.466+133.845+53.484+0+40+185+100+300)</f>
        <v>17.03845366200942</v>
      </c>
      <c r="AC450" s="27">
        <f>(M450*'RAP TEMPLATE-GAS AVAILABILITY'!O449+N450*'RAP TEMPLATE-GAS AVAILABILITY'!P449+O450*'RAP TEMPLATE-GAS AVAILABILITY'!Q449+P450*'RAP TEMPLATE-GAS AVAILABILITY'!R449)/('RAP TEMPLATE-GAS AVAILABILITY'!O449+'RAP TEMPLATE-GAS AVAILABILITY'!P449+'RAP TEMPLATE-GAS AVAILABILITY'!Q449+'RAP TEMPLATE-GAS AVAILABILITY'!R449)</f>
        <v>16.900909352517985</v>
      </c>
    </row>
    <row r="451" spans="1:29" ht="15.75" x14ac:dyDescent="0.25">
      <c r="A451" s="14">
        <v>54635</v>
      </c>
      <c r="B451" s="10">
        <f>CHOOSE(CONTROL!$C$42, 16.6952, 16.6952) * CHOOSE(CONTROL!$C$21, $C$9, 100%, $E$9)</f>
        <v>16.6952</v>
      </c>
      <c r="C451" s="10">
        <f>CHOOSE(CONTROL!$C$42, 16.7031, 16.7031) * CHOOSE(CONTROL!$C$21, $C$9, 100%, $E$9)</f>
        <v>16.703099999999999</v>
      </c>
      <c r="D451" s="10">
        <f>CHOOSE(CONTROL!$C$42, 16.8955, 16.8955) * CHOOSE(CONTROL!$C$21, $C$9, 100%, $E$9)</f>
        <v>16.895499999999998</v>
      </c>
      <c r="E451" s="10">
        <f>CHOOSE(CONTROL!$C$42, 16.9267, 16.9267) * CHOOSE(CONTROL!$C$21, $C$9, 100%, $E$9)</f>
        <v>16.9267</v>
      </c>
      <c r="F451" s="10">
        <f>CHOOSE(CONTROL!$C$42, 16.6621, 16.6621)*CHOOSE(CONTROL!$C$21, $C$9, 100%, $E$9)</f>
        <v>16.662099999999999</v>
      </c>
      <c r="G451" s="10">
        <f>CHOOSE(CONTROL!$C$42, 16.6794, 16.6794)*CHOOSE(CONTROL!$C$21, $C$9, 100%, $E$9)</f>
        <v>16.679400000000001</v>
      </c>
      <c r="H451" s="10">
        <f>CHOOSE(CONTROL!$C$42, 16.9153, 16.9153) * CHOOSE(CONTROL!$C$21, $C$9, 100%, $E$9)</f>
        <v>16.915299999999998</v>
      </c>
      <c r="I451" s="10">
        <f>CHOOSE(CONTROL!$C$42, 16.6618, 16.6618)* CHOOSE(CONTROL!$C$21, $C$9, 100%, $E$9)</f>
        <v>16.661799999999999</v>
      </c>
      <c r="J451" s="10">
        <f>CHOOSE(CONTROL!$C$42, 16.6551, 16.6551)* CHOOSE(CONTROL!$C$21, $C$9, 100%, $E$9)</f>
        <v>16.655100000000001</v>
      </c>
      <c r="K451" s="54">
        <f>CHOOSE(CONTROL!$C$42, 16.6579, 16.6579) * CHOOSE(CONTROL!$C$21, $C$9, 100%, $E$9)</f>
        <v>16.657900000000001</v>
      </c>
      <c r="L451" s="10">
        <f>CHOOSE(CONTROL!$C$42, 17.5023, 17.5023) * CHOOSE(CONTROL!$C$21, $C$9, 100%, $E$9)</f>
        <v>17.502300000000002</v>
      </c>
      <c r="M451" s="10">
        <f>CHOOSE(CONTROL!$C$42, 16.5008, 16.5008) * CHOOSE(CONTROL!$C$21, $C$9, 100%, $E$9)</f>
        <v>16.500800000000002</v>
      </c>
      <c r="N451" s="10">
        <f>CHOOSE(CONTROL!$C$42, 16.5179, 16.5179) * CHOOSE(CONTROL!$C$21, $C$9, 100%, $E$9)</f>
        <v>16.517900000000001</v>
      </c>
      <c r="O451" s="10">
        <f>CHOOSE(CONTROL!$C$42, 16.7584, 16.7584) * CHOOSE(CONTROL!$C$21, $C$9, 100%, $E$9)</f>
        <v>16.758400000000002</v>
      </c>
      <c r="P451" s="10">
        <f>CHOOSE(CONTROL!$C$42, 16.5075, 16.5075) * CHOOSE(CONTROL!$C$21, $C$9, 100%, $E$9)</f>
        <v>16.5075</v>
      </c>
      <c r="Q451" s="10">
        <f>CHOOSE(CONTROL!$C$42, 17.3537, 17.3537) * CHOOSE(CONTROL!$C$21, $C$9, 100%, $E$9)</f>
        <v>17.3537</v>
      </c>
      <c r="R451" s="10">
        <f>CHOOSE(CONTROL!$C$42, 17.9841, 17.9841) * CHOOSE(CONTROL!$C$21, $C$9, 100%, $E$9)</f>
        <v>17.984100000000002</v>
      </c>
      <c r="S451" s="10">
        <f>CHOOSE(CONTROL!$C$42, 16.2084, 16.2084) * CHOOSE(CONTROL!$C$21, $C$9, 100%, $E$9)</f>
        <v>16.208400000000001</v>
      </c>
      <c r="T451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451" s="58">
        <f>(1000*CHOOSE(CONTROL!$C$42, 695, 695)*CHOOSE(CONTROL!$C$42, 0.5599, 0.5599)*CHOOSE(CONTROL!$C$42, 31, 31))/1000000</f>
        <v>12.063045499999998</v>
      </c>
      <c r="V451" s="58">
        <f>(1000*CHOOSE(CONTROL!$C$42, 500, 500)*CHOOSE(CONTROL!$C$42, 0.275, 0.275)*CHOOSE(CONTROL!$C$42, 31, 31))/1000000</f>
        <v>4.2625000000000002</v>
      </c>
      <c r="W451" s="58">
        <f>(1000*CHOOSE(CONTROL!$C$42, 0.1146, 0.1146)*CHOOSE(CONTROL!$C$42, 121.5, 121.5)*CHOOSE(CONTROL!$C$42, 31, 31))/1000000</f>
        <v>0.43164089999999994</v>
      </c>
      <c r="X451" s="58">
        <f>(31*0.1790888*245000/1000000)+(31*0.2374*100000/1000000)</f>
        <v>2.0961194359999999</v>
      </c>
      <c r="Y451" s="58"/>
      <c r="Z451" s="10"/>
      <c r="AA451" s="57"/>
      <c r="AB451" s="51">
        <f>(B451*194.205+C451*267.466+D451*133.845+E451*53.484+F451*40+G451*185+H451*0+I451*100+J451*300)/(194.205+267.466+133.845+53.484+0+40+185+100+300)</f>
        <v>16.712222512480377</v>
      </c>
      <c r="AC451" s="27">
        <f>(M451*'RAP TEMPLATE-GAS AVAILABILITY'!O450+N451*'RAP TEMPLATE-GAS AVAILABILITY'!P450+O451*'RAP TEMPLATE-GAS AVAILABILITY'!Q450+P451*'RAP TEMPLATE-GAS AVAILABILITY'!R450)/('RAP TEMPLATE-GAS AVAILABILITY'!O450+'RAP TEMPLATE-GAS AVAILABILITY'!P450+'RAP TEMPLATE-GAS AVAILABILITY'!Q450+'RAP TEMPLATE-GAS AVAILABILITY'!R450)</f>
        <v>16.577976978417269</v>
      </c>
    </row>
    <row r="452" spans="1:29" ht="15.75" x14ac:dyDescent="0.25">
      <c r="A452" s="14">
        <v>54666</v>
      </c>
      <c r="B452" s="10">
        <f>CHOOSE(CONTROL!$C$42, 15.8708, 15.8708) * CHOOSE(CONTROL!$C$21, $C$9, 100%, $E$9)</f>
        <v>15.870799999999999</v>
      </c>
      <c r="C452" s="10">
        <f>CHOOSE(CONTROL!$C$42, 15.8787, 15.8787) * CHOOSE(CONTROL!$C$21, $C$9, 100%, $E$9)</f>
        <v>15.8787</v>
      </c>
      <c r="D452" s="10">
        <f>CHOOSE(CONTROL!$C$42, 16.0711, 16.0711) * CHOOSE(CONTROL!$C$21, $C$9, 100%, $E$9)</f>
        <v>16.071100000000001</v>
      </c>
      <c r="E452" s="10">
        <f>CHOOSE(CONTROL!$C$42, 16.1023, 16.1023) * CHOOSE(CONTROL!$C$21, $C$9, 100%, $E$9)</f>
        <v>16.1023</v>
      </c>
      <c r="F452" s="10">
        <f>CHOOSE(CONTROL!$C$42, 15.8379, 15.8379)*CHOOSE(CONTROL!$C$21, $C$9, 100%, $E$9)</f>
        <v>15.837899999999999</v>
      </c>
      <c r="G452" s="10">
        <f>CHOOSE(CONTROL!$C$42, 15.8552, 15.8552)*CHOOSE(CONTROL!$C$21, $C$9, 100%, $E$9)</f>
        <v>15.8552</v>
      </c>
      <c r="H452" s="10">
        <f>CHOOSE(CONTROL!$C$42, 16.0909, 16.0909) * CHOOSE(CONTROL!$C$21, $C$9, 100%, $E$9)</f>
        <v>16.090900000000001</v>
      </c>
      <c r="I452" s="10">
        <f>CHOOSE(CONTROL!$C$42, 15.8374, 15.8374)* CHOOSE(CONTROL!$C$21, $C$9, 100%, $E$9)</f>
        <v>15.837400000000001</v>
      </c>
      <c r="J452" s="10">
        <f>CHOOSE(CONTROL!$C$42, 15.8309, 15.8309)* CHOOSE(CONTROL!$C$21, $C$9, 100%, $E$9)</f>
        <v>15.8309</v>
      </c>
      <c r="K452" s="54">
        <f>CHOOSE(CONTROL!$C$42, 15.8335, 15.8335) * CHOOSE(CONTROL!$C$21, $C$9, 100%, $E$9)</f>
        <v>15.833500000000001</v>
      </c>
      <c r="L452" s="10">
        <f>CHOOSE(CONTROL!$C$42, 16.6779, 16.6779) * CHOOSE(CONTROL!$C$21, $C$9, 100%, $E$9)</f>
        <v>16.677900000000001</v>
      </c>
      <c r="M452" s="10">
        <f>CHOOSE(CONTROL!$C$42, 15.6849, 15.6849) * CHOOSE(CONTROL!$C$21, $C$9, 100%, $E$9)</f>
        <v>15.684900000000001</v>
      </c>
      <c r="N452" s="10">
        <f>CHOOSE(CONTROL!$C$42, 15.7021, 15.7021) * CHOOSE(CONTROL!$C$21, $C$9, 100%, $E$9)</f>
        <v>15.7021</v>
      </c>
      <c r="O452" s="10">
        <f>CHOOSE(CONTROL!$C$42, 15.9424, 15.9424) * CHOOSE(CONTROL!$C$21, $C$9, 100%, $E$9)</f>
        <v>15.942399999999999</v>
      </c>
      <c r="P452" s="10">
        <f>CHOOSE(CONTROL!$C$42, 15.6914, 15.6914) * CHOOSE(CONTROL!$C$21, $C$9, 100%, $E$9)</f>
        <v>15.6914</v>
      </c>
      <c r="Q452" s="10">
        <f>CHOOSE(CONTROL!$C$42, 16.5377, 16.5377) * CHOOSE(CONTROL!$C$21, $C$9, 100%, $E$9)</f>
        <v>16.537700000000001</v>
      </c>
      <c r="R452" s="10">
        <f>CHOOSE(CONTROL!$C$42, 17.166, 17.166) * CHOOSE(CONTROL!$C$21, $C$9, 100%, $E$9)</f>
        <v>17.166</v>
      </c>
      <c r="S452" s="10">
        <f>CHOOSE(CONTROL!$C$42, 15.4079, 15.4079) * CHOOSE(CONTROL!$C$21, $C$9, 100%, $E$9)</f>
        <v>15.4079</v>
      </c>
      <c r="T452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452" s="58">
        <f>(1000*CHOOSE(CONTROL!$C$42, 695, 695)*CHOOSE(CONTROL!$C$42, 0.5599, 0.5599)*CHOOSE(CONTROL!$C$42, 31, 31))/1000000</f>
        <v>12.063045499999998</v>
      </c>
      <c r="V452" s="58">
        <f>(1000*CHOOSE(CONTROL!$C$42, 500, 500)*CHOOSE(CONTROL!$C$42, 0.275, 0.275)*CHOOSE(CONTROL!$C$42, 31, 31))/1000000</f>
        <v>4.2625000000000002</v>
      </c>
      <c r="W452" s="58">
        <f>(1000*CHOOSE(CONTROL!$C$42, 0.1146, 0.1146)*CHOOSE(CONTROL!$C$42, 121.5, 121.5)*CHOOSE(CONTROL!$C$42, 31, 31))/1000000</f>
        <v>0.43164089999999994</v>
      </c>
      <c r="X452" s="58">
        <f>(31*0.1790888*245000/1000000)+(31*0.2374*100000/1000000)</f>
        <v>2.0961194359999999</v>
      </c>
      <c r="Y452" s="58"/>
      <c r="Z452" s="10"/>
      <c r="AA452" s="57"/>
      <c r="AB452" s="51">
        <f>(B452*194.205+C452*267.466+D452*133.845+E452*53.484+F452*40+G452*185+H452*0+I452*100+J452*300)/(194.205+267.466+133.845+53.484+0+40+185+100+300)</f>
        <v>15.887904930062792</v>
      </c>
      <c r="AC452" s="27">
        <f>(M452*'RAP TEMPLATE-GAS AVAILABILITY'!O451+N452*'RAP TEMPLATE-GAS AVAILABILITY'!P451+O452*'RAP TEMPLATE-GAS AVAILABILITY'!Q451+P452*'RAP TEMPLATE-GAS AVAILABILITY'!R451)/('RAP TEMPLATE-GAS AVAILABILITY'!O451+'RAP TEMPLATE-GAS AVAILABILITY'!P451+'RAP TEMPLATE-GAS AVAILABILITY'!Q451+'RAP TEMPLATE-GAS AVAILABILITY'!R451)</f>
        <v>15.762043165467624</v>
      </c>
    </row>
    <row r="453" spans="1:29" ht="15.75" x14ac:dyDescent="0.25">
      <c r="A453" s="14">
        <v>54696</v>
      </c>
      <c r="B453" s="10">
        <f>CHOOSE(CONTROL!$C$42, 14.8632, 14.8632) * CHOOSE(CONTROL!$C$21, $C$9, 100%, $E$9)</f>
        <v>14.863200000000001</v>
      </c>
      <c r="C453" s="10">
        <f>CHOOSE(CONTROL!$C$42, 14.8711, 14.8711) * CHOOSE(CONTROL!$C$21, $C$9, 100%, $E$9)</f>
        <v>14.8711</v>
      </c>
      <c r="D453" s="10">
        <f>CHOOSE(CONTROL!$C$42, 15.0635, 15.0635) * CHOOSE(CONTROL!$C$21, $C$9, 100%, $E$9)</f>
        <v>15.063499999999999</v>
      </c>
      <c r="E453" s="10">
        <f>CHOOSE(CONTROL!$C$42, 15.0946, 15.0946) * CHOOSE(CONTROL!$C$21, $C$9, 100%, $E$9)</f>
        <v>15.0946</v>
      </c>
      <c r="F453" s="10">
        <f>CHOOSE(CONTROL!$C$42, 14.8301, 14.8301)*CHOOSE(CONTROL!$C$21, $C$9, 100%, $E$9)</f>
        <v>14.8301</v>
      </c>
      <c r="G453" s="10">
        <f>CHOOSE(CONTROL!$C$42, 14.8473, 14.8473)*CHOOSE(CONTROL!$C$21, $C$9, 100%, $E$9)</f>
        <v>14.847300000000001</v>
      </c>
      <c r="H453" s="10">
        <f>CHOOSE(CONTROL!$C$42, 15.0833, 15.0833) * CHOOSE(CONTROL!$C$21, $C$9, 100%, $E$9)</f>
        <v>15.083299999999999</v>
      </c>
      <c r="I453" s="10">
        <f>CHOOSE(CONTROL!$C$42, 14.8297, 14.8297)* CHOOSE(CONTROL!$C$21, $C$9, 100%, $E$9)</f>
        <v>14.829700000000001</v>
      </c>
      <c r="J453" s="10">
        <f>CHOOSE(CONTROL!$C$42, 14.8231, 14.8231)* CHOOSE(CONTROL!$C$21, $C$9, 100%, $E$9)</f>
        <v>14.8231</v>
      </c>
      <c r="K453" s="54">
        <f>CHOOSE(CONTROL!$C$42, 14.8258, 14.8258) * CHOOSE(CONTROL!$C$21, $C$9, 100%, $E$9)</f>
        <v>14.825799999999999</v>
      </c>
      <c r="L453" s="10">
        <f>CHOOSE(CONTROL!$C$42, 15.6703, 15.6703) * CHOOSE(CONTROL!$C$21, $C$9, 100%, $E$9)</f>
        <v>15.670299999999999</v>
      </c>
      <c r="M453" s="10">
        <f>CHOOSE(CONTROL!$C$42, 14.6873, 14.6873) * CHOOSE(CONTROL!$C$21, $C$9, 100%, $E$9)</f>
        <v>14.6873</v>
      </c>
      <c r="N453" s="10">
        <f>CHOOSE(CONTROL!$C$42, 14.7044, 14.7044) * CHOOSE(CONTROL!$C$21, $C$9, 100%, $E$9)</f>
        <v>14.7044</v>
      </c>
      <c r="O453" s="10">
        <f>CHOOSE(CONTROL!$C$42, 14.9449, 14.9449) * CHOOSE(CONTROL!$C$21, $C$9, 100%, $E$9)</f>
        <v>14.944900000000001</v>
      </c>
      <c r="P453" s="10">
        <f>CHOOSE(CONTROL!$C$42, 14.6939, 14.6939) * CHOOSE(CONTROL!$C$21, $C$9, 100%, $E$9)</f>
        <v>14.693899999999999</v>
      </c>
      <c r="Q453" s="10">
        <f>CHOOSE(CONTROL!$C$42, 15.5402, 15.5402) * CHOOSE(CONTROL!$C$21, $C$9, 100%, $E$9)</f>
        <v>15.5402</v>
      </c>
      <c r="R453" s="10">
        <f>CHOOSE(CONTROL!$C$42, 16.166, 16.166) * CHOOSE(CONTROL!$C$21, $C$9, 100%, $E$9)</f>
        <v>16.166</v>
      </c>
      <c r="S453" s="10">
        <f>CHOOSE(CONTROL!$C$42, 14.4294, 14.4294) * CHOOSE(CONTROL!$C$21, $C$9, 100%, $E$9)</f>
        <v>14.429399999999999</v>
      </c>
      <c r="T453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453" s="58">
        <f>(1000*CHOOSE(CONTROL!$C$42, 695, 695)*CHOOSE(CONTROL!$C$42, 0.5599, 0.5599)*CHOOSE(CONTROL!$C$42, 30, 30))/1000000</f>
        <v>11.673914999999997</v>
      </c>
      <c r="V453" s="58">
        <f>(1000*CHOOSE(CONTROL!$C$42, 500, 500)*CHOOSE(CONTROL!$C$42, 0.275, 0.275)*CHOOSE(CONTROL!$C$42, 30, 30))/1000000</f>
        <v>4.125</v>
      </c>
      <c r="W453" s="58">
        <f>(1000*CHOOSE(CONTROL!$C$42, 0.1146, 0.1146)*CHOOSE(CONTROL!$C$42, 121.5, 121.5)*CHOOSE(CONTROL!$C$42, 30, 30))/1000000</f>
        <v>0.417717</v>
      </c>
      <c r="X453" s="58">
        <f>(30*0.1790888*245000/1000000)+(30*0.2374*100000/1000000)</f>
        <v>2.0285026799999999</v>
      </c>
      <c r="Y453" s="58"/>
      <c r="Z453" s="10"/>
      <c r="AA453" s="57"/>
      <c r="AB453" s="51">
        <f>(B453*194.205+C453*267.466+D453*133.845+E453*53.484+F453*40+G453*185+H453*0+I453*100+J453*300)/(194.205+267.466+133.845+53.484+0+40+185+100+300)</f>
        <v>14.880195943877549</v>
      </c>
      <c r="AC453" s="27">
        <f>(M453*'RAP TEMPLATE-GAS AVAILABILITY'!O452+N453*'RAP TEMPLATE-GAS AVAILABILITY'!P452+O453*'RAP TEMPLATE-GAS AVAILABILITY'!Q452+P453*'RAP TEMPLATE-GAS AVAILABILITY'!R452)/('RAP TEMPLATE-GAS AVAILABILITY'!O452+'RAP TEMPLATE-GAS AVAILABILITY'!P452+'RAP TEMPLATE-GAS AVAILABILITY'!Q452+'RAP TEMPLATE-GAS AVAILABILITY'!R452)</f>
        <v>14.764462589928057</v>
      </c>
    </row>
    <row r="454" spans="1:29" ht="15.75" x14ac:dyDescent="0.25">
      <c r="A454" s="14">
        <v>54727</v>
      </c>
      <c r="B454" s="10">
        <f>CHOOSE(CONTROL!$C$42, 14.5597, 14.5597) * CHOOSE(CONTROL!$C$21, $C$9, 100%, $E$9)</f>
        <v>14.559699999999999</v>
      </c>
      <c r="C454" s="10">
        <f>CHOOSE(CONTROL!$C$42, 14.5649, 14.5649) * CHOOSE(CONTROL!$C$21, $C$9, 100%, $E$9)</f>
        <v>14.5649</v>
      </c>
      <c r="D454" s="10">
        <f>CHOOSE(CONTROL!$C$42, 14.7623, 14.7623) * CHOOSE(CONTROL!$C$21, $C$9, 100%, $E$9)</f>
        <v>14.7623</v>
      </c>
      <c r="E454" s="10">
        <f>CHOOSE(CONTROL!$C$42, 14.7911, 14.7911) * CHOOSE(CONTROL!$C$21, $C$9, 100%, $E$9)</f>
        <v>14.7911</v>
      </c>
      <c r="F454" s="10">
        <f>CHOOSE(CONTROL!$C$42, 14.5286, 14.5286)*CHOOSE(CONTROL!$C$21, $C$9, 100%, $E$9)</f>
        <v>14.528600000000001</v>
      </c>
      <c r="G454" s="10">
        <f>CHOOSE(CONTROL!$C$42, 14.5456, 14.5456)*CHOOSE(CONTROL!$C$21, $C$9, 100%, $E$9)</f>
        <v>14.5456</v>
      </c>
      <c r="H454" s="10">
        <f>CHOOSE(CONTROL!$C$42, 14.7816, 14.7816) * CHOOSE(CONTROL!$C$21, $C$9, 100%, $E$9)</f>
        <v>14.781599999999999</v>
      </c>
      <c r="I454" s="10">
        <f>CHOOSE(CONTROL!$C$42, 14.528, 14.528)* CHOOSE(CONTROL!$C$21, $C$9, 100%, $E$9)</f>
        <v>14.528</v>
      </c>
      <c r="J454" s="10">
        <f>CHOOSE(CONTROL!$C$42, 14.5216, 14.5216)* CHOOSE(CONTROL!$C$21, $C$9, 100%, $E$9)</f>
        <v>14.521599999999999</v>
      </c>
      <c r="K454" s="54">
        <f>CHOOSE(CONTROL!$C$42, 14.5242, 14.5242) * CHOOSE(CONTROL!$C$21, $C$9, 100%, $E$9)</f>
        <v>14.5242</v>
      </c>
      <c r="L454" s="10">
        <f>CHOOSE(CONTROL!$C$42, 15.3686, 15.3686) * CHOOSE(CONTROL!$C$21, $C$9, 100%, $E$9)</f>
        <v>15.368600000000001</v>
      </c>
      <c r="M454" s="10">
        <f>CHOOSE(CONTROL!$C$42, 14.3889, 14.3889) * CHOOSE(CONTROL!$C$21, $C$9, 100%, $E$9)</f>
        <v>14.3889</v>
      </c>
      <c r="N454" s="10">
        <f>CHOOSE(CONTROL!$C$42, 14.4057, 14.4057) * CHOOSE(CONTROL!$C$21, $C$9, 100%, $E$9)</f>
        <v>14.4057</v>
      </c>
      <c r="O454" s="10">
        <f>CHOOSE(CONTROL!$C$42, 14.6462, 14.6462) * CHOOSE(CONTROL!$C$21, $C$9, 100%, $E$9)</f>
        <v>14.6462</v>
      </c>
      <c r="P454" s="10">
        <f>CHOOSE(CONTROL!$C$42, 14.3953, 14.3953) * CHOOSE(CONTROL!$C$21, $C$9, 100%, $E$9)</f>
        <v>14.395300000000001</v>
      </c>
      <c r="Q454" s="10">
        <f>CHOOSE(CONTROL!$C$42, 15.2415, 15.2415) * CHOOSE(CONTROL!$C$21, $C$9, 100%, $E$9)</f>
        <v>15.2415</v>
      </c>
      <c r="R454" s="10">
        <f>CHOOSE(CONTROL!$C$42, 15.8667, 15.8667) * CHOOSE(CONTROL!$C$21, $C$9, 100%, $E$9)</f>
        <v>15.8667</v>
      </c>
      <c r="S454" s="10">
        <f>CHOOSE(CONTROL!$C$42, 14.1364, 14.1364) * CHOOSE(CONTROL!$C$21, $C$9, 100%, $E$9)</f>
        <v>14.1364</v>
      </c>
      <c r="T454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454" s="58">
        <f>(1000*CHOOSE(CONTROL!$C$42, 695, 695)*CHOOSE(CONTROL!$C$42, 0.5599, 0.5599)*CHOOSE(CONTROL!$C$42, 31, 31))/1000000</f>
        <v>12.063045499999998</v>
      </c>
      <c r="V454" s="58">
        <f>(1000*CHOOSE(CONTROL!$C$42, 500, 500)*CHOOSE(CONTROL!$C$42, 0.275, 0.275)*CHOOSE(CONTROL!$C$42, 31, 31))/1000000</f>
        <v>4.2625000000000002</v>
      </c>
      <c r="W454" s="58">
        <f>(1000*CHOOSE(CONTROL!$C$42, 0.1146, 0.1146)*CHOOSE(CONTROL!$C$42, 121.5, 121.5)*CHOOSE(CONTROL!$C$42, 31, 31))/1000000</f>
        <v>0.43164089999999994</v>
      </c>
      <c r="X454" s="58">
        <f>(31*0.1790888*245000/1000000)+(31*0.2374*100000/1000000)</f>
        <v>2.0961194359999999</v>
      </c>
      <c r="Y454" s="58"/>
      <c r="Z454" s="10"/>
      <c r="AA454" s="57"/>
      <c r="AB454" s="51">
        <f>(B454*131.881+C454*277.167+D454*79.08+E454*125.872+F454*40+G454*185+H454*0+I454*100+J454*300)/(131.881+277.167+79.08+125.872+0+40+185+100+300)</f>
        <v>14.582409569975786</v>
      </c>
      <c r="AC454" s="27">
        <f>(M454*'RAP TEMPLATE-GAS AVAILABILITY'!O453+N454*'RAP TEMPLATE-GAS AVAILABILITY'!P453+O454*'RAP TEMPLATE-GAS AVAILABILITY'!Q453+P454*'RAP TEMPLATE-GAS AVAILABILITY'!R453)/('RAP TEMPLATE-GAS AVAILABILITY'!O453+'RAP TEMPLATE-GAS AVAILABILITY'!P453+'RAP TEMPLATE-GAS AVAILABILITY'!Q453+'RAP TEMPLATE-GAS AVAILABILITY'!R453)</f>
        <v>14.465880575539568</v>
      </c>
    </row>
    <row r="455" spans="1:29" ht="15.75" x14ac:dyDescent="0.25">
      <c r="A455" s="14">
        <v>54757</v>
      </c>
      <c r="B455" s="10">
        <f>CHOOSE(CONTROL!$C$42, 14.9428, 14.9428) * CHOOSE(CONTROL!$C$21, $C$9, 100%, $E$9)</f>
        <v>14.9428</v>
      </c>
      <c r="C455" s="10">
        <f>CHOOSE(CONTROL!$C$42, 14.9477, 14.9477) * CHOOSE(CONTROL!$C$21, $C$9, 100%, $E$9)</f>
        <v>14.947699999999999</v>
      </c>
      <c r="D455" s="10">
        <f>CHOOSE(CONTROL!$C$42, 14.9773, 14.9773) * CHOOSE(CONTROL!$C$21, $C$9, 100%, $E$9)</f>
        <v>14.9773</v>
      </c>
      <c r="E455" s="10">
        <f>CHOOSE(CONTROL!$C$42, 15.0111, 15.0111) * CHOOSE(CONTROL!$C$21, $C$9, 100%, $E$9)</f>
        <v>15.011100000000001</v>
      </c>
      <c r="F455" s="10">
        <f>CHOOSE(CONTROL!$C$42, 14.9096, 14.9096)*CHOOSE(CONTROL!$C$21, $C$9, 100%, $E$9)</f>
        <v>14.909599999999999</v>
      </c>
      <c r="G455" s="10">
        <f>CHOOSE(CONTROL!$C$42, 14.9267, 14.9267)*CHOOSE(CONTROL!$C$21, $C$9, 100%, $E$9)</f>
        <v>14.9267</v>
      </c>
      <c r="H455" s="10">
        <f>CHOOSE(CONTROL!$C$42, 15.0003, 15.0003) * CHOOSE(CONTROL!$C$21, $C$9, 100%, $E$9)</f>
        <v>15.000299999999999</v>
      </c>
      <c r="I455" s="10">
        <f>CHOOSE(CONTROL!$C$42, 14.9064, 14.9064)* CHOOSE(CONTROL!$C$21, $C$9, 100%, $E$9)</f>
        <v>14.9064</v>
      </c>
      <c r="J455" s="10">
        <f>CHOOSE(CONTROL!$C$42, 14.9026, 14.9026)* CHOOSE(CONTROL!$C$21, $C$9, 100%, $E$9)</f>
        <v>14.9026</v>
      </c>
      <c r="K455" s="54">
        <f>CHOOSE(CONTROL!$C$42, 14.9025, 14.9025) * CHOOSE(CONTROL!$C$21, $C$9, 100%, $E$9)</f>
        <v>14.9025</v>
      </c>
      <c r="L455" s="10">
        <f>CHOOSE(CONTROL!$C$42, 15.5873, 15.5873) * CHOOSE(CONTROL!$C$21, $C$9, 100%, $E$9)</f>
        <v>15.587300000000001</v>
      </c>
      <c r="M455" s="10">
        <f>CHOOSE(CONTROL!$C$42, 14.766, 14.766) * CHOOSE(CONTROL!$C$21, $C$9, 100%, $E$9)</f>
        <v>14.766</v>
      </c>
      <c r="N455" s="10">
        <f>CHOOSE(CONTROL!$C$42, 14.783, 14.783) * CHOOSE(CONTROL!$C$21, $C$9, 100%, $E$9)</f>
        <v>14.782999999999999</v>
      </c>
      <c r="O455" s="10">
        <f>CHOOSE(CONTROL!$C$42, 14.8628, 14.8628) * CHOOSE(CONTROL!$C$21, $C$9, 100%, $E$9)</f>
        <v>14.8628</v>
      </c>
      <c r="P455" s="10">
        <f>CHOOSE(CONTROL!$C$42, 14.7698, 14.7698) * CHOOSE(CONTROL!$C$21, $C$9, 100%, $E$9)</f>
        <v>14.7698</v>
      </c>
      <c r="Q455" s="10">
        <f>CHOOSE(CONTROL!$C$42, 15.4581, 15.4581) * CHOOSE(CONTROL!$C$21, $C$9, 100%, $E$9)</f>
        <v>15.4581</v>
      </c>
      <c r="R455" s="10">
        <f>CHOOSE(CONTROL!$C$42, 16.0837, 16.0837) * CHOOSE(CONTROL!$C$21, $C$9, 100%, $E$9)</f>
        <v>16.0837</v>
      </c>
      <c r="S455" s="10">
        <f>CHOOSE(CONTROL!$C$42, 14.5088, 14.5088) * CHOOSE(CONTROL!$C$21, $C$9, 100%, $E$9)</f>
        <v>14.508800000000001</v>
      </c>
      <c r="T455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455" s="58">
        <f>(1000*CHOOSE(CONTROL!$C$42, 695, 695)*CHOOSE(CONTROL!$C$42, 0.5599, 0.5599)*CHOOSE(CONTROL!$C$42, 30, 30))/1000000</f>
        <v>11.673914999999997</v>
      </c>
      <c r="V455" s="58">
        <f>(1000*CHOOSE(CONTROL!$C$42, 500, 500)*CHOOSE(CONTROL!$C$42, 0.275, 0.275)*CHOOSE(CONTROL!$C$42, 30, 30))/1000000</f>
        <v>4.125</v>
      </c>
      <c r="W455" s="58">
        <f>(1000*CHOOSE(CONTROL!$C$42, 0.1146, 0.1146)*CHOOSE(CONTROL!$C$42, 121.5, 121.5)*CHOOSE(CONTROL!$C$42, 30, 30))/1000000</f>
        <v>0.417717</v>
      </c>
      <c r="X455" s="58">
        <f>(30*0.1790888*100000/1000000)+(30*0.2374*100000/1000000)</f>
        <v>1.2494664</v>
      </c>
      <c r="Y455" s="58"/>
      <c r="Z455" s="10"/>
      <c r="AA455" s="57"/>
      <c r="AB455" s="51">
        <f>(B455*122.58+C455*297.941+D455*89.177+E455*40.302+F455*40+G455*160+H455*0+I455*100+J455*300)/(122.58+297.941+89.177+40.302+0+40+160+100+300)</f>
        <v>14.932091429565215</v>
      </c>
      <c r="AC455" s="27">
        <f>(M455*'RAP TEMPLATE-GAS AVAILABILITY'!O454+N455*'RAP TEMPLATE-GAS AVAILABILITY'!P454+O455*'RAP TEMPLATE-GAS AVAILABILITY'!Q454+P455*'RAP TEMPLATE-GAS AVAILABILITY'!R454)/('RAP TEMPLATE-GAS AVAILABILITY'!O454+'RAP TEMPLATE-GAS AVAILABILITY'!P454+'RAP TEMPLATE-GAS AVAILABILITY'!Q454+'RAP TEMPLATE-GAS AVAILABILITY'!R454)</f>
        <v>14.811398561151076</v>
      </c>
    </row>
    <row r="456" spans="1:29" ht="15.75" x14ac:dyDescent="0.25">
      <c r="A456" s="14">
        <v>54788</v>
      </c>
      <c r="B456" s="10">
        <f>CHOOSE(CONTROL!$C$42, 15.9614, 15.9614) * CHOOSE(CONTROL!$C$21, $C$9, 100%, $E$9)</f>
        <v>15.961399999999999</v>
      </c>
      <c r="C456" s="10">
        <f>CHOOSE(CONTROL!$C$42, 15.9663, 15.9663) * CHOOSE(CONTROL!$C$21, $C$9, 100%, $E$9)</f>
        <v>15.9663</v>
      </c>
      <c r="D456" s="10">
        <f>CHOOSE(CONTROL!$C$42, 15.9959, 15.9959) * CHOOSE(CONTROL!$C$21, $C$9, 100%, $E$9)</f>
        <v>15.995900000000001</v>
      </c>
      <c r="E456" s="10">
        <f>CHOOSE(CONTROL!$C$42, 16.0297, 16.0297) * CHOOSE(CONTROL!$C$21, $C$9, 100%, $E$9)</f>
        <v>16.029699999999998</v>
      </c>
      <c r="F456" s="10">
        <f>CHOOSE(CONTROL!$C$42, 15.9296, 15.9296)*CHOOSE(CONTROL!$C$21, $C$9, 100%, $E$9)</f>
        <v>15.929600000000001</v>
      </c>
      <c r="G456" s="10">
        <f>CHOOSE(CONTROL!$C$42, 15.9471, 15.9471)*CHOOSE(CONTROL!$C$21, $C$9, 100%, $E$9)</f>
        <v>15.947100000000001</v>
      </c>
      <c r="H456" s="10">
        <f>CHOOSE(CONTROL!$C$42, 16.0189, 16.0189) * CHOOSE(CONTROL!$C$21, $C$9, 100%, $E$9)</f>
        <v>16.018899999999999</v>
      </c>
      <c r="I456" s="10">
        <f>CHOOSE(CONTROL!$C$42, 15.925, 15.925)* CHOOSE(CONTROL!$C$21, $C$9, 100%, $E$9)</f>
        <v>15.925000000000001</v>
      </c>
      <c r="J456" s="10">
        <f>CHOOSE(CONTROL!$C$42, 15.9226, 15.9226)* CHOOSE(CONTROL!$C$21, $C$9, 100%, $E$9)</f>
        <v>15.922599999999999</v>
      </c>
      <c r="K456" s="54">
        <f>CHOOSE(CONTROL!$C$42, 15.9211, 15.9211) * CHOOSE(CONTROL!$C$21, $C$9, 100%, $E$9)</f>
        <v>15.921099999999999</v>
      </c>
      <c r="L456" s="10">
        <f>CHOOSE(CONTROL!$C$42, 16.6059, 16.6059) * CHOOSE(CONTROL!$C$21, $C$9, 100%, $E$9)</f>
        <v>16.605899999999998</v>
      </c>
      <c r="M456" s="10">
        <f>CHOOSE(CONTROL!$C$42, 15.7757, 15.7757) * CHOOSE(CONTROL!$C$21, $C$9, 100%, $E$9)</f>
        <v>15.775700000000001</v>
      </c>
      <c r="N456" s="10">
        <f>CHOOSE(CONTROL!$C$42, 15.793, 15.793) * CHOOSE(CONTROL!$C$21, $C$9, 100%, $E$9)</f>
        <v>15.792999999999999</v>
      </c>
      <c r="O456" s="10">
        <f>CHOOSE(CONTROL!$C$42, 15.8711, 15.8711) * CHOOSE(CONTROL!$C$21, $C$9, 100%, $E$9)</f>
        <v>15.8711</v>
      </c>
      <c r="P456" s="10">
        <f>CHOOSE(CONTROL!$C$42, 15.7781, 15.7781) * CHOOSE(CONTROL!$C$21, $C$9, 100%, $E$9)</f>
        <v>15.7781</v>
      </c>
      <c r="Q456" s="10">
        <f>CHOOSE(CONTROL!$C$42, 16.4664, 16.4664) * CHOOSE(CONTROL!$C$21, $C$9, 100%, $E$9)</f>
        <v>16.4664</v>
      </c>
      <c r="R456" s="10">
        <f>CHOOSE(CONTROL!$C$42, 17.0945, 17.0945) * CHOOSE(CONTROL!$C$21, $C$9, 100%, $E$9)</f>
        <v>17.0945</v>
      </c>
      <c r="S456" s="10">
        <f>CHOOSE(CONTROL!$C$42, 15.4979, 15.4979) * CHOOSE(CONTROL!$C$21, $C$9, 100%, $E$9)</f>
        <v>15.4979</v>
      </c>
      <c r="T456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456" s="58">
        <f>(1000*CHOOSE(CONTROL!$C$42, 695, 695)*CHOOSE(CONTROL!$C$42, 0.5599, 0.5599)*CHOOSE(CONTROL!$C$42, 31, 31))/1000000</f>
        <v>12.063045499999998</v>
      </c>
      <c r="V456" s="58">
        <f>(1000*CHOOSE(CONTROL!$C$42, 500, 500)*CHOOSE(CONTROL!$C$42, 0.275, 0.275)*CHOOSE(CONTROL!$C$42, 31, 31))/1000000</f>
        <v>4.2625000000000002</v>
      </c>
      <c r="W456" s="58">
        <f>(1000*CHOOSE(CONTROL!$C$42, 0.1146, 0.1146)*CHOOSE(CONTROL!$C$42, 121.5, 121.5)*CHOOSE(CONTROL!$C$42, 31, 31))/1000000</f>
        <v>0.43164089999999994</v>
      </c>
      <c r="X456" s="58">
        <f>(31*0.1790888*100000/1000000)+(31*0.2374*100000/1000000)</f>
        <v>1.2911152800000001</v>
      </c>
      <c r="Y456" s="58"/>
      <c r="Z456" s="10"/>
      <c r="AA456" s="57"/>
      <c r="AB456" s="51">
        <f>(B456*122.58+C456*297.941+D456*89.177+E456*40.302+F456*40+G456*160+H456*0+I456*100+J456*300)/(122.58+297.941+89.177+40.302+0+40+160+100+300)</f>
        <v>15.951355777391303</v>
      </c>
      <c r="AC456" s="27">
        <f>(M456*'RAP TEMPLATE-GAS AVAILABILITY'!O455+N456*'RAP TEMPLATE-GAS AVAILABILITY'!P455+O456*'RAP TEMPLATE-GAS AVAILABILITY'!Q455+P456*'RAP TEMPLATE-GAS AVAILABILITY'!R455)/('RAP TEMPLATE-GAS AVAILABILITY'!O455+'RAP TEMPLATE-GAS AVAILABILITY'!P455+'RAP TEMPLATE-GAS AVAILABILITY'!Q455+'RAP TEMPLATE-GAS AVAILABILITY'!R455)</f>
        <v>15.820279856115107</v>
      </c>
    </row>
    <row r="457" spans="1:29" ht="15.75" x14ac:dyDescent="0.25">
      <c r="A457" s="14">
        <v>54819</v>
      </c>
      <c r="B457" s="10">
        <f>CHOOSE(CONTROL!$C$42, 17.2689, 17.2689) * CHOOSE(CONTROL!$C$21, $C$9, 100%, $E$9)</f>
        <v>17.268899999999999</v>
      </c>
      <c r="C457" s="10">
        <f>CHOOSE(CONTROL!$C$42, 17.2739, 17.2739) * CHOOSE(CONTROL!$C$21, $C$9, 100%, $E$9)</f>
        <v>17.273900000000001</v>
      </c>
      <c r="D457" s="10">
        <f>CHOOSE(CONTROL!$C$42, 17.3241, 17.3241) * CHOOSE(CONTROL!$C$21, $C$9, 100%, $E$9)</f>
        <v>17.324100000000001</v>
      </c>
      <c r="E457" s="10">
        <f>CHOOSE(CONTROL!$C$42, 17.3579, 17.3579) * CHOOSE(CONTROL!$C$21, $C$9, 100%, $E$9)</f>
        <v>17.357900000000001</v>
      </c>
      <c r="F457" s="10">
        <f>CHOOSE(CONTROL!$C$42, 17.2343, 17.2343)*CHOOSE(CONTROL!$C$21, $C$9, 100%, $E$9)</f>
        <v>17.234300000000001</v>
      </c>
      <c r="G457" s="10">
        <f>CHOOSE(CONTROL!$C$42, 17.2519, 17.2519)*CHOOSE(CONTROL!$C$21, $C$9, 100%, $E$9)</f>
        <v>17.251899999999999</v>
      </c>
      <c r="H457" s="10">
        <f>CHOOSE(CONTROL!$C$42, 17.3471, 17.3471) * CHOOSE(CONTROL!$C$21, $C$9, 100%, $E$9)</f>
        <v>17.347100000000001</v>
      </c>
      <c r="I457" s="10">
        <f>CHOOSE(CONTROL!$C$42, 17.2428, 17.2428)* CHOOSE(CONTROL!$C$21, $C$9, 100%, $E$9)</f>
        <v>17.242799999999999</v>
      </c>
      <c r="J457" s="10">
        <f>CHOOSE(CONTROL!$C$42, 17.2273, 17.2273)* CHOOSE(CONTROL!$C$21, $C$9, 100%, $E$9)</f>
        <v>17.2273</v>
      </c>
      <c r="K457" s="54">
        <f>CHOOSE(CONTROL!$C$42, 17.239, 17.239) * CHOOSE(CONTROL!$C$21, $C$9, 100%, $E$9)</f>
        <v>17.239000000000001</v>
      </c>
      <c r="L457" s="10">
        <f>CHOOSE(CONTROL!$C$42, 17.9341, 17.9341) * CHOOSE(CONTROL!$C$21, $C$9, 100%, $E$9)</f>
        <v>17.934100000000001</v>
      </c>
      <c r="M457" s="10">
        <f>CHOOSE(CONTROL!$C$42, 17.0673, 17.0673) * CHOOSE(CONTROL!$C$21, $C$9, 100%, $E$9)</f>
        <v>17.067299999999999</v>
      </c>
      <c r="N457" s="10">
        <f>CHOOSE(CONTROL!$C$42, 17.0847, 17.0847) * CHOOSE(CONTROL!$C$21, $C$9, 100%, $E$9)</f>
        <v>17.084700000000002</v>
      </c>
      <c r="O457" s="10">
        <f>CHOOSE(CONTROL!$C$42, 17.1858, 17.1858) * CHOOSE(CONTROL!$C$21, $C$9, 100%, $E$9)</f>
        <v>17.1858</v>
      </c>
      <c r="P457" s="10">
        <f>CHOOSE(CONTROL!$C$42, 17.0827, 17.0827) * CHOOSE(CONTROL!$C$21, $C$9, 100%, $E$9)</f>
        <v>17.082699999999999</v>
      </c>
      <c r="Q457" s="10">
        <f>CHOOSE(CONTROL!$C$42, 17.7811, 17.7811) * CHOOSE(CONTROL!$C$21, $C$9, 100%, $E$9)</f>
        <v>17.781099999999999</v>
      </c>
      <c r="R457" s="10">
        <f>CHOOSE(CONTROL!$C$42, 18.4126, 18.4126) * CHOOSE(CONTROL!$C$21, $C$9, 100%, $E$9)</f>
        <v>18.412600000000001</v>
      </c>
      <c r="S457" s="10">
        <f>CHOOSE(CONTROL!$C$42, 16.7677, 16.7677) * CHOOSE(CONTROL!$C$21, $C$9, 100%, $E$9)</f>
        <v>16.767700000000001</v>
      </c>
      <c r="T457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457" s="58">
        <f>(1000*CHOOSE(CONTROL!$C$42, 695, 695)*CHOOSE(CONTROL!$C$42, 0.5599, 0.5599)*CHOOSE(CONTROL!$C$42, 31, 31))/1000000</f>
        <v>12.063045499999998</v>
      </c>
      <c r="V457" s="58">
        <f>(1000*CHOOSE(CONTROL!$C$42, 500, 500)*CHOOSE(CONTROL!$C$42, 0.275, 0.275)*CHOOSE(CONTROL!$C$42, 31, 31))/1000000</f>
        <v>4.2625000000000002</v>
      </c>
      <c r="W457" s="58">
        <f>(1000*CHOOSE(CONTROL!$C$42, 0.1146, 0.1146)*CHOOSE(CONTROL!$C$42, 121.5, 121.5)*CHOOSE(CONTROL!$C$42, 31, 31))/1000000</f>
        <v>0.43164089999999994</v>
      </c>
      <c r="X457" s="58">
        <f>(31*0.1790888*100000/1000000)+(31*0.2374*100000/1000000)</f>
        <v>1.2911152800000001</v>
      </c>
      <c r="Y457" s="58"/>
      <c r="Z457" s="10"/>
      <c r="AA457" s="57"/>
      <c r="AB457" s="51">
        <f>(B457*122.58+C457*297.941+D457*89.177+E457*40.302+F457*40+G457*160+H457*0+I457*100+J457*300)/(122.58+297.941+89.177+40.302+0+40+160+100+300)</f>
        <v>17.260904481217388</v>
      </c>
      <c r="AC457" s="27">
        <f>(M457*'RAP TEMPLATE-GAS AVAILABILITY'!O456+N457*'RAP TEMPLATE-GAS AVAILABILITY'!P456+O457*'RAP TEMPLATE-GAS AVAILABILITY'!Q456+P457*'RAP TEMPLATE-GAS AVAILABILITY'!R456)/('RAP TEMPLATE-GAS AVAILABILITY'!O456+'RAP TEMPLATE-GAS AVAILABILITY'!P456+'RAP TEMPLATE-GAS AVAILABILITY'!Q456+'RAP TEMPLATE-GAS AVAILABILITY'!R456)</f>
        <v>17.124225899280574</v>
      </c>
    </row>
    <row r="458" spans="1:29" ht="15.75" x14ac:dyDescent="0.25">
      <c r="A458" s="14">
        <v>54847</v>
      </c>
      <c r="B458" s="10">
        <f>CHOOSE(CONTROL!$C$42, 17.5763, 17.5763) * CHOOSE(CONTROL!$C$21, $C$9, 100%, $E$9)</f>
        <v>17.5763</v>
      </c>
      <c r="C458" s="10">
        <f>CHOOSE(CONTROL!$C$42, 17.5813, 17.5813) * CHOOSE(CONTROL!$C$21, $C$9, 100%, $E$9)</f>
        <v>17.581299999999999</v>
      </c>
      <c r="D458" s="10">
        <f>CHOOSE(CONTROL!$C$42, 17.6418, 17.6418) * CHOOSE(CONTROL!$C$21, $C$9, 100%, $E$9)</f>
        <v>17.6418</v>
      </c>
      <c r="E458" s="10">
        <f>CHOOSE(CONTROL!$C$42, 17.6755, 17.6755) * CHOOSE(CONTROL!$C$21, $C$9, 100%, $E$9)</f>
        <v>17.6755</v>
      </c>
      <c r="F458" s="10">
        <f>CHOOSE(CONTROL!$C$42, 17.5695, 17.5695)*CHOOSE(CONTROL!$C$21, $C$9, 100%, $E$9)</f>
        <v>17.569500000000001</v>
      </c>
      <c r="G458" s="10">
        <f>CHOOSE(CONTROL!$C$42, 17.5868, 17.5868)*CHOOSE(CONTROL!$C$21, $C$9, 100%, $E$9)</f>
        <v>17.5868</v>
      </c>
      <c r="H458" s="10">
        <f>CHOOSE(CONTROL!$C$42, 17.6647, 17.6647) * CHOOSE(CONTROL!$C$21, $C$9, 100%, $E$9)</f>
        <v>17.6647</v>
      </c>
      <c r="I458" s="10">
        <f>CHOOSE(CONTROL!$C$42, 17.5631, 17.5631)* CHOOSE(CONTROL!$C$21, $C$9, 100%, $E$9)</f>
        <v>17.563099999999999</v>
      </c>
      <c r="J458" s="10">
        <f>CHOOSE(CONTROL!$C$42, 17.5625, 17.5625)* CHOOSE(CONTROL!$C$21, $C$9, 100%, $E$9)</f>
        <v>17.5625</v>
      </c>
      <c r="K458" s="54">
        <f>CHOOSE(CONTROL!$C$42, 17.5592, 17.5592) * CHOOSE(CONTROL!$C$21, $C$9, 100%, $E$9)</f>
        <v>17.559200000000001</v>
      </c>
      <c r="L458" s="10">
        <f>CHOOSE(CONTROL!$C$42, 18.2517, 18.2517) * CHOOSE(CONTROL!$C$21, $C$9, 100%, $E$9)</f>
        <v>18.2517</v>
      </c>
      <c r="M458" s="10">
        <f>CHOOSE(CONTROL!$C$42, 17.3991, 17.3991) * CHOOSE(CONTROL!$C$21, $C$9, 100%, $E$9)</f>
        <v>17.399100000000001</v>
      </c>
      <c r="N458" s="10">
        <f>CHOOSE(CONTROL!$C$42, 17.4163, 17.4163) * CHOOSE(CONTROL!$C$21, $C$9, 100%, $E$9)</f>
        <v>17.4163</v>
      </c>
      <c r="O458" s="10">
        <f>CHOOSE(CONTROL!$C$42, 17.5003, 17.5003) * CHOOSE(CONTROL!$C$21, $C$9, 100%, $E$9)</f>
        <v>17.500299999999999</v>
      </c>
      <c r="P458" s="10">
        <f>CHOOSE(CONTROL!$C$42, 17.3997, 17.3997) * CHOOSE(CONTROL!$C$21, $C$9, 100%, $E$9)</f>
        <v>17.399699999999999</v>
      </c>
      <c r="Q458" s="10">
        <f>CHOOSE(CONTROL!$C$42, 18.0956, 18.0956) * CHOOSE(CONTROL!$C$21, $C$9, 100%, $E$9)</f>
        <v>18.095600000000001</v>
      </c>
      <c r="R458" s="10">
        <f>CHOOSE(CONTROL!$C$42, 18.7278, 18.7278) * CHOOSE(CONTROL!$C$21, $C$9, 100%, $E$9)</f>
        <v>18.727799999999998</v>
      </c>
      <c r="S458" s="10">
        <f>CHOOSE(CONTROL!$C$42, 17.0662, 17.0662) * CHOOSE(CONTROL!$C$21, $C$9, 100%, $E$9)</f>
        <v>17.066199999999998</v>
      </c>
      <c r="T458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458" s="58">
        <f>(1000*CHOOSE(CONTROL!$C$42, 695, 695)*CHOOSE(CONTROL!$C$42, 0.5599, 0.5599)*CHOOSE(CONTROL!$C$42, 28, 28))/1000000</f>
        <v>10.895653999999999</v>
      </c>
      <c r="V458" s="58">
        <f>(1000*CHOOSE(CONTROL!$C$42, 500, 500)*CHOOSE(CONTROL!$C$42, 0.275, 0.275)*CHOOSE(CONTROL!$C$42, 28, 28))/1000000</f>
        <v>3.85</v>
      </c>
      <c r="W458" s="58">
        <f>(1000*CHOOSE(CONTROL!$C$42, 0.1146, 0.1146)*CHOOSE(CONTROL!$C$42, 121.5, 121.5)*CHOOSE(CONTROL!$C$42, 28, 28))/1000000</f>
        <v>0.38986920000000003</v>
      </c>
      <c r="X458" s="58">
        <f>(28*0.1790888*100000/1000000)+(28*0.2374*100000/1000000)</f>
        <v>1.16616864</v>
      </c>
      <c r="Y458" s="58"/>
      <c r="Z458" s="10"/>
      <c r="AA458" s="57"/>
      <c r="AB458" s="51">
        <f>(B458*122.58+C458*297.941+D458*89.177+E458*40.302+F458*40+G458*160+H458*0+I458*100+J458*300)/(122.58+297.941+89.177+40.302+0+40+160+100+300)</f>
        <v>17.582627614695653</v>
      </c>
      <c r="AC458" s="27">
        <f>(M458*'RAP TEMPLATE-GAS AVAILABILITY'!O457+N458*'RAP TEMPLATE-GAS AVAILABILITY'!P457+O458*'RAP TEMPLATE-GAS AVAILABILITY'!Q457+P458*'RAP TEMPLATE-GAS AVAILABILITY'!R457)/('RAP TEMPLATE-GAS AVAILABILITY'!O457+'RAP TEMPLATE-GAS AVAILABILITY'!P457+'RAP TEMPLATE-GAS AVAILABILITY'!Q457+'RAP TEMPLATE-GAS AVAILABILITY'!R457)</f>
        <v>17.446043884892088</v>
      </c>
    </row>
    <row r="459" spans="1:29" ht="15.75" x14ac:dyDescent="0.25">
      <c r="A459" s="14">
        <v>54878</v>
      </c>
      <c r="B459" s="10">
        <f>CHOOSE(CONTROL!$C$42, 17.0774, 17.0774) * CHOOSE(CONTROL!$C$21, $C$9, 100%, $E$9)</f>
        <v>17.077400000000001</v>
      </c>
      <c r="C459" s="10">
        <f>CHOOSE(CONTROL!$C$42, 17.0823, 17.0823) * CHOOSE(CONTROL!$C$21, $C$9, 100%, $E$9)</f>
        <v>17.0823</v>
      </c>
      <c r="D459" s="10">
        <f>CHOOSE(CONTROL!$C$42, 17.1428, 17.1428) * CHOOSE(CONTROL!$C$21, $C$9, 100%, $E$9)</f>
        <v>17.142800000000001</v>
      </c>
      <c r="E459" s="10">
        <f>CHOOSE(CONTROL!$C$42, 17.1766, 17.1766) * CHOOSE(CONTROL!$C$21, $C$9, 100%, $E$9)</f>
        <v>17.176600000000001</v>
      </c>
      <c r="F459" s="10">
        <f>CHOOSE(CONTROL!$C$42, 17.0651, 17.0651)*CHOOSE(CONTROL!$C$21, $C$9, 100%, $E$9)</f>
        <v>17.065100000000001</v>
      </c>
      <c r="G459" s="10">
        <f>CHOOSE(CONTROL!$C$42, 17.0823, 17.0823)*CHOOSE(CONTROL!$C$21, $C$9, 100%, $E$9)</f>
        <v>17.0823</v>
      </c>
      <c r="H459" s="10">
        <f>CHOOSE(CONTROL!$C$42, 17.1658, 17.1658) * CHOOSE(CONTROL!$C$21, $C$9, 100%, $E$9)</f>
        <v>17.165800000000001</v>
      </c>
      <c r="I459" s="10">
        <f>CHOOSE(CONTROL!$C$42, 17.0513, 17.0513)* CHOOSE(CONTROL!$C$21, $C$9, 100%, $E$9)</f>
        <v>17.051300000000001</v>
      </c>
      <c r="J459" s="10">
        <f>CHOOSE(CONTROL!$C$42, 17.0581, 17.0581)* CHOOSE(CONTROL!$C$21, $C$9, 100%, $E$9)</f>
        <v>17.0581</v>
      </c>
      <c r="K459" s="54">
        <f>CHOOSE(CONTROL!$C$42, 17.0474, 17.0474) * CHOOSE(CONTROL!$C$21, $C$9, 100%, $E$9)</f>
        <v>17.0474</v>
      </c>
      <c r="L459" s="10">
        <f>CHOOSE(CONTROL!$C$42, 17.7528, 17.7528) * CHOOSE(CONTROL!$C$21, $C$9, 100%, $E$9)</f>
        <v>17.752800000000001</v>
      </c>
      <c r="M459" s="10">
        <f>CHOOSE(CONTROL!$C$42, 16.8998, 16.8998) * CHOOSE(CONTROL!$C$21, $C$9, 100%, $E$9)</f>
        <v>16.899799999999999</v>
      </c>
      <c r="N459" s="10">
        <f>CHOOSE(CONTROL!$C$42, 16.9168, 16.9168) * CHOOSE(CONTROL!$C$21, $C$9, 100%, $E$9)</f>
        <v>16.916799999999999</v>
      </c>
      <c r="O459" s="10">
        <f>CHOOSE(CONTROL!$C$42, 17.0064, 17.0064) * CHOOSE(CONTROL!$C$21, $C$9, 100%, $E$9)</f>
        <v>17.006399999999999</v>
      </c>
      <c r="P459" s="10">
        <f>CHOOSE(CONTROL!$C$42, 16.8931, 16.8931) * CHOOSE(CONTROL!$C$21, $C$9, 100%, $E$9)</f>
        <v>16.8931</v>
      </c>
      <c r="Q459" s="10">
        <f>CHOOSE(CONTROL!$C$42, 17.6017, 17.6017) * CHOOSE(CONTROL!$C$21, $C$9, 100%, $E$9)</f>
        <v>17.601700000000001</v>
      </c>
      <c r="R459" s="10">
        <f>CHOOSE(CONTROL!$C$42, 18.2327, 18.2327) * CHOOSE(CONTROL!$C$21, $C$9, 100%, $E$9)</f>
        <v>18.232700000000001</v>
      </c>
      <c r="S459" s="10">
        <f>CHOOSE(CONTROL!$C$42, 16.5817, 16.5817) * CHOOSE(CONTROL!$C$21, $C$9, 100%, $E$9)</f>
        <v>16.581700000000001</v>
      </c>
      <c r="T459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459" s="58">
        <f>(1000*CHOOSE(CONTROL!$C$42, 695, 695)*CHOOSE(CONTROL!$C$42, 0.5599, 0.5599)*CHOOSE(CONTROL!$C$42, 31, 31))/1000000</f>
        <v>12.063045499999998</v>
      </c>
      <c r="V459" s="58">
        <f>(1000*CHOOSE(CONTROL!$C$42, 500, 500)*CHOOSE(CONTROL!$C$42, 0.275, 0.275)*CHOOSE(CONTROL!$C$42, 31, 31))/1000000</f>
        <v>4.2625000000000002</v>
      </c>
      <c r="W459" s="58">
        <f>(1000*CHOOSE(CONTROL!$C$42, 0.1146, 0.1146)*CHOOSE(CONTROL!$C$42, 121.5, 121.5)*CHOOSE(CONTROL!$C$42, 31, 31))/1000000</f>
        <v>0.43164089999999994</v>
      </c>
      <c r="X459" s="58">
        <f>(31*0.1790888*100000/1000000)+(31*0.2374*100000/1000000)</f>
        <v>1.2911152800000001</v>
      </c>
      <c r="Y459" s="58"/>
      <c r="Z459" s="10"/>
      <c r="AA459" s="57"/>
      <c r="AB459" s="51">
        <f>(B459*122.58+C459*297.941+D459*89.177+E459*40.302+F459*40+G459*160+H459*0+I459*100+J459*300)/(122.58+297.941+89.177+40.302+0+40+160+100+300)</f>
        <v>17.08016699573913</v>
      </c>
      <c r="AC459" s="27">
        <f>(M459*'RAP TEMPLATE-GAS AVAILABILITY'!O458+N459*'RAP TEMPLATE-GAS AVAILABILITY'!P458+O459*'RAP TEMPLATE-GAS AVAILABILITY'!Q458+P459*'RAP TEMPLATE-GAS AVAILABILITY'!R458)/('RAP TEMPLATE-GAS AVAILABILITY'!O458+'RAP TEMPLATE-GAS AVAILABILITY'!P458+'RAP TEMPLATE-GAS AVAILABILITY'!Q458+'RAP TEMPLATE-GAS AVAILABILITY'!R458)</f>
        <v>16.948129496402878</v>
      </c>
    </row>
    <row r="460" spans="1:29" ht="15.75" x14ac:dyDescent="0.25">
      <c r="A460" s="14">
        <v>54908</v>
      </c>
      <c r="B460" s="10">
        <f>CHOOSE(CONTROL!$C$42, 17.0274, 17.0274) * CHOOSE(CONTROL!$C$21, $C$9, 100%, $E$9)</f>
        <v>17.0274</v>
      </c>
      <c r="C460" s="10">
        <f>CHOOSE(CONTROL!$C$42, 17.0318, 17.0318) * CHOOSE(CONTROL!$C$21, $C$9, 100%, $E$9)</f>
        <v>17.0318</v>
      </c>
      <c r="D460" s="10">
        <f>CHOOSE(CONTROL!$C$42, 17.2274, 17.2274) * CHOOSE(CONTROL!$C$21, $C$9, 100%, $E$9)</f>
        <v>17.227399999999999</v>
      </c>
      <c r="E460" s="10">
        <f>CHOOSE(CONTROL!$C$42, 17.2592, 17.2592) * CHOOSE(CONTROL!$C$21, $C$9, 100%, $E$9)</f>
        <v>17.2592</v>
      </c>
      <c r="F460" s="10">
        <f>CHOOSE(CONTROL!$C$42, 16.9952, 16.9952)*CHOOSE(CONTROL!$C$21, $C$9, 100%, $E$9)</f>
        <v>16.995200000000001</v>
      </c>
      <c r="G460" s="10">
        <f>CHOOSE(CONTROL!$C$42, 17.012, 17.012)*CHOOSE(CONTROL!$C$21, $C$9, 100%, $E$9)</f>
        <v>17.012</v>
      </c>
      <c r="H460" s="10">
        <f>CHOOSE(CONTROL!$C$42, 17.249, 17.249) * CHOOSE(CONTROL!$C$21, $C$9, 100%, $E$9)</f>
        <v>17.248999999999999</v>
      </c>
      <c r="I460" s="10">
        <f>CHOOSE(CONTROL!$C$42, 16.9954, 16.9954)* CHOOSE(CONTROL!$C$21, $C$9, 100%, $E$9)</f>
        <v>16.9954</v>
      </c>
      <c r="J460" s="10">
        <f>CHOOSE(CONTROL!$C$42, 16.9882, 16.9882)* CHOOSE(CONTROL!$C$21, $C$9, 100%, $E$9)</f>
        <v>16.988199999999999</v>
      </c>
      <c r="K460" s="54">
        <f>CHOOSE(CONTROL!$C$42, 16.9915, 16.9915) * CHOOSE(CONTROL!$C$21, $C$9, 100%, $E$9)</f>
        <v>16.991499999999998</v>
      </c>
      <c r="L460" s="10">
        <f>CHOOSE(CONTROL!$C$42, 17.836, 17.836) * CHOOSE(CONTROL!$C$21, $C$9, 100%, $E$9)</f>
        <v>17.835999999999999</v>
      </c>
      <c r="M460" s="10">
        <f>CHOOSE(CONTROL!$C$42, 16.8306, 16.8306) * CHOOSE(CONTROL!$C$21, $C$9, 100%, $E$9)</f>
        <v>16.8306</v>
      </c>
      <c r="N460" s="10">
        <f>CHOOSE(CONTROL!$C$42, 16.8472, 16.8472) * CHOOSE(CONTROL!$C$21, $C$9, 100%, $E$9)</f>
        <v>16.847200000000001</v>
      </c>
      <c r="O460" s="10">
        <f>CHOOSE(CONTROL!$C$42, 17.0887, 17.0887) * CHOOSE(CONTROL!$C$21, $C$9, 100%, $E$9)</f>
        <v>17.088699999999999</v>
      </c>
      <c r="P460" s="10">
        <f>CHOOSE(CONTROL!$C$42, 16.8378, 16.8378) * CHOOSE(CONTROL!$C$21, $C$9, 100%, $E$9)</f>
        <v>16.837800000000001</v>
      </c>
      <c r="Q460" s="10">
        <f>CHOOSE(CONTROL!$C$42, 17.684, 17.684) * CHOOSE(CONTROL!$C$21, $C$9, 100%, $E$9)</f>
        <v>17.684000000000001</v>
      </c>
      <c r="R460" s="10">
        <f>CHOOSE(CONTROL!$C$42, 18.3152, 18.3152) * CHOOSE(CONTROL!$C$21, $C$9, 100%, $E$9)</f>
        <v>18.315200000000001</v>
      </c>
      <c r="S460" s="10">
        <f>CHOOSE(CONTROL!$C$42, 16.5324, 16.5324) * CHOOSE(CONTROL!$C$21, $C$9, 100%, $E$9)</f>
        <v>16.532399999999999</v>
      </c>
      <c r="T460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460" s="58">
        <f>(1000*CHOOSE(CONTROL!$C$42, 695, 695)*CHOOSE(CONTROL!$C$42, 0.5599, 0.5599)*CHOOSE(CONTROL!$C$42, 30, 30))/1000000</f>
        <v>11.673914999999997</v>
      </c>
      <c r="V460" s="58">
        <f>(1000*CHOOSE(CONTROL!$C$42, 500, 500)*CHOOSE(CONTROL!$C$42, 0.275, 0.275)*CHOOSE(CONTROL!$C$42, 30, 30))/1000000</f>
        <v>4.125</v>
      </c>
      <c r="W460" s="58">
        <f>(1000*CHOOSE(CONTROL!$C$42, 0.1146, 0.1146)*CHOOSE(CONTROL!$C$42, 121.5, 121.5)*CHOOSE(CONTROL!$C$42, 30, 30))/1000000</f>
        <v>0.417717</v>
      </c>
      <c r="X460" s="58">
        <f>(30*0.1790888*245000/1000000)+(30*0.2374*100000/1000000)</f>
        <v>2.0285026799999999</v>
      </c>
      <c r="Y460" s="58"/>
      <c r="Z460" s="10"/>
      <c r="AA460" s="57"/>
      <c r="AB460" s="51">
        <f>(B460*141.293+C460*267.993+D460*115.016+E460*89.698+F460*40+G460*185+H460*0+I460*100+J460*300)/(141.293+267.993+115.016+89.698+0+40+185+100+300)</f>
        <v>17.048285686521389</v>
      </c>
      <c r="AC460" s="27">
        <f>(M460*'RAP TEMPLATE-GAS AVAILABILITY'!O459+N460*'RAP TEMPLATE-GAS AVAILABILITY'!P459+O460*'RAP TEMPLATE-GAS AVAILABILITY'!Q459+P460*'RAP TEMPLATE-GAS AVAILABILITY'!R459)/('RAP TEMPLATE-GAS AVAILABILITY'!O459+'RAP TEMPLATE-GAS AVAILABILITY'!P459+'RAP TEMPLATE-GAS AVAILABILITY'!Q459+'RAP TEMPLATE-GAS AVAILABILITY'!R459)</f>
        <v>16.907874100719425</v>
      </c>
    </row>
    <row r="461" spans="1:29" ht="15.75" x14ac:dyDescent="0.25">
      <c r="A461" s="14">
        <v>54939</v>
      </c>
      <c r="B461" s="10">
        <f>CHOOSE(CONTROL!$C$42, 17.1791, 17.1791) * CHOOSE(CONTROL!$C$21, $C$9, 100%, $E$9)</f>
        <v>17.179099999999998</v>
      </c>
      <c r="C461" s="10">
        <f>CHOOSE(CONTROL!$C$42, 17.187, 17.187) * CHOOSE(CONTROL!$C$21, $C$9, 100%, $E$9)</f>
        <v>17.187000000000001</v>
      </c>
      <c r="D461" s="10">
        <f>CHOOSE(CONTROL!$C$42, 17.3794, 17.3794) * CHOOSE(CONTROL!$C$21, $C$9, 100%, $E$9)</f>
        <v>17.3794</v>
      </c>
      <c r="E461" s="10">
        <f>CHOOSE(CONTROL!$C$42, 17.4106, 17.4106) * CHOOSE(CONTROL!$C$21, $C$9, 100%, $E$9)</f>
        <v>17.410599999999999</v>
      </c>
      <c r="F461" s="10">
        <f>CHOOSE(CONTROL!$C$42, 17.1453, 17.1453)*CHOOSE(CONTROL!$C$21, $C$9, 100%, $E$9)</f>
        <v>17.145299999999999</v>
      </c>
      <c r="G461" s="10">
        <f>CHOOSE(CONTROL!$C$42, 17.1625, 17.1625)*CHOOSE(CONTROL!$C$21, $C$9, 100%, $E$9)</f>
        <v>17.162500000000001</v>
      </c>
      <c r="H461" s="10">
        <f>CHOOSE(CONTROL!$C$42, 17.3992, 17.3992) * CHOOSE(CONTROL!$C$21, $C$9, 100%, $E$9)</f>
        <v>17.3992</v>
      </c>
      <c r="I461" s="10">
        <f>CHOOSE(CONTROL!$C$42, 17.1457, 17.1457)* CHOOSE(CONTROL!$C$21, $C$9, 100%, $E$9)</f>
        <v>17.145700000000001</v>
      </c>
      <c r="J461" s="10">
        <f>CHOOSE(CONTROL!$C$42, 17.1383, 17.1383)* CHOOSE(CONTROL!$C$21, $C$9, 100%, $E$9)</f>
        <v>17.138300000000001</v>
      </c>
      <c r="K461" s="54">
        <f>CHOOSE(CONTROL!$C$42, 17.1418, 17.1418) * CHOOSE(CONTROL!$C$21, $C$9, 100%, $E$9)</f>
        <v>17.1418</v>
      </c>
      <c r="L461" s="10">
        <f>CHOOSE(CONTROL!$C$42, 17.9862, 17.9862) * CHOOSE(CONTROL!$C$21, $C$9, 100%, $E$9)</f>
        <v>17.9862</v>
      </c>
      <c r="M461" s="10">
        <f>CHOOSE(CONTROL!$C$42, 16.9792, 16.9792) * CHOOSE(CONTROL!$C$21, $C$9, 100%, $E$9)</f>
        <v>16.979199999999999</v>
      </c>
      <c r="N461" s="10">
        <f>CHOOSE(CONTROL!$C$42, 16.9962, 16.9962) * CHOOSE(CONTROL!$C$21, $C$9, 100%, $E$9)</f>
        <v>16.996200000000002</v>
      </c>
      <c r="O461" s="10">
        <f>CHOOSE(CONTROL!$C$42, 17.2374, 17.2374) * CHOOSE(CONTROL!$C$21, $C$9, 100%, $E$9)</f>
        <v>17.237400000000001</v>
      </c>
      <c r="P461" s="10">
        <f>CHOOSE(CONTROL!$C$42, 16.9865, 16.9865) * CHOOSE(CONTROL!$C$21, $C$9, 100%, $E$9)</f>
        <v>16.986499999999999</v>
      </c>
      <c r="Q461" s="10">
        <f>CHOOSE(CONTROL!$C$42, 17.8327, 17.8327) * CHOOSE(CONTROL!$C$21, $C$9, 100%, $E$9)</f>
        <v>17.832699999999999</v>
      </c>
      <c r="R461" s="10">
        <f>CHOOSE(CONTROL!$C$42, 18.4643, 18.4643) * CHOOSE(CONTROL!$C$21, $C$9, 100%, $E$9)</f>
        <v>18.464300000000001</v>
      </c>
      <c r="S461" s="10">
        <f>CHOOSE(CONTROL!$C$42, 16.6784, 16.6784) * CHOOSE(CONTROL!$C$21, $C$9, 100%, $E$9)</f>
        <v>16.6784</v>
      </c>
      <c r="T461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461" s="58">
        <f>(1000*CHOOSE(CONTROL!$C$42, 695, 695)*CHOOSE(CONTROL!$C$42, 0.5599, 0.5599)*CHOOSE(CONTROL!$C$42, 31, 31))/1000000</f>
        <v>12.063045499999998</v>
      </c>
      <c r="V461" s="58">
        <f>(1000*CHOOSE(CONTROL!$C$42, 500, 500)*CHOOSE(CONTROL!$C$42, 0.275, 0.275)*CHOOSE(CONTROL!$C$42, 31, 31))/1000000</f>
        <v>4.2625000000000002</v>
      </c>
      <c r="W461" s="58">
        <f>(1000*CHOOSE(CONTROL!$C$42, 0.1146, 0.1146)*CHOOSE(CONTROL!$C$42, 121.5, 121.5)*CHOOSE(CONTROL!$C$42, 31, 31))/1000000</f>
        <v>0.43164089999999994</v>
      </c>
      <c r="X461" s="58">
        <f>(31*0.1790888*245000/1000000)+(31*0.2374*100000/1000000)</f>
        <v>2.0961194359999999</v>
      </c>
      <c r="Y461" s="58"/>
      <c r="Z461" s="10"/>
      <c r="AA461" s="57"/>
      <c r="AB461" s="51">
        <f>(B461*194.205+C461*267.466+D461*133.845+E461*53.484+F461*40+G461*185+H461*0+I461*100+J461*300)/(194.205+267.466+133.845+53.484+0+40+185+100+300)</f>
        <v>17.195819529748825</v>
      </c>
      <c r="AC461" s="27">
        <f>(M461*'RAP TEMPLATE-GAS AVAILABILITY'!O460+N461*'RAP TEMPLATE-GAS AVAILABILITY'!P460+O461*'RAP TEMPLATE-GAS AVAILABILITY'!Q460+P461*'RAP TEMPLATE-GAS AVAILABILITY'!R460)/('RAP TEMPLATE-GAS AVAILABILITY'!O460+'RAP TEMPLATE-GAS AVAILABILITY'!P460+'RAP TEMPLATE-GAS AVAILABILITY'!Q460+'RAP TEMPLATE-GAS AVAILABILITY'!R460)</f>
        <v>17.056608633093525</v>
      </c>
    </row>
    <row r="462" spans="1:29" ht="15.75" x14ac:dyDescent="0.25">
      <c r="A462" s="14">
        <v>54969</v>
      </c>
      <c r="B462" s="10">
        <f>CHOOSE(CONTROL!$C$42, 17.6662, 17.6662) * CHOOSE(CONTROL!$C$21, $C$9, 100%, $E$9)</f>
        <v>17.6662</v>
      </c>
      <c r="C462" s="10">
        <f>CHOOSE(CONTROL!$C$42, 17.6741, 17.6741) * CHOOSE(CONTROL!$C$21, $C$9, 100%, $E$9)</f>
        <v>17.674099999999999</v>
      </c>
      <c r="D462" s="10">
        <f>CHOOSE(CONTROL!$C$42, 17.8666, 17.8666) * CHOOSE(CONTROL!$C$21, $C$9, 100%, $E$9)</f>
        <v>17.866599999999998</v>
      </c>
      <c r="E462" s="10">
        <f>CHOOSE(CONTROL!$C$42, 17.8977, 17.8977) * CHOOSE(CONTROL!$C$21, $C$9, 100%, $E$9)</f>
        <v>17.8977</v>
      </c>
      <c r="F462" s="10">
        <f>CHOOSE(CONTROL!$C$42, 17.6327, 17.6327)*CHOOSE(CONTROL!$C$21, $C$9, 100%, $E$9)</f>
        <v>17.6327</v>
      </c>
      <c r="G462" s="10">
        <f>CHOOSE(CONTROL!$C$42, 17.6499, 17.6499)*CHOOSE(CONTROL!$C$21, $C$9, 100%, $E$9)</f>
        <v>17.649899999999999</v>
      </c>
      <c r="H462" s="10">
        <f>CHOOSE(CONTROL!$C$42, 17.8864, 17.8864) * CHOOSE(CONTROL!$C$21, $C$9, 100%, $E$9)</f>
        <v>17.886399999999998</v>
      </c>
      <c r="I462" s="10">
        <f>CHOOSE(CONTROL!$C$42, 17.6328, 17.6328)* CHOOSE(CONTROL!$C$21, $C$9, 100%, $E$9)</f>
        <v>17.6328</v>
      </c>
      <c r="J462" s="10">
        <f>CHOOSE(CONTROL!$C$42, 17.6257, 17.6257)* CHOOSE(CONTROL!$C$21, $C$9, 100%, $E$9)</f>
        <v>17.625699999999998</v>
      </c>
      <c r="K462" s="54">
        <f>CHOOSE(CONTROL!$C$42, 17.6289, 17.6289) * CHOOSE(CONTROL!$C$21, $C$9, 100%, $E$9)</f>
        <v>17.628900000000002</v>
      </c>
      <c r="L462" s="10">
        <f>CHOOSE(CONTROL!$C$42, 18.4734, 18.4734) * CHOOSE(CONTROL!$C$21, $C$9, 100%, $E$9)</f>
        <v>18.473400000000002</v>
      </c>
      <c r="M462" s="10">
        <f>CHOOSE(CONTROL!$C$42, 17.4617, 17.4617) * CHOOSE(CONTROL!$C$21, $C$9, 100%, $E$9)</f>
        <v>17.4617</v>
      </c>
      <c r="N462" s="10">
        <f>CHOOSE(CONTROL!$C$42, 17.4787, 17.4787) * CHOOSE(CONTROL!$C$21, $C$9, 100%, $E$9)</f>
        <v>17.4787</v>
      </c>
      <c r="O462" s="10">
        <f>CHOOSE(CONTROL!$C$42, 17.7197, 17.7197) * CHOOSE(CONTROL!$C$21, $C$9, 100%, $E$9)</f>
        <v>17.7197</v>
      </c>
      <c r="P462" s="10">
        <f>CHOOSE(CONTROL!$C$42, 17.4687, 17.4687) * CHOOSE(CONTROL!$C$21, $C$9, 100%, $E$9)</f>
        <v>17.468699999999998</v>
      </c>
      <c r="Q462" s="10">
        <f>CHOOSE(CONTROL!$C$42, 18.315, 18.315) * CHOOSE(CONTROL!$C$21, $C$9, 100%, $E$9)</f>
        <v>18.315000000000001</v>
      </c>
      <c r="R462" s="10">
        <f>CHOOSE(CONTROL!$C$42, 18.9478, 18.9478) * CHOOSE(CONTROL!$C$21, $C$9, 100%, $E$9)</f>
        <v>18.947800000000001</v>
      </c>
      <c r="S462" s="10">
        <f>CHOOSE(CONTROL!$C$42, 17.1514, 17.1514) * CHOOSE(CONTROL!$C$21, $C$9, 100%, $E$9)</f>
        <v>17.151399999999999</v>
      </c>
      <c r="T462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462" s="58">
        <f>(1000*CHOOSE(CONTROL!$C$42, 695, 695)*CHOOSE(CONTROL!$C$42, 0.5599, 0.5599)*CHOOSE(CONTROL!$C$42, 30, 30))/1000000</f>
        <v>11.673914999999997</v>
      </c>
      <c r="V462" s="58">
        <f>(1000*CHOOSE(CONTROL!$C$42, 500, 500)*CHOOSE(CONTROL!$C$42, 0.275, 0.275)*CHOOSE(CONTROL!$C$42, 30, 30))/1000000</f>
        <v>4.125</v>
      </c>
      <c r="W462" s="58">
        <f>(1000*CHOOSE(CONTROL!$C$42, 0.1146, 0.1146)*CHOOSE(CONTROL!$C$42, 121.5, 121.5)*CHOOSE(CONTROL!$C$42, 30, 30))/1000000</f>
        <v>0.417717</v>
      </c>
      <c r="X462" s="58">
        <f>(30*0.1790888*245000/1000000)+(30*0.2374*100000/1000000)</f>
        <v>2.0285026799999999</v>
      </c>
      <c r="Y462" s="58"/>
      <c r="Z462" s="10"/>
      <c r="AA462" s="57"/>
      <c r="AB462" s="51">
        <f>(B462*194.205+C462*267.466+D462*133.845+E462*53.484+F462*40+G462*185+H462*0+I462*100+J462*300)/(194.205+267.466+133.845+53.484+0+40+185+100+300)</f>
        <v>17.683053662009421</v>
      </c>
      <c r="AC462" s="27">
        <f>(M462*'RAP TEMPLATE-GAS AVAILABILITY'!O461+N462*'RAP TEMPLATE-GAS AVAILABILITY'!P461+O462*'RAP TEMPLATE-GAS AVAILABILITY'!Q461+P462*'RAP TEMPLATE-GAS AVAILABILITY'!R461)/('RAP TEMPLATE-GAS AVAILABILITY'!O461+'RAP TEMPLATE-GAS AVAILABILITY'!P461+'RAP TEMPLATE-GAS AVAILABILITY'!Q461+'RAP TEMPLATE-GAS AVAILABILITY'!R461)</f>
        <v>17.539009352517983</v>
      </c>
    </row>
    <row r="463" spans="1:29" ht="15.75" x14ac:dyDescent="0.25">
      <c r="A463" s="14">
        <v>55000</v>
      </c>
      <c r="B463" s="10">
        <f>CHOOSE(CONTROL!$C$42, 17.3274, 17.3274) * CHOOSE(CONTROL!$C$21, $C$9, 100%, $E$9)</f>
        <v>17.327400000000001</v>
      </c>
      <c r="C463" s="10">
        <f>CHOOSE(CONTROL!$C$42, 17.3353, 17.3353) * CHOOSE(CONTROL!$C$21, $C$9, 100%, $E$9)</f>
        <v>17.3353</v>
      </c>
      <c r="D463" s="10">
        <f>CHOOSE(CONTROL!$C$42, 17.5278, 17.5278) * CHOOSE(CONTROL!$C$21, $C$9, 100%, $E$9)</f>
        <v>17.527799999999999</v>
      </c>
      <c r="E463" s="10">
        <f>CHOOSE(CONTROL!$C$42, 17.5589, 17.5589) * CHOOSE(CONTROL!$C$21, $C$9, 100%, $E$9)</f>
        <v>17.558900000000001</v>
      </c>
      <c r="F463" s="10">
        <f>CHOOSE(CONTROL!$C$42, 17.2943, 17.2943)*CHOOSE(CONTROL!$C$21, $C$9, 100%, $E$9)</f>
        <v>17.2943</v>
      </c>
      <c r="G463" s="10">
        <f>CHOOSE(CONTROL!$C$42, 17.3116, 17.3116)*CHOOSE(CONTROL!$C$21, $C$9, 100%, $E$9)</f>
        <v>17.311599999999999</v>
      </c>
      <c r="H463" s="10">
        <f>CHOOSE(CONTROL!$C$42, 17.5475, 17.5475) * CHOOSE(CONTROL!$C$21, $C$9, 100%, $E$9)</f>
        <v>17.547499999999999</v>
      </c>
      <c r="I463" s="10">
        <f>CHOOSE(CONTROL!$C$42, 17.294, 17.294)* CHOOSE(CONTROL!$C$21, $C$9, 100%, $E$9)</f>
        <v>17.294</v>
      </c>
      <c r="J463" s="10">
        <f>CHOOSE(CONTROL!$C$42, 17.2873, 17.2873)* CHOOSE(CONTROL!$C$21, $C$9, 100%, $E$9)</f>
        <v>17.287299999999998</v>
      </c>
      <c r="K463" s="54">
        <f>CHOOSE(CONTROL!$C$42, 17.2901, 17.2901) * CHOOSE(CONTROL!$C$21, $C$9, 100%, $E$9)</f>
        <v>17.290099999999999</v>
      </c>
      <c r="L463" s="10">
        <f>CHOOSE(CONTROL!$C$42, 18.1345, 18.1345) * CHOOSE(CONTROL!$C$21, $C$9, 100%, $E$9)</f>
        <v>18.134499999999999</v>
      </c>
      <c r="M463" s="10">
        <f>CHOOSE(CONTROL!$C$42, 17.1267, 17.1267) * CHOOSE(CONTROL!$C$21, $C$9, 100%, $E$9)</f>
        <v>17.1267</v>
      </c>
      <c r="N463" s="10">
        <f>CHOOSE(CONTROL!$C$42, 17.1438, 17.1438) * CHOOSE(CONTROL!$C$21, $C$9, 100%, $E$9)</f>
        <v>17.143799999999999</v>
      </c>
      <c r="O463" s="10">
        <f>CHOOSE(CONTROL!$C$42, 17.3843, 17.3843) * CHOOSE(CONTROL!$C$21, $C$9, 100%, $E$9)</f>
        <v>17.3843</v>
      </c>
      <c r="P463" s="10">
        <f>CHOOSE(CONTROL!$C$42, 17.1333, 17.1333) * CHOOSE(CONTROL!$C$21, $C$9, 100%, $E$9)</f>
        <v>17.133299999999998</v>
      </c>
      <c r="Q463" s="10">
        <f>CHOOSE(CONTROL!$C$42, 17.9796, 17.9796) * CHOOSE(CONTROL!$C$21, $C$9, 100%, $E$9)</f>
        <v>17.979600000000001</v>
      </c>
      <c r="R463" s="10">
        <f>CHOOSE(CONTROL!$C$42, 18.6115, 18.6115) * CHOOSE(CONTROL!$C$21, $C$9, 100%, $E$9)</f>
        <v>18.611499999999999</v>
      </c>
      <c r="S463" s="10">
        <f>CHOOSE(CONTROL!$C$42, 16.8224, 16.8224) * CHOOSE(CONTROL!$C$21, $C$9, 100%, $E$9)</f>
        <v>16.822399999999998</v>
      </c>
      <c r="T463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463" s="58">
        <f>(1000*CHOOSE(CONTROL!$C$42, 695, 695)*CHOOSE(CONTROL!$C$42, 0.5599, 0.5599)*CHOOSE(CONTROL!$C$42, 31, 31))/1000000</f>
        <v>12.063045499999998</v>
      </c>
      <c r="V463" s="58">
        <f>(1000*CHOOSE(CONTROL!$C$42, 500, 500)*CHOOSE(CONTROL!$C$42, 0.275, 0.275)*CHOOSE(CONTROL!$C$42, 31, 31))/1000000</f>
        <v>4.2625000000000002</v>
      </c>
      <c r="W463" s="58">
        <f>(1000*CHOOSE(CONTROL!$C$42, 0.1146, 0.1146)*CHOOSE(CONTROL!$C$42, 121.5, 121.5)*CHOOSE(CONTROL!$C$42, 31, 31))/1000000</f>
        <v>0.43164089999999994</v>
      </c>
      <c r="X463" s="58">
        <f>(31*0.1790888*245000/1000000)+(31*0.2374*100000/1000000)</f>
        <v>2.0961194359999999</v>
      </c>
      <c r="Y463" s="58"/>
      <c r="Z463" s="10"/>
      <c r="AA463" s="57"/>
      <c r="AB463" s="51">
        <f>(B463*194.205+C463*267.466+D463*133.845+E463*53.484+F463*40+G463*185+H463*0+I463*100+J463*300)/(194.205+267.466+133.845+53.484+0+40+185+100+300)</f>
        <v>17.344433018367351</v>
      </c>
      <c r="AC463" s="27">
        <f>(M463*'RAP TEMPLATE-GAS AVAILABILITY'!O462+N463*'RAP TEMPLATE-GAS AVAILABILITY'!P462+O463*'RAP TEMPLATE-GAS AVAILABILITY'!Q462+P463*'RAP TEMPLATE-GAS AVAILABILITY'!R462)/('RAP TEMPLATE-GAS AVAILABILITY'!O462+'RAP TEMPLATE-GAS AVAILABILITY'!P462+'RAP TEMPLATE-GAS AVAILABILITY'!Q462+'RAP TEMPLATE-GAS AVAILABILITY'!R462)</f>
        <v>17.203862589928058</v>
      </c>
    </row>
    <row r="464" spans="1:29" ht="15.75" x14ac:dyDescent="0.25">
      <c r="A464" s="14">
        <v>55031</v>
      </c>
      <c r="B464" s="10">
        <f>CHOOSE(CONTROL!$C$42, 16.4718, 16.4718) * CHOOSE(CONTROL!$C$21, $C$9, 100%, $E$9)</f>
        <v>16.471800000000002</v>
      </c>
      <c r="C464" s="10">
        <f>CHOOSE(CONTROL!$C$42, 16.4797, 16.4797) * CHOOSE(CONTROL!$C$21, $C$9, 100%, $E$9)</f>
        <v>16.479700000000001</v>
      </c>
      <c r="D464" s="10">
        <f>CHOOSE(CONTROL!$C$42, 16.6721, 16.6721) * CHOOSE(CONTROL!$C$21, $C$9, 100%, $E$9)</f>
        <v>16.6721</v>
      </c>
      <c r="E464" s="10">
        <f>CHOOSE(CONTROL!$C$42, 16.7033, 16.7033) * CHOOSE(CONTROL!$C$21, $C$9, 100%, $E$9)</f>
        <v>16.703299999999999</v>
      </c>
      <c r="F464" s="10">
        <f>CHOOSE(CONTROL!$C$42, 16.4389, 16.4389)*CHOOSE(CONTROL!$C$21, $C$9, 100%, $E$9)</f>
        <v>16.4389</v>
      </c>
      <c r="G464" s="10">
        <f>CHOOSE(CONTROL!$C$42, 16.4562, 16.4562)*CHOOSE(CONTROL!$C$21, $C$9, 100%, $E$9)</f>
        <v>16.456199999999999</v>
      </c>
      <c r="H464" s="10">
        <f>CHOOSE(CONTROL!$C$42, 16.6919, 16.6919) * CHOOSE(CONTROL!$C$21, $C$9, 100%, $E$9)</f>
        <v>16.6919</v>
      </c>
      <c r="I464" s="10">
        <f>CHOOSE(CONTROL!$C$42, 16.4384, 16.4384)* CHOOSE(CONTROL!$C$21, $C$9, 100%, $E$9)</f>
        <v>16.438400000000001</v>
      </c>
      <c r="J464" s="10">
        <f>CHOOSE(CONTROL!$C$42, 16.4319, 16.4319)* CHOOSE(CONTROL!$C$21, $C$9, 100%, $E$9)</f>
        <v>16.431899999999999</v>
      </c>
      <c r="K464" s="54">
        <f>CHOOSE(CONTROL!$C$42, 16.4345, 16.4345) * CHOOSE(CONTROL!$C$21, $C$9, 100%, $E$9)</f>
        <v>16.4345</v>
      </c>
      <c r="L464" s="10">
        <f>CHOOSE(CONTROL!$C$42, 17.2789, 17.2789) * CHOOSE(CONTROL!$C$21, $C$9, 100%, $E$9)</f>
        <v>17.2789</v>
      </c>
      <c r="M464" s="10">
        <f>CHOOSE(CONTROL!$C$42, 16.2799, 16.2799) * CHOOSE(CONTROL!$C$21, $C$9, 100%, $E$9)</f>
        <v>16.279900000000001</v>
      </c>
      <c r="N464" s="10">
        <f>CHOOSE(CONTROL!$C$42, 16.297, 16.297) * CHOOSE(CONTROL!$C$21, $C$9, 100%, $E$9)</f>
        <v>16.297000000000001</v>
      </c>
      <c r="O464" s="10">
        <f>CHOOSE(CONTROL!$C$42, 16.5373, 16.5373) * CHOOSE(CONTROL!$C$21, $C$9, 100%, $E$9)</f>
        <v>16.537299999999998</v>
      </c>
      <c r="P464" s="10">
        <f>CHOOSE(CONTROL!$C$42, 16.2863, 16.2863) * CHOOSE(CONTROL!$C$21, $C$9, 100%, $E$9)</f>
        <v>16.286300000000001</v>
      </c>
      <c r="Q464" s="10">
        <f>CHOOSE(CONTROL!$C$42, 17.1326, 17.1326) * CHOOSE(CONTROL!$C$21, $C$9, 100%, $E$9)</f>
        <v>17.1326</v>
      </c>
      <c r="R464" s="10">
        <f>CHOOSE(CONTROL!$C$42, 17.7624, 17.7624) * CHOOSE(CONTROL!$C$21, $C$9, 100%, $E$9)</f>
        <v>17.7624</v>
      </c>
      <c r="S464" s="10">
        <f>CHOOSE(CONTROL!$C$42, 15.9915, 15.9915) * CHOOSE(CONTROL!$C$21, $C$9, 100%, $E$9)</f>
        <v>15.9915</v>
      </c>
      <c r="T464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464" s="58">
        <f>(1000*CHOOSE(CONTROL!$C$42, 695, 695)*CHOOSE(CONTROL!$C$42, 0.5599, 0.5599)*CHOOSE(CONTROL!$C$42, 31, 31))/1000000</f>
        <v>12.063045499999998</v>
      </c>
      <c r="V464" s="58">
        <f>(1000*CHOOSE(CONTROL!$C$42, 500, 500)*CHOOSE(CONTROL!$C$42, 0.275, 0.275)*CHOOSE(CONTROL!$C$42, 31, 31))/1000000</f>
        <v>4.2625000000000002</v>
      </c>
      <c r="W464" s="58">
        <f>(1000*CHOOSE(CONTROL!$C$42, 0.1146, 0.1146)*CHOOSE(CONTROL!$C$42, 121.5, 121.5)*CHOOSE(CONTROL!$C$42, 31, 31))/1000000</f>
        <v>0.43164089999999994</v>
      </c>
      <c r="X464" s="58">
        <f>(31*0.1790888*245000/1000000)+(31*0.2374*100000/1000000)</f>
        <v>2.0961194359999999</v>
      </c>
      <c r="Y464" s="58"/>
      <c r="Z464" s="10"/>
      <c r="AA464" s="57"/>
      <c r="AB464" s="51">
        <f>(B464*194.205+C464*267.466+D464*133.845+E464*53.484+F464*40+G464*185+H464*0+I464*100+J464*300)/(194.205+267.466+133.845+53.484+0+40+185+100+300)</f>
        <v>16.488904930062795</v>
      </c>
      <c r="AC464" s="27">
        <f>(M464*'RAP TEMPLATE-GAS AVAILABILITY'!O463+N464*'RAP TEMPLATE-GAS AVAILABILITY'!P463+O464*'RAP TEMPLATE-GAS AVAILABILITY'!Q463+P464*'RAP TEMPLATE-GAS AVAILABILITY'!R463)/('RAP TEMPLATE-GAS AVAILABILITY'!O463+'RAP TEMPLATE-GAS AVAILABILITY'!P463+'RAP TEMPLATE-GAS AVAILABILITY'!Q463+'RAP TEMPLATE-GAS AVAILABILITY'!R463)</f>
        <v>16.356977697841728</v>
      </c>
    </row>
    <row r="465" spans="1:29" ht="15.75" x14ac:dyDescent="0.25">
      <c r="A465" s="14">
        <v>55061</v>
      </c>
      <c r="B465" s="10">
        <f>CHOOSE(CONTROL!$C$42, 15.426, 15.426) * CHOOSE(CONTROL!$C$21, $C$9, 100%, $E$9)</f>
        <v>15.426</v>
      </c>
      <c r="C465" s="10">
        <f>CHOOSE(CONTROL!$C$42, 15.4339, 15.4339) * CHOOSE(CONTROL!$C$21, $C$9, 100%, $E$9)</f>
        <v>15.4339</v>
      </c>
      <c r="D465" s="10">
        <f>CHOOSE(CONTROL!$C$42, 15.6264, 15.6264) * CHOOSE(CONTROL!$C$21, $C$9, 100%, $E$9)</f>
        <v>15.6264</v>
      </c>
      <c r="E465" s="10">
        <f>CHOOSE(CONTROL!$C$42, 15.6575, 15.6575) * CHOOSE(CONTROL!$C$21, $C$9, 100%, $E$9)</f>
        <v>15.657500000000001</v>
      </c>
      <c r="F465" s="10">
        <f>CHOOSE(CONTROL!$C$42, 15.3929, 15.3929)*CHOOSE(CONTROL!$C$21, $C$9, 100%, $E$9)</f>
        <v>15.392899999999999</v>
      </c>
      <c r="G465" s="10">
        <f>CHOOSE(CONTROL!$C$42, 15.4102, 15.4102)*CHOOSE(CONTROL!$C$21, $C$9, 100%, $E$9)</f>
        <v>15.4102</v>
      </c>
      <c r="H465" s="10">
        <f>CHOOSE(CONTROL!$C$42, 15.6461, 15.6461) * CHOOSE(CONTROL!$C$21, $C$9, 100%, $E$9)</f>
        <v>15.646100000000001</v>
      </c>
      <c r="I465" s="10">
        <f>CHOOSE(CONTROL!$C$42, 15.3926, 15.3926)* CHOOSE(CONTROL!$C$21, $C$9, 100%, $E$9)</f>
        <v>15.3926</v>
      </c>
      <c r="J465" s="10">
        <f>CHOOSE(CONTROL!$C$42, 15.3859, 15.3859)* CHOOSE(CONTROL!$C$21, $C$9, 100%, $E$9)</f>
        <v>15.385899999999999</v>
      </c>
      <c r="K465" s="54">
        <f>CHOOSE(CONTROL!$C$42, 15.3887, 15.3887) * CHOOSE(CONTROL!$C$21, $C$9, 100%, $E$9)</f>
        <v>15.3887</v>
      </c>
      <c r="L465" s="10">
        <f>CHOOSE(CONTROL!$C$42, 16.2331, 16.2331) * CHOOSE(CONTROL!$C$21, $C$9, 100%, $E$9)</f>
        <v>16.2331</v>
      </c>
      <c r="M465" s="10">
        <f>CHOOSE(CONTROL!$C$42, 15.2445, 15.2445) * CHOOSE(CONTROL!$C$21, $C$9, 100%, $E$9)</f>
        <v>15.2445</v>
      </c>
      <c r="N465" s="10">
        <f>CHOOSE(CONTROL!$C$42, 15.2616, 15.2616) * CHOOSE(CONTROL!$C$21, $C$9, 100%, $E$9)</f>
        <v>15.2616</v>
      </c>
      <c r="O465" s="10">
        <f>CHOOSE(CONTROL!$C$42, 15.5021, 15.5021) * CHOOSE(CONTROL!$C$21, $C$9, 100%, $E$9)</f>
        <v>15.5021</v>
      </c>
      <c r="P465" s="10">
        <f>CHOOSE(CONTROL!$C$42, 15.2511, 15.2511) * CHOOSE(CONTROL!$C$21, $C$9, 100%, $E$9)</f>
        <v>15.251099999999999</v>
      </c>
      <c r="Q465" s="10">
        <f>CHOOSE(CONTROL!$C$42, 16.0974, 16.0974) * CHOOSE(CONTROL!$C$21, $C$9, 100%, $E$9)</f>
        <v>16.0974</v>
      </c>
      <c r="R465" s="10">
        <f>CHOOSE(CONTROL!$C$42, 16.7246, 16.7246) * CHOOSE(CONTROL!$C$21, $C$9, 100%, $E$9)</f>
        <v>16.724599999999999</v>
      </c>
      <c r="S465" s="10">
        <f>CHOOSE(CONTROL!$C$42, 14.9759, 14.9759) * CHOOSE(CONTROL!$C$21, $C$9, 100%, $E$9)</f>
        <v>14.975899999999999</v>
      </c>
      <c r="T465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465" s="58">
        <f>(1000*CHOOSE(CONTROL!$C$42, 695, 695)*CHOOSE(CONTROL!$C$42, 0.5599, 0.5599)*CHOOSE(CONTROL!$C$42, 30, 30))/1000000</f>
        <v>11.673914999999997</v>
      </c>
      <c r="V465" s="58">
        <f>(1000*CHOOSE(CONTROL!$C$42, 500, 500)*CHOOSE(CONTROL!$C$42, 0.275, 0.275)*CHOOSE(CONTROL!$C$42, 30, 30))/1000000</f>
        <v>4.125</v>
      </c>
      <c r="W465" s="58">
        <f>(1000*CHOOSE(CONTROL!$C$42, 0.1146, 0.1146)*CHOOSE(CONTROL!$C$42, 121.5, 121.5)*CHOOSE(CONTROL!$C$42, 30, 30))/1000000</f>
        <v>0.417717</v>
      </c>
      <c r="X465" s="58">
        <f>(30*0.1790888*245000/1000000)+(30*0.2374*100000/1000000)</f>
        <v>2.0285026799999999</v>
      </c>
      <c r="Y465" s="58"/>
      <c r="Z465" s="10"/>
      <c r="AA465" s="57"/>
      <c r="AB465" s="51">
        <f>(B465*194.205+C465*267.466+D465*133.845+E465*53.484+F465*40+G465*185+H465*0+I465*100+J465*300)/(194.205+267.466+133.845+53.484+0+40+185+100+300)</f>
        <v>15.443033018367347</v>
      </c>
      <c r="AC465" s="27">
        <f>(M465*'RAP TEMPLATE-GAS AVAILABILITY'!O464+N465*'RAP TEMPLATE-GAS AVAILABILITY'!P464+O465*'RAP TEMPLATE-GAS AVAILABILITY'!Q464+P465*'RAP TEMPLATE-GAS AVAILABILITY'!R464)/('RAP TEMPLATE-GAS AVAILABILITY'!O464+'RAP TEMPLATE-GAS AVAILABILITY'!P464+'RAP TEMPLATE-GAS AVAILABILITY'!Q464+'RAP TEMPLATE-GAS AVAILABILITY'!R464)</f>
        <v>15.321662589928058</v>
      </c>
    </row>
    <row r="466" spans="1:29" ht="15.75" x14ac:dyDescent="0.25">
      <c r="A466" s="14">
        <v>55092</v>
      </c>
      <c r="B466" s="10">
        <f>CHOOSE(CONTROL!$C$42, 15.1111, 15.1111) * CHOOSE(CONTROL!$C$21, $C$9, 100%, $E$9)</f>
        <v>15.1111</v>
      </c>
      <c r="C466" s="10">
        <f>CHOOSE(CONTROL!$C$42, 15.1163, 15.1163) * CHOOSE(CONTROL!$C$21, $C$9, 100%, $E$9)</f>
        <v>15.116300000000001</v>
      </c>
      <c r="D466" s="10">
        <f>CHOOSE(CONTROL!$C$42, 15.3137, 15.3137) * CHOOSE(CONTROL!$C$21, $C$9, 100%, $E$9)</f>
        <v>15.313700000000001</v>
      </c>
      <c r="E466" s="10">
        <f>CHOOSE(CONTROL!$C$42, 15.3425, 15.3425) * CHOOSE(CONTROL!$C$21, $C$9, 100%, $E$9)</f>
        <v>15.342499999999999</v>
      </c>
      <c r="F466" s="10">
        <f>CHOOSE(CONTROL!$C$42, 15.08, 15.08)*CHOOSE(CONTROL!$C$21, $C$9, 100%, $E$9)</f>
        <v>15.08</v>
      </c>
      <c r="G466" s="10">
        <f>CHOOSE(CONTROL!$C$42, 15.097, 15.097)*CHOOSE(CONTROL!$C$21, $C$9, 100%, $E$9)</f>
        <v>15.097</v>
      </c>
      <c r="H466" s="10">
        <f>CHOOSE(CONTROL!$C$42, 15.333, 15.333) * CHOOSE(CONTROL!$C$21, $C$9, 100%, $E$9)</f>
        <v>15.333</v>
      </c>
      <c r="I466" s="10">
        <f>CHOOSE(CONTROL!$C$42, 15.0795, 15.0795)* CHOOSE(CONTROL!$C$21, $C$9, 100%, $E$9)</f>
        <v>15.079499999999999</v>
      </c>
      <c r="J466" s="10">
        <f>CHOOSE(CONTROL!$C$42, 15.073, 15.073)* CHOOSE(CONTROL!$C$21, $C$9, 100%, $E$9)</f>
        <v>15.073</v>
      </c>
      <c r="K466" s="54">
        <f>CHOOSE(CONTROL!$C$42, 15.0756, 15.0756) * CHOOSE(CONTROL!$C$21, $C$9, 100%, $E$9)</f>
        <v>15.0756</v>
      </c>
      <c r="L466" s="10">
        <f>CHOOSE(CONTROL!$C$42, 15.92, 15.92) * CHOOSE(CONTROL!$C$21, $C$9, 100%, $E$9)</f>
        <v>15.92</v>
      </c>
      <c r="M466" s="10">
        <f>CHOOSE(CONTROL!$C$42, 14.9347, 14.9347) * CHOOSE(CONTROL!$C$21, $C$9, 100%, $E$9)</f>
        <v>14.934699999999999</v>
      </c>
      <c r="N466" s="10">
        <f>CHOOSE(CONTROL!$C$42, 14.9515, 14.9515) * CHOOSE(CONTROL!$C$21, $C$9, 100%, $E$9)</f>
        <v>14.951499999999999</v>
      </c>
      <c r="O466" s="10">
        <f>CHOOSE(CONTROL!$C$42, 15.1921, 15.1921) * CHOOSE(CONTROL!$C$21, $C$9, 100%, $E$9)</f>
        <v>15.1921</v>
      </c>
      <c r="P466" s="10">
        <f>CHOOSE(CONTROL!$C$42, 14.9412, 14.9412) * CHOOSE(CONTROL!$C$21, $C$9, 100%, $E$9)</f>
        <v>14.9412</v>
      </c>
      <c r="Q466" s="10">
        <f>CHOOSE(CONTROL!$C$42, 15.7874, 15.7874) * CHOOSE(CONTROL!$C$21, $C$9, 100%, $E$9)</f>
        <v>15.7874</v>
      </c>
      <c r="R466" s="10">
        <f>CHOOSE(CONTROL!$C$42, 16.4139, 16.4139) * CHOOSE(CONTROL!$C$21, $C$9, 100%, $E$9)</f>
        <v>16.413900000000002</v>
      </c>
      <c r="S466" s="10">
        <f>CHOOSE(CONTROL!$C$42, 14.6719, 14.6719) * CHOOSE(CONTROL!$C$21, $C$9, 100%, $E$9)</f>
        <v>14.671900000000001</v>
      </c>
      <c r="T466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466" s="58">
        <f>(1000*CHOOSE(CONTROL!$C$42, 695, 695)*CHOOSE(CONTROL!$C$42, 0.5599, 0.5599)*CHOOSE(CONTROL!$C$42, 31, 31))/1000000</f>
        <v>12.063045499999998</v>
      </c>
      <c r="V466" s="58">
        <f>(1000*CHOOSE(CONTROL!$C$42, 500, 500)*CHOOSE(CONTROL!$C$42, 0.275, 0.275)*CHOOSE(CONTROL!$C$42, 31, 31))/1000000</f>
        <v>4.2625000000000002</v>
      </c>
      <c r="W466" s="58">
        <f>(1000*CHOOSE(CONTROL!$C$42, 0.1146, 0.1146)*CHOOSE(CONTROL!$C$42, 121.5, 121.5)*CHOOSE(CONTROL!$C$42, 31, 31))/1000000</f>
        <v>0.43164089999999994</v>
      </c>
      <c r="X466" s="58">
        <f>(31*0.1790888*245000/1000000)+(31*0.2374*100000/1000000)</f>
        <v>2.0961194359999999</v>
      </c>
      <c r="Y466" s="58"/>
      <c r="Z466" s="10"/>
      <c r="AA466" s="57"/>
      <c r="AB466" s="51">
        <f>(B466*131.881+C466*277.167+D466*79.08+E466*125.872+F466*40+G466*185+H466*0+I466*100+J466*300)/(131.881+277.167+79.08+125.872+0+40+185+100+300)</f>
        <v>15.133817641000809</v>
      </c>
      <c r="AC466" s="27">
        <f>(M466*'RAP TEMPLATE-GAS AVAILABILITY'!O465+N466*'RAP TEMPLATE-GAS AVAILABILITY'!P465+O466*'RAP TEMPLATE-GAS AVAILABILITY'!Q465+P466*'RAP TEMPLATE-GAS AVAILABILITY'!R465)/('RAP TEMPLATE-GAS AVAILABILITY'!O465+'RAP TEMPLATE-GAS AVAILABILITY'!P465+'RAP TEMPLATE-GAS AVAILABILITY'!Q465+'RAP TEMPLATE-GAS AVAILABILITY'!R465)</f>
        <v>15.011723021582736</v>
      </c>
    </row>
    <row r="467" spans="1:29" ht="15.75" x14ac:dyDescent="0.25">
      <c r="A467" s="14">
        <v>55122</v>
      </c>
      <c r="B467" s="10">
        <f>CHOOSE(CONTROL!$C$42, 15.5087, 15.5087) * CHOOSE(CONTROL!$C$21, $C$9, 100%, $E$9)</f>
        <v>15.508699999999999</v>
      </c>
      <c r="C467" s="10">
        <f>CHOOSE(CONTROL!$C$42, 15.5137, 15.5137) * CHOOSE(CONTROL!$C$21, $C$9, 100%, $E$9)</f>
        <v>15.5137</v>
      </c>
      <c r="D467" s="10">
        <f>CHOOSE(CONTROL!$C$42, 15.5433, 15.5433) * CHOOSE(CONTROL!$C$21, $C$9, 100%, $E$9)</f>
        <v>15.5433</v>
      </c>
      <c r="E467" s="10">
        <f>CHOOSE(CONTROL!$C$42, 15.5771, 15.5771) * CHOOSE(CONTROL!$C$21, $C$9, 100%, $E$9)</f>
        <v>15.5771</v>
      </c>
      <c r="F467" s="10">
        <f>CHOOSE(CONTROL!$C$42, 15.4755, 15.4755)*CHOOSE(CONTROL!$C$21, $C$9, 100%, $E$9)</f>
        <v>15.4755</v>
      </c>
      <c r="G467" s="10">
        <f>CHOOSE(CONTROL!$C$42, 15.4926, 15.4926)*CHOOSE(CONTROL!$C$21, $C$9, 100%, $E$9)</f>
        <v>15.492599999999999</v>
      </c>
      <c r="H467" s="10">
        <f>CHOOSE(CONTROL!$C$42, 15.5663, 15.5663) * CHOOSE(CONTROL!$C$21, $C$9, 100%, $E$9)</f>
        <v>15.5663</v>
      </c>
      <c r="I467" s="10">
        <f>CHOOSE(CONTROL!$C$42, 15.4723, 15.4723)* CHOOSE(CONTROL!$C$21, $C$9, 100%, $E$9)</f>
        <v>15.472300000000001</v>
      </c>
      <c r="J467" s="10">
        <f>CHOOSE(CONTROL!$C$42, 15.4685, 15.4685)* CHOOSE(CONTROL!$C$21, $C$9, 100%, $E$9)</f>
        <v>15.468500000000001</v>
      </c>
      <c r="K467" s="54">
        <f>CHOOSE(CONTROL!$C$42, 15.4684, 15.4684) * CHOOSE(CONTROL!$C$21, $C$9, 100%, $E$9)</f>
        <v>15.468400000000001</v>
      </c>
      <c r="L467" s="10">
        <f>CHOOSE(CONTROL!$C$42, 16.1533, 16.1533) * CHOOSE(CONTROL!$C$21, $C$9, 100%, $E$9)</f>
        <v>16.153300000000002</v>
      </c>
      <c r="M467" s="10">
        <f>CHOOSE(CONTROL!$C$42, 15.3262, 15.3262) * CHOOSE(CONTROL!$C$21, $C$9, 100%, $E$9)</f>
        <v>15.3262</v>
      </c>
      <c r="N467" s="10">
        <f>CHOOSE(CONTROL!$C$42, 15.3432, 15.3432) * CHOOSE(CONTROL!$C$21, $C$9, 100%, $E$9)</f>
        <v>15.3432</v>
      </c>
      <c r="O467" s="10">
        <f>CHOOSE(CONTROL!$C$42, 15.423, 15.423) * CHOOSE(CONTROL!$C$21, $C$9, 100%, $E$9)</f>
        <v>15.423</v>
      </c>
      <c r="P467" s="10">
        <f>CHOOSE(CONTROL!$C$42, 15.33, 15.33) * CHOOSE(CONTROL!$C$21, $C$9, 100%, $E$9)</f>
        <v>15.33</v>
      </c>
      <c r="Q467" s="10">
        <f>CHOOSE(CONTROL!$C$42, 16.0183, 16.0183) * CHOOSE(CONTROL!$C$21, $C$9, 100%, $E$9)</f>
        <v>16.0183</v>
      </c>
      <c r="R467" s="10">
        <f>CHOOSE(CONTROL!$C$42, 16.6453, 16.6453) * CHOOSE(CONTROL!$C$21, $C$9, 100%, $E$9)</f>
        <v>16.645299999999999</v>
      </c>
      <c r="S467" s="10">
        <f>CHOOSE(CONTROL!$C$42, 15.0584, 15.0584) * CHOOSE(CONTROL!$C$21, $C$9, 100%, $E$9)</f>
        <v>15.058400000000001</v>
      </c>
      <c r="T467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467" s="58">
        <f>(1000*CHOOSE(CONTROL!$C$42, 695, 695)*CHOOSE(CONTROL!$C$42, 0.5599, 0.5599)*CHOOSE(CONTROL!$C$42, 30, 30))/1000000</f>
        <v>11.673914999999997</v>
      </c>
      <c r="V467" s="58">
        <f>(1000*CHOOSE(CONTROL!$C$42, 500, 500)*CHOOSE(CONTROL!$C$42, 0.275, 0.275)*CHOOSE(CONTROL!$C$42, 30, 30))/1000000</f>
        <v>4.125</v>
      </c>
      <c r="W467" s="58">
        <f>(1000*CHOOSE(CONTROL!$C$42, 0.1146, 0.1146)*CHOOSE(CONTROL!$C$42, 121.5, 121.5)*CHOOSE(CONTROL!$C$42, 30, 30))/1000000</f>
        <v>0.417717</v>
      </c>
      <c r="X467" s="58">
        <f>(30*0.1790888*100000/1000000)+(30*0.2374*100000/1000000)</f>
        <v>1.2494664</v>
      </c>
      <c r="Y467" s="58"/>
      <c r="Z467" s="10"/>
      <c r="AA467" s="57"/>
      <c r="AB467" s="51">
        <f>(B467*122.58+C467*297.941+D467*89.177+E467*40.302+F467*40+G467*160+H467*0+I467*100+J467*300)/(122.58+297.941+89.177+40.302+0+40+160+100+300)</f>
        <v>15.498028596521737</v>
      </c>
      <c r="AC467" s="27">
        <f>(M467*'RAP TEMPLATE-GAS AVAILABILITY'!O466+N467*'RAP TEMPLATE-GAS AVAILABILITY'!P466+O467*'RAP TEMPLATE-GAS AVAILABILITY'!Q466+P467*'RAP TEMPLATE-GAS AVAILABILITY'!R466)/('RAP TEMPLATE-GAS AVAILABILITY'!O466+'RAP TEMPLATE-GAS AVAILABILITY'!P466+'RAP TEMPLATE-GAS AVAILABILITY'!Q466+'RAP TEMPLATE-GAS AVAILABILITY'!R466)</f>
        <v>15.371598561151076</v>
      </c>
    </row>
    <row r="468" spans="1:29" ht="15.75" x14ac:dyDescent="0.25">
      <c r="A468" s="14">
        <v>55153</v>
      </c>
      <c r="B468" s="10">
        <f>CHOOSE(CONTROL!$C$42, 16.5659, 16.5659) * CHOOSE(CONTROL!$C$21, $C$9, 100%, $E$9)</f>
        <v>16.565899999999999</v>
      </c>
      <c r="C468" s="10">
        <f>CHOOSE(CONTROL!$C$42, 16.5709, 16.5709) * CHOOSE(CONTROL!$C$21, $C$9, 100%, $E$9)</f>
        <v>16.570900000000002</v>
      </c>
      <c r="D468" s="10">
        <f>CHOOSE(CONTROL!$C$42, 16.6005, 16.6005) * CHOOSE(CONTROL!$C$21, $C$9, 100%, $E$9)</f>
        <v>16.6005</v>
      </c>
      <c r="E468" s="10">
        <f>CHOOSE(CONTROL!$C$42, 16.6342, 16.6342) * CHOOSE(CONTROL!$C$21, $C$9, 100%, $E$9)</f>
        <v>16.6342</v>
      </c>
      <c r="F468" s="10">
        <f>CHOOSE(CONTROL!$C$42, 16.5341, 16.5341)*CHOOSE(CONTROL!$C$21, $C$9, 100%, $E$9)</f>
        <v>16.534099999999999</v>
      </c>
      <c r="G468" s="10">
        <f>CHOOSE(CONTROL!$C$42, 16.5516, 16.5516)*CHOOSE(CONTROL!$C$21, $C$9, 100%, $E$9)</f>
        <v>16.551600000000001</v>
      </c>
      <c r="H468" s="10">
        <f>CHOOSE(CONTROL!$C$42, 16.6234, 16.6234) * CHOOSE(CONTROL!$C$21, $C$9, 100%, $E$9)</f>
        <v>16.6234</v>
      </c>
      <c r="I468" s="10">
        <f>CHOOSE(CONTROL!$C$42, 16.5295, 16.5295)* CHOOSE(CONTROL!$C$21, $C$9, 100%, $E$9)</f>
        <v>16.529499999999999</v>
      </c>
      <c r="J468" s="10">
        <f>CHOOSE(CONTROL!$C$42, 16.5271, 16.5271)* CHOOSE(CONTROL!$C$21, $C$9, 100%, $E$9)</f>
        <v>16.527100000000001</v>
      </c>
      <c r="K468" s="54">
        <f>CHOOSE(CONTROL!$C$42, 16.5256, 16.5256) * CHOOSE(CONTROL!$C$21, $C$9, 100%, $E$9)</f>
        <v>16.525600000000001</v>
      </c>
      <c r="L468" s="10">
        <f>CHOOSE(CONTROL!$C$42, 17.2104, 17.2104) * CHOOSE(CONTROL!$C$21, $C$9, 100%, $E$9)</f>
        <v>17.2104</v>
      </c>
      <c r="M468" s="10">
        <f>CHOOSE(CONTROL!$C$42, 16.3742, 16.3742) * CHOOSE(CONTROL!$C$21, $C$9, 100%, $E$9)</f>
        <v>16.374199999999998</v>
      </c>
      <c r="N468" s="10">
        <f>CHOOSE(CONTROL!$C$42, 16.3915, 16.3915) * CHOOSE(CONTROL!$C$21, $C$9, 100%, $E$9)</f>
        <v>16.391500000000001</v>
      </c>
      <c r="O468" s="10">
        <f>CHOOSE(CONTROL!$C$42, 16.4695, 16.4695) * CHOOSE(CONTROL!$C$21, $C$9, 100%, $E$9)</f>
        <v>16.4695</v>
      </c>
      <c r="P468" s="10">
        <f>CHOOSE(CONTROL!$C$42, 16.3766, 16.3766) * CHOOSE(CONTROL!$C$21, $C$9, 100%, $E$9)</f>
        <v>16.3766</v>
      </c>
      <c r="Q468" s="10">
        <f>CHOOSE(CONTROL!$C$42, 17.0648, 17.0648) * CHOOSE(CONTROL!$C$21, $C$9, 100%, $E$9)</f>
        <v>17.064800000000002</v>
      </c>
      <c r="R468" s="10">
        <f>CHOOSE(CONTROL!$C$42, 17.6945, 17.6945) * CHOOSE(CONTROL!$C$21, $C$9, 100%, $E$9)</f>
        <v>17.694500000000001</v>
      </c>
      <c r="S468" s="10">
        <f>CHOOSE(CONTROL!$C$42, 16.085, 16.085) * CHOOSE(CONTROL!$C$21, $C$9, 100%, $E$9)</f>
        <v>16.085000000000001</v>
      </c>
      <c r="T468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468" s="58">
        <f>(1000*CHOOSE(CONTROL!$C$42, 695, 695)*CHOOSE(CONTROL!$C$42, 0.5599, 0.5599)*CHOOSE(CONTROL!$C$42, 31, 31))/1000000</f>
        <v>12.063045499999998</v>
      </c>
      <c r="V468" s="58">
        <f>(1000*CHOOSE(CONTROL!$C$42, 500, 500)*CHOOSE(CONTROL!$C$42, 0.275, 0.275)*CHOOSE(CONTROL!$C$42, 31, 31))/1000000</f>
        <v>4.2625000000000002</v>
      </c>
      <c r="W468" s="58">
        <f>(1000*CHOOSE(CONTROL!$C$42, 0.1146, 0.1146)*CHOOSE(CONTROL!$C$42, 121.5, 121.5)*CHOOSE(CONTROL!$C$42, 31, 31))/1000000</f>
        <v>0.43164089999999994</v>
      </c>
      <c r="X468" s="58">
        <f>(31*0.1790888*100000/1000000)+(31*0.2374*100000/1000000)</f>
        <v>1.2911152800000001</v>
      </c>
      <c r="Y468" s="58"/>
      <c r="Z468" s="10"/>
      <c r="AA468" s="57"/>
      <c r="AB468" s="51">
        <f>(B468*122.58+C468*297.941+D468*89.177+E468*40.302+F468*40+G468*160+H468*0+I468*100+J468*300)/(122.58+297.941+89.177+40.302+0+40+160+100+300)</f>
        <v>16.555889439826089</v>
      </c>
      <c r="AC468" s="27">
        <f>(M468*'RAP TEMPLATE-GAS AVAILABILITY'!O467+N468*'RAP TEMPLATE-GAS AVAILABILITY'!P467+O468*'RAP TEMPLATE-GAS AVAILABILITY'!Q467+P468*'RAP TEMPLATE-GAS AVAILABILITY'!R467)/('RAP TEMPLATE-GAS AVAILABILITY'!O467+'RAP TEMPLATE-GAS AVAILABILITY'!P467+'RAP TEMPLATE-GAS AVAILABILITY'!Q467+'RAP TEMPLATE-GAS AVAILABILITY'!R467)</f>
        <v>16.418734532374099</v>
      </c>
    </row>
    <row r="469" spans="1:29" ht="15.75" x14ac:dyDescent="0.25">
      <c r="A469" s="14">
        <v>55184</v>
      </c>
      <c r="B469" s="10">
        <f>CHOOSE(CONTROL!$C$42, 17.923, 17.923) * CHOOSE(CONTROL!$C$21, $C$9, 100%, $E$9)</f>
        <v>17.922999999999998</v>
      </c>
      <c r="C469" s="10">
        <f>CHOOSE(CONTROL!$C$42, 17.928, 17.928) * CHOOSE(CONTROL!$C$21, $C$9, 100%, $E$9)</f>
        <v>17.928000000000001</v>
      </c>
      <c r="D469" s="10">
        <f>CHOOSE(CONTROL!$C$42, 17.9782, 17.9782) * CHOOSE(CONTROL!$C$21, $C$9, 100%, $E$9)</f>
        <v>17.978200000000001</v>
      </c>
      <c r="E469" s="10">
        <f>CHOOSE(CONTROL!$C$42, 18.0119, 18.0119) * CHOOSE(CONTROL!$C$21, $C$9, 100%, $E$9)</f>
        <v>18.011900000000001</v>
      </c>
      <c r="F469" s="10">
        <f>CHOOSE(CONTROL!$C$42, 17.8884, 17.8884)*CHOOSE(CONTROL!$C$21, $C$9, 100%, $E$9)</f>
        <v>17.888400000000001</v>
      </c>
      <c r="G469" s="10">
        <f>CHOOSE(CONTROL!$C$42, 17.9059, 17.9059)*CHOOSE(CONTROL!$C$21, $C$9, 100%, $E$9)</f>
        <v>17.905899999999999</v>
      </c>
      <c r="H469" s="10">
        <f>CHOOSE(CONTROL!$C$42, 18.0011, 18.0011) * CHOOSE(CONTROL!$C$21, $C$9, 100%, $E$9)</f>
        <v>18.001100000000001</v>
      </c>
      <c r="I469" s="10">
        <f>CHOOSE(CONTROL!$C$42, 17.8969, 17.8969)* CHOOSE(CONTROL!$C$21, $C$9, 100%, $E$9)</f>
        <v>17.896899999999999</v>
      </c>
      <c r="J469" s="10">
        <f>CHOOSE(CONTROL!$C$42, 17.8814, 17.8814)* CHOOSE(CONTROL!$C$21, $C$9, 100%, $E$9)</f>
        <v>17.881399999999999</v>
      </c>
      <c r="K469" s="54">
        <f>CHOOSE(CONTROL!$C$42, 17.893, 17.893) * CHOOSE(CONTROL!$C$21, $C$9, 100%, $E$9)</f>
        <v>17.893000000000001</v>
      </c>
      <c r="L469" s="10">
        <f>CHOOSE(CONTROL!$C$42, 18.5881, 18.5881) * CHOOSE(CONTROL!$C$21, $C$9, 100%, $E$9)</f>
        <v>18.588100000000001</v>
      </c>
      <c r="M469" s="10">
        <f>CHOOSE(CONTROL!$C$42, 17.7147, 17.7147) * CHOOSE(CONTROL!$C$21, $C$9, 100%, $E$9)</f>
        <v>17.714700000000001</v>
      </c>
      <c r="N469" s="10">
        <f>CHOOSE(CONTROL!$C$42, 17.7321, 17.7321) * CHOOSE(CONTROL!$C$21, $C$9, 100%, $E$9)</f>
        <v>17.732099999999999</v>
      </c>
      <c r="O469" s="10">
        <f>CHOOSE(CONTROL!$C$42, 17.8333, 17.8333) * CHOOSE(CONTROL!$C$21, $C$9, 100%, $E$9)</f>
        <v>17.833300000000001</v>
      </c>
      <c r="P469" s="10">
        <f>CHOOSE(CONTROL!$C$42, 17.7302, 17.7302) * CHOOSE(CONTROL!$C$21, $C$9, 100%, $E$9)</f>
        <v>17.7302</v>
      </c>
      <c r="Q469" s="10">
        <f>CHOOSE(CONTROL!$C$42, 18.4286, 18.4286) * CHOOSE(CONTROL!$C$21, $C$9, 100%, $E$9)</f>
        <v>18.428599999999999</v>
      </c>
      <c r="R469" s="10">
        <f>CHOOSE(CONTROL!$C$42, 19.0617, 19.0617) * CHOOSE(CONTROL!$C$21, $C$9, 100%, $E$9)</f>
        <v>19.061699999999998</v>
      </c>
      <c r="S469" s="10">
        <f>CHOOSE(CONTROL!$C$42, 17.4029, 17.4029) * CHOOSE(CONTROL!$C$21, $C$9, 100%, $E$9)</f>
        <v>17.402899999999999</v>
      </c>
      <c r="T469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469" s="58">
        <f>(1000*CHOOSE(CONTROL!$C$42, 695, 695)*CHOOSE(CONTROL!$C$42, 0.5599, 0.5599)*CHOOSE(CONTROL!$C$42, 31, 31))/1000000</f>
        <v>12.063045499999998</v>
      </c>
      <c r="V469" s="58">
        <f>(1000*CHOOSE(CONTROL!$C$42, 500, 500)*CHOOSE(CONTROL!$C$42, 0.275, 0.275)*CHOOSE(CONTROL!$C$42, 31, 31))/1000000</f>
        <v>4.2625000000000002</v>
      </c>
      <c r="W469" s="58">
        <f>(1000*CHOOSE(CONTROL!$C$42, 0.1146, 0.1146)*CHOOSE(CONTROL!$C$42, 121.5, 121.5)*CHOOSE(CONTROL!$C$42, 31, 31))/1000000</f>
        <v>0.43164089999999994</v>
      </c>
      <c r="X469" s="58">
        <f>(31*0.1790888*100000/1000000)+(31*0.2374*100000/1000000)</f>
        <v>1.2911152800000001</v>
      </c>
      <c r="Y469" s="58"/>
      <c r="Z469" s="10"/>
      <c r="AA469" s="57"/>
      <c r="AB469" s="51">
        <f>(B469*122.58+C469*297.941+D469*89.177+E469*40.302+F469*40+G469*160+H469*0+I469*100+J469*300)/(122.58+297.941+89.177+40.302+0+40+160+100+300)</f>
        <v>17.914987063652173</v>
      </c>
      <c r="AC469" s="27">
        <f>(M469*'RAP TEMPLATE-GAS AVAILABILITY'!O468+N469*'RAP TEMPLATE-GAS AVAILABILITY'!P468+O469*'RAP TEMPLATE-GAS AVAILABILITY'!Q468+P469*'RAP TEMPLATE-GAS AVAILABILITY'!R468)/('RAP TEMPLATE-GAS AVAILABILITY'!O468+'RAP TEMPLATE-GAS AVAILABILITY'!P468+'RAP TEMPLATE-GAS AVAILABILITY'!Q468+'RAP TEMPLATE-GAS AVAILABILITY'!R468)</f>
        <v>17.771685611510794</v>
      </c>
    </row>
    <row r="470" spans="1:29" ht="15.75" x14ac:dyDescent="0.25">
      <c r="A470" s="14">
        <v>55212</v>
      </c>
      <c r="B470" s="10">
        <f>CHOOSE(CONTROL!$C$42, 18.242, 18.242) * CHOOSE(CONTROL!$C$21, $C$9, 100%, $E$9)</f>
        <v>18.242000000000001</v>
      </c>
      <c r="C470" s="10">
        <f>CHOOSE(CONTROL!$C$42, 18.247, 18.247) * CHOOSE(CONTROL!$C$21, $C$9, 100%, $E$9)</f>
        <v>18.247</v>
      </c>
      <c r="D470" s="10">
        <f>CHOOSE(CONTROL!$C$42, 18.3075, 18.3075) * CHOOSE(CONTROL!$C$21, $C$9, 100%, $E$9)</f>
        <v>18.307500000000001</v>
      </c>
      <c r="E470" s="10">
        <f>CHOOSE(CONTROL!$C$42, 18.3412, 18.3412) * CHOOSE(CONTROL!$C$21, $C$9, 100%, $E$9)</f>
        <v>18.341200000000001</v>
      </c>
      <c r="F470" s="10">
        <f>CHOOSE(CONTROL!$C$42, 18.2352, 18.2352)*CHOOSE(CONTROL!$C$21, $C$9, 100%, $E$9)</f>
        <v>18.235199999999999</v>
      </c>
      <c r="G470" s="10">
        <f>CHOOSE(CONTROL!$C$42, 18.2525, 18.2525)*CHOOSE(CONTROL!$C$21, $C$9, 100%, $E$9)</f>
        <v>18.252500000000001</v>
      </c>
      <c r="H470" s="10">
        <f>CHOOSE(CONTROL!$C$42, 18.3304, 18.3304) * CHOOSE(CONTROL!$C$21, $C$9, 100%, $E$9)</f>
        <v>18.330400000000001</v>
      </c>
      <c r="I470" s="10">
        <f>CHOOSE(CONTROL!$C$42, 18.2288, 18.2288)* CHOOSE(CONTROL!$C$21, $C$9, 100%, $E$9)</f>
        <v>18.2288</v>
      </c>
      <c r="J470" s="10">
        <f>CHOOSE(CONTROL!$C$42, 18.2282, 18.2282)* CHOOSE(CONTROL!$C$21, $C$9, 100%, $E$9)</f>
        <v>18.228200000000001</v>
      </c>
      <c r="K470" s="54">
        <f>CHOOSE(CONTROL!$C$42, 18.2249, 18.2249) * CHOOSE(CONTROL!$C$21, $C$9, 100%, $E$9)</f>
        <v>18.224900000000002</v>
      </c>
      <c r="L470" s="10">
        <f>CHOOSE(CONTROL!$C$42, 18.9174, 18.9174) * CHOOSE(CONTROL!$C$21, $C$9, 100%, $E$9)</f>
        <v>18.917400000000001</v>
      </c>
      <c r="M470" s="10">
        <f>CHOOSE(CONTROL!$C$42, 18.0581, 18.0581) * CHOOSE(CONTROL!$C$21, $C$9, 100%, $E$9)</f>
        <v>18.0581</v>
      </c>
      <c r="N470" s="10">
        <f>CHOOSE(CONTROL!$C$42, 18.0752, 18.0752) * CHOOSE(CONTROL!$C$21, $C$9, 100%, $E$9)</f>
        <v>18.075199999999999</v>
      </c>
      <c r="O470" s="10">
        <f>CHOOSE(CONTROL!$C$42, 18.1593, 18.1593) * CHOOSE(CONTROL!$C$21, $C$9, 100%, $E$9)</f>
        <v>18.159300000000002</v>
      </c>
      <c r="P470" s="10">
        <f>CHOOSE(CONTROL!$C$42, 18.0587, 18.0587) * CHOOSE(CONTROL!$C$21, $C$9, 100%, $E$9)</f>
        <v>18.058700000000002</v>
      </c>
      <c r="Q470" s="10">
        <f>CHOOSE(CONTROL!$C$42, 18.7546, 18.7546) * CHOOSE(CONTROL!$C$21, $C$9, 100%, $E$9)</f>
        <v>18.7546</v>
      </c>
      <c r="R470" s="10">
        <f>CHOOSE(CONTROL!$C$42, 19.3885, 19.3885) * CHOOSE(CONTROL!$C$21, $C$9, 100%, $E$9)</f>
        <v>19.388500000000001</v>
      </c>
      <c r="S470" s="10">
        <f>CHOOSE(CONTROL!$C$42, 17.7127, 17.7127) * CHOOSE(CONTROL!$C$21, $C$9, 100%, $E$9)</f>
        <v>17.712700000000002</v>
      </c>
      <c r="T470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470" s="58">
        <f>(1000*CHOOSE(CONTROL!$C$42, 695, 695)*CHOOSE(CONTROL!$C$42, 0.5599, 0.5599)*CHOOSE(CONTROL!$C$42, 28, 28))/1000000</f>
        <v>10.895653999999999</v>
      </c>
      <c r="V470" s="58">
        <f>(1000*CHOOSE(CONTROL!$C$42, 500, 500)*CHOOSE(CONTROL!$C$42, 0.275, 0.275)*CHOOSE(CONTROL!$C$42, 28, 28))/1000000</f>
        <v>3.85</v>
      </c>
      <c r="W470" s="58">
        <f>(1000*CHOOSE(CONTROL!$C$42, 0.1146, 0.1146)*CHOOSE(CONTROL!$C$42, 121.5, 121.5)*CHOOSE(CONTROL!$C$42, 28, 28))/1000000</f>
        <v>0.38986920000000003</v>
      </c>
      <c r="X470" s="58">
        <f>(28*0.1790888*100000/1000000)+(28*0.2374*100000/1000000)</f>
        <v>1.16616864</v>
      </c>
      <c r="Y470" s="58"/>
      <c r="Z470" s="10"/>
      <c r="AA470" s="57"/>
      <c r="AB470" s="51">
        <f>(B470*122.58+C470*297.941+D470*89.177+E470*40.302+F470*40+G470*160+H470*0+I470*100+J470*300)/(122.58+297.941+89.177+40.302+0+40+160+100+300)</f>
        <v>18.248327614695651</v>
      </c>
      <c r="AC470" s="27">
        <f>(M470*'RAP TEMPLATE-GAS AVAILABILITY'!O469+N470*'RAP TEMPLATE-GAS AVAILABILITY'!P469+O470*'RAP TEMPLATE-GAS AVAILABILITY'!Q469+P470*'RAP TEMPLATE-GAS AVAILABILITY'!R469)/('RAP TEMPLATE-GAS AVAILABILITY'!O469+'RAP TEMPLATE-GAS AVAILABILITY'!P469+'RAP TEMPLATE-GAS AVAILABILITY'!Q469+'RAP TEMPLATE-GAS AVAILABILITY'!R469)</f>
        <v>18.105038129496403</v>
      </c>
    </row>
    <row r="471" spans="1:29" ht="15.75" x14ac:dyDescent="0.25">
      <c r="A471" s="14">
        <v>55243</v>
      </c>
      <c r="B471" s="10">
        <f>CHOOSE(CONTROL!$C$42, 17.7242, 17.7242) * CHOOSE(CONTROL!$C$21, $C$9, 100%, $E$9)</f>
        <v>17.7242</v>
      </c>
      <c r="C471" s="10">
        <f>CHOOSE(CONTROL!$C$42, 17.7292, 17.7292) * CHOOSE(CONTROL!$C$21, $C$9, 100%, $E$9)</f>
        <v>17.729199999999999</v>
      </c>
      <c r="D471" s="10">
        <f>CHOOSE(CONTROL!$C$42, 17.7897, 17.7897) * CHOOSE(CONTROL!$C$21, $C$9, 100%, $E$9)</f>
        <v>17.7897</v>
      </c>
      <c r="E471" s="10">
        <f>CHOOSE(CONTROL!$C$42, 17.8234, 17.8234) * CHOOSE(CONTROL!$C$21, $C$9, 100%, $E$9)</f>
        <v>17.823399999999999</v>
      </c>
      <c r="F471" s="10">
        <f>CHOOSE(CONTROL!$C$42, 17.7119, 17.7119)*CHOOSE(CONTROL!$C$21, $C$9, 100%, $E$9)</f>
        <v>17.7119</v>
      </c>
      <c r="G471" s="10">
        <f>CHOOSE(CONTROL!$C$42, 17.7291, 17.7291)*CHOOSE(CONTROL!$C$21, $C$9, 100%, $E$9)</f>
        <v>17.729099999999999</v>
      </c>
      <c r="H471" s="10">
        <f>CHOOSE(CONTROL!$C$42, 17.8126, 17.8126) * CHOOSE(CONTROL!$C$21, $C$9, 100%, $E$9)</f>
        <v>17.8126</v>
      </c>
      <c r="I471" s="10">
        <f>CHOOSE(CONTROL!$C$42, 17.6981, 17.6981)* CHOOSE(CONTROL!$C$21, $C$9, 100%, $E$9)</f>
        <v>17.6981</v>
      </c>
      <c r="J471" s="10">
        <f>CHOOSE(CONTROL!$C$42, 17.7049, 17.7049)* CHOOSE(CONTROL!$C$21, $C$9, 100%, $E$9)</f>
        <v>17.704899999999999</v>
      </c>
      <c r="K471" s="54">
        <f>CHOOSE(CONTROL!$C$42, 17.6942, 17.6942) * CHOOSE(CONTROL!$C$21, $C$9, 100%, $E$9)</f>
        <v>17.694199999999999</v>
      </c>
      <c r="L471" s="10">
        <f>CHOOSE(CONTROL!$C$42, 18.3996, 18.3996) * CHOOSE(CONTROL!$C$21, $C$9, 100%, $E$9)</f>
        <v>18.3996</v>
      </c>
      <c r="M471" s="10">
        <f>CHOOSE(CONTROL!$C$42, 17.5401, 17.5401) * CHOOSE(CONTROL!$C$21, $C$9, 100%, $E$9)</f>
        <v>17.540099999999999</v>
      </c>
      <c r="N471" s="10">
        <f>CHOOSE(CONTROL!$C$42, 17.5571, 17.5571) * CHOOSE(CONTROL!$C$21, $C$9, 100%, $E$9)</f>
        <v>17.557099999999998</v>
      </c>
      <c r="O471" s="10">
        <f>CHOOSE(CONTROL!$C$42, 17.6467, 17.6467) * CHOOSE(CONTROL!$C$21, $C$9, 100%, $E$9)</f>
        <v>17.646699999999999</v>
      </c>
      <c r="P471" s="10">
        <f>CHOOSE(CONTROL!$C$42, 17.5334, 17.5334) * CHOOSE(CONTROL!$C$21, $C$9, 100%, $E$9)</f>
        <v>17.5334</v>
      </c>
      <c r="Q471" s="10">
        <f>CHOOSE(CONTROL!$C$42, 18.242, 18.242) * CHOOSE(CONTROL!$C$21, $C$9, 100%, $E$9)</f>
        <v>18.242000000000001</v>
      </c>
      <c r="R471" s="10">
        <f>CHOOSE(CONTROL!$C$42, 18.8746, 18.8746) * CHOOSE(CONTROL!$C$21, $C$9, 100%, $E$9)</f>
        <v>18.874600000000001</v>
      </c>
      <c r="S471" s="10">
        <f>CHOOSE(CONTROL!$C$42, 17.2098, 17.2098) * CHOOSE(CONTROL!$C$21, $C$9, 100%, $E$9)</f>
        <v>17.209800000000001</v>
      </c>
      <c r="T471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471" s="58">
        <f>(1000*CHOOSE(CONTROL!$C$42, 695, 695)*CHOOSE(CONTROL!$C$42, 0.5599, 0.5599)*CHOOSE(CONTROL!$C$42, 31, 31))/1000000</f>
        <v>12.063045499999998</v>
      </c>
      <c r="V471" s="58">
        <f>(1000*CHOOSE(CONTROL!$C$42, 500, 500)*CHOOSE(CONTROL!$C$42, 0.275, 0.275)*CHOOSE(CONTROL!$C$42, 31, 31))/1000000</f>
        <v>4.2625000000000002</v>
      </c>
      <c r="W471" s="58">
        <f>(1000*CHOOSE(CONTROL!$C$42, 0.1146, 0.1146)*CHOOSE(CONTROL!$C$42, 121.5, 121.5)*CHOOSE(CONTROL!$C$42, 31, 31))/1000000</f>
        <v>0.43164089999999994</v>
      </c>
      <c r="X471" s="58">
        <f>(31*0.1790888*100000/1000000)+(31*0.2374*100000/1000000)</f>
        <v>1.2911152800000001</v>
      </c>
      <c r="Y471" s="58"/>
      <c r="Z471" s="10"/>
      <c r="AA471" s="57"/>
      <c r="AB471" s="51">
        <f>(B471*122.58+C471*297.941+D471*89.177+E471*40.302+F471*40+G471*160+H471*0+I471*100+J471*300)/(122.58+297.941+89.177+40.302+0+40+160+100+300)</f>
        <v>17.727000658173914</v>
      </c>
      <c r="AC471" s="27">
        <f>(M471*'RAP TEMPLATE-GAS AVAILABILITY'!O470+N471*'RAP TEMPLATE-GAS AVAILABILITY'!P470+O471*'RAP TEMPLATE-GAS AVAILABILITY'!Q470+P471*'RAP TEMPLATE-GAS AVAILABILITY'!R470)/('RAP TEMPLATE-GAS AVAILABILITY'!O470+'RAP TEMPLATE-GAS AVAILABILITY'!P470+'RAP TEMPLATE-GAS AVAILABILITY'!Q470+'RAP TEMPLATE-GAS AVAILABILITY'!R470)</f>
        <v>17.588429496402878</v>
      </c>
    </row>
    <row r="472" spans="1:29" ht="15.75" x14ac:dyDescent="0.25">
      <c r="A472" s="14">
        <v>55273</v>
      </c>
      <c r="B472" s="10">
        <f>CHOOSE(CONTROL!$C$42, 17.6723, 17.6723) * CHOOSE(CONTROL!$C$21, $C$9, 100%, $E$9)</f>
        <v>17.6723</v>
      </c>
      <c r="C472" s="10">
        <f>CHOOSE(CONTROL!$C$42, 17.6767, 17.6767) * CHOOSE(CONTROL!$C$21, $C$9, 100%, $E$9)</f>
        <v>17.6767</v>
      </c>
      <c r="D472" s="10">
        <f>CHOOSE(CONTROL!$C$42, 17.8723, 17.8723) * CHOOSE(CONTROL!$C$21, $C$9, 100%, $E$9)</f>
        <v>17.872299999999999</v>
      </c>
      <c r="E472" s="10">
        <f>CHOOSE(CONTROL!$C$42, 17.904, 17.904) * CHOOSE(CONTROL!$C$21, $C$9, 100%, $E$9)</f>
        <v>17.904</v>
      </c>
      <c r="F472" s="10">
        <f>CHOOSE(CONTROL!$C$42, 17.6401, 17.6401)*CHOOSE(CONTROL!$C$21, $C$9, 100%, $E$9)</f>
        <v>17.6401</v>
      </c>
      <c r="G472" s="10">
        <f>CHOOSE(CONTROL!$C$42, 17.6569, 17.6569)*CHOOSE(CONTROL!$C$21, $C$9, 100%, $E$9)</f>
        <v>17.6569</v>
      </c>
      <c r="H472" s="10">
        <f>CHOOSE(CONTROL!$C$42, 17.8938, 17.8938) * CHOOSE(CONTROL!$C$21, $C$9, 100%, $E$9)</f>
        <v>17.893799999999999</v>
      </c>
      <c r="I472" s="10">
        <f>CHOOSE(CONTROL!$C$42, 17.6403, 17.6403)* CHOOSE(CONTROL!$C$21, $C$9, 100%, $E$9)</f>
        <v>17.6403</v>
      </c>
      <c r="J472" s="10">
        <f>CHOOSE(CONTROL!$C$42, 17.6331, 17.6331)* CHOOSE(CONTROL!$C$21, $C$9, 100%, $E$9)</f>
        <v>17.633099999999999</v>
      </c>
      <c r="K472" s="54">
        <f>CHOOSE(CONTROL!$C$42, 17.6364, 17.6364) * CHOOSE(CONTROL!$C$21, $C$9, 100%, $E$9)</f>
        <v>17.636399999999998</v>
      </c>
      <c r="L472" s="10">
        <f>CHOOSE(CONTROL!$C$42, 18.4808, 18.4808) * CHOOSE(CONTROL!$C$21, $C$9, 100%, $E$9)</f>
        <v>18.480799999999999</v>
      </c>
      <c r="M472" s="10">
        <f>CHOOSE(CONTROL!$C$42, 17.469, 17.469) * CHOOSE(CONTROL!$C$21, $C$9, 100%, $E$9)</f>
        <v>17.469000000000001</v>
      </c>
      <c r="N472" s="10">
        <f>CHOOSE(CONTROL!$C$42, 17.4856, 17.4856) * CHOOSE(CONTROL!$C$21, $C$9, 100%, $E$9)</f>
        <v>17.485600000000002</v>
      </c>
      <c r="O472" s="10">
        <f>CHOOSE(CONTROL!$C$42, 17.7271, 17.7271) * CHOOSE(CONTROL!$C$21, $C$9, 100%, $E$9)</f>
        <v>17.7271</v>
      </c>
      <c r="P472" s="10">
        <f>CHOOSE(CONTROL!$C$42, 17.4761, 17.4761) * CHOOSE(CONTROL!$C$21, $C$9, 100%, $E$9)</f>
        <v>17.476099999999999</v>
      </c>
      <c r="Q472" s="10">
        <f>CHOOSE(CONTROL!$C$42, 18.3224, 18.3224) * CHOOSE(CONTROL!$C$21, $C$9, 100%, $E$9)</f>
        <v>18.322399999999998</v>
      </c>
      <c r="R472" s="10">
        <f>CHOOSE(CONTROL!$C$42, 18.9552, 18.9552) * CHOOSE(CONTROL!$C$21, $C$9, 100%, $E$9)</f>
        <v>18.955200000000001</v>
      </c>
      <c r="S472" s="10">
        <f>CHOOSE(CONTROL!$C$42, 17.1587, 17.1587) * CHOOSE(CONTROL!$C$21, $C$9, 100%, $E$9)</f>
        <v>17.1587</v>
      </c>
      <c r="T472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472" s="58">
        <f>(1000*CHOOSE(CONTROL!$C$42, 695, 695)*CHOOSE(CONTROL!$C$42, 0.5599, 0.5599)*CHOOSE(CONTROL!$C$42, 30, 30))/1000000</f>
        <v>11.673914999999997</v>
      </c>
      <c r="V472" s="58">
        <f>(1000*CHOOSE(CONTROL!$C$42, 500, 500)*CHOOSE(CONTROL!$C$42, 0.275, 0.275)*CHOOSE(CONTROL!$C$42, 30, 30))/1000000</f>
        <v>4.125</v>
      </c>
      <c r="W472" s="58">
        <f>(1000*CHOOSE(CONTROL!$C$42, 0.1146, 0.1146)*CHOOSE(CONTROL!$C$42, 121.5, 121.5)*CHOOSE(CONTROL!$C$42, 30, 30))/1000000</f>
        <v>0.417717</v>
      </c>
      <c r="X472" s="58">
        <f>(30*0.1790888*245000/1000000)+(30*0.2374*100000/1000000)</f>
        <v>2.0285026799999999</v>
      </c>
      <c r="Y472" s="58"/>
      <c r="Z472" s="10"/>
      <c r="AA472" s="57"/>
      <c r="AB472" s="51">
        <f>(B472*141.293+C472*267.993+D472*115.016+E472*89.698+F472*40+G472*185+H472*0+I472*100+J472*300)/(141.293+267.993+115.016+89.698+0+40+185+100+300)</f>
        <v>17.693178446973366</v>
      </c>
      <c r="AC472" s="27">
        <f>(M472*'RAP TEMPLATE-GAS AVAILABILITY'!O471+N472*'RAP TEMPLATE-GAS AVAILABILITY'!P471+O472*'RAP TEMPLATE-GAS AVAILABILITY'!Q471+P472*'RAP TEMPLATE-GAS AVAILABILITY'!R471)/('RAP TEMPLATE-GAS AVAILABILITY'!O471+'RAP TEMPLATE-GAS AVAILABILITY'!P471+'RAP TEMPLATE-GAS AVAILABILITY'!Q471+'RAP TEMPLATE-GAS AVAILABILITY'!R471)</f>
        <v>17.546259712230217</v>
      </c>
    </row>
    <row r="473" spans="1:29" ht="15.75" x14ac:dyDescent="0.25">
      <c r="A473" s="14">
        <v>55304</v>
      </c>
      <c r="B473" s="10">
        <f>CHOOSE(CONTROL!$C$42, 17.8296, 17.8296) * CHOOSE(CONTROL!$C$21, $C$9, 100%, $E$9)</f>
        <v>17.829599999999999</v>
      </c>
      <c r="C473" s="10">
        <f>CHOOSE(CONTROL!$C$42, 17.8376, 17.8376) * CHOOSE(CONTROL!$C$21, $C$9, 100%, $E$9)</f>
        <v>17.837599999999998</v>
      </c>
      <c r="D473" s="10">
        <f>CHOOSE(CONTROL!$C$42, 18.03, 18.03) * CHOOSE(CONTROL!$C$21, $C$9, 100%, $E$9)</f>
        <v>18.03</v>
      </c>
      <c r="E473" s="10">
        <f>CHOOSE(CONTROL!$C$42, 18.0611, 18.0611) * CHOOSE(CONTROL!$C$21, $C$9, 100%, $E$9)</f>
        <v>18.0611</v>
      </c>
      <c r="F473" s="10">
        <f>CHOOSE(CONTROL!$C$42, 17.7959, 17.7959)*CHOOSE(CONTROL!$C$21, $C$9, 100%, $E$9)</f>
        <v>17.7959</v>
      </c>
      <c r="G473" s="10">
        <f>CHOOSE(CONTROL!$C$42, 17.813, 17.813)*CHOOSE(CONTROL!$C$21, $C$9, 100%, $E$9)</f>
        <v>17.812999999999999</v>
      </c>
      <c r="H473" s="10">
        <f>CHOOSE(CONTROL!$C$42, 18.0498, 18.0498) * CHOOSE(CONTROL!$C$21, $C$9, 100%, $E$9)</f>
        <v>18.049800000000001</v>
      </c>
      <c r="I473" s="10">
        <f>CHOOSE(CONTROL!$C$42, 17.7962, 17.7962)* CHOOSE(CONTROL!$C$21, $C$9, 100%, $E$9)</f>
        <v>17.796199999999999</v>
      </c>
      <c r="J473" s="10">
        <f>CHOOSE(CONTROL!$C$42, 17.7889, 17.7889)* CHOOSE(CONTROL!$C$21, $C$9, 100%, $E$9)</f>
        <v>17.788900000000002</v>
      </c>
      <c r="K473" s="54">
        <f>CHOOSE(CONTROL!$C$42, 17.7923, 17.7923) * CHOOSE(CONTROL!$C$21, $C$9, 100%, $E$9)</f>
        <v>17.792300000000001</v>
      </c>
      <c r="L473" s="10">
        <f>CHOOSE(CONTROL!$C$42, 18.6368, 18.6368) * CHOOSE(CONTROL!$C$21, $C$9, 100%, $E$9)</f>
        <v>18.636800000000001</v>
      </c>
      <c r="M473" s="10">
        <f>CHOOSE(CONTROL!$C$42, 17.6232, 17.6232) * CHOOSE(CONTROL!$C$21, $C$9, 100%, $E$9)</f>
        <v>17.623200000000001</v>
      </c>
      <c r="N473" s="10">
        <f>CHOOSE(CONTROL!$C$42, 17.6402, 17.6402) * CHOOSE(CONTROL!$C$21, $C$9, 100%, $E$9)</f>
        <v>17.6402</v>
      </c>
      <c r="O473" s="10">
        <f>CHOOSE(CONTROL!$C$42, 17.8814, 17.8814) * CHOOSE(CONTROL!$C$21, $C$9, 100%, $E$9)</f>
        <v>17.881399999999999</v>
      </c>
      <c r="P473" s="10">
        <f>CHOOSE(CONTROL!$C$42, 17.6305, 17.6305) * CHOOSE(CONTROL!$C$21, $C$9, 100%, $E$9)</f>
        <v>17.630500000000001</v>
      </c>
      <c r="Q473" s="10">
        <f>CHOOSE(CONTROL!$C$42, 18.4767, 18.4767) * CHOOSE(CONTROL!$C$21, $C$9, 100%, $E$9)</f>
        <v>18.476700000000001</v>
      </c>
      <c r="R473" s="10">
        <f>CHOOSE(CONTROL!$C$42, 19.1099, 19.1099) * CHOOSE(CONTROL!$C$21, $C$9, 100%, $E$9)</f>
        <v>19.1099</v>
      </c>
      <c r="S473" s="10">
        <f>CHOOSE(CONTROL!$C$42, 17.3101, 17.3101) * CHOOSE(CONTROL!$C$21, $C$9, 100%, $E$9)</f>
        <v>17.310099999999998</v>
      </c>
      <c r="T473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473" s="58">
        <f>(1000*CHOOSE(CONTROL!$C$42, 695, 695)*CHOOSE(CONTROL!$C$42, 0.5599, 0.5599)*CHOOSE(CONTROL!$C$42, 31, 31))/1000000</f>
        <v>12.063045499999998</v>
      </c>
      <c r="V473" s="58">
        <f>(1000*CHOOSE(CONTROL!$C$42, 500, 500)*CHOOSE(CONTROL!$C$42, 0.275, 0.275)*CHOOSE(CONTROL!$C$42, 31, 31))/1000000</f>
        <v>4.2625000000000002</v>
      </c>
      <c r="W473" s="58">
        <f>(1000*CHOOSE(CONTROL!$C$42, 0.1146, 0.1146)*CHOOSE(CONTROL!$C$42, 121.5, 121.5)*CHOOSE(CONTROL!$C$42, 31, 31))/1000000</f>
        <v>0.43164089999999994</v>
      </c>
      <c r="X473" s="58">
        <f>(31*0.1790888*245000/1000000)+(31*0.2374*100000/1000000)</f>
        <v>2.0961194359999999</v>
      </c>
      <c r="Y473" s="58"/>
      <c r="Z473" s="10"/>
      <c r="AA473" s="57"/>
      <c r="AB473" s="51">
        <f>(B473*194.205+C473*267.466+D473*133.845+E473*53.484+F473*40+G473*185+H473*0+I473*100+J473*300)/(194.205+267.466+133.845+53.484+0+40+185+100+300)</f>
        <v>17.84637771742543</v>
      </c>
      <c r="AC473" s="27">
        <f>(M473*'RAP TEMPLATE-GAS AVAILABILITY'!O472+N473*'RAP TEMPLATE-GAS AVAILABILITY'!P472+O473*'RAP TEMPLATE-GAS AVAILABILITY'!Q472+P473*'RAP TEMPLATE-GAS AVAILABILITY'!R472)/('RAP TEMPLATE-GAS AVAILABILITY'!O472+'RAP TEMPLATE-GAS AVAILABILITY'!P472+'RAP TEMPLATE-GAS AVAILABILITY'!Q472+'RAP TEMPLATE-GAS AVAILABILITY'!R472)</f>
        <v>17.700608633093523</v>
      </c>
    </row>
    <row r="474" spans="1:29" ht="15.75" x14ac:dyDescent="0.25">
      <c r="A474" s="14">
        <v>55334</v>
      </c>
      <c r="B474" s="10">
        <f>CHOOSE(CONTROL!$C$42, 18.3353, 18.3353) * CHOOSE(CONTROL!$C$21, $C$9, 100%, $E$9)</f>
        <v>18.3353</v>
      </c>
      <c r="C474" s="10">
        <f>CHOOSE(CONTROL!$C$42, 18.3432, 18.3432) * CHOOSE(CONTROL!$C$21, $C$9, 100%, $E$9)</f>
        <v>18.3432</v>
      </c>
      <c r="D474" s="10">
        <f>CHOOSE(CONTROL!$C$42, 18.5356, 18.5356) * CHOOSE(CONTROL!$C$21, $C$9, 100%, $E$9)</f>
        <v>18.535599999999999</v>
      </c>
      <c r="E474" s="10">
        <f>CHOOSE(CONTROL!$C$42, 18.5667, 18.5667) * CHOOSE(CONTROL!$C$21, $C$9, 100%, $E$9)</f>
        <v>18.566700000000001</v>
      </c>
      <c r="F474" s="10">
        <f>CHOOSE(CONTROL!$C$42, 18.3017, 18.3017)*CHOOSE(CONTROL!$C$21, $C$9, 100%, $E$9)</f>
        <v>18.3017</v>
      </c>
      <c r="G474" s="10">
        <f>CHOOSE(CONTROL!$C$42, 18.3189, 18.3189)*CHOOSE(CONTROL!$C$21, $C$9, 100%, $E$9)</f>
        <v>18.318899999999999</v>
      </c>
      <c r="H474" s="10">
        <f>CHOOSE(CONTROL!$C$42, 18.5554, 18.5554) * CHOOSE(CONTROL!$C$21, $C$9, 100%, $E$9)</f>
        <v>18.555399999999999</v>
      </c>
      <c r="I474" s="10">
        <f>CHOOSE(CONTROL!$C$42, 18.3018, 18.3018)* CHOOSE(CONTROL!$C$21, $C$9, 100%, $E$9)</f>
        <v>18.3018</v>
      </c>
      <c r="J474" s="10">
        <f>CHOOSE(CONTROL!$C$42, 18.2947, 18.2947)* CHOOSE(CONTROL!$C$21, $C$9, 100%, $E$9)</f>
        <v>18.294699999999999</v>
      </c>
      <c r="K474" s="54">
        <f>CHOOSE(CONTROL!$C$42, 18.2979, 18.2979) * CHOOSE(CONTROL!$C$21, $C$9, 100%, $E$9)</f>
        <v>18.297899999999998</v>
      </c>
      <c r="L474" s="10">
        <f>CHOOSE(CONTROL!$C$42, 19.1424, 19.1424) * CHOOSE(CONTROL!$C$21, $C$9, 100%, $E$9)</f>
        <v>19.142399999999999</v>
      </c>
      <c r="M474" s="10">
        <f>CHOOSE(CONTROL!$C$42, 18.1239, 18.1239) * CHOOSE(CONTROL!$C$21, $C$9, 100%, $E$9)</f>
        <v>18.123899999999999</v>
      </c>
      <c r="N474" s="10">
        <f>CHOOSE(CONTROL!$C$42, 18.141, 18.141) * CHOOSE(CONTROL!$C$21, $C$9, 100%, $E$9)</f>
        <v>18.140999999999998</v>
      </c>
      <c r="O474" s="10">
        <f>CHOOSE(CONTROL!$C$42, 18.3819, 18.3819) * CHOOSE(CONTROL!$C$21, $C$9, 100%, $E$9)</f>
        <v>18.381900000000002</v>
      </c>
      <c r="P474" s="10">
        <f>CHOOSE(CONTROL!$C$42, 18.131, 18.131) * CHOOSE(CONTROL!$C$21, $C$9, 100%, $E$9)</f>
        <v>18.131</v>
      </c>
      <c r="Q474" s="10">
        <f>CHOOSE(CONTROL!$C$42, 18.9772, 18.9772) * CHOOSE(CONTROL!$C$21, $C$9, 100%, $E$9)</f>
        <v>18.9772</v>
      </c>
      <c r="R474" s="10">
        <f>CHOOSE(CONTROL!$C$42, 19.6117, 19.6117) * CHOOSE(CONTROL!$C$21, $C$9, 100%, $E$9)</f>
        <v>19.611699999999999</v>
      </c>
      <c r="S474" s="10">
        <f>CHOOSE(CONTROL!$C$42, 17.8011, 17.8011) * CHOOSE(CONTROL!$C$21, $C$9, 100%, $E$9)</f>
        <v>17.801100000000002</v>
      </c>
      <c r="T474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474" s="58">
        <f>(1000*CHOOSE(CONTROL!$C$42, 695, 695)*CHOOSE(CONTROL!$C$42, 0.5599, 0.5599)*CHOOSE(CONTROL!$C$42, 30, 30))/1000000</f>
        <v>11.673914999999997</v>
      </c>
      <c r="V474" s="58">
        <f>(1000*CHOOSE(CONTROL!$C$42, 500, 500)*CHOOSE(CONTROL!$C$42, 0.275, 0.275)*CHOOSE(CONTROL!$C$42, 30, 30))/1000000</f>
        <v>4.125</v>
      </c>
      <c r="W474" s="58">
        <f>(1000*CHOOSE(CONTROL!$C$42, 0.1146, 0.1146)*CHOOSE(CONTROL!$C$42, 121.5, 121.5)*CHOOSE(CONTROL!$C$42, 30, 30))/1000000</f>
        <v>0.417717</v>
      </c>
      <c r="X474" s="58">
        <f>(30*0.1790888*245000/1000000)+(30*0.2374*100000/1000000)</f>
        <v>2.0285026799999999</v>
      </c>
      <c r="Y474" s="58"/>
      <c r="Z474" s="10"/>
      <c r="AA474" s="57"/>
      <c r="AB474" s="51">
        <f>(B474*194.205+C474*267.466+D474*133.845+E474*53.484+F474*40+G474*185+H474*0+I474*100+J474*300)/(194.205+267.466+133.845+53.484+0+40+185+100+300)</f>
        <v>18.352089899921506</v>
      </c>
      <c r="AC474" s="27">
        <f>(M474*'RAP TEMPLATE-GAS AVAILABILITY'!O473+N474*'RAP TEMPLATE-GAS AVAILABILITY'!P473+O474*'RAP TEMPLATE-GAS AVAILABILITY'!Q473+P474*'RAP TEMPLATE-GAS AVAILABILITY'!R473)/('RAP TEMPLATE-GAS AVAILABILITY'!O473+'RAP TEMPLATE-GAS AVAILABILITY'!P473+'RAP TEMPLATE-GAS AVAILABILITY'!Q473+'RAP TEMPLATE-GAS AVAILABILITY'!R473)</f>
        <v>18.201246762589928</v>
      </c>
    </row>
    <row r="475" spans="1:29" ht="15.75" x14ac:dyDescent="0.25">
      <c r="A475" s="14">
        <v>55365</v>
      </c>
      <c r="B475" s="10">
        <f>CHOOSE(CONTROL!$C$42, 17.9836, 17.9836) * CHOOSE(CONTROL!$C$21, $C$9, 100%, $E$9)</f>
        <v>17.983599999999999</v>
      </c>
      <c r="C475" s="10">
        <f>CHOOSE(CONTROL!$C$42, 17.9915, 17.9915) * CHOOSE(CONTROL!$C$21, $C$9, 100%, $E$9)</f>
        <v>17.991499999999998</v>
      </c>
      <c r="D475" s="10">
        <f>CHOOSE(CONTROL!$C$42, 18.184, 18.184) * CHOOSE(CONTROL!$C$21, $C$9, 100%, $E$9)</f>
        <v>18.184000000000001</v>
      </c>
      <c r="E475" s="10">
        <f>CHOOSE(CONTROL!$C$42, 18.2151, 18.2151) * CHOOSE(CONTROL!$C$21, $C$9, 100%, $E$9)</f>
        <v>18.2151</v>
      </c>
      <c r="F475" s="10">
        <f>CHOOSE(CONTROL!$C$42, 17.9505, 17.9505)*CHOOSE(CONTROL!$C$21, $C$9, 100%, $E$9)</f>
        <v>17.950500000000002</v>
      </c>
      <c r="G475" s="10">
        <f>CHOOSE(CONTROL!$C$42, 17.9678, 17.9678)*CHOOSE(CONTROL!$C$21, $C$9, 100%, $E$9)</f>
        <v>17.9678</v>
      </c>
      <c r="H475" s="10">
        <f>CHOOSE(CONTROL!$C$42, 18.2037, 18.2037) * CHOOSE(CONTROL!$C$21, $C$9, 100%, $E$9)</f>
        <v>18.203700000000001</v>
      </c>
      <c r="I475" s="10">
        <f>CHOOSE(CONTROL!$C$42, 17.9502, 17.9502)* CHOOSE(CONTROL!$C$21, $C$9, 100%, $E$9)</f>
        <v>17.950199999999999</v>
      </c>
      <c r="J475" s="10">
        <f>CHOOSE(CONTROL!$C$42, 17.9435, 17.9435)* CHOOSE(CONTROL!$C$21, $C$9, 100%, $E$9)</f>
        <v>17.9435</v>
      </c>
      <c r="K475" s="54">
        <f>CHOOSE(CONTROL!$C$42, 17.9463, 17.9463) * CHOOSE(CONTROL!$C$21, $C$9, 100%, $E$9)</f>
        <v>17.946300000000001</v>
      </c>
      <c r="L475" s="10">
        <f>CHOOSE(CONTROL!$C$42, 18.7907, 18.7907) * CHOOSE(CONTROL!$C$21, $C$9, 100%, $E$9)</f>
        <v>18.790700000000001</v>
      </c>
      <c r="M475" s="10">
        <f>CHOOSE(CONTROL!$C$42, 17.7762, 17.7762) * CHOOSE(CONTROL!$C$21, $C$9, 100%, $E$9)</f>
        <v>17.776199999999999</v>
      </c>
      <c r="N475" s="10">
        <f>CHOOSE(CONTROL!$C$42, 17.7934, 17.7934) * CHOOSE(CONTROL!$C$21, $C$9, 100%, $E$9)</f>
        <v>17.793399999999998</v>
      </c>
      <c r="O475" s="10">
        <f>CHOOSE(CONTROL!$C$42, 18.0338, 18.0338) * CHOOSE(CONTROL!$C$21, $C$9, 100%, $E$9)</f>
        <v>18.033799999999999</v>
      </c>
      <c r="P475" s="10">
        <f>CHOOSE(CONTROL!$C$42, 17.7829, 17.7829) * CHOOSE(CONTROL!$C$21, $C$9, 100%, $E$9)</f>
        <v>17.782900000000001</v>
      </c>
      <c r="Q475" s="10">
        <f>CHOOSE(CONTROL!$C$42, 18.6291, 18.6291) * CHOOSE(CONTROL!$C$21, $C$9, 100%, $E$9)</f>
        <v>18.629100000000001</v>
      </c>
      <c r="R475" s="10">
        <f>CHOOSE(CONTROL!$C$42, 19.2627, 19.2627) * CHOOSE(CONTROL!$C$21, $C$9, 100%, $E$9)</f>
        <v>19.262699999999999</v>
      </c>
      <c r="S475" s="10">
        <f>CHOOSE(CONTROL!$C$42, 17.4596, 17.4596) * CHOOSE(CONTROL!$C$21, $C$9, 100%, $E$9)</f>
        <v>17.459599999999998</v>
      </c>
      <c r="T475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475" s="58">
        <f>(1000*CHOOSE(CONTROL!$C$42, 695, 695)*CHOOSE(CONTROL!$C$42, 0.5599, 0.5599)*CHOOSE(CONTROL!$C$42, 31, 31))/1000000</f>
        <v>12.063045499999998</v>
      </c>
      <c r="V475" s="58">
        <f>(1000*CHOOSE(CONTROL!$C$42, 500, 500)*CHOOSE(CONTROL!$C$42, 0.275, 0.275)*CHOOSE(CONTROL!$C$42, 31, 31))/1000000</f>
        <v>4.2625000000000002</v>
      </c>
      <c r="W475" s="58">
        <f>(1000*CHOOSE(CONTROL!$C$42, 0.1146, 0.1146)*CHOOSE(CONTROL!$C$42, 121.5, 121.5)*CHOOSE(CONTROL!$C$42, 31, 31))/1000000</f>
        <v>0.43164089999999994</v>
      </c>
      <c r="X475" s="58">
        <f>(31*0.1790888*245000/1000000)+(31*0.2374*100000/1000000)</f>
        <v>2.0961194359999999</v>
      </c>
      <c r="Y475" s="58"/>
      <c r="Z475" s="10"/>
      <c r="AA475" s="57"/>
      <c r="AB475" s="51">
        <f>(B475*194.205+C475*267.466+D475*133.845+E475*53.484+F475*40+G475*185+H475*0+I475*100+J475*300)/(194.205+267.466+133.845+53.484+0+40+185+100+300)</f>
        <v>18.000633018367349</v>
      </c>
      <c r="AC475" s="27">
        <f>(M475*'RAP TEMPLATE-GAS AVAILABILITY'!O474+N475*'RAP TEMPLATE-GAS AVAILABILITY'!P474+O475*'RAP TEMPLATE-GAS AVAILABILITY'!Q474+P475*'RAP TEMPLATE-GAS AVAILABILITY'!R474)/('RAP TEMPLATE-GAS AVAILABILITY'!O474+'RAP TEMPLATE-GAS AVAILABILITY'!P474+'RAP TEMPLATE-GAS AVAILABILITY'!Q474+'RAP TEMPLATE-GAS AVAILABILITY'!R474)</f>
        <v>17.853400000000001</v>
      </c>
    </row>
    <row r="476" spans="1:29" ht="15.75" x14ac:dyDescent="0.25">
      <c r="A476" s="14">
        <v>55396</v>
      </c>
      <c r="B476" s="10">
        <f>CHOOSE(CONTROL!$C$42, 17.0956, 17.0956) * CHOOSE(CONTROL!$C$21, $C$9, 100%, $E$9)</f>
        <v>17.095600000000001</v>
      </c>
      <c r="C476" s="10">
        <f>CHOOSE(CONTROL!$C$42, 17.1035, 17.1035) * CHOOSE(CONTROL!$C$21, $C$9, 100%, $E$9)</f>
        <v>17.1035</v>
      </c>
      <c r="D476" s="10">
        <f>CHOOSE(CONTROL!$C$42, 17.2959, 17.2959) * CHOOSE(CONTROL!$C$21, $C$9, 100%, $E$9)</f>
        <v>17.2959</v>
      </c>
      <c r="E476" s="10">
        <f>CHOOSE(CONTROL!$C$42, 17.3271, 17.3271) * CHOOSE(CONTROL!$C$21, $C$9, 100%, $E$9)</f>
        <v>17.327100000000002</v>
      </c>
      <c r="F476" s="10">
        <f>CHOOSE(CONTROL!$C$42, 17.0626, 17.0626)*CHOOSE(CONTROL!$C$21, $C$9, 100%, $E$9)</f>
        <v>17.0626</v>
      </c>
      <c r="G476" s="10">
        <f>CHOOSE(CONTROL!$C$42, 17.08, 17.08)*CHOOSE(CONTROL!$C$21, $C$9, 100%, $E$9)</f>
        <v>17.079999999999998</v>
      </c>
      <c r="H476" s="10">
        <f>CHOOSE(CONTROL!$C$42, 17.3157, 17.3157) * CHOOSE(CONTROL!$C$21, $C$9, 100%, $E$9)</f>
        <v>17.3157</v>
      </c>
      <c r="I476" s="10">
        <f>CHOOSE(CONTROL!$C$42, 17.0621, 17.0621)* CHOOSE(CONTROL!$C$21, $C$9, 100%, $E$9)</f>
        <v>17.062100000000001</v>
      </c>
      <c r="J476" s="10">
        <f>CHOOSE(CONTROL!$C$42, 17.0556, 17.0556)* CHOOSE(CONTROL!$C$21, $C$9, 100%, $E$9)</f>
        <v>17.055599999999998</v>
      </c>
      <c r="K476" s="54">
        <f>CHOOSE(CONTROL!$C$42, 17.0582, 17.0582) * CHOOSE(CONTROL!$C$21, $C$9, 100%, $E$9)</f>
        <v>17.058199999999999</v>
      </c>
      <c r="L476" s="10">
        <f>CHOOSE(CONTROL!$C$42, 17.9027, 17.9027) * CHOOSE(CONTROL!$C$21, $C$9, 100%, $E$9)</f>
        <v>17.902699999999999</v>
      </c>
      <c r="M476" s="10">
        <f>CHOOSE(CONTROL!$C$42, 16.8973, 16.8973) * CHOOSE(CONTROL!$C$21, $C$9, 100%, $E$9)</f>
        <v>16.897300000000001</v>
      </c>
      <c r="N476" s="10">
        <f>CHOOSE(CONTROL!$C$42, 16.9145, 16.9145) * CHOOSE(CONTROL!$C$21, $C$9, 100%, $E$9)</f>
        <v>16.9145</v>
      </c>
      <c r="O476" s="10">
        <f>CHOOSE(CONTROL!$C$42, 17.1548, 17.1548) * CHOOSE(CONTROL!$C$21, $C$9, 100%, $E$9)</f>
        <v>17.154800000000002</v>
      </c>
      <c r="P476" s="10">
        <f>CHOOSE(CONTROL!$C$42, 16.9038, 16.9038) * CHOOSE(CONTROL!$C$21, $C$9, 100%, $E$9)</f>
        <v>16.9038</v>
      </c>
      <c r="Q476" s="10">
        <f>CHOOSE(CONTROL!$C$42, 17.7501, 17.7501) * CHOOSE(CONTROL!$C$21, $C$9, 100%, $E$9)</f>
        <v>17.7501</v>
      </c>
      <c r="R476" s="10">
        <f>CHOOSE(CONTROL!$C$42, 18.3814, 18.3814) * CHOOSE(CONTROL!$C$21, $C$9, 100%, $E$9)</f>
        <v>18.381399999999999</v>
      </c>
      <c r="S476" s="10">
        <f>CHOOSE(CONTROL!$C$42, 16.5973, 16.5973) * CHOOSE(CONTROL!$C$21, $C$9, 100%, $E$9)</f>
        <v>16.597300000000001</v>
      </c>
      <c r="T476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476" s="58">
        <f>(1000*CHOOSE(CONTROL!$C$42, 695, 695)*CHOOSE(CONTROL!$C$42, 0.5599, 0.5599)*CHOOSE(CONTROL!$C$42, 31, 31))/1000000</f>
        <v>12.063045499999998</v>
      </c>
      <c r="V476" s="58">
        <f>(1000*CHOOSE(CONTROL!$C$42, 500, 500)*CHOOSE(CONTROL!$C$42, 0.275, 0.275)*CHOOSE(CONTROL!$C$42, 31, 31))/1000000</f>
        <v>4.2625000000000002</v>
      </c>
      <c r="W476" s="58">
        <f>(1000*CHOOSE(CONTROL!$C$42, 0.1146, 0.1146)*CHOOSE(CONTROL!$C$42, 121.5, 121.5)*CHOOSE(CONTROL!$C$42, 31, 31))/1000000</f>
        <v>0.43164089999999994</v>
      </c>
      <c r="X476" s="58">
        <f>(31*0.1790888*245000/1000000)+(31*0.2374*100000/1000000)</f>
        <v>2.0961194359999999</v>
      </c>
      <c r="Y476" s="58"/>
      <c r="Z476" s="10"/>
      <c r="AA476" s="57"/>
      <c r="AB476" s="51">
        <f>(B476*194.205+C476*267.466+D476*133.845+E476*53.484+F476*40+G476*185+H476*0+I476*100+J476*300)/(194.205+267.466+133.845+53.484+0+40+185+100+300)</f>
        <v>17.112670393171115</v>
      </c>
      <c r="AC476" s="27">
        <f>(M476*'RAP TEMPLATE-GAS AVAILABILITY'!O475+N476*'RAP TEMPLATE-GAS AVAILABILITY'!P475+O476*'RAP TEMPLATE-GAS AVAILABILITY'!Q475+P476*'RAP TEMPLATE-GAS AVAILABILITY'!R475)/('RAP TEMPLATE-GAS AVAILABILITY'!O475+'RAP TEMPLATE-GAS AVAILABILITY'!P475+'RAP TEMPLATE-GAS AVAILABILITY'!Q475+'RAP TEMPLATE-GAS AVAILABILITY'!R475)</f>
        <v>16.974443165467626</v>
      </c>
    </row>
    <row r="477" spans="1:29" ht="15.75" x14ac:dyDescent="0.25">
      <c r="A477" s="14">
        <v>55426</v>
      </c>
      <c r="B477" s="10">
        <f>CHOOSE(CONTROL!$C$42, 16.0102, 16.0102) * CHOOSE(CONTROL!$C$21, $C$9, 100%, $E$9)</f>
        <v>16.010200000000001</v>
      </c>
      <c r="C477" s="10">
        <f>CHOOSE(CONTROL!$C$42, 16.0181, 16.0181) * CHOOSE(CONTROL!$C$21, $C$9, 100%, $E$9)</f>
        <v>16.0181</v>
      </c>
      <c r="D477" s="10">
        <f>CHOOSE(CONTROL!$C$42, 16.2105, 16.2105) * CHOOSE(CONTROL!$C$21, $C$9, 100%, $E$9)</f>
        <v>16.2105</v>
      </c>
      <c r="E477" s="10">
        <f>CHOOSE(CONTROL!$C$42, 16.2417, 16.2417) * CHOOSE(CONTROL!$C$21, $C$9, 100%, $E$9)</f>
        <v>16.241700000000002</v>
      </c>
      <c r="F477" s="10">
        <f>CHOOSE(CONTROL!$C$42, 15.9771, 15.9771)*CHOOSE(CONTROL!$C$21, $C$9, 100%, $E$9)</f>
        <v>15.9771</v>
      </c>
      <c r="G477" s="10">
        <f>CHOOSE(CONTROL!$C$42, 15.9944, 15.9944)*CHOOSE(CONTROL!$C$21, $C$9, 100%, $E$9)</f>
        <v>15.994400000000001</v>
      </c>
      <c r="H477" s="10">
        <f>CHOOSE(CONTROL!$C$42, 16.2303, 16.2303) * CHOOSE(CONTROL!$C$21, $C$9, 100%, $E$9)</f>
        <v>16.2303</v>
      </c>
      <c r="I477" s="10">
        <f>CHOOSE(CONTROL!$C$42, 15.9767, 15.9767)* CHOOSE(CONTROL!$C$21, $C$9, 100%, $E$9)</f>
        <v>15.976699999999999</v>
      </c>
      <c r="J477" s="10">
        <f>CHOOSE(CONTROL!$C$42, 15.9701, 15.9701)* CHOOSE(CONTROL!$C$21, $C$9, 100%, $E$9)</f>
        <v>15.9701</v>
      </c>
      <c r="K477" s="54">
        <f>CHOOSE(CONTROL!$C$42, 15.9728, 15.9728) * CHOOSE(CONTROL!$C$21, $C$9, 100%, $E$9)</f>
        <v>15.972799999999999</v>
      </c>
      <c r="L477" s="10">
        <f>CHOOSE(CONTROL!$C$42, 16.8173, 16.8173) * CHOOSE(CONTROL!$C$21, $C$9, 100%, $E$9)</f>
        <v>16.817299999999999</v>
      </c>
      <c r="M477" s="10">
        <f>CHOOSE(CONTROL!$C$42, 15.8227, 15.8227) * CHOOSE(CONTROL!$C$21, $C$9, 100%, $E$9)</f>
        <v>15.822699999999999</v>
      </c>
      <c r="N477" s="10">
        <f>CHOOSE(CONTROL!$C$42, 15.8399, 15.8399) * CHOOSE(CONTROL!$C$21, $C$9, 100%, $E$9)</f>
        <v>15.8399</v>
      </c>
      <c r="O477" s="10">
        <f>CHOOSE(CONTROL!$C$42, 16.0803, 16.0803) * CHOOSE(CONTROL!$C$21, $C$9, 100%, $E$9)</f>
        <v>16.080300000000001</v>
      </c>
      <c r="P477" s="10">
        <f>CHOOSE(CONTROL!$C$42, 15.8294, 15.8294) * CHOOSE(CONTROL!$C$21, $C$9, 100%, $E$9)</f>
        <v>15.8294</v>
      </c>
      <c r="Q477" s="10">
        <f>CHOOSE(CONTROL!$C$42, 16.6756, 16.6756) * CHOOSE(CONTROL!$C$21, $C$9, 100%, $E$9)</f>
        <v>16.675599999999999</v>
      </c>
      <c r="R477" s="10">
        <f>CHOOSE(CONTROL!$C$42, 17.3043, 17.3043) * CHOOSE(CONTROL!$C$21, $C$9, 100%, $E$9)</f>
        <v>17.304300000000001</v>
      </c>
      <c r="S477" s="10">
        <f>CHOOSE(CONTROL!$C$42, 15.5432, 15.5432) * CHOOSE(CONTROL!$C$21, $C$9, 100%, $E$9)</f>
        <v>15.543200000000001</v>
      </c>
      <c r="T477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477" s="58">
        <f>(1000*CHOOSE(CONTROL!$C$42, 695, 695)*CHOOSE(CONTROL!$C$42, 0.5599, 0.5599)*CHOOSE(CONTROL!$C$42, 30, 30))/1000000</f>
        <v>11.673914999999997</v>
      </c>
      <c r="V477" s="58">
        <f>(1000*CHOOSE(CONTROL!$C$42, 500, 500)*CHOOSE(CONTROL!$C$42, 0.275, 0.275)*CHOOSE(CONTROL!$C$42, 30, 30))/1000000</f>
        <v>4.125</v>
      </c>
      <c r="W477" s="58">
        <f>(1000*CHOOSE(CONTROL!$C$42, 0.1146, 0.1146)*CHOOSE(CONTROL!$C$42, 121.5, 121.5)*CHOOSE(CONTROL!$C$42, 30, 30))/1000000</f>
        <v>0.417717</v>
      </c>
      <c r="X477" s="58">
        <f>(30*0.1790888*245000/1000000)+(30*0.2374*100000/1000000)</f>
        <v>2.0285026799999999</v>
      </c>
      <c r="Y477" s="58"/>
      <c r="Z477" s="10"/>
      <c r="AA477" s="57"/>
      <c r="AB477" s="51">
        <f>(B477*194.205+C477*267.466+D477*133.845+E477*53.484+F477*40+G477*185+H477*0+I477*100+J477*300)/(194.205+267.466+133.845+53.484+0+40+185+100+300)</f>
        <v>16.027214663186815</v>
      </c>
      <c r="AC477" s="27">
        <f>(M477*'RAP TEMPLATE-GAS AVAILABILITY'!O476+N477*'RAP TEMPLATE-GAS AVAILABILITY'!P476+O477*'RAP TEMPLATE-GAS AVAILABILITY'!Q476+P477*'RAP TEMPLATE-GAS AVAILABILITY'!R476)/('RAP TEMPLATE-GAS AVAILABILITY'!O476+'RAP TEMPLATE-GAS AVAILABILITY'!P476+'RAP TEMPLATE-GAS AVAILABILITY'!Q476+'RAP TEMPLATE-GAS AVAILABILITY'!R476)</f>
        <v>15.899900000000001</v>
      </c>
    </row>
    <row r="478" spans="1:29" ht="15.75" x14ac:dyDescent="0.25">
      <c r="A478" s="14">
        <v>55457</v>
      </c>
      <c r="B478" s="10">
        <f>CHOOSE(CONTROL!$C$42, 15.6834, 15.6834) * CHOOSE(CONTROL!$C$21, $C$9, 100%, $E$9)</f>
        <v>15.683400000000001</v>
      </c>
      <c r="C478" s="10">
        <f>CHOOSE(CONTROL!$C$42, 15.6887, 15.6887) * CHOOSE(CONTROL!$C$21, $C$9, 100%, $E$9)</f>
        <v>15.688700000000001</v>
      </c>
      <c r="D478" s="10">
        <f>CHOOSE(CONTROL!$C$42, 15.8861, 15.8861) * CHOOSE(CONTROL!$C$21, $C$9, 100%, $E$9)</f>
        <v>15.886100000000001</v>
      </c>
      <c r="E478" s="10">
        <f>CHOOSE(CONTROL!$C$42, 15.9149, 15.9149) * CHOOSE(CONTROL!$C$21, $C$9, 100%, $E$9)</f>
        <v>15.914899999999999</v>
      </c>
      <c r="F478" s="10">
        <f>CHOOSE(CONTROL!$C$42, 15.6523, 15.6523)*CHOOSE(CONTROL!$C$21, $C$9, 100%, $E$9)</f>
        <v>15.6523</v>
      </c>
      <c r="G478" s="10">
        <f>CHOOSE(CONTROL!$C$42, 15.6693, 15.6693)*CHOOSE(CONTROL!$C$21, $C$9, 100%, $E$9)</f>
        <v>15.6693</v>
      </c>
      <c r="H478" s="10">
        <f>CHOOSE(CONTROL!$C$42, 15.9053, 15.9053) * CHOOSE(CONTROL!$C$21, $C$9, 100%, $E$9)</f>
        <v>15.9053</v>
      </c>
      <c r="I478" s="10">
        <f>CHOOSE(CONTROL!$C$42, 15.6518, 15.6518)* CHOOSE(CONTROL!$C$21, $C$9, 100%, $E$9)</f>
        <v>15.6518</v>
      </c>
      <c r="J478" s="10">
        <f>CHOOSE(CONTROL!$C$42, 15.6453, 15.6453)* CHOOSE(CONTROL!$C$21, $C$9, 100%, $E$9)</f>
        <v>15.645300000000001</v>
      </c>
      <c r="K478" s="54">
        <f>CHOOSE(CONTROL!$C$42, 15.6479, 15.6479) * CHOOSE(CONTROL!$C$21, $C$9, 100%, $E$9)</f>
        <v>15.6479</v>
      </c>
      <c r="L478" s="10">
        <f>CHOOSE(CONTROL!$C$42, 16.4923, 16.4923) * CHOOSE(CONTROL!$C$21, $C$9, 100%, $E$9)</f>
        <v>16.4923</v>
      </c>
      <c r="M478" s="10">
        <f>CHOOSE(CONTROL!$C$42, 15.5013, 15.5013) * CHOOSE(CONTROL!$C$21, $C$9, 100%, $E$9)</f>
        <v>15.501300000000001</v>
      </c>
      <c r="N478" s="10">
        <f>CHOOSE(CONTROL!$C$42, 15.5181, 15.5181) * CHOOSE(CONTROL!$C$21, $C$9, 100%, $E$9)</f>
        <v>15.5181</v>
      </c>
      <c r="O478" s="10">
        <f>CHOOSE(CONTROL!$C$42, 15.7586, 15.7586) * CHOOSE(CONTROL!$C$21, $C$9, 100%, $E$9)</f>
        <v>15.758599999999999</v>
      </c>
      <c r="P478" s="10">
        <f>CHOOSE(CONTROL!$C$42, 15.5077, 15.5077) * CHOOSE(CONTROL!$C$21, $C$9, 100%, $E$9)</f>
        <v>15.5077</v>
      </c>
      <c r="Q478" s="10">
        <f>CHOOSE(CONTROL!$C$42, 16.3539, 16.3539) * CHOOSE(CONTROL!$C$21, $C$9, 100%, $E$9)</f>
        <v>16.353899999999999</v>
      </c>
      <c r="R478" s="10">
        <f>CHOOSE(CONTROL!$C$42, 16.9818, 16.9818) * CHOOSE(CONTROL!$C$21, $C$9, 100%, $E$9)</f>
        <v>16.9818</v>
      </c>
      <c r="S478" s="10">
        <f>CHOOSE(CONTROL!$C$42, 15.2277, 15.2277) * CHOOSE(CONTROL!$C$21, $C$9, 100%, $E$9)</f>
        <v>15.2277</v>
      </c>
      <c r="T478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478" s="58">
        <f>(1000*CHOOSE(CONTROL!$C$42, 695, 695)*CHOOSE(CONTROL!$C$42, 0.5599, 0.5599)*CHOOSE(CONTROL!$C$42, 31, 31))/1000000</f>
        <v>12.063045499999998</v>
      </c>
      <c r="V478" s="58">
        <f>(1000*CHOOSE(CONTROL!$C$42, 500, 500)*CHOOSE(CONTROL!$C$42, 0.275, 0.275)*CHOOSE(CONTROL!$C$42, 31, 31))/1000000</f>
        <v>4.2625000000000002</v>
      </c>
      <c r="W478" s="58">
        <f>(1000*CHOOSE(CONTROL!$C$42, 0.1146, 0.1146)*CHOOSE(CONTROL!$C$42, 121.5, 121.5)*CHOOSE(CONTROL!$C$42, 31, 31))/1000000</f>
        <v>0.43164089999999994</v>
      </c>
      <c r="X478" s="58">
        <f>(31*0.1790888*245000/1000000)+(31*0.2374*100000/1000000)</f>
        <v>2.0961194359999999</v>
      </c>
      <c r="Y478" s="58"/>
      <c r="Z478" s="10"/>
      <c r="AA478" s="57"/>
      <c r="AB478" s="51">
        <f>(B478*131.881+C478*277.167+D478*79.08+E478*125.872+F478*40+G478*185+H478*0+I478*100+J478*300)/(131.881+277.167+79.08+125.872+0+40+185+100+300)</f>
        <v>15.706156552945925</v>
      </c>
      <c r="AC478" s="27">
        <f>(M478*'RAP TEMPLATE-GAS AVAILABILITY'!O477+N478*'RAP TEMPLATE-GAS AVAILABILITY'!P477+O478*'RAP TEMPLATE-GAS AVAILABILITY'!Q477+P478*'RAP TEMPLATE-GAS AVAILABILITY'!R477)/('RAP TEMPLATE-GAS AVAILABILITY'!O477+'RAP TEMPLATE-GAS AVAILABILITY'!P477+'RAP TEMPLATE-GAS AVAILABILITY'!Q477+'RAP TEMPLATE-GAS AVAILABILITY'!R477)</f>
        <v>15.578280575539569</v>
      </c>
    </row>
    <row r="479" spans="1:29" ht="15.75" x14ac:dyDescent="0.25">
      <c r="A479" s="14">
        <v>55487</v>
      </c>
      <c r="B479" s="10">
        <f>CHOOSE(CONTROL!$C$42, 16.0961, 16.0961) * CHOOSE(CONTROL!$C$21, $C$9, 100%, $E$9)</f>
        <v>16.0961</v>
      </c>
      <c r="C479" s="10">
        <f>CHOOSE(CONTROL!$C$42, 16.1011, 16.1011) * CHOOSE(CONTROL!$C$21, $C$9, 100%, $E$9)</f>
        <v>16.101099999999999</v>
      </c>
      <c r="D479" s="10">
        <f>CHOOSE(CONTROL!$C$42, 16.1307, 16.1307) * CHOOSE(CONTROL!$C$21, $C$9, 100%, $E$9)</f>
        <v>16.130700000000001</v>
      </c>
      <c r="E479" s="10">
        <f>CHOOSE(CONTROL!$C$42, 16.1645, 16.1645) * CHOOSE(CONTROL!$C$21, $C$9, 100%, $E$9)</f>
        <v>16.1645</v>
      </c>
      <c r="F479" s="10">
        <f>CHOOSE(CONTROL!$C$42, 16.0629, 16.0629)*CHOOSE(CONTROL!$C$21, $C$9, 100%, $E$9)</f>
        <v>16.062899999999999</v>
      </c>
      <c r="G479" s="10">
        <f>CHOOSE(CONTROL!$C$42, 16.08, 16.08)*CHOOSE(CONTROL!$C$21, $C$9, 100%, $E$9)</f>
        <v>16.079999999999998</v>
      </c>
      <c r="H479" s="10">
        <f>CHOOSE(CONTROL!$C$42, 16.1536, 16.1536) * CHOOSE(CONTROL!$C$21, $C$9, 100%, $E$9)</f>
        <v>16.153600000000001</v>
      </c>
      <c r="I479" s="10">
        <f>CHOOSE(CONTROL!$C$42, 16.0597, 16.0597)* CHOOSE(CONTROL!$C$21, $C$9, 100%, $E$9)</f>
        <v>16.059699999999999</v>
      </c>
      <c r="J479" s="10">
        <f>CHOOSE(CONTROL!$C$42, 16.0559, 16.0559)* CHOOSE(CONTROL!$C$21, $C$9, 100%, $E$9)</f>
        <v>16.055900000000001</v>
      </c>
      <c r="K479" s="54">
        <f>CHOOSE(CONTROL!$C$42, 16.0558, 16.0558) * CHOOSE(CONTROL!$C$21, $C$9, 100%, $E$9)</f>
        <v>16.055800000000001</v>
      </c>
      <c r="L479" s="10">
        <f>CHOOSE(CONTROL!$C$42, 16.7406, 16.7406) * CHOOSE(CONTROL!$C$21, $C$9, 100%, $E$9)</f>
        <v>16.740600000000001</v>
      </c>
      <c r="M479" s="10">
        <f>CHOOSE(CONTROL!$C$42, 15.9077, 15.9077) * CHOOSE(CONTROL!$C$21, $C$9, 100%, $E$9)</f>
        <v>15.9077</v>
      </c>
      <c r="N479" s="10">
        <f>CHOOSE(CONTROL!$C$42, 15.9247, 15.9247) * CHOOSE(CONTROL!$C$21, $C$9, 100%, $E$9)</f>
        <v>15.9247</v>
      </c>
      <c r="O479" s="10">
        <f>CHOOSE(CONTROL!$C$42, 16.0045, 16.0045) * CHOOSE(CONTROL!$C$21, $C$9, 100%, $E$9)</f>
        <v>16.0045</v>
      </c>
      <c r="P479" s="10">
        <f>CHOOSE(CONTROL!$C$42, 15.9115, 15.9115) * CHOOSE(CONTROL!$C$21, $C$9, 100%, $E$9)</f>
        <v>15.9115</v>
      </c>
      <c r="Q479" s="10">
        <f>CHOOSE(CONTROL!$C$42, 16.5998, 16.5998) * CHOOSE(CONTROL!$C$21, $C$9, 100%, $E$9)</f>
        <v>16.599799999999998</v>
      </c>
      <c r="R479" s="10">
        <f>CHOOSE(CONTROL!$C$42, 17.2283, 17.2283) * CHOOSE(CONTROL!$C$21, $C$9, 100%, $E$9)</f>
        <v>17.228300000000001</v>
      </c>
      <c r="S479" s="10">
        <f>CHOOSE(CONTROL!$C$42, 15.6288, 15.6288) * CHOOSE(CONTROL!$C$21, $C$9, 100%, $E$9)</f>
        <v>15.6288</v>
      </c>
      <c r="T479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479" s="58">
        <f>(1000*CHOOSE(CONTROL!$C$42, 695, 695)*CHOOSE(CONTROL!$C$42, 0.5599, 0.5599)*CHOOSE(CONTROL!$C$42, 30, 30))/1000000</f>
        <v>11.673914999999997</v>
      </c>
      <c r="V479" s="58">
        <f>(1000*CHOOSE(CONTROL!$C$42, 500, 500)*CHOOSE(CONTROL!$C$42, 0.275, 0.275)*CHOOSE(CONTROL!$C$42, 30, 30))/1000000</f>
        <v>4.125</v>
      </c>
      <c r="W479" s="58">
        <f>(1000*CHOOSE(CONTROL!$C$42, 0.1146, 0.1146)*CHOOSE(CONTROL!$C$42, 121.5, 121.5)*CHOOSE(CONTROL!$C$42, 30, 30))/1000000</f>
        <v>0.417717</v>
      </c>
      <c r="X479" s="58">
        <f>(30*0.1790888*100000/1000000)+(30*0.2374*100000/1000000)</f>
        <v>1.2494664</v>
      </c>
      <c r="Y479" s="58"/>
      <c r="Z479" s="10"/>
      <c r="AA479" s="57"/>
      <c r="AB479" s="51">
        <f>(B479*122.58+C479*297.941+D479*89.177+E479*40.302+F479*40+G479*160+H479*0+I479*100+J479*300)/(122.58+297.941+89.177+40.302+0+40+160+100+300)</f>
        <v>16.085428596521741</v>
      </c>
      <c r="AC479" s="27">
        <f>(M479*'RAP TEMPLATE-GAS AVAILABILITY'!O478+N479*'RAP TEMPLATE-GAS AVAILABILITY'!P478+O479*'RAP TEMPLATE-GAS AVAILABILITY'!Q478+P479*'RAP TEMPLATE-GAS AVAILABILITY'!R478)/('RAP TEMPLATE-GAS AVAILABILITY'!O478+'RAP TEMPLATE-GAS AVAILABILITY'!P478+'RAP TEMPLATE-GAS AVAILABILITY'!Q478+'RAP TEMPLATE-GAS AVAILABILITY'!R478)</f>
        <v>15.95309856115108</v>
      </c>
    </row>
    <row r="480" spans="1:29" ht="15.75" x14ac:dyDescent="0.25">
      <c r="A480" s="14">
        <v>55518</v>
      </c>
      <c r="B480" s="10">
        <f>CHOOSE(CONTROL!$C$42, 17.1933, 17.1933) * CHOOSE(CONTROL!$C$21, $C$9, 100%, $E$9)</f>
        <v>17.193300000000001</v>
      </c>
      <c r="C480" s="10">
        <f>CHOOSE(CONTROL!$C$42, 17.1983, 17.1983) * CHOOSE(CONTROL!$C$21, $C$9, 100%, $E$9)</f>
        <v>17.1983</v>
      </c>
      <c r="D480" s="10">
        <f>CHOOSE(CONTROL!$C$42, 17.2279, 17.2279) * CHOOSE(CONTROL!$C$21, $C$9, 100%, $E$9)</f>
        <v>17.227900000000002</v>
      </c>
      <c r="E480" s="10">
        <f>CHOOSE(CONTROL!$C$42, 17.2617, 17.2617) * CHOOSE(CONTROL!$C$21, $C$9, 100%, $E$9)</f>
        <v>17.261700000000001</v>
      </c>
      <c r="F480" s="10">
        <f>CHOOSE(CONTROL!$C$42, 17.1615, 17.1615)*CHOOSE(CONTROL!$C$21, $C$9, 100%, $E$9)</f>
        <v>17.1615</v>
      </c>
      <c r="G480" s="10">
        <f>CHOOSE(CONTROL!$C$42, 17.179, 17.179)*CHOOSE(CONTROL!$C$21, $C$9, 100%, $E$9)</f>
        <v>17.178999999999998</v>
      </c>
      <c r="H480" s="10">
        <f>CHOOSE(CONTROL!$C$42, 17.2509, 17.2509) * CHOOSE(CONTROL!$C$21, $C$9, 100%, $E$9)</f>
        <v>17.250900000000001</v>
      </c>
      <c r="I480" s="10">
        <f>CHOOSE(CONTROL!$C$42, 17.1569, 17.1569)* CHOOSE(CONTROL!$C$21, $C$9, 100%, $E$9)</f>
        <v>17.1569</v>
      </c>
      <c r="J480" s="10">
        <f>CHOOSE(CONTROL!$C$42, 17.1545, 17.1545)* CHOOSE(CONTROL!$C$21, $C$9, 100%, $E$9)</f>
        <v>17.154499999999999</v>
      </c>
      <c r="K480" s="54">
        <f>CHOOSE(CONTROL!$C$42, 17.153, 17.153) * CHOOSE(CONTROL!$C$21, $C$9, 100%, $E$9)</f>
        <v>17.152999999999999</v>
      </c>
      <c r="L480" s="10">
        <f>CHOOSE(CONTROL!$C$42, 17.8379, 17.8379) * CHOOSE(CONTROL!$C$21, $C$9, 100%, $E$9)</f>
        <v>17.837900000000001</v>
      </c>
      <c r="M480" s="10">
        <f>CHOOSE(CONTROL!$C$42, 16.9953, 16.9953) * CHOOSE(CONTROL!$C$21, $C$9, 100%, $E$9)</f>
        <v>16.9953</v>
      </c>
      <c r="N480" s="10">
        <f>CHOOSE(CONTROL!$C$42, 17.0126, 17.0126) * CHOOSE(CONTROL!$C$21, $C$9, 100%, $E$9)</f>
        <v>17.012599999999999</v>
      </c>
      <c r="O480" s="10">
        <f>CHOOSE(CONTROL!$C$42, 17.0906, 17.0906) * CHOOSE(CONTROL!$C$21, $C$9, 100%, $E$9)</f>
        <v>17.090599999999998</v>
      </c>
      <c r="P480" s="10">
        <f>CHOOSE(CONTROL!$C$42, 16.9977, 16.9977) * CHOOSE(CONTROL!$C$21, $C$9, 100%, $E$9)</f>
        <v>16.997699999999998</v>
      </c>
      <c r="Q480" s="10">
        <f>CHOOSE(CONTROL!$C$42, 17.6859, 17.6859) * CHOOSE(CONTROL!$C$21, $C$9, 100%, $E$9)</f>
        <v>17.6859</v>
      </c>
      <c r="R480" s="10">
        <f>CHOOSE(CONTROL!$C$42, 18.3171, 18.3171) * CHOOSE(CONTROL!$C$21, $C$9, 100%, $E$9)</f>
        <v>18.3171</v>
      </c>
      <c r="S480" s="10">
        <f>CHOOSE(CONTROL!$C$42, 16.6943, 16.6943) * CHOOSE(CONTROL!$C$21, $C$9, 100%, $E$9)</f>
        <v>16.694299999999998</v>
      </c>
      <c r="T480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480" s="58">
        <f>(1000*CHOOSE(CONTROL!$C$42, 695, 695)*CHOOSE(CONTROL!$C$42, 0.5599, 0.5599)*CHOOSE(CONTROL!$C$42, 31, 31))/1000000</f>
        <v>12.063045499999998</v>
      </c>
      <c r="V480" s="58">
        <f>(1000*CHOOSE(CONTROL!$C$42, 500, 500)*CHOOSE(CONTROL!$C$42, 0.275, 0.275)*CHOOSE(CONTROL!$C$42, 31, 31))/1000000</f>
        <v>4.2625000000000002</v>
      </c>
      <c r="W480" s="58">
        <f>(1000*CHOOSE(CONTROL!$C$42, 0.1146, 0.1146)*CHOOSE(CONTROL!$C$42, 121.5, 121.5)*CHOOSE(CONTROL!$C$42, 31, 31))/1000000</f>
        <v>0.43164089999999994</v>
      </c>
      <c r="X480" s="58">
        <f>(31*0.1790888*100000/1000000)+(31*0.2374*100000/1000000)</f>
        <v>1.2911152800000001</v>
      </c>
      <c r="Y480" s="58"/>
      <c r="Z480" s="10"/>
      <c r="AA480" s="57"/>
      <c r="AB480" s="51">
        <f>(B480*122.58+C480*297.941+D480*89.177+E480*40.302+F480*40+G480*160+H480*0+I480*100+J480*300)/(122.58+297.941+89.177+40.302+0+40+160+100+300)</f>
        <v>17.183292944347826</v>
      </c>
      <c r="AC480" s="27">
        <f>(M480*'RAP TEMPLATE-GAS AVAILABILITY'!O479+N480*'RAP TEMPLATE-GAS AVAILABILITY'!P479+O480*'RAP TEMPLATE-GAS AVAILABILITY'!Q479+P480*'RAP TEMPLATE-GAS AVAILABILITY'!R479)/('RAP TEMPLATE-GAS AVAILABILITY'!O479+'RAP TEMPLATE-GAS AVAILABILITY'!P479+'RAP TEMPLATE-GAS AVAILABILITY'!Q479+'RAP TEMPLATE-GAS AVAILABILITY'!R479)</f>
        <v>17.039834532374101</v>
      </c>
    </row>
    <row r="481" spans="1:29" ht="15.75" x14ac:dyDescent="0.25">
      <c r="A481" s="14">
        <v>55549</v>
      </c>
      <c r="B481" s="10">
        <f>CHOOSE(CONTROL!$C$42, 18.6019, 18.6019) * CHOOSE(CONTROL!$C$21, $C$9, 100%, $E$9)</f>
        <v>18.601900000000001</v>
      </c>
      <c r="C481" s="10">
        <f>CHOOSE(CONTROL!$C$42, 18.6068, 18.6068) * CHOOSE(CONTROL!$C$21, $C$9, 100%, $E$9)</f>
        <v>18.6068</v>
      </c>
      <c r="D481" s="10">
        <f>CHOOSE(CONTROL!$C$42, 18.657, 18.657) * CHOOSE(CONTROL!$C$21, $C$9, 100%, $E$9)</f>
        <v>18.657</v>
      </c>
      <c r="E481" s="10">
        <f>CHOOSE(CONTROL!$C$42, 18.6908, 18.6908) * CHOOSE(CONTROL!$C$21, $C$9, 100%, $E$9)</f>
        <v>18.690799999999999</v>
      </c>
      <c r="F481" s="10">
        <f>CHOOSE(CONTROL!$C$42, 18.5672, 18.5672)*CHOOSE(CONTROL!$C$21, $C$9, 100%, $E$9)</f>
        <v>18.5672</v>
      </c>
      <c r="G481" s="10">
        <f>CHOOSE(CONTROL!$C$42, 18.5848, 18.5848)*CHOOSE(CONTROL!$C$21, $C$9, 100%, $E$9)</f>
        <v>18.584800000000001</v>
      </c>
      <c r="H481" s="10">
        <f>CHOOSE(CONTROL!$C$42, 18.68, 18.68) * CHOOSE(CONTROL!$C$21, $C$9, 100%, $E$9)</f>
        <v>18.68</v>
      </c>
      <c r="I481" s="10">
        <f>CHOOSE(CONTROL!$C$42, 18.5758, 18.5758)* CHOOSE(CONTROL!$C$21, $C$9, 100%, $E$9)</f>
        <v>18.575800000000001</v>
      </c>
      <c r="J481" s="10">
        <f>CHOOSE(CONTROL!$C$42, 18.5602, 18.5602)* CHOOSE(CONTROL!$C$21, $C$9, 100%, $E$9)</f>
        <v>18.560199999999998</v>
      </c>
      <c r="K481" s="54">
        <f>CHOOSE(CONTROL!$C$42, 18.5719, 18.5719) * CHOOSE(CONTROL!$C$21, $C$9, 100%, $E$9)</f>
        <v>18.571899999999999</v>
      </c>
      <c r="L481" s="10">
        <f>CHOOSE(CONTROL!$C$42, 19.267, 19.267) * CHOOSE(CONTROL!$C$21, $C$9, 100%, $E$9)</f>
        <v>19.266999999999999</v>
      </c>
      <c r="M481" s="10">
        <f>CHOOSE(CONTROL!$C$42, 18.3867, 18.3867) * CHOOSE(CONTROL!$C$21, $C$9, 100%, $E$9)</f>
        <v>18.386700000000001</v>
      </c>
      <c r="N481" s="10">
        <f>CHOOSE(CONTROL!$C$42, 18.4041, 18.4041) * CHOOSE(CONTROL!$C$21, $C$9, 100%, $E$9)</f>
        <v>18.4041</v>
      </c>
      <c r="O481" s="10">
        <f>CHOOSE(CONTROL!$C$42, 18.5053, 18.5053) * CHOOSE(CONTROL!$C$21, $C$9, 100%, $E$9)</f>
        <v>18.505299999999998</v>
      </c>
      <c r="P481" s="10">
        <f>CHOOSE(CONTROL!$C$42, 18.4022, 18.4022) * CHOOSE(CONTROL!$C$21, $C$9, 100%, $E$9)</f>
        <v>18.402200000000001</v>
      </c>
      <c r="Q481" s="10">
        <f>CHOOSE(CONTROL!$C$42, 19.1006, 19.1006) * CHOOSE(CONTROL!$C$21, $C$9, 100%, $E$9)</f>
        <v>19.1006</v>
      </c>
      <c r="R481" s="10">
        <f>CHOOSE(CONTROL!$C$42, 19.7354, 19.7354) * CHOOSE(CONTROL!$C$21, $C$9, 100%, $E$9)</f>
        <v>19.735399999999998</v>
      </c>
      <c r="S481" s="10">
        <f>CHOOSE(CONTROL!$C$42, 18.0621, 18.0621) * CHOOSE(CONTROL!$C$21, $C$9, 100%, $E$9)</f>
        <v>18.062100000000001</v>
      </c>
      <c r="T481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481" s="58">
        <f>(1000*CHOOSE(CONTROL!$C$42, 695, 695)*CHOOSE(CONTROL!$C$42, 0.5599, 0.5599)*CHOOSE(CONTROL!$C$42, 31, 31))/1000000</f>
        <v>12.063045499999998</v>
      </c>
      <c r="V481" s="58">
        <f>(1000*CHOOSE(CONTROL!$C$42, 500, 500)*CHOOSE(CONTROL!$C$42, 0.275, 0.275)*CHOOSE(CONTROL!$C$42, 31, 31))/1000000</f>
        <v>4.2625000000000002</v>
      </c>
      <c r="W481" s="58">
        <f>(1000*CHOOSE(CONTROL!$C$42, 0.1146, 0.1146)*CHOOSE(CONTROL!$C$42, 121.5, 121.5)*CHOOSE(CONTROL!$C$42, 31, 31))/1000000</f>
        <v>0.43164089999999994</v>
      </c>
      <c r="X481" s="58">
        <f>(31*0.1790888*100000/1000000)+(31*0.2374*100000/1000000)</f>
        <v>1.2911152800000001</v>
      </c>
      <c r="Y481" s="58"/>
      <c r="Z481" s="10"/>
      <c r="AA481" s="57"/>
      <c r="AB481" s="51">
        <f>(B481*122.58+C481*297.941+D481*89.177+E481*40.302+F481*40+G481*160+H481*0+I481*100+J481*300)/(122.58+297.941+89.177+40.302+0+40+160+100+300)</f>
        <v>18.593823835999999</v>
      </c>
      <c r="AC481" s="27">
        <f>(M481*'RAP TEMPLATE-GAS AVAILABILITY'!O480+N481*'RAP TEMPLATE-GAS AVAILABILITY'!P480+O481*'RAP TEMPLATE-GAS AVAILABILITY'!Q480+P481*'RAP TEMPLATE-GAS AVAILABILITY'!R480)/('RAP TEMPLATE-GAS AVAILABILITY'!O480+'RAP TEMPLATE-GAS AVAILABILITY'!P480+'RAP TEMPLATE-GAS AVAILABILITY'!Q480+'RAP TEMPLATE-GAS AVAILABILITY'!R480)</f>
        <v>18.443685611510787</v>
      </c>
    </row>
    <row r="482" spans="1:29" ht="15.75" x14ac:dyDescent="0.25">
      <c r="A482" s="14">
        <v>55577</v>
      </c>
      <c r="B482" s="10">
        <f>CHOOSE(CONTROL!$C$42, 18.9329, 18.9329) * CHOOSE(CONTROL!$C$21, $C$9, 100%, $E$9)</f>
        <v>18.9329</v>
      </c>
      <c r="C482" s="10">
        <f>CHOOSE(CONTROL!$C$42, 18.9379, 18.9379) * CHOOSE(CONTROL!$C$21, $C$9, 100%, $E$9)</f>
        <v>18.937899999999999</v>
      </c>
      <c r="D482" s="10">
        <f>CHOOSE(CONTROL!$C$42, 18.9984, 18.9984) * CHOOSE(CONTROL!$C$21, $C$9, 100%, $E$9)</f>
        <v>18.9984</v>
      </c>
      <c r="E482" s="10">
        <f>CHOOSE(CONTROL!$C$42, 19.0322, 19.0322) * CHOOSE(CONTROL!$C$21, $C$9, 100%, $E$9)</f>
        <v>19.0322</v>
      </c>
      <c r="F482" s="10">
        <f>CHOOSE(CONTROL!$C$42, 18.9262, 18.9262)*CHOOSE(CONTROL!$C$21, $C$9, 100%, $E$9)</f>
        <v>18.926200000000001</v>
      </c>
      <c r="G482" s="10">
        <f>CHOOSE(CONTROL!$C$42, 18.9435, 18.9435)*CHOOSE(CONTROL!$C$21, $C$9, 100%, $E$9)</f>
        <v>18.9435</v>
      </c>
      <c r="H482" s="10">
        <f>CHOOSE(CONTROL!$C$42, 19.0214, 19.0214) * CHOOSE(CONTROL!$C$21, $C$9, 100%, $E$9)</f>
        <v>19.0214</v>
      </c>
      <c r="I482" s="10">
        <f>CHOOSE(CONTROL!$C$42, 18.9197, 18.9197)* CHOOSE(CONTROL!$C$21, $C$9, 100%, $E$9)</f>
        <v>18.919699999999999</v>
      </c>
      <c r="J482" s="10">
        <f>CHOOSE(CONTROL!$C$42, 18.9192, 18.9192)* CHOOSE(CONTROL!$C$21, $C$9, 100%, $E$9)</f>
        <v>18.9192</v>
      </c>
      <c r="K482" s="54">
        <f>CHOOSE(CONTROL!$C$42, 18.9158, 18.9158) * CHOOSE(CONTROL!$C$21, $C$9, 100%, $E$9)</f>
        <v>18.915800000000001</v>
      </c>
      <c r="L482" s="10">
        <f>CHOOSE(CONTROL!$C$42, 19.6084, 19.6084) * CHOOSE(CONTROL!$C$21, $C$9, 100%, $E$9)</f>
        <v>19.6084</v>
      </c>
      <c r="M482" s="10">
        <f>CHOOSE(CONTROL!$C$42, 18.7421, 18.7421) * CHOOSE(CONTROL!$C$21, $C$9, 100%, $E$9)</f>
        <v>18.742100000000001</v>
      </c>
      <c r="N482" s="10">
        <f>CHOOSE(CONTROL!$C$42, 18.7592, 18.7592) * CHOOSE(CONTROL!$C$21, $C$9, 100%, $E$9)</f>
        <v>18.7592</v>
      </c>
      <c r="O482" s="10">
        <f>CHOOSE(CONTROL!$C$42, 18.8432, 18.8432) * CHOOSE(CONTROL!$C$21, $C$9, 100%, $E$9)</f>
        <v>18.8432</v>
      </c>
      <c r="P482" s="10">
        <f>CHOOSE(CONTROL!$C$42, 18.7426, 18.7426) * CHOOSE(CONTROL!$C$21, $C$9, 100%, $E$9)</f>
        <v>18.742599999999999</v>
      </c>
      <c r="Q482" s="10">
        <f>CHOOSE(CONTROL!$C$42, 19.4385, 19.4385) * CHOOSE(CONTROL!$C$21, $C$9, 100%, $E$9)</f>
        <v>19.438500000000001</v>
      </c>
      <c r="R482" s="10">
        <f>CHOOSE(CONTROL!$C$42, 20.0741, 20.0741) * CHOOSE(CONTROL!$C$21, $C$9, 100%, $E$9)</f>
        <v>20.074100000000001</v>
      </c>
      <c r="S482" s="10">
        <f>CHOOSE(CONTROL!$C$42, 18.3836, 18.3836) * CHOOSE(CONTROL!$C$21, $C$9, 100%, $E$9)</f>
        <v>18.383600000000001</v>
      </c>
      <c r="T482" s="5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482" s="58">
        <f>(1000*CHOOSE(CONTROL!$C$42, 695, 695)*CHOOSE(CONTROL!$C$42, 0.5599, 0.5599)*CHOOSE(CONTROL!$C$42, 29, 29))/1000000</f>
        <v>11.284784499999999</v>
      </c>
      <c r="V482" s="58">
        <f>(1000*CHOOSE(CONTROL!$C$42, 500, 500)*CHOOSE(CONTROL!$C$42, 0.275, 0.275)*CHOOSE(CONTROL!$C$42, 29, 29))/1000000</f>
        <v>3.9874999999999998</v>
      </c>
      <c r="W482" s="58">
        <f>(1000*CHOOSE(CONTROL!$C$42, 0.1146, 0.1146)*CHOOSE(CONTROL!$C$42, 121.5, 121.5)*CHOOSE(CONTROL!$C$42, 29, 29))/1000000</f>
        <v>0.40379309999999996</v>
      </c>
      <c r="X482" s="58">
        <f>(29*0.1790888*100000/1000000)+(29*0.2374*100000/1000000)</f>
        <v>1.2078175199999999</v>
      </c>
      <c r="Y482" s="58"/>
      <c r="Z482" s="10"/>
      <c r="AA482" s="57"/>
      <c r="AB482" s="51">
        <f>(B482*122.58+C482*297.941+D482*89.177+E482*40.302+F482*40+G482*160+H482*0+I482*100+J482*300)/(122.58+297.941+89.177+40.302+0+40+160+100+300)</f>
        <v>18.93927459747826</v>
      </c>
      <c r="AC482" s="27">
        <f>(M482*'RAP TEMPLATE-GAS AVAILABILITY'!O481+N482*'RAP TEMPLATE-GAS AVAILABILITY'!P481+O482*'RAP TEMPLATE-GAS AVAILABILITY'!Q481+P482*'RAP TEMPLATE-GAS AVAILABILITY'!R481)/('RAP TEMPLATE-GAS AVAILABILITY'!O481+'RAP TEMPLATE-GAS AVAILABILITY'!P481+'RAP TEMPLATE-GAS AVAILABILITY'!Q481+'RAP TEMPLATE-GAS AVAILABILITY'!R481)</f>
        <v>18.788978417266186</v>
      </c>
    </row>
    <row r="483" spans="1:29" ht="15.75" x14ac:dyDescent="0.25">
      <c r="A483" s="14">
        <v>55609</v>
      </c>
      <c r="B483" s="10">
        <f>CHOOSE(CONTROL!$C$42, 18.3955, 18.3955) * CHOOSE(CONTROL!$C$21, $C$9, 100%, $E$9)</f>
        <v>18.395499999999998</v>
      </c>
      <c r="C483" s="10">
        <f>CHOOSE(CONTROL!$C$42, 18.4005, 18.4005) * CHOOSE(CONTROL!$C$21, $C$9, 100%, $E$9)</f>
        <v>18.400500000000001</v>
      </c>
      <c r="D483" s="10">
        <f>CHOOSE(CONTROL!$C$42, 18.461, 18.461) * CHOOSE(CONTROL!$C$21, $C$9, 100%, $E$9)</f>
        <v>18.460999999999999</v>
      </c>
      <c r="E483" s="10">
        <f>CHOOSE(CONTROL!$C$42, 18.4947, 18.4947) * CHOOSE(CONTROL!$C$21, $C$9, 100%, $E$9)</f>
        <v>18.494700000000002</v>
      </c>
      <c r="F483" s="10">
        <f>CHOOSE(CONTROL!$C$42, 18.3832, 18.3832)*CHOOSE(CONTROL!$C$21, $C$9, 100%, $E$9)</f>
        <v>18.383199999999999</v>
      </c>
      <c r="G483" s="10">
        <f>CHOOSE(CONTROL!$C$42, 18.4004, 18.4004)*CHOOSE(CONTROL!$C$21, $C$9, 100%, $E$9)</f>
        <v>18.400400000000001</v>
      </c>
      <c r="H483" s="10">
        <f>CHOOSE(CONTROL!$C$42, 18.4839, 18.4839) * CHOOSE(CONTROL!$C$21, $C$9, 100%, $E$9)</f>
        <v>18.483899999999998</v>
      </c>
      <c r="I483" s="10">
        <f>CHOOSE(CONTROL!$C$42, 18.3694, 18.3694)* CHOOSE(CONTROL!$C$21, $C$9, 100%, $E$9)</f>
        <v>18.369399999999999</v>
      </c>
      <c r="J483" s="10">
        <f>CHOOSE(CONTROL!$C$42, 18.3762, 18.3762)* CHOOSE(CONTROL!$C$21, $C$9, 100%, $E$9)</f>
        <v>18.376200000000001</v>
      </c>
      <c r="K483" s="54">
        <f>CHOOSE(CONTROL!$C$42, 18.3655, 18.3655) * CHOOSE(CONTROL!$C$21, $C$9, 100%, $E$9)</f>
        <v>18.365500000000001</v>
      </c>
      <c r="L483" s="10">
        <f>CHOOSE(CONTROL!$C$42, 19.0709, 19.0709) * CHOOSE(CONTROL!$C$21, $C$9, 100%, $E$9)</f>
        <v>19.070900000000002</v>
      </c>
      <c r="M483" s="10">
        <f>CHOOSE(CONTROL!$C$42, 18.2046, 18.2046) * CHOOSE(CONTROL!$C$21, $C$9, 100%, $E$9)</f>
        <v>18.204599999999999</v>
      </c>
      <c r="N483" s="10">
        <f>CHOOSE(CONTROL!$C$42, 18.2216, 18.2216) * CHOOSE(CONTROL!$C$21, $C$9, 100%, $E$9)</f>
        <v>18.221599999999999</v>
      </c>
      <c r="O483" s="10">
        <f>CHOOSE(CONTROL!$C$42, 18.3112, 18.3112) * CHOOSE(CONTROL!$C$21, $C$9, 100%, $E$9)</f>
        <v>18.311199999999999</v>
      </c>
      <c r="P483" s="10">
        <f>CHOOSE(CONTROL!$C$42, 18.1979, 18.1979) * CHOOSE(CONTROL!$C$21, $C$9, 100%, $E$9)</f>
        <v>18.197900000000001</v>
      </c>
      <c r="Q483" s="10">
        <f>CHOOSE(CONTROL!$C$42, 18.9065, 18.9065) * CHOOSE(CONTROL!$C$21, $C$9, 100%, $E$9)</f>
        <v>18.906500000000001</v>
      </c>
      <c r="R483" s="10">
        <f>CHOOSE(CONTROL!$C$42, 19.5408, 19.5408) * CHOOSE(CONTROL!$C$21, $C$9, 100%, $E$9)</f>
        <v>19.540800000000001</v>
      </c>
      <c r="S483" s="10">
        <f>CHOOSE(CONTROL!$C$42, 17.8617, 17.8617) * CHOOSE(CONTROL!$C$21, $C$9, 100%, $E$9)</f>
        <v>17.861699999999999</v>
      </c>
      <c r="T483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483" s="58">
        <f>(1000*CHOOSE(CONTROL!$C$42, 695, 695)*CHOOSE(CONTROL!$C$42, 0.5599, 0.5599)*CHOOSE(CONTROL!$C$42, 31, 31))/1000000</f>
        <v>12.063045499999998</v>
      </c>
      <c r="V483" s="58">
        <f>(1000*CHOOSE(CONTROL!$C$42, 500, 500)*CHOOSE(CONTROL!$C$42, 0.275, 0.275)*CHOOSE(CONTROL!$C$42, 31, 31))/1000000</f>
        <v>4.2625000000000002</v>
      </c>
      <c r="W483" s="58">
        <f>(1000*CHOOSE(CONTROL!$C$42, 0.1146, 0.1146)*CHOOSE(CONTROL!$C$42, 121.5, 121.5)*CHOOSE(CONTROL!$C$42, 31, 31))/1000000</f>
        <v>0.43164089999999994</v>
      </c>
      <c r="X483" s="58">
        <f>(31*0.1790888*100000/1000000)+(31*0.2374*100000/1000000)</f>
        <v>1.2911152800000001</v>
      </c>
      <c r="Y483" s="58"/>
      <c r="Z483" s="10"/>
      <c r="AA483" s="57"/>
      <c r="AB483" s="51">
        <f>(B483*122.58+C483*297.941+D483*89.177+E483*40.302+F483*40+G483*160+H483*0+I483*100+J483*300)/(122.58+297.941+89.177+40.302+0+40+160+100+300)</f>
        <v>18.398300658173913</v>
      </c>
      <c r="AC483" s="27">
        <f>(M483*'RAP TEMPLATE-GAS AVAILABILITY'!O482+N483*'RAP TEMPLATE-GAS AVAILABILITY'!P482+O483*'RAP TEMPLATE-GAS AVAILABILITY'!Q482+P483*'RAP TEMPLATE-GAS AVAILABILITY'!R482)/('RAP TEMPLATE-GAS AVAILABILITY'!O482+'RAP TEMPLATE-GAS AVAILABILITY'!P482+'RAP TEMPLATE-GAS AVAILABILITY'!Q482+'RAP TEMPLATE-GAS AVAILABILITY'!R482)</f>
        <v>18.252929496402878</v>
      </c>
    </row>
    <row r="484" spans="1:29" ht="15.75" x14ac:dyDescent="0.25">
      <c r="A484" s="14">
        <v>55639</v>
      </c>
      <c r="B484" s="10">
        <f>CHOOSE(CONTROL!$C$42, 18.3416, 18.3416) * CHOOSE(CONTROL!$C$21, $C$9, 100%, $E$9)</f>
        <v>18.3416</v>
      </c>
      <c r="C484" s="10">
        <f>CHOOSE(CONTROL!$C$42, 18.346, 18.346) * CHOOSE(CONTROL!$C$21, $C$9, 100%, $E$9)</f>
        <v>18.346</v>
      </c>
      <c r="D484" s="10">
        <f>CHOOSE(CONTROL!$C$42, 18.5416, 18.5416) * CHOOSE(CONTROL!$C$21, $C$9, 100%, $E$9)</f>
        <v>18.541599999999999</v>
      </c>
      <c r="E484" s="10">
        <f>CHOOSE(CONTROL!$C$42, 18.5733, 18.5733) * CHOOSE(CONTROL!$C$21, $C$9, 100%, $E$9)</f>
        <v>18.5733</v>
      </c>
      <c r="F484" s="10">
        <f>CHOOSE(CONTROL!$C$42, 18.3094, 18.3094)*CHOOSE(CONTROL!$C$21, $C$9, 100%, $E$9)</f>
        <v>18.3094</v>
      </c>
      <c r="G484" s="10">
        <f>CHOOSE(CONTROL!$C$42, 18.3262, 18.3262)*CHOOSE(CONTROL!$C$21, $C$9, 100%, $E$9)</f>
        <v>18.3262</v>
      </c>
      <c r="H484" s="10">
        <f>CHOOSE(CONTROL!$C$42, 18.5631, 18.5631) * CHOOSE(CONTROL!$C$21, $C$9, 100%, $E$9)</f>
        <v>18.563099999999999</v>
      </c>
      <c r="I484" s="10">
        <f>CHOOSE(CONTROL!$C$42, 18.3096, 18.3096)* CHOOSE(CONTROL!$C$21, $C$9, 100%, $E$9)</f>
        <v>18.3096</v>
      </c>
      <c r="J484" s="10">
        <f>CHOOSE(CONTROL!$C$42, 18.3024, 18.3024)* CHOOSE(CONTROL!$C$21, $C$9, 100%, $E$9)</f>
        <v>18.302399999999999</v>
      </c>
      <c r="K484" s="54">
        <f>CHOOSE(CONTROL!$C$42, 18.3057, 18.3057) * CHOOSE(CONTROL!$C$21, $C$9, 100%, $E$9)</f>
        <v>18.305700000000002</v>
      </c>
      <c r="L484" s="10">
        <f>CHOOSE(CONTROL!$C$42, 19.1501, 19.1501) * CHOOSE(CONTROL!$C$21, $C$9, 100%, $E$9)</f>
        <v>19.150099999999998</v>
      </c>
      <c r="M484" s="10">
        <f>CHOOSE(CONTROL!$C$42, 18.1315, 18.1315) * CHOOSE(CONTROL!$C$21, $C$9, 100%, $E$9)</f>
        <v>18.131499999999999</v>
      </c>
      <c r="N484" s="10">
        <f>CHOOSE(CONTROL!$C$42, 18.1481, 18.1481) * CHOOSE(CONTROL!$C$21, $C$9, 100%, $E$9)</f>
        <v>18.148099999999999</v>
      </c>
      <c r="O484" s="10">
        <f>CHOOSE(CONTROL!$C$42, 18.3896, 18.3896) * CHOOSE(CONTROL!$C$21, $C$9, 100%, $E$9)</f>
        <v>18.389600000000002</v>
      </c>
      <c r="P484" s="10">
        <f>CHOOSE(CONTROL!$C$42, 18.1387, 18.1387) * CHOOSE(CONTROL!$C$21, $C$9, 100%, $E$9)</f>
        <v>18.1387</v>
      </c>
      <c r="Q484" s="10">
        <f>CHOOSE(CONTROL!$C$42, 18.9849, 18.9849) * CHOOSE(CONTROL!$C$21, $C$9, 100%, $E$9)</f>
        <v>18.9849</v>
      </c>
      <c r="R484" s="10">
        <f>CHOOSE(CONTROL!$C$42, 19.6194, 19.6194) * CHOOSE(CONTROL!$C$21, $C$9, 100%, $E$9)</f>
        <v>19.619399999999999</v>
      </c>
      <c r="S484" s="10">
        <f>CHOOSE(CONTROL!$C$42, 17.8086, 17.8086) * CHOOSE(CONTROL!$C$21, $C$9, 100%, $E$9)</f>
        <v>17.808599999999998</v>
      </c>
      <c r="T484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484" s="58">
        <f>(1000*CHOOSE(CONTROL!$C$42, 695, 695)*CHOOSE(CONTROL!$C$42, 0.5599, 0.5599)*CHOOSE(CONTROL!$C$42, 30, 30))/1000000</f>
        <v>11.673914999999997</v>
      </c>
      <c r="V484" s="58">
        <f>(1000*CHOOSE(CONTROL!$C$42, 500, 500)*CHOOSE(CONTROL!$C$42, 0.275, 0.275)*CHOOSE(CONTROL!$C$42, 30, 30))/1000000</f>
        <v>4.125</v>
      </c>
      <c r="W484" s="58">
        <f>(1000*CHOOSE(CONTROL!$C$42, 0.1146, 0.1146)*CHOOSE(CONTROL!$C$42, 121.5, 121.5)*CHOOSE(CONTROL!$C$42, 30, 30))/1000000</f>
        <v>0.417717</v>
      </c>
      <c r="X484" s="58">
        <f>(30*0.1790888*245000/1000000)+(30*0.2374*100000/1000000)</f>
        <v>2.0285026799999999</v>
      </c>
      <c r="Y484" s="58"/>
      <c r="Z484" s="10"/>
      <c r="AA484" s="57"/>
      <c r="AB484" s="51">
        <f>(B484*141.293+C484*267.993+D484*115.016+E484*89.698+F484*40+G484*185+H484*0+I484*100+J484*300)/(141.293+267.993+115.016+89.698+0+40+185+100+300)</f>
        <v>18.362478446973366</v>
      </c>
      <c r="AC484" s="27">
        <f>(M484*'RAP TEMPLATE-GAS AVAILABILITY'!O483+N484*'RAP TEMPLATE-GAS AVAILABILITY'!P483+O484*'RAP TEMPLATE-GAS AVAILABILITY'!Q483+P484*'RAP TEMPLATE-GAS AVAILABILITY'!R483)/('RAP TEMPLATE-GAS AVAILABILITY'!O483+'RAP TEMPLATE-GAS AVAILABILITY'!P483+'RAP TEMPLATE-GAS AVAILABILITY'!Q483+'RAP TEMPLATE-GAS AVAILABILITY'!R483)</f>
        <v>18.20877410071942</v>
      </c>
    </row>
    <row r="485" spans="1:29" ht="15.75" x14ac:dyDescent="0.25">
      <c r="A485" s="14">
        <v>55670</v>
      </c>
      <c r="B485" s="10">
        <f>CHOOSE(CONTROL!$C$42, 18.5049, 18.5049) * CHOOSE(CONTROL!$C$21, $C$9, 100%, $E$9)</f>
        <v>18.504899999999999</v>
      </c>
      <c r="C485" s="10">
        <f>CHOOSE(CONTROL!$C$42, 18.5128, 18.5128) * CHOOSE(CONTROL!$C$21, $C$9, 100%, $E$9)</f>
        <v>18.512799999999999</v>
      </c>
      <c r="D485" s="10">
        <f>CHOOSE(CONTROL!$C$42, 18.7052, 18.7052) * CHOOSE(CONTROL!$C$21, $C$9, 100%, $E$9)</f>
        <v>18.705200000000001</v>
      </c>
      <c r="E485" s="10">
        <f>CHOOSE(CONTROL!$C$42, 18.7363, 18.7363) * CHOOSE(CONTROL!$C$21, $C$9, 100%, $E$9)</f>
        <v>18.7363</v>
      </c>
      <c r="F485" s="10">
        <f>CHOOSE(CONTROL!$C$42, 18.4711, 18.4711)*CHOOSE(CONTROL!$C$21, $C$9, 100%, $E$9)</f>
        <v>18.4711</v>
      </c>
      <c r="G485" s="10">
        <f>CHOOSE(CONTROL!$C$42, 18.4882, 18.4882)*CHOOSE(CONTROL!$C$21, $C$9, 100%, $E$9)</f>
        <v>18.488199999999999</v>
      </c>
      <c r="H485" s="10">
        <f>CHOOSE(CONTROL!$C$42, 18.725, 18.725) * CHOOSE(CONTROL!$C$21, $C$9, 100%, $E$9)</f>
        <v>18.725000000000001</v>
      </c>
      <c r="I485" s="10">
        <f>CHOOSE(CONTROL!$C$42, 18.4714, 18.4714)* CHOOSE(CONTROL!$C$21, $C$9, 100%, $E$9)</f>
        <v>18.471399999999999</v>
      </c>
      <c r="J485" s="10">
        <f>CHOOSE(CONTROL!$C$42, 18.4641, 18.4641)* CHOOSE(CONTROL!$C$21, $C$9, 100%, $E$9)</f>
        <v>18.464099999999998</v>
      </c>
      <c r="K485" s="54">
        <f>CHOOSE(CONTROL!$C$42, 18.4675, 18.4675) * CHOOSE(CONTROL!$C$21, $C$9, 100%, $E$9)</f>
        <v>18.467500000000001</v>
      </c>
      <c r="L485" s="10">
        <f>CHOOSE(CONTROL!$C$42, 19.312, 19.312) * CHOOSE(CONTROL!$C$21, $C$9, 100%, $E$9)</f>
        <v>19.312000000000001</v>
      </c>
      <c r="M485" s="10">
        <f>CHOOSE(CONTROL!$C$42, 18.2916, 18.2916) * CHOOSE(CONTROL!$C$21, $C$9, 100%, $E$9)</f>
        <v>18.291599999999999</v>
      </c>
      <c r="N485" s="10">
        <f>CHOOSE(CONTROL!$C$42, 18.3086, 18.3086) * CHOOSE(CONTROL!$C$21, $C$9, 100%, $E$9)</f>
        <v>18.308599999999998</v>
      </c>
      <c r="O485" s="10">
        <f>CHOOSE(CONTROL!$C$42, 18.5498, 18.5498) * CHOOSE(CONTROL!$C$21, $C$9, 100%, $E$9)</f>
        <v>18.549800000000001</v>
      </c>
      <c r="P485" s="10">
        <f>CHOOSE(CONTROL!$C$42, 18.2989, 18.2989) * CHOOSE(CONTROL!$C$21, $C$9, 100%, $E$9)</f>
        <v>18.2989</v>
      </c>
      <c r="Q485" s="10">
        <f>CHOOSE(CONTROL!$C$42, 19.1451, 19.1451) * CHOOSE(CONTROL!$C$21, $C$9, 100%, $E$9)</f>
        <v>19.145099999999999</v>
      </c>
      <c r="R485" s="10">
        <f>CHOOSE(CONTROL!$C$42, 19.78, 19.78) * CHOOSE(CONTROL!$C$21, $C$9, 100%, $E$9)</f>
        <v>19.78</v>
      </c>
      <c r="S485" s="10">
        <f>CHOOSE(CONTROL!$C$42, 17.9658, 17.9658) * CHOOSE(CONTROL!$C$21, $C$9, 100%, $E$9)</f>
        <v>17.965800000000002</v>
      </c>
      <c r="T485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485" s="58">
        <f>(1000*CHOOSE(CONTROL!$C$42, 695, 695)*CHOOSE(CONTROL!$C$42, 0.5599, 0.5599)*CHOOSE(CONTROL!$C$42, 31, 31))/1000000</f>
        <v>12.063045499999998</v>
      </c>
      <c r="V485" s="58">
        <f>(1000*CHOOSE(CONTROL!$C$42, 500, 500)*CHOOSE(CONTROL!$C$42, 0.275, 0.275)*CHOOSE(CONTROL!$C$42, 31, 31))/1000000</f>
        <v>4.2625000000000002</v>
      </c>
      <c r="W485" s="58">
        <f>(1000*CHOOSE(CONTROL!$C$42, 0.1146, 0.1146)*CHOOSE(CONTROL!$C$42, 121.5, 121.5)*CHOOSE(CONTROL!$C$42, 31, 31))/1000000</f>
        <v>0.43164089999999994</v>
      </c>
      <c r="X485" s="58">
        <f>(31*0.1790888*245000/1000000)+(31*0.2374*100000/1000000)</f>
        <v>2.0961194359999999</v>
      </c>
      <c r="Y485" s="58"/>
      <c r="Z485" s="10"/>
      <c r="AA485" s="57"/>
      <c r="AB485" s="51">
        <f>(B485*194.205+C485*267.466+D485*133.845+E485*53.484+F485*40+G485*185+H485*0+I485*100+J485*300)/(194.205+267.466+133.845+53.484+0+40+185+100+300)</f>
        <v>18.521592961145995</v>
      </c>
      <c r="AC485" s="27">
        <f>(M485*'RAP TEMPLATE-GAS AVAILABILITY'!O484+N485*'RAP TEMPLATE-GAS AVAILABILITY'!P484+O485*'RAP TEMPLATE-GAS AVAILABILITY'!Q484+P485*'RAP TEMPLATE-GAS AVAILABILITY'!R484)/('RAP TEMPLATE-GAS AVAILABILITY'!O484+'RAP TEMPLATE-GAS AVAILABILITY'!P484+'RAP TEMPLATE-GAS AVAILABILITY'!Q484+'RAP TEMPLATE-GAS AVAILABILITY'!R484)</f>
        <v>18.369008633093525</v>
      </c>
    </row>
    <row r="486" spans="1:29" ht="15.75" x14ac:dyDescent="0.25">
      <c r="A486" s="14">
        <v>55700</v>
      </c>
      <c r="B486" s="10">
        <f>CHOOSE(CONTROL!$C$42, 19.0296, 19.0296) * CHOOSE(CONTROL!$C$21, $C$9, 100%, $E$9)</f>
        <v>19.029599999999999</v>
      </c>
      <c r="C486" s="10">
        <f>CHOOSE(CONTROL!$C$42, 19.0375, 19.0375) * CHOOSE(CONTROL!$C$21, $C$9, 100%, $E$9)</f>
        <v>19.037500000000001</v>
      </c>
      <c r="D486" s="10">
        <f>CHOOSE(CONTROL!$C$42, 19.23, 19.23) * CHOOSE(CONTROL!$C$21, $C$9, 100%, $E$9)</f>
        <v>19.23</v>
      </c>
      <c r="E486" s="10">
        <f>CHOOSE(CONTROL!$C$42, 19.2611, 19.2611) * CHOOSE(CONTROL!$C$21, $C$9, 100%, $E$9)</f>
        <v>19.261099999999999</v>
      </c>
      <c r="F486" s="10">
        <f>CHOOSE(CONTROL!$C$42, 18.9961, 18.9961)*CHOOSE(CONTROL!$C$21, $C$9, 100%, $E$9)</f>
        <v>18.996099999999998</v>
      </c>
      <c r="G486" s="10">
        <f>CHOOSE(CONTROL!$C$42, 19.0133, 19.0133)*CHOOSE(CONTROL!$C$21, $C$9, 100%, $E$9)</f>
        <v>19.013300000000001</v>
      </c>
      <c r="H486" s="10">
        <f>CHOOSE(CONTROL!$C$42, 19.2497, 19.2497) * CHOOSE(CONTROL!$C$21, $C$9, 100%, $E$9)</f>
        <v>19.249700000000001</v>
      </c>
      <c r="I486" s="10">
        <f>CHOOSE(CONTROL!$C$42, 18.9962, 18.9962)* CHOOSE(CONTROL!$C$21, $C$9, 100%, $E$9)</f>
        <v>18.996200000000002</v>
      </c>
      <c r="J486" s="10">
        <f>CHOOSE(CONTROL!$C$42, 18.9891, 18.9891)* CHOOSE(CONTROL!$C$21, $C$9, 100%, $E$9)</f>
        <v>18.989100000000001</v>
      </c>
      <c r="K486" s="54">
        <f>CHOOSE(CONTROL!$C$42, 18.9923, 18.9923) * CHOOSE(CONTROL!$C$21, $C$9, 100%, $E$9)</f>
        <v>18.9923</v>
      </c>
      <c r="L486" s="10">
        <f>CHOOSE(CONTROL!$C$42, 19.8367, 19.8367) * CHOOSE(CONTROL!$C$21, $C$9, 100%, $E$9)</f>
        <v>19.8367</v>
      </c>
      <c r="M486" s="10">
        <f>CHOOSE(CONTROL!$C$42, 18.8113, 18.8113) * CHOOSE(CONTROL!$C$21, $C$9, 100%, $E$9)</f>
        <v>18.811299999999999</v>
      </c>
      <c r="N486" s="10">
        <f>CHOOSE(CONTROL!$C$42, 18.8283, 18.8283) * CHOOSE(CONTROL!$C$21, $C$9, 100%, $E$9)</f>
        <v>18.828299999999999</v>
      </c>
      <c r="O486" s="10">
        <f>CHOOSE(CONTROL!$C$42, 19.0693, 19.0693) * CHOOSE(CONTROL!$C$21, $C$9, 100%, $E$9)</f>
        <v>19.069299999999998</v>
      </c>
      <c r="P486" s="10">
        <f>CHOOSE(CONTROL!$C$42, 18.8183, 18.8183) * CHOOSE(CONTROL!$C$21, $C$9, 100%, $E$9)</f>
        <v>18.818300000000001</v>
      </c>
      <c r="Q486" s="10">
        <f>CHOOSE(CONTROL!$C$42, 19.6646, 19.6646) * CHOOSE(CONTROL!$C$21, $C$9, 100%, $E$9)</f>
        <v>19.6646</v>
      </c>
      <c r="R486" s="10">
        <f>CHOOSE(CONTROL!$C$42, 20.3008, 20.3008) * CHOOSE(CONTROL!$C$21, $C$9, 100%, $E$9)</f>
        <v>20.300799999999999</v>
      </c>
      <c r="S486" s="10">
        <f>CHOOSE(CONTROL!$C$42, 18.4754, 18.4754) * CHOOSE(CONTROL!$C$21, $C$9, 100%, $E$9)</f>
        <v>18.4754</v>
      </c>
      <c r="T486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486" s="58">
        <f>(1000*CHOOSE(CONTROL!$C$42, 695, 695)*CHOOSE(CONTROL!$C$42, 0.5599, 0.5599)*CHOOSE(CONTROL!$C$42, 30, 30))/1000000</f>
        <v>11.673914999999997</v>
      </c>
      <c r="V486" s="58">
        <f>(1000*CHOOSE(CONTROL!$C$42, 500, 500)*CHOOSE(CONTROL!$C$42, 0.275, 0.275)*CHOOSE(CONTROL!$C$42, 30, 30))/1000000</f>
        <v>4.125</v>
      </c>
      <c r="W486" s="58">
        <f>(1000*CHOOSE(CONTROL!$C$42, 0.1146, 0.1146)*CHOOSE(CONTROL!$C$42, 121.5, 121.5)*CHOOSE(CONTROL!$C$42, 30, 30))/1000000</f>
        <v>0.417717</v>
      </c>
      <c r="X486" s="58">
        <f>(30*0.1790888*245000/1000000)+(30*0.2374*100000/1000000)</f>
        <v>2.0285026799999999</v>
      </c>
      <c r="Y486" s="58"/>
      <c r="Z486" s="10"/>
      <c r="AA486" s="57"/>
      <c r="AB486" s="51">
        <f>(B486*194.205+C486*267.466+D486*133.845+E486*53.484+F486*40+G486*185+H486*0+I486*100+J486*300)/(194.205+267.466+133.845+53.484+0+40+185+100+300)</f>
        <v>19.046453662009419</v>
      </c>
      <c r="AC486" s="27">
        <f>(M486*'RAP TEMPLATE-GAS AVAILABILITY'!O485+N486*'RAP TEMPLATE-GAS AVAILABILITY'!P485+O486*'RAP TEMPLATE-GAS AVAILABILITY'!Q485+P486*'RAP TEMPLATE-GAS AVAILABILITY'!R485)/('RAP TEMPLATE-GAS AVAILABILITY'!O485+'RAP TEMPLATE-GAS AVAILABILITY'!P485+'RAP TEMPLATE-GAS AVAILABILITY'!Q485+'RAP TEMPLATE-GAS AVAILABILITY'!R485)</f>
        <v>18.888609352517985</v>
      </c>
    </row>
    <row r="487" spans="1:29" ht="15.75" x14ac:dyDescent="0.25">
      <c r="A487" s="14">
        <v>55731</v>
      </c>
      <c r="B487" s="10">
        <f>CHOOSE(CONTROL!$C$42, 18.6646, 18.6646) * CHOOSE(CONTROL!$C$21, $C$9, 100%, $E$9)</f>
        <v>18.6646</v>
      </c>
      <c r="C487" s="10">
        <f>CHOOSE(CONTROL!$C$42, 18.6726, 18.6726) * CHOOSE(CONTROL!$C$21, $C$9, 100%, $E$9)</f>
        <v>18.672599999999999</v>
      </c>
      <c r="D487" s="10">
        <f>CHOOSE(CONTROL!$C$42, 18.865, 18.865) * CHOOSE(CONTROL!$C$21, $C$9, 100%, $E$9)</f>
        <v>18.864999999999998</v>
      </c>
      <c r="E487" s="10">
        <f>CHOOSE(CONTROL!$C$42, 18.8961, 18.8961) * CHOOSE(CONTROL!$C$21, $C$9, 100%, $E$9)</f>
        <v>18.896100000000001</v>
      </c>
      <c r="F487" s="10">
        <f>CHOOSE(CONTROL!$C$42, 18.6315, 18.6315)*CHOOSE(CONTROL!$C$21, $C$9, 100%, $E$9)</f>
        <v>18.631499999999999</v>
      </c>
      <c r="G487" s="10">
        <f>CHOOSE(CONTROL!$C$42, 18.6488, 18.6488)*CHOOSE(CONTROL!$C$21, $C$9, 100%, $E$9)</f>
        <v>18.648800000000001</v>
      </c>
      <c r="H487" s="10">
        <f>CHOOSE(CONTROL!$C$42, 18.8848, 18.8848) * CHOOSE(CONTROL!$C$21, $C$9, 100%, $E$9)</f>
        <v>18.884799999999998</v>
      </c>
      <c r="I487" s="10">
        <f>CHOOSE(CONTROL!$C$42, 18.6312, 18.6312)* CHOOSE(CONTROL!$C$21, $C$9, 100%, $E$9)</f>
        <v>18.6312</v>
      </c>
      <c r="J487" s="10">
        <f>CHOOSE(CONTROL!$C$42, 18.6245, 18.6245)* CHOOSE(CONTROL!$C$21, $C$9, 100%, $E$9)</f>
        <v>18.624500000000001</v>
      </c>
      <c r="K487" s="54">
        <f>CHOOSE(CONTROL!$C$42, 18.6273, 18.6273) * CHOOSE(CONTROL!$C$21, $C$9, 100%, $E$9)</f>
        <v>18.627300000000002</v>
      </c>
      <c r="L487" s="10">
        <f>CHOOSE(CONTROL!$C$42, 19.4718, 19.4718) * CHOOSE(CONTROL!$C$21, $C$9, 100%, $E$9)</f>
        <v>19.471800000000002</v>
      </c>
      <c r="M487" s="10">
        <f>CHOOSE(CONTROL!$C$42, 18.4504, 18.4504) * CHOOSE(CONTROL!$C$21, $C$9, 100%, $E$9)</f>
        <v>18.450399999999998</v>
      </c>
      <c r="N487" s="10">
        <f>CHOOSE(CONTROL!$C$42, 18.4675, 18.4675) * CHOOSE(CONTROL!$C$21, $C$9, 100%, $E$9)</f>
        <v>18.467500000000001</v>
      </c>
      <c r="O487" s="10">
        <f>CHOOSE(CONTROL!$C$42, 18.708, 18.708) * CHOOSE(CONTROL!$C$21, $C$9, 100%, $E$9)</f>
        <v>18.707999999999998</v>
      </c>
      <c r="P487" s="10">
        <f>CHOOSE(CONTROL!$C$42, 18.4571, 18.4571) * CHOOSE(CONTROL!$C$21, $C$9, 100%, $E$9)</f>
        <v>18.457100000000001</v>
      </c>
      <c r="Q487" s="10">
        <f>CHOOSE(CONTROL!$C$42, 19.3033, 19.3033) * CHOOSE(CONTROL!$C$21, $C$9, 100%, $E$9)</f>
        <v>19.3033</v>
      </c>
      <c r="R487" s="10">
        <f>CHOOSE(CONTROL!$C$42, 19.9386, 19.9386) * CHOOSE(CONTROL!$C$21, $C$9, 100%, $E$9)</f>
        <v>19.938600000000001</v>
      </c>
      <c r="S487" s="10">
        <f>CHOOSE(CONTROL!$C$42, 18.121, 18.121) * CHOOSE(CONTROL!$C$21, $C$9, 100%, $E$9)</f>
        <v>18.120999999999999</v>
      </c>
      <c r="T487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487" s="58">
        <f>(1000*CHOOSE(CONTROL!$C$42, 695, 695)*CHOOSE(CONTROL!$C$42, 0.5599, 0.5599)*CHOOSE(CONTROL!$C$42, 31, 31))/1000000</f>
        <v>12.063045499999998</v>
      </c>
      <c r="V487" s="58">
        <f>(1000*CHOOSE(CONTROL!$C$42, 500, 500)*CHOOSE(CONTROL!$C$42, 0.275, 0.275)*CHOOSE(CONTROL!$C$42, 31, 31))/1000000</f>
        <v>4.2625000000000002</v>
      </c>
      <c r="W487" s="58">
        <f>(1000*CHOOSE(CONTROL!$C$42, 0.1146, 0.1146)*CHOOSE(CONTROL!$C$42, 121.5, 121.5)*CHOOSE(CONTROL!$C$42, 31, 31))/1000000</f>
        <v>0.43164089999999994</v>
      </c>
      <c r="X487" s="58">
        <f>(31*0.1790888*245000/1000000)+(31*0.2374*100000/1000000)</f>
        <v>2.0961194359999999</v>
      </c>
      <c r="Y487" s="58"/>
      <c r="Z487" s="10"/>
      <c r="AA487" s="57"/>
      <c r="AB487" s="51">
        <f>(B487*194.205+C487*267.466+D487*133.845+E487*53.484+F487*40+G487*185+H487*0+I487*100+J487*300)/(194.205+267.466+133.845+53.484+0+40+185+100+300)</f>
        <v>18.681654012558873</v>
      </c>
      <c r="AC487" s="27">
        <f>(M487*'RAP TEMPLATE-GAS AVAILABILITY'!O486+N487*'RAP TEMPLATE-GAS AVAILABILITY'!P486+O487*'RAP TEMPLATE-GAS AVAILABILITY'!Q486+P487*'RAP TEMPLATE-GAS AVAILABILITY'!R486)/('RAP TEMPLATE-GAS AVAILABILITY'!O486+'RAP TEMPLATE-GAS AVAILABILITY'!P486+'RAP TEMPLATE-GAS AVAILABILITY'!Q486+'RAP TEMPLATE-GAS AVAILABILITY'!R486)</f>
        <v>18.527576978417262</v>
      </c>
    </row>
    <row r="488" spans="1:29" ht="15.75" x14ac:dyDescent="0.25">
      <c r="A488" s="14">
        <v>55762</v>
      </c>
      <c r="B488" s="10">
        <f>CHOOSE(CONTROL!$C$42, 17.743, 17.743) * CHOOSE(CONTROL!$C$21, $C$9, 100%, $E$9)</f>
        <v>17.742999999999999</v>
      </c>
      <c r="C488" s="10">
        <f>CHOOSE(CONTROL!$C$42, 17.7509, 17.7509) * CHOOSE(CONTROL!$C$21, $C$9, 100%, $E$9)</f>
        <v>17.750900000000001</v>
      </c>
      <c r="D488" s="10">
        <f>CHOOSE(CONTROL!$C$42, 17.9433, 17.9433) * CHOOSE(CONTROL!$C$21, $C$9, 100%, $E$9)</f>
        <v>17.943300000000001</v>
      </c>
      <c r="E488" s="10">
        <f>CHOOSE(CONTROL!$C$42, 17.9745, 17.9745) * CHOOSE(CONTROL!$C$21, $C$9, 100%, $E$9)</f>
        <v>17.974499999999999</v>
      </c>
      <c r="F488" s="10">
        <f>CHOOSE(CONTROL!$C$42, 17.71, 17.71)*CHOOSE(CONTROL!$C$21, $C$9, 100%, $E$9)</f>
        <v>17.71</v>
      </c>
      <c r="G488" s="10">
        <f>CHOOSE(CONTROL!$C$42, 17.7274, 17.7274)*CHOOSE(CONTROL!$C$21, $C$9, 100%, $E$9)</f>
        <v>17.727399999999999</v>
      </c>
      <c r="H488" s="10">
        <f>CHOOSE(CONTROL!$C$42, 17.9631, 17.9631) * CHOOSE(CONTROL!$C$21, $C$9, 100%, $E$9)</f>
        <v>17.963100000000001</v>
      </c>
      <c r="I488" s="10">
        <f>CHOOSE(CONTROL!$C$42, 17.7095, 17.7095)* CHOOSE(CONTROL!$C$21, $C$9, 100%, $E$9)</f>
        <v>17.709499999999998</v>
      </c>
      <c r="J488" s="10">
        <f>CHOOSE(CONTROL!$C$42, 17.703, 17.703)* CHOOSE(CONTROL!$C$21, $C$9, 100%, $E$9)</f>
        <v>17.702999999999999</v>
      </c>
      <c r="K488" s="54">
        <f>CHOOSE(CONTROL!$C$42, 17.7057, 17.7057) * CHOOSE(CONTROL!$C$21, $C$9, 100%, $E$9)</f>
        <v>17.7057</v>
      </c>
      <c r="L488" s="10">
        <f>CHOOSE(CONTROL!$C$42, 18.5501, 18.5501) * CHOOSE(CONTROL!$C$21, $C$9, 100%, $E$9)</f>
        <v>18.5501</v>
      </c>
      <c r="M488" s="10">
        <f>CHOOSE(CONTROL!$C$42, 17.5382, 17.5382) * CHOOSE(CONTROL!$C$21, $C$9, 100%, $E$9)</f>
        <v>17.5382</v>
      </c>
      <c r="N488" s="10">
        <f>CHOOSE(CONTROL!$C$42, 17.5554, 17.5554) * CHOOSE(CONTROL!$C$21, $C$9, 100%, $E$9)</f>
        <v>17.555399999999999</v>
      </c>
      <c r="O488" s="10">
        <f>CHOOSE(CONTROL!$C$42, 17.7956, 17.7956) * CHOOSE(CONTROL!$C$21, $C$9, 100%, $E$9)</f>
        <v>17.7956</v>
      </c>
      <c r="P488" s="10">
        <f>CHOOSE(CONTROL!$C$42, 17.5447, 17.5447) * CHOOSE(CONTROL!$C$21, $C$9, 100%, $E$9)</f>
        <v>17.544699999999999</v>
      </c>
      <c r="Q488" s="10">
        <f>CHOOSE(CONTROL!$C$42, 18.3909, 18.3909) * CHOOSE(CONTROL!$C$21, $C$9, 100%, $E$9)</f>
        <v>18.390899999999998</v>
      </c>
      <c r="R488" s="10">
        <f>CHOOSE(CONTROL!$C$42, 19.0239, 19.0239) * CHOOSE(CONTROL!$C$21, $C$9, 100%, $E$9)</f>
        <v>19.023900000000001</v>
      </c>
      <c r="S488" s="10">
        <f>CHOOSE(CONTROL!$C$42, 17.226, 17.226) * CHOOSE(CONTROL!$C$21, $C$9, 100%, $E$9)</f>
        <v>17.225999999999999</v>
      </c>
      <c r="T488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488" s="58">
        <f>(1000*CHOOSE(CONTROL!$C$42, 695, 695)*CHOOSE(CONTROL!$C$42, 0.5599, 0.5599)*CHOOSE(CONTROL!$C$42, 31, 31))/1000000</f>
        <v>12.063045499999998</v>
      </c>
      <c r="V488" s="58">
        <f>(1000*CHOOSE(CONTROL!$C$42, 500, 500)*CHOOSE(CONTROL!$C$42, 0.275, 0.275)*CHOOSE(CONTROL!$C$42, 31, 31))/1000000</f>
        <v>4.2625000000000002</v>
      </c>
      <c r="W488" s="58">
        <f>(1000*CHOOSE(CONTROL!$C$42, 0.1146, 0.1146)*CHOOSE(CONTROL!$C$42, 121.5, 121.5)*CHOOSE(CONTROL!$C$42, 31, 31))/1000000</f>
        <v>0.43164089999999994</v>
      </c>
      <c r="X488" s="58">
        <f>(31*0.1790888*245000/1000000)+(31*0.2374*100000/1000000)</f>
        <v>2.0961194359999999</v>
      </c>
      <c r="Y488" s="58"/>
      <c r="Z488" s="10"/>
      <c r="AA488" s="57"/>
      <c r="AB488" s="51">
        <f>(B488*194.205+C488*267.466+D488*133.845+E488*53.484+F488*40+G488*185+H488*0+I488*100+J488*300)/(194.205+267.466+133.845+53.484+0+40+185+100+300)</f>
        <v>17.760070393171116</v>
      </c>
      <c r="AC488" s="27">
        <f>(M488*'RAP TEMPLATE-GAS AVAILABILITY'!O487+N488*'RAP TEMPLATE-GAS AVAILABILITY'!P487+O488*'RAP TEMPLATE-GAS AVAILABILITY'!Q487+P488*'RAP TEMPLATE-GAS AVAILABILITY'!R487)/('RAP TEMPLATE-GAS AVAILABILITY'!O487+'RAP TEMPLATE-GAS AVAILABILITY'!P487+'RAP TEMPLATE-GAS AVAILABILITY'!Q487+'RAP TEMPLATE-GAS AVAILABILITY'!R487)</f>
        <v>17.615315107913666</v>
      </c>
    </row>
    <row r="489" spans="1:29" ht="15.75" x14ac:dyDescent="0.25">
      <c r="A489" s="14">
        <v>55792</v>
      </c>
      <c r="B489" s="10">
        <f>CHOOSE(CONTROL!$C$42, 16.6165, 16.6165) * CHOOSE(CONTROL!$C$21, $C$9, 100%, $E$9)</f>
        <v>16.616499999999998</v>
      </c>
      <c r="C489" s="10">
        <f>CHOOSE(CONTROL!$C$42, 16.6244, 16.6244) * CHOOSE(CONTROL!$C$21, $C$9, 100%, $E$9)</f>
        <v>16.624400000000001</v>
      </c>
      <c r="D489" s="10">
        <f>CHOOSE(CONTROL!$C$42, 16.8168, 16.8168) * CHOOSE(CONTROL!$C$21, $C$9, 100%, $E$9)</f>
        <v>16.816800000000001</v>
      </c>
      <c r="E489" s="10">
        <f>CHOOSE(CONTROL!$C$42, 16.848, 16.848) * CHOOSE(CONTROL!$C$21, $C$9, 100%, $E$9)</f>
        <v>16.847999999999999</v>
      </c>
      <c r="F489" s="10">
        <f>CHOOSE(CONTROL!$C$42, 16.5834, 16.5834)*CHOOSE(CONTROL!$C$21, $C$9, 100%, $E$9)</f>
        <v>16.583400000000001</v>
      </c>
      <c r="G489" s="10">
        <f>CHOOSE(CONTROL!$C$42, 16.6007, 16.6007)*CHOOSE(CONTROL!$C$21, $C$9, 100%, $E$9)</f>
        <v>16.6007</v>
      </c>
      <c r="H489" s="10">
        <f>CHOOSE(CONTROL!$C$42, 16.8366, 16.8366) * CHOOSE(CONTROL!$C$21, $C$9, 100%, $E$9)</f>
        <v>16.836600000000001</v>
      </c>
      <c r="I489" s="10">
        <f>CHOOSE(CONTROL!$C$42, 16.583, 16.583)* CHOOSE(CONTROL!$C$21, $C$9, 100%, $E$9)</f>
        <v>16.582999999999998</v>
      </c>
      <c r="J489" s="10">
        <f>CHOOSE(CONTROL!$C$42, 16.5764, 16.5764)* CHOOSE(CONTROL!$C$21, $C$9, 100%, $E$9)</f>
        <v>16.5764</v>
      </c>
      <c r="K489" s="54">
        <f>CHOOSE(CONTROL!$C$42, 16.5791, 16.5791) * CHOOSE(CONTROL!$C$21, $C$9, 100%, $E$9)</f>
        <v>16.5791</v>
      </c>
      <c r="L489" s="10">
        <f>CHOOSE(CONTROL!$C$42, 17.4236, 17.4236) * CHOOSE(CONTROL!$C$21, $C$9, 100%, $E$9)</f>
        <v>17.4236</v>
      </c>
      <c r="M489" s="10">
        <f>CHOOSE(CONTROL!$C$42, 16.4229, 16.4229) * CHOOSE(CONTROL!$C$21, $C$9, 100%, $E$9)</f>
        <v>16.422899999999998</v>
      </c>
      <c r="N489" s="10">
        <f>CHOOSE(CONTROL!$C$42, 16.44, 16.44) * CHOOSE(CONTROL!$C$21, $C$9, 100%, $E$9)</f>
        <v>16.440000000000001</v>
      </c>
      <c r="O489" s="10">
        <f>CHOOSE(CONTROL!$C$42, 16.6805, 16.6805) * CHOOSE(CONTROL!$C$21, $C$9, 100%, $E$9)</f>
        <v>16.680499999999999</v>
      </c>
      <c r="P489" s="10">
        <f>CHOOSE(CONTROL!$C$42, 16.4296, 16.4296) * CHOOSE(CONTROL!$C$21, $C$9, 100%, $E$9)</f>
        <v>16.429600000000001</v>
      </c>
      <c r="Q489" s="10">
        <f>CHOOSE(CONTROL!$C$42, 17.2758, 17.2758) * CHOOSE(CONTROL!$C$21, $C$9, 100%, $E$9)</f>
        <v>17.2758</v>
      </c>
      <c r="R489" s="10">
        <f>CHOOSE(CONTROL!$C$42, 17.906, 17.906) * CHOOSE(CONTROL!$C$21, $C$9, 100%, $E$9)</f>
        <v>17.905999999999999</v>
      </c>
      <c r="S489" s="10">
        <f>CHOOSE(CONTROL!$C$42, 16.132, 16.132) * CHOOSE(CONTROL!$C$21, $C$9, 100%, $E$9)</f>
        <v>16.132000000000001</v>
      </c>
      <c r="T489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489" s="58">
        <f>(1000*CHOOSE(CONTROL!$C$42, 695, 695)*CHOOSE(CONTROL!$C$42, 0.5599, 0.5599)*CHOOSE(CONTROL!$C$42, 30, 30))/1000000</f>
        <v>11.673914999999997</v>
      </c>
      <c r="V489" s="58">
        <f>(1000*CHOOSE(CONTROL!$C$42, 500, 500)*CHOOSE(CONTROL!$C$42, 0.275, 0.275)*CHOOSE(CONTROL!$C$42, 30, 30))/1000000</f>
        <v>4.125</v>
      </c>
      <c r="W489" s="58">
        <f>(1000*CHOOSE(CONTROL!$C$42, 0.1146, 0.1146)*CHOOSE(CONTROL!$C$42, 121.5, 121.5)*CHOOSE(CONTROL!$C$42, 30, 30))/1000000</f>
        <v>0.417717</v>
      </c>
      <c r="X489" s="58">
        <f>(30*0.1790888*245000/1000000)+(30*0.2374*100000/1000000)</f>
        <v>2.0285026799999999</v>
      </c>
      <c r="Y489" s="58"/>
      <c r="Z489" s="10"/>
      <c r="AA489" s="57"/>
      <c r="AB489" s="51">
        <f>(B489*194.205+C489*267.466+D489*133.845+E489*53.484+F489*40+G489*185+H489*0+I489*100+J489*300)/(194.205+267.466+133.845+53.484+0+40+185+100+300)</f>
        <v>16.633514663186812</v>
      </c>
      <c r="AC489" s="27">
        <f>(M489*'RAP TEMPLATE-GAS AVAILABILITY'!O488+N489*'RAP TEMPLATE-GAS AVAILABILITY'!P488+O489*'RAP TEMPLATE-GAS AVAILABILITY'!Q488+P489*'RAP TEMPLATE-GAS AVAILABILITY'!R488)/('RAP TEMPLATE-GAS AVAILABILITY'!O488+'RAP TEMPLATE-GAS AVAILABILITY'!P488+'RAP TEMPLATE-GAS AVAILABILITY'!Q488+'RAP TEMPLATE-GAS AVAILABILITY'!R488)</f>
        <v>16.500076978417262</v>
      </c>
    </row>
    <row r="490" spans="1:29" ht="15.75" x14ac:dyDescent="0.25">
      <c r="A490" s="14">
        <v>55823</v>
      </c>
      <c r="B490" s="10">
        <f>CHOOSE(CONTROL!$C$42, 16.2774, 16.2774) * CHOOSE(CONTROL!$C$21, $C$9, 100%, $E$9)</f>
        <v>16.2774</v>
      </c>
      <c r="C490" s="10">
        <f>CHOOSE(CONTROL!$C$42, 16.2826, 16.2826) * CHOOSE(CONTROL!$C$21, $C$9, 100%, $E$9)</f>
        <v>16.282599999999999</v>
      </c>
      <c r="D490" s="10">
        <f>CHOOSE(CONTROL!$C$42, 16.48, 16.48) * CHOOSE(CONTROL!$C$21, $C$9, 100%, $E$9)</f>
        <v>16.48</v>
      </c>
      <c r="E490" s="10">
        <f>CHOOSE(CONTROL!$C$42, 16.5088, 16.5088) * CHOOSE(CONTROL!$C$21, $C$9, 100%, $E$9)</f>
        <v>16.508800000000001</v>
      </c>
      <c r="F490" s="10">
        <f>CHOOSE(CONTROL!$C$42, 16.2463, 16.2463)*CHOOSE(CONTROL!$C$21, $C$9, 100%, $E$9)</f>
        <v>16.246300000000002</v>
      </c>
      <c r="G490" s="10">
        <f>CHOOSE(CONTROL!$C$42, 16.2633, 16.2633)*CHOOSE(CONTROL!$C$21, $C$9, 100%, $E$9)</f>
        <v>16.263300000000001</v>
      </c>
      <c r="H490" s="10">
        <f>CHOOSE(CONTROL!$C$42, 16.4993, 16.4993) * CHOOSE(CONTROL!$C$21, $C$9, 100%, $E$9)</f>
        <v>16.499300000000002</v>
      </c>
      <c r="I490" s="10">
        <f>CHOOSE(CONTROL!$C$42, 16.2458, 16.2458)* CHOOSE(CONTROL!$C$21, $C$9, 100%, $E$9)</f>
        <v>16.245799999999999</v>
      </c>
      <c r="J490" s="10">
        <f>CHOOSE(CONTROL!$C$42, 16.2393, 16.2393)* CHOOSE(CONTROL!$C$21, $C$9, 100%, $E$9)</f>
        <v>16.2393</v>
      </c>
      <c r="K490" s="54">
        <f>CHOOSE(CONTROL!$C$42, 16.2419, 16.2419) * CHOOSE(CONTROL!$C$21, $C$9, 100%, $E$9)</f>
        <v>16.241900000000001</v>
      </c>
      <c r="L490" s="10">
        <f>CHOOSE(CONTROL!$C$42, 17.0863, 17.0863) * CHOOSE(CONTROL!$C$21, $C$9, 100%, $E$9)</f>
        <v>17.086300000000001</v>
      </c>
      <c r="M490" s="10">
        <f>CHOOSE(CONTROL!$C$42, 16.0893, 16.0893) * CHOOSE(CONTROL!$C$21, $C$9, 100%, $E$9)</f>
        <v>16.089300000000001</v>
      </c>
      <c r="N490" s="10">
        <f>CHOOSE(CONTROL!$C$42, 16.1061, 16.1061) * CHOOSE(CONTROL!$C$21, $C$9, 100%, $E$9)</f>
        <v>16.106100000000001</v>
      </c>
      <c r="O490" s="10">
        <f>CHOOSE(CONTROL!$C$42, 16.3466, 16.3466) * CHOOSE(CONTROL!$C$21, $C$9, 100%, $E$9)</f>
        <v>16.346599999999999</v>
      </c>
      <c r="P490" s="10">
        <f>CHOOSE(CONTROL!$C$42, 16.0957, 16.0957) * CHOOSE(CONTROL!$C$21, $C$9, 100%, $E$9)</f>
        <v>16.095700000000001</v>
      </c>
      <c r="Q490" s="10">
        <f>CHOOSE(CONTROL!$C$42, 16.9419, 16.9419) * CHOOSE(CONTROL!$C$21, $C$9, 100%, $E$9)</f>
        <v>16.9419</v>
      </c>
      <c r="R490" s="10">
        <f>CHOOSE(CONTROL!$C$42, 17.5713, 17.5713) * CHOOSE(CONTROL!$C$21, $C$9, 100%, $E$9)</f>
        <v>17.571300000000001</v>
      </c>
      <c r="S490" s="10">
        <f>CHOOSE(CONTROL!$C$42, 15.8045, 15.8045) * CHOOSE(CONTROL!$C$21, $C$9, 100%, $E$9)</f>
        <v>15.804500000000001</v>
      </c>
      <c r="T490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490" s="58">
        <f>(1000*CHOOSE(CONTROL!$C$42, 695, 695)*CHOOSE(CONTROL!$C$42, 0.5599, 0.5599)*CHOOSE(CONTROL!$C$42, 31, 31))/1000000</f>
        <v>12.063045499999998</v>
      </c>
      <c r="V490" s="58">
        <f>(1000*CHOOSE(CONTROL!$C$42, 500, 500)*CHOOSE(CONTROL!$C$42, 0.275, 0.275)*CHOOSE(CONTROL!$C$42, 31, 31))/1000000</f>
        <v>4.2625000000000002</v>
      </c>
      <c r="W490" s="58">
        <f>(1000*CHOOSE(CONTROL!$C$42, 0.1146, 0.1146)*CHOOSE(CONTROL!$C$42, 121.5, 121.5)*CHOOSE(CONTROL!$C$42, 31, 31))/1000000</f>
        <v>0.43164089999999994</v>
      </c>
      <c r="X490" s="58">
        <f>(31*0.1790888*245000/1000000)+(31*0.2374*100000/1000000)</f>
        <v>2.0961194359999999</v>
      </c>
      <c r="Y490" s="58"/>
      <c r="Z490" s="10"/>
      <c r="AA490" s="57"/>
      <c r="AB490" s="51">
        <f>(B490*131.881+C490*277.167+D490*79.08+E490*125.872+F490*40+G490*185+H490*0+I490*100+J490*300)/(131.881+277.167+79.08+125.872+0+40+185+100+300)</f>
        <v>16.300117641000806</v>
      </c>
      <c r="AC490" s="27">
        <f>(M490*'RAP TEMPLATE-GAS AVAILABILITY'!O489+N490*'RAP TEMPLATE-GAS AVAILABILITY'!P489+O490*'RAP TEMPLATE-GAS AVAILABILITY'!Q489+P490*'RAP TEMPLATE-GAS AVAILABILITY'!R489)/('RAP TEMPLATE-GAS AVAILABILITY'!O489+'RAP TEMPLATE-GAS AVAILABILITY'!P489+'RAP TEMPLATE-GAS AVAILABILITY'!Q489+'RAP TEMPLATE-GAS AVAILABILITY'!R489)</f>
        <v>16.166280575539567</v>
      </c>
    </row>
    <row r="491" spans="1:29" ht="15.75" x14ac:dyDescent="0.25">
      <c r="A491" s="14">
        <v>55853</v>
      </c>
      <c r="B491" s="10">
        <f>CHOOSE(CONTROL!$C$42, 16.7058, 16.7058) * CHOOSE(CONTROL!$C$21, $C$9, 100%, $E$9)</f>
        <v>16.7058</v>
      </c>
      <c r="C491" s="10">
        <f>CHOOSE(CONTROL!$C$42, 16.7107, 16.7107) * CHOOSE(CONTROL!$C$21, $C$9, 100%, $E$9)</f>
        <v>16.710699999999999</v>
      </c>
      <c r="D491" s="10">
        <f>CHOOSE(CONTROL!$C$42, 16.7403, 16.7403) * CHOOSE(CONTROL!$C$21, $C$9, 100%, $E$9)</f>
        <v>16.740300000000001</v>
      </c>
      <c r="E491" s="10">
        <f>CHOOSE(CONTROL!$C$42, 16.7741, 16.7741) * CHOOSE(CONTROL!$C$21, $C$9, 100%, $E$9)</f>
        <v>16.774100000000001</v>
      </c>
      <c r="F491" s="10">
        <f>CHOOSE(CONTROL!$C$42, 16.6725, 16.6725)*CHOOSE(CONTROL!$C$21, $C$9, 100%, $E$9)</f>
        <v>16.672499999999999</v>
      </c>
      <c r="G491" s="10">
        <f>CHOOSE(CONTROL!$C$42, 16.6897, 16.6897)*CHOOSE(CONTROL!$C$21, $C$9, 100%, $E$9)</f>
        <v>16.689699999999998</v>
      </c>
      <c r="H491" s="10">
        <f>CHOOSE(CONTROL!$C$42, 16.7633, 16.7633) * CHOOSE(CONTROL!$C$21, $C$9, 100%, $E$9)</f>
        <v>16.763300000000001</v>
      </c>
      <c r="I491" s="10">
        <f>CHOOSE(CONTROL!$C$42, 16.6693, 16.6693)* CHOOSE(CONTROL!$C$21, $C$9, 100%, $E$9)</f>
        <v>16.6693</v>
      </c>
      <c r="J491" s="10">
        <f>CHOOSE(CONTROL!$C$42, 16.6655, 16.6655)* CHOOSE(CONTROL!$C$21, $C$9, 100%, $E$9)</f>
        <v>16.665500000000002</v>
      </c>
      <c r="K491" s="54">
        <f>CHOOSE(CONTROL!$C$42, 16.6655, 16.6655) * CHOOSE(CONTROL!$C$21, $C$9, 100%, $E$9)</f>
        <v>16.665500000000002</v>
      </c>
      <c r="L491" s="10">
        <f>CHOOSE(CONTROL!$C$42, 17.3503, 17.3503) * CHOOSE(CONTROL!$C$21, $C$9, 100%, $E$9)</f>
        <v>17.350300000000001</v>
      </c>
      <c r="M491" s="10">
        <f>CHOOSE(CONTROL!$C$42, 16.5112, 16.5112) * CHOOSE(CONTROL!$C$21, $C$9, 100%, $E$9)</f>
        <v>16.511199999999999</v>
      </c>
      <c r="N491" s="10">
        <f>CHOOSE(CONTROL!$C$42, 16.5281, 16.5281) * CHOOSE(CONTROL!$C$21, $C$9, 100%, $E$9)</f>
        <v>16.528099999999998</v>
      </c>
      <c r="O491" s="10">
        <f>CHOOSE(CONTROL!$C$42, 16.6079, 16.6079) * CHOOSE(CONTROL!$C$21, $C$9, 100%, $E$9)</f>
        <v>16.607900000000001</v>
      </c>
      <c r="P491" s="10">
        <f>CHOOSE(CONTROL!$C$42, 16.515, 16.515) * CHOOSE(CONTROL!$C$21, $C$9, 100%, $E$9)</f>
        <v>16.515000000000001</v>
      </c>
      <c r="Q491" s="10">
        <f>CHOOSE(CONTROL!$C$42, 17.2032, 17.2032) * CHOOSE(CONTROL!$C$21, $C$9, 100%, $E$9)</f>
        <v>17.203199999999999</v>
      </c>
      <c r="R491" s="10">
        <f>CHOOSE(CONTROL!$C$42, 17.8333, 17.8333) * CHOOSE(CONTROL!$C$21, $C$9, 100%, $E$9)</f>
        <v>17.833300000000001</v>
      </c>
      <c r="S491" s="10">
        <f>CHOOSE(CONTROL!$C$42, 16.2208, 16.2208) * CHOOSE(CONTROL!$C$21, $C$9, 100%, $E$9)</f>
        <v>16.220800000000001</v>
      </c>
      <c r="T491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491" s="58">
        <f>(1000*CHOOSE(CONTROL!$C$42, 695, 695)*CHOOSE(CONTROL!$C$42, 0.5599, 0.5599)*CHOOSE(CONTROL!$C$42, 30, 30))/1000000</f>
        <v>11.673914999999997</v>
      </c>
      <c r="V491" s="58">
        <f>(1000*CHOOSE(CONTROL!$C$42, 500, 500)*CHOOSE(CONTROL!$C$42, 0.275, 0.275)*CHOOSE(CONTROL!$C$42, 30, 30))/1000000</f>
        <v>4.125</v>
      </c>
      <c r="W491" s="58">
        <f>(1000*CHOOSE(CONTROL!$C$42, 0.1146, 0.1146)*CHOOSE(CONTROL!$C$42, 121.5, 121.5)*CHOOSE(CONTROL!$C$42, 30, 30))/1000000</f>
        <v>0.417717</v>
      </c>
      <c r="X491" s="58">
        <f>(30*0.1790888*100000/1000000)+(30*0.2374*100000/1000000)</f>
        <v>1.2494664</v>
      </c>
      <c r="Y491" s="58"/>
      <c r="Z491" s="10"/>
      <c r="AA491" s="57"/>
      <c r="AB491" s="51">
        <f>(B491*122.58+C491*297.941+D491*89.177+E491*40.302+F491*40+G491*160+H491*0+I491*100+J491*300)/(122.58+297.941+89.177+40.302+0+40+160+100+300)</f>
        <v>16.695053168695651</v>
      </c>
      <c r="AC491" s="27">
        <f>(M491*'RAP TEMPLATE-GAS AVAILABILITY'!O490+N491*'RAP TEMPLATE-GAS AVAILABILITY'!P490+O491*'RAP TEMPLATE-GAS AVAILABILITY'!Q490+P491*'RAP TEMPLATE-GAS AVAILABILITY'!R490)/('RAP TEMPLATE-GAS AVAILABILITY'!O490+'RAP TEMPLATE-GAS AVAILABILITY'!P490+'RAP TEMPLATE-GAS AVAILABILITY'!Q490+'RAP TEMPLATE-GAS AVAILABILITY'!R490)</f>
        <v>16.556547482014391</v>
      </c>
    </row>
    <row r="492" spans="1:29" ht="15.75" x14ac:dyDescent="0.25">
      <c r="A492" s="14">
        <v>55884</v>
      </c>
      <c r="B492" s="10">
        <f>CHOOSE(CONTROL!$C$42, 17.8445, 17.8445) * CHOOSE(CONTROL!$C$21, $C$9, 100%, $E$9)</f>
        <v>17.8445</v>
      </c>
      <c r="C492" s="10">
        <f>CHOOSE(CONTROL!$C$42, 17.8495, 17.8495) * CHOOSE(CONTROL!$C$21, $C$9, 100%, $E$9)</f>
        <v>17.849499999999999</v>
      </c>
      <c r="D492" s="10">
        <f>CHOOSE(CONTROL!$C$42, 17.8791, 17.8791) * CHOOSE(CONTROL!$C$21, $C$9, 100%, $E$9)</f>
        <v>17.879100000000001</v>
      </c>
      <c r="E492" s="10">
        <f>CHOOSE(CONTROL!$C$42, 17.9129, 17.9129) * CHOOSE(CONTROL!$C$21, $C$9, 100%, $E$9)</f>
        <v>17.9129</v>
      </c>
      <c r="F492" s="10">
        <f>CHOOSE(CONTROL!$C$42, 17.8128, 17.8128)*CHOOSE(CONTROL!$C$21, $C$9, 100%, $E$9)</f>
        <v>17.812799999999999</v>
      </c>
      <c r="G492" s="10">
        <f>CHOOSE(CONTROL!$C$42, 17.8302, 17.8302)*CHOOSE(CONTROL!$C$21, $C$9, 100%, $E$9)</f>
        <v>17.830200000000001</v>
      </c>
      <c r="H492" s="10">
        <f>CHOOSE(CONTROL!$C$42, 17.9021, 17.9021) * CHOOSE(CONTROL!$C$21, $C$9, 100%, $E$9)</f>
        <v>17.902100000000001</v>
      </c>
      <c r="I492" s="10">
        <f>CHOOSE(CONTROL!$C$42, 17.8081, 17.8081)* CHOOSE(CONTROL!$C$21, $C$9, 100%, $E$9)</f>
        <v>17.8081</v>
      </c>
      <c r="J492" s="10">
        <f>CHOOSE(CONTROL!$C$42, 17.8058, 17.8058)* CHOOSE(CONTROL!$C$21, $C$9, 100%, $E$9)</f>
        <v>17.805800000000001</v>
      </c>
      <c r="K492" s="54">
        <f>CHOOSE(CONTROL!$C$42, 17.8042, 17.8042) * CHOOSE(CONTROL!$C$21, $C$9, 100%, $E$9)</f>
        <v>17.804200000000002</v>
      </c>
      <c r="L492" s="10">
        <f>CHOOSE(CONTROL!$C$42, 18.4891, 18.4891) * CHOOSE(CONTROL!$C$21, $C$9, 100%, $E$9)</f>
        <v>18.489100000000001</v>
      </c>
      <c r="M492" s="10">
        <f>CHOOSE(CONTROL!$C$42, 17.6399, 17.6399) * CHOOSE(CONTROL!$C$21, $C$9, 100%, $E$9)</f>
        <v>17.639900000000001</v>
      </c>
      <c r="N492" s="10">
        <f>CHOOSE(CONTROL!$C$42, 17.6572, 17.6572) * CHOOSE(CONTROL!$C$21, $C$9, 100%, $E$9)</f>
        <v>17.6572</v>
      </c>
      <c r="O492" s="10">
        <f>CHOOSE(CONTROL!$C$42, 17.7352, 17.7352) * CHOOSE(CONTROL!$C$21, $C$9, 100%, $E$9)</f>
        <v>17.735199999999999</v>
      </c>
      <c r="P492" s="10">
        <f>CHOOSE(CONTROL!$C$42, 17.6423, 17.6423) * CHOOSE(CONTROL!$C$21, $C$9, 100%, $E$9)</f>
        <v>17.642299999999999</v>
      </c>
      <c r="Q492" s="10">
        <f>CHOOSE(CONTROL!$C$42, 18.3305, 18.3305) * CHOOSE(CONTROL!$C$21, $C$9, 100%, $E$9)</f>
        <v>18.330500000000001</v>
      </c>
      <c r="R492" s="10">
        <f>CHOOSE(CONTROL!$C$42, 18.9634, 18.9634) * CHOOSE(CONTROL!$C$21, $C$9, 100%, $E$9)</f>
        <v>18.9634</v>
      </c>
      <c r="S492" s="10">
        <f>CHOOSE(CONTROL!$C$42, 17.3267, 17.3267) * CHOOSE(CONTROL!$C$21, $C$9, 100%, $E$9)</f>
        <v>17.326699999999999</v>
      </c>
      <c r="T492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492" s="58">
        <f>(1000*CHOOSE(CONTROL!$C$42, 695, 695)*CHOOSE(CONTROL!$C$42, 0.5599, 0.5599)*CHOOSE(CONTROL!$C$42, 31, 31))/1000000</f>
        <v>12.063045499999998</v>
      </c>
      <c r="V492" s="58">
        <f>(1000*CHOOSE(CONTROL!$C$42, 500, 500)*CHOOSE(CONTROL!$C$42, 0.275, 0.275)*CHOOSE(CONTROL!$C$42, 31, 31))/1000000</f>
        <v>4.2625000000000002</v>
      </c>
      <c r="W492" s="58">
        <f>(1000*CHOOSE(CONTROL!$C$42, 0.1146, 0.1146)*CHOOSE(CONTROL!$C$42, 121.5, 121.5)*CHOOSE(CONTROL!$C$42, 31, 31))/1000000</f>
        <v>0.43164089999999994</v>
      </c>
      <c r="X492" s="58">
        <f>(31*0.1790888*100000/1000000)+(31*0.2374*100000/1000000)</f>
        <v>1.2911152800000001</v>
      </c>
      <c r="Y492" s="58"/>
      <c r="Z492" s="10"/>
      <c r="AA492" s="57"/>
      <c r="AB492" s="51">
        <f>(B492*122.58+C492*297.941+D492*89.177+E492*40.302+F492*40+G492*160+H492*0+I492*100+J492*300)/(122.58+297.941+89.177+40.302+0+40+160+100+300)</f>
        <v>17.834522509565218</v>
      </c>
      <c r="AC492" s="27">
        <f>(M492*'RAP TEMPLATE-GAS AVAILABILITY'!O491+N492*'RAP TEMPLATE-GAS AVAILABILITY'!P491+O492*'RAP TEMPLATE-GAS AVAILABILITY'!Q491+P492*'RAP TEMPLATE-GAS AVAILABILITY'!R491)/('RAP TEMPLATE-GAS AVAILABILITY'!O491+'RAP TEMPLATE-GAS AVAILABILITY'!P491+'RAP TEMPLATE-GAS AVAILABILITY'!Q491+'RAP TEMPLATE-GAS AVAILABILITY'!R491)</f>
        <v>17.684434532374098</v>
      </c>
    </row>
    <row r="493" spans="1:29" ht="15.75" x14ac:dyDescent="0.25">
      <c r="A493" s="14">
        <v>55915</v>
      </c>
      <c r="B493" s="10">
        <f>CHOOSE(CONTROL!$C$42, 19.3064, 19.3064) * CHOOSE(CONTROL!$C$21, $C$9, 100%, $E$9)</f>
        <v>19.3064</v>
      </c>
      <c r="C493" s="10">
        <f>CHOOSE(CONTROL!$C$42, 19.3114, 19.3114) * CHOOSE(CONTROL!$C$21, $C$9, 100%, $E$9)</f>
        <v>19.311399999999999</v>
      </c>
      <c r="D493" s="10">
        <f>CHOOSE(CONTROL!$C$42, 19.3616, 19.3616) * CHOOSE(CONTROL!$C$21, $C$9, 100%, $E$9)</f>
        <v>19.361599999999999</v>
      </c>
      <c r="E493" s="10">
        <f>CHOOSE(CONTROL!$C$42, 19.3954, 19.3954) * CHOOSE(CONTROL!$C$21, $C$9, 100%, $E$9)</f>
        <v>19.395399999999999</v>
      </c>
      <c r="F493" s="10">
        <f>CHOOSE(CONTROL!$C$42, 19.2718, 19.2718)*CHOOSE(CONTROL!$C$21, $C$9, 100%, $E$9)</f>
        <v>19.271799999999999</v>
      </c>
      <c r="G493" s="10">
        <f>CHOOSE(CONTROL!$C$42, 19.2893, 19.2893)*CHOOSE(CONTROL!$C$21, $C$9, 100%, $E$9)</f>
        <v>19.289300000000001</v>
      </c>
      <c r="H493" s="10">
        <f>CHOOSE(CONTROL!$C$42, 19.3845, 19.3845) * CHOOSE(CONTROL!$C$21, $C$9, 100%, $E$9)</f>
        <v>19.384499999999999</v>
      </c>
      <c r="I493" s="10">
        <f>CHOOSE(CONTROL!$C$42, 19.2803, 19.2803)* CHOOSE(CONTROL!$C$21, $C$9, 100%, $E$9)</f>
        <v>19.2803</v>
      </c>
      <c r="J493" s="10">
        <f>CHOOSE(CONTROL!$C$42, 19.2648, 19.2648)* CHOOSE(CONTROL!$C$21, $C$9, 100%, $E$9)</f>
        <v>19.264800000000001</v>
      </c>
      <c r="K493" s="54">
        <f>CHOOSE(CONTROL!$C$42, 19.2764, 19.2764) * CHOOSE(CONTROL!$C$21, $C$9, 100%, $E$9)</f>
        <v>19.276399999999999</v>
      </c>
      <c r="L493" s="10">
        <f>CHOOSE(CONTROL!$C$42, 19.9715, 19.9715) * CHOOSE(CONTROL!$C$21, $C$9, 100%, $E$9)</f>
        <v>19.971499999999999</v>
      </c>
      <c r="M493" s="10">
        <f>CHOOSE(CONTROL!$C$42, 19.0842, 19.0842) * CHOOSE(CONTROL!$C$21, $C$9, 100%, $E$9)</f>
        <v>19.084199999999999</v>
      </c>
      <c r="N493" s="10">
        <f>CHOOSE(CONTROL!$C$42, 19.1016, 19.1016) * CHOOSE(CONTROL!$C$21, $C$9, 100%, $E$9)</f>
        <v>19.101600000000001</v>
      </c>
      <c r="O493" s="10">
        <f>CHOOSE(CONTROL!$C$42, 19.2028, 19.2028) * CHOOSE(CONTROL!$C$21, $C$9, 100%, $E$9)</f>
        <v>19.2028</v>
      </c>
      <c r="P493" s="10">
        <f>CHOOSE(CONTROL!$C$42, 19.0996, 19.0996) * CHOOSE(CONTROL!$C$21, $C$9, 100%, $E$9)</f>
        <v>19.099599999999999</v>
      </c>
      <c r="Q493" s="10">
        <f>CHOOSE(CONTROL!$C$42, 19.7981, 19.7981) * CHOOSE(CONTROL!$C$21, $C$9, 100%, $E$9)</f>
        <v>19.798100000000002</v>
      </c>
      <c r="R493" s="10">
        <f>CHOOSE(CONTROL!$C$42, 20.4345, 20.4345) * CHOOSE(CONTROL!$C$21, $C$9, 100%, $E$9)</f>
        <v>20.4345</v>
      </c>
      <c r="S493" s="10">
        <f>CHOOSE(CONTROL!$C$42, 18.7463, 18.7463) * CHOOSE(CONTROL!$C$21, $C$9, 100%, $E$9)</f>
        <v>18.746300000000002</v>
      </c>
      <c r="T493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493" s="58">
        <f>(1000*CHOOSE(CONTROL!$C$42, 695, 695)*CHOOSE(CONTROL!$C$42, 0.5599, 0.5599)*CHOOSE(CONTROL!$C$42, 31, 31))/1000000</f>
        <v>12.063045499999998</v>
      </c>
      <c r="V493" s="58">
        <f>(1000*CHOOSE(CONTROL!$C$42, 500, 500)*CHOOSE(CONTROL!$C$42, 0.275, 0.275)*CHOOSE(CONTROL!$C$42, 31, 31))/1000000</f>
        <v>4.2625000000000002</v>
      </c>
      <c r="W493" s="58">
        <f>(1000*CHOOSE(CONTROL!$C$42, 0.1146, 0.1146)*CHOOSE(CONTROL!$C$42, 121.5, 121.5)*CHOOSE(CONTROL!$C$42, 31, 31))/1000000</f>
        <v>0.43164089999999994</v>
      </c>
      <c r="X493" s="58">
        <f>(31*0.1790888*100000/1000000)+(31*0.2374*100000/1000000)</f>
        <v>1.2911152800000001</v>
      </c>
      <c r="Y493" s="58"/>
      <c r="Z493" s="10"/>
      <c r="AA493" s="57"/>
      <c r="AB493" s="51">
        <f>(B493*122.58+C493*297.941+D493*89.177+E493*40.302+F493*40+G493*160+H493*0+I493*100+J493*300)/(122.58+297.941+89.177+40.302+0+40+160+100+300)</f>
        <v>19.298390568173915</v>
      </c>
      <c r="AC493" s="27">
        <f>(M493*'RAP TEMPLATE-GAS AVAILABILITY'!O492+N493*'RAP TEMPLATE-GAS AVAILABILITY'!P492+O493*'RAP TEMPLATE-GAS AVAILABILITY'!Q492+P493*'RAP TEMPLATE-GAS AVAILABILITY'!R492)/('RAP TEMPLATE-GAS AVAILABILITY'!O492+'RAP TEMPLATE-GAS AVAILABILITY'!P492+'RAP TEMPLATE-GAS AVAILABILITY'!Q492+'RAP TEMPLATE-GAS AVAILABILITY'!R492)</f>
        <v>19.14117122302158</v>
      </c>
    </row>
    <row r="494" spans="1:29" ht="15.75" x14ac:dyDescent="0.25">
      <c r="A494" s="14">
        <v>55943</v>
      </c>
      <c r="B494" s="10">
        <f>CHOOSE(CONTROL!$C$42, 19.65, 19.65) * CHOOSE(CONTROL!$C$21, $C$9, 100%, $E$9)</f>
        <v>19.649999999999999</v>
      </c>
      <c r="C494" s="10">
        <f>CHOOSE(CONTROL!$C$42, 19.655, 19.655) * CHOOSE(CONTROL!$C$21, $C$9, 100%, $E$9)</f>
        <v>19.655000000000001</v>
      </c>
      <c r="D494" s="10">
        <f>CHOOSE(CONTROL!$C$42, 19.7155, 19.7155) * CHOOSE(CONTROL!$C$21, $C$9, 100%, $E$9)</f>
        <v>19.715499999999999</v>
      </c>
      <c r="E494" s="10">
        <f>CHOOSE(CONTROL!$C$42, 19.7493, 19.7493) * CHOOSE(CONTROL!$C$21, $C$9, 100%, $E$9)</f>
        <v>19.749300000000002</v>
      </c>
      <c r="F494" s="10">
        <f>CHOOSE(CONTROL!$C$42, 19.6433, 19.6433)*CHOOSE(CONTROL!$C$21, $C$9, 100%, $E$9)</f>
        <v>19.6433</v>
      </c>
      <c r="G494" s="10">
        <f>CHOOSE(CONTROL!$C$42, 19.6606, 19.6606)*CHOOSE(CONTROL!$C$21, $C$9, 100%, $E$9)</f>
        <v>19.660599999999999</v>
      </c>
      <c r="H494" s="10">
        <f>CHOOSE(CONTROL!$C$42, 19.7385, 19.7385) * CHOOSE(CONTROL!$C$21, $C$9, 100%, $E$9)</f>
        <v>19.738499999999998</v>
      </c>
      <c r="I494" s="10">
        <f>CHOOSE(CONTROL!$C$42, 19.6368, 19.6368)* CHOOSE(CONTROL!$C$21, $C$9, 100%, $E$9)</f>
        <v>19.636800000000001</v>
      </c>
      <c r="J494" s="10">
        <f>CHOOSE(CONTROL!$C$42, 19.6363, 19.6363)* CHOOSE(CONTROL!$C$21, $C$9, 100%, $E$9)</f>
        <v>19.636299999999999</v>
      </c>
      <c r="K494" s="54">
        <f>CHOOSE(CONTROL!$C$42, 19.6329, 19.6329) * CHOOSE(CONTROL!$C$21, $C$9, 100%, $E$9)</f>
        <v>19.632899999999999</v>
      </c>
      <c r="L494" s="10">
        <f>CHOOSE(CONTROL!$C$42, 20.3255, 20.3255) * CHOOSE(CONTROL!$C$21, $C$9, 100%, $E$9)</f>
        <v>20.325500000000002</v>
      </c>
      <c r="M494" s="10">
        <f>CHOOSE(CONTROL!$C$42, 19.4519, 19.4519) * CHOOSE(CONTROL!$C$21, $C$9, 100%, $E$9)</f>
        <v>19.451899999999998</v>
      </c>
      <c r="N494" s="10">
        <f>CHOOSE(CONTROL!$C$42, 19.4691, 19.4691) * CHOOSE(CONTROL!$C$21, $C$9, 100%, $E$9)</f>
        <v>19.469100000000001</v>
      </c>
      <c r="O494" s="10">
        <f>CHOOSE(CONTROL!$C$42, 19.5531, 19.5531) * CHOOSE(CONTROL!$C$21, $C$9, 100%, $E$9)</f>
        <v>19.553100000000001</v>
      </c>
      <c r="P494" s="10">
        <f>CHOOSE(CONTROL!$C$42, 19.4525, 19.4525) * CHOOSE(CONTROL!$C$21, $C$9, 100%, $E$9)</f>
        <v>19.452500000000001</v>
      </c>
      <c r="Q494" s="10">
        <f>CHOOSE(CONTROL!$C$42, 20.1484, 20.1484) * CHOOSE(CONTROL!$C$21, $C$9, 100%, $E$9)</f>
        <v>20.148399999999999</v>
      </c>
      <c r="R494" s="10">
        <f>CHOOSE(CONTROL!$C$42, 20.7858, 20.7858) * CHOOSE(CONTROL!$C$21, $C$9, 100%, $E$9)</f>
        <v>20.785799999999998</v>
      </c>
      <c r="S494" s="10">
        <f>CHOOSE(CONTROL!$C$42, 19.08, 19.08) * CHOOSE(CONTROL!$C$21, $C$9, 100%, $E$9)</f>
        <v>19.079999999999998</v>
      </c>
      <c r="T494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494" s="58">
        <f>(1000*CHOOSE(CONTROL!$C$42, 695, 695)*CHOOSE(CONTROL!$C$42, 0.5599, 0.5599)*CHOOSE(CONTROL!$C$42, 28, 28))/1000000</f>
        <v>10.895653999999999</v>
      </c>
      <c r="V494" s="58">
        <f>(1000*CHOOSE(CONTROL!$C$42, 500, 500)*CHOOSE(CONTROL!$C$42, 0.275, 0.275)*CHOOSE(CONTROL!$C$42, 28, 28))/1000000</f>
        <v>3.85</v>
      </c>
      <c r="W494" s="58">
        <f>(1000*CHOOSE(CONTROL!$C$42, 0.1146, 0.1146)*CHOOSE(CONTROL!$C$42, 121.5, 121.5)*CHOOSE(CONTROL!$C$42, 28, 28))/1000000</f>
        <v>0.38986920000000003</v>
      </c>
      <c r="X494" s="58">
        <f>(28*0.1790888*100000/1000000)+(28*0.2374*100000/1000000)</f>
        <v>1.16616864</v>
      </c>
      <c r="Y494" s="58"/>
      <c r="Z494" s="10"/>
      <c r="AA494" s="57"/>
      <c r="AB494" s="51">
        <f>(B494*122.58+C494*297.941+D494*89.177+E494*40.302+F494*40+G494*160+H494*0+I494*100+J494*300)/(122.58+297.941+89.177+40.302+0+40+160+100+300)</f>
        <v>19.656374597478258</v>
      </c>
      <c r="AC494" s="27">
        <f>(M494*'RAP TEMPLATE-GAS AVAILABILITY'!O493+N494*'RAP TEMPLATE-GAS AVAILABILITY'!P493+O494*'RAP TEMPLATE-GAS AVAILABILITY'!Q493+P494*'RAP TEMPLATE-GAS AVAILABILITY'!R493)/('RAP TEMPLATE-GAS AVAILABILITY'!O493+'RAP TEMPLATE-GAS AVAILABILITY'!P493+'RAP TEMPLATE-GAS AVAILABILITY'!Q493+'RAP TEMPLATE-GAS AVAILABILITY'!R493)</f>
        <v>19.498843884892082</v>
      </c>
    </row>
    <row r="495" spans="1:29" ht="15.75" x14ac:dyDescent="0.25">
      <c r="A495" s="14">
        <v>55974</v>
      </c>
      <c r="B495" s="10">
        <f>CHOOSE(CONTROL!$C$42, 19.0923, 19.0923) * CHOOSE(CONTROL!$C$21, $C$9, 100%, $E$9)</f>
        <v>19.092300000000002</v>
      </c>
      <c r="C495" s="10">
        <f>CHOOSE(CONTROL!$C$42, 19.0972, 19.0972) * CHOOSE(CONTROL!$C$21, $C$9, 100%, $E$9)</f>
        <v>19.097200000000001</v>
      </c>
      <c r="D495" s="10">
        <f>CHOOSE(CONTROL!$C$42, 19.1577, 19.1577) * CHOOSE(CONTROL!$C$21, $C$9, 100%, $E$9)</f>
        <v>19.157699999999998</v>
      </c>
      <c r="E495" s="10">
        <f>CHOOSE(CONTROL!$C$42, 19.1915, 19.1915) * CHOOSE(CONTROL!$C$21, $C$9, 100%, $E$9)</f>
        <v>19.191500000000001</v>
      </c>
      <c r="F495" s="10">
        <f>CHOOSE(CONTROL!$C$42, 19.08, 19.08)*CHOOSE(CONTROL!$C$21, $C$9, 100%, $E$9)</f>
        <v>19.079999999999998</v>
      </c>
      <c r="G495" s="10">
        <f>CHOOSE(CONTROL!$C$42, 19.0972, 19.0972)*CHOOSE(CONTROL!$C$21, $C$9, 100%, $E$9)</f>
        <v>19.097200000000001</v>
      </c>
      <c r="H495" s="10">
        <f>CHOOSE(CONTROL!$C$42, 19.1807, 19.1807) * CHOOSE(CONTROL!$C$21, $C$9, 100%, $E$9)</f>
        <v>19.180700000000002</v>
      </c>
      <c r="I495" s="10">
        <f>CHOOSE(CONTROL!$C$42, 19.0662, 19.0662)* CHOOSE(CONTROL!$C$21, $C$9, 100%, $E$9)</f>
        <v>19.066199999999998</v>
      </c>
      <c r="J495" s="10">
        <f>CHOOSE(CONTROL!$C$42, 19.073, 19.073)* CHOOSE(CONTROL!$C$21, $C$9, 100%, $E$9)</f>
        <v>19.073</v>
      </c>
      <c r="K495" s="54">
        <f>CHOOSE(CONTROL!$C$42, 19.0623, 19.0623) * CHOOSE(CONTROL!$C$21, $C$9, 100%, $E$9)</f>
        <v>19.0623</v>
      </c>
      <c r="L495" s="10">
        <f>CHOOSE(CONTROL!$C$42, 19.7677, 19.7677) * CHOOSE(CONTROL!$C$21, $C$9, 100%, $E$9)</f>
        <v>19.767700000000001</v>
      </c>
      <c r="M495" s="10">
        <f>CHOOSE(CONTROL!$C$42, 18.8943, 18.8943) * CHOOSE(CONTROL!$C$21, $C$9, 100%, $E$9)</f>
        <v>18.894300000000001</v>
      </c>
      <c r="N495" s="10">
        <f>CHOOSE(CONTROL!$C$42, 18.9114, 18.9114) * CHOOSE(CONTROL!$C$21, $C$9, 100%, $E$9)</f>
        <v>18.9114</v>
      </c>
      <c r="O495" s="10">
        <f>CHOOSE(CONTROL!$C$42, 19.0009, 19.0009) * CHOOSE(CONTROL!$C$21, $C$9, 100%, $E$9)</f>
        <v>19.000900000000001</v>
      </c>
      <c r="P495" s="10">
        <f>CHOOSE(CONTROL!$C$42, 18.8876, 18.8876) * CHOOSE(CONTROL!$C$21, $C$9, 100%, $E$9)</f>
        <v>18.887599999999999</v>
      </c>
      <c r="Q495" s="10">
        <f>CHOOSE(CONTROL!$C$42, 19.5962, 19.5962) * CHOOSE(CONTROL!$C$21, $C$9, 100%, $E$9)</f>
        <v>19.5962</v>
      </c>
      <c r="R495" s="10">
        <f>CHOOSE(CONTROL!$C$42, 20.2322, 20.2322) * CHOOSE(CONTROL!$C$21, $C$9, 100%, $E$9)</f>
        <v>20.232199999999999</v>
      </c>
      <c r="S495" s="10">
        <f>CHOOSE(CONTROL!$C$42, 18.5384, 18.5384) * CHOOSE(CONTROL!$C$21, $C$9, 100%, $E$9)</f>
        <v>18.538399999999999</v>
      </c>
      <c r="T495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495" s="58">
        <f>(1000*CHOOSE(CONTROL!$C$42, 695, 695)*CHOOSE(CONTROL!$C$42, 0.5599, 0.5599)*CHOOSE(CONTROL!$C$42, 31, 31))/1000000</f>
        <v>12.063045499999998</v>
      </c>
      <c r="V495" s="58">
        <f>(1000*CHOOSE(CONTROL!$C$42, 500, 500)*CHOOSE(CONTROL!$C$42, 0.275, 0.275)*CHOOSE(CONTROL!$C$42, 31, 31))/1000000</f>
        <v>4.2625000000000002</v>
      </c>
      <c r="W495" s="58">
        <f>(1000*CHOOSE(CONTROL!$C$42, 0.1146, 0.1146)*CHOOSE(CONTROL!$C$42, 121.5, 121.5)*CHOOSE(CONTROL!$C$42, 31, 31))/1000000</f>
        <v>0.43164089999999994</v>
      </c>
      <c r="X495" s="58">
        <f>(31*0.1790888*100000/1000000)+(31*0.2374*100000/1000000)</f>
        <v>1.2911152800000001</v>
      </c>
      <c r="Y495" s="58"/>
      <c r="Z495" s="10"/>
      <c r="AA495" s="57"/>
      <c r="AB495" s="51">
        <f>(B495*122.58+C495*297.941+D495*89.177+E495*40.302+F495*40+G495*160+H495*0+I495*100+J495*300)/(122.58+297.941+89.177+40.302+0+40+160+100+300)</f>
        <v>19.095066995739131</v>
      </c>
      <c r="AC495" s="27">
        <f>(M495*'RAP TEMPLATE-GAS AVAILABILITY'!O494+N495*'RAP TEMPLATE-GAS AVAILABILITY'!P494+O495*'RAP TEMPLATE-GAS AVAILABILITY'!Q494+P495*'RAP TEMPLATE-GAS AVAILABILITY'!R494)/('RAP TEMPLATE-GAS AVAILABILITY'!O494+'RAP TEMPLATE-GAS AVAILABILITY'!P494+'RAP TEMPLATE-GAS AVAILABILITY'!Q494+'RAP TEMPLATE-GAS AVAILABILITY'!R494)</f>
        <v>18.942635251798563</v>
      </c>
    </row>
    <row r="496" spans="1:29" ht="15.75" x14ac:dyDescent="0.25">
      <c r="A496" s="14">
        <v>56004</v>
      </c>
      <c r="B496" s="10">
        <f>CHOOSE(CONTROL!$C$42, 19.0363, 19.0363) * CHOOSE(CONTROL!$C$21, $C$9, 100%, $E$9)</f>
        <v>19.036300000000001</v>
      </c>
      <c r="C496" s="10">
        <f>CHOOSE(CONTROL!$C$42, 19.0406, 19.0406) * CHOOSE(CONTROL!$C$21, $C$9, 100%, $E$9)</f>
        <v>19.040600000000001</v>
      </c>
      <c r="D496" s="10">
        <f>CHOOSE(CONTROL!$C$42, 19.2362, 19.2362) * CHOOSE(CONTROL!$C$21, $C$9, 100%, $E$9)</f>
        <v>19.2362</v>
      </c>
      <c r="E496" s="10">
        <f>CHOOSE(CONTROL!$C$42, 19.268, 19.268) * CHOOSE(CONTROL!$C$21, $C$9, 100%, $E$9)</f>
        <v>19.268000000000001</v>
      </c>
      <c r="F496" s="10">
        <f>CHOOSE(CONTROL!$C$42, 19.0041, 19.0041)*CHOOSE(CONTROL!$C$21, $C$9, 100%, $E$9)</f>
        <v>19.004100000000001</v>
      </c>
      <c r="G496" s="10">
        <f>CHOOSE(CONTROL!$C$42, 19.0209, 19.0209)*CHOOSE(CONTROL!$C$21, $C$9, 100%, $E$9)</f>
        <v>19.020900000000001</v>
      </c>
      <c r="H496" s="10">
        <f>CHOOSE(CONTROL!$C$42, 19.2578, 19.2578) * CHOOSE(CONTROL!$C$21, $C$9, 100%, $E$9)</f>
        <v>19.2578</v>
      </c>
      <c r="I496" s="10">
        <f>CHOOSE(CONTROL!$C$42, 19.0042, 19.0042)* CHOOSE(CONTROL!$C$21, $C$9, 100%, $E$9)</f>
        <v>19.004200000000001</v>
      </c>
      <c r="J496" s="10">
        <f>CHOOSE(CONTROL!$C$42, 18.9971, 18.9971)* CHOOSE(CONTROL!$C$21, $C$9, 100%, $E$9)</f>
        <v>18.9971</v>
      </c>
      <c r="K496" s="54">
        <f>CHOOSE(CONTROL!$C$42, 19.0003, 19.0003) * CHOOSE(CONTROL!$C$21, $C$9, 100%, $E$9)</f>
        <v>19.000299999999999</v>
      </c>
      <c r="L496" s="10">
        <f>CHOOSE(CONTROL!$C$42, 19.8448, 19.8448) * CHOOSE(CONTROL!$C$21, $C$9, 100%, $E$9)</f>
        <v>19.844799999999999</v>
      </c>
      <c r="M496" s="10">
        <f>CHOOSE(CONTROL!$C$42, 18.8192, 18.8192) * CHOOSE(CONTROL!$C$21, $C$9, 100%, $E$9)</f>
        <v>18.819199999999999</v>
      </c>
      <c r="N496" s="10">
        <f>CHOOSE(CONTROL!$C$42, 18.8358, 18.8358) * CHOOSE(CONTROL!$C$21, $C$9, 100%, $E$9)</f>
        <v>18.835799999999999</v>
      </c>
      <c r="O496" s="10">
        <f>CHOOSE(CONTROL!$C$42, 19.0773, 19.0773) * CHOOSE(CONTROL!$C$21, $C$9, 100%, $E$9)</f>
        <v>19.077300000000001</v>
      </c>
      <c r="P496" s="10">
        <f>CHOOSE(CONTROL!$C$42, 18.8263, 18.8263) * CHOOSE(CONTROL!$C$21, $C$9, 100%, $E$9)</f>
        <v>18.8263</v>
      </c>
      <c r="Q496" s="10">
        <f>CHOOSE(CONTROL!$C$42, 19.6726, 19.6726) * CHOOSE(CONTROL!$C$21, $C$9, 100%, $E$9)</f>
        <v>19.672599999999999</v>
      </c>
      <c r="R496" s="10">
        <f>CHOOSE(CONTROL!$C$42, 20.3087, 20.3087) * CHOOSE(CONTROL!$C$21, $C$9, 100%, $E$9)</f>
        <v>20.308700000000002</v>
      </c>
      <c r="S496" s="10">
        <f>CHOOSE(CONTROL!$C$42, 18.4832, 18.4832) * CHOOSE(CONTROL!$C$21, $C$9, 100%, $E$9)</f>
        <v>18.4832</v>
      </c>
      <c r="T496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496" s="58">
        <f>(1000*CHOOSE(CONTROL!$C$42, 695, 695)*CHOOSE(CONTROL!$C$42, 0.5599, 0.5599)*CHOOSE(CONTROL!$C$42, 30, 30))/1000000</f>
        <v>11.673914999999997</v>
      </c>
      <c r="V496" s="58">
        <f>(1000*CHOOSE(CONTROL!$C$42, 500, 500)*CHOOSE(CONTROL!$C$42, 0.275, 0.275)*CHOOSE(CONTROL!$C$42, 30, 30))/1000000</f>
        <v>4.125</v>
      </c>
      <c r="W496" s="58">
        <f>(1000*CHOOSE(CONTROL!$C$42, 0.1146, 0.1146)*CHOOSE(CONTROL!$C$42, 121.5, 121.5)*CHOOSE(CONTROL!$C$42, 30, 30))/1000000</f>
        <v>0.417717</v>
      </c>
      <c r="X496" s="58">
        <f>(30*0.1790888*245000/1000000)+(30*0.2374*100000/1000000)</f>
        <v>2.0285026799999999</v>
      </c>
      <c r="Y496" s="58"/>
      <c r="Z496" s="10"/>
      <c r="AA496" s="57"/>
      <c r="AB496" s="51">
        <f>(B496*141.293+C496*267.993+D496*115.016+E496*89.698+F496*40+G496*185+H496*0+I496*100+J496*300)/(141.293+267.993+115.016+89.698+0+40+185+100+300)</f>
        <v>19.057139463196126</v>
      </c>
      <c r="AC496" s="27">
        <f>(M496*'RAP TEMPLATE-GAS AVAILABILITY'!O495+N496*'RAP TEMPLATE-GAS AVAILABILITY'!P495+O496*'RAP TEMPLATE-GAS AVAILABILITY'!Q495+P496*'RAP TEMPLATE-GAS AVAILABILITY'!R495)/('RAP TEMPLATE-GAS AVAILABILITY'!O495+'RAP TEMPLATE-GAS AVAILABILITY'!P495+'RAP TEMPLATE-GAS AVAILABILITY'!Q495+'RAP TEMPLATE-GAS AVAILABILITY'!R495)</f>
        <v>18.896459712230214</v>
      </c>
    </row>
    <row r="497" spans="1:29" ht="15.75" x14ac:dyDescent="0.25">
      <c r="A497" s="14">
        <v>56035</v>
      </c>
      <c r="B497" s="10">
        <f>CHOOSE(CONTROL!$C$42, 19.2056, 19.2056) * CHOOSE(CONTROL!$C$21, $C$9, 100%, $E$9)</f>
        <v>19.2056</v>
      </c>
      <c r="C497" s="10">
        <f>CHOOSE(CONTROL!$C$42, 19.2136, 19.2136) * CHOOSE(CONTROL!$C$21, $C$9, 100%, $E$9)</f>
        <v>19.2136</v>
      </c>
      <c r="D497" s="10">
        <f>CHOOSE(CONTROL!$C$42, 19.406, 19.406) * CHOOSE(CONTROL!$C$21, $C$9, 100%, $E$9)</f>
        <v>19.405999999999999</v>
      </c>
      <c r="E497" s="10">
        <f>CHOOSE(CONTROL!$C$42, 19.4371, 19.4371) * CHOOSE(CONTROL!$C$21, $C$9, 100%, $E$9)</f>
        <v>19.437100000000001</v>
      </c>
      <c r="F497" s="10">
        <f>CHOOSE(CONTROL!$C$42, 19.1719, 19.1719)*CHOOSE(CONTROL!$C$21, $C$9, 100%, $E$9)</f>
        <v>19.171900000000001</v>
      </c>
      <c r="G497" s="10">
        <f>CHOOSE(CONTROL!$C$42, 19.189, 19.189)*CHOOSE(CONTROL!$C$21, $C$9, 100%, $E$9)</f>
        <v>19.189</v>
      </c>
      <c r="H497" s="10">
        <f>CHOOSE(CONTROL!$C$42, 19.4258, 19.4258) * CHOOSE(CONTROL!$C$21, $C$9, 100%, $E$9)</f>
        <v>19.425799999999999</v>
      </c>
      <c r="I497" s="10">
        <f>CHOOSE(CONTROL!$C$42, 19.1722, 19.1722)* CHOOSE(CONTROL!$C$21, $C$9, 100%, $E$9)</f>
        <v>19.1722</v>
      </c>
      <c r="J497" s="10">
        <f>CHOOSE(CONTROL!$C$42, 19.1649, 19.1649)* CHOOSE(CONTROL!$C$21, $C$9, 100%, $E$9)</f>
        <v>19.164899999999999</v>
      </c>
      <c r="K497" s="54">
        <f>CHOOSE(CONTROL!$C$42, 19.1683, 19.1683) * CHOOSE(CONTROL!$C$21, $C$9, 100%, $E$9)</f>
        <v>19.168299999999999</v>
      </c>
      <c r="L497" s="10">
        <f>CHOOSE(CONTROL!$C$42, 20.0128, 20.0128) * CHOOSE(CONTROL!$C$21, $C$9, 100%, $E$9)</f>
        <v>20.012799999999999</v>
      </c>
      <c r="M497" s="10">
        <f>CHOOSE(CONTROL!$C$42, 18.9853, 18.9853) * CHOOSE(CONTROL!$C$21, $C$9, 100%, $E$9)</f>
        <v>18.985299999999999</v>
      </c>
      <c r="N497" s="10">
        <f>CHOOSE(CONTROL!$C$42, 19.0023, 19.0023) * CHOOSE(CONTROL!$C$21, $C$9, 100%, $E$9)</f>
        <v>19.002300000000002</v>
      </c>
      <c r="O497" s="10">
        <f>CHOOSE(CONTROL!$C$42, 19.2436, 19.2436) * CHOOSE(CONTROL!$C$21, $C$9, 100%, $E$9)</f>
        <v>19.243600000000001</v>
      </c>
      <c r="P497" s="10">
        <f>CHOOSE(CONTROL!$C$42, 18.9926, 18.9926) * CHOOSE(CONTROL!$C$21, $C$9, 100%, $E$9)</f>
        <v>18.992599999999999</v>
      </c>
      <c r="Q497" s="10">
        <f>CHOOSE(CONTROL!$C$42, 19.8389, 19.8389) * CHOOSE(CONTROL!$C$21, $C$9, 100%, $E$9)</f>
        <v>19.838899999999999</v>
      </c>
      <c r="R497" s="10">
        <f>CHOOSE(CONTROL!$C$42, 20.4755, 20.4755) * CHOOSE(CONTROL!$C$21, $C$9, 100%, $E$9)</f>
        <v>20.4755</v>
      </c>
      <c r="S497" s="10">
        <f>CHOOSE(CONTROL!$C$42, 18.6464, 18.6464) * CHOOSE(CONTROL!$C$21, $C$9, 100%, $E$9)</f>
        <v>18.6464</v>
      </c>
      <c r="T497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497" s="58">
        <f>(1000*CHOOSE(CONTROL!$C$42, 695, 695)*CHOOSE(CONTROL!$C$42, 0.5599, 0.5599)*CHOOSE(CONTROL!$C$42, 31, 31))/1000000</f>
        <v>12.063045499999998</v>
      </c>
      <c r="V497" s="58">
        <f>(1000*CHOOSE(CONTROL!$C$42, 500, 500)*CHOOSE(CONTROL!$C$42, 0.275, 0.275)*CHOOSE(CONTROL!$C$42, 31, 31))/1000000</f>
        <v>4.2625000000000002</v>
      </c>
      <c r="W497" s="58">
        <f>(1000*CHOOSE(CONTROL!$C$42, 0.1146, 0.1146)*CHOOSE(CONTROL!$C$42, 121.5, 121.5)*CHOOSE(CONTROL!$C$42, 31, 31))/1000000</f>
        <v>0.43164089999999994</v>
      </c>
      <c r="X497" s="58">
        <f>(31*0.1790888*245000/1000000)+(31*0.2374*100000/1000000)</f>
        <v>2.0961194359999999</v>
      </c>
      <c r="Y497" s="58"/>
      <c r="Z497" s="10"/>
      <c r="AA497" s="57"/>
      <c r="AB497" s="51">
        <f>(B497*194.205+C497*267.466+D497*133.845+E497*53.484+F497*40+G497*185+H497*0+I497*100+J497*300)/(194.205+267.466+133.845+53.484+0+40+185+100+300)</f>
        <v>19.222377717425431</v>
      </c>
      <c r="AC497" s="27">
        <f>(M497*'RAP TEMPLATE-GAS AVAILABILITY'!O496+N497*'RAP TEMPLATE-GAS AVAILABILITY'!P496+O497*'RAP TEMPLATE-GAS AVAILABILITY'!Q496+P497*'RAP TEMPLATE-GAS AVAILABILITY'!R496)/('RAP TEMPLATE-GAS AVAILABILITY'!O496+'RAP TEMPLATE-GAS AVAILABILITY'!P496+'RAP TEMPLATE-GAS AVAILABILITY'!Q496+'RAP TEMPLATE-GAS AVAILABILITY'!R496)</f>
        <v>19.062736690647483</v>
      </c>
    </row>
    <row r="498" spans="1:29" ht="15.75" x14ac:dyDescent="0.25">
      <c r="A498" s="14">
        <v>56065</v>
      </c>
      <c r="B498" s="10">
        <f>CHOOSE(CONTROL!$C$42, 19.7503, 19.7503) * CHOOSE(CONTROL!$C$21, $C$9, 100%, $E$9)</f>
        <v>19.750299999999999</v>
      </c>
      <c r="C498" s="10">
        <f>CHOOSE(CONTROL!$C$42, 19.7582, 19.7582) * CHOOSE(CONTROL!$C$21, $C$9, 100%, $E$9)</f>
        <v>19.758199999999999</v>
      </c>
      <c r="D498" s="10">
        <f>CHOOSE(CONTROL!$C$42, 19.9506, 19.9506) * CHOOSE(CONTROL!$C$21, $C$9, 100%, $E$9)</f>
        <v>19.950600000000001</v>
      </c>
      <c r="E498" s="10">
        <f>CHOOSE(CONTROL!$C$42, 19.9818, 19.9818) * CHOOSE(CONTROL!$C$21, $C$9, 100%, $E$9)</f>
        <v>19.9818</v>
      </c>
      <c r="F498" s="10">
        <f>CHOOSE(CONTROL!$C$42, 19.7168, 19.7168)*CHOOSE(CONTROL!$C$21, $C$9, 100%, $E$9)</f>
        <v>19.716799999999999</v>
      </c>
      <c r="G498" s="10">
        <f>CHOOSE(CONTROL!$C$42, 19.734, 19.734)*CHOOSE(CONTROL!$C$21, $C$9, 100%, $E$9)</f>
        <v>19.734000000000002</v>
      </c>
      <c r="H498" s="10">
        <f>CHOOSE(CONTROL!$C$42, 19.9704, 19.9704) * CHOOSE(CONTROL!$C$21, $C$9, 100%, $E$9)</f>
        <v>19.970400000000001</v>
      </c>
      <c r="I498" s="10">
        <f>CHOOSE(CONTROL!$C$42, 19.7169, 19.7169)* CHOOSE(CONTROL!$C$21, $C$9, 100%, $E$9)</f>
        <v>19.716899999999999</v>
      </c>
      <c r="J498" s="10">
        <f>CHOOSE(CONTROL!$C$42, 19.7098, 19.7098)* CHOOSE(CONTROL!$C$21, $C$9, 100%, $E$9)</f>
        <v>19.709800000000001</v>
      </c>
      <c r="K498" s="54">
        <f>CHOOSE(CONTROL!$C$42, 19.713, 19.713) * CHOOSE(CONTROL!$C$21, $C$9, 100%, $E$9)</f>
        <v>19.713000000000001</v>
      </c>
      <c r="L498" s="10">
        <f>CHOOSE(CONTROL!$C$42, 20.5574, 20.5574) * CHOOSE(CONTROL!$C$21, $C$9, 100%, $E$9)</f>
        <v>20.557400000000001</v>
      </c>
      <c r="M498" s="10">
        <f>CHOOSE(CONTROL!$C$42, 19.5247, 19.5247) * CHOOSE(CONTROL!$C$21, $C$9, 100%, $E$9)</f>
        <v>19.524699999999999</v>
      </c>
      <c r="N498" s="10">
        <f>CHOOSE(CONTROL!$C$42, 19.5417, 19.5417) * CHOOSE(CONTROL!$C$21, $C$9, 100%, $E$9)</f>
        <v>19.541699999999999</v>
      </c>
      <c r="O498" s="10">
        <f>CHOOSE(CONTROL!$C$42, 19.7827, 19.7827) * CHOOSE(CONTROL!$C$21, $C$9, 100%, $E$9)</f>
        <v>19.782699999999998</v>
      </c>
      <c r="P498" s="10">
        <f>CHOOSE(CONTROL!$C$42, 19.5317, 19.5317) * CHOOSE(CONTROL!$C$21, $C$9, 100%, $E$9)</f>
        <v>19.531700000000001</v>
      </c>
      <c r="Q498" s="10">
        <f>CHOOSE(CONTROL!$C$42, 20.378, 20.378) * CHOOSE(CONTROL!$C$21, $C$9, 100%, $E$9)</f>
        <v>20.378</v>
      </c>
      <c r="R498" s="10">
        <f>CHOOSE(CONTROL!$C$42, 21.0159, 21.0159) * CHOOSE(CONTROL!$C$21, $C$9, 100%, $E$9)</f>
        <v>21.015899999999998</v>
      </c>
      <c r="S498" s="10">
        <f>CHOOSE(CONTROL!$C$42, 19.1753, 19.1753) * CHOOSE(CONTROL!$C$21, $C$9, 100%, $E$9)</f>
        <v>19.1753</v>
      </c>
      <c r="T498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498" s="58">
        <f>(1000*CHOOSE(CONTROL!$C$42, 695, 695)*CHOOSE(CONTROL!$C$42, 0.5599, 0.5599)*CHOOSE(CONTROL!$C$42, 30, 30))/1000000</f>
        <v>11.673914999999997</v>
      </c>
      <c r="V498" s="58">
        <f>(1000*CHOOSE(CONTROL!$C$42, 500, 500)*CHOOSE(CONTROL!$C$42, 0.275, 0.275)*CHOOSE(CONTROL!$C$42, 30, 30))/1000000</f>
        <v>4.125</v>
      </c>
      <c r="W498" s="58">
        <f>(1000*CHOOSE(CONTROL!$C$42, 0.1146, 0.1146)*CHOOSE(CONTROL!$C$42, 121.5, 121.5)*CHOOSE(CONTROL!$C$42, 30, 30))/1000000</f>
        <v>0.417717</v>
      </c>
      <c r="X498" s="58">
        <f>(30*0.1790888*245000/1000000)+(30*0.2374*100000/1000000)</f>
        <v>2.0285026799999999</v>
      </c>
      <c r="Y498" s="58"/>
      <c r="Z498" s="10"/>
      <c r="AA498" s="57"/>
      <c r="AB498" s="51">
        <f>(B498*194.205+C498*267.466+D498*133.845+E498*53.484+F498*40+G498*185+H498*0+I498*100+J498*300)/(194.205+267.466+133.845+53.484+0+40+185+100+300)</f>
        <v>19.767143156122451</v>
      </c>
      <c r="AC498" s="27">
        <f>(M498*'RAP TEMPLATE-GAS AVAILABILITY'!O497+N498*'RAP TEMPLATE-GAS AVAILABILITY'!P497+O498*'RAP TEMPLATE-GAS AVAILABILITY'!Q497+P498*'RAP TEMPLATE-GAS AVAILABILITY'!R497)/('RAP TEMPLATE-GAS AVAILABILITY'!O497+'RAP TEMPLATE-GAS AVAILABILITY'!P497+'RAP TEMPLATE-GAS AVAILABILITY'!Q497+'RAP TEMPLATE-GAS AVAILABILITY'!R497)</f>
        <v>19.602009352517985</v>
      </c>
    </row>
    <row r="499" spans="1:29" ht="15.75" x14ac:dyDescent="0.25">
      <c r="A499" s="14">
        <v>56096</v>
      </c>
      <c r="B499" s="10">
        <f>CHOOSE(CONTROL!$C$42, 19.3715, 19.3715) * CHOOSE(CONTROL!$C$21, $C$9, 100%, $E$9)</f>
        <v>19.371500000000001</v>
      </c>
      <c r="C499" s="10">
        <f>CHOOSE(CONTROL!$C$42, 19.3794, 19.3794) * CHOOSE(CONTROL!$C$21, $C$9, 100%, $E$9)</f>
        <v>19.3794</v>
      </c>
      <c r="D499" s="10">
        <f>CHOOSE(CONTROL!$C$42, 19.5718, 19.5718) * CHOOSE(CONTROL!$C$21, $C$9, 100%, $E$9)</f>
        <v>19.5718</v>
      </c>
      <c r="E499" s="10">
        <f>CHOOSE(CONTROL!$C$42, 19.603, 19.603) * CHOOSE(CONTROL!$C$21, $C$9, 100%, $E$9)</f>
        <v>19.603000000000002</v>
      </c>
      <c r="F499" s="10">
        <f>CHOOSE(CONTROL!$C$42, 19.3384, 19.3384)*CHOOSE(CONTROL!$C$21, $C$9, 100%, $E$9)</f>
        <v>19.3384</v>
      </c>
      <c r="G499" s="10">
        <f>CHOOSE(CONTROL!$C$42, 19.3557, 19.3557)*CHOOSE(CONTROL!$C$21, $C$9, 100%, $E$9)</f>
        <v>19.355699999999999</v>
      </c>
      <c r="H499" s="10">
        <f>CHOOSE(CONTROL!$C$42, 19.5916, 19.5916) * CHOOSE(CONTROL!$C$21, $C$9, 100%, $E$9)</f>
        <v>19.5916</v>
      </c>
      <c r="I499" s="10">
        <f>CHOOSE(CONTROL!$C$42, 19.3381, 19.3381)* CHOOSE(CONTROL!$C$21, $C$9, 100%, $E$9)</f>
        <v>19.338100000000001</v>
      </c>
      <c r="J499" s="10">
        <f>CHOOSE(CONTROL!$C$42, 19.3314, 19.3314)* CHOOSE(CONTROL!$C$21, $C$9, 100%, $E$9)</f>
        <v>19.331399999999999</v>
      </c>
      <c r="K499" s="54">
        <f>CHOOSE(CONTROL!$C$42, 19.3342, 19.3342) * CHOOSE(CONTROL!$C$21, $C$9, 100%, $E$9)</f>
        <v>19.334199999999999</v>
      </c>
      <c r="L499" s="10">
        <f>CHOOSE(CONTROL!$C$42, 20.1786, 20.1786) * CHOOSE(CONTROL!$C$21, $C$9, 100%, $E$9)</f>
        <v>20.178599999999999</v>
      </c>
      <c r="M499" s="10">
        <f>CHOOSE(CONTROL!$C$42, 19.1501, 19.1501) * CHOOSE(CONTROL!$C$21, $C$9, 100%, $E$9)</f>
        <v>19.150099999999998</v>
      </c>
      <c r="N499" s="10">
        <f>CHOOSE(CONTROL!$C$42, 19.1672, 19.1672) * CHOOSE(CONTROL!$C$21, $C$9, 100%, $E$9)</f>
        <v>19.167200000000001</v>
      </c>
      <c r="O499" s="10">
        <f>CHOOSE(CONTROL!$C$42, 19.4077, 19.4077) * CHOOSE(CONTROL!$C$21, $C$9, 100%, $E$9)</f>
        <v>19.407699999999998</v>
      </c>
      <c r="P499" s="10">
        <f>CHOOSE(CONTROL!$C$42, 19.1568, 19.1568) * CHOOSE(CONTROL!$C$21, $C$9, 100%, $E$9)</f>
        <v>19.1568</v>
      </c>
      <c r="Q499" s="10">
        <f>CHOOSE(CONTROL!$C$42, 20.003, 20.003) * CHOOSE(CONTROL!$C$21, $C$9, 100%, $E$9)</f>
        <v>20.003</v>
      </c>
      <c r="R499" s="10">
        <f>CHOOSE(CONTROL!$C$42, 20.64, 20.64) * CHOOSE(CONTROL!$C$21, $C$9, 100%, $E$9)</f>
        <v>20.64</v>
      </c>
      <c r="S499" s="10">
        <f>CHOOSE(CONTROL!$C$42, 18.8074, 18.8074) * CHOOSE(CONTROL!$C$21, $C$9, 100%, $E$9)</f>
        <v>18.807400000000001</v>
      </c>
      <c r="T499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499" s="58">
        <f>(1000*CHOOSE(CONTROL!$C$42, 695, 695)*CHOOSE(CONTROL!$C$42, 0.5599, 0.5599)*CHOOSE(CONTROL!$C$42, 31, 31))/1000000</f>
        <v>12.063045499999998</v>
      </c>
      <c r="V499" s="58">
        <f>(1000*CHOOSE(CONTROL!$C$42, 500, 500)*CHOOSE(CONTROL!$C$42, 0.275, 0.275)*CHOOSE(CONTROL!$C$42, 31, 31))/1000000</f>
        <v>4.2625000000000002</v>
      </c>
      <c r="W499" s="58">
        <f>(1000*CHOOSE(CONTROL!$C$42, 0.1146, 0.1146)*CHOOSE(CONTROL!$C$42, 121.5, 121.5)*CHOOSE(CONTROL!$C$42, 31, 31))/1000000</f>
        <v>0.43164089999999994</v>
      </c>
      <c r="X499" s="58">
        <f>(31*0.1790888*245000/1000000)+(31*0.2374*100000/1000000)</f>
        <v>2.0961194359999999</v>
      </c>
      <c r="Y499" s="58"/>
      <c r="Z499" s="10"/>
      <c r="AA499" s="57"/>
      <c r="AB499" s="51">
        <f>(B499*194.205+C499*267.466+D499*133.845+E499*53.484+F499*40+G499*185+H499*0+I499*100+J499*300)/(194.205+267.466+133.845+53.484+0+40+185+100+300)</f>
        <v>19.388522512480378</v>
      </c>
      <c r="AC499" s="27">
        <f>(M499*'RAP TEMPLATE-GAS AVAILABILITY'!O498+N499*'RAP TEMPLATE-GAS AVAILABILITY'!P498+O499*'RAP TEMPLATE-GAS AVAILABILITY'!Q498+P499*'RAP TEMPLATE-GAS AVAILABILITY'!R498)/('RAP TEMPLATE-GAS AVAILABILITY'!O498+'RAP TEMPLATE-GAS AVAILABILITY'!P498+'RAP TEMPLATE-GAS AVAILABILITY'!Q498+'RAP TEMPLATE-GAS AVAILABILITY'!R498)</f>
        <v>19.227276978417265</v>
      </c>
    </row>
    <row r="500" spans="1:29" ht="15.75" x14ac:dyDescent="0.25">
      <c r="A500" s="14">
        <v>56127</v>
      </c>
      <c r="B500" s="10">
        <f>CHOOSE(CONTROL!$C$42, 18.4149, 18.4149) * CHOOSE(CONTROL!$C$21, $C$9, 100%, $E$9)</f>
        <v>18.414899999999999</v>
      </c>
      <c r="C500" s="10">
        <f>CHOOSE(CONTROL!$C$42, 18.4228, 18.4228) * CHOOSE(CONTROL!$C$21, $C$9, 100%, $E$9)</f>
        <v>18.422799999999999</v>
      </c>
      <c r="D500" s="10">
        <f>CHOOSE(CONTROL!$C$42, 18.6152, 18.6152) * CHOOSE(CONTROL!$C$21, $C$9, 100%, $E$9)</f>
        <v>18.615200000000002</v>
      </c>
      <c r="E500" s="10">
        <f>CHOOSE(CONTROL!$C$42, 18.6464, 18.6464) * CHOOSE(CONTROL!$C$21, $C$9, 100%, $E$9)</f>
        <v>18.6464</v>
      </c>
      <c r="F500" s="10">
        <f>CHOOSE(CONTROL!$C$42, 18.382, 18.382)*CHOOSE(CONTROL!$C$21, $C$9, 100%, $E$9)</f>
        <v>18.382000000000001</v>
      </c>
      <c r="G500" s="10">
        <f>CHOOSE(CONTROL!$C$42, 18.3993, 18.3993)*CHOOSE(CONTROL!$C$21, $C$9, 100%, $E$9)</f>
        <v>18.3993</v>
      </c>
      <c r="H500" s="10">
        <f>CHOOSE(CONTROL!$C$42, 18.635, 18.635) * CHOOSE(CONTROL!$C$21, $C$9, 100%, $E$9)</f>
        <v>18.635000000000002</v>
      </c>
      <c r="I500" s="10">
        <f>CHOOSE(CONTROL!$C$42, 18.3815, 18.3815)* CHOOSE(CONTROL!$C$21, $C$9, 100%, $E$9)</f>
        <v>18.381499999999999</v>
      </c>
      <c r="J500" s="10">
        <f>CHOOSE(CONTROL!$C$42, 18.375, 18.375)* CHOOSE(CONTROL!$C$21, $C$9, 100%, $E$9)</f>
        <v>18.375</v>
      </c>
      <c r="K500" s="54">
        <f>CHOOSE(CONTROL!$C$42, 18.3776, 18.3776) * CHOOSE(CONTROL!$C$21, $C$9, 100%, $E$9)</f>
        <v>18.377600000000001</v>
      </c>
      <c r="L500" s="10">
        <f>CHOOSE(CONTROL!$C$42, 19.222, 19.222) * CHOOSE(CONTROL!$C$21, $C$9, 100%, $E$9)</f>
        <v>19.222000000000001</v>
      </c>
      <c r="M500" s="10">
        <f>CHOOSE(CONTROL!$C$42, 18.2033, 18.2033) * CHOOSE(CONTROL!$C$21, $C$9, 100%, $E$9)</f>
        <v>18.203299999999999</v>
      </c>
      <c r="N500" s="10">
        <f>CHOOSE(CONTROL!$C$42, 18.2205, 18.2205) * CHOOSE(CONTROL!$C$21, $C$9, 100%, $E$9)</f>
        <v>18.220500000000001</v>
      </c>
      <c r="O500" s="10">
        <f>CHOOSE(CONTROL!$C$42, 18.4608, 18.4608) * CHOOSE(CONTROL!$C$21, $C$9, 100%, $E$9)</f>
        <v>18.460799999999999</v>
      </c>
      <c r="P500" s="10">
        <f>CHOOSE(CONTROL!$C$42, 18.2098, 18.2098) * CHOOSE(CONTROL!$C$21, $C$9, 100%, $E$9)</f>
        <v>18.209800000000001</v>
      </c>
      <c r="Q500" s="10">
        <f>CHOOSE(CONTROL!$C$42, 19.0561, 19.0561) * CHOOSE(CONTROL!$C$21, $C$9, 100%, $E$9)</f>
        <v>19.056100000000001</v>
      </c>
      <c r="R500" s="10">
        <f>CHOOSE(CONTROL!$C$42, 19.6907, 19.6907) * CHOOSE(CONTROL!$C$21, $C$9, 100%, $E$9)</f>
        <v>19.6907</v>
      </c>
      <c r="S500" s="10">
        <f>CHOOSE(CONTROL!$C$42, 17.8785, 17.8785) * CHOOSE(CONTROL!$C$21, $C$9, 100%, $E$9)</f>
        <v>17.878499999999999</v>
      </c>
      <c r="T500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500" s="58">
        <f>(1000*CHOOSE(CONTROL!$C$42, 695, 695)*CHOOSE(CONTROL!$C$42, 0.5599, 0.5599)*CHOOSE(CONTROL!$C$42, 31, 31))/1000000</f>
        <v>12.063045499999998</v>
      </c>
      <c r="V500" s="58">
        <f>(1000*CHOOSE(CONTROL!$C$42, 500, 500)*CHOOSE(CONTROL!$C$42, 0.275, 0.275)*CHOOSE(CONTROL!$C$42, 31, 31))/1000000</f>
        <v>4.2625000000000002</v>
      </c>
      <c r="W500" s="58">
        <f>(1000*CHOOSE(CONTROL!$C$42, 0.1146, 0.1146)*CHOOSE(CONTROL!$C$42, 121.5, 121.5)*CHOOSE(CONTROL!$C$42, 31, 31))/1000000</f>
        <v>0.43164089999999994</v>
      </c>
      <c r="X500" s="58">
        <f>(31*0.1790888*245000/1000000)+(31*0.2374*100000/1000000)</f>
        <v>2.0961194359999999</v>
      </c>
      <c r="Y500" s="58"/>
      <c r="Z500" s="10"/>
      <c r="AA500" s="57"/>
      <c r="AB500" s="51">
        <f>(B500*194.205+C500*267.466+D500*133.845+E500*53.484+F500*40+G500*185+H500*0+I500*100+J500*300)/(194.205+267.466+133.845+53.484+0+40+185+100+300)</f>
        <v>18.432004930062796</v>
      </c>
      <c r="AC500" s="27">
        <f>(M500*'RAP TEMPLATE-GAS AVAILABILITY'!O499+N500*'RAP TEMPLATE-GAS AVAILABILITY'!P499+O500*'RAP TEMPLATE-GAS AVAILABILITY'!Q499+P500*'RAP TEMPLATE-GAS AVAILABILITY'!R499)/('RAP TEMPLATE-GAS AVAILABILITY'!O499+'RAP TEMPLATE-GAS AVAILABILITY'!P499+'RAP TEMPLATE-GAS AVAILABILITY'!Q499+'RAP TEMPLATE-GAS AVAILABILITY'!R499)</f>
        <v>18.280443165467624</v>
      </c>
    </row>
    <row r="501" spans="1:29" ht="15.75" x14ac:dyDescent="0.25">
      <c r="A501" s="14">
        <v>56157</v>
      </c>
      <c r="B501" s="10">
        <f>CHOOSE(CONTROL!$C$42, 17.2457, 17.2457) * CHOOSE(CONTROL!$C$21, $C$9, 100%, $E$9)</f>
        <v>17.245699999999999</v>
      </c>
      <c r="C501" s="10">
        <f>CHOOSE(CONTROL!$C$42, 17.2537, 17.2537) * CHOOSE(CONTROL!$C$21, $C$9, 100%, $E$9)</f>
        <v>17.253699999999998</v>
      </c>
      <c r="D501" s="10">
        <f>CHOOSE(CONTROL!$C$42, 17.4461, 17.4461) * CHOOSE(CONTROL!$C$21, $C$9, 100%, $E$9)</f>
        <v>17.446100000000001</v>
      </c>
      <c r="E501" s="10">
        <f>CHOOSE(CONTROL!$C$42, 17.4772, 17.4772) * CHOOSE(CONTROL!$C$21, $C$9, 100%, $E$9)</f>
        <v>17.4772</v>
      </c>
      <c r="F501" s="10">
        <f>CHOOSE(CONTROL!$C$42, 17.2126, 17.2126)*CHOOSE(CONTROL!$C$21, $C$9, 100%, $E$9)</f>
        <v>17.212599999999998</v>
      </c>
      <c r="G501" s="10">
        <f>CHOOSE(CONTROL!$C$42, 17.2299, 17.2299)*CHOOSE(CONTROL!$C$21, $C$9, 100%, $E$9)</f>
        <v>17.229900000000001</v>
      </c>
      <c r="H501" s="10">
        <f>CHOOSE(CONTROL!$C$42, 17.4659, 17.4659) * CHOOSE(CONTROL!$C$21, $C$9, 100%, $E$9)</f>
        <v>17.465900000000001</v>
      </c>
      <c r="I501" s="10">
        <f>CHOOSE(CONTROL!$C$42, 17.2123, 17.2123)* CHOOSE(CONTROL!$C$21, $C$9, 100%, $E$9)</f>
        <v>17.212299999999999</v>
      </c>
      <c r="J501" s="10">
        <f>CHOOSE(CONTROL!$C$42, 17.2056, 17.2056)* CHOOSE(CONTROL!$C$21, $C$9, 100%, $E$9)</f>
        <v>17.2056</v>
      </c>
      <c r="K501" s="54">
        <f>CHOOSE(CONTROL!$C$42, 17.2084, 17.2084) * CHOOSE(CONTROL!$C$21, $C$9, 100%, $E$9)</f>
        <v>17.208400000000001</v>
      </c>
      <c r="L501" s="10">
        <f>CHOOSE(CONTROL!$C$42, 18.0529, 18.0529) * CHOOSE(CONTROL!$C$21, $C$9, 100%, $E$9)</f>
        <v>18.052900000000001</v>
      </c>
      <c r="M501" s="10">
        <f>CHOOSE(CONTROL!$C$42, 17.0458, 17.0458) * CHOOSE(CONTROL!$C$21, $C$9, 100%, $E$9)</f>
        <v>17.0458</v>
      </c>
      <c r="N501" s="10">
        <f>CHOOSE(CONTROL!$C$42, 17.063, 17.063) * CHOOSE(CONTROL!$C$21, $C$9, 100%, $E$9)</f>
        <v>17.062999999999999</v>
      </c>
      <c r="O501" s="10">
        <f>CHOOSE(CONTROL!$C$42, 17.3034, 17.3034) * CHOOSE(CONTROL!$C$21, $C$9, 100%, $E$9)</f>
        <v>17.3034</v>
      </c>
      <c r="P501" s="10">
        <f>CHOOSE(CONTROL!$C$42, 17.0525, 17.0525) * CHOOSE(CONTROL!$C$21, $C$9, 100%, $E$9)</f>
        <v>17.052499999999998</v>
      </c>
      <c r="Q501" s="10">
        <f>CHOOSE(CONTROL!$C$42, 17.8987, 17.8987) * CHOOSE(CONTROL!$C$21, $C$9, 100%, $E$9)</f>
        <v>17.898700000000002</v>
      </c>
      <c r="R501" s="10">
        <f>CHOOSE(CONTROL!$C$42, 18.5305, 18.5305) * CHOOSE(CONTROL!$C$21, $C$9, 100%, $E$9)</f>
        <v>18.5305</v>
      </c>
      <c r="S501" s="10">
        <f>CHOOSE(CONTROL!$C$42, 16.7431, 16.7431) * CHOOSE(CONTROL!$C$21, $C$9, 100%, $E$9)</f>
        <v>16.743099999999998</v>
      </c>
      <c r="T501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501" s="58">
        <f>(1000*CHOOSE(CONTROL!$C$42, 695, 695)*CHOOSE(CONTROL!$C$42, 0.5599, 0.5599)*CHOOSE(CONTROL!$C$42, 30, 30))/1000000</f>
        <v>11.673914999999997</v>
      </c>
      <c r="V501" s="58">
        <f>(1000*CHOOSE(CONTROL!$C$42, 500, 500)*CHOOSE(CONTROL!$C$42, 0.275, 0.275)*CHOOSE(CONTROL!$C$42, 30, 30))/1000000</f>
        <v>4.125</v>
      </c>
      <c r="W501" s="58">
        <f>(1000*CHOOSE(CONTROL!$C$42, 0.1146, 0.1146)*CHOOSE(CONTROL!$C$42, 121.5, 121.5)*CHOOSE(CONTROL!$C$42, 30, 30))/1000000</f>
        <v>0.417717</v>
      </c>
      <c r="X501" s="58">
        <f>(30*0.1790888*245000/1000000)+(30*0.2374*100000/1000000)</f>
        <v>2.0285026799999999</v>
      </c>
      <c r="Y501" s="58"/>
      <c r="Z501" s="10"/>
      <c r="AA501" s="57"/>
      <c r="AB501" s="51">
        <f>(B501*194.205+C501*267.466+D501*133.845+E501*53.484+F501*40+G501*185+H501*0+I501*100+J501*300)/(194.205+267.466+133.845+53.484+0+40+185+100+300)</f>
        <v>17.262754012558872</v>
      </c>
      <c r="AC501" s="27">
        <f>(M501*'RAP TEMPLATE-GAS AVAILABILITY'!O500+N501*'RAP TEMPLATE-GAS AVAILABILITY'!P500+O501*'RAP TEMPLATE-GAS AVAILABILITY'!Q500+P501*'RAP TEMPLATE-GAS AVAILABILITY'!R500)/('RAP TEMPLATE-GAS AVAILABILITY'!O500+'RAP TEMPLATE-GAS AVAILABILITY'!P500+'RAP TEMPLATE-GAS AVAILABILITY'!Q500+'RAP TEMPLATE-GAS AVAILABILITY'!R500)</f>
        <v>17.123000000000001</v>
      </c>
    </row>
    <row r="502" spans="1:29" ht="15.75" x14ac:dyDescent="0.25">
      <c r="A502" s="14">
        <v>56188</v>
      </c>
      <c r="B502" s="10">
        <f>CHOOSE(CONTROL!$C$42, 16.8939, 16.8939) * CHOOSE(CONTROL!$C$21, $C$9, 100%, $E$9)</f>
        <v>16.893899999999999</v>
      </c>
      <c r="C502" s="10">
        <f>CHOOSE(CONTROL!$C$42, 16.8991, 16.8991) * CHOOSE(CONTROL!$C$21, $C$9, 100%, $E$9)</f>
        <v>16.899100000000001</v>
      </c>
      <c r="D502" s="10">
        <f>CHOOSE(CONTROL!$C$42, 17.0965, 17.0965) * CHOOSE(CONTROL!$C$21, $C$9, 100%, $E$9)</f>
        <v>17.096499999999999</v>
      </c>
      <c r="E502" s="10">
        <f>CHOOSE(CONTROL!$C$42, 17.1253, 17.1253) * CHOOSE(CONTROL!$C$21, $C$9, 100%, $E$9)</f>
        <v>17.125299999999999</v>
      </c>
      <c r="F502" s="10">
        <f>CHOOSE(CONTROL!$C$42, 16.8628, 16.8628)*CHOOSE(CONTROL!$C$21, $C$9, 100%, $E$9)</f>
        <v>16.8628</v>
      </c>
      <c r="G502" s="10">
        <f>CHOOSE(CONTROL!$C$42, 16.8798, 16.8798)*CHOOSE(CONTROL!$C$21, $C$9, 100%, $E$9)</f>
        <v>16.879799999999999</v>
      </c>
      <c r="H502" s="10">
        <f>CHOOSE(CONTROL!$C$42, 17.1158, 17.1158) * CHOOSE(CONTROL!$C$21, $C$9, 100%, $E$9)</f>
        <v>17.1158</v>
      </c>
      <c r="I502" s="10">
        <f>CHOOSE(CONTROL!$C$42, 16.8623, 16.8623)* CHOOSE(CONTROL!$C$21, $C$9, 100%, $E$9)</f>
        <v>16.862300000000001</v>
      </c>
      <c r="J502" s="10">
        <f>CHOOSE(CONTROL!$C$42, 16.8558, 16.8558)* CHOOSE(CONTROL!$C$21, $C$9, 100%, $E$9)</f>
        <v>16.855799999999999</v>
      </c>
      <c r="K502" s="54">
        <f>CHOOSE(CONTROL!$C$42, 16.8584, 16.8584) * CHOOSE(CONTROL!$C$21, $C$9, 100%, $E$9)</f>
        <v>16.8584</v>
      </c>
      <c r="L502" s="10">
        <f>CHOOSE(CONTROL!$C$42, 17.7028, 17.7028) * CHOOSE(CONTROL!$C$21, $C$9, 100%, $E$9)</f>
        <v>17.7028</v>
      </c>
      <c r="M502" s="10">
        <f>CHOOSE(CONTROL!$C$42, 16.6995, 16.6995) * CHOOSE(CONTROL!$C$21, $C$9, 100%, $E$9)</f>
        <v>16.6995</v>
      </c>
      <c r="N502" s="10">
        <f>CHOOSE(CONTROL!$C$42, 16.7163, 16.7163) * CHOOSE(CONTROL!$C$21, $C$9, 100%, $E$9)</f>
        <v>16.7163</v>
      </c>
      <c r="O502" s="10">
        <f>CHOOSE(CONTROL!$C$42, 16.9569, 16.9569) * CHOOSE(CONTROL!$C$21, $C$9, 100%, $E$9)</f>
        <v>16.956900000000001</v>
      </c>
      <c r="P502" s="10">
        <f>CHOOSE(CONTROL!$C$42, 16.706, 16.706) * CHOOSE(CONTROL!$C$21, $C$9, 100%, $E$9)</f>
        <v>16.706</v>
      </c>
      <c r="Q502" s="10">
        <f>CHOOSE(CONTROL!$C$42, 17.5522, 17.5522) * CHOOSE(CONTROL!$C$21, $C$9, 100%, $E$9)</f>
        <v>17.552199999999999</v>
      </c>
      <c r="R502" s="10">
        <f>CHOOSE(CONTROL!$C$42, 18.1831, 18.1831) * CHOOSE(CONTROL!$C$21, $C$9, 100%, $E$9)</f>
        <v>18.1831</v>
      </c>
      <c r="S502" s="10">
        <f>CHOOSE(CONTROL!$C$42, 16.4031, 16.4031) * CHOOSE(CONTROL!$C$21, $C$9, 100%, $E$9)</f>
        <v>16.403099999999998</v>
      </c>
      <c r="T502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502" s="58">
        <f>(1000*CHOOSE(CONTROL!$C$42, 695, 695)*CHOOSE(CONTROL!$C$42, 0.5599, 0.5599)*CHOOSE(CONTROL!$C$42, 31, 31))/1000000</f>
        <v>12.063045499999998</v>
      </c>
      <c r="V502" s="58">
        <f>(1000*CHOOSE(CONTROL!$C$42, 500, 500)*CHOOSE(CONTROL!$C$42, 0.275, 0.275)*CHOOSE(CONTROL!$C$42, 31, 31))/1000000</f>
        <v>4.2625000000000002</v>
      </c>
      <c r="W502" s="58">
        <f>(1000*CHOOSE(CONTROL!$C$42, 0.1146, 0.1146)*CHOOSE(CONTROL!$C$42, 121.5, 121.5)*CHOOSE(CONTROL!$C$42, 31, 31))/1000000</f>
        <v>0.43164089999999994</v>
      </c>
      <c r="X502" s="58">
        <f>(31*0.1790888*245000/1000000)+(31*0.2374*100000/1000000)</f>
        <v>2.0961194359999999</v>
      </c>
      <c r="Y502" s="58"/>
      <c r="Z502" s="10"/>
      <c r="AA502" s="57"/>
      <c r="AB502" s="51">
        <f>(B502*131.881+C502*277.167+D502*79.08+E502*125.872+F502*40+G502*185+H502*0+I502*100+J502*300)/(131.881+277.167+79.08+125.872+0+40+185+100+300)</f>
        <v>16.916617641000808</v>
      </c>
      <c r="AC502" s="27">
        <f>(M502*'RAP TEMPLATE-GAS AVAILABILITY'!O501+N502*'RAP TEMPLATE-GAS AVAILABILITY'!P501+O502*'RAP TEMPLATE-GAS AVAILABILITY'!Q501+P502*'RAP TEMPLATE-GAS AVAILABILITY'!R501)/('RAP TEMPLATE-GAS AVAILABILITY'!O501+'RAP TEMPLATE-GAS AVAILABILITY'!P501+'RAP TEMPLATE-GAS AVAILABILITY'!Q501+'RAP TEMPLATE-GAS AVAILABILITY'!R501)</f>
        <v>16.776523021582737</v>
      </c>
    </row>
    <row r="503" spans="1:29" ht="15.75" x14ac:dyDescent="0.25">
      <c r="A503" s="14">
        <v>56218</v>
      </c>
      <c r="B503" s="10">
        <f>CHOOSE(CONTROL!$C$42, 17.3385, 17.3385) * CHOOSE(CONTROL!$C$21, $C$9, 100%, $E$9)</f>
        <v>17.3385</v>
      </c>
      <c r="C503" s="10">
        <f>CHOOSE(CONTROL!$C$42, 17.3434, 17.3434) * CHOOSE(CONTROL!$C$21, $C$9, 100%, $E$9)</f>
        <v>17.343399999999999</v>
      </c>
      <c r="D503" s="10">
        <f>CHOOSE(CONTROL!$C$42, 17.373, 17.373) * CHOOSE(CONTROL!$C$21, $C$9, 100%, $E$9)</f>
        <v>17.373000000000001</v>
      </c>
      <c r="E503" s="10">
        <f>CHOOSE(CONTROL!$C$42, 17.4068, 17.4068) * CHOOSE(CONTROL!$C$21, $C$9, 100%, $E$9)</f>
        <v>17.4068</v>
      </c>
      <c r="F503" s="10">
        <f>CHOOSE(CONTROL!$C$42, 17.3053, 17.3053)*CHOOSE(CONTROL!$C$21, $C$9, 100%, $E$9)</f>
        <v>17.305299999999999</v>
      </c>
      <c r="G503" s="10">
        <f>CHOOSE(CONTROL!$C$42, 17.3224, 17.3224)*CHOOSE(CONTROL!$C$21, $C$9, 100%, $E$9)</f>
        <v>17.322399999999998</v>
      </c>
      <c r="H503" s="10">
        <f>CHOOSE(CONTROL!$C$42, 17.396, 17.396) * CHOOSE(CONTROL!$C$21, $C$9, 100%, $E$9)</f>
        <v>17.396000000000001</v>
      </c>
      <c r="I503" s="10">
        <f>CHOOSE(CONTROL!$C$42, 17.3021, 17.3021)* CHOOSE(CONTROL!$C$21, $C$9, 100%, $E$9)</f>
        <v>17.302099999999999</v>
      </c>
      <c r="J503" s="10">
        <f>CHOOSE(CONTROL!$C$42, 17.2983, 17.2983)* CHOOSE(CONTROL!$C$21, $C$9, 100%, $E$9)</f>
        <v>17.298300000000001</v>
      </c>
      <c r="K503" s="54">
        <f>CHOOSE(CONTROL!$C$42, 17.2982, 17.2982) * CHOOSE(CONTROL!$C$21, $C$9, 100%, $E$9)</f>
        <v>17.298200000000001</v>
      </c>
      <c r="L503" s="10">
        <f>CHOOSE(CONTROL!$C$42, 17.983, 17.983) * CHOOSE(CONTROL!$C$21, $C$9, 100%, $E$9)</f>
        <v>17.983000000000001</v>
      </c>
      <c r="M503" s="10">
        <f>CHOOSE(CONTROL!$C$42, 17.1375, 17.1375) * CHOOSE(CONTROL!$C$21, $C$9, 100%, $E$9)</f>
        <v>17.137499999999999</v>
      </c>
      <c r="N503" s="10">
        <f>CHOOSE(CONTROL!$C$42, 17.1545, 17.1545) * CHOOSE(CONTROL!$C$21, $C$9, 100%, $E$9)</f>
        <v>17.154499999999999</v>
      </c>
      <c r="O503" s="10">
        <f>CHOOSE(CONTROL!$C$42, 17.2343, 17.2343) * CHOOSE(CONTROL!$C$21, $C$9, 100%, $E$9)</f>
        <v>17.234300000000001</v>
      </c>
      <c r="P503" s="10">
        <f>CHOOSE(CONTROL!$C$42, 17.1413, 17.1413) * CHOOSE(CONTROL!$C$21, $C$9, 100%, $E$9)</f>
        <v>17.141300000000001</v>
      </c>
      <c r="Q503" s="10">
        <f>CHOOSE(CONTROL!$C$42, 17.8296, 17.8296) * CHOOSE(CONTROL!$C$21, $C$9, 100%, $E$9)</f>
        <v>17.829599999999999</v>
      </c>
      <c r="R503" s="10">
        <f>CHOOSE(CONTROL!$C$42, 18.4612, 18.4612) * CHOOSE(CONTROL!$C$21, $C$9, 100%, $E$9)</f>
        <v>18.461200000000002</v>
      </c>
      <c r="S503" s="10">
        <f>CHOOSE(CONTROL!$C$42, 16.8353, 16.8353) * CHOOSE(CONTROL!$C$21, $C$9, 100%, $E$9)</f>
        <v>16.8353</v>
      </c>
      <c r="T503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503" s="58">
        <f>(1000*CHOOSE(CONTROL!$C$42, 695, 695)*CHOOSE(CONTROL!$C$42, 0.5599, 0.5599)*CHOOSE(CONTROL!$C$42, 30, 30))/1000000</f>
        <v>11.673914999999997</v>
      </c>
      <c r="V503" s="58">
        <f>(1000*CHOOSE(CONTROL!$C$42, 500, 500)*CHOOSE(CONTROL!$C$42, 0.275, 0.275)*CHOOSE(CONTROL!$C$42, 30, 30))/1000000</f>
        <v>4.125</v>
      </c>
      <c r="W503" s="58">
        <f>(1000*CHOOSE(CONTROL!$C$42, 0.1146, 0.1146)*CHOOSE(CONTROL!$C$42, 121.5, 121.5)*CHOOSE(CONTROL!$C$42, 30, 30))/1000000</f>
        <v>0.417717</v>
      </c>
      <c r="X503" s="58">
        <f>(30*0.1790888*100000/1000000)+(30*0.2374*100000/1000000)</f>
        <v>1.2494664</v>
      </c>
      <c r="Y503" s="58"/>
      <c r="Z503" s="10"/>
      <c r="AA503" s="57"/>
      <c r="AB503" s="51">
        <f>(B503*122.58+C503*297.941+D503*89.177+E503*40.302+F503*40+G503*160+H503*0+I503*100+J503*300)/(122.58+297.941+89.177+40.302+0+40+160+100+300)</f>
        <v>17.327791429565217</v>
      </c>
      <c r="AC503" s="27">
        <f>(M503*'RAP TEMPLATE-GAS AVAILABILITY'!O502+N503*'RAP TEMPLATE-GAS AVAILABILITY'!P502+O503*'RAP TEMPLATE-GAS AVAILABILITY'!Q502+P503*'RAP TEMPLATE-GAS AVAILABILITY'!R502)/('RAP TEMPLATE-GAS AVAILABILITY'!O502+'RAP TEMPLATE-GAS AVAILABILITY'!P502+'RAP TEMPLATE-GAS AVAILABILITY'!Q502+'RAP TEMPLATE-GAS AVAILABILITY'!R502)</f>
        <v>17.182898561151077</v>
      </c>
    </row>
    <row r="504" spans="1:29" ht="15.75" x14ac:dyDescent="0.25">
      <c r="A504" s="14">
        <v>56249</v>
      </c>
      <c r="B504" s="10">
        <f>CHOOSE(CONTROL!$C$42, 18.5204, 18.5204) * CHOOSE(CONTROL!$C$21, $C$9, 100%, $E$9)</f>
        <v>18.520399999999999</v>
      </c>
      <c r="C504" s="10">
        <f>CHOOSE(CONTROL!$C$42, 18.5254, 18.5254) * CHOOSE(CONTROL!$C$21, $C$9, 100%, $E$9)</f>
        <v>18.525400000000001</v>
      </c>
      <c r="D504" s="10">
        <f>CHOOSE(CONTROL!$C$42, 18.555, 18.555) * CHOOSE(CONTROL!$C$21, $C$9, 100%, $E$9)</f>
        <v>18.555</v>
      </c>
      <c r="E504" s="10">
        <f>CHOOSE(CONTROL!$C$42, 18.5887, 18.5887) * CHOOSE(CONTROL!$C$21, $C$9, 100%, $E$9)</f>
        <v>18.588699999999999</v>
      </c>
      <c r="F504" s="10">
        <f>CHOOSE(CONTROL!$C$42, 18.4886, 18.4886)*CHOOSE(CONTROL!$C$21, $C$9, 100%, $E$9)</f>
        <v>18.488600000000002</v>
      </c>
      <c r="G504" s="10">
        <f>CHOOSE(CONTROL!$C$42, 18.5061, 18.5061)*CHOOSE(CONTROL!$C$21, $C$9, 100%, $E$9)</f>
        <v>18.5061</v>
      </c>
      <c r="H504" s="10">
        <f>CHOOSE(CONTROL!$C$42, 18.5779, 18.5779) * CHOOSE(CONTROL!$C$21, $C$9, 100%, $E$9)</f>
        <v>18.5779</v>
      </c>
      <c r="I504" s="10">
        <f>CHOOSE(CONTROL!$C$42, 18.484, 18.484)* CHOOSE(CONTROL!$C$21, $C$9, 100%, $E$9)</f>
        <v>18.484000000000002</v>
      </c>
      <c r="J504" s="10">
        <f>CHOOSE(CONTROL!$C$42, 18.4816, 18.4816)* CHOOSE(CONTROL!$C$21, $C$9, 100%, $E$9)</f>
        <v>18.4816</v>
      </c>
      <c r="K504" s="54">
        <f>CHOOSE(CONTROL!$C$42, 18.4801, 18.4801) * CHOOSE(CONTROL!$C$21, $C$9, 100%, $E$9)</f>
        <v>18.4801</v>
      </c>
      <c r="L504" s="10">
        <f>CHOOSE(CONTROL!$C$42, 19.1649, 19.1649) * CHOOSE(CONTROL!$C$21, $C$9, 100%, $E$9)</f>
        <v>19.164899999999999</v>
      </c>
      <c r="M504" s="10">
        <f>CHOOSE(CONTROL!$C$42, 18.3089, 18.3089) * CHOOSE(CONTROL!$C$21, $C$9, 100%, $E$9)</f>
        <v>18.308900000000001</v>
      </c>
      <c r="N504" s="10">
        <f>CHOOSE(CONTROL!$C$42, 18.3263, 18.3263) * CHOOSE(CONTROL!$C$21, $C$9, 100%, $E$9)</f>
        <v>18.3263</v>
      </c>
      <c r="O504" s="10">
        <f>CHOOSE(CONTROL!$C$42, 18.4043, 18.4043) * CHOOSE(CONTROL!$C$21, $C$9, 100%, $E$9)</f>
        <v>18.404299999999999</v>
      </c>
      <c r="P504" s="10">
        <f>CHOOSE(CONTROL!$C$42, 18.3113, 18.3113) * CHOOSE(CONTROL!$C$21, $C$9, 100%, $E$9)</f>
        <v>18.311299999999999</v>
      </c>
      <c r="Q504" s="10">
        <f>CHOOSE(CONTROL!$C$42, 18.9996, 18.9996) * CHOOSE(CONTROL!$C$21, $C$9, 100%, $E$9)</f>
        <v>18.999600000000001</v>
      </c>
      <c r="R504" s="10">
        <f>CHOOSE(CONTROL!$C$42, 19.6341, 19.6341) * CHOOSE(CONTROL!$C$21, $C$9, 100%, $E$9)</f>
        <v>19.6341</v>
      </c>
      <c r="S504" s="10">
        <f>CHOOSE(CONTROL!$C$42, 17.983, 17.983) * CHOOSE(CONTROL!$C$21, $C$9, 100%, $E$9)</f>
        <v>17.983000000000001</v>
      </c>
      <c r="T504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504" s="58">
        <f>(1000*CHOOSE(CONTROL!$C$42, 695, 695)*CHOOSE(CONTROL!$C$42, 0.5599, 0.5599)*CHOOSE(CONTROL!$C$42, 31, 31))/1000000</f>
        <v>12.063045499999998</v>
      </c>
      <c r="V504" s="58">
        <f>(1000*CHOOSE(CONTROL!$C$42, 500, 500)*CHOOSE(CONTROL!$C$42, 0.275, 0.275)*CHOOSE(CONTROL!$C$42, 31, 31))/1000000</f>
        <v>4.2625000000000002</v>
      </c>
      <c r="W504" s="58">
        <f>(1000*CHOOSE(CONTROL!$C$42, 0.1146, 0.1146)*CHOOSE(CONTROL!$C$42, 121.5, 121.5)*CHOOSE(CONTROL!$C$42, 31, 31))/1000000</f>
        <v>0.43164089999999994</v>
      </c>
      <c r="X504" s="58">
        <f>(31*0.1790888*100000/1000000)+(31*0.2374*100000/1000000)</f>
        <v>1.2911152800000001</v>
      </c>
      <c r="Y504" s="58"/>
      <c r="Z504" s="10"/>
      <c r="AA504" s="57"/>
      <c r="AB504" s="51">
        <f>(B504*122.58+C504*297.941+D504*89.177+E504*40.302+F504*40+G504*160+H504*0+I504*100+J504*300)/(122.58+297.941+89.177+40.302+0+40+160+100+300)</f>
        <v>18.510389439826088</v>
      </c>
      <c r="AC504" s="27">
        <f>(M504*'RAP TEMPLATE-GAS AVAILABILITY'!O503+N504*'RAP TEMPLATE-GAS AVAILABILITY'!P503+O504*'RAP TEMPLATE-GAS AVAILABILITY'!Q503+P504*'RAP TEMPLATE-GAS AVAILABILITY'!R503)/('RAP TEMPLATE-GAS AVAILABILITY'!O503+'RAP TEMPLATE-GAS AVAILABILITY'!P503+'RAP TEMPLATE-GAS AVAILABILITY'!Q503+'RAP TEMPLATE-GAS AVAILABILITY'!R503)</f>
        <v>18.353485611510788</v>
      </c>
    </row>
    <row r="505" spans="1:29" ht="15.75" x14ac:dyDescent="0.25">
      <c r="A505" s="14">
        <v>56280</v>
      </c>
      <c r="B505" s="10">
        <f>CHOOSE(CONTROL!$C$42, 20.0377, 20.0377) * CHOOSE(CONTROL!$C$21, $C$9, 100%, $E$9)</f>
        <v>20.037700000000001</v>
      </c>
      <c r="C505" s="10">
        <f>CHOOSE(CONTROL!$C$42, 20.0426, 20.0426) * CHOOSE(CONTROL!$C$21, $C$9, 100%, $E$9)</f>
        <v>20.0426</v>
      </c>
      <c r="D505" s="10">
        <f>CHOOSE(CONTROL!$C$42, 20.0928, 20.0928) * CHOOSE(CONTROL!$C$21, $C$9, 100%, $E$9)</f>
        <v>20.0928</v>
      </c>
      <c r="E505" s="10">
        <f>CHOOSE(CONTROL!$C$42, 20.1266, 20.1266) * CHOOSE(CONTROL!$C$21, $C$9, 100%, $E$9)</f>
        <v>20.1266</v>
      </c>
      <c r="F505" s="10">
        <f>CHOOSE(CONTROL!$C$42, 20.003, 20.003)*CHOOSE(CONTROL!$C$21, $C$9, 100%, $E$9)</f>
        <v>20.003</v>
      </c>
      <c r="G505" s="10">
        <f>CHOOSE(CONTROL!$C$42, 20.0206, 20.0206)*CHOOSE(CONTROL!$C$21, $C$9, 100%, $E$9)</f>
        <v>20.020600000000002</v>
      </c>
      <c r="H505" s="10">
        <f>CHOOSE(CONTROL!$C$42, 20.1158, 20.1158) * CHOOSE(CONTROL!$C$21, $C$9, 100%, $E$9)</f>
        <v>20.1158</v>
      </c>
      <c r="I505" s="10">
        <f>CHOOSE(CONTROL!$C$42, 20.0116, 20.0116)* CHOOSE(CONTROL!$C$21, $C$9, 100%, $E$9)</f>
        <v>20.011600000000001</v>
      </c>
      <c r="J505" s="10">
        <f>CHOOSE(CONTROL!$C$42, 19.996, 19.996)* CHOOSE(CONTROL!$C$21, $C$9, 100%, $E$9)</f>
        <v>19.995999999999999</v>
      </c>
      <c r="K505" s="54">
        <f>CHOOSE(CONTROL!$C$42, 20.0077, 20.0077) * CHOOSE(CONTROL!$C$21, $C$9, 100%, $E$9)</f>
        <v>20.0077</v>
      </c>
      <c r="L505" s="10">
        <f>CHOOSE(CONTROL!$C$42, 20.7028, 20.7028) * CHOOSE(CONTROL!$C$21, $C$9, 100%, $E$9)</f>
        <v>20.7028</v>
      </c>
      <c r="M505" s="10">
        <f>CHOOSE(CONTROL!$C$42, 19.8081, 19.8081) * CHOOSE(CONTROL!$C$21, $C$9, 100%, $E$9)</f>
        <v>19.8081</v>
      </c>
      <c r="N505" s="10">
        <f>CHOOSE(CONTROL!$C$42, 19.8254, 19.8254) * CHOOSE(CONTROL!$C$21, $C$9, 100%, $E$9)</f>
        <v>19.825399999999998</v>
      </c>
      <c r="O505" s="10">
        <f>CHOOSE(CONTROL!$C$42, 19.9266, 19.9266) * CHOOSE(CONTROL!$C$21, $C$9, 100%, $E$9)</f>
        <v>19.926600000000001</v>
      </c>
      <c r="P505" s="10">
        <f>CHOOSE(CONTROL!$C$42, 19.8235, 19.8235) * CHOOSE(CONTROL!$C$21, $C$9, 100%, $E$9)</f>
        <v>19.823499999999999</v>
      </c>
      <c r="Q505" s="10">
        <f>CHOOSE(CONTROL!$C$42, 20.5219, 20.5219) * CHOOSE(CONTROL!$C$21, $C$9, 100%, $E$9)</f>
        <v>20.521899999999999</v>
      </c>
      <c r="R505" s="10">
        <f>CHOOSE(CONTROL!$C$42, 21.1602, 21.1602) * CHOOSE(CONTROL!$C$21, $C$9, 100%, $E$9)</f>
        <v>21.1602</v>
      </c>
      <c r="S505" s="10">
        <f>CHOOSE(CONTROL!$C$42, 19.4564, 19.4564) * CHOOSE(CONTROL!$C$21, $C$9, 100%, $E$9)</f>
        <v>19.456399999999999</v>
      </c>
      <c r="T505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505" s="58">
        <f>(1000*CHOOSE(CONTROL!$C$42, 695, 695)*CHOOSE(CONTROL!$C$42, 0.5599, 0.5599)*CHOOSE(CONTROL!$C$42, 31, 31))/1000000</f>
        <v>12.063045499999998</v>
      </c>
      <c r="V505" s="58">
        <f>(1000*CHOOSE(CONTROL!$C$42, 500, 500)*CHOOSE(CONTROL!$C$42, 0.275, 0.275)*CHOOSE(CONTROL!$C$42, 31, 31))/1000000</f>
        <v>4.2625000000000002</v>
      </c>
      <c r="W505" s="58">
        <f>(1000*CHOOSE(CONTROL!$C$42, 0.1146, 0.1146)*CHOOSE(CONTROL!$C$42, 121.5, 121.5)*CHOOSE(CONTROL!$C$42, 31, 31))/1000000</f>
        <v>0.43164089999999994</v>
      </c>
      <c r="X505" s="58">
        <f>(31*0.1790888*100000/1000000)+(31*0.2374*100000/1000000)</f>
        <v>1.2911152800000001</v>
      </c>
      <c r="Y505" s="58"/>
      <c r="Z505" s="10"/>
      <c r="AA505" s="57"/>
      <c r="AB505" s="51">
        <f>(B505*122.58+C505*297.941+D505*89.177+E505*40.302+F505*40+G505*160+H505*0+I505*100+J505*300)/(122.58+297.941+89.177+40.302+0+40+160+100+300)</f>
        <v>20.029623835999999</v>
      </c>
      <c r="AC505" s="27">
        <f>(M505*'RAP TEMPLATE-GAS AVAILABILITY'!O504+N505*'RAP TEMPLATE-GAS AVAILABILITY'!P504+O505*'RAP TEMPLATE-GAS AVAILABILITY'!Q504+P505*'RAP TEMPLATE-GAS AVAILABILITY'!R504)/('RAP TEMPLATE-GAS AVAILABILITY'!O504+'RAP TEMPLATE-GAS AVAILABILITY'!P504+'RAP TEMPLATE-GAS AVAILABILITY'!Q504+'RAP TEMPLATE-GAS AVAILABILITY'!R504)</f>
        <v>19.865020143884891</v>
      </c>
    </row>
    <row r="506" spans="1:29" ht="15.75" x14ac:dyDescent="0.25">
      <c r="A506" s="14">
        <v>56308</v>
      </c>
      <c r="B506" s="10">
        <f>CHOOSE(CONTROL!$C$42, 20.3943, 20.3943) * CHOOSE(CONTROL!$C$21, $C$9, 100%, $E$9)</f>
        <v>20.394300000000001</v>
      </c>
      <c r="C506" s="10">
        <f>CHOOSE(CONTROL!$C$42, 20.3993, 20.3993) * CHOOSE(CONTROL!$C$21, $C$9, 100%, $E$9)</f>
        <v>20.3993</v>
      </c>
      <c r="D506" s="10">
        <f>CHOOSE(CONTROL!$C$42, 20.4598, 20.4598) * CHOOSE(CONTROL!$C$21, $C$9, 100%, $E$9)</f>
        <v>20.459800000000001</v>
      </c>
      <c r="E506" s="10">
        <f>CHOOSE(CONTROL!$C$42, 20.4935, 20.4935) * CHOOSE(CONTROL!$C$21, $C$9, 100%, $E$9)</f>
        <v>20.493500000000001</v>
      </c>
      <c r="F506" s="10">
        <f>CHOOSE(CONTROL!$C$42, 20.3875, 20.3875)*CHOOSE(CONTROL!$C$21, $C$9, 100%, $E$9)</f>
        <v>20.387499999999999</v>
      </c>
      <c r="G506" s="10">
        <f>CHOOSE(CONTROL!$C$42, 20.4048, 20.4048)*CHOOSE(CONTROL!$C$21, $C$9, 100%, $E$9)</f>
        <v>20.404800000000002</v>
      </c>
      <c r="H506" s="10">
        <f>CHOOSE(CONTROL!$C$42, 20.4827, 20.4827) * CHOOSE(CONTROL!$C$21, $C$9, 100%, $E$9)</f>
        <v>20.482700000000001</v>
      </c>
      <c r="I506" s="10">
        <f>CHOOSE(CONTROL!$C$42, 20.3811, 20.3811)* CHOOSE(CONTROL!$C$21, $C$9, 100%, $E$9)</f>
        <v>20.3811</v>
      </c>
      <c r="J506" s="10">
        <f>CHOOSE(CONTROL!$C$42, 20.3805, 20.3805)* CHOOSE(CONTROL!$C$21, $C$9, 100%, $E$9)</f>
        <v>20.380500000000001</v>
      </c>
      <c r="K506" s="54">
        <f>CHOOSE(CONTROL!$C$42, 20.3772, 20.3772) * CHOOSE(CONTROL!$C$21, $C$9, 100%, $E$9)</f>
        <v>20.377199999999998</v>
      </c>
      <c r="L506" s="10">
        <f>CHOOSE(CONTROL!$C$42, 21.0697, 21.0697) * CHOOSE(CONTROL!$C$21, $C$9, 100%, $E$9)</f>
        <v>21.069700000000001</v>
      </c>
      <c r="M506" s="10">
        <f>CHOOSE(CONTROL!$C$42, 20.1887, 20.1887) * CHOOSE(CONTROL!$C$21, $C$9, 100%, $E$9)</f>
        <v>20.188700000000001</v>
      </c>
      <c r="N506" s="10">
        <f>CHOOSE(CONTROL!$C$42, 20.2058, 20.2058) * CHOOSE(CONTROL!$C$21, $C$9, 100%, $E$9)</f>
        <v>20.2058</v>
      </c>
      <c r="O506" s="10">
        <f>CHOOSE(CONTROL!$C$42, 20.2899, 20.2899) * CHOOSE(CONTROL!$C$21, $C$9, 100%, $E$9)</f>
        <v>20.289899999999999</v>
      </c>
      <c r="P506" s="10">
        <f>CHOOSE(CONTROL!$C$42, 20.1893, 20.1893) * CHOOSE(CONTROL!$C$21, $C$9, 100%, $E$9)</f>
        <v>20.189299999999999</v>
      </c>
      <c r="Q506" s="10">
        <f>CHOOSE(CONTROL!$C$42, 20.8852, 20.8852) * CHOOSE(CONTROL!$C$21, $C$9, 100%, $E$9)</f>
        <v>20.885200000000001</v>
      </c>
      <c r="R506" s="10">
        <f>CHOOSE(CONTROL!$C$42, 21.5244, 21.5244) * CHOOSE(CONTROL!$C$21, $C$9, 100%, $E$9)</f>
        <v>21.5244</v>
      </c>
      <c r="S506" s="10">
        <f>CHOOSE(CONTROL!$C$42, 19.8028, 19.8028) * CHOOSE(CONTROL!$C$21, $C$9, 100%, $E$9)</f>
        <v>19.802800000000001</v>
      </c>
      <c r="T506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506" s="58">
        <f>(1000*CHOOSE(CONTROL!$C$42, 695, 695)*CHOOSE(CONTROL!$C$42, 0.5599, 0.5599)*CHOOSE(CONTROL!$C$42, 28, 28))/1000000</f>
        <v>10.895653999999999</v>
      </c>
      <c r="V506" s="58">
        <f>(1000*CHOOSE(CONTROL!$C$42, 500, 500)*CHOOSE(CONTROL!$C$42, 0.275, 0.275)*CHOOSE(CONTROL!$C$42, 28, 28))/1000000</f>
        <v>3.85</v>
      </c>
      <c r="W506" s="58">
        <f>(1000*CHOOSE(CONTROL!$C$42, 0.1146, 0.1146)*CHOOSE(CONTROL!$C$42, 121.5, 121.5)*CHOOSE(CONTROL!$C$42, 28, 28))/1000000</f>
        <v>0.38986920000000003</v>
      </c>
      <c r="X506" s="58">
        <f>(28*0.1790888*100000/1000000)+(28*0.2374*100000/1000000)</f>
        <v>1.16616864</v>
      </c>
      <c r="Y506" s="58"/>
      <c r="Z506" s="10"/>
      <c r="AA506" s="57"/>
      <c r="AB506" s="51">
        <f>(B506*122.58+C506*297.941+D506*89.177+E506*40.302+F506*40+G506*160+H506*0+I506*100+J506*300)/(122.58+297.941+89.177+40.302+0+40+160+100+300)</f>
        <v>20.400627614695654</v>
      </c>
      <c r="AC506" s="27">
        <f>(M506*'RAP TEMPLATE-GAS AVAILABILITY'!O505+N506*'RAP TEMPLATE-GAS AVAILABILITY'!P505+O506*'RAP TEMPLATE-GAS AVAILABILITY'!Q505+P506*'RAP TEMPLATE-GAS AVAILABILITY'!R505)/('RAP TEMPLATE-GAS AVAILABILITY'!O505+'RAP TEMPLATE-GAS AVAILABILITY'!P505+'RAP TEMPLATE-GAS AVAILABILITY'!Q505+'RAP TEMPLATE-GAS AVAILABILITY'!R505)</f>
        <v>20.235638129496405</v>
      </c>
    </row>
    <row r="507" spans="1:29" ht="15.75" x14ac:dyDescent="0.25">
      <c r="A507" s="14">
        <v>56339</v>
      </c>
      <c r="B507" s="10">
        <f>CHOOSE(CONTROL!$C$42, 19.8154, 19.8154) * CHOOSE(CONTROL!$C$21, $C$9, 100%, $E$9)</f>
        <v>19.8154</v>
      </c>
      <c r="C507" s="10">
        <f>CHOOSE(CONTROL!$C$42, 19.8203, 19.8203) * CHOOSE(CONTROL!$C$21, $C$9, 100%, $E$9)</f>
        <v>19.8203</v>
      </c>
      <c r="D507" s="10">
        <f>CHOOSE(CONTROL!$C$42, 19.8808, 19.8808) * CHOOSE(CONTROL!$C$21, $C$9, 100%, $E$9)</f>
        <v>19.880800000000001</v>
      </c>
      <c r="E507" s="10">
        <f>CHOOSE(CONTROL!$C$42, 19.9146, 19.9146) * CHOOSE(CONTROL!$C$21, $C$9, 100%, $E$9)</f>
        <v>19.9146</v>
      </c>
      <c r="F507" s="10">
        <f>CHOOSE(CONTROL!$C$42, 19.8031, 19.8031)*CHOOSE(CONTROL!$C$21, $C$9, 100%, $E$9)</f>
        <v>19.803100000000001</v>
      </c>
      <c r="G507" s="10">
        <f>CHOOSE(CONTROL!$C$42, 19.8203, 19.8203)*CHOOSE(CONTROL!$C$21, $C$9, 100%, $E$9)</f>
        <v>19.8203</v>
      </c>
      <c r="H507" s="10">
        <f>CHOOSE(CONTROL!$C$42, 19.9038, 19.9038) * CHOOSE(CONTROL!$C$21, $C$9, 100%, $E$9)</f>
        <v>19.9038</v>
      </c>
      <c r="I507" s="10">
        <f>CHOOSE(CONTROL!$C$42, 19.7893, 19.7893)* CHOOSE(CONTROL!$C$21, $C$9, 100%, $E$9)</f>
        <v>19.789300000000001</v>
      </c>
      <c r="J507" s="10">
        <f>CHOOSE(CONTROL!$C$42, 19.7961, 19.7961)* CHOOSE(CONTROL!$C$21, $C$9, 100%, $E$9)</f>
        <v>19.796099999999999</v>
      </c>
      <c r="K507" s="54">
        <f>CHOOSE(CONTROL!$C$42, 19.7854, 19.7854) * CHOOSE(CONTROL!$C$21, $C$9, 100%, $E$9)</f>
        <v>19.785399999999999</v>
      </c>
      <c r="L507" s="10">
        <f>CHOOSE(CONTROL!$C$42, 20.4908, 20.4908) * CHOOSE(CONTROL!$C$21, $C$9, 100%, $E$9)</f>
        <v>20.4908</v>
      </c>
      <c r="M507" s="10">
        <f>CHOOSE(CONTROL!$C$42, 19.6102, 19.6102) * CHOOSE(CONTROL!$C$21, $C$9, 100%, $E$9)</f>
        <v>19.610199999999999</v>
      </c>
      <c r="N507" s="10">
        <f>CHOOSE(CONTROL!$C$42, 19.6272, 19.6272) * CHOOSE(CONTROL!$C$21, $C$9, 100%, $E$9)</f>
        <v>19.627199999999998</v>
      </c>
      <c r="O507" s="10">
        <f>CHOOSE(CONTROL!$C$42, 19.7168, 19.7168) * CHOOSE(CONTROL!$C$21, $C$9, 100%, $E$9)</f>
        <v>19.716799999999999</v>
      </c>
      <c r="P507" s="10">
        <f>CHOOSE(CONTROL!$C$42, 19.6034, 19.6034) * CHOOSE(CONTROL!$C$21, $C$9, 100%, $E$9)</f>
        <v>19.603400000000001</v>
      </c>
      <c r="Q507" s="10">
        <f>CHOOSE(CONTROL!$C$42, 20.3121, 20.3121) * CHOOSE(CONTROL!$C$21, $C$9, 100%, $E$9)</f>
        <v>20.312100000000001</v>
      </c>
      <c r="R507" s="10">
        <f>CHOOSE(CONTROL!$C$42, 20.9499, 20.9499) * CHOOSE(CONTROL!$C$21, $C$9, 100%, $E$9)</f>
        <v>20.9499</v>
      </c>
      <c r="S507" s="10">
        <f>CHOOSE(CONTROL!$C$42, 19.2406, 19.2406) * CHOOSE(CONTROL!$C$21, $C$9, 100%, $E$9)</f>
        <v>19.240600000000001</v>
      </c>
      <c r="T507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507" s="58">
        <f>(1000*CHOOSE(CONTROL!$C$42, 695, 695)*CHOOSE(CONTROL!$C$42, 0.5599, 0.5599)*CHOOSE(CONTROL!$C$42, 31, 31))/1000000</f>
        <v>12.063045499999998</v>
      </c>
      <c r="V507" s="58">
        <f>(1000*CHOOSE(CONTROL!$C$42, 500, 500)*CHOOSE(CONTROL!$C$42, 0.275, 0.275)*CHOOSE(CONTROL!$C$42, 31, 31))/1000000</f>
        <v>4.2625000000000002</v>
      </c>
      <c r="W507" s="58">
        <f>(1000*CHOOSE(CONTROL!$C$42, 0.1146, 0.1146)*CHOOSE(CONTROL!$C$42, 121.5, 121.5)*CHOOSE(CONTROL!$C$42, 31, 31))/1000000</f>
        <v>0.43164089999999994</v>
      </c>
      <c r="X507" s="58">
        <f>(31*0.1790888*100000/1000000)+(31*0.2374*100000/1000000)</f>
        <v>1.2911152800000001</v>
      </c>
      <c r="Y507" s="58"/>
      <c r="Z507" s="10"/>
      <c r="AA507" s="57"/>
      <c r="AB507" s="51">
        <f>(B507*122.58+C507*297.941+D507*89.177+E507*40.302+F507*40+G507*160+H507*0+I507*100+J507*300)/(122.58+297.941+89.177+40.302+0+40+160+100+300)</f>
        <v>19.81816699573913</v>
      </c>
      <c r="AC507" s="27">
        <f>(M507*'RAP TEMPLATE-GAS AVAILABILITY'!O506+N507*'RAP TEMPLATE-GAS AVAILABILITY'!P506+O507*'RAP TEMPLATE-GAS AVAILABILITY'!Q506+P507*'RAP TEMPLATE-GAS AVAILABILITY'!R506)/('RAP TEMPLATE-GAS AVAILABILITY'!O506+'RAP TEMPLATE-GAS AVAILABILITY'!P506+'RAP TEMPLATE-GAS AVAILABILITY'!Q506+'RAP TEMPLATE-GAS AVAILABILITY'!R506)</f>
        <v>19.658515107913665</v>
      </c>
    </row>
    <row r="508" spans="1:29" ht="15.75" x14ac:dyDescent="0.25">
      <c r="A508" s="14">
        <v>56369</v>
      </c>
      <c r="B508" s="10">
        <f>CHOOSE(CONTROL!$C$42, 19.7572, 19.7572) * CHOOSE(CONTROL!$C$21, $C$9, 100%, $E$9)</f>
        <v>19.757200000000001</v>
      </c>
      <c r="C508" s="10">
        <f>CHOOSE(CONTROL!$C$42, 19.7616, 19.7616) * CHOOSE(CONTROL!$C$21, $C$9, 100%, $E$9)</f>
        <v>19.761600000000001</v>
      </c>
      <c r="D508" s="10">
        <f>CHOOSE(CONTROL!$C$42, 19.9572, 19.9572) * CHOOSE(CONTROL!$C$21, $C$9, 100%, $E$9)</f>
        <v>19.9572</v>
      </c>
      <c r="E508" s="10">
        <f>CHOOSE(CONTROL!$C$42, 19.989, 19.989) * CHOOSE(CONTROL!$C$21, $C$9, 100%, $E$9)</f>
        <v>19.989000000000001</v>
      </c>
      <c r="F508" s="10">
        <f>CHOOSE(CONTROL!$C$42, 19.725, 19.725)*CHOOSE(CONTROL!$C$21, $C$9, 100%, $E$9)</f>
        <v>19.725000000000001</v>
      </c>
      <c r="G508" s="10">
        <f>CHOOSE(CONTROL!$C$42, 19.7418, 19.7418)*CHOOSE(CONTROL!$C$21, $C$9, 100%, $E$9)</f>
        <v>19.741800000000001</v>
      </c>
      <c r="H508" s="10">
        <f>CHOOSE(CONTROL!$C$42, 19.9788, 19.9788) * CHOOSE(CONTROL!$C$21, $C$9, 100%, $E$9)</f>
        <v>19.9788</v>
      </c>
      <c r="I508" s="10">
        <f>CHOOSE(CONTROL!$C$42, 19.7252, 19.7252)* CHOOSE(CONTROL!$C$21, $C$9, 100%, $E$9)</f>
        <v>19.725200000000001</v>
      </c>
      <c r="J508" s="10">
        <f>CHOOSE(CONTROL!$C$42, 19.718, 19.718)* CHOOSE(CONTROL!$C$21, $C$9, 100%, $E$9)</f>
        <v>19.718</v>
      </c>
      <c r="K508" s="54">
        <f>CHOOSE(CONTROL!$C$42, 19.7213, 19.7213) * CHOOSE(CONTROL!$C$21, $C$9, 100%, $E$9)</f>
        <v>19.721299999999999</v>
      </c>
      <c r="L508" s="10">
        <f>CHOOSE(CONTROL!$C$42, 20.5658, 20.5658) * CHOOSE(CONTROL!$C$21, $C$9, 100%, $E$9)</f>
        <v>20.565799999999999</v>
      </c>
      <c r="M508" s="10">
        <f>CHOOSE(CONTROL!$C$42, 19.5329, 19.5329) * CHOOSE(CONTROL!$C$21, $C$9, 100%, $E$9)</f>
        <v>19.532900000000001</v>
      </c>
      <c r="N508" s="10">
        <f>CHOOSE(CONTROL!$C$42, 19.5495, 19.5495) * CHOOSE(CONTROL!$C$21, $C$9, 100%, $E$9)</f>
        <v>19.549499999999998</v>
      </c>
      <c r="O508" s="10">
        <f>CHOOSE(CONTROL!$C$42, 19.791, 19.791) * CHOOSE(CONTROL!$C$21, $C$9, 100%, $E$9)</f>
        <v>19.791</v>
      </c>
      <c r="P508" s="10">
        <f>CHOOSE(CONTROL!$C$42, 19.54, 19.54) * CHOOSE(CONTROL!$C$21, $C$9, 100%, $E$9)</f>
        <v>19.54</v>
      </c>
      <c r="Q508" s="10">
        <f>CHOOSE(CONTROL!$C$42, 20.3863, 20.3863) * CHOOSE(CONTROL!$C$21, $C$9, 100%, $E$9)</f>
        <v>20.386299999999999</v>
      </c>
      <c r="R508" s="10">
        <f>CHOOSE(CONTROL!$C$42, 21.0242, 21.0242) * CHOOSE(CONTROL!$C$21, $C$9, 100%, $E$9)</f>
        <v>21.0242</v>
      </c>
      <c r="S508" s="10">
        <f>CHOOSE(CONTROL!$C$42, 19.1834, 19.1834) * CHOOSE(CONTROL!$C$21, $C$9, 100%, $E$9)</f>
        <v>19.183399999999999</v>
      </c>
      <c r="T508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508" s="58">
        <f>(1000*CHOOSE(CONTROL!$C$42, 695, 695)*CHOOSE(CONTROL!$C$42, 0.5599, 0.5599)*CHOOSE(CONTROL!$C$42, 30, 30))/1000000</f>
        <v>11.673914999999997</v>
      </c>
      <c r="V508" s="58">
        <f>(1000*CHOOSE(CONTROL!$C$42, 500, 500)*CHOOSE(CONTROL!$C$42, 0.275, 0.275)*CHOOSE(CONTROL!$C$42, 30, 30))/1000000</f>
        <v>4.125</v>
      </c>
      <c r="W508" s="58">
        <f>(1000*CHOOSE(CONTROL!$C$42, 0.1146, 0.1146)*CHOOSE(CONTROL!$C$42, 121.5, 121.5)*CHOOSE(CONTROL!$C$42, 30, 30))/1000000</f>
        <v>0.417717</v>
      </c>
      <c r="X508" s="58">
        <f>(30*0.1790888*245000/1000000)+(30*0.2374*100000/1000000)</f>
        <v>2.0285026799999999</v>
      </c>
      <c r="Y508" s="58"/>
      <c r="Z508" s="10"/>
      <c r="AA508" s="57"/>
      <c r="AB508" s="51">
        <f>(B508*141.293+C508*267.993+D508*115.016+E508*89.698+F508*40+G508*185+H508*0+I508*100+J508*300)/(141.293+267.993+115.016+89.698+0+40+185+100+300)</f>
        <v>19.778085686521386</v>
      </c>
      <c r="AC508" s="27">
        <f>(M508*'RAP TEMPLATE-GAS AVAILABILITY'!O507+N508*'RAP TEMPLATE-GAS AVAILABILITY'!P507+O508*'RAP TEMPLATE-GAS AVAILABILITY'!Q507+P508*'RAP TEMPLATE-GAS AVAILABILITY'!R507)/('RAP TEMPLATE-GAS AVAILABILITY'!O507+'RAP TEMPLATE-GAS AVAILABILITY'!P507+'RAP TEMPLATE-GAS AVAILABILITY'!Q507+'RAP TEMPLATE-GAS AVAILABILITY'!R507)</f>
        <v>19.610159712230217</v>
      </c>
    </row>
    <row r="509" spans="1:29" ht="15.75" x14ac:dyDescent="0.25">
      <c r="A509" s="14">
        <v>56400</v>
      </c>
      <c r="B509" s="10">
        <f>CHOOSE(CONTROL!$C$42, 19.933, 19.933) * CHOOSE(CONTROL!$C$21, $C$9, 100%, $E$9)</f>
        <v>19.933</v>
      </c>
      <c r="C509" s="10">
        <f>CHOOSE(CONTROL!$C$42, 19.9409, 19.9409) * CHOOSE(CONTROL!$C$21, $C$9, 100%, $E$9)</f>
        <v>19.940899999999999</v>
      </c>
      <c r="D509" s="10">
        <f>CHOOSE(CONTROL!$C$42, 20.1333, 20.1333) * CHOOSE(CONTROL!$C$21, $C$9, 100%, $E$9)</f>
        <v>20.133299999999998</v>
      </c>
      <c r="E509" s="10">
        <f>CHOOSE(CONTROL!$C$42, 20.1645, 20.1645) * CHOOSE(CONTROL!$C$21, $C$9, 100%, $E$9)</f>
        <v>20.1645</v>
      </c>
      <c r="F509" s="10">
        <f>CHOOSE(CONTROL!$C$42, 19.8992, 19.8992)*CHOOSE(CONTROL!$C$21, $C$9, 100%, $E$9)</f>
        <v>19.8992</v>
      </c>
      <c r="G509" s="10">
        <f>CHOOSE(CONTROL!$C$42, 19.9164, 19.9164)*CHOOSE(CONTROL!$C$21, $C$9, 100%, $E$9)</f>
        <v>19.916399999999999</v>
      </c>
      <c r="H509" s="10">
        <f>CHOOSE(CONTROL!$C$42, 20.1531, 20.1531) * CHOOSE(CONTROL!$C$21, $C$9, 100%, $E$9)</f>
        <v>20.153099999999998</v>
      </c>
      <c r="I509" s="10">
        <f>CHOOSE(CONTROL!$C$42, 19.8996, 19.8996)* CHOOSE(CONTROL!$C$21, $C$9, 100%, $E$9)</f>
        <v>19.8996</v>
      </c>
      <c r="J509" s="10">
        <f>CHOOSE(CONTROL!$C$42, 19.8922, 19.8922)* CHOOSE(CONTROL!$C$21, $C$9, 100%, $E$9)</f>
        <v>19.892199999999999</v>
      </c>
      <c r="K509" s="54">
        <f>CHOOSE(CONTROL!$C$42, 19.8957, 19.8957) * CHOOSE(CONTROL!$C$21, $C$9, 100%, $E$9)</f>
        <v>19.895700000000001</v>
      </c>
      <c r="L509" s="10">
        <f>CHOOSE(CONTROL!$C$42, 20.7401, 20.7401) * CHOOSE(CONTROL!$C$21, $C$9, 100%, $E$9)</f>
        <v>20.740100000000002</v>
      </c>
      <c r="M509" s="10">
        <f>CHOOSE(CONTROL!$C$42, 19.7053, 19.7053) * CHOOSE(CONTROL!$C$21, $C$9, 100%, $E$9)</f>
        <v>19.705300000000001</v>
      </c>
      <c r="N509" s="10">
        <f>CHOOSE(CONTROL!$C$42, 19.7223, 19.7223) * CHOOSE(CONTROL!$C$21, $C$9, 100%, $E$9)</f>
        <v>19.722300000000001</v>
      </c>
      <c r="O509" s="10">
        <f>CHOOSE(CONTROL!$C$42, 19.9635, 19.9635) * CHOOSE(CONTROL!$C$21, $C$9, 100%, $E$9)</f>
        <v>19.9635</v>
      </c>
      <c r="P509" s="10">
        <f>CHOOSE(CONTROL!$C$42, 19.7126, 19.7126) * CHOOSE(CONTROL!$C$21, $C$9, 100%, $E$9)</f>
        <v>19.712599999999998</v>
      </c>
      <c r="Q509" s="10">
        <f>CHOOSE(CONTROL!$C$42, 20.5588, 20.5588) * CHOOSE(CONTROL!$C$21, $C$9, 100%, $E$9)</f>
        <v>20.558800000000002</v>
      </c>
      <c r="R509" s="10">
        <f>CHOOSE(CONTROL!$C$42, 21.1972, 21.1972) * CHOOSE(CONTROL!$C$21, $C$9, 100%, $E$9)</f>
        <v>21.197199999999999</v>
      </c>
      <c r="S509" s="10">
        <f>CHOOSE(CONTROL!$C$42, 19.3527, 19.3527) * CHOOSE(CONTROL!$C$21, $C$9, 100%, $E$9)</f>
        <v>19.352699999999999</v>
      </c>
      <c r="T509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509" s="58">
        <f>(1000*CHOOSE(CONTROL!$C$42, 695, 695)*CHOOSE(CONTROL!$C$42, 0.5599, 0.5599)*CHOOSE(CONTROL!$C$42, 31, 31))/1000000</f>
        <v>12.063045499999998</v>
      </c>
      <c r="V509" s="58">
        <f>(1000*CHOOSE(CONTROL!$C$42, 500, 500)*CHOOSE(CONTROL!$C$42, 0.275, 0.275)*CHOOSE(CONTROL!$C$42, 31, 31))/1000000</f>
        <v>4.2625000000000002</v>
      </c>
      <c r="W509" s="58">
        <f>(1000*CHOOSE(CONTROL!$C$42, 0.1146, 0.1146)*CHOOSE(CONTROL!$C$42, 121.5, 121.5)*CHOOSE(CONTROL!$C$42, 31, 31))/1000000</f>
        <v>0.43164089999999994</v>
      </c>
      <c r="X509" s="58">
        <f>(31*0.1790888*245000/1000000)+(31*0.2374*100000/1000000)</f>
        <v>2.0961194359999999</v>
      </c>
      <c r="Y509" s="58"/>
      <c r="Z509" s="10"/>
      <c r="AA509" s="57"/>
      <c r="AB509" s="51">
        <f>(B509*194.205+C509*267.466+D509*133.845+E509*53.484+F509*40+G509*185+H509*0+I509*100+J509*300)/(194.205+267.466+133.845+53.484+0+40+185+100+300)</f>
        <v>19.949719529748823</v>
      </c>
      <c r="AC509" s="27">
        <f>(M509*'RAP TEMPLATE-GAS AVAILABILITY'!O508+N509*'RAP TEMPLATE-GAS AVAILABILITY'!P508+O509*'RAP TEMPLATE-GAS AVAILABILITY'!Q508+P509*'RAP TEMPLATE-GAS AVAILABILITY'!R508)/('RAP TEMPLATE-GAS AVAILABILITY'!O508+'RAP TEMPLATE-GAS AVAILABILITY'!P508+'RAP TEMPLATE-GAS AVAILABILITY'!Q508+'RAP TEMPLATE-GAS AVAILABILITY'!R508)</f>
        <v>19.782708633093524</v>
      </c>
    </row>
    <row r="510" spans="1:29" ht="15.75" x14ac:dyDescent="0.25">
      <c r="A510" s="14">
        <v>56430</v>
      </c>
      <c r="B510" s="10">
        <f>CHOOSE(CONTROL!$C$42, 20.4983, 20.4983) * CHOOSE(CONTROL!$C$21, $C$9, 100%, $E$9)</f>
        <v>20.4983</v>
      </c>
      <c r="C510" s="10">
        <f>CHOOSE(CONTROL!$C$42, 20.5062, 20.5062) * CHOOSE(CONTROL!$C$21, $C$9, 100%, $E$9)</f>
        <v>20.5062</v>
      </c>
      <c r="D510" s="10">
        <f>CHOOSE(CONTROL!$C$42, 20.6986, 20.6986) * CHOOSE(CONTROL!$C$21, $C$9, 100%, $E$9)</f>
        <v>20.698599999999999</v>
      </c>
      <c r="E510" s="10">
        <f>CHOOSE(CONTROL!$C$42, 20.7297, 20.7297) * CHOOSE(CONTROL!$C$21, $C$9, 100%, $E$9)</f>
        <v>20.729700000000001</v>
      </c>
      <c r="F510" s="10">
        <f>CHOOSE(CONTROL!$C$42, 20.4647, 20.4647)*CHOOSE(CONTROL!$C$21, $C$9, 100%, $E$9)</f>
        <v>20.464700000000001</v>
      </c>
      <c r="G510" s="10">
        <f>CHOOSE(CONTROL!$C$42, 20.4819, 20.4819)*CHOOSE(CONTROL!$C$21, $C$9, 100%, $E$9)</f>
        <v>20.4819</v>
      </c>
      <c r="H510" s="10">
        <f>CHOOSE(CONTROL!$C$42, 20.7184, 20.7184) * CHOOSE(CONTROL!$C$21, $C$9, 100%, $E$9)</f>
        <v>20.718399999999999</v>
      </c>
      <c r="I510" s="10">
        <f>CHOOSE(CONTROL!$C$42, 20.4648, 20.4648)* CHOOSE(CONTROL!$C$21, $C$9, 100%, $E$9)</f>
        <v>20.4648</v>
      </c>
      <c r="J510" s="10">
        <f>CHOOSE(CONTROL!$C$42, 20.4577, 20.4577)* CHOOSE(CONTROL!$C$21, $C$9, 100%, $E$9)</f>
        <v>20.457699999999999</v>
      </c>
      <c r="K510" s="54">
        <f>CHOOSE(CONTROL!$C$42, 20.4609, 20.4609) * CHOOSE(CONTROL!$C$21, $C$9, 100%, $E$9)</f>
        <v>20.460899999999999</v>
      </c>
      <c r="L510" s="10">
        <f>CHOOSE(CONTROL!$C$42, 21.3054, 21.3054) * CHOOSE(CONTROL!$C$21, $C$9, 100%, $E$9)</f>
        <v>21.305399999999999</v>
      </c>
      <c r="M510" s="10">
        <f>CHOOSE(CONTROL!$C$42, 20.2651, 20.2651) * CHOOSE(CONTROL!$C$21, $C$9, 100%, $E$9)</f>
        <v>20.2651</v>
      </c>
      <c r="N510" s="10">
        <f>CHOOSE(CONTROL!$C$42, 20.2821, 20.2821) * CHOOSE(CONTROL!$C$21, $C$9, 100%, $E$9)</f>
        <v>20.2821</v>
      </c>
      <c r="O510" s="10">
        <f>CHOOSE(CONTROL!$C$42, 20.5231, 20.5231) * CHOOSE(CONTROL!$C$21, $C$9, 100%, $E$9)</f>
        <v>20.523099999999999</v>
      </c>
      <c r="P510" s="10">
        <f>CHOOSE(CONTROL!$C$42, 20.2722, 20.2722) * CHOOSE(CONTROL!$C$21, $C$9, 100%, $E$9)</f>
        <v>20.272200000000002</v>
      </c>
      <c r="Q510" s="10">
        <f>CHOOSE(CONTROL!$C$42, 21.1184, 21.1184) * CHOOSE(CONTROL!$C$21, $C$9, 100%, $E$9)</f>
        <v>21.118400000000001</v>
      </c>
      <c r="R510" s="10">
        <f>CHOOSE(CONTROL!$C$42, 21.7582, 21.7582) * CHOOSE(CONTROL!$C$21, $C$9, 100%, $E$9)</f>
        <v>21.758199999999999</v>
      </c>
      <c r="S510" s="10">
        <f>CHOOSE(CONTROL!$C$42, 19.9016, 19.9016) * CHOOSE(CONTROL!$C$21, $C$9, 100%, $E$9)</f>
        <v>19.901599999999998</v>
      </c>
      <c r="T510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510" s="58">
        <f>(1000*CHOOSE(CONTROL!$C$42, 695, 695)*CHOOSE(CONTROL!$C$42, 0.5599, 0.5599)*CHOOSE(CONTROL!$C$42, 30, 30))/1000000</f>
        <v>11.673914999999997</v>
      </c>
      <c r="V510" s="58">
        <f>(1000*CHOOSE(CONTROL!$C$42, 500, 500)*CHOOSE(CONTROL!$C$42, 0.275, 0.275)*CHOOSE(CONTROL!$C$42, 30, 30))/1000000</f>
        <v>4.125</v>
      </c>
      <c r="W510" s="58">
        <f>(1000*CHOOSE(CONTROL!$C$42, 0.1146, 0.1146)*CHOOSE(CONTROL!$C$42, 121.5, 121.5)*CHOOSE(CONTROL!$C$42, 30, 30))/1000000</f>
        <v>0.417717</v>
      </c>
      <c r="X510" s="58">
        <f>(30*0.1790888*245000/1000000)+(30*0.2374*100000/1000000)</f>
        <v>2.0285026799999999</v>
      </c>
      <c r="Y510" s="58"/>
      <c r="Z510" s="10"/>
      <c r="AA510" s="57"/>
      <c r="AB510" s="51">
        <f>(B510*194.205+C510*267.466+D510*133.845+E510*53.484+F510*40+G510*185+H510*0+I510*100+J510*300)/(194.205+267.466+133.845+53.484+0+40+185+100+300)</f>
        <v>20.515089899921506</v>
      </c>
      <c r="AC510" s="27">
        <f>(M510*'RAP TEMPLATE-GAS AVAILABILITY'!O509+N510*'RAP TEMPLATE-GAS AVAILABILITY'!P509+O510*'RAP TEMPLATE-GAS AVAILABILITY'!Q509+P510*'RAP TEMPLATE-GAS AVAILABILITY'!R509)/('RAP TEMPLATE-GAS AVAILABILITY'!O509+'RAP TEMPLATE-GAS AVAILABILITY'!P509+'RAP TEMPLATE-GAS AVAILABILITY'!Q509+'RAP TEMPLATE-GAS AVAILABILITY'!R509)</f>
        <v>20.342423741007199</v>
      </c>
    </row>
    <row r="511" spans="1:29" ht="15.75" x14ac:dyDescent="0.25">
      <c r="A511" s="14">
        <v>56461</v>
      </c>
      <c r="B511" s="10">
        <f>CHOOSE(CONTROL!$C$42, 20.1051, 20.1051) * CHOOSE(CONTROL!$C$21, $C$9, 100%, $E$9)</f>
        <v>20.1051</v>
      </c>
      <c r="C511" s="10">
        <f>CHOOSE(CONTROL!$C$42, 20.113, 20.113) * CHOOSE(CONTROL!$C$21, $C$9, 100%, $E$9)</f>
        <v>20.113</v>
      </c>
      <c r="D511" s="10">
        <f>CHOOSE(CONTROL!$C$42, 20.3055, 20.3055) * CHOOSE(CONTROL!$C$21, $C$9, 100%, $E$9)</f>
        <v>20.305499999999999</v>
      </c>
      <c r="E511" s="10">
        <f>CHOOSE(CONTROL!$C$42, 20.3366, 20.3366) * CHOOSE(CONTROL!$C$21, $C$9, 100%, $E$9)</f>
        <v>20.336600000000001</v>
      </c>
      <c r="F511" s="10">
        <f>CHOOSE(CONTROL!$C$42, 20.072, 20.072)*CHOOSE(CONTROL!$C$21, $C$9, 100%, $E$9)</f>
        <v>20.071999999999999</v>
      </c>
      <c r="G511" s="10">
        <f>CHOOSE(CONTROL!$C$42, 20.0893, 20.0893)*CHOOSE(CONTROL!$C$21, $C$9, 100%, $E$9)</f>
        <v>20.089300000000001</v>
      </c>
      <c r="H511" s="10">
        <f>CHOOSE(CONTROL!$C$42, 20.3252, 20.3252) * CHOOSE(CONTROL!$C$21, $C$9, 100%, $E$9)</f>
        <v>20.325199999999999</v>
      </c>
      <c r="I511" s="10">
        <f>CHOOSE(CONTROL!$C$42, 20.0717, 20.0717)* CHOOSE(CONTROL!$C$21, $C$9, 100%, $E$9)</f>
        <v>20.0717</v>
      </c>
      <c r="J511" s="10">
        <f>CHOOSE(CONTROL!$C$42, 20.065, 20.065)* CHOOSE(CONTROL!$C$21, $C$9, 100%, $E$9)</f>
        <v>20.065000000000001</v>
      </c>
      <c r="K511" s="54">
        <f>CHOOSE(CONTROL!$C$42, 20.0678, 20.0678) * CHOOSE(CONTROL!$C$21, $C$9, 100%, $E$9)</f>
        <v>20.067799999999998</v>
      </c>
      <c r="L511" s="10">
        <f>CHOOSE(CONTROL!$C$42, 20.9122, 20.9122) * CHOOSE(CONTROL!$C$21, $C$9, 100%, $E$9)</f>
        <v>20.912199999999999</v>
      </c>
      <c r="M511" s="10">
        <f>CHOOSE(CONTROL!$C$42, 19.8763, 19.8763) * CHOOSE(CONTROL!$C$21, $C$9, 100%, $E$9)</f>
        <v>19.876300000000001</v>
      </c>
      <c r="N511" s="10">
        <f>CHOOSE(CONTROL!$C$42, 19.8934, 19.8934) * CHOOSE(CONTROL!$C$21, $C$9, 100%, $E$9)</f>
        <v>19.8934</v>
      </c>
      <c r="O511" s="10">
        <f>CHOOSE(CONTROL!$C$42, 20.1339, 20.1339) * CHOOSE(CONTROL!$C$21, $C$9, 100%, $E$9)</f>
        <v>20.133900000000001</v>
      </c>
      <c r="P511" s="10">
        <f>CHOOSE(CONTROL!$C$42, 19.883, 19.883) * CHOOSE(CONTROL!$C$21, $C$9, 100%, $E$9)</f>
        <v>19.882999999999999</v>
      </c>
      <c r="Q511" s="10">
        <f>CHOOSE(CONTROL!$C$42, 20.7292, 20.7292) * CHOOSE(CONTROL!$C$21, $C$9, 100%, $E$9)</f>
        <v>20.729199999999999</v>
      </c>
      <c r="R511" s="10">
        <f>CHOOSE(CONTROL!$C$42, 21.3681, 21.3681) * CHOOSE(CONTROL!$C$21, $C$9, 100%, $E$9)</f>
        <v>21.368099999999998</v>
      </c>
      <c r="S511" s="10">
        <f>CHOOSE(CONTROL!$C$42, 19.5198, 19.5198) * CHOOSE(CONTROL!$C$21, $C$9, 100%, $E$9)</f>
        <v>19.5198</v>
      </c>
      <c r="T511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511" s="58">
        <f>(1000*CHOOSE(CONTROL!$C$42, 695, 695)*CHOOSE(CONTROL!$C$42, 0.5599, 0.5599)*CHOOSE(CONTROL!$C$42, 31, 31))/1000000</f>
        <v>12.063045499999998</v>
      </c>
      <c r="V511" s="58">
        <f>(1000*CHOOSE(CONTROL!$C$42, 500, 500)*CHOOSE(CONTROL!$C$42, 0.275, 0.275)*CHOOSE(CONTROL!$C$42, 31, 31))/1000000</f>
        <v>4.2625000000000002</v>
      </c>
      <c r="W511" s="58">
        <f>(1000*CHOOSE(CONTROL!$C$42, 0.1146, 0.1146)*CHOOSE(CONTROL!$C$42, 121.5, 121.5)*CHOOSE(CONTROL!$C$42, 31, 31))/1000000</f>
        <v>0.43164089999999994</v>
      </c>
      <c r="X511" s="58">
        <f>(31*0.1790888*245000/1000000)+(31*0.2374*100000/1000000)</f>
        <v>2.0961194359999999</v>
      </c>
      <c r="Y511" s="58"/>
      <c r="Z511" s="10"/>
      <c r="AA511" s="57"/>
      <c r="AB511" s="51">
        <f>(B511*194.205+C511*267.466+D511*133.845+E511*53.484+F511*40+G511*185+H511*0+I511*100+J511*300)/(194.205+267.466+133.845+53.484+0+40+185+100+300)</f>
        <v>20.12213301836735</v>
      </c>
      <c r="AC511" s="27">
        <f>(M511*'RAP TEMPLATE-GAS AVAILABILITY'!O510+N511*'RAP TEMPLATE-GAS AVAILABILITY'!P510+O511*'RAP TEMPLATE-GAS AVAILABILITY'!Q510+P511*'RAP TEMPLATE-GAS AVAILABILITY'!R510)/('RAP TEMPLATE-GAS AVAILABILITY'!O510+'RAP TEMPLATE-GAS AVAILABILITY'!P510+'RAP TEMPLATE-GAS AVAILABILITY'!Q510+'RAP TEMPLATE-GAS AVAILABILITY'!R510)</f>
        <v>19.953476978417264</v>
      </c>
    </row>
    <row r="512" spans="1:29" ht="15.75" x14ac:dyDescent="0.25">
      <c r="A512" s="14">
        <v>56492</v>
      </c>
      <c r="B512" s="10">
        <f>CHOOSE(CONTROL!$C$42, 19.1123, 19.1123) * CHOOSE(CONTROL!$C$21, $C$9, 100%, $E$9)</f>
        <v>19.112300000000001</v>
      </c>
      <c r="C512" s="10">
        <f>CHOOSE(CONTROL!$C$42, 19.1202, 19.1202) * CHOOSE(CONTROL!$C$21, $C$9, 100%, $E$9)</f>
        <v>19.120200000000001</v>
      </c>
      <c r="D512" s="10">
        <f>CHOOSE(CONTROL!$C$42, 19.3126, 19.3126) * CHOOSE(CONTROL!$C$21, $C$9, 100%, $E$9)</f>
        <v>19.3126</v>
      </c>
      <c r="E512" s="10">
        <f>CHOOSE(CONTROL!$C$42, 19.3438, 19.3438) * CHOOSE(CONTROL!$C$21, $C$9, 100%, $E$9)</f>
        <v>19.343800000000002</v>
      </c>
      <c r="F512" s="10">
        <f>CHOOSE(CONTROL!$C$42, 19.0793, 19.0793)*CHOOSE(CONTROL!$C$21, $C$9, 100%, $E$9)</f>
        <v>19.0793</v>
      </c>
      <c r="G512" s="10">
        <f>CHOOSE(CONTROL!$C$42, 19.0967, 19.0967)*CHOOSE(CONTROL!$C$21, $C$9, 100%, $E$9)</f>
        <v>19.096699999999998</v>
      </c>
      <c r="H512" s="10">
        <f>CHOOSE(CONTROL!$C$42, 19.3324, 19.3324) * CHOOSE(CONTROL!$C$21, $C$9, 100%, $E$9)</f>
        <v>19.3324</v>
      </c>
      <c r="I512" s="10">
        <f>CHOOSE(CONTROL!$C$42, 19.0788, 19.0788)* CHOOSE(CONTROL!$C$21, $C$9, 100%, $E$9)</f>
        <v>19.078800000000001</v>
      </c>
      <c r="J512" s="10">
        <f>CHOOSE(CONTROL!$C$42, 19.0723, 19.0723)* CHOOSE(CONTROL!$C$21, $C$9, 100%, $E$9)</f>
        <v>19.072299999999998</v>
      </c>
      <c r="K512" s="54">
        <f>CHOOSE(CONTROL!$C$42, 19.075, 19.075) * CHOOSE(CONTROL!$C$21, $C$9, 100%, $E$9)</f>
        <v>19.074999999999999</v>
      </c>
      <c r="L512" s="10">
        <f>CHOOSE(CONTROL!$C$42, 19.9194, 19.9194) * CHOOSE(CONTROL!$C$21, $C$9, 100%, $E$9)</f>
        <v>19.9194</v>
      </c>
      <c r="M512" s="10">
        <f>CHOOSE(CONTROL!$C$42, 18.8937, 18.8937) * CHOOSE(CONTROL!$C$21, $C$9, 100%, $E$9)</f>
        <v>18.893699999999999</v>
      </c>
      <c r="N512" s="10">
        <f>CHOOSE(CONTROL!$C$42, 18.9109, 18.9109) * CHOOSE(CONTROL!$C$21, $C$9, 100%, $E$9)</f>
        <v>18.910900000000002</v>
      </c>
      <c r="O512" s="10">
        <f>CHOOSE(CONTROL!$C$42, 19.1511, 19.1511) * CHOOSE(CONTROL!$C$21, $C$9, 100%, $E$9)</f>
        <v>19.1511</v>
      </c>
      <c r="P512" s="10">
        <f>CHOOSE(CONTROL!$C$42, 18.9002, 18.9002) * CHOOSE(CONTROL!$C$21, $C$9, 100%, $E$9)</f>
        <v>18.900200000000002</v>
      </c>
      <c r="Q512" s="10">
        <f>CHOOSE(CONTROL!$C$42, 19.7464, 19.7464) * CHOOSE(CONTROL!$C$21, $C$9, 100%, $E$9)</f>
        <v>19.746400000000001</v>
      </c>
      <c r="R512" s="10">
        <f>CHOOSE(CONTROL!$C$42, 20.3828, 20.3828) * CHOOSE(CONTROL!$C$21, $C$9, 100%, $E$9)</f>
        <v>20.3828</v>
      </c>
      <c r="S512" s="10">
        <f>CHOOSE(CONTROL!$C$42, 18.5557, 18.5557) * CHOOSE(CONTROL!$C$21, $C$9, 100%, $E$9)</f>
        <v>18.555700000000002</v>
      </c>
      <c r="T512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512" s="58">
        <f>(1000*CHOOSE(CONTROL!$C$42, 695, 695)*CHOOSE(CONTROL!$C$42, 0.5599, 0.5599)*CHOOSE(CONTROL!$C$42, 31, 31))/1000000</f>
        <v>12.063045499999998</v>
      </c>
      <c r="V512" s="58">
        <f>(1000*CHOOSE(CONTROL!$C$42, 500, 500)*CHOOSE(CONTROL!$C$42, 0.275, 0.275)*CHOOSE(CONTROL!$C$42, 31, 31))/1000000</f>
        <v>4.2625000000000002</v>
      </c>
      <c r="W512" s="58">
        <f>(1000*CHOOSE(CONTROL!$C$42, 0.1146, 0.1146)*CHOOSE(CONTROL!$C$42, 121.5, 121.5)*CHOOSE(CONTROL!$C$42, 31, 31))/1000000</f>
        <v>0.43164089999999994</v>
      </c>
      <c r="X512" s="58">
        <f>(31*0.1790888*245000/1000000)+(31*0.2374*100000/1000000)</f>
        <v>2.0961194359999999</v>
      </c>
      <c r="Y512" s="58"/>
      <c r="Z512" s="10"/>
      <c r="AA512" s="57"/>
      <c r="AB512" s="51">
        <f>(B512*194.205+C512*267.466+D512*133.845+E512*53.484+F512*40+G512*185+H512*0+I512*100+J512*300)/(194.205+267.466+133.845+53.484+0+40+185+100+300)</f>
        <v>19.129370393171115</v>
      </c>
      <c r="AC512" s="27">
        <f>(M512*'RAP TEMPLATE-GAS AVAILABILITY'!O511+N512*'RAP TEMPLATE-GAS AVAILABILITY'!P511+O512*'RAP TEMPLATE-GAS AVAILABILITY'!Q511+P512*'RAP TEMPLATE-GAS AVAILABILITY'!R511)/('RAP TEMPLATE-GAS AVAILABILITY'!O511+'RAP TEMPLATE-GAS AVAILABILITY'!P511+'RAP TEMPLATE-GAS AVAILABILITY'!Q511+'RAP TEMPLATE-GAS AVAILABILITY'!R511)</f>
        <v>18.970815107913669</v>
      </c>
    </row>
    <row r="513" spans="1:29" ht="15.75" x14ac:dyDescent="0.25">
      <c r="A513" s="14">
        <v>56522</v>
      </c>
      <c r="B513" s="10">
        <f>CHOOSE(CONTROL!$C$42, 17.8988, 17.8988) * CHOOSE(CONTROL!$C$21, $C$9, 100%, $E$9)</f>
        <v>17.898800000000001</v>
      </c>
      <c r="C513" s="10">
        <f>CHOOSE(CONTROL!$C$42, 17.9068, 17.9068) * CHOOSE(CONTROL!$C$21, $C$9, 100%, $E$9)</f>
        <v>17.9068</v>
      </c>
      <c r="D513" s="10">
        <f>CHOOSE(CONTROL!$C$42, 18.0992, 18.0992) * CHOOSE(CONTROL!$C$21, $C$9, 100%, $E$9)</f>
        <v>18.0992</v>
      </c>
      <c r="E513" s="10">
        <f>CHOOSE(CONTROL!$C$42, 18.1303, 18.1303) * CHOOSE(CONTROL!$C$21, $C$9, 100%, $E$9)</f>
        <v>18.130299999999998</v>
      </c>
      <c r="F513" s="10">
        <f>CHOOSE(CONTROL!$C$42, 17.8657, 17.8657)*CHOOSE(CONTROL!$C$21, $C$9, 100%, $E$9)</f>
        <v>17.8657</v>
      </c>
      <c r="G513" s="10">
        <f>CHOOSE(CONTROL!$C$42, 17.883, 17.883)*CHOOSE(CONTROL!$C$21, $C$9, 100%, $E$9)</f>
        <v>17.882999999999999</v>
      </c>
      <c r="H513" s="10">
        <f>CHOOSE(CONTROL!$C$42, 18.119, 18.119) * CHOOSE(CONTROL!$C$21, $C$9, 100%, $E$9)</f>
        <v>18.119</v>
      </c>
      <c r="I513" s="10">
        <f>CHOOSE(CONTROL!$C$42, 17.8654, 17.8654)* CHOOSE(CONTROL!$C$21, $C$9, 100%, $E$9)</f>
        <v>17.865400000000001</v>
      </c>
      <c r="J513" s="10">
        <f>CHOOSE(CONTROL!$C$42, 17.8587, 17.8587)* CHOOSE(CONTROL!$C$21, $C$9, 100%, $E$9)</f>
        <v>17.858699999999999</v>
      </c>
      <c r="K513" s="54">
        <f>CHOOSE(CONTROL!$C$42, 17.8615, 17.8615) * CHOOSE(CONTROL!$C$21, $C$9, 100%, $E$9)</f>
        <v>17.861499999999999</v>
      </c>
      <c r="L513" s="10">
        <f>CHOOSE(CONTROL!$C$42, 18.706, 18.706) * CHOOSE(CONTROL!$C$21, $C$9, 100%, $E$9)</f>
        <v>18.706</v>
      </c>
      <c r="M513" s="10">
        <f>CHOOSE(CONTROL!$C$42, 17.6923, 17.6923) * CHOOSE(CONTROL!$C$21, $C$9, 100%, $E$9)</f>
        <v>17.692299999999999</v>
      </c>
      <c r="N513" s="10">
        <f>CHOOSE(CONTROL!$C$42, 17.7095, 17.7095) * CHOOSE(CONTROL!$C$21, $C$9, 100%, $E$9)</f>
        <v>17.709499999999998</v>
      </c>
      <c r="O513" s="10">
        <f>CHOOSE(CONTROL!$C$42, 17.9499, 17.9499) * CHOOSE(CONTROL!$C$21, $C$9, 100%, $E$9)</f>
        <v>17.9499</v>
      </c>
      <c r="P513" s="10">
        <f>CHOOSE(CONTROL!$C$42, 17.699, 17.699) * CHOOSE(CONTROL!$C$21, $C$9, 100%, $E$9)</f>
        <v>17.699000000000002</v>
      </c>
      <c r="Q513" s="10">
        <f>CHOOSE(CONTROL!$C$42, 18.5452, 18.5452) * CHOOSE(CONTROL!$C$21, $C$9, 100%, $E$9)</f>
        <v>18.545200000000001</v>
      </c>
      <c r="R513" s="10">
        <f>CHOOSE(CONTROL!$C$42, 19.1786, 19.1786) * CHOOSE(CONTROL!$C$21, $C$9, 100%, $E$9)</f>
        <v>19.178599999999999</v>
      </c>
      <c r="S513" s="10">
        <f>CHOOSE(CONTROL!$C$42, 17.3773, 17.3773) * CHOOSE(CONTROL!$C$21, $C$9, 100%, $E$9)</f>
        <v>17.377300000000002</v>
      </c>
      <c r="T513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513" s="58">
        <f>(1000*CHOOSE(CONTROL!$C$42, 695, 695)*CHOOSE(CONTROL!$C$42, 0.5599, 0.5599)*CHOOSE(CONTROL!$C$42, 30, 30))/1000000</f>
        <v>11.673914999999997</v>
      </c>
      <c r="V513" s="58">
        <f>(1000*CHOOSE(CONTROL!$C$42, 500, 500)*CHOOSE(CONTROL!$C$42, 0.275, 0.275)*CHOOSE(CONTROL!$C$42, 30, 30))/1000000</f>
        <v>4.125</v>
      </c>
      <c r="W513" s="58">
        <f>(1000*CHOOSE(CONTROL!$C$42, 0.1146, 0.1146)*CHOOSE(CONTROL!$C$42, 121.5, 121.5)*CHOOSE(CONTROL!$C$42, 30, 30))/1000000</f>
        <v>0.417717</v>
      </c>
      <c r="X513" s="58">
        <f>(30*0.1790888*245000/1000000)+(30*0.2374*100000/1000000)</f>
        <v>2.0285026799999999</v>
      </c>
      <c r="Y513" s="58"/>
      <c r="Z513" s="10"/>
      <c r="AA513" s="57"/>
      <c r="AB513" s="51">
        <f>(B513*194.205+C513*267.466+D513*133.845+E513*53.484+F513*40+G513*185+H513*0+I513*100+J513*300)/(194.205+267.466+133.845+53.484+0+40+185+100+300)</f>
        <v>17.915854012558871</v>
      </c>
      <c r="AC513" s="27">
        <f>(M513*'RAP TEMPLATE-GAS AVAILABILITY'!O512+N513*'RAP TEMPLATE-GAS AVAILABILITY'!P512+O513*'RAP TEMPLATE-GAS AVAILABILITY'!Q512+P513*'RAP TEMPLATE-GAS AVAILABILITY'!R512)/('RAP TEMPLATE-GAS AVAILABILITY'!O512+'RAP TEMPLATE-GAS AVAILABILITY'!P512+'RAP TEMPLATE-GAS AVAILABILITY'!Q512+'RAP TEMPLATE-GAS AVAILABILITY'!R512)</f>
        <v>17.769500000000001</v>
      </c>
    </row>
    <row r="514" spans="1:29" ht="15.75" x14ac:dyDescent="0.25">
      <c r="A514" s="14">
        <v>56553</v>
      </c>
      <c r="B514" s="10">
        <f>CHOOSE(CONTROL!$C$42, 17.5338, 17.5338) * CHOOSE(CONTROL!$C$21, $C$9, 100%, $E$9)</f>
        <v>17.533799999999999</v>
      </c>
      <c r="C514" s="10">
        <f>CHOOSE(CONTROL!$C$42, 17.539, 17.539) * CHOOSE(CONTROL!$C$21, $C$9, 100%, $E$9)</f>
        <v>17.539000000000001</v>
      </c>
      <c r="D514" s="10">
        <f>CHOOSE(CONTROL!$C$42, 17.7364, 17.7364) * CHOOSE(CONTROL!$C$21, $C$9, 100%, $E$9)</f>
        <v>17.7364</v>
      </c>
      <c r="E514" s="10">
        <f>CHOOSE(CONTROL!$C$42, 17.7652, 17.7652) * CHOOSE(CONTROL!$C$21, $C$9, 100%, $E$9)</f>
        <v>17.7652</v>
      </c>
      <c r="F514" s="10">
        <f>CHOOSE(CONTROL!$C$42, 17.5027, 17.5027)*CHOOSE(CONTROL!$C$21, $C$9, 100%, $E$9)</f>
        <v>17.502700000000001</v>
      </c>
      <c r="G514" s="10">
        <f>CHOOSE(CONTROL!$C$42, 17.5196, 17.5196)*CHOOSE(CONTROL!$C$21, $C$9, 100%, $E$9)</f>
        <v>17.519600000000001</v>
      </c>
      <c r="H514" s="10">
        <f>CHOOSE(CONTROL!$C$42, 17.7556, 17.7556) * CHOOSE(CONTROL!$C$21, $C$9, 100%, $E$9)</f>
        <v>17.755600000000001</v>
      </c>
      <c r="I514" s="10">
        <f>CHOOSE(CONTROL!$C$42, 17.5021, 17.5021)* CHOOSE(CONTROL!$C$21, $C$9, 100%, $E$9)</f>
        <v>17.502099999999999</v>
      </c>
      <c r="J514" s="10">
        <f>CHOOSE(CONTROL!$C$42, 17.4957, 17.4957)* CHOOSE(CONTROL!$C$21, $C$9, 100%, $E$9)</f>
        <v>17.495699999999999</v>
      </c>
      <c r="K514" s="54">
        <f>CHOOSE(CONTROL!$C$42, 17.4982, 17.4982) * CHOOSE(CONTROL!$C$21, $C$9, 100%, $E$9)</f>
        <v>17.498200000000001</v>
      </c>
      <c r="L514" s="10">
        <f>CHOOSE(CONTROL!$C$42, 18.3426, 18.3426) * CHOOSE(CONTROL!$C$21, $C$9, 100%, $E$9)</f>
        <v>18.342600000000001</v>
      </c>
      <c r="M514" s="10">
        <f>CHOOSE(CONTROL!$C$42, 17.3329, 17.3329) * CHOOSE(CONTROL!$C$21, $C$9, 100%, $E$9)</f>
        <v>17.332899999999999</v>
      </c>
      <c r="N514" s="10">
        <f>CHOOSE(CONTROL!$C$42, 17.3497, 17.3497) * CHOOSE(CONTROL!$C$21, $C$9, 100%, $E$9)</f>
        <v>17.349699999999999</v>
      </c>
      <c r="O514" s="10">
        <f>CHOOSE(CONTROL!$C$42, 17.5903, 17.5903) * CHOOSE(CONTROL!$C$21, $C$9, 100%, $E$9)</f>
        <v>17.590299999999999</v>
      </c>
      <c r="P514" s="10">
        <f>CHOOSE(CONTROL!$C$42, 17.3393, 17.3393) * CHOOSE(CONTROL!$C$21, $C$9, 100%, $E$9)</f>
        <v>17.339300000000001</v>
      </c>
      <c r="Q514" s="10">
        <f>CHOOSE(CONTROL!$C$42, 18.1856, 18.1856) * CHOOSE(CONTROL!$C$21, $C$9, 100%, $E$9)</f>
        <v>18.185600000000001</v>
      </c>
      <c r="R514" s="10">
        <f>CHOOSE(CONTROL!$C$42, 18.8181, 18.8181) * CHOOSE(CONTROL!$C$21, $C$9, 100%, $E$9)</f>
        <v>18.818100000000001</v>
      </c>
      <c r="S514" s="10">
        <f>CHOOSE(CONTROL!$C$42, 17.0245, 17.0245) * CHOOSE(CONTROL!$C$21, $C$9, 100%, $E$9)</f>
        <v>17.0245</v>
      </c>
      <c r="T514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514" s="58">
        <f>(1000*CHOOSE(CONTROL!$C$42, 695, 695)*CHOOSE(CONTROL!$C$42, 0.5599, 0.5599)*CHOOSE(CONTROL!$C$42, 31, 31))/1000000</f>
        <v>12.063045499999998</v>
      </c>
      <c r="V514" s="58">
        <f>(1000*CHOOSE(CONTROL!$C$42, 500, 500)*CHOOSE(CONTROL!$C$42, 0.275, 0.275)*CHOOSE(CONTROL!$C$42, 31, 31))/1000000</f>
        <v>4.2625000000000002</v>
      </c>
      <c r="W514" s="58">
        <f>(1000*CHOOSE(CONTROL!$C$42, 0.1146, 0.1146)*CHOOSE(CONTROL!$C$42, 121.5, 121.5)*CHOOSE(CONTROL!$C$42, 31, 31))/1000000</f>
        <v>0.43164089999999994</v>
      </c>
      <c r="X514" s="58">
        <f>(31*0.1790888*245000/1000000)+(31*0.2374*100000/1000000)</f>
        <v>2.0961194359999999</v>
      </c>
      <c r="Y514" s="58"/>
      <c r="Z514" s="10"/>
      <c r="AA514" s="57"/>
      <c r="AB514" s="51">
        <f>(B514*131.881+C514*277.167+D514*79.08+E514*125.872+F514*40+G514*185+H514*0+I514*100+J514*300)/(131.881+277.167+79.08+125.872+0+40+185+100+300)</f>
        <v>17.556494638579501</v>
      </c>
      <c r="AC514" s="27">
        <f>(M514*'RAP TEMPLATE-GAS AVAILABILITY'!O513+N514*'RAP TEMPLATE-GAS AVAILABILITY'!P513+O514*'RAP TEMPLATE-GAS AVAILABILITY'!Q513+P514*'RAP TEMPLATE-GAS AVAILABILITY'!R513)/('RAP TEMPLATE-GAS AVAILABILITY'!O513+'RAP TEMPLATE-GAS AVAILABILITY'!P513+'RAP TEMPLATE-GAS AVAILABILITY'!Q513+'RAP TEMPLATE-GAS AVAILABILITY'!R513)</f>
        <v>17.409908633093526</v>
      </c>
    </row>
    <row r="515" spans="1:29" ht="15.75" x14ac:dyDescent="0.25">
      <c r="A515" s="14">
        <v>56583</v>
      </c>
      <c r="B515" s="10">
        <f>CHOOSE(CONTROL!$C$42, 17.9952, 17.9952) * CHOOSE(CONTROL!$C$21, $C$9, 100%, $E$9)</f>
        <v>17.995200000000001</v>
      </c>
      <c r="C515" s="10">
        <f>CHOOSE(CONTROL!$C$42, 18.0001, 18.0001) * CHOOSE(CONTROL!$C$21, $C$9, 100%, $E$9)</f>
        <v>18.0001</v>
      </c>
      <c r="D515" s="10">
        <f>CHOOSE(CONTROL!$C$42, 18.0297, 18.0297) * CHOOSE(CONTROL!$C$21, $C$9, 100%, $E$9)</f>
        <v>18.029699999999998</v>
      </c>
      <c r="E515" s="10">
        <f>CHOOSE(CONTROL!$C$42, 18.0635, 18.0635) * CHOOSE(CONTROL!$C$21, $C$9, 100%, $E$9)</f>
        <v>18.063500000000001</v>
      </c>
      <c r="F515" s="10">
        <f>CHOOSE(CONTROL!$C$42, 17.962, 17.962)*CHOOSE(CONTROL!$C$21, $C$9, 100%, $E$9)</f>
        <v>17.962</v>
      </c>
      <c r="G515" s="10">
        <f>CHOOSE(CONTROL!$C$42, 17.9791, 17.9791)*CHOOSE(CONTROL!$C$21, $C$9, 100%, $E$9)</f>
        <v>17.979099999999999</v>
      </c>
      <c r="H515" s="10">
        <f>CHOOSE(CONTROL!$C$42, 18.0527, 18.0527) * CHOOSE(CONTROL!$C$21, $C$9, 100%, $E$9)</f>
        <v>18.052700000000002</v>
      </c>
      <c r="I515" s="10">
        <f>CHOOSE(CONTROL!$C$42, 17.9588, 17.9588)* CHOOSE(CONTROL!$C$21, $C$9, 100%, $E$9)</f>
        <v>17.9588</v>
      </c>
      <c r="J515" s="10">
        <f>CHOOSE(CONTROL!$C$42, 17.955, 17.955)* CHOOSE(CONTROL!$C$21, $C$9, 100%, $E$9)</f>
        <v>17.954999999999998</v>
      </c>
      <c r="K515" s="54">
        <f>CHOOSE(CONTROL!$C$42, 17.9549, 17.9549) * CHOOSE(CONTROL!$C$21, $C$9, 100%, $E$9)</f>
        <v>17.954899999999999</v>
      </c>
      <c r="L515" s="10">
        <f>CHOOSE(CONTROL!$C$42, 18.6397, 18.6397) * CHOOSE(CONTROL!$C$21, $C$9, 100%, $E$9)</f>
        <v>18.639700000000001</v>
      </c>
      <c r="M515" s="10">
        <f>CHOOSE(CONTROL!$C$42, 17.7876, 17.7876) * CHOOSE(CONTROL!$C$21, $C$9, 100%, $E$9)</f>
        <v>17.787600000000001</v>
      </c>
      <c r="N515" s="10">
        <f>CHOOSE(CONTROL!$C$42, 17.8046, 17.8046) * CHOOSE(CONTROL!$C$21, $C$9, 100%, $E$9)</f>
        <v>17.804600000000001</v>
      </c>
      <c r="O515" s="10">
        <f>CHOOSE(CONTROL!$C$42, 17.8844, 17.8844) * CHOOSE(CONTROL!$C$21, $C$9, 100%, $E$9)</f>
        <v>17.884399999999999</v>
      </c>
      <c r="P515" s="10">
        <f>CHOOSE(CONTROL!$C$42, 17.7914, 17.7914) * CHOOSE(CONTROL!$C$21, $C$9, 100%, $E$9)</f>
        <v>17.791399999999999</v>
      </c>
      <c r="Q515" s="10">
        <f>CHOOSE(CONTROL!$C$42, 18.4797, 18.4797) * CHOOSE(CONTROL!$C$21, $C$9, 100%, $E$9)</f>
        <v>18.479700000000001</v>
      </c>
      <c r="R515" s="10">
        <f>CHOOSE(CONTROL!$C$42, 19.1129, 19.1129) * CHOOSE(CONTROL!$C$21, $C$9, 100%, $E$9)</f>
        <v>19.1129</v>
      </c>
      <c r="S515" s="10">
        <f>CHOOSE(CONTROL!$C$42, 17.473, 17.473) * CHOOSE(CONTROL!$C$21, $C$9, 100%, $E$9)</f>
        <v>17.472999999999999</v>
      </c>
      <c r="T515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515" s="58">
        <f>(1000*CHOOSE(CONTROL!$C$42, 695, 695)*CHOOSE(CONTROL!$C$42, 0.5599, 0.5599)*CHOOSE(CONTROL!$C$42, 30, 30))/1000000</f>
        <v>11.673914999999997</v>
      </c>
      <c r="V515" s="58">
        <f>(1000*CHOOSE(CONTROL!$C$42, 500, 500)*CHOOSE(CONTROL!$C$42, 0.275, 0.275)*CHOOSE(CONTROL!$C$42, 30, 30))/1000000</f>
        <v>4.125</v>
      </c>
      <c r="W515" s="58">
        <f>(1000*CHOOSE(CONTROL!$C$42, 0.1146, 0.1146)*CHOOSE(CONTROL!$C$42, 121.5, 121.5)*CHOOSE(CONTROL!$C$42, 30, 30))/1000000</f>
        <v>0.417717</v>
      </c>
      <c r="X515" s="58">
        <f>(30*0.1790888*100000/1000000)+(30*0.2374*100000/1000000)</f>
        <v>1.2494664</v>
      </c>
      <c r="Y515" s="58"/>
      <c r="Z515" s="10"/>
      <c r="AA515" s="57"/>
      <c r="AB515" s="51">
        <f>(B515*122.58+C515*297.941+D515*89.177+E515*40.302+F515*40+G515*160+H515*0+I515*100+J515*300)/(122.58+297.941+89.177+40.302+0+40+160+100+300)</f>
        <v>17.984491429565217</v>
      </c>
      <c r="AC515" s="27">
        <f>(M515*'RAP TEMPLATE-GAS AVAILABILITY'!O514+N515*'RAP TEMPLATE-GAS AVAILABILITY'!P514+O515*'RAP TEMPLATE-GAS AVAILABILITY'!Q514+P515*'RAP TEMPLATE-GAS AVAILABILITY'!R514)/('RAP TEMPLATE-GAS AVAILABILITY'!O514+'RAP TEMPLATE-GAS AVAILABILITY'!P514+'RAP TEMPLATE-GAS AVAILABILITY'!Q514+'RAP TEMPLATE-GAS AVAILABILITY'!R514)</f>
        <v>17.832998561151079</v>
      </c>
    </row>
    <row r="516" spans="1:29" ht="15.75" x14ac:dyDescent="0.25">
      <c r="A516" s="14">
        <v>56614</v>
      </c>
      <c r="B516" s="10">
        <f>CHOOSE(CONTROL!$C$42, 19.2219, 19.2219) * CHOOSE(CONTROL!$C$21, $C$9, 100%, $E$9)</f>
        <v>19.221900000000002</v>
      </c>
      <c r="C516" s="10">
        <f>CHOOSE(CONTROL!$C$42, 19.2268, 19.2268) * CHOOSE(CONTROL!$C$21, $C$9, 100%, $E$9)</f>
        <v>19.226800000000001</v>
      </c>
      <c r="D516" s="10">
        <f>CHOOSE(CONTROL!$C$42, 19.2564, 19.2564) * CHOOSE(CONTROL!$C$21, $C$9, 100%, $E$9)</f>
        <v>19.256399999999999</v>
      </c>
      <c r="E516" s="10">
        <f>CHOOSE(CONTROL!$C$42, 19.2902, 19.2902) * CHOOSE(CONTROL!$C$21, $C$9, 100%, $E$9)</f>
        <v>19.290199999999999</v>
      </c>
      <c r="F516" s="10">
        <f>CHOOSE(CONTROL!$C$42, 19.1901, 19.1901)*CHOOSE(CONTROL!$C$21, $C$9, 100%, $E$9)</f>
        <v>19.190100000000001</v>
      </c>
      <c r="G516" s="10">
        <f>CHOOSE(CONTROL!$C$42, 19.2076, 19.2076)*CHOOSE(CONTROL!$C$21, $C$9, 100%, $E$9)</f>
        <v>19.207599999999999</v>
      </c>
      <c r="H516" s="10">
        <f>CHOOSE(CONTROL!$C$42, 19.2794, 19.2794) * CHOOSE(CONTROL!$C$21, $C$9, 100%, $E$9)</f>
        <v>19.279399999999999</v>
      </c>
      <c r="I516" s="10">
        <f>CHOOSE(CONTROL!$C$42, 19.1855, 19.1855)* CHOOSE(CONTROL!$C$21, $C$9, 100%, $E$9)</f>
        <v>19.185500000000001</v>
      </c>
      <c r="J516" s="10">
        <f>CHOOSE(CONTROL!$C$42, 19.1831, 19.1831)* CHOOSE(CONTROL!$C$21, $C$9, 100%, $E$9)</f>
        <v>19.1831</v>
      </c>
      <c r="K516" s="54">
        <f>CHOOSE(CONTROL!$C$42, 19.1816, 19.1816) * CHOOSE(CONTROL!$C$21, $C$9, 100%, $E$9)</f>
        <v>19.1816</v>
      </c>
      <c r="L516" s="10">
        <f>CHOOSE(CONTROL!$C$42, 19.8664, 19.8664) * CHOOSE(CONTROL!$C$21, $C$9, 100%, $E$9)</f>
        <v>19.866399999999999</v>
      </c>
      <c r="M516" s="10">
        <f>CHOOSE(CONTROL!$C$42, 19.0033, 19.0033) * CHOOSE(CONTROL!$C$21, $C$9, 100%, $E$9)</f>
        <v>19.003299999999999</v>
      </c>
      <c r="N516" s="10">
        <f>CHOOSE(CONTROL!$C$42, 19.0207, 19.0207) * CHOOSE(CONTROL!$C$21, $C$9, 100%, $E$9)</f>
        <v>19.020700000000001</v>
      </c>
      <c r="O516" s="10">
        <f>CHOOSE(CONTROL!$C$42, 19.0987, 19.0987) * CHOOSE(CONTROL!$C$21, $C$9, 100%, $E$9)</f>
        <v>19.098700000000001</v>
      </c>
      <c r="P516" s="10">
        <f>CHOOSE(CONTROL!$C$42, 19.0057, 19.0057) * CHOOSE(CONTROL!$C$21, $C$9, 100%, $E$9)</f>
        <v>19.005700000000001</v>
      </c>
      <c r="Q516" s="10">
        <f>CHOOSE(CONTROL!$C$42, 19.694, 19.694) * CHOOSE(CONTROL!$C$21, $C$9, 100%, $E$9)</f>
        <v>19.693999999999999</v>
      </c>
      <c r="R516" s="10">
        <f>CHOOSE(CONTROL!$C$42, 20.3302, 20.3302) * CHOOSE(CONTROL!$C$21, $C$9, 100%, $E$9)</f>
        <v>20.330200000000001</v>
      </c>
      <c r="S516" s="10">
        <f>CHOOSE(CONTROL!$C$42, 18.6642, 18.6642) * CHOOSE(CONTROL!$C$21, $C$9, 100%, $E$9)</f>
        <v>18.664200000000001</v>
      </c>
      <c r="T516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516" s="58">
        <f>(1000*CHOOSE(CONTROL!$C$42, 695, 695)*CHOOSE(CONTROL!$C$42, 0.5599, 0.5599)*CHOOSE(CONTROL!$C$42, 31, 31))/1000000</f>
        <v>12.063045499999998</v>
      </c>
      <c r="V516" s="58">
        <f>(1000*CHOOSE(CONTROL!$C$42, 500, 500)*CHOOSE(CONTROL!$C$42, 0.275, 0.275)*CHOOSE(CONTROL!$C$42, 31, 31))/1000000</f>
        <v>4.2625000000000002</v>
      </c>
      <c r="W516" s="58">
        <f>(1000*CHOOSE(CONTROL!$C$42, 0.1146, 0.1146)*CHOOSE(CONTROL!$C$42, 121.5, 121.5)*CHOOSE(CONTROL!$C$42, 31, 31))/1000000</f>
        <v>0.43164089999999994</v>
      </c>
      <c r="X516" s="58">
        <f>(31*0.1790888*100000/1000000)+(31*0.2374*100000/1000000)</f>
        <v>1.2911152800000001</v>
      </c>
      <c r="Y516" s="58"/>
      <c r="Z516" s="10"/>
      <c r="AA516" s="57"/>
      <c r="AB516" s="51">
        <f>(B516*122.58+C516*297.941+D516*89.177+E516*40.302+F516*40+G516*160+H516*0+I516*100+J516*300)/(122.58+297.941+89.177+40.302+0+40+160+100+300)</f>
        <v>19.211855777391303</v>
      </c>
      <c r="AC516" s="27">
        <f>(M516*'RAP TEMPLATE-GAS AVAILABILITY'!O515+N516*'RAP TEMPLATE-GAS AVAILABILITY'!P515+O516*'RAP TEMPLATE-GAS AVAILABILITY'!Q515+P516*'RAP TEMPLATE-GAS AVAILABILITY'!R515)/('RAP TEMPLATE-GAS AVAILABILITY'!O515+'RAP TEMPLATE-GAS AVAILABILITY'!P515+'RAP TEMPLATE-GAS AVAILABILITY'!Q515+'RAP TEMPLATE-GAS AVAILABILITY'!R515)</f>
        <v>19.047885611510793</v>
      </c>
    </row>
    <row r="517" spans="1:29" ht="15.75" x14ac:dyDescent="0.25">
      <c r="A517" s="13">
        <v>56645</v>
      </c>
      <c r="B517" s="10">
        <f>CHOOSE(CONTROL!$C$42, 20.7966, 20.7966) * CHOOSE(CONTROL!$C$21, $C$9, 100%, $E$9)</f>
        <v>20.796600000000002</v>
      </c>
      <c r="C517" s="10">
        <f>CHOOSE(CONTROL!$C$42, 20.8016, 20.8016) * CHOOSE(CONTROL!$C$21, $C$9, 100%, $E$9)</f>
        <v>20.801600000000001</v>
      </c>
      <c r="D517" s="10">
        <f>CHOOSE(CONTROL!$C$42, 20.8518, 20.8518) * CHOOSE(CONTROL!$C$21, $C$9, 100%, $E$9)</f>
        <v>20.851800000000001</v>
      </c>
      <c r="E517" s="10">
        <f>CHOOSE(CONTROL!$C$42, 20.8856, 20.8856) * CHOOSE(CONTROL!$C$21, $C$9, 100%, $E$9)</f>
        <v>20.8856</v>
      </c>
      <c r="F517" s="10">
        <f>CHOOSE(CONTROL!$C$42, 20.762, 20.762)*CHOOSE(CONTROL!$C$21, $C$9, 100%, $E$9)</f>
        <v>20.762</v>
      </c>
      <c r="G517" s="10">
        <f>CHOOSE(CONTROL!$C$42, 20.7795, 20.7795)*CHOOSE(CONTROL!$C$21, $C$9, 100%, $E$9)</f>
        <v>20.779499999999999</v>
      </c>
      <c r="H517" s="10">
        <f>CHOOSE(CONTROL!$C$42, 20.8748, 20.8748) * CHOOSE(CONTROL!$C$21, $C$9, 100%, $E$9)</f>
        <v>20.8748</v>
      </c>
      <c r="I517" s="10">
        <f>CHOOSE(CONTROL!$C$42, 20.7705, 20.7705)* CHOOSE(CONTROL!$C$21, $C$9, 100%, $E$9)</f>
        <v>20.770499999999998</v>
      </c>
      <c r="J517" s="10">
        <f>CHOOSE(CONTROL!$C$42, 20.755, 20.755)* CHOOSE(CONTROL!$C$21, $C$9, 100%, $E$9)</f>
        <v>20.754999999999999</v>
      </c>
      <c r="K517" s="54">
        <f>CHOOSE(CONTROL!$C$42, 20.7666, 20.7666) * CHOOSE(CONTROL!$C$21, $C$9, 100%, $E$9)</f>
        <v>20.7666</v>
      </c>
      <c r="L517" s="10">
        <f>CHOOSE(CONTROL!$C$42, 21.4618, 21.4618) * CHOOSE(CONTROL!$C$21, $C$9, 100%, $E$9)</f>
        <v>21.4618</v>
      </c>
      <c r="M517" s="10">
        <f>CHOOSE(CONTROL!$C$42, 20.5594, 20.5594) * CHOOSE(CONTROL!$C$21, $C$9, 100%, $E$9)</f>
        <v>20.5594</v>
      </c>
      <c r="N517" s="10">
        <f>CHOOSE(CONTROL!$C$42, 20.5767, 20.5767) * CHOOSE(CONTROL!$C$21, $C$9, 100%, $E$9)</f>
        <v>20.576699999999999</v>
      </c>
      <c r="O517" s="10">
        <f>CHOOSE(CONTROL!$C$42, 20.6779, 20.6779) * CHOOSE(CONTROL!$C$21, $C$9, 100%, $E$9)</f>
        <v>20.677900000000001</v>
      </c>
      <c r="P517" s="10">
        <f>CHOOSE(CONTROL!$C$42, 20.5748, 20.5748) * CHOOSE(CONTROL!$C$21, $C$9, 100%, $E$9)</f>
        <v>20.5748</v>
      </c>
      <c r="Q517" s="10">
        <f>CHOOSE(CONTROL!$C$42, 21.2732, 21.2732) * CHOOSE(CONTROL!$C$21, $C$9, 100%, $E$9)</f>
        <v>21.273199999999999</v>
      </c>
      <c r="R517" s="10">
        <f>CHOOSE(CONTROL!$C$42, 21.9134, 21.9134) * CHOOSE(CONTROL!$C$21, $C$9, 100%, $E$9)</f>
        <v>21.913399999999999</v>
      </c>
      <c r="S517" s="10">
        <f>CHOOSE(CONTROL!$C$42, 20.1935, 20.1935) * CHOOSE(CONTROL!$C$21, $C$9, 100%, $E$9)</f>
        <v>20.1935</v>
      </c>
      <c r="T517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517" s="58">
        <f>(1000*CHOOSE(CONTROL!$C$42, 695, 695)*CHOOSE(CONTROL!$C$42, 0.5599, 0.5599)*CHOOSE(CONTROL!$C$42, 31, 31))/1000000</f>
        <v>12.063045499999998</v>
      </c>
      <c r="V517" s="58">
        <f>(1000*CHOOSE(CONTROL!$C$42, 500, 500)*CHOOSE(CONTROL!$C$42, 0.275, 0.275)*CHOOSE(CONTROL!$C$42, 31, 31))/1000000</f>
        <v>4.2625000000000002</v>
      </c>
      <c r="W517" s="58">
        <f>(1000*CHOOSE(CONTROL!$C$42, 0.1146, 0.1146)*CHOOSE(CONTROL!$C$42, 121.5, 121.5)*CHOOSE(CONTROL!$C$42, 31, 31))/1000000</f>
        <v>0.43164089999999994</v>
      </c>
      <c r="X517" s="58">
        <f>(31*0.1790888*100000/1000000)+(31*0.2374*100000/1000000)</f>
        <v>1.2911152800000001</v>
      </c>
      <c r="Y517" s="58"/>
      <c r="Z517" s="10"/>
      <c r="AA517" s="57"/>
      <c r="AB517" s="51">
        <f>(B517*122.58+C517*297.941+D517*89.177+E517*40.302+F517*40+G517*160+H517*0+I517*100+J517*300)/(122.58+297.941+89.177+40.302+0+40+160+100+300)</f>
        <v>20.788590568173912</v>
      </c>
      <c r="AC517" s="27">
        <f>(M517*'RAP TEMPLATE-GAS AVAILABILITY'!O516+N517*'RAP TEMPLATE-GAS AVAILABILITY'!P516+O517*'RAP TEMPLATE-GAS AVAILABILITY'!Q516+P517*'RAP TEMPLATE-GAS AVAILABILITY'!R516)/('RAP TEMPLATE-GAS AVAILABILITY'!O516+'RAP TEMPLATE-GAS AVAILABILITY'!P516+'RAP TEMPLATE-GAS AVAILABILITY'!Q516+'RAP TEMPLATE-GAS AVAILABILITY'!R516)</f>
        <v>20.616320143884892</v>
      </c>
    </row>
    <row r="518" spans="1:29" ht="15.75" x14ac:dyDescent="0.25">
      <c r="A518" s="13">
        <v>56673</v>
      </c>
      <c r="B518" s="10">
        <f>CHOOSE(CONTROL!$C$42, 21.1668, 21.1668) * CHOOSE(CONTROL!$C$21, $C$9, 100%, $E$9)</f>
        <v>21.166799999999999</v>
      </c>
      <c r="C518" s="10">
        <f>CHOOSE(CONTROL!$C$42, 21.1717, 21.1717) * CHOOSE(CONTROL!$C$21, $C$9, 100%, $E$9)</f>
        <v>21.171700000000001</v>
      </c>
      <c r="D518" s="10">
        <f>CHOOSE(CONTROL!$C$42, 21.2322, 21.2322) * CHOOSE(CONTROL!$C$21, $C$9, 100%, $E$9)</f>
        <v>21.232199999999999</v>
      </c>
      <c r="E518" s="10">
        <f>CHOOSE(CONTROL!$C$42, 21.266, 21.266) * CHOOSE(CONTROL!$C$21, $C$9, 100%, $E$9)</f>
        <v>21.265999999999998</v>
      </c>
      <c r="F518" s="10">
        <f>CHOOSE(CONTROL!$C$42, 21.16, 21.16)*CHOOSE(CONTROL!$C$21, $C$9, 100%, $E$9)</f>
        <v>21.16</v>
      </c>
      <c r="G518" s="10">
        <f>CHOOSE(CONTROL!$C$42, 21.1773, 21.1773)*CHOOSE(CONTROL!$C$21, $C$9, 100%, $E$9)</f>
        <v>21.177299999999999</v>
      </c>
      <c r="H518" s="10">
        <f>CHOOSE(CONTROL!$C$42, 21.2552, 21.2552) * CHOOSE(CONTROL!$C$21, $C$9, 100%, $E$9)</f>
        <v>21.255199999999999</v>
      </c>
      <c r="I518" s="10">
        <f>CHOOSE(CONTROL!$C$42, 21.1535, 21.1535)* CHOOSE(CONTROL!$C$21, $C$9, 100%, $E$9)</f>
        <v>21.153500000000001</v>
      </c>
      <c r="J518" s="10">
        <f>CHOOSE(CONTROL!$C$42, 21.153, 21.153)* CHOOSE(CONTROL!$C$21, $C$9, 100%, $E$9)</f>
        <v>21.152999999999999</v>
      </c>
      <c r="K518" s="54">
        <f>CHOOSE(CONTROL!$C$42, 21.1497, 21.1497) * CHOOSE(CONTROL!$C$21, $C$9, 100%, $E$9)</f>
        <v>21.149699999999999</v>
      </c>
      <c r="L518" s="10">
        <f>CHOOSE(CONTROL!$C$42, 21.8422, 21.8422) * CHOOSE(CONTROL!$C$21, $C$9, 100%, $E$9)</f>
        <v>21.842199999999998</v>
      </c>
      <c r="M518" s="10">
        <f>CHOOSE(CONTROL!$C$42, 20.9534, 20.9534) * CHOOSE(CONTROL!$C$21, $C$9, 100%, $E$9)</f>
        <v>20.953399999999998</v>
      </c>
      <c r="N518" s="10">
        <f>CHOOSE(CONTROL!$C$42, 20.9705, 20.9705) * CHOOSE(CONTROL!$C$21, $C$9, 100%, $E$9)</f>
        <v>20.970500000000001</v>
      </c>
      <c r="O518" s="10">
        <f>CHOOSE(CONTROL!$C$42, 21.0545, 21.0545) * CHOOSE(CONTROL!$C$21, $C$9, 100%, $E$9)</f>
        <v>21.054500000000001</v>
      </c>
      <c r="P518" s="10">
        <f>CHOOSE(CONTROL!$C$42, 20.9539, 20.9539) * CHOOSE(CONTROL!$C$21, $C$9, 100%, $E$9)</f>
        <v>20.953900000000001</v>
      </c>
      <c r="Q518" s="10">
        <f>CHOOSE(CONTROL!$C$42, 21.6498, 21.6498) * CHOOSE(CONTROL!$C$21, $C$9, 100%, $E$9)</f>
        <v>21.649799999999999</v>
      </c>
      <c r="R518" s="10">
        <f>CHOOSE(CONTROL!$C$42, 22.291, 22.291) * CHOOSE(CONTROL!$C$21, $C$9, 100%, $E$9)</f>
        <v>22.291</v>
      </c>
      <c r="S518" s="10">
        <f>CHOOSE(CONTROL!$C$42, 20.5529, 20.5529) * CHOOSE(CONTROL!$C$21, $C$9, 100%, $E$9)</f>
        <v>20.552900000000001</v>
      </c>
      <c r="T518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518" s="58">
        <f>(1000*CHOOSE(CONTROL!$C$42, 695, 695)*CHOOSE(CONTROL!$C$42, 0.5599, 0.5599)*CHOOSE(CONTROL!$C$42, 28, 28))/1000000</f>
        <v>10.895653999999999</v>
      </c>
      <c r="V518" s="58">
        <f>(1000*CHOOSE(CONTROL!$C$42, 500, 500)*CHOOSE(CONTROL!$C$42, 0.275, 0.275)*CHOOSE(CONTROL!$C$42, 28, 28))/1000000</f>
        <v>3.85</v>
      </c>
      <c r="W518" s="58">
        <f>(1000*CHOOSE(CONTROL!$C$42, 0.1146, 0.1146)*CHOOSE(CONTROL!$C$42, 121.5, 121.5)*CHOOSE(CONTROL!$C$42, 28, 28))/1000000</f>
        <v>0.38986920000000003</v>
      </c>
      <c r="X518" s="58">
        <f>(28*0.1790888*100000/1000000)+(28*0.2374*100000/1000000)</f>
        <v>1.16616864</v>
      </c>
      <c r="Y518" s="58"/>
      <c r="Z518" s="10"/>
      <c r="AA518" s="57"/>
      <c r="AB518" s="51">
        <f>(B518*122.58+C518*297.941+D518*89.177+E518*40.302+F518*40+G518*160+H518*0+I518*100+J518*300)/(122.58+297.941+89.177+40.302+0+40+160+100+300)</f>
        <v>21.173085256608694</v>
      </c>
      <c r="AC518" s="27">
        <f>(M518*'RAP TEMPLATE-GAS AVAILABILITY'!O517+N518*'RAP TEMPLATE-GAS AVAILABILITY'!P517+O518*'RAP TEMPLATE-GAS AVAILABILITY'!Q517+P518*'RAP TEMPLATE-GAS AVAILABILITY'!R517)/('RAP TEMPLATE-GAS AVAILABILITY'!O517+'RAP TEMPLATE-GAS AVAILABILITY'!P517+'RAP TEMPLATE-GAS AVAILABILITY'!Q517+'RAP TEMPLATE-GAS AVAILABILITY'!R517)</f>
        <v>21.000278417266188</v>
      </c>
    </row>
    <row r="519" spans="1:29" ht="15.75" x14ac:dyDescent="0.25">
      <c r="A519" s="13">
        <v>56704</v>
      </c>
      <c r="B519" s="10">
        <f>CHOOSE(CONTROL!$C$42, 20.5659, 20.5659) * CHOOSE(CONTROL!$C$21, $C$9, 100%, $E$9)</f>
        <v>20.565899999999999</v>
      </c>
      <c r="C519" s="10">
        <f>CHOOSE(CONTROL!$C$42, 20.5709, 20.5709) * CHOOSE(CONTROL!$C$21, $C$9, 100%, $E$9)</f>
        <v>20.570900000000002</v>
      </c>
      <c r="D519" s="10">
        <f>CHOOSE(CONTROL!$C$42, 20.6314, 20.6314) * CHOOSE(CONTROL!$C$21, $C$9, 100%, $E$9)</f>
        <v>20.631399999999999</v>
      </c>
      <c r="E519" s="10">
        <f>CHOOSE(CONTROL!$C$42, 20.6652, 20.6652) * CHOOSE(CONTROL!$C$21, $C$9, 100%, $E$9)</f>
        <v>20.665199999999999</v>
      </c>
      <c r="F519" s="10">
        <f>CHOOSE(CONTROL!$C$42, 20.5536, 20.5536)*CHOOSE(CONTROL!$C$21, $C$9, 100%, $E$9)</f>
        <v>20.553599999999999</v>
      </c>
      <c r="G519" s="10">
        <f>CHOOSE(CONTROL!$C$42, 20.5709, 20.5709)*CHOOSE(CONTROL!$C$21, $C$9, 100%, $E$9)</f>
        <v>20.570900000000002</v>
      </c>
      <c r="H519" s="10">
        <f>CHOOSE(CONTROL!$C$42, 20.6544, 20.6544) * CHOOSE(CONTROL!$C$21, $C$9, 100%, $E$9)</f>
        <v>20.654399999999999</v>
      </c>
      <c r="I519" s="10">
        <f>CHOOSE(CONTROL!$C$42, 20.5398, 20.5398)* CHOOSE(CONTROL!$C$21, $C$9, 100%, $E$9)</f>
        <v>20.5398</v>
      </c>
      <c r="J519" s="10">
        <f>CHOOSE(CONTROL!$C$42, 20.5466, 20.5466)* CHOOSE(CONTROL!$C$21, $C$9, 100%, $E$9)</f>
        <v>20.546600000000002</v>
      </c>
      <c r="K519" s="54">
        <f>CHOOSE(CONTROL!$C$42, 20.5359, 20.5359) * CHOOSE(CONTROL!$C$21, $C$9, 100%, $E$9)</f>
        <v>20.535900000000002</v>
      </c>
      <c r="L519" s="10">
        <f>CHOOSE(CONTROL!$C$42, 21.2414, 21.2414) * CHOOSE(CONTROL!$C$21, $C$9, 100%, $E$9)</f>
        <v>21.241399999999999</v>
      </c>
      <c r="M519" s="10">
        <f>CHOOSE(CONTROL!$C$42, 20.3531, 20.3531) * CHOOSE(CONTROL!$C$21, $C$9, 100%, $E$9)</f>
        <v>20.353100000000001</v>
      </c>
      <c r="N519" s="10">
        <f>CHOOSE(CONTROL!$C$42, 20.3702, 20.3702) * CHOOSE(CONTROL!$C$21, $C$9, 100%, $E$9)</f>
        <v>20.370200000000001</v>
      </c>
      <c r="O519" s="10">
        <f>CHOOSE(CONTROL!$C$42, 20.4597, 20.4597) * CHOOSE(CONTROL!$C$21, $C$9, 100%, $E$9)</f>
        <v>20.459700000000002</v>
      </c>
      <c r="P519" s="10">
        <f>CHOOSE(CONTROL!$C$42, 20.3464, 20.3464) * CHOOSE(CONTROL!$C$21, $C$9, 100%, $E$9)</f>
        <v>20.346399999999999</v>
      </c>
      <c r="Q519" s="10">
        <f>CHOOSE(CONTROL!$C$42, 21.055, 21.055) * CHOOSE(CONTROL!$C$21, $C$9, 100%, $E$9)</f>
        <v>21.055</v>
      </c>
      <c r="R519" s="10">
        <f>CHOOSE(CONTROL!$C$42, 21.6947, 21.6947) * CHOOSE(CONTROL!$C$21, $C$9, 100%, $E$9)</f>
        <v>21.694700000000001</v>
      </c>
      <c r="S519" s="10">
        <f>CHOOSE(CONTROL!$C$42, 19.9694, 19.9694) * CHOOSE(CONTROL!$C$21, $C$9, 100%, $E$9)</f>
        <v>19.9694</v>
      </c>
      <c r="T519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519" s="58">
        <f>(1000*CHOOSE(CONTROL!$C$42, 695, 695)*CHOOSE(CONTROL!$C$42, 0.5599, 0.5599)*CHOOSE(CONTROL!$C$42, 31, 31))/1000000</f>
        <v>12.063045499999998</v>
      </c>
      <c r="V519" s="58">
        <f>(1000*CHOOSE(CONTROL!$C$42, 500, 500)*CHOOSE(CONTROL!$C$42, 0.275, 0.275)*CHOOSE(CONTROL!$C$42, 31, 31))/1000000</f>
        <v>4.2625000000000002</v>
      </c>
      <c r="W519" s="58">
        <f>(1000*CHOOSE(CONTROL!$C$42, 0.1146, 0.1146)*CHOOSE(CONTROL!$C$42, 121.5, 121.5)*CHOOSE(CONTROL!$C$42, 31, 31))/1000000</f>
        <v>0.43164089999999994</v>
      </c>
      <c r="X519" s="58">
        <f>(31*0.1790888*100000/1000000)+(31*0.2374*100000/1000000)</f>
        <v>1.2911152800000001</v>
      </c>
      <c r="Y519" s="58"/>
      <c r="Z519" s="10"/>
      <c r="AA519" s="57"/>
      <c r="AB519" s="51">
        <f>(B519*122.58+C519*297.941+D519*89.177+E519*40.302+F519*40+G519*160+H519*0+I519*100+J519*300)/(122.58+297.941+89.177+40.302+0+40+160+100+300)</f>
        <v>20.568718075739135</v>
      </c>
      <c r="AC519" s="27">
        <f>(M519*'RAP TEMPLATE-GAS AVAILABILITY'!O518+N519*'RAP TEMPLATE-GAS AVAILABILITY'!P518+O519*'RAP TEMPLATE-GAS AVAILABILITY'!Q518+P519*'RAP TEMPLATE-GAS AVAILABILITY'!R518)/('RAP TEMPLATE-GAS AVAILABILITY'!O518+'RAP TEMPLATE-GAS AVAILABILITY'!P518+'RAP TEMPLATE-GAS AVAILABILITY'!Q518+'RAP TEMPLATE-GAS AVAILABILITY'!R518)</f>
        <v>20.401435251798564</v>
      </c>
    </row>
    <row r="520" spans="1:29" ht="15.75" x14ac:dyDescent="0.25">
      <c r="A520" s="13">
        <v>56734</v>
      </c>
      <c r="B520" s="10">
        <f>CHOOSE(CONTROL!$C$42, 20.5055, 20.5055) * CHOOSE(CONTROL!$C$21, $C$9, 100%, $E$9)</f>
        <v>20.505500000000001</v>
      </c>
      <c r="C520" s="10">
        <f>CHOOSE(CONTROL!$C$42, 20.5099, 20.5099) * CHOOSE(CONTROL!$C$21, $C$9, 100%, $E$9)</f>
        <v>20.509899999999998</v>
      </c>
      <c r="D520" s="10">
        <f>CHOOSE(CONTROL!$C$42, 20.7055, 20.7055) * CHOOSE(CONTROL!$C$21, $C$9, 100%, $E$9)</f>
        <v>20.705500000000001</v>
      </c>
      <c r="E520" s="10">
        <f>CHOOSE(CONTROL!$C$42, 20.7373, 20.7373) * CHOOSE(CONTROL!$C$21, $C$9, 100%, $E$9)</f>
        <v>20.737300000000001</v>
      </c>
      <c r="F520" s="10">
        <f>CHOOSE(CONTROL!$C$42, 20.4733, 20.4733)*CHOOSE(CONTROL!$C$21, $C$9, 100%, $E$9)</f>
        <v>20.473299999999998</v>
      </c>
      <c r="G520" s="10">
        <f>CHOOSE(CONTROL!$C$42, 20.4901, 20.4901)*CHOOSE(CONTROL!$C$21, $C$9, 100%, $E$9)</f>
        <v>20.490100000000002</v>
      </c>
      <c r="H520" s="10">
        <f>CHOOSE(CONTROL!$C$42, 20.727, 20.727) * CHOOSE(CONTROL!$C$21, $C$9, 100%, $E$9)</f>
        <v>20.727</v>
      </c>
      <c r="I520" s="10">
        <f>CHOOSE(CONTROL!$C$42, 20.4735, 20.4735)* CHOOSE(CONTROL!$C$21, $C$9, 100%, $E$9)</f>
        <v>20.473500000000001</v>
      </c>
      <c r="J520" s="10">
        <f>CHOOSE(CONTROL!$C$42, 20.4663, 20.4663)* CHOOSE(CONTROL!$C$21, $C$9, 100%, $E$9)</f>
        <v>20.4663</v>
      </c>
      <c r="K520" s="54">
        <f>CHOOSE(CONTROL!$C$42, 20.4696, 20.4696) * CHOOSE(CONTROL!$C$21, $C$9, 100%, $E$9)</f>
        <v>20.4696</v>
      </c>
      <c r="L520" s="10">
        <f>CHOOSE(CONTROL!$C$42, 21.314, 21.314) * CHOOSE(CONTROL!$C$21, $C$9, 100%, $E$9)</f>
        <v>21.314</v>
      </c>
      <c r="M520" s="10">
        <f>CHOOSE(CONTROL!$C$42, 20.2736, 20.2736) * CHOOSE(CONTROL!$C$21, $C$9, 100%, $E$9)</f>
        <v>20.273599999999998</v>
      </c>
      <c r="N520" s="10">
        <f>CHOOSE(CONTROL!$C$42, 20.2902, 20.2902) * CHOOSE(CONTROL!$C$21, $C$9, 100%, $E$9)</f>
        <v>20.290199999999999</v>
      </c>
      <c r="O520" s="10">
        <f>CHOOSE(CONTROL!$C$42, 20.5317, 20.5317) * CHOOSE(CONTROL!$C$21, $C$9, 100%, $E$9)</f>
        <v>20.531700000000001</v>
      </c>
      <c r="P520" s="10">
        <f>CHOOSE(CONTROL!$C$42, 20.2807, 20.2807) * CHOOSE(CONTROL!$C$21, $C$9, 100%, $E$9)</f>
        <v>20.2807</v>
      </c>
      <c r="Q520" s="10">
        <f>CHOOSE(CONTROL!$C$42, 21.127, 21.127) * CHOOSE(CONTROL!$C$21, $C$9, 100%, $E$9)</f>
        <v>21.126999999999999</v>
      </c>
      <c r="R520" s="10">
        <f>CHOOSE(CONTROL!$C$42, 21.7668, 21.7668) * CHOOSE(CONTROL!$C$21, $C$9, 100%, $E$9)</f>
        <v>21.7668</v>
      </c>
      <c r="S520" s="10">
        <f>CHOOSE(CONTROL!$C$42, 19.91, 19.91) * CHOOSE(CONTROL!$C$21, $C$9, 100%, $E$9)</f>
        <v>19.91</v>
      </c>
      <c r="T520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520" s="58">
        <f>(1000*CHOOSE(CONTROL!$C$42, 695, 695)*CHOOSE(CONTROL!$C$42, 0.5599, 0.5599)*CHOOSE(CONTROL!$C$42, 30, 30))/1000000</f>
        <v>11.673914999999997</v>
      </c>
      <c r="V520" s="58">
        <f>(1000*CHOOSE(CONTROL!$C$42, 500, 500)*CHOOSE(CONTROL!$C$42, 0.275, 0.275)*CHOOSE(CONTROL!$C$42, 30, 30))/1000000</f>
        <v>4.125</v>
      </c>
      <c r="W520" s="58">
        <f>(1000*CHOOSE(CONTROL!$C$42, 0.1146, 0.1146)*CHOOSE(CONTROL!$C$42, 121.5, 121.5)*CHOOSE(CONTROL!$C$42, 30, 30))/1000000</f>
        <v>0.417717</v>
      </c>
      <c r="X520" s="58">
        <f>(30*0.1790888*245000/1000000)+(30*0.2374*100000/1000000)</f>
        <v>2.0285026799999999</v>
      </c>
      <c r="Y520" s="58"/>
      <c r="Z520" s="10"/>
      <c r="AA520" s="57"/>
      <c r="AB520" s="51">
        <f>(B520*141.293+C520*267.993+D520*115.016+E520*89.698+F520*40+G520*185+H520*0+I520*100+J520*300)/(141.293+267.993+115.016+89.698+0+40+185+100+300)</f>
        <v>20.526385686521387</v>
      </c>
      <c r="AC520" s="27">
        <f>(M520*'RAP TEMPLATE-GAS AVAILABILITY'!O519+N520*'RAP TEMPLATE-GAS AVAILABILITY'!P519+O520*'RAP TEMPLATE-GAS AVAILABILITY'!Q519+P520*'RAP TEMPLATE-GAS AVAILABILITY'!R519)/('RAP TEMPLATE-GAS AVAILABILITY'!O519+'RAP TEMPLATE-GAS AVAILABILITY'!P519+'RAP TEMPLATE-GAS AVAILABILITY'!Q519+'RAP TEMPLATE-GAS AVAILABILITY'!R519)</f>
        <v>20.350859712230214</v>
      </c>
    </row>
    <row r="521" spans="1:29" ht="15.75" x14ac:dyDescent="0.25">
      <c r="A521" s="13">
        <v>56765</v>
      </c>
      <c r="B521" s="10">
        <f>CHOOSE(CONTROL!$C$42, 20.6879, 20.6879) * CHOOSE(CONTROL!$C$21, $C$9, 100%, $E$9)</f>
        <v>20.687899999999999</v>
      </c>
      <c r="C521" s="10">
        <f>CHOOSE(CONTROL!$C$42, 20.6958, 20.6958) * CHOOSE(CONTROL!$C$21, $C$9, 100%, $E$9)</f>
        <v>20.695799999999998</v>
      </c>
      <c r="D521" s="10">
        <f>CHOOSE(CONTROL!$C$42, 20.8882, 20.8882) * CHOOSE(CONTROL!$C$21, $C$9, 100%, $E$9)</f>
        <v>20.888200000000001</v>
      </c>
      <c r="E521" s="10">
        <f>CHOOSE(CONTROL!$C$42, 20.9194, 20.9194) * CHOOSE(CONTROL!$C$21, $C$9, 100%, $E$9)</f>
        <v>20.9194</v>
      </c>
      <c r="F521" s="10">
        <f>CHOOSE(CONTROL!$C$42, 20.6541, 20.6541)*CHOOSE(CONTROL!$C$21, $C$9, 100%, $E$9)</f>
        <v>20.6541</v>
      </c>
      <c r="G521" s="10">
        <f>CHOOSE(CONTROL!$C$42, 20.6712, 20.6712)*CHOOSE(CONTROL!$C$21, $C$9, 100%, $E$9)</f>
        <v>20.671199999999999</v>
      </c>
      <c r="H521" s="10">
        <f>CHOOSE(CONTROL!$C$42, 20.908, 20.908) * CHOOSE(CONTROL!$C$21, $C$9, 100%, $E$9)</f>
        <v>20.908000000000001</v>
      </c>
      <c r="I521" s="10">
        <f>CHOOSE(CONTROL!$C$42, 20.6544, 20.6544)* CHOOSE(CONTROL!$C$21, $C$9, 100%, $E$9)</f>
        <v>20.654399999999999</v>
      </c>
      <c r="J521" s="10">
        <f>CHOOSE(CONTROL!$C$42, 20.6471, 20.6471)* CHOOSE(CONTROL!$C$21, $C$9, 100%, $E$9)</f>
        <v>20.647099999999998</v>
      </c>
      <c r="K521" s="54">
        <f>CHOOSE(CONTROL!$C$42, 20.6505, 20.6505) * CHOOSE(CONTROL!$C$21, $C$9, 100%, $E$9)</f>
        <v>20.650500000000001</v>
      </c>
      <c r="L521" s="10">
        <f>CHOOSE(CONTROL!$C$42, 21.495, 21.495) * CHOOSE(CONTROL!$C$21, $C$9, 100%, $E$9)</f>
        <v>21.495000000000001</v>
      </c>
      <c r="M521" s="10">
        <f>CHOOSE(CONTROL!$C$42, 20.4526, 20.4526) * CHOOSE(CONTROL!$C$21, $C$9, 100%, $E$9)</f>
        <v>20.4526</v>
      </c>
      <c r="N521" s="10">
        <f>CHOOSE(CONTROL!$C$42, 20.4695, 20.4695) * CHOOSE(CONTROL!$C$21, $C$9, 100%, $E$9)</f>
        <v>20.4695</v>
      </c>
      <c r="O521" s="10">
        <f>CHOOSE(CONTROL!$C$42, 20.7108, 20.7108) * CHOOSE(CONTROL!$C$21, $C$9, 100%, $E$9)</f>
        <v>20.710799999999999</v>
      </c>
      <c r="P521" s="10">
        <f>CHOOSE(CONTROL!$C$42, 20.4599, 20.4599) * CHOOSE(CONTROL!$C$21, $C$9, 100%, $E$9)</f>
        <v>20.459900000000001</v>
      </c>
      <c r="Q521" s="10">
        <f>CHOOSE(CONTROL!$C$42, 21.3061, 21.3061) * CHOOSE(CONTROL!$C$21, $C$9, 100%, $E$9)</f>
        <v>21.306100000000001</v>
      </c>
      <c r="R521" s="10">
        <f>CHOOSE(CONTROL!$C$42, 21.9464, 21.9464) * CHOOSE(CONTROL!$C$21, $C$9, 100%, $E$9)</f>
        <v>21.946400000000001</v>
      </c>
      <c r="S521" s="10">
        <f>CHOOSE(CONTROL!$C$42, 20.0857, 20.0857) * CHOOSE(CONTROL!$C$21, $C$9, 100%, $E$9)</f>
        <v>20.085699999999999</v>
      </c>
      <c r="T521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521" s="58">
        <f>(1000*CHOOSE(CONTROL!$C$42, 695, 695)*CHOOSE(CONTROL!$C$42, 0.5599, 0.5599)*CHOOSE(CONTROL!$C$42, 31, 31))/1000000</f>
        <v>12.063045499999998</v>
      </c>
      <c r="V521" s="58">
        <f>(1000*CHOOSE(CONTROL!$C$42, 500, 500)*CHOOSE(CONTROL!$C$42, 0.275, 0.275)*CHOOSE(CONTROL!$C$42, 31, 31))/1000000</f>
        <v>4.2625000000000002</v>
      </c>
      <c r="W521" s="58">
        <f>(1000*CHOOSE(CONTROL!$C$42, 0.1146, 0.1146)*CHOOSE(CONTROL!$C$42, 121.5, 121.5)*CHOOSE(CONTROL!$C$42, 31, 31))/1000000</f>
        <v>0.43164089999999994</v>
      </c>
      <c r="X521" s="58">
        <f>(31*0.1790888*245000/1000000)+(31*0.2374*100000/1000000)</f>
        <v>2.0961194359999999</v>
      </c>
      <c r="Y521" s="58"/>
      <c r="Z521" s="10"/>
      <c r="AA521" s="57"/>
      <c r="AB521" s="51">
        <f>(B521*194.205+C521*267.466+D521*133.845+E521*53.484+F521*40+G521*185+H521*0+I521*100+J521*300)/(194.205+267.466+133.845+53.484+0+40+185+100+300)</f>
        <v>20.704597159262164</v>
      </c>
      <c r="AC521" s="27">
        <f>(M521*'RAP TEMPLATE-GAS AVAILABILITY'!O520+N521*'RAP TEMPLATE-GAS AVAILABILITY'!P520+O521*'RAP TEMPLATE-GAS AVAILABILITY'!Q520+P521*'RAP TEMPLATE-GAS AVAILABILITY'!R520)/('RAP TEMPLATE-GAS AVAILABILITY'!O520+'RAP TEMPLATE-GAS AVAILABILITY'!P520+'RAP TEMPLATE-GAS AVAILABILITY'!Q520+'RAP TEMPLATE-GAS AVAILABILITY'!R520)</f>
        <v>20.529985611510789</v>
      </c>
    </row>
    <row r="522" spans="1:29" ht="15.75" x14ac:dyDescent="0.25">
      <c r="A522" s="13">
        <v>56795</v>
      </c>
      <c r="B522" s="10">
        <f>CHOOSE(CONTROL!$C$42, 21.2746, 21.2746) * CHOOSE(CONTROL!$C$21, $C$9, 100%, $E$9)</f>
        <v>21.2746</v>
      </c>
      <c r="C522" s="10">
        <f>CHOOSE(CONTROL!$C$42, 21.2825, 21.2825) * CHOOSE(CONTROL!$C$21, $C$9, 100%, $E$9)</f>
        <v>21.282499999999999</v>
      </c>
      <c r="D522" s="10">
        <f>CHOOSE(CONTROL!$C$42, 21.4749, 21.4749) * CHOOSE(CONTROL!$C$21, $C$9, 100%, $E$9)</f>
        <v>21.474900000000002</v>
      </c>
      <c r="E522" s="10">
        <f>CHOOSE(CONTROL!$C$42, 21.506, 21.506) * CHOOSE(CONTROL!$C$21, $C$9, 100%, $E$9)</f>
        <v>21.506</v>
      </c>
      <c r="F522" s="10">
        <f>CHOOSE(CONTROL!$C$42, 21.241, 21.241)*CHOOSE(CONTROL!$C$21, $C$9, 100%, $E$9)</f>
        <v>21.241</v>
      </c>
      <c r="G522" s="10">
        <f>CHOOSE(CONTROL!$C$42, 21.2582, 21.2582)*CHOOSE(CONTROL!$C$21, $C$9, 100%, $E$9)</f>
        <v>21.258199999999999</v>
      </c>
      <c r="H522" s="10">
        <f>CHOOSE(CONTROL!$C$42, 21.4947, 21.4947) * CHOOSE(CONTROL!$C$21, $C$9, 100%, $E$9)</f>
        <v>21.494700000000002</v>
      </c>
      <c r="I522" s="10">
        <f>CHOOSE(CONTROL!$C$42, 21.2411, 21.2411)* CHOOSE(CONTROL!$C$21, $C$9, 100%, $E$9)</f>
        <v>21.241099999999999</v>
      </c>
      <c r="J522" s="10">
        <f>CHOOSE(CONTROL!$C$42, 21.234, 21.234)* CHOOSE(CONTROL!$C$21, $C$9, 100%, $E$9)</f>
        <v>21.234000000000002</v>
      </c>
      <c r="K522" s="54">
        <f>CHOOSE(CONTROL!$C$42, 21.2372, 21.2372) * CHOOSE(CONTROL!$C$21, $C$9, 100%, $E$9)</f>
        <v>21.237200000000001</v>
      </c>
      <c r="L522" s="10">
        <f>CHOOSE(CONTROL!$C$42, 22.0817, 22.0817) * CHOOSE(CONTROL!$C$21, $C$9, 100%, $E$9)</f>
        <v>22.081700000000001</v>
      </c>
      <c r="M522" s="10">
        <f>CHOOSE(CONTROL!$C$42, 21.0336, 21.0336) * CHOOSE(CONTROL!$C$21, $C$9, 100%, $E$9)</f>
        <v>21.0336</v>
      </c>
      <c r="N522" s="10">
        <f>CHOOSE(CONTROL!$C$42, 21.0506, 21.0506) * CHOOSE(CONTROL!$C$21, $C$9, 100%, $E$9)</f>
        <v>21.050599999999999</v>
      </c>
      <c r="O522" s="10">
        <f>CHOOSE(CONTROL!$C$42, 21.2916, 21.2916) * CHOOSE(CONTROL!$C$21, $C$9, 100%, $E$9)</f>
        <v>21.291599999999999</v>
      </c>
      <c r="P522" s="10">
        <f>CHOOSE(CONTROL!$C$42, 21.0406, 21.0406) * CHOOSE(CONTROL!$C$21, $C$9, 100%, $E$9)</f>
        <v>21.040600000000001</v>
      </c>
      <c r="Q522" s="10">
        <f>CHOOSE(CONTROL!$C$42, 21.8869, 21.8869) * CHOOSE(CONTROL!$C$21, $C$9, 100%, $E$9)</f>
        <v>21.886900000000001</v>
      </c>
      <c r="R522" s="10">
        <f>CHOOSE(CONTROL!$C$42, 22.5286, 22.5286) * CHOOSE(CONTROL!$C$21, $C$9, 100%, $E$9)</f>
        <v>22.528600000000001</v>
      </c>
      <c r="S522" s="10">
        <f>CHOOSE(CONTROL!$C$42, 20.6555, 20.6555) * CHOOSE(CONTROL!$C$21, $C$9, 100%, $E$9)</f>
        <v>20.6555</v>
      </c>
      <c r="T522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522" s="58">
        <f>(1000*CHOOSE(CONTROL!$C$42, 695, 695)*CHOOSE(CONTROL!$C$42, 0.5599, 0.5599)*CHOOSE(CONTROL!$C$42, 30, 30))/1000000</f>
        <v>11.673914999999997</v>
      </c>
      <c r="V522" s="58">
        <f>(1000*CHOOSE(CONTROL!$C$42, 500, 500)*CHOOSE(CONTROL!$C$42, 0.275, 0.275)*CHOOSE(CONTROL!$C$42, 30, 30))/1000000</f>
        <v>4.125</v>
      </c>
      <c r="W522" s="58">
        <f>(1000*CHOOSE(CONTROL!$C$42, 0.1146, 0.1146)*CHOOSE(CONTROL!$C$42, 121.5, 121.5)*CHOOSE(CONTROL!$C$42, 30, 30))/1000000</f>
        <v>0.417717</v>
      </c>
      <c r="X522" s="58">
        <f>(30*0.1790888*245000/1000000)+(30*0.2374*100000/1000000)</f>
        <v>2.0285026799999999</v>
      </c>
      <c r="Y522" s="58"/>
      <c r="Z522" s="10"/>
      <c r="AA522" s="57"/>
      <c r="AB522" s="51">
        <f>(B522*194.205+C522*267.466+D522*133.845+E522*53.484+F522*40+G522*185+H522*0+I522*100+J522*300)/(194.205+267.466+133.845+53.484+0+40+185+100+300)</f>
        <v>21.291389899921509</v>
      </c>
      <c r="AC522" s="27">
        <f>(M522*'RAP TEMPLATE-GAS AVAILABILITY'!O521+N522*'RAP TEMPLATE-GAS AVAILABILITY'!P521+O522*'RAP TEMPLATE-GAS AVAILABILITY'!Q521+P522*'RAP TEMPLATE-GAS AVAILABILITY'!R521)/('RAP TEMPLATE-GAS AVAILABILITY'!O521+'RAP TEMPLATE-GAS AVAILABILITY'!P521+'RAP TEMPLATE-GAS AVAILABILITY'!Q521+'RAP TEMPLATE-GAS AVAILABILITY'!R521)</f>
        <v>21.110909352517986</v>
      </c>
    </row>
    <row r="523" spans="1:29" ht="15.75" x14ac:dyDescent="0.25">
      <c r="A523" s="13">
        <v>56826</v>
      </c>
      <c r="B523" s="10">
        <f>CHOOSE(CONTROL!$C$42, 20.8665, 20.8665) * CHOOSE(CONTROL!$C$21, $C$9, 100%, $E$9)</f>
        <v>20.866499999999998</v>
      </c>
      <c r="C523" s="10">
        <f>CHOOSE(CONTROL!$C$42, 20.8744, 20.8744) * CHOOSE(CONTROL!$C$21, $C$9, 100%, $E$9)</f>
        <v>20.874400000000001</v>
      </c>
      <c r="D523" s="10">
        <f>CHOOSE(CONTROL!$C$42, 21.0669, 21.0669) * CHOOSE(CONTROL!$C$21, $C$9, 100%, $E$9)</f>
        <v>21.0669</v>
      </c>
      <c r="E523" s="10">
        <f>CHOOSE(CONTROL!$C$42, 21.098, 21.098) * CHOOSE(CONTROL!$C$21, $C$9, 100%, $E$9)</f>
        <v>21.097999999999999</v>
      </c>
      <c r="F523" s="10">
        <f>CHOOSE(CONTROL!$C$42, 20.8334, 20.8334)*CHOOSE(CONTROL!$C$21, $C$9, 100%, $E$9)</f>
        <v>20.833400000000001</v>
      </c>
      <c r="G523" s="10">
        <f>CHOOSE(CONTROL!$C$42, 20.8507, 20.8507)*CHOOSE(CONTROL!$C$21, $C$9, 100%, $E$9)</f>
        <v>20.8507</v>
      </c>
      <c r="H523" s="10">
        <f>CHOOSE(CONTROL!$C$42, 21.0866, 21.0866) * CHOOSE(CONTROL!$C$21, $C$9, 100%, $E$9)</f>
        <v>21.086600000000001</v>
      </c>
      <c r="I523" s="10">
        <f>CHOOSE(CONTROL!$C$42, 20.8331, 20.8331)* CHOOSE(CONTROL!$C$21, $C$9, 100%, $E$9)</f>
        <v>20.833100000000002</v>
      </c>
      <c r="J523" s="10">
        <f>CHOOSE(CONTROL!$C$42, 20.8264, 20.8264)* CHOOSE(CONTROL!$C$21, $C$9, 100%, $E$9)</f>
        <v>20.8264</v>
      </c>
      <c r="K523" s="54">
        <f>CHOOSE(CONTROL!$C$42, 20.8292, 20.8292) * CHOOSE(CONTROL!$C$21, $C$9, 100%, $E$9)</f>
        <v>20.8292</v>
      </c>
      <c r="L523" s="10">
        <f>CHOOSE(CONTROL!$C$42, 21.6736, 21.6736) * CHOOSE(CONTROL!$C$21, $C$9, 100%, $E$9)</f>
        <v>21.6736</v>
      </c>
      <c r="M523" s="10">
        <f>CHOOSE(CONTROL!$C$42, 20.6301, 20.6301) * CHOOSE(CONTROL!$C$21, $C$9, 100%, $E$9)</f>
        <v>20.630099999999999</v>
      </c>
      <c r="N523" s="10">
        <f>CHOOSE(CONTROL!$C$42, 20.6472, 20.6472) * CHOOSE(CONTROL!$C$21, $C$9, 100%, $E$9)</f>
        <v>20.647200000000002</v>
      </c>
      <c r="O523" s="10">
        <f>CHOOSE(CONTROL!$C$42, 20.8877, 20.8877) * CHOOSE(CONTROL!$C$21, $C$9, 100%, $E$9)</f>
        <v>20.887699999999999</v>
      </c>
      <c r="P523" s="10">
        <f>CHOOSE(CONTROL!$C$42, 20.6367, 20.6367) * CHOOSE(CONTROL!$C$21, $C$9, 100%, $E$9)</f>
        <v>20.636700000000001</v>
      </c>
      <c r="Q523" s="10">
        <f>CHOOSE(CONTROL!$C$42, 21.483, 21.483) * CHOOSE(CONTROL!$C$21, $C$9, 100%, $E$9)</f>
        <v>21.483000000000001</v>
      </c>
      <c r="R523" s="10">
        <f>CHOOSE(CONTROL!$C$42, 22.1237, 22.1237) * CHOOSE(CONTROL!$C$21, $C$9, 100%, $E$9)</f>
        <v>22.123699999999999</v>
      </c>
      <c r="S523" s="10">
        <f>CHOOSE(CONTROL!$C$42, 20.2592, 20.2592) * CHOOSE(CONTROL!$C$21, $C$9, 100%, $E$9)</f>
        <v>20.2592</v>
      </c>
      <c r="T523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523" s="58">
        <f>(1000*CHOOSE(CONTROL!$C$42, 695, 695)*CHOOSE(CONTROL!$C$42, 0.5599, 0.5599)*CHOOSE(CONTROL!$C$42, 31, 31))/1000000</f>
        <v>12.063045499999998</v>
      </c>
      <c r="V523" s="58">
        <f>(1000*CHOOSE(CONTROL!$C$42, 500, 500)*CHOOSE(CONTROL!$C$42, 0.275, 0.275)*CHOOSE(CONTROL!$C$42, 31, 31))/1000000</f>
        <v>4.2625000000000002</v>
      </c>
      <c r="W523" s="58">
        <f>(1000*CHOOSE(CONTROL!$C$42, 0.1146, 0.1146)*CHOOSE(CONTROL!$C$42, 121.5, 121.5)*CHOOSE(CONTROL!$C$42, 31, 31))/1000000</f>
        <v>0.43164089999999994</v>
      </c>
      <c r="X523" s="58">
        <f>(31*0.1790888*245000/1000000)+(31*0.2374*100000/1000000)</f>
        <v>2.0961194359999999</v>
      </c>
      <c r="Y523" s="58"/>
      <c r="Z523" s="10"/>
      <c r="AA523" s="57"/>
      <c r="AB523" s="51">
        <f>(B523*194.205+C523*267.466+D523*133.845+E523*53.484+F523*40+G523*185+H523*0+I523*100+J523*300)/(194.205+267.466+133.845+53.484+0+40+185+100+300)</f>
        <v>20.883533018367348</v>
      </c>
      <c r="AC523" s="27">
        <f>(M523*'RAP TEMPLATE-GAS AVAILABILITY'!O522+N523*'RAP TEMPLATE-GAS AVAILABILITY'!P522+O523*'RAP TEMPLATE-GAS AVAILABILITY'!Q522+P523*'RAP TEMPLATE-GAS AVAILABILITY'!R522)/('RAP TEMPLATE-GAS AVAILABILITY'!O522+'RAP TEMPLATE-GAS AVAILABILITY'!P522+'RAP TEMPLATE-GAS AVAILABILITY'!Q522+'RAP TEMPLATE-GAS AVAILABILITY'!R522)</f>
        <v>20.707262589928057</v>
      </c>
    </row>
    <row r="524" spans="1:29" ht="15.75" x14ac:dyDescent="0.25">
      <c r="A524" s="13">
        <v>56857</v>
      </c>
      <c r="B524" s="10">
        <f>CHOOSE(CONTROL!$C$42, 19.8361, 19.8361) * CHOOSE(CONTROL!$C$21, $C$9, 100%, $E$9)</f>
        <v>19.836099999999998</v>
      </c>
      <c r="C524" s="10">
        <f>CHOOSE(CONTROL!$C$42, 19.844, 19.844) * CHOOSE(CONTROL!$C$21, $C$9, 100%, $E$9)</f>
        <v>19.844000000000001</v>
      </c>
      <c r="D524" s="10">
        <f>CHOOSE(CONTROL!$C$42, 20.0364, 20.0364) * CHOOSE(CONTROL!$C$21, $C$9, 100%, $E$9)</f>
        <v>20.0364</v>
      </c>
      <c r="E524" s="10">
        <f>CHOOSE(CONTROL!$C$42, 20.0676, 20.0676) * CHOOSE(CONTROL!$C$21, $C$9, 100%, $E$9)</f>
        <v>20.067599999999999</v>
      </c>
      <c r="F524" s="10">
        <f>CHOOSE(CONTROL!$C$42, 19.8031, 19.8031)*CHOOSE(CONTROL!$C$21, $C$9, 100%, $E$9)</f>
        <v>19.803100000000001</v>
      </c>
      <c r="G524" s="10">
        <f>CHOOSE(CONTROL!$C$42, 19.8205, 19.8205)*CHOOSE(CONTROL!$C$21, $C$9, 100%, $E$9)</f>
        <v>19.820499999999999</v>
      </c>
      <c r="H524" s="10">
        <f>CHOOSE(CONTROL!$C$42, 20.0562, 20.0562) * CHOOSE(CONTROL!$C$21, $C$9, 100%, $E$9)</f>
        <v>20.0562</v>
      </c>
      <c r="I524" s="10">
        <f>CHOOSE(CONTROL!$C$42, 19.8026, 19.8026)* CHOOSE(CONTROL!$C$21, $C$9, 100%, $E$9)</f>
        <v>19.802600000000002</v>
      </c>
      <c r="J524" s="10">
        <f>CHOOSE(CONTROL!$C$42, 19.7961, 19.7961)* CHOOSE(CONTROL!$C$21, $C$9, 100%, $E$9)</f>
        <v>19.796099999999999</v>
      </c>
      <c r="K524" s="54">
        <f>CHOOSE(CONTROL!$C$42, 19.7988, 19.7988) * CHOOSE(CONTROL!$C$21, $C$9, 100%, $E$9)</f>
        <v>19.7988</v>
      </c>
      <c r="L524" s="10">
        <f>CHOOSE(CONTROL!$C$42, 20.6432, 20.6432) * CHOOSE(CONTROL!$C$21, $C$9, 100%, $E$9)</f>
        <v>20.6432</v>
      </c>
      <c r="M524" s="10">
        <f>CHOOSE(CONTROL!$C$42, 19.6102, 19.6102) * CHOOSE(CONTROL!$C$21, $C$9, 100%, $E$9)</f>
        <v>19.610199999999999</v>
      </c>
      <c r="N524" s="10">
        <f>CHOOSE(CONTROL!$C$42, 19.6274, 19.6274) * CHOOSE(CONTROL!$C$21, $C$9, 100%, $E$9)</f>
        <v>19.627400000000002</v>
      </c>
      <c r="O524" s="10">
        <f>CHOOSE(CONTROL!$C$42, 19.8676, 19.8676) * CHOOSE(CONTROL!$C$21, $C$9, 100%, $E$9)</f>
        <v>19.867599999999999</v>
      </c>
      <c r="P524" s="10">
        <f>CHOOSE(CONTROL!$C$42, 19.6167, 19.6167) * CHOOSE(CONTROL!$C$21, $C$9, 100%, $E$9)</f>
        <v>19.616700000000002</v>
      </c>
      <c r="Q524" s="10">
        <f>CHOOSE(CONTROL!$C$42, 20.4629, 20.4629) * CHOOSE(CONTROL!$C$21, $C$9, 100%, $E$9)</f>
        <v>20.462900000000001</v>
      </c>
      <c r="R524" s="10">
        <f>CHOOSE(CONTROL!$C$42, 21.1011, 21.1011) * CHOOSE(CONTROL!$C$21, $C$9, 100%, $E$9)</f>
        <v>21.101099999999999</v>
      </c>
      <c r="S524" s="10">
        <f>CHOOSE(CONTROL!$C$42, 19.2586, 19.2586) * CHOOSE(CONTROL!$C$21, $C$9, 100%, $E$9)</f>
        <v>19.258600000000001</v>
      </c>
      <c r="T524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524" s="58">
        <f>(1000*CHOOSE(CONTROL!$C$42, 695, 695)*CHOOSE(CONTROL!$C$42, 0.5599, 0.5599)*CHOOSE(CONTROL!$C$42, 31, 31))/1000000</f>
        <v>12.063045499999998</v>
      </c>
      <c r="V524" s="58">
        <f>(1000*CHOOSE(CONTROL!$C$42, 500, 500)*CHOOSE(CONTROL!$C$42, 0.275, 0.275)*CHOOSE(CONTROL!$C$42, 31, 31))/1000000</f>
        <v>4.2625000000000002</v>
      </c>
      <c r="W524" s="58">
        <f>(1000*CHOOSE(CONTROL!$C$42, 0.1146, 0.1146)*CHOOSE(CONTROL!$C$42, 121.5, 121.5)*CHOOSE(CONTROL!$C$42, 31, 31))/1000000</f>
        <v>0.43164089999999994</v>
      </c>
      <c r="X524" s="58">
        <f>(31*0.1790888*245000/1000000)+(31*0.2374*100000/1000000)</f>
        <v>2.0961194359999999</v>
      </c>
      <c r="Y524" s="58"/>
      <c r="Z524" s="10"/>
      <c r="AA524" s="57"/>
      <c r="AB524" s="51">
        <f>(B524*194.205+C524*267.466+D524*133.845+E524*53.484+F524*40+G524*185+H524*0+I524*100+J524*300)/(194.205+267.466+133.845+53.484+0+40+185+100+300)</f>
        <v>19.853170393171116</v>
      </c>
      <c r="AC524" s="27">
        <f>(M524*'RAP TEMPLATE-GAS AVAILABILITY'!O523+N524*'RAP TEMPLATE-GAS AVAILABILITY'!P523+O524*'RAP TEMPLATE-GAS AVAILABILITY'!Q523+P524*'RAP TEMPLATE-GAS AVAILABILITY'!R523)/('RAP TEMPLATE-GAS AVAILABILITY'!O523+'RAP TEMPLATE-GAS AVAILABILITY'!P523+'RAP TEMPLATE-GAS AVAILABILITY'!Q523+'RAP TEMPLATE-GAS AVAILABILITY'!R523)</f>
        <v>19.687315107913669</v>
      </c>
    </row>
    <row r="525" spans="1:29" ht="15.75" x14ac:dyDescent="0.25">
      <c r="A525" s="13">
        <v>56887</v>
      </c>
      <c r="B525" s="10">
        <f>CHOOSE(CONTROL!$C$42, 18.5767, 18.5767) * CHOOSE(CONTROL!$C$21, $C$9, 100%, $E$9)</f>
        <v>18.576699999999999</v>
      </c>
      <c r="C525" s="10">
        <f>CHOOSE(CONTROL!$C$42, 18.5846, 18.5846) * CHOOSE(CONTROL!$C$21, $C$9, 100%, $E$9)</f>
        <v>18.584599999999998</v>
      </c>
      <c r="D525" s="10">
        <f>CHOOSE(CONTROL!$C$42, 18.777, 18.777) * CHOOSE(CONTROL!$C$21, $C$9, 100%, $E$9)</f>
        <v>18.777000000000001</v>
      </c>
      <c r="E525" s="10">
        <f>CHOOSE(CONTROL!$C$42, 18.8082, 18.8082) * CHOOSE(CONTROL!$C$21, $C$9, 100%, $E$9)</f>
        <v>18.808199999999999</v>
      </c>
      <c r="F525" s="10">
        <f>CHOOSE(CONTROL!$C$42, 18.5436, 18.5436)*CHOOSE(CONTROL!$C$21, $C$9, 100%, $E$9)</f>
        <v>18.543600000000001</v>
      </c>
      <c r="G525" s="10">
        <f>CHOOSE(CONTROL!$C$42, 18.5609, 18.5609)*CHOOSE(CONTROL!$C$21, $C$9, 100%, $E$9)</f>
        <v>18.5609</v>
      </c>
      <c r="H525" s="10">
        <f>CHOOSE(CONTROL!$C$42, 18.7968, 18.7968) * CHOOSE(CONTROL!$C$21, $C$9, 100%, $E$9)</f>
        <v>18.796800000000001</v>
      </c>
      <c r="I525" s="10">
        <f>CHOOSE(CONTROL!$C$42, 18.5433, 18.5433)* CHOOSE(CONTROL!$C$21, $C$9, 100%, $E$9)</f>
        <v>18.543299999999999</v>
      </c>
      <c r="J525" s="10">
        <f>CHOOSE(CONTROL!$C$42, 18.5366, 18.5366)* CHOOSE(CONTROL!$C$21, $C$9, 100%, $E$9)</f>
        <v>18.5366</v>
      </c>
      <c r="K525" s="54">
        <f>CHOOSE(CONTROL!$C$42, 18.5394, 18.5394) * CHOOSE(CONTROL!$C$21, $C$9, 100%, $E$9)</f>
        <v>18.539400000000001</v>
      </c>
      <c r="L525" s="10">
        <f>CHOOSE(CONTROL!$C$42, 19.3838, 19.3838) * CHOOSE(CONTROL!$C$21, $C$9, 100%, $E$9)</f>
        <v>19.383800000000001</v>
      </c>
      <c r="M525" s="10">
        <f>CHOOSE(CONTROL!$C$42, 18.3633, 18.3633) * CHOOSE(CONTROL!$C$21, $C$9, 100%, $E$9)</f>
        <v>18.363299999999999</v>
      </c>
      <c r="N525" s="10">
        <f>CHOOSE(CONTROL!$C$42, 18.3805, 18.3805) * CHOOSE(CONTROL!$C$21, $C$9, 100%, $E$9)</f>
        <v>18.380500000000001</v>
      </c>
      <c r="O525" s="10">
        <f>CHOOSE(CONTROL!$C$42, 18.6209, 18.6209) * CHOOSE(CONTROL!$C$21, $C$9, 100%, $E$9)</f>
        <v>18.620899999999999</v>
      </c>
      <c r="P525" s="10">
        <f>CHOOSE(CONTROL!$C$42, 18.37, 18.37) * CHOOSE(CONTROL!$C$21, $C$9, 100%, $E$9)</f>
        <v>18.37</v>
      </c>
      <c r="Q525" s="10">
        <f>CHOOSE(CONTROL!$C$42, 19.2162, 19.2162) * CHOOSE(CONTROL!$C$21, $C$9, 100%, $E$9)</f>
        <v>19.216200000000001</v>
      </c>
      <c r="R525" s="10">
        <f>CHOOSE(CONTROL!$C$42, 19.8513, 19.8513) * CHOOSE(CONTROL!$C$21, $C$9, 100%, $E$9)</f>
        <v>19.851299999999998</v>
      </c>
      <c r="S525" s="10">
        <f>CHOOSE(CONTROL!$C$42, 18.0356, 18.0356) * CHOOSE(CONTROL!$C$21, $C$9, 100%, $E$9)</f>
        <v>18.035599999999999</v>
      </c>
      <c r="T525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525" s="58">
        <f>(1000*CHOOSE(CONTROL!$C$42, 695, 695)*CHOOSE(CONTROL!$C$42, 0.5599, 0.5599)*CHOOSE(CONTROL!$C$42, 30, 30))/1000000</f>
        <v>11.673914999999997</v>
      </c>
      <c r="V525" s="58">
        <f>(1000*CHOOSE(CONTROL!$C$42, 500, 500)*CHOOSE(CONTROL!$C$42, 0.275, 0.275)*CHOOSE(CONTROL!$C$42, 30, 30))/1000000</f>
        <v>4.125</v>
      </c>
      <c r="W525" s="58">
        <f>(1000*CHOOSE(CONTROL!$C$42, 0.1146, 0.1146)*CHOOSE(CONTROL!$C$42, 121.5, 121.5)*CHOOSE(CONTROL!$C$42, 30, 30))/1000000</f>
        <v>0.417717</v>
      </c>
      <c r="X525" s="58">
        <f>(30*0.1790888*245000/1000000)+(30*0.2374*100000/1000000)</f>
        <v>2.0285026799999999</v>
      </c>
      <c r="Y525" s="58"/>
      <c r="Z525" s="10"/>
      <c r="AA525" s="57"/>
      <c r="AB525" s="51">
        <f>(B525*194.205+C525*267.466+D525*133.845+E525*53.484+F525*40+G525*185+H525*0+I525*100+J525*300)/(194.205+267.466+133.845+53.484+0+40+185+100+300)</f>
        <v>18.593722512480376</v>
      </c>
      <c r="AC525" s="27">
        <f>(M525*'RAP TEMPLATE-GAS AVAILABILITY'!O524+N525*'RAP TEMPLATE-GAS AVAILABILITY'!P524+O525*'RAP TEMPLATE-GAS AVAILABILITY'!Q524+P525*'RAP TEMPLATE-GAS AVAILABILITY'!R524)/('RAP TEMPLATE-GAS AVAILABILITY'!O524+'RAP TEMPLATE-GAS AVAILABILITY'!P524+'RAP TEMPLATE-GAS AVAILABILITY'!Q524+'RAP TEMPLATE-GAS AVAILABILITY'!R524)</f>
        <v>18.4405</v>
      </c>
    </row>
    <row r="526" spans="1:29" ht="15.75" x14ac:dyDescent="0.25">
      <c r="A526" s="13">
        <v>56918</v>
      </c>
      <c r="B526" s="10">
        <f>CHOOSE(CONTROL!$C$42, 18.1979, 18.1979) * CHOOSE(CONTROL!$C$21, $C$9, 100%, $E$9)</f>
        <v>18.197900000000001</v>
      </c>
      <c r="C526" s="10">
        <f>CHOOSE(CONTROL!$C$42, 18.2031, 18.2031) * CHOOSE(CONTROL!$C$21, $C$9, 100%, $E$9)</f>
        <v>18.203099999999999</v>
      </c>
      <c r="D526" s="10">
        <f>CHOOSE(CONTROL!$C$42, 18.4005, 18.4005) * CHOOSE(CONTROL!$C$21, $C$9, 100%, $E$9)</f>
        <v>18.400500000000001</v>
      </c>
      <c r="E526" s="10">
        <f>CHOOSE(CONTROL!$C$42, 18.4293, 18.4293) * CHOOSE(CONTROL!$C$21, $C$9, 100%, $E$9)</f>
        <v>18.429300000000001</v>
      </c>
      <c r="F526" s="10">
        <f>CHOOSE(CONTROL!$C$42, 18.1668, 18.1668)*CHOOSE(CONTROL!$C$21, $C$9, 100%, $E$9)</f>
        <v>18.166799999999999</v>
      </c>
      <c r="G526" s="10">
        <f>CHOOSE(CONTROL!$C$42, 18.1837, 18.1837)*CHOOSE(CONTROL!$C$21, $C$9, 100%, $E$9)</f>
        <v>18.183700000000002</v>
      </c>
      <c r="H526" s="10">
        <f>CHOOSE(CONTROL!$C$42, 18.4197, 18.4197) * CHOOSE(CONTROL!$C$21, $C$9, 100%, $E$9)</f>
        <v>18.419699999999999</v>
      </c>
      <c r="I526" s="10">
        <f>CHOOSE(CONTROL!$C$42, 18.1662, 18.1662)* CHOOSE(CONTROL!$C$21, $C$9, 100%, $E$9)</f>
        <v>18.1662</v>
      </c>
      <c r="J526" s="10">
        <f>CHOOSE(CONTROL!$C$42, 18.1598, 18.1598)* CHOOSE(CONTROL!$C$21, $C$9, 100%, $E$9)</f>
        <v>18.159800000000001</v>
      </c>
      <c r="K526" s="54">
        <f>CHOOSE(CONTROL!$C$42, 18.1623, 18.1623) * CHOOSE(CONTROL!$C$21, $C$9, 100%, $E$9)</f>
        <v>18.162299999999998</v>
      </c>
      <c r="L526" s="10">
        <f>CHOOSE(CONTROL!$C$42, 19.0067, 19.0067) * CHOOSE(CONTROL!$C$21, $C$9, 100%, $E$9)</f>
        <v>19.006699999999999</v>
      </c>
      <c r="M526" s="10">
        <f>CHOOSE(CONTROL!$C$42, 17.9903, 17.9903) * CHOOSE(CONTROL!$C$21, $C$9, 100%, $E$9)</f>
        <v>17.990300000000001</v>
      </c>
      <c r="N526" s="10">
        <f>CHOOSE(CONTROL!$C$42, 18.0071, 18.0071) * CHOOSE(CONTROL!$C$21, $C$9, 100%, $E$9)</f>
        <v>18.007100000000001</v>
      </c>
      <c r="O526" s="10">
        <f>CHOOSE(CONTROL!$C$42, 18.2477, 18.2477) * CHOOSE(CONTROL!$C$21, $C$9, 100%, $E$9)</f>
        <v>18.247699999999998</v>
      </c>
      <c r="P526" s="10">
        <f>CHOOSE(CONTROL!$C$42, 17.9967, 17.9967) * CHOOSE(CONTROL!$C$21, $C$9, 100%, $E$9)</f>
        <v>17.996700000000001</v>
      </c>
      <c r="Q526" s="10">
        <f>CHOOSE(CONTROL!$C$42, 18.843, 18.843) * CHOOSE(CONTROL!$C$21, $C$9, 100%, $E$9)</f>
        <v>18.843</v>
      </c>
      <c r="R526" s="10">
        <f>CHOOSE(CONTROL!$C$42, 19.4771, 19.4771) * CHOOSE(CONTROL!$C$21, $C$9, 100%, $E$9)</f>
        <v>19.4771</v>
      </c>
      <c r="S526" s="10">
        <f>CHOOSE(CONTROL!$C$42, 17.6694, 17.6694) * CHOOSE(CONTROL!$C$21, $C$9, 100%, $E$9)</f>
        <v>17.6694</v>
      </c>
      <c r="T526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526" s="58">
        <f>(1000*CHOOSE(CONTROL!$C$42, 695, 695)*CHOOSE(CONTROL!$C$42, 0.5599, 0.5599)*CHOOSE(CONTROL!$C$42, 31, 31))/1000000</f>
        <v>12.063045499999998</v>
      </c>
      <c r="V526" s="58">
        <f>(1000*CHOOSE(CONTROL!$C$42, 500, 500)*CHOOSE(CONTROL!$C$42, 0.275, 0.275)*CHOOSE(CONTROL!$C$42, 31, 31))/1000000</f>
        <v>4.2625000000000002</v>
      </c>
      <c r="W526" s="58">
        <f>(1000*CHOOSE(CONTROL!$C$42, 0.1146, 0.1146)*CHOOSE(CONTROL!$C$42, 121.5, 121.5)*CHOOSE(CONTROL!$C$42, 31, 31))/1000000</f>
        <v>0.43164089999999994</v>
      </c>
      <c r="X526" s="58">
        <f>(31*0.1790888*245000/1000000)+(31*0.2374*100000/1000000)</f>
        <v>2.0961194359999999</v>
      </c>
      <c r="Y526" s="58"/>
      <c r="Z526" s="10"/>
      <c r="AA526" s="57"/>
      <c r="AB526" s="51">
        <f>(B526*131.881+C526*277.167+D526*79.08+E526*125.872+F526*40+G526*185+H526*0+I526*100+J526*300)/(131.881+277.167+79.08+125.872+0+40+185+100+300)</f>
        <v>18.220594638579502</v>
      </c>
      <c r="AC526" s="27">
        <f>(M526*'RAP TEMPLATE-GAS AVAILABILITY'!O525+N526*'RAP TEMPLATE-GAS AVAILABILITY'!P525+O526*'RAP TEMPLATE-GAS AVAILABILITY'!Q525+P526*'RAP TEMPLATE-GAS AVAILABILITY'!R525)/('RAP TEMPLATE-GAS AVAILABILITY'!O525+'RAP TEMPLATE-GAS AVAILABILITY'!P525+'RAP TEMPLATE-GAS AVAILABILITY'!Q525+'RAP TEMPLATE-GAS AVAILABILITY'!R525)</f>
        <v>18.067308633093525</v>
      </c>
    </row>
    <row r="527" spans="1:29" ht="15.75" x14ac:dyDescent="0.25">
      <c r="A527" s="13">
        <v>56948</v>
      </c>
      <c r="B527" s="10">
        <f>CHOOSE(CONTROL!$C$42, 18.6768, 18.6768) * CHOOSE(CONTROL!$C$21, $C$9, 100%, $E$9)</f>
        <v>18.6768</v>
      </c>
      <c r="C527" s="10">
        <f>CHOOSE(CONTROL!$C$42, 18.6817, 18.6817) * CHOOSE(CONTROL!$C$21, $C$9, 100%, $E$9)</f>
        <v>18.681699999999999</v>
      </c>
      <c r="D527" s="10">
        <f>CHOOSE(CONTROL!$C$42, 18.7113, 18.7113) * CHOOSE(CONTROL!$C$21, $C$9, 100%, $E$9)</f>
        <v>18.711300000000001</v>
      </c>
      <c r="E527" s="10">
        <f>CHOOSE(CONTROL!$C$42, 18.7451, 18.7451) * CHOOSE(CONTROL!$C$21, $C$9, 100%, $E$9)</f>
        <v>18.745100000000001</v>
      </c>
      <c r="F527" s="10">
        <f>CHOOSE(CONTROL!$C$42, 18.6436, 18.6436)*CHOOSE(CONTROL!$C$21, $C$9, 100%, $E$9)</f>
        <v>18.643599999999999</v>
      </c>
      <c r="G527" s="10">
        <f>CHOOSE(CONTROL!$C$42, 18.6607, 18.6607)*CHOOSE(CONTROL!$C$21, $C$9, 100%, $E$9)</f>
        <v>18.660699999999999</v>
      </c>
      <c r="H527" s="10">
        <f>CHOOSE(CONTROL!$C$42, 18.7343, 18.7343) * CHOOSE(CONTROL!$C$21, $C$9, 100%, $E$9)</f>
        <v>18.734300000000001</v>
      </c>
      <c r="I527" s="10">
        <f>CHOOSE(CONTROL!$C$42, 18.6404, 18.6404)* CHOOSE(CONTROL!$C$21, $C$9, 100%, $E$9)</f>
        <v>18.6404</v>
      </c>
      <c r="J527" s="10">
        <f>CHOOSE(CONTROL!$C$42, 18.6366, 18.6366)* CHOOSE(CONTROL!$C$21, $C$9, 100%, $E$9)</f>
        <v>18.636600000000001</v>
      </c>
      <c r="K527" s="54">
        <f>CHOOSE(CONTROL!$C$42, 18.6365, 18.6365) * CHOOSE(CONTROL!$C$21, $C$9, 100%, $E$9)</f>
        <v>18.636500000000002</v>
      </c>
      <c r="L527" s="10">
        <f>CHOOSE(CONTROL!$C$42, 19.3213, 19.3213) * CHOOSE(CONTROL!$C$21, $C$9, 100%, $E$9)</f>
        <v>19.321300000000001</v>
      </c>
      <c r="M527" s="10">
        <f>CHOOSE(CONTROL!$C$42, 18.4623, 18.4623) * CHOOSE(CONTROL!$C$21, $C$9, 100%, $E$9)</f>
        <v>18.462299999999999</v>
      </c>
      <c r="N527" s="10">
        <f>CHOOSE(CONTROL!$C$42, 18.4793, 18.4793) * CHOOSE(CONTROL!$C$21, $C$9, 100%, $E$9)</f>
        <v>18.479299999999999</v>
      </c>
      <c r="O527" s="10">
        <f>CHOOSE(CONTROL!$C$42, 18.5591, 18.5591) * CHOOSE(CONTROL!$C$21, $C$9, 100%, $E$9)</f>
        <v>18.559100000000001</v>
      </c>
      <c r="P527" s="10">
        <f>CHOOSE(CONTROL!$C$42, 18.4661, 18.4661) * CHOOSE(CONTROL!$C$21, $C$9, 100%, $E$9)</f>
        <v>18.466100000000001</v>
      </c>
      <c r="Q527" s="10">
        <f>CHOOSE(CONTROL!$C$42, 19.1544, 19.1544) * CHOOSE(CONTROL!$C$21, $C$9, 100%, $E$9)</f>
        <v>19.154399999999999</v>
      </c>
      <c r="R527" s="10">
        <f>CHOOSE(CONTROL!$C$42, 19.7893, 19.7893) * CHOOSE(CONTROL!$C$21, $C$9, 100%, $E$9)</f>
        <v>19.789300000000001</v>
      </c>
      <c r="S527" s="10">
        <f>CHOOSE(CONTROL!$C$42, 18.1349, 18.1349) * CHOOSE(CONTROL!$C$21, $C$9, 100%, $E$9)</f>
        <v>18.134899999999998</v>
      </c>
      <c r="T527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527" s="58">
        <f>(1000*CHOOSE(CONTROL!$C$42, 695, 695)*CHOOSE(CONTROL!$C$42, 0.5599, 0.5599)*CHOOSE(CONTROL!$C$42, 30, 30))/1000000</f>
        <v>11.673914999999997</v>
      </c>
      <c r="V527" s="58">
        <f>(1000*CHOOSE(CONTROL!$C$42, 500, 500)*CHOOSE(CONTROL!$C$42, 0.275, 0.275)*CHOOSE(CONTROL!$C$42, 30, 30))/1000000</f>
        <v>4.125</v>
      </c>
      <c r="W527" s="58">
        <f>(1000*CHOOSE(CONTROL!$C$42, 0.1146, 0.1146)*CHOOSE(CONTROL!$C$42, 121.5, 121.5)*CHOOSE(CONTROL!$C$42, 30, 30))/1000000</f>
        <v>0.417717</v>
      </c>
      <c r="X527" s="58">
        <f>(30*0.1790888*100000/1000000)+(30*0.2374*100000/1000000)</f>
        <v>1.2494664</v>
      </c>
      <c r="Y527" s="58"/>
      <c r="Z527" s="10"/>
      <c r="AA527" s="57"/>
      <c r="AB527" s="51">
        <f>(B527*122.58+C527*297.941+D527*89.177+E527*40.302+F527*40+G527*160+H527*0+I527*100+J527*300)/(122.58+297.941+89.177+40.302+0+40+160+100+300)</f>
        <v>18.666091429565217</v>
      </c>
      <c r="AC527" s="27">
        <f>(M527*'RAP TEMPLATE-GAS AVAILABILITY'!O526+N527*'RAP TEMPLATE-GAS AVAILABILITY'!P526+O527*'RAP TEMPLATE-GAS AVAILABILITY'!Q526+P527*'RAP TEMPLATE-GAS AVAILABILITY'!R526)/('RAP TEMPLATE-GAS AVAILABILITY'!O526+'RAP TEMPLATE-GAS AVAILABILITY'!P526+'RAP TEMPLATE-GAS AVAILABILITY'!Q526+'RAP TEMPLATE-GAS AVAILABILITY'!R526)</f>
        <v>18.507698561151081</v>
      </c>
    </row>
    <row r="528" spans="1:29" ht="15.75" x14ac:dyDescent="0.25">
      <c r="A528" s="13">
        <v>56979</v>
      </c>
      <c r="B528" s="10">
        <f>CHOOSE(CONTROL!$C$42, 19.9499, 19.9499) * CHOOSE(CONTROL!$C$21, $C$9, 100%, $E$9)</f>
        <v>19.9499</v>
      </c>
      <c r="C528" s="10">
        <f>CHOOSE(CONTROL!$C$42, 19.9549, 19.9549) * CHOOSE(CONTROL!$C$21, $C$9, 100%, $E$9)</f>
        <v>19.954899999999999</v>
      </c>
      <c r="D528" s="10">
        <f>CHOOSE(CONTROL!$C$42, 19.9845, 19.9845) * CHOOSE(CONTROL!$C$21, $C$9, 100%, $E$9)</f>
        <v>19.984500000000001</v>
      </c>
      <c r="E528" s="10">
        <f>CHOOSE(CONTROL!$C$42, 20.0183, 20.0183) * CHOOSE(CONTROL!$C$21, $C$9, 100%, $E$9)</f>
        <v>20.0183</v>
      </c>
      <c r="F528" s="10">
        <f>CHOOSE(CONTROL!$C$42, 19.9181, 19.9181)*CHOOSE(CONTROL!$C$21, $C$9, 100%, $E$9)</f>
        <v>19.918099999999999</v>
      </c>
      <c r="G528" s="10">
        <f>CHOOSE(CONTROL!$C$42, 19.9356, 19.9356)*CHOOSE(CONTROL!$C$21, $C$9, 100%, $E$9)</f>
        <v>19.935600000000001</v>
      </c>
      <c r="H528" s="10">
        <f>CHOOSE(CONTROL!$C$42, 20.0075, 20.0075) * CHOOSE(CONTROL!$C$21, $C$9, 100%, $E$9)</f>
        <v>20.0075</v>
      </c>
      <c r="I528" s="10">
        <f>CHOOSE(CONTROL!$C$42, 19.9135, 19.9135)* CHOOSE(CONTROL!$C$21, $C$9, 100%, $E$9)</f>
        <v>19.913499999999999</v>
      </c>
      <c r="J528" s="10">
        <f>CHOOSE(CONTROL!$C$42, 19.9111, 19.9111)* CHOOSE(CONTROL!$C$21, $C$9, 100%, $E$9)</f>
        <v>19.911100000000001</v>
      </c>
      <c r="K528" s="54">
        <f>CHOOSE(CONTROL!$C$42, 19.9096, 19.9096) * CHOOSE(CONTROL!$C$21, $C$9, 100%, $E$9)</f>
        <v>19.909600000000001</v>
      </c>
      <c r="L528" s="10">
        <f>CHOOSE(CONTROL!$C$42, 20.5945, 20.5945) * CHOOSE(CONTROL!$C$21, $C$9, 100%, $E$9)</f>
        <v>20.5945</v>
      </c>
      <c r="M528" s="10">
        <f>CHOOSE(CONTROL!$C$42, 19.724, 19.724) * CHOOSE(CONTROL!$C$21, $C$9, 100%, $E$9)</f>
        <v>19.724</v>
      </c>
      <c r="N528" s="10">
        <f>CHOOSE(CONTROL!$C$42, 19.7414, 19.7414) * CHOOSE(CONTROL!$C$21, $C$9, 100%, $E$9)</f>
        <v>19.741399999999999</v>
      </c>
      <c r="O528" s="10">
        <f>CHOOSE(CONTROL!$C$42, 19.8194, 19.8194) * CHOOSE(CONTROL!$C$21, $C$9, 100%, $E$9)</f>
        <v>19.819400000000002</v>
      </c>
      <c r="P528" s="10">
        <f>CHOOSE(CONTROL!$C$42, 19.7264, 19.7264) * CHOOSE(CONTROL!$C$21, $C$9, 100%, $E$9)</f>
        <v>19.726400000000002</v>
      </c>
      <c r="Q528" s="10">
        <f>CHOOSE(CONTROL!$C$42, 20.4147, 20.4147) * CHOOSE(CONTROL!$C$21, $C$9, 100%, $E$9)</f>
        <v>20.4147</v>
      </c>
      <c r="R528" s="10">
        <f>CHOOSE(CONTROL!$C$42, 21.0527, 21.0527) * CHOOSE(CONTROL!$C$21, $C$9, 100%, $E$9)</f>
        <v>21.052700000000002</v>
      </c>
      <c r="S528" s="10">
        <f>CHOOSE(CONTROL!$C$42, 19.3712, 19.3712) * CHOOSE(CONTROL!$C$21, $C$9, 100%, $E$9)</f>
        <v>19.371200000000002</v>
      </c>
      <c r="T528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528" s="58">
        <f>(1000*CHOOSE(CONTROL!$C$42, 695, 695)*CHOOSE(CONTROL!$C$42, 0.5599, 0.5599)*CHOOSE(CONTROL!$C$42, 31, 31))/1000000</f>
        <v>12.063045499999998</v>
      </c>
      <c r="V528" s="58">
        <f>(1000*CHOOSE(CONTROL!$C$42, 500, 500)*CHOOSE(CONTROL!$C$42, 0.275, 0.275)*CHOOSE(CONTROL!$C$42, 31, 31))/1000000</f>
        <v>4.2625000000000002</v>
      </c>
      <c r="W528" s="58">
        <f>(1000*CHOOSE(CONTROL!$C$42, 0.1146, 0.1146)*CHOOSE(CONTROL!$C$42, 121.5, 121.5)*CHOOSE(CONTROL!$C$42, 31, 31))/1000000</f>
        <v>0.43164089999999994</v>
      </c>
      <c r="X528" s="58">
        <f>(31*0.1790888*100000/1000000)+(31*0.2374*100000/1000000)</f>
        <v>1.2911152800000001</v>
      </c>
      <c r="Y528" s="58"/>
      <c r="Z528" s="10"/>
      <c r="AA528" s="57"/>
      <c r="AB528" s="51">
        <f>(B528*122.58+C528*297.941+D528*89.177+E528*40.302+F528*40+G528*160+H528*0+I528*100+J528*300)/(122.58+297.941+89.177+40.302+0+40+160+100+300)</f>
        <v>19.939892944347825</v>
      </c>
      <c r="AC528" s="27">
        <f>(M528*'RAP TEMPLATE-GAS AVAILABILITY'!O527+N528*'RAP TEMPLATE-GAS AVAILABILITY'!P527+O528*'RAP TEMPLATE-GAS AVAILABILITY'!Q527+P528*'RAP TEMPLATE-GAS AVAILABILITY'!R527)/('RAP TEMPLATE-GAS AVAILABILITY'!O527+'RAP TEMPLATE-GAS AVAILABILITY'!P527+'RAP TEMPLATE-GAS AVAILABILITY'!Q527+'RAP TEMPLATE-GAS AVAILABILITY'!R527)</f>
        <v>19.768585611510794</v>
      </c>
    </row>
    <row r="529" spans="1:29" ht="15.75" x14ac:dyDescent="0.25">
      <c r="A529" s="13">
        <v>57010</v>
      </c>
      <c r="B529" s="10">
        <f>CHOOSE(CONTROL!$C$42, 21.5843, 21.5843) * CHOOSE(CONTROL!$C$21, $C$9, 100%, $E$9)</f>
        <v>21.584299999999999</v>
      </c>
      <c r="C529" s="10">
        <f>CHOOSE(CONTROL!$C$42, 21.5893, 21.5893) * CHOOSE(CONTROL!$C$21, $C$9, 100%, $E$9)</f>
        <v>21.589300000000001</v>
      </c>
      <c r="D529" s="10">
        <f>CHOOSE(CONTROL!$C$42, 21.6395, 21.6395) * CHOOSE(CONTROL!$C$21, $C$9, 100%, $E$9)</f>
        <v>21.639500000000002</v>
      </c>
      <c r="E529" s="10">
        <f>CHOOSE(CONTROL!$C$42, 21.6733, 21.6733) * CHOOSE(CONTROL!$C$21, $C$9, 100%, $E$9)</f>
        <v>21.673300000000001</v>
      </c>
      <c r="F529" s="10">
        <f>CHOOSE(CONTROL!$C$42, 21.5497, 21.5497)*CHOOSE(CONTROL!$C$21, $C$9, 100%, $E$9)</f>
        <v>21.549700000000001</v>
      </c>
      <c r="G529" s="10">
        <f>CHOOSE(CONTROL!$C$42, 21.5672, 21.5672)*CHOOSE(CONTROL!$C$21, $C$9, 100%, $E$9)</f>
        <v>21.5672</v>
      </c>
      <c r="H529" s="10">
        <f>CHOOSE(CONTROL!$C$42, 21.6625, 21.6625) * CHOOSE(CONTROL!$C$21, $C$9, 100%, $E$9)</f>
        <v>21.662500000000001</v>
      </c>
      <c r="I529" s="10">
        <f>CHOOSE(CONTROL!$C$42, 21.5582, 21.5582)* CHOOSE(CONTROL!$C$21, $C$9, 100%, $E$9)</f>
        <v>21.558199999999999</v>
      </c>
      <c r="J529" s="10">
        <f>CHOOSE(CONTROL!$C$42, 21.5427, 21.5427)* CHOOSE(CONTROL!$C$21, $C$9, 100%, $E$9)</f>
        <v>21.5427</v>
      </c>
      <c r="K529" s="54">
        <f>CHOOSE(CONTROL!$C$42, 21.5543, 21.5543) * CHOOSE(CONTROL!$C$21, $C$9, 100%, $E$9)</f>
        <v>21.554300000000001</v>
      </c>
      <c r="L529" s="10">
        <f>CHOOSE(CONTROL!$C$42, 22.2495, 22.2495) * CHOOSE(CONTROL!$C$21, $C$9, 100%, $E$9)</f>
        <v>22.249500000000001</v>
      </c>
      <c r="M529" s="10">
        <f>CHOOSE(CONTROL!$C$42, 21.3391, 21.3391) * CHOOSE(CONTROL!$C$21, $C$9, 100%, $E$9)</f>
        <v>21.339099999999998</v>
      </c>
      <c r="N529" s="10">
        <f>CHOOSE(CONTROL!$C$42, 21.3565, 21.3565) * CHOOSE(CONTROL!$C$21, $C$9, 100%, $E$9)</f>
        <v>21.3565</v>
      </c>
      <c r="O529" s="10">
        <f>CHOOSE(CONTROL!$C$42, 21.4577, 21.4577) * CHOOSE(CONTROL!$C$21, $C$9, 100%, $E$9)</f>
        <v>21.457699999999999</v>
      </c>
      <c r="P529" s="10">
        <f>CHOOSE(CONTROL!$C$42, 21.3545, 21.3545) * CHOOSE(CONTROL!$C$21, $C$9, 100%, $E$9)</f>
        <v>21.354500000000002</v>
      </c>
      <c r="Q529" s="10">
        <f>CHOOSE(CONTROL!$C$42, 22.053, 22.053) * CHOOSE(CONTROL!$C$21, $C$9, 100%, $E$9)</f>
        <v>22.053000000000001</v>
      </c>
      <c r="R529" s="10">
        <f>CHOOSE(CONTROL!$C$42, 22.6951, 22.6951) * CHOOSE(CONTROL!$C$21, $C$9, 100%, $E$9)</f>
        <v>22.6951</v>
      </c>
      <c r="S529" s="10">
        <f>CHOOSE(CONTROL!$C$42, 20.9584, 20.9584) * CHOOSE(CONTROL!$C$21, $C$9, 100%, $E$9)</f>
        <v>20.958400000000001</v>
      </c>
      <c r="T529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529" s="58">
        <f>(1000*CHOOSE(CONTROL!$C$42, 695, 695)*CHOOSE(CONTROL!$C$42, 0.5599, 0.5599)*CHOOSE(CONTROL!$C$42, 31, 31))/1000000</f>
        <v>12.063045499999998</v>
      </c>
      <c r="V529" s="58">
        <f>(1000*CHOOSE(CONTROL!$C$42, 500, 500)*CHOOSE(CONTROL!$C$42, 0.275, 0.275)*CHOOSE(CONTROL!$C$42, 31, 31))/1000000</f>
        <v>4.2625000000000002</v>
      </c>
      <c r="W529" s="58">
        <f>(1000*CHOOSE(CONTROL!$C$42, 0.1146, 0.1146)*CHOOSE(CONTROL!$C$42, 121.5, 121.5)*CHOOSE(CONTROL!$C$42, 31, 31))/1000000</f>
        <v>0.43164089999999994</v>
      </c>
      <c r="X529" s="58">
        <f>(31*0.1790888*100000/1000000)+(31*0.2374*100000/1000000)</f>
        <v>1.2911152800000001</v>
      </c>
      <c r="Y529" s="58"/>
      <c r="Z529" s="10"/>
      <c r="AA529" s="57"/>
      <c r="AB529" s="51">
        <f>(B529*122.58+C529*297.941+D529*89.177+E529*40.302+F529*40+G529*160+H529*0+I529*100+J529*300)/(122.58+297.941+89.177+40.302+0+40+160+100+300)</f>
        <v>21.576290568173917</v>
      </c>
      <c r="AC529" s="27">
        <f>(M529*'RAP TEMPLATE-GAS AVAILABILITY'!O528+N529*'RAP TEMPLATE-GAS AVAILABILITY'!P528+O529*'RAP TEMPLATE-GAS AVAILABILITY'!Q528+P529*'RAP TEMPLATE-GAS AVAILABILITY'!R528)/('RAP TEMPLATE-GAS AVAILABILITY'!O528+'RAP TEMPLATE-GAS AVAILABILITY'!P528+'RAP TEMPLATE-GAS AVAILABILITY'!Q528+'RAP TEMPLATE-GAS AVAILABILITY'!R528)</f>
        <v>21.396071223021583</v>
      </c>
    </row>
    <row r="530" spans="1:29" ht="15.75" x14ac:dyDescent="0.25">
      <c r="A530" s="13">
        <v>57038</v>
      </c>
      <c r="B530" s="10">
        <f>CHOOSE(CONTROL!$C$42, 21.9685, 21.9685) * CHOOSE(CONTROL!$C$21, $C$9, 100%, $E$9)</f>
        <v>21.968499999999999</v>
      </c>
      <c r="C530" s="10">
        <f>CHOOSE(CONTROL!$C$42, 21.9735, 21.9735) * CHOOSE(CONTROL!$C$21, $C$9, 100%, $E$9)</f>
        <v>21.973500000000001</v>
      </c>
      <c r="D530" s="10">
        <f>CHOOSE(CONTROL!$C$42, 22.034, 22.034) * CHOOSE(CONTROL!$C$21, $C$9, 100%, $E$9)</f>
        <v>22.033999999999999</v>
      </c>
      <c r="E530" s="10">
        <f>CHOOSE(CONTROL!$C$42, 22.0677, 22.0677) * CHOOSE(CONTROL!$C$21, $C$9, 100%, $E$9)</f>
        <v>22.067699999999999</v>
      </c>
      <c r="F530" s="10">
        <f>CHOOSE(CONTROL!$C$42, 21.9617, 21.9617)*CHOOSE(CONTROL!$C$21, $C$9, 100%, $E$9)</f>
        <v>21.9617</v>
      </c>
      <c r="G530" s="10">
        <f>CHOOSE(CONTROL!$C$42, 21.979, 21.979)*CHOOSE(CONTROL!$C$21, $C$9, 100%, $E$9)</f>
        <v>21.978999999999999</v>
      </c>
      <c r="H530" s="10">
        <f>CHOOSE(CONTROL!$C$42, 22.0569, 22.0569) * CHOOSE(CONTROL!$C$21, $C$9, 100%, $E$9)</f>
        <v>22.056899999999999</v>
      </c>
      <c r="I530" s="10">
        <f>CHOOSE(CONTROL!$C$42, 21.9553, 21.9553)* CHOOSE(CONTROL!$C$21, $C$9, 100%, $E$9)</f>
        <v>21.955300000000001</v>
      </c>
      <c r="J530" s="10">
        <f>CHOOSE(CONTROL!$C$42, 21.9547, 21.9547)* CHOOSE(CONTROL!$C$21, $C$9, 100%, $E$9)</f>
        <v>21.954699999999999</v>
      </c>
      <c r="K530" s="54">
        <f>CHOOSE(CONTROL!$C$42, 21.9514, 21.9514) * CHOOSE(CONTROL!$C$21, $C$9, 100%, $E$9)</f>
        <v>21.9514</v>
      </c>
      <c r="L530" s="10">
        <f>CHOOSE(CONTROL!$C$42, 22.6439, 22.6439) * CHOOSE(CONTROL!$C$21, $C$9, 100%, $E$9)</f>
        <v>22.643899999999999</v>
      </c>
      <c r="M530" s="10">
        <f>CHOOSE(CONTROL!$C$42, 21.747, 21.747) * CHOOSE(CONTROL!$C$21, $C$9, 100%, $E$9)</f>
        <v>21.747</v>
      </c>
      <c r="N530" s="10">
        <f>CHOOSE(CONTROL!$C$42, 21.7641, 21.7641) * CHOOSE(CONTROL!$C$21, $C$9, 100%, $E$9)</f>
        <v>21.764099999999999</v>
      </c>
      <c r="O530" s="10">
        <f>CHOOSE(CONTROL!$C$42, 21.8482, 21.8482) * CHOOSE(CONTROL!$C$21, $C$9, 100%, $E$9)</f>
        <v>21.848199999999999</v>
      </c>
      <c r="P530" s="10">
        <f>CHOOSE(CONTROL!$C$42, 21.7476, 21.7476) * CHOOSE(CONTROL!$C$21, $C$9, 100%, $E$9)</f>
        <v>21.747599999999998</v>
      </c>
      <c r="Q530" s="10">
        <f>CHOOSE(CONTROL!$C$42, 22.4435, 22.4435) * CHOOSE(CONTROL!$C$21, $C$9, 100%, $E$9)</f>
        <v>22.4435</v>
      </c>
      <c r="R530" s="10">
        <f>CHOOSE(CONTROL!$C$42, 23.0866, 23.0866) * CHOOSE(CONTROL!$C$21, $C$9, 100%, $E$9)</f>
        <v>23.086600000000001</v>
      </c>
      <c r="S530" s="10">
        <f>CHOOSE(CONTROL!$C$42, 21.3315, 21.3315) * CHOOSE(CONTROL!$C$21, $C$9, 100%, $E$9)</f>
        <v>21.331499999999998</v>
      </c>
      <c r="T530" s="5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530" s="58">
        <f>(1000*CHOOSE(CONTROL!$C$42, 695, 695)*CHOOSE(CONTROL!$C$42, 0.5599, 0.5599)*CHOOSE(CONTROL!$C$42, 29, 29))/1000000</f>
        <v>11.284784499999999</v>
      </c>
      <c r="V530" s="58">
        <f>(1000*CHOOSE(CONTROL!$C$42, 500, 500)*CHOOSE(CONTROL!$C$42, 0.275, 0.275)*CHOOSE(CONTROL!$C$42, 29, 29))/1000000</f>
        <v>3.9874999999999998</v>
      </c>
      <c r="W530" s="58">
        <f>(1000*CHOOSE(CONTROL!$C$42, 0.1146, 0.1146)*CHOOSE(CONTROL!$C$42, 121.5, 121.5)*CHOOSE(CONTROL!$C$42, 29, 29))/1000000</f>
        <v>0.40379309999999996</v>
      </c>
      <c r="X530" s="58">
        <f>(29*0.1790888*100000/1000000)+(29*0.2374*100000/1000000)</f>
        <v>1.2078175199999999</v>
      </c>
      <c r="Y530" s="58"/>
      <c r="Z530" s="10"/>
      <c r="AA530" s="57"/>
      <c r="AB530" s="51">
        <f>(B530*122.58+C530*297.941+D530*89.177+E530*40.302+F530*40+G530*160+H530*0+I530*100+J530*300)/(122.58+297.941+89.177+40.302+0+40+160+100+300)</f>
        <v>21.974827614695652</v>
      </c>
      <c r="AC530" s="27">
        <f>(M530*'RAP TEMPLATE-GAS AVAILABILITY'!O529+N530*'RAP TEMPLATE-GAS AVAILABILITY'!P529+O530*'RAP TEMPLATE-GAS AVAILABILITY'!Q529+P530*'RAP TEMPLATE-GAS AVAILABILITY'!R529)/('RAP TEMPLATE-GAS AVAILABILITY'!O529+'RAP TEMPLATE-GAS AVAILABILITY'!P529+'RAP TEMPLATE-GAS AVAILABILITY'!Q529+'RAP TEMPLATE-GAS AVAILABILITY'!R529)</f>
        <v>21.7939381294964</v>
      </c>
    </row>
    <row r="531" spans="1:29" ht="15.75" x14ac:dyDescent="0.25">
      <c r="A531" s="13">
        <v>57070</v>
      </c>
      <c r="B531" s="10">
        <f>CHOOSE(CONTROL!$C$42, 21.3449, 21.3449) * CHOOSE(CONTROL!$C$21, $C$9, 100%, $E$9)</f>
        <v>21.344899999999999</v>
      </c>
      <c r="C531" s="10">
        <f>CHOOSE(CONTROL!$C$42, 21.3498, 21.3498) * CHOOSE(CONTROL!$C$21, $C$9, 100%, $E$9)</f>
        <v>21.349799999999998</v>
      </c>
      <c r="D531" s="10">
        <f>CHOOSE(CONTROL!$C$42, 21.4103, 21.4103) * CHOOSE(CONTROL!$C$21, $C$9, 100%, $E$9)</f>
        <v>21.410299999999999</v>
      </c>
      <c r="E531" s="10">
        <f>CHOOSE(CONTROL!$C$42, 21.4441, 21.4441) * CHOOSE(CONTROL!$C$21, $C$9, 100%, $E$9)</f>
        <v>21.444099999999999</v>
      </c>
      <c r="F531" s="10">
        <f>CHOOSE(CONTROL!$C$42, 21.3326, 21.3326)*CHOOSE(CONTROL!$C$21, $C$9, 100%, $E$9)</f>
        <v>21.332599999999999</v>
      </c>
      <c r="G531" s="10">
        <f>CHOOSE(CONTROL!$C$42, 21.3498, 21.3498)*CHOOSE(CONTROL!$C$21, $C$9, 100%, $E$9)</f>
        <v>21.349799999999998</v>
      </c>
      <c r="H531" s="10">
        <f>CHOOSE(CONTROL!$C$42, 21.4333, 21.4333) * CHOOSE(CONTROL!$C$21, $C$9, 100%, $E$9)</f>
        <v>21.433299999999999</v>
      </c>
      <c r="I531" s="10">
        <f>CHOOSE(CONTROL!$C$42, 21.3188, 21.3188)* CHOOSE(CONTROL!$C$21, $C$9, 100%, $E$9)</f>
        <v>21.3188</v>
      </c>
      <c r="J531" s="10">
        <f>CHOOSE(CONTROL!$C$42, 21.3256, 21.3256)* CHOOSE(CONTROL!$C$21, $C$9, 100%, $E$9)</f>
        <v>21.325600000000001</v>
      </c>
      <c r="K531" s="54">
        <f>CHOOSE(CONTROL!$C$42, 21.3149, 21.3149) * CHOOSE(CONTROL!$C$21, $C$9, 100%, $E$9)</f>
        <v>21.314900000000002</v>
      </c>
      <c r="L531" s="10">
        <f>CHOOSE(CONTROL!$C$42, 22.0203, 22.0203) * CHOOSE(CONTROL!$C$21, $C$9, 100%, $E$9)</f>
        <v>22.020299999999999</v>
      </c>
      <c r="M531" s="10">
        <f>CHOOSE(CONTROL!$C$42, 21.1242, 21.1242) * CHOOSE(CONTROL!$C$21, $C$9, 100%, $E$9)</f>
        <v>21.124199999999998</v>
      </c>
      <c r="N531" s="10">
        <f>CHOOSE(CONTROL!$C$42, 21.1413, 21.1413) * CHOOSE(CONTROL!$C$21, $C$9, 100%, $E$9)</f>
        <v>21.141300000000001</v>
      </c>
      <c r="O531" s="10">
        <f>CHOOSE(CONTROL!$C$42, 21.2308, 21.2308) * CHOOSE(CONTROL!$C$21, $C$9, 100%, $E$9)</f>
        <v>21.230799999999999</v>
      </c>
      <c r="P531" s="10">
        <f>CHOOSE(CONTROL!$C$42, 21.1175, 21.1175) * CHOOSE(CONTROL!$C$21, $C$9, 100%, $E$9)</f>
        <v>21.1175</v>
      </c>
      <c r="Q531" s="10">
        <f>CHOOSE(CONTROL!$C$42, 21.8261, 21.8261) * CHOOSE(CONTROL!$C$21, $C$9, 100%, $E$9)</f>
        <v>21.8261</v>
      </c>
      <c r="R531" s="10">
        <f>CHOOSE(CONTROL!$C$42, 22.4677, 22.4677) * CHOOSE(CONTROL!$C$21, $C$9, 100%, $E$9)</f>
        <v>22.467700000000001</v>
      </c>
      <c r="S531" s="10">
        <f>CHOOSE(CONTROL!$C$42, 20.7259, 20.7259) * CHOOSE(CONTROL!$C$21, $C$9, 100%, $E$9)</f>
        <v>20.725899999999999</v>
      </c>
      <c r="T531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531" s="58">
        <f>(1000*CHOOSE(CONTROL!$C$42, 695, 695)*CHOOSE(CONTROL!$C$42, 0.5599, 0.5599)*CHOOSE(CONTROL!$C$42, 31, 31))/1000000</f>
        <v>12.063045499999998</v>
      </c>
      <c r="V531" s="58">
        <f>(1000*CHOOSE(CONTROL!$C$42, 500, 500)*CHOOSE(CONTROL!$C$42, 0.275, 0.275)*CHOOSE(CONTROL!$C$42, 31, 31))/1000000</f>
        <v>4.2625000000000002</v>
      </c>
      <c r="W531" s="58">
        <f>(1000*CHOOSE(CONTROL!$C$42, 0.1146, 0.1146)*CHOOSE(CONTROL!$C$42, 121.5, 121.5)*CHOOSE(CONTROL!$C$42, 31, 31))/1000000</f>
        <v>0.43164089999999994</v>
      </c>
      <c r="X531" s="58">
        <f>(31*0.1790888*100000/1000000)+(31*0.2374*100000/1000000)</f>
        <v>1.2911152800000001</v>
      </c>
      <c r="Y531" s="58"/>
      <c r="Z531" s="10"/>
      <c r="AA531" s="57"/>
      <c r="AB531" s="51">
        <f>(B531*122.58+C531*297.941+D531*89.177+E531*40.302+F531*40+G531*160+H531*0+I531*100+J531*300)/(122.58+297.941+89.177+40.302+0+40+160+100+300)</f>
        <v>21.347666995739129</v>
      </c>
      <c r="AC531" s="27">
        <f>(M531*'RAP TEMPLATE-GAS AVAILABILITY'!O530+N531*'RAP TEMPLATE-GAS AVAILABILITY'!P530+O531*'RAP TEMPLATE-GAS AVAILABILITY'!Q530+P531*'RAP TEMPLATE-GAS AVAILABILITY'!R530)/('RAP TEMPLATE-GAS AVAILABILITY'!O530+'RAP TEMPLATE-GAS AVAILABILITY'!P530+'RAP TEMPLATE-GAS AVAILABILITY'!Q530+'RAP TEMPLATE-GAS AVAILABILITY'!R530)</f>
        <v>21.172535251798561</v>
      </c>
    </row>
    <row r="532" spans="1:29" ht="15.75" x14ac:dyDescent="0.25">
      <c r="A532" s="13">
        <v>57100</v>
      </c>
      <c r="B532" s="10">
        <f>CHOOSE(CONTROL!$C$42, 21.2822, 21.2822) * CHOOSE(CONTROL!$C$21, $C$9, 100%, $E$9)</f>
        <v>21.2822</v>
      </c>
      <c r="C532" s="10">
        <f>CHOOSE(CONTROL!$C$42, 21.2865, 21.2865) * CHOOSE(CONTROL!$C$21, $C$9, 100%, $E$9)</f>
        <v>21.2865</v>
      </c>
      <c r="D532" s="10">
        <f>CHOOSE(CONTROL!$C$42, 21.4821, 21.4821) * CHOOSE(CONTROL!$C$21, $C$9, 100%, $E$9)</f>
        <v>21.482099999999999</v>
      </c>
      <c r="E532" s="10">
        <f>CHOOSE(CONTROL!$C$42, 21.5139, 21.5139) * CHOOSE(CONTROL!$C$21, $C$9, 100%, $E$9)</f>
        <v>21.5139</v>
      </c>
      <c r="F532" s="10">
        <f>CHOOSE(CONTROL!$C$42, 21.25, 21.25)*CHOOSE(CONTROL!$C$21, $C$9, 100%, $E$9)</f>
        <v>21.25</v>
      </c>
      <c r="G532" s="10">
        <f>CHOOSE(CONTROL!$C$42, 21.2667, 21.2667)*CHOOSE(CONTROL!$C$21, $C$9, 100%, $E$9)</f>
        <v>21.2667</v>
      </c>
      <c r="H532" s="10">
        <f>CHOOSE(CONTROL!$C$42, 21.5037, 21.5037) * CHOOSE(CONTROL!$C$21, $C$9, 100%, $E$9)</f>
        <v>21.503699999999998</v>
      </c>
      <c r="I532" s="10">
        <f>CHOOSE(CONTROL!$C$42, 21.2501, 21.2501)* CHOOSE(CONTROL!$C$21, $C$9, 100%, $E$9)</f>
        <v>21.2501</v>
      </c>
      <c r="J532" s="10">
        <f>CHOOSE(CONTROL!$C$42, 21.243, 21.243)* CHOOSE(CONTROL!$C$21, $C$9, 100%, $E$9)</f>
        <v>21.242999999999999</v>
      </c>
      <c r="K532" s="54">
        <f>CHOOSE(CONTROL!$C$42, 21.2462, 21.2462) * CHOOSE(CONTROL!$C$21, $C$9, 100%, $E$9)</f>
        <v>21.246200000000002</v>
      </c>
      <c r="L532" s="10">
        <f>CHOOSE(CONTROL!$C$42, 22.0907, 22.0907) * CHOOSE(CONTROL!$C$21, $C$9, 100%, $E$9)</f>
        <v>22.090699999999998</v>
      </c>
      <c r="M532" s="10">
        <f>CHOOSE(CONTROL!$C$42, 21.0424, 21.0424) * CHOOSE(CONTROL!$C$21, $C$9, 100%, $E$9)</f>
        <v>21.042400000000001</v>
      </c>
      <c r="N532" s="10">
        <f>CHOOSE(CONTROL!$C$42, 21.059, 21.059) * CHOOSE(CONTROL!$C$21, $C$9, 100%, $E$9)</f>
        <v>21.059000000000001</v>
      </c>
      <c r="O532" s="10">
        <f>CHOOSE(CONTROL!$C$42, 21.3005, 21.3005) * CHOOSE(CONTROL!$C$21, $C$9, 100%, $E$9)</f>
        <v>21.3005</v>
      </c>
      <c r="P532" s="10">
        <f>CHOOSE(CONTROL!$C$42, 21.0495, 21.0495) * CHOOSE(CONTROL!$C$21, $C$9, 100%, $E$9)</f>
        <v>21.049499999999998</v>
      </c>
      <c r="Q532" s="10">
        <f>CHOOSE(CONTROL!$C$42, 21.8958, 21.8958) * CHOOSE(CONTROL!$C$21, $C$9, 100%, $E$9)</f>
        <v>21.895800000000001</v>
      </c>
      <c r="R532" s="10">
        <f>CHOOSE(CONTROL!$C$42, 22.5375, 22.5375) * CHOOSE(CONTROL!$C$21, $C$9, 100%, $E$9)</f>
        <v>22.537500000000001</v>
      </c>
      <c r="S532" s="10">
        <f>CHOOSE(CONTROL!$C$42, 20.6642, 20.6642) * CHOOSE(CONTROL!$C$21, $C$9, 100%, $E$9)</f>
        <v>20.664200000000001</v>
      </c>
      <c r="T532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532" s="58">
        <f>(1000*CHOOSE(CONTROL!$C$42, 695, 695)*CHOOSE(CONTROL!$C$42, 0.5599, 0.5599)*CHOOSE(CONTROL!$C$42, 30, 30))/1000000</f>
        <v>11.673914999999997</v>
      </c>
      <c r="V532" s="58">
        <f>(1000*CHOOSE(CONTROL!$C$42, 500, 500)*CHOOSE(CONTROL!$C$42, 0.275, 0.275)*CHOOSE(CONTROL!$C$42, 30, 30))/1000000</f>
        <v>4.125</v>
      </c>
      <c r="W532" s="58">
        <f>(1000*CHOOSE(CONTROL!$C$42, 0.1146, 0.1146)*CHOOSE(CONTROL!$C$42, 121.5, 121.5)*CHOOSE(CONTROL!$C$42, 30, 30))/1000000</f>
        <v>0.417717</v>
      </c>
      <c r="X532" s="58">
        <f>(30*0.1790888*245000/1000000)+(30*0.2374*100000/1000000)</f>
        <v>2.0285026799999999</v>
      </c>
      <c r="Y532" s="58"/>
      <c r="Z532" s="10"/>
      <c r="AA532" s="57"/>
      <c r="AB532" s="51">
        <f>(B532*141.293+C532*267.993+D532*115.016+E532*89.698+F532*40+G532*185+H532*0+I532*100+J532*300)/(141.293+267.993+115.016+89.698+0+40+185+100+300)</f>
        <v>21.303024531799835</v>
      </c>
      <c r="AC532" s="27">
        <f>(M532*'RAP TEMPLATE-GAS AVAILABILITY'!O531+N532*'RAP TEMPLATE-GAS AVAILABILITY'!P531+O532*'RAP TEMPLATE-GAS AVAILABILITY'!Q531+P532*'RAP TEMPLATE-GAS AVAILABILITY'!R531)/('RAP TEMPLATE-GAS AVAILABILITY'!O531+'RAP TEMPLATE-GAS AVAILABILITY'!P531+'RAP TEMPLATE-GAS AVAILABILITY'!Q531+'RAP TEMPLATE-GAS AVAILABILITY'!R531)</f>
        <v>21.119659712230213</v>
      </c>
    </row>
    <row r="533" spans="1:29" ht="15.75" x14ac:dyDescent="0.25">
      <c r="A533" s="13">
        <v>57131</v>
      </c>
      <c r="B533" s="10">
        <f>CHOOSE(CONTROL!$C$42, 21.4714, 21.4714) * CHOOSE(CONTROL!$C$21, $C$9, 100%, $E$9)</f>
        <v>21.471399999999999</v>
      </c>
      <c r="C533" s="10">
        <f>CHOOSE(CONTROL!$C$42, 21.4793, 21.4793) * CHOOSE(CONTROL!$C$21, $C$9, 100%, $E$9)</f>
        <v>21.479299999999999</v>
      </c>
      <c r="D533" s="10">
        <f>CHOOSE(CONTROL!$C$42, 21.6717, 21.6717) * CHOOSE(CONTROL!$C$21, $C$9, 100%, $E$9)</f>
        <v>21.671700000000001</v>
      </c>
      <c r="E533" s="10">
        <f>CHOOSE(CONTROL!$C$42, 21.7028, 21.7028) * CHOOSE(CONTROL!$C$21, $C$9, 100%, $E$9)</f>
        <v>21.7028</v>
      </c>
      <c r="F533" s="10">
        <f>CHOOSE(CONTROL!$C$42, 21.4376, 21.4376)*CHOOSE(CONTROL!$C$21, $C$9, 100%, $E$9)</f>
        <v>21.4376</v>
      </c>
      <c r="G533" s="10">
        <f>CHOOSE(CONTROL!$C$42, 21.4547, 21.4547)*CHOOSE(CONTROL!$C$21, $C$9, 100%, $E$9)</f>
        <v>21.454699999999999</v>
      </c>
      <c r="H533" s="10">
        <f>CHOOSE(CONTROL!$C$42, 21.6915, 21.6915) * CHOOSE(CONTROL!$C$21, $C$9, 100%, $E$9)</f>
        <v>21.691500000000001</v>
      </c>
      <c r="I533" s="10">
        <f>CHOOSE(CONTROL!$C$42, 21.4379, 21.4379)* CHOOSE(CONTROL!$C$21, $C$9, 100%, $E$9)</f>
        <v>21.437899999999999</v>
      </c>
      <c r="J533" s="10">
        <f>CHOOSE(CONTROL!$C$42, 21.4306, 21.4306)* CHOOSE(CONTROL!$C$21, $C$9, 100%, $E$9)</f>
        <v>21.430599999999998</v>
      </c>
      <c r="K533" s="54">
        <f>CHOOSE(CONTROL!$C$42, 21.434, 21.434) * CHOOSE(CONTROL!$C$21, $C$9, 100%, $E$9)</f>
        <v>21.434000000000001</v>
      </c>
      <c r="L533" s="10">
        <f>CHOOSE(CONTROL!$C$42, 22.2785, 22.2785) * CHOOSE(CONTROL!$C$21, $C$9, 100%, $E$9)</f>
        <v>22.278500000000001</v>
      </c>
      <c r="M533" s="10">
        <f>CHOOSE(CONTROL!$C$42, 21.2282, 21.2282) * CHOOSE(CONTROL!$C$21, $C$9, 100%, $E$9)</f>
        <v>21.228200000000001</v>
      </c>
      <c r="N533" s="10">
        <f>CHOOSE(CONTROL!$C$42, 21.2451, 21.2451) * CHOOSE(CONTROL!$C$21, $C$9, 100%, $E$9)</f>
        <v>21.245100000000001</v>
      </c>
      <c r="O533" s="10">
        <f>CHOOSE(CONTROL!$C$42, 21.4864, 21.4864) * CHOOSE(CONTROL!$C$21, $C$9, 100%, $E$9)</f>
        <v>21.4864</v>
      </c>
      <c r="P533" s="10">
        <f>CHOOSE(CONTROL!$C$42, 21.2354, 21.2354) * CHOOSE(CONTROL!$C$21, $C$9, 100%, $E$9)</f>
        <v>21.235399999999998</v>
      </c>
      <c r="Q533" s="10">
        <f>CHOOSE(CONTROL!$C$42, 22.0817, 22.0817) * CHOOSE(CONTROL!$C$21, $C$9, 100%, $E$9)</f>
        <v>22.081700000000001</v>
      </c>
      <c r="R533" s="10">
        <f>CHOOSE(CONTROL!$C$42, 22.7239, 22.7239) * CHOOSE(CONTROL!$C$21, $C$9, 100%, $E$9)</f>
        <v>22.7239</v>
      </c>
      <c r="S533" s="10">
        <f>CHOOSE(CONTROL!$C$42, 20.8466, 20.8466) * CHOOSE(CONTROL!$C$21, $C$9, 100%, $E$9)</f>
        <v>20.846599999999999</v>
      </c>
      <c r="T533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533" s="58">
        <f>(1000*CHOOSE(CONTROL!$C$42, 695, 695)*CHOOSE(CONTROL!$C$42, 0.5599, 0.5599)*CHOOSE(CONTROL!$C$42, 31, 31))/1000000</f>
        <v>12.063045499999998</v>
      </c>
      <c r="V533" s="58">
        <f>(1000*CHOOSE(CONTROL!$C$42, 500, 500)*CHOOSE(CONTROL!$C$42, 0.275, 0.275)*CHOOSE(CONTROL!$C$42, 31, 31))/1000000</f>
        <v>4.2625000000000002</v>
      </c>
      <c r="W533" s="58">
        <f>(1000*CHOOSE(CONTROL!$C$42, 0.1146, 0.1146)*CHOOSE(CONTROL!$C$42, 121.5, 121.5)*CHOOSE(CONTROL!$C$42, 31, 31))/1000000</f>
        <v>0.43164089999999994</v>
      </c>
      <c r="X533" s="58">
        <f>(31*0.1790888*245000/1000000)+(31*0.2374*100000/1000000)</f>
        <v>2.0961194359999999</v>
      </c>
      <c r="Y533" s="58"/>
      <c r="Z533" s="10"/>
      <c r="AA533" s="57"/>
      <c r="AB533" s="51">
        <f>(B533*194.205+C533*267.466+D533*133.845+E533*53.484+F533*40+G533*185+H533*0+I533*100+J533*300)/(194.205+267.466+133.845+53.484+0+40+185+100+300)</f>
        <v>21.488092961145998</v>
      </c>
      <c r="AC533" s="27">
        <f>(M533*'RAP TEMPLATE-GAS AVAILABILITY'!O532+N533*'RAP TEMPLATE-GAS AVAILABILITY'!P532+O533*'RAP TEMPLATE-GAS AVAILABILITY'!Q532+P533*'RAP TEMPLATE-GAS AVAILABILITY'!R532)/('RAP TEMPLATE-GAS AVAILABILITY'!O532+'RAP TEMPLATE-GAS AVAILABILITY'!P532+'RAP TEMPLATE-GAS AVAILABILITY'!Q532+'RAP TEMPLATE-GAS AVAILABILITY'!R532)</f>
        <v>21.30557122302158</v>
      </c>
    </row>
    <row r="534" spans="1:29" ht="15.75" x14ac:dyDescent="0.25">
      <c r="A534" s="13">
        <v>57161</v>
      </c>
      <c r="B534" s="10">
        <f>CHOOSE(CONTROL!$C$42, 22.0803, 22.0803) * CHOOSE(CONTROL!$C$21, $C$9, 100%, $E$9)</f>
        <v>22.080300000000001</v>
      </c>
      <c r="C534" s="10">
        <f>CHOOSE(CONTROL!$C$42, 22.0882, 22.0882) * CHOOSE(CONTROL!$C$21, $C$9, 100%, $E$9)</f>
        <v>22.088200000000001</v>
      </c>
      <c r="D534" s="10">
        <f>CHOOSE(CONTROL!$C$42, 22.2806, 22.2806) * CHOOSE(CONTROL!$C$21, $C$9, 100%, $E$9)</f>
        <v>22.2806</v>
      </c>
      <c r="E534" s="10">
        <f>CHOOSE(CONTROL!$C$42, 22.3118, 22.3118) * CHOOSE(CONTROL!$C$21, $C$9, 100%, $E$9)</f>
        <v>22.311800000000002</v>
      </c>
      <c r="F534" s="10">
        <f>CHOOSE(CONTROL!$C$42, 22.0468, 22.0468)*CHOOSE(CONTROL!$C$21, $C$9, 100%, $E$9)</f>
        <v>22.046800000000001</v>
      </c>
      <c r="G534" s="10">
        <f>CHOOSE(CONTROL!$C$42, 22.0639, 22.0639)*CHOOSE(CONTROL!$C$21, $C$9, 100%, $E$9)</f>
        <v>22.0639</v>
      </c>
      <c r="H534" s="10">
        <f>CHOOSE(CONTROL!$C$42, 22.3004, 22.3004) * CHOOSE(CONTROL!$C$21, $C$9, 100%, $E$9)</f>
        <v>22.3004</v>
      </c>
      <c r="I534" s="10">
        <f>CHOOSE(CONTROL!$C$42, 22.0468, 22.0468)* CHOOSE(CONTROL!$C$21, $C$9, 100%, $E$9)</f>
        <v>22.046800000000001</v>
      </c>
      <c r="J534" s="10">
        <f>CHOOSE(CONTROL!$C$42, 22.0398, 22.0398)* CHOOSE(CONTROL!$C$21, $C$9, 100%, $E$9)</f>
        <v>22.0398</v>
      </c>
      <c r="K534" s="54">
        <f>CHOOSE(CONTROL!$C$42, 22.0429, 22.0429) * CHOOSE(CONTROL!$C$21, $C$9, 100%, $E$9)</f>
        <v>22.042899999999999</v>
      </c>
      <c r="L534" s="10">
        <f>CHOOSE(CONTROL!$C$42, 22.8874, 22.8874) * CHOOSE(CONTROL!$C$21, $C$9, 100%, $E$9)</f>
        <v>22.8874</v>
      </c>
      <c r="M534" s="10">
        <f>CHOOSE(CONTROL!$C$42, 21.8312, 21.8312) * CHOOSE(CONTROL!$C$21, $C$9, 100%, $E$9)</f>
        <v>21.831199999999999</v>
      </c>
      <c r="N534" s="10">
        <f>CHOOSE(CONTROL!$C$42, 21.8482, 21.8482) * CHOOSE(CONTROL!$C$21, $C$9, 100%, $E$9)</f>
        <v>21.848199999999999</v>
      </c>
      <c r="O534" s="10">
        <f>CHOOSE(CONTROL!$C$42, 22.0892, 22.0892) * CHOOSE(CONTROL!$C$21, $C$9, 100%, $E$9)</f>
        <v>22.089200000000002</v>
      </c>
      <c r="P534" s="10">
        <f>CHOOSE(CONTROL!$C$42, 21.8382, 21.8382) * CHOOSE(CONTROL!$C$21, $C$9, 100%, $E$9)</f>
        <v>21.838200000000001</v>
      </c>
      <c r="Q534" s="10">
        <f>CHOOSE(CONTROL!$C$42, 22.6845, 22.6845) * CHOOSE(CONTROL!$C$21, $C$9, 100%, $E$9)</f>
        <v>22.6845</v>
      </c>
      <c r="R534" s="10">
        <f>CHOOSE(CONTROL!$C$42, 23.3282, 23.3282) * CHOOSE(CONTROL!$C$21, $C$9, 100%, $E$9)</f>
        <v>23.328199999999999</v>
      </c>
      <c r="S534" s="10">
        <f>CHOOSE(CONTROL!$C$42, 21.4379, 21.4379) * CHOOSE(CONTROL!$C$21, $C$9, 100%, $E$9)</f>
        <v>21.437899999999999</v>
      </c>
      <c r="T534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534" s="58">
        <f>(1000*CHOOSE(CONTROL!$C$42, 695, 695)*CHOOSE(CONTROL!$C$42, 0.5599, 0.5599)*CHOOSE(CONTROL!$C$42, 30, 30))/1000000</f>
        <v>11.673914999999997</v>
      </c>
      <c r="V534" s="58">
        <f>(1000*CHOOSE(CONTROL!$C$42, 500, 500)*CHOOSE(CONTROL!$C$42, 0.275, 0.275)*CHOOSE(CONTROL!$C$42, 30, 30))/1000000</f>
        <v>4.125</v>
      </c>
      <c r="W534" s="58">
        <f>(1000*CHOOSE(CONTROL!$C$42, 0.1146, 0.1146)*CHOOSE(CONTROL!$C$42, 121.5, 121.5)*CHOOSE(CONTROL!$C$42, 30, 30))/1000000</f>
        <v>0.417717</v>
      </c>
      <c r="X534" s="58">
        <f>(30*0.1790888*245000/1000000)+(30*0.2374*100000/1000000)</f>
        <v>2.0285026799999999</v>
      </c>
      <c r="Y534" s="58"/>
      <c r="Z534" s="10"/>
      <c r="AA534" s="57"/>
      <c r="AB534" s="51">
        <f>(B534*194.205+C534*267.466+D534*133.845+E534*53.484+F534*40+G534*185+H534*0+I534*100+J534*300)/(194.205+267.466+133.845+53.484+0+40+185+100+300)</f>
        <v>22.097120785635795</v>
      </c>
      <c r="AC534" s="27">
        <f>(M534*'RAP TEMPLATE-GAS AVAILABILITY'!O533+N534*'RAP TEMPLATE-GAS AVAILABILITY'!P533+O534*'RAP TEMPLATE-GAS AVAILABILITY'!Q533+P534*'RAP TEMPLATE-GAS AVAILABILITY'!R533)/('RAP TEMPLATE-GAS AVAILABILITY'!O533+'RAP TEMPLATE-GAS AVAILABILITY'!P533+'RAP TEMPLATE-GAS AVAILABILITY'!Q533+'RAP TEMPLATE-GAS AVAILABILITY'!R533)</f>
        <v>21.908509352517985</v>
      </c>
    </row>
    <row r="535" spans="1:29" ht="15.75" x14ac:dyDescent="0.25">
      <c r="A535" s="13">
        <v>57192</v>
      </c>
      <c r="B535" s="10">
        <f>CHOOSE(CONTROL!$C$42, 21.6568, 21.6568) * CHOOSE(CONTROL!$C$21, $C$9, 100%, $E$9)</f>
        <v>21.6568</v>
      </c>
      <c r="C535" s="10">
        <f>CHOOSE(CONTROL!$C$42, 21.6647, 21.6647) * CHOOSE(CONTROL!$C$21, $C$9, 100%, $E$9)</f>
        <v>21.6647</v>
      </c>
      <c r="D535" s="10">
        <f>CHOOSE(CONTROL!$C$42, 21.8571, 21.8571) * CHOOSE(CONTROL!$C$21, $C$9, 100%, $E$9)</f>
        <v>21.857099999999999</v>
      </c>
      <c r="E535" s="10">
        <f>CHOOSE(CONTROL!$C$42, 21.8883, 21.8883) * CHOOSE(CONTROL!$C$21, $C$9, 100%, $E$9)</f>
        <v>21.888300000000001</v>
      </c>
      <c r="F535" s="10">
        <f>CHOOSE(CONTROL!$C$42, 21.6237, 21.6237)*CHOOSE(CONTROL!$C$21, $C$9, 100%, $E$9)</f>
        <v>21.623699999999999</v>
      </c>
      <c r="G535" s="10">
        <f>CHOOSE(CONTROL!$C$42, 21.6409, 21.6409)*CHOOSE(CONTROL!$C$21, $C$9, 100%, $E$9)</f>
        <v>21.640899999999998</v>
      </c>
      <c r="H535" s="10">
        <f>CHOOSE(CONTROL!$C$42, 21.8769, 21.8769) * CHOOSE(CONTROL!$C$21, $C$9, 100%, $E$9)</f>
        <v>21.876899999999999</v>
      </c>
      <c r="I535" s="10">
        <f>CHOOSE(CONTROL!$C$42, 21.6233, 21.6233)* CHOOSE(CONTROL!$C$21, $C$9, 100%, $E$9)</f>
        <v>21.6233</v>
      </c>
      <c r="J535" s="10">
        <f>CHOOSE(CONTROL!$C$42, 21.6167, 21.6167)* CHOOSE(CONTROL!$C$21, $C$9, 100%, $E$9)</f>
        <v>21.616700000000002</v>
      </c>
      <c r="K535" s="54">
        <f>CHOOSE(CONTROL!$C$42, 21.6194, 21.6194) * CHOOSE(CONTROL!$C$21, $C$9, 100%, $E$9)</f>
        <v>21.619399999999999</v>
      </c>
      <c r="L535" s="10">
        <f>CHOOSE(CONTROL!$C$42, 22.4639, 22.4639) * CHOOSE(CONTROL!$C$21, $C$9, 100%, $E$9)</f>
        <v>22.463899999999999</v>
      </c>
      <c r="M535" s="10">
        <f>CHOOSE(CONTROL!$C$42, 21.4123, 21.4123) * CHOOSE(CONTROL!$C$21, $C$9, 100%, $E$9)</f>
        <v>21.412299999999998</v>
      </c>
      <c r="N535" s="10">
        <f>CHOOSE(CONTROL!$C$42, 21.4294, 21.4294) * CHOOSE(CONTROL!$C$21, $C$9, 100%, $E$9)</f>
        <v>21.429400000000001</v>
      </c>
      <c r="O535" s="10">
        <f>CHOOSE(CONTROL!$C$42, 21.6699, 21.6699) * CHOOSE(CONTROL!$C$21, $C$9, 100%, $E$9)</f>
        <v>21.669899999999998</v>
      </c>
      <c r="P535" s="10">
        <f>CHOOSE(CONTROL!$C$42, 21.419, 21.419) * CHOOSE(CONTROL!$C$21, $C$9, 100%, $E$9)</f>
        <v>21.419</v>
      </c>
      <c r="Q535" s="10">
        <f>CHOOSE(CONTROL!$C$42, 22.2652, 22.2652) * CHOOSE(CONTROL!$C$21, $C$9, 100%, $E$9)</f>
        <v>22.2652</v>
      </c>
      <c r="R535" s="10">
        <f>CHOOSE(CONTROL!$C$42, 22.9079, 22.9079) * CHOOSE(CONTROL!$C$21, $C$9, 100%, $E$9)</f>
        <v>22.907900000000001</v>
      </c>
      <c r="S535" s="10">
        <f>CHOOSE(CONTROL!$C$42, 21.0266, 21.0266) * CHOOSE(CONTROL!$C$21, $C$9, 100%, $E$9)</f>
        <v>21.026599999999998</v>
      </c>
      <c r="T535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535" s="58">
        <f>(1000*CHOOSE(CONTROL!$C$42, 695, 695)*CHOOSE(CONTROL!$C$42, 0.5599, 0.5599)*CHOOSE(CONTROL!$C$42, 31, 31))/1000000</f>
        <v>12.063045499999998</v>
      </c>
      <c r="V535" s="58">
        <f>(1000*CHOOSE(CONTROL!$C$42, 500, 500)*CHOOSE(CONTROL!$C$42, 0.275, 0.275)*CHOOSE(CONTROL!$C$42, 31, 31))/1000000</f>
        <v>4.2625000000000002</v>
      </c>
      <c r="W535" s="58">
        <f>(1000*CHOOSE(CONTROL!$C$42, 0.1146, 0.1146)*CHOOSE(CONTROL!$C$42, 121.5, 121.5)*CHOOSE(CONTROL!$C$42, 31, 31))/1000000</f>
        <v>0.43164089999999994</v>
      </c>
      <c r="X535" s="58">
        <f>(31*0.1790888*245000/1000000)+(31*0.2374*100000/1000000)</f>
        <v>2.0961194359999999</v>
      </c>
      <c r="Y535" s="58"/>
      <c r="Z535" s="10"/>
      <c r="AA535" s="57"/>
      <c r="AB535" s="51">
        <f>(B535*194.205+C535*267.466+D535*133.845+E535*53.484+F535*40+G535*185+H535*0+I535*100+J535*300)/(194.205+267.466+133.845+53.484+0+40+185+100+300)</f>
        <v>21.673800141993727</v>
      </c>
      <c r="AC535" s="27">
        <f>(M535*'RAP TEMPLATE-GAS AVAILABILITY'!O534+N535*'RAP TEMPLATE-GAS AVAILABILITY'!P534+O535*'RAP TEMPLATE-GAS AVAILABILITY'!Q534+P535*'RAP TEMPLATE-GAS AVAILABILITY'!R534)/('RAP TEMPLATE-GAS AVAILABILITY'!O534+'RAP TEMPLATE-GAS AVAILABILITY'!P534+'RAP TEMPLATE-GAS AVAILABILITY'!Q534+'RAP TEMPLATE-GAS AVAILABILITY'!R534)</f>
        <v>21.489476978417262</v>
      </c>
    </row>
    <row r="536" spans="1:29" ht="15.75" x14ac:dyDescent="0.25">
      <c r="A536" s="13">
        <v>57223</v>
      </c>
      <c r="B536" s="10">
        <f>CHOOSE(CONTROL!$C$42, 20.5873, 20.5873) * CHOOSE(CONTROL!$C$21, $C$9, 100%, $E$9)</f>
        <v>20.587299999999999</v>
      </c>
      <c r="C536" s="10">
        <f>CHOOSE(CONTROL!$C$42, 20.5952, 20.5952) * CHOOSE(CONTROL!$C$21, $C$9, 100%, $E$9)</f>
        <v>20.595199999999998</v>
      </c>
      <c r="D536" s="10">
        <f>CHOOSE(CONTROL!$C$42, 20.7876, 20.7876) * CHOOSE(CONTROL!$C$21, $C$9, 100%, $E$9)</f>
        <v>20.787600000000001</v>
      </c>
      <c r="E536" s="10">
        <f>CHOOSE(CONTROL!$C$42, 20.8188, 20.8188) * CHOOSE(CONTROL!$C$21, $C$9, 100%, $E$9)</f>
        <v>20.8188</v>
      </c>
      <c r="F536" s="10">
        <f>CHOOSE(CONTROL!$C$42, 20.5544, 20.5544)*CHOOSE(CONTROL!$C$21, $C$9, 100%, $E$9)</f>
        <v>20.554400000000001</v>
      </c>
      <c r="G536" s="10">
        <f>CHOOSE(CONTROL!$C$42, 20.5717, 20.5717)*CHOOSE(CONTROL!$C$21, $C$9, 100%, $E$9)</f>
        <v>20.5717</v>
      </c>
      <c r="H536" s="10">
        <f>CHOOSE(CONTROL!$C$42, 20.8074, 20.8074) * CHOOSE(CONTROL!$C$21, $C$9, 100%, $E$9)</f>
        <v>20.807400000000001</v>
      </c>
      <c r="I536" s="10">
        <f>CHOOSE(CONTROL!$C$42, 20.5539, 20.5539)* CHOOSE(CONTROL!$C$21, $C$9, 100%, $E$9)</f>
        <v>20.553899999999999</v>
      </c>
      <c r="J536" s="10">
        <f>CHOOSE(CONTROL!$C$42, 20.5474, 20.5474)* CHOOSE(CONTROL!$C$21, $C$9, 100%, $E$9)</f>
        <v>20.5474</v>
      </c>
      <c r="K536" s="54">
        <f>CHOOSE(CONTROL!$C$42, 20.55, 20.55) * CHOOSE(CONTROL!$C$21, $C$9, 100%, $E$9)</f>
        <v>20.55</v>
      </c>
      <c r="L536" s="10">
        <f>CHOOSE(CONTROL!$C$42, 21.3944, 21.3944) * CHOOSE(CONTROL!$C$21, $C$9, 100%, $E$9)</f>
        <v>21.394400000000001</v>
      </c>
      <c r="M536" s="10">
        <f>CHOOSE(CONTROL!$C$42, 20.3538, 20.3538) * CHOOSE(CONTROL!$C$21, $C$9, 100%, $E$9)</f>
        <v>20.3538</v>
      </c>
      <c r="N536" s="10">
        <f>CHOOSE(CONTROL!$C$42, 20.371, 20.371) * CHOOSE(CONTROL!$C$21, $C$9, 100%, $E$9)</f>
        <v>20.370999999999999</v>
      </c>
      <c r="O536" s="10">
        <f>CHOOSE(CONTROL!$C$42, 20.6113, 20.6113) * CHOOSE(CONTROL!$C$21, $C$9, 100%, $E$9)</f>
        <v>20.6113</v>
      </c>
      <c r="P536" s="10">
        <f>CHOOSE(CONTROL!$C$42, 20.3603, 20.3603) * CHOOSE(CONTROL!$C$21, $C$9, 100%, $E$9)</f>
        <v>20.360299999999999</v>
      </c>
      <c r="Q536" s="10">
        <f>CHOOSE(CONTROL!$C$42, 21.2066, 21.2066) * CHOOSE(CONTROL!$C$21, $C$9, 100%, $E$9)</f>
        <v>21.206600000000002</v>
      </c>
      <c r="R536" s="10">
        <f>CHOOSE(CONTROL!$C$42, 21.8466, 21.8466) * CHOOSE(CONTROL!$C$21, $C$9, 100%, $E$9)</f>
        <v>21.846599999999999</v>
      </c>
      <c r="S536" s="10">
        <f>CHOOSE(CONTROL!$C$42, 19.9881, 19.9881) * CHOOSE(CONTROL!$C$21, $C$9, 100%, $E$9)</f>
        <v>19.988099999999999</v>
      </c>
      <c r="T536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536" s="58">
        <f>(1000*CHOOSE(CONTROL!$C$42, 695, 695)*CHOOSE(CONTROL!$C$42, 0.5599, 0.5599)*CHOOSE(CONTROL!$C$42, 31, 31))/1000000</f>
        <v>12.063045499999998</v>
      </c>
      <c r="V536" s="58">
        <f>(1000*CHOOSE(CONTROL!$C$42, 500, 500)*CHOOSE(CONTROL!$C$42, 0.275, 0.275)*CHOOSE(CONTROL!$C$42, 31, 31))/1000000</f>
        <v>4.2625000000000002</v>
      </c>
      <c r="W536" s="58">
        <f>(1000*CHOOSE(CONTROL!$C$42, 0.1146, 0.1146)*CHOOSE(CONTROL!$C$42, 121.5, 121.5)*CHOOSE(CONTROL!$C$42, 31, 31))/1000000</f>
        <v>0.43164089999999994</v>
      </c>
      <c r="X536" s="58">
        <f>(31*0.1790888*245000/1000000)+(31*0.2374*100000/1000000)</f>
        <v>2.0961194359999999</v>
      </c>
      <c r="Y536" s="58"/>
      <c r="Z536" s="10"/>
      <c r="AA536" s="57"/>
      <c r="AB536" s="51">
        <f>(B536*194.205+C536*267.466+D536*133.845+E536*53.484+F536*40+G536*185+H536*0+I536*100+J536*300)/(194.205+267.466+133.845+53.484+0+40+185+100+300)</f>
        <v>20.604404930062795</v>
      </c>
      <c r="AC536" s="27">
        <f>(M536*'RAP TEMPLATE-GAS AVAILABILITY'!O535+N536*'RAP TEMPLATE-GAS AVAILABILITY'!P535+O536*'RAP TEMPLATE-GAS AVAILABILITY'!Q535+P536*'RAP TEMPLATE-GAS AVAILABILITY'!R535)/('RAP TEMPLATE-GAS AVAILABILITY'!O535+'RAP TEMPLATE-GAS AVAILABILITY'!P535+'RAP TEMPLATE-GAS AVAILABILITY'!Q535+'RAP TEMPLATE-GAS AVAILABILITY'!R535)</f>
        <v>20.430943165467628</v>
      </c>
    </row>
    <row r="537" spans="1:29" ht="15.75" x14ac:dyDescent="0.25">
      <c r="A537" s="13">
        <v>57253</v>
      </c>
      <c r="B537" s="10">
        <f>CHOOSE(CONTROL!$C$42, 19.2802, 19.2802) * CHOOSE(CONTROL!$C$21, $C$9, 100%, $E$9)</f>
        <v>19.280200000000001</v>
      </c>
      <c r="C537" s="10">
        <f>CHOOSE(CONTROL!$C$42, 19.2881, 19.2881) * CHOOSE(CONTROL!$C$21, $C$9, 100%, $E$9)</f>
        <v>19.2881</v>
      </c>
      <c r="D537" s="10">
        <f>CHOOSE(CONTROL!$C$42, 19.4806, 19.4806) * CHOOSE(CONTROL!$C$21, $C$9, 100%, $E$9)</f>
        <v>19.480599999999999</v>
      </c>
      <c r="E537" s="10">
        <f>CHOOSE(CONTROL!$C$42, 19.5117, 19.5117) * CHOOSE(CONTROL!$C$21, $C$9, 100%, $E$9)</f>
        <v>19.511700000000001</v>
      </c>
      <c r="F537" s="10">
        <f>CHOOSE(CONTROL!$C$42, 19.2471, 19.2471)*CHOOSE(CONTROL!$C$21, $C$9, 100%, $E$9)</f>
        <v>19.2471</v>
      </c>
      <c r="G537" s="10">
        <f>CHOOSE(CONTROL!$C$42, 19.2644, 19.2644)*CHOOSE(CONTROL!$C$21, $C$9, 100%, $E$9)</f>
        <v>19.264399999999998</v>
      </c>
      <c r="H537" s="10">
        <f>CHOOSE(CONTROL!$C$42, 19.5003, 19.5003) * CHOOSE(CONTROL!$C$21, $C$9, 100%, $E$9)</f>
        <v>19.500299999999999</v>
      </c>
      <c r="I537" s="10">
        <f>CHOOSE(CONTROL!$C$42, 19.2468, 19.2468)* CHOOSE(CONTROL!$C$21, $C$9, 100%, $E$9)</f>
        <v>19.2468</v>
      </c>
      <c r="J537" s="10">
        <f>CHOOSE(CONTROL!$C$42, 19.2401, 19.2401)* CHOOSE(CONTROL!$C$21, $C$9, 100%, $E$9)</f>
        <v>19.240100000000002</v>
      </c>
      <c r="K537" s="54">
        <f>CHOOSE(CONTROL!$C$42, 19.2429, 19.2429) * CHOOSE(CONTROL!$C$21, $C$9, 100%, $E$9)</f>
        <v>19.242899999999999</v>
      </c>
      <c r="L537" s="10">
        <f>CHOOSE(CONTROL!$C$42, 20.0873, 20.0873) * CHOOSE(CONTROL!$C$21, $C$9, 100%, $E$9)</f>
        <v>20.087299999999999</v>
      </c>
      <c r="M537" s="10">
        <f>CHOOSE(CONTROL!$C$42, 19.0598, 19.0598) * CHOOSE(CONTROL!$C$21, $C$9, 100%, $E$9)</f>
        <v>19.059799999999999</v>
      </c>
      <c r="N537" s="10">
        <f>CHOOSE(CONTROL!$C$42, 19.0769, 19.0769) * CHOOSE(CONTROL!$C$21, $C$9, 100%, $E$9)</f>
        <v>19.076899999999998</v>
      </c>
      <c r="O537" s="10">
        <f>CHOOSE(CONTROL!$C$42, 19.3174, 19.3174) * CHOOSE(CONTROL!$C$21, $C$9, 100%, $E$9)</f>
        <v>19.317399999999999</v>
      </c>
      <c r="P537" s="10">
        <f>CHOOSE(CONTROL!$C$42, 19.0664, 19.0664) * CHOOSE(CONTROL!$C$21, $C$9, 100%, $E$9)</f>
        <v>19.066400000000002</v>
      </c>
      <c r="Q537" s="10">
        <f>CHOOSE(CONTROL!$C$42, 19.9127, 19.9127) * CHOOSE(CONTROL!$C$21, $C$9, 100%, $E$9)</f>
        <v>19.912700000000001</v>
      </c>
      <c r="R537" s="10">
        <f>CHOOSE(CONTROL!$C$42, 20.5494, 20.5494) * CHOOSE(CONTROL!$C$21, $C$9, 100%, $E$9)</f>
        <v>20.549399999999999</v>
      </c>
      <c r="S537" s="10">
        <f>CHOOSE(CONTROL!$C$42, 18.7188, 18.7188) * CHOOSE(CONTROL!$C$21, $C$9, 100%, $E$9)</f>
        <v>18.718800000000002</v>
      </c>
      <c r="T537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537" s="58">
        <f>(1000*CHOOSE(CONTROL!$C$42, 695, 695)*CHOOSE(CONTROL!$C$42, 0.5599, 0.5599)*CHOOSE(CONTROL!$C$42, 30, 30))/1000000</f>
        <v>11.673914999999997</v>
      </c>
      <c r="V537" s="58">
        <f>(1000*CHOOSE(CONTROL!$C$42, 500, 500)*CHOOSE(CONTROL!$C$42, 0.275, 0.275)*CHOOSE(CONTROL!$C$42, 30, 30))/1000000</f>
        <v>4.125</v>
      </c>
      <c r="W537" s="58">
        <f>(1000*CHOOSE(CONTROL!$C$42, 0.1146, 0.1146)*CHOOSE(CONTROL!$C$42, 121.5, 121.5)*CHOOSE(CONTROL!$C$42, 30, 30))/1000000</f>
        <v>0.417717</v>
      </c>
      <c r="X537" s="58">
        <f>(30*0.1790888*245000/1000000)+(30*0.2374*100000/1000000)</f>
        <v>2.0285026799999999</v>
      </c>
      <c r="Y537" s="58"/>
      <c r="Z537" s="10"/>
      <c r="AA537" s="57"/>
      <c r="AB537" s="51">
        <f>(B537*194.205+C537*267.466+D537*133.845+E537*53.484+F537*40+G537*185+H537*0+I537*100+J537*300)/(194.205+267.466+133.845+53.484+0+40+185+100+300)</f>
        <v>19.297233018367344</v>
      </c>
      <c r="AC537" s="27">
        <f>(M537*'RAP TEMPLATE-GAS AVAILABILITY'!O536+N537*'RAP TEMPLATE-GAS AVAILABILITY'!P536+O537*'RAP TEMPLATE-GAS AVAILABILITY'!Q536+P537*'RAP TEMPLATE-GAS AVAILABILITY'!R536)/('RAP TEMPLATE-GAS AVAILABILITY'!O536+'RAP TEMPLATE-GAS AVAILABILITY'!P536+'RAP TEMPLATE-GAS AVAILABILITY'!Q536+'RAP TEMPLATE-GAS AVAILABILITY'!R536)</f>
        <v>19.136962589928057</v>
      </c>
    </row>
    <row r="538" spans="1:29" ht="15.75" x14ac:dyDescent="0.25">
      <c r="A538" s="13">
        <v>57284</v>
      </c>
      <c r="B538" s="10">
        <f>CHOOSE(CONTROL!$C$42, 18.8871, 18.8871) * CHOOSE(CONTROL!$C$21, $C$9, 100%, $E$9)</f>
        <v>18.8871</v>
      </c>
      <c r="C538" s="10">
        <f>CHOOSE(CONTROL!$C$42, 18.8923, 18.8923) * CHOOSE(CONTROL!$C$21, $C$9, 100%, $E$9)</f>
        <v>18.892299999999999</v>
      </c>
      <c r="D538" s="10">
        <f>CHOOSE(CONTROL!$C$42, 19.0897, 19.0897) * CHOOSE(CONTROL!$C$21, $C$9, 100%, $E$9)</f>
        <v>19.089700000000001</v>
      </c>
      <c r="E538" s="10">
        <f>CHOOSE(CONTROL!$C$42, 19.1185, 19.1185) * CHOOSE(CONTROL!$C$21, $C$9, 100%, $E$9)</f>
        <v>19.118500000000001</v>
      </c>
      <c r="F538" s="10">
        <f>CHOOSE(CONTROL!$C$42, 18.856, 18.856)*CHOOSE(CONTROL!$C$21, $C$9, 100%, $E$9)</f>
        <v>18.856000000000002</v>
      </c>
      <c r="G538" s="10">
        <f>CHOOSE(CONTROL!$C$42, 18.873, 18.873)*CHOOSE(CONTROL!$C$21, $C$9, 100%, $E$9)</f>
        <v>18.873000000000001</v>
      </c>
      <c r="H538" s="10">
        <f>CHOOSE(CONTROL!$C$42, 19.109, 19.109) * CHOOSE(CONTROL!$C$21, $C$9, 100%, $E$9)</f>
        <v>19.109000000000002</v>
      </c>
      <c r="I538" s="10">
        <f>CHOOSE(CONTROL!$C$42, 18.8554, 18.8554)* CHOOSE(CONTROL!$C$21, $C$9, 100%, $E$9)</f>
        <v>18.855399999999999</v>
      </c>
      <c r="J538" s="10">
        <f>CHOOSE(CONTROL!$C$42, 18.849, 18.849)* CHOOSE(CONTROL!$C$21, $C$9, 100%, $E$9)</f>
        <v>18.849</v>
      </c>
      <c r="K538" s="54">
        <f>CHOOSE(CONTROL!$C$42, 18.8515, 18.8515) * CHOOSE(CONTROL!$C$21, $C$9, 100%, $E$9)</f>
        <v>18.851500000000001</v>
      </c>
      <c r="L538" s="10">
        <f>CHOOSE(CONTROL!$C$42, 19.696, 19.696) * CHOOSE(CONTROL!$C$21, $C$9, 100%, $E$9)</f>
        <v>19.696000000000002</v>
      </c>
      <c r="M538" s="10">
        <f>CHOOSE(CONTROL!$C$42, 18.6726, 18.6726) * CHOOSE(CONTROL!$C$21, $C$9, 100%, $E$9)</f>
        <v>18.672599999999999</v>
      </c>
      <c r="N538" s="10">
        <f>CHOOSE(CONTROL!$C$42, 18.6894, 18.6894) * CHOOSE(CONTROL!$C$21, $C$9, 100%, $E$9)</f>
        <v>18.689399999999999</v>
      </c>
      <c r="O538" s="10">
        <f>CHOOSE(CONTROL!$C$42, 18.93, 18.93) * CHOOSE(CONTROL!$C$21, $C$9, 100%, $E$9)</f>
        <v>18.93</v>
      </c>
      <c r="P538" s="10">
        <f>CHOOSE(CONTROL!$C$42, 18.679, 18.679) * CHOOSE(CONTROL!$C$21, $C$9, 100%, $E$9)</f>
        <v>18.678999999999998</v>
      </c>
      <c r="Q538" s="10">
        <f>CHOOSE(CONTROL!$C$42, 19.5253, 19.5253) * CHOOSE(CONTROL!$C$21, $C$9, 100%, $E$9)</f>
        <v>19.525300000000001</v>
      </c>
      <c r="R538" s="10">
        <f>CHOOSE(CONTROL!$C$42, 20.1611, 20.1611) * CHOOSE(CONTROL!$C$21, $C$9, 100%, $E$9)</f>
        <v>20.161100000000001</v>
      </c>
      <c r="S538" s="10">
        <f>CHOOSE(CONTROL!$C$42, 18.3387, 18.3387) * CHOOSE(CONTROL!$C$21, $C$9, 100%, $E$9)</f>
        <v>18.338699999999999</v>
      </c>
      <c r="T538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538" s="58">
        <f>(1000*CHOOSE(CONTROL!$C$42, 695, 695)*CHOOSE(CONTROL!$C$42, 0.5599, 0.5599)*CHOOSE(CONTROL!$C$42, 31, 31))/1000000</f>
        <v>12.063045499999998</v>
      </c>
      <c r="V538" s="58">
        <f>(1000*CHOOSE(CONTROL!$C$42, 500, 500)*CHOOSE(CONTROL!$C$42, 0.275, 0.275)*CHOOSE(CONTROL!$C$42, 31, 31))/1000000</f>
        <v>4.2625000000000002</v>
      </c>
      <c r="W538" s="58">
        <f>(1000*CHOOSE(CONTROL!$C$42, 0.1146, 0.1146)*CHOOSE(CONTROL!$C$42, 121.5, 121.5)*CHOOSE(CONTROL!$C$42, 31, 31))/1000000</f>
        <v>0.43164089999999994</v>
      </c>
      <c r="X538" s="58">
        <f>(31*0.1790888*245000/1000000)+(31*0.2374*100000/1000000)</f>
        <v>2.0961194359999999</v>
      </c>
      <c r="Y538" s="58"/>
      <c r="Z538" s="10"/>
      <c r="AA538" s="57"/>
      <c r="AB538" s="51">
        <f>(B538*131.881+C538*277.167+D538*79.08+E538*125.872+F538*40+G538*185+H538*0+I538*100+J538*300)/(131.881+277.167+79.08+125.872+0+40+185+100+300)</f>
        <v>18.909809569975788</v>
      </c>
      <c r="AC538" s="27">
        <f>(M538*'RAP TEMPLATE-GAS AVAILABILITY'!O537+N538*'RAP TEMPLATE-GAS AVAILABILITY'!P537+O538*'RAP TEMPLATE-GAS AVAILABILITY'!Q537+P538*'RAP TEMPLATE-GAS AVAILABILITY'!R537)/('RAP TEMPLATE-GAS AVAILABILITY'!O537+'RAP TEMPLATE-GAS AVAILABILITY'!P537+'RAP TEMPLATE-GAS AVAILABILITY'!Q537+'RAP TEMPLATE-GAS AVAILABILITY'!R537)</f>
        <v>18.749608633093523</v>
      </c>
    </row>
    <row r="539" spans="1:29" ht="15.75" x14ac:dyDescent="0.25">
      <c r="A539" s="13">
        <v>57314</v>
      </c>
      <c r="B539" s="10">
        <f>CHOOSE(CONTROL!$C$42, 19.3842, 19.3842) * CHOOSE(CONTROL!$C$21, $C$9, 100%, $E$9)</f>
        <v>19.3842</v>
      </c>
      <c r="C539" s="10">
        <f>CHOOSE(CONTROL!$C$42, 19.3891, 19.3891) * CHOOSE(CONTROL!$C$21, $C$9, 100%, $E$9)</f>
        <v>19.389099999999999</v>
      </c>
      <c r="D539" s="10">
        <f>CHOOSE(CONTROL!$C$42, 19.4187, 19.4187) * CHOOSE(CONTROL!$C$21, $C$9, 100%, $E$9)</f>
        <v>19.418700000000001</v>
      </c>
      <c r="E539" s="10">
        <f>CHOOSE(CONTROL!$C$42, 19.4525, 19.4525) * CHOOSE(CONTROL!$C$21, $C$9, 100%, $E$9)</f>
        <v>19.452500000000001</v>
      </c>
      <c r="F539" s="10">
        <f>CHOOSE(CONTROL!$C$42, 19.351, 19.351)*CHOOSE(CONTROL!$C$21, $C$9, 100%, $E$9)</f>
        <v>19.350999999999999</v>
      </c>
      <c r="G539" s="10">
        <f>CHOOSE(CONTROL!$C$42, 19.3681, 19.3681)*CHOOSE(CONTROL!$C$21, $C$9, 100%, $E$9)</f>
        <v>19.368099999999998</v>
      </c>
      <c r="H539" s="10">
        <f>CHOOSE(CONTROL!$C$42, 19.4417, 19.4417) * CHOOSE(CONTROL!$C$21, $C$9, 100%, $E$9)</f>
        <v>19.441700000000001</v>
      </c>
      <c r="I539" s="10">
        <f>CHOOSE(CONTROL!$C$42, 19.3478, 19.3478)* CHOOSE(CONTROL!$C$21, $C$9, 100%, $E$9)</f>
        <v>19.347799999999999</v>
      </c>
      <c r="J539" s="10">
        <f>CHOOSE(CONTROL!$C$42, 19.344, 19.344)* CHOOSE(CONTROL!$C$21, $C$9, 100%, $E$9)</f>
        <v>19.344000000000001</v>
      </c>
      <c r="K539" s="54">
        <f>CHOOSE(CONTROL!$C$42, 19.3439, 19.3439) * CHOOSE(CONTROL!$C$21, $C$9, 100%, $E$9)</f>
        <v>19.343900000000001</v>
      </c>
      <c r="L539" s="10">
        <f>CHOOSE(CONTROL!$C$42, 20.0287, 20.0287) * CHOOSE(CONTROL!$C$21, $C$9, 100%, $E$9)</f>
        <v>20.028700000000001</v>
      </c>
      <c r="M539" s="10">
        <f>CHOOSE(CONTROL!$C$42, 19.1626, 19.1626) * CHOOSE(CONTROL!$C$21, $C$9, 100%, $E$9)</f>
        <v>19.162600000000001</v>
      </c>
      <c r="N539" s="10">
        <f>CHOOSE(CONTROL!$C$42, 19.1795, 19.1795) * CHOOSE(CONTROL!$C$21, $C$9, 100%, $E$9)</f>
        <v>19.179500000000001</v>
      </c>
      <c r="O539" s="10">
        <f>CHOOSE(CONTROL!$C$42, 19.2593, 19.2593) * CHOOSE(CONTROL!$C$21, $C$9, 100%, $E$9)</f>
        <v>19.2593</v>
      </c>
      <c r="P539" s="10">
        <f>CHOOSE(CONTROL!$C$42, 19.1664, 19.1664) * CHOOSE(CONTROL!$C$21, $C$9, 100%, $E$9)</f>
        <v>19.166399999999999</v>
      </c>
      <c r="Q539" s="10">
        <f>CHOOSE(CONTROL!$C$42, 19.8546, 19.8546) * CHOOSE(CONTROL!$C$21, $C$9, 100%, $E$9)</f>
        <v>19.854600000000001</v>
      </c>
      <c r="R539" s="10">
        <f>CHOOSE(CONTROL!$C$42, 20.4913, 20.4913) * CHOOSE(CONTROL!$C$21, $C$9, 100%, $E$9)</f>
        <v>20.491299999999999</v>
      </c>
      <c r="S539" s="10">
        <f>CHOOSE(CONTROL!$C$42, 18.8218, 18.8218) * CHOOSE(CONTROL!$C$21, $C$9, 100%, $E$9)</f>
        <v>18.8218</v>
      </c>
      <c r="T539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539" s="58">
        <f>(1000*CHOOSE(CONTROL!$C$42, 695, 695)*CHOOSE(CONTROL!$C$42, 0.5599, 0.5599)*CHOOSE(CONTROL!$C$42, 30, 30))/1000000</f>
        <v>11.673914999999997</v>
      </c>
      <c r="V539" s="58">
        <f>(1000*CHOOSE(CONTROL!$C$42, 500, 500)*CHOOSE(CONTROL!$C$42, 0.275, 0.275)*CHOOSE(CONTROL!$C$42, 30, 30))/1000000</f>
        <v>4.125</v>
      </c>
      <c r="W539" s="58">
        <f>(1000*CHOOSE(CONTROL!$C$42, 0.1146, 0.1146)*CHOOSE(CONTROL!$C$42, 121.5, 121.5)*CHOOSE(CONTROL!$C$42, 30, 30))/1000000</f>
        <v>0.417717</v>
      </c>
      <c r="X539" s="58">
        <f>(30*0.1790888*100000/1000000)+(30*0.2374*100000/1000000)</f>
        <v>1.2494664</v>
      </c>
      <c r="Y539" s="58"/>
      <c r="Z539" s="10"/>
      <c r="AA539" s="57"/>
      <c r="AB539" s="51">
        <f>(B539*122.58+C539*297.941+D539*89.177+E539*40.302+F539*40+G539*160+H539*0+I539*100+J539*300)/(122.58+297.941+89.177+40.302+0+40+160+100+300)</f>
        <v>19.373491429565217</v>
      </c>
      <c r="AC539" s="27">
        <f>(M539*'RAP TEMPLATE-GAS AVAILABILITY'!O538+N539*'RAP TEMPLATE-GAS AVAILABILITY'!P538+O539*'RAP TEMPLATE-GAS AVAILABILITY'!Q538+P539*'RAP TEMPLATE-GAS AVAILABILITY'!R538)/('RAP TEMPLATE-GAS AVAILABILITY'!O538+'RAP TEMPLATE-GAS AVAILABILITY'!P538+'RAP TEMPLATE-GAS AVAILABILITY'!Q538+'RAP TEMPLATE-GAS AVAILABILITY'!R538)</f>
        <v>19.207947482014387</v>
      </c>
    </row>
    <row r="540" spans="1:29" ht="15.75" x14ac:dyDescent="0.25">
      <c r="A540" s="13">
        <v>57345</v>
      </c>
      <c r="B540" s="10">
        <f>CHOOSE(CONTROL!$C$42, 20.7056, 20.7056) * CHOOSE(CONTROL!$C$21, $C$9, 100%, $E$9)</f>
        <v>20.7056</v>
      </c>
      <c r="C540" s="10">
        <f>CHOOSE(CONTROL!$C$42, 20.7105, 20.7105) * CHOOSE(CONTROL!$C$21, $C$9, 100%, $E$9)</f>
        <v>20.7105</v>
      </c>
      <c r="D540" s="10">
        <f>CHOOSE(CONTROL!$C$42, 20.7401, 20.7401) * CHOOSE(CONTROL!$C$21, $C$9, 100%, $E$9)</f>
        <v>20.740100000000002</v>
      </c>
      <c r="E540" s="10">
        <f>CHOOSE(CONTROL!$C$42, 20.7739, 20.7739) * CHOOSE(CONTROL!$C$21, $C$9, 100%, $E$9)</f>
        <v>20.773900000000001</v>
      </c>
      <c r="F540" s="10">
        <f>CHOOSE(CONTROL!$C$42, 20.6738, 20.6738)*CHOOSE(CONTROL!$C$21, $C$9, 100%, $E$9)</f>
        <v>20.6738</v>
      </c>
      <c r="G540" s="10">
        <f>CHOOSE(CONTROL!$C$42, 20.6913, 20.6913)*CHOOSE(CONTROL!$C$21, $C$9, 100%, $E$9)</f>
        <v>20.691299999999998</v>
      </c>
      <c r="H540" s="10">
        <f>CHOOSE(CONTROL!$C$42, 20.7631, 20.7631) * CHOOSE(CONTROL!$C$21, $C$9, 100%, $E$9)</f>
        <v>20.763100000000001</v>
      </c>
      <c r="I540" s="10">
        <f>CHOOSE(CONTROL!$C$42, 20.6692, 20.6692)* CHOOSE(CONTROL!$C$21, $C$9, 100%, $E$9)</f>
        <v>20.6692</v>
      </c>
      <c r="J540" s="10">
        <f>CHOOSE(CONTROL!$C$42, 20.6668, 20.6668)* CHOOSE(CONTROL!$C$21, $C$9, 100%, $E$9)</f>
        <v>20.666799999999999</v>
      </c>
      <c r="K540" s="54">
        <f>CHOOSE(CONTROL!$C$42, 20.6653, 20.6653) * CHOOSE(CONTROL!$C$21, $C$9, 100%, $E$9)</f>
        <v>20.665299999999998</v>
      </c>
      <c r="L540" s="10">
        <f>CHOOSE(CONTROL!$C$42, 21.3501, 21.3501) * CHOOSE(CONTROL!$C$21, $C$9, 100%, $E$9)</f>
        <v>21.350100000000001</v>
      </c>
      <c r="M540" s="10">
        <f>CHOOSE(CONTROL!$C$42, 20.472, 20.472) * CHOOSE(CONTROL!$C$21, $C$9, 100%, $E$9)</f>
        <v>20.472000000000001</v>
      </c>
      <c r="N540" s="10">
        <f>CHOOSE(CONTROL!$C$42, 20.4894, 20.4894) * CHOOSE(CONTROL!$C$21, $C$9, 100%, $E$9)</f>
        <v>20.4894</v>
      </c>
      <c r="O540" s="10">
        <f>CHOOSE(CONTROL!$C$42, 20.5674, 20.5674) * CHOOSE(CONTROL!$C$21, $C$9, 100%, $E$9)</f>
        <v>20.567399999999999</v>
      </c>
      <c r="P540" s="10">
        <f>CHOOSE(CONTROL!$C$42, 20.4744, 20.4744) * CHOOSE(CONTROL!$C$21, $C$9, 100%, $E$9)</f>
        <v>20.474399999999999</v>
      </c>
      <c r="Q540" s="10">
        <f>CHOOSE(CONTROL!$C$42, 21.1627, 21.1627) * CHOOSE(CONTROL!$C$21, $C$9, 100%, $E$9)</f>
        <v>21.162700000000001</v>
      </c>
      <c r="R540" s="10">
        <f>CHOOSE(CONTROL!$C$42, 21.8026, 21.8026) * CHOOSE(CONTROL!$C$21, $C$9, 100%, $E$9)</f>
        <v>21.802600000000002</v>
      </c>
      <c r="S540" s="10">
        <f>CHOOSE(CONTROL!$C$42, 20.105, 20.105) * CHOOSE(CONTROL!$C$21, $C$9, 100%, $E$9)</f>
        <v>20.105</v>
      </c>
      <c r="T540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540" s="58">
        <f>(1000*CHOOSE(CONTROL!$C$42, 695, 695)*CHOOSE(CONTROL!$C$42, 0.5599, 0.5599)*CHOOSE(CONTROL!$C$42, 31, 31))/1000000</f>
        <v>12.063045499999998</v>
      </c>
      <c r="V540" s="58">
        <f>(1000*CHOOSE(CONTROL!$C$42, 500, 500)*CHOOSE(CONTROL!$C$42, 0.275, 0.275)*CHOOSE(CONTROL!$C$42, 31, 31))/1000000</f>
        <v>4.2625000000000002</v>
      </c>
      <c r="W540" s="58">
        <f>(1000*CHOOSE(CONTROL!$C$42, 0.1146, 0.1146)*CHOOSE(CONTROL!$C$42, 121.5, 121.5)*CHOOSE(CONTROL!$C$42, 31, 31))/1000000</f>
        <v>0.43164089999999994</v>
      </c>
      <c r="X540" s="58">
        <f>(31*0.1790888*100000/1000000)+(31*0.2374*100000/1000000)</f>
        <v>1.2911152800000001</v>
      </c>
      <c r="Y540" s="58"/>
      <c r="Z540" s="10"/>
      <c r="AA540" s="57"/>
      <c r="AB540" s="51">
        <f>(B540*122.58+C540*297.941+D540*89.177+E540*40.302+F540*40+G540*160+H540*0+I540*100+J540*300)/(122.58+297.941+89.177+40.302+0+40+160+100+300)</f>
        <v>20.695555777391306</v>
      </c>
      <c r="AC540" s="27">
        <f>(M540*'RAP TEMPLATE-GAS AVAILABILITY'!O539+N540*'RAP TEMPLATE-GAS AVAILABILITY'!P539+O540*'RAP TEMPLATE-GAS AVAILABILITY'!Q539+P540*'RAP TEMPLATE-GAS AVAILABILITY'!R539)/('RAP TEMPLATE-GAS AVAILABILITY'!O539+'RAP TEMPLATE-GAS AVAILABILITY'!P539+'RAP TEMPLATE-GAS AVAILABILITY'!Q539+'RAP TEMPLATE-GAS AVAILABILITY'!R539)</f>
        <v>20.516585611510791</v>
      </c>
    </row>
    <row r="541" spans="1:29" ht="15.75" x14ac:dyDescent="0.25">
      <c r="A541" s="13">
        <v>57376</v>
      </c>
      <c r="B541" s="10">
        <f>CHOOSE(CONTROL!$C$42, 22.4019, 22.4019) * CHOOSE(CONTROL!$C$21, $C$9, 100%, $E$9)</f>
        <v>22.401900000000001</v>
      </c>
      <c r="C541" s="10">
        <f>CHOOSE(CONTROL!$C$42, 22.4068, 22.4068) * CHOOSE(CONTROL!$C$21, $C$9, 100%, $E$9)</f>
        <v>22.4068</v>
      </c>
      <c r="D541" s="10">
        <f>CHOOSE(CONTROL!$C$42, 22.457, 22.457) * CHOOSE(CONTROL!$C$21, $C$9, 100%, $E$9)</f>
        <v>22.457000000000001</v>
      </c>
      <c r="E541" s="10">
        <f>CHOOSE(CONTROL!$C$42, 22.4908, 22.4908) * CHOOSE(CONTROL!$C$21, $C$9, 100%, $E$9)</f>
        <v>22.4908</v>
      </c>
      <c r="F541" s="10">
        <f>CHOOSE(CONTROL!$C$42, 22.3672, 22.3672)*CHOOSE(CONTROL!$C$21, $C$9, 100%, $E$9)</f>
        <v>22.3672</v>
      </c>
      <c r="G541" s="10">
        <f>CHOOSE(CONTROL!$C$42, 22.3848, 22.3848)*CHOOSE(CONTROL!$C$21, $C$9, 100%, $E$9)</f>
        <v>22.384799999999998</v>
      </c>
      <c r="H541" s="10">
        <f>CHOOSE(CONTROL!$C$42, 22.48, 22.48) * CHOOSE(CONTROL!$C$21, $C$9, 100%, $E$9)</f>
        <v>22.48</v>
      </c>
      <c r="I541" s="10">
        <f>CHOOSE(CONTROL!$C$42, 22.3758, 22.3758)* CHOOSE(CONTROL!$C$21, $C$9, 100%, $E$9)</f>
        <v>22.375800000000002</v>
      </c>
      <c r="J541" s="10">
        <f>CHOOSE(CONTROL!$C$42, 22.3602, 22.3602)* CHOOSE(CONTROL!$C$21, $C$9, 100%, $E$9)</f>
        <v>22.360199999999999</v>
      </c>
      <c r="K541" s="54">
        <f>CHOOSE(CONTROL!$C$42, 22.3719, 22.3719) * CHOOSE(CONTROL!$C$21, $C$9, 100%, $E$9)</f>
        <v>22.3719</v>
      </c>
      <c r="L541" s="10">
        <f>CHOOSE(CONTROL!$C$42, 23.067, 23.067) * CHOOSE(CONTROL!$C$21, $C$9, 100%, $E$9)</f>
        <v>23.067</v>
      </c>
      <c r="M541" s="10">
        <f>CHOOSE(CONTROL!$C$42, 22.1484, 22.1484) * CHOOSE(CONTROL!$C$21, $C$9, 100%, $E$9)</f>
        <v>22.148399999999999</v>
      </c>
      <c r="N541" s="10">
        <f>CHOOSE(CONTROL!$C$42, 22.1658, 22.1658) * CHOOSE(CONTROL!$C$21, $C$9, 100%, $E$9)</f>
        <v>22.165800000000001</v>
      </c>
      <c r="O541" s="10">
        <f>CHOOSE(CONTROL!$C$42, 22.267, 22.267) * CHOOSE(CONTROL!$C$21, $C$9, 100%, $E$9)</f>
        <v>22.266999999999999</v>
      </c>
      <c r="P541" s="10">
        <f>CHOOSE(CONTROL!$C$42, 22.1638, 22.1638) * CHOOSE(CONTROL!$C$21, $C$9, 100%, $E$9)</f>
        <v>22.163799999999998</v>
      </c>
      <c r="Q541" s="10">
        <f>CHOOSE(CONTROL!$C$42, 22.8623, 22.8623) * CHOOSE(CONTROL!$C$21, $C$9, 100%, $E$9)</f>
        <v>22.862300000000001</v>
      </c>
      <c r="R541" s="10">
        <f>CHOOSE(CONTROL!$C$42, 23.5064, 23.5064) * CHOOSE(CONTROL!$C$21, $C$9, 100%, $E$9)</f>
        <v>23.506399999999999</v>
      </c>
      <c r="S541" s="10">
        <f>CHOOSE(CONTROL!$C$42, 21.7523, 21.7523) * CHOOSE(CONTROL!$C$21, $C$9, 100%, $E$9)</f>
        <v>21.752300000000002</v>
      </c>
      <c r="T541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541" s="58">
        <f>(1000*CHOOSE(CONTROL!$C$42, 695, 695)*CHOOSE(CONTROL!$C$42, 0.5599, 0.5599)*CHOOSE(CONTROL!$C$42, 31, 31))/1000000</f>
        <v>12.063045499999998</v>
      </c>
      <c r="V541" s="58">
        <f>(1000*CHOOSE(CONTROL!$C$42, 500, 500)*CHOOSE(CONTROL!$C$42, 0.275, 0.275)*CHOOSE(CONTROL!$C$42, 31, 31))/1000000</f>
        <v>4.2625000000000002</v>
      </c>
      <c r="W541" s="58">
        <f>(1000*CHOOSE(CONTROL!$C$42, 0.1146, 0.1146)*CHOOSE(CONTROL!$C$42, 121.5, 121.5)*CHOOSE(CONTROL!$C$42, 31, 31))/1000000</f>
        <v>0.43164089999999994</v>
      </c>
      <c r="X541" s="58">
        <f>(31*0.1790888*100000/1000000)+(31*0.2374*100000/1000000)</f>
        <v>1.2911152800000001</v>
      </c>
      <c r="Y541" s="58"/>
      <c r="Z541" s="10"/>
      <c r="AA541" s="57"/>
      <c r="AB541" s="51">
        <f>(B541*122.58+C541*297.941+D541*89.177+E541*40.302+F541*40+G541*160+H541*0+I541*100+J541*300)/(122.58+297.941+89.177+40.302+0+40+160+100+300)</f>
        <v>22.393823835999999</v>
      </c>
      <c r="AC541" s="27">
        <f>(M541*'RAP TEMPLATE-GAS AVAILABILITY'!O540+N541*'RAP TEMPLATE-GAS AVAILABILITY'!P540+O541*'RAP TEMPLATE-GAS AVAILABILITY'!Q540+P541*'RAP TEMPLATE-GAS AVAILABILITY'!R540)/('RAP TEMPLATE-GAS AVAILABILITY'!O540+'RAP TEMPLATE-GAS AVAILABILITY'!P540+'RAP TEMPLATE-GAS AVAILABILITY'!Q540+'RAP TEMPLATE-GAS AVAILABILITY'!R540)</f>
        <v>22.205371223021579</v>
      </c>
    </row>
    <row r="542" spans="1:29" ht="15.75" x14ac:dyDescent="0.25">
      <c r="A542" s="13">
        <v>57404</v>
      </c>
      <c r="B542" s="10">
        <f>CHOOSE(CONTROL!$C$42, 22.8006, 22.8006) * CHOOSE(CONTROL!$C$21, $C$9, 100%, $E$9)</f>
        <v>22.800599999999999</v>
      </c>
      <c r="C542" s="10">
        <f>CHOOSE(CONTROL!$C$42, 22.8056, 22.8056) * CHOOSE(CONTROL!$C$21, $C$9, 100%, $E$9)</f>
        <v>22.805599999999998</v>
      </c>
      <c r="D542" s="10">
        <f>CHOOSE(CONTROL!$C$42, 22.8661, 22.8661) * CHOOSE(CONTROL!$C$21, $C$9, 100%, $E$9)</f>
        <v>22.866099999999999</v>
      </c>
      <c r="E542" s="10">
        <f>CHOOSE(CONTROL!$C$42, 22.8998, 22.8998) * CHOOSE(CONTROL!$C$21, $C$9, 100%, $E$9)</f>
        <v>22.899799999999999</v>
      </c>
      <c r="F542" s="10">
        <f>CHOOSE(CONTROL!$C$42, 22.7938, 22.7938)*CHOOSE(CONTROL!$C$21, $C$9, 100%, $E$9)</f>
        <v>22.793800000000001</v>
      </c>
      <c r="G542" s="10">
        <f>CHOOSE(CONTROL!$C$42, 22.8111, 22.8111)*CHOOSE(CONTROL!$C$21, $C$9, 100%, $E$9)</f>
        <v>22.8111</v>
      </c>
      <c r="H542" s="10">
        <f>CHOOSE(CONTROL!$C$42, 22.889, 22.889) * CHOOSE(CONTROL!$C$21, $C$9, 100%, $E$9)</f>
        <v>22.888999999999999</v>
      </c>
      <c r="I542" s="10">
        <f>CHOOSE(CONTROL!$C$42, 22.7874, 22.7874)* CHOOSE(CONTROL!$C$21, $C$9, 100%, $E$9)</f>
        <v>22.787400000000002</v>
      </c>
      <c r="J542" s="10">
        <f>CHOOSE(CONTROL!$C$42, 22.7868, 22.7868)* CHOOSE(CONTROL!$C$21, $C$9, 100%, $E$9)</f>
        <v>22.786799999999999</v>
      </c>
      <c r="K542" s="54">
        <f>CHOOSE(CONTROL!$C$42, 22.7835, 22.7835) * CHOOSE(CONTROL!$C$21, $C$9, 100%, $E$9)</f>
        <v>22.7835</v>
      </c>
      <c r="L542" s="10">
        <f>CHOOSE(CONTROL!$C$42, 23.476, 23.476) * CHOOSE(CONTROL!$C$21, $C$9, 100%, $E$9)</f>
        <v>23.475999999999999</v>
      </c>
      <c r="M542" s="10">
        <f>CHOOSE(CONTROL!$C$42, 22.5707, 22.5707) * CHOOSE(CONTROL!$C$21, $C$9, 100%, $E$9)</f>
        <v>22.570699999999999</v>
      </c>
      <c r="N542" s="10">
        <f>CHOOSE(CONTROL!$C$42, 22.5878, 22.5878) * CHOOSE(CONTROL!$C$21, $C$9, 100%, $E$9)</f>
        <v>22.587800000000001</v>
      </c>
      <c r="O542" s="10">
        <f>CHOOSE(CONTROL!$C$42, 22.6719, 22.6719) * CHOOSE(CONTROL!$C$21, $C$9, 100%, $E$9)</f>
        <v>22.671900000000001</v>
      </c>
      <c r="P542" s="10">
        <f>CHOOSE(CONTROL!$C$42, 22.5713, 22.5713) * CHOOSE(CONTROL!$C$21, $C$9, 100%, $E$9)</f>
        <v>22.571300000000001</v>
      </c>
      <c r="Q542" s="10">
        <f>CHOOSE(CONTROL!$C$42, 23.2672, 23.2672) * CHOOSE(CONTROL!$C$21, $C$9, 100%, $E$9)</f>
        <v>23.267199999999999</v>
      </c>
      <c r="R542" s="10">
        <f>CHOOSE(CONTROL!$C$42, 23.9123, 23.9123) * CHOOSE(CONTROL!$C$21, $C$9, 100%, $E$9)</f>
        <v>23.912299999999998</v>
      </c>
      <c r="S542" s="10">
        <f>CHOOSE(CONTROL!$C$42, 22.1395, 22.1395) * CHOOSE(CONTROL!$C$21, $C$9, 100%, $E$9)</f>
        <v>22.139500000000002</v>
      </c>
      <c r="T542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542" s="58">
        <f>(1000*CHOOSE(CONTROL!$C$42, 695, 695)*CHOOSE(CONTROL!$C$42, 0.5599, 0.5599)*CHOOSE(CONTROL!$C$42, 28, 28))/1000000</f>
        <v>10.895653999999999</v>
      </c>
      <c r="V542" s="58">
        <f>(1000*CHOOSE(CONTROL!$C$42, 500, 500)*CHOOSE(CONTROL!$C$42, 0.275, 0.275)*CHOOSE(CONTROL!$C$42, 28, 28))/1000000</f>
        <v>3.85</v>
      </c>
      <c r="W542" s="58">
        <f>(1000*CHOOSE(CONTROL!$C$42, 0.1146, 0.1146)*CHOOSE(CONTROL!$C$42, 121.5, 121.5)*CHOOSE(CONTROL!$C$42, 28, 28))/1000000</f>
        <v>0.38986920000000003</v>
      </c>
      <c r="X542" s="58">
        <f>(28*0.1790888*100000/1000000)+(28*0.2374*100000/1000000)</f>
        <v>1.16616864</v>
      </c>
      <c r="Y542" s="58"/>
      <c r="Z542" s="10"/>
      <c r="AA542" s="57"/>
      <c r="AB542" s="51">
        <f>(B542*122.58+C542*297.941+D542*89.177+E542*40.302+F542*40+G542*160+H542*0+I542*100+J542*300)/(122.58+297.941+89.177+40.302+0+40+160+100+300)</f>
        <v>22.806927614695656</v>
      </c>
      <c r="AC542" s="27">
        <f>(M542*'RAP TEMPLATE-GAS AVAILABILITY'!O541+N542*'RAP TEMPLATE-GAS AVAILABILITY'!P541+O542*'RAP TEMPLATE-GAS AVAILABILITY'!Q541+P542*'RAP TEMPLATE-GAS AVAILABILITY'!R541)/('RAP TEMPLATE-GAS AVAILABILITY'!O541+'RAP TEMPLATE-GAS AVAILABILITY'!P541+'RAP TEMPLATE-GAS AVAILABILITY'!Q541+'RAP TEMPLATE-GAS AVAILABILITY'!R541)</f>
        <v>22.617638129496402</v>
      </c>
    </row>
    <row r="543" spans="1:29" ht="15.75" x14ac:dyDescent="0.25">
      <c r="A543" s="13">
        <v>57435</v>
      </c>
      <c r="B543" s="10">
        <f>CHOOSE(CONTROL!$C$42, 22.1534, 22.1534) * CHOOSE(CONTROL!$C$21, $C$9, 100%, $E$9)</f>
        <v>22.153400000000001</v>
      </c>
      <c r="C543" s="10">
        <f>CHOOSE(CONTROL!$C$42, 22.1583, 22.1583) * CHOOSE(CONTROL!$C$21, $C$9, 100%, $E$9)</f>
        <v>22.158300000000001</v>
      </c>
      <c r="D543" s="10">
        <f>CHOOSE(CONTROL!$C$42, 22.2188, 22.2188) * CHOOSE(CONTROL!$C$21, $C$9, 100%, $E$9)</f>
        <v>22.218800000000002</v>
      </c>
      <c r="E543" s="10">
        <f>CHOOSE(CONTROL!$C$42, 22.2526, 22.2526) * CHOOSE(CONTROL!$C$21, $C$9, 100%, $E$9)</f>
        <v>22.252600000000001</v>
      </c>
      <c r="F543" s="10">
        <f>CHOOSE(CONTROL!$C$42, 22.1411, 22.1411)*CHOOSE(CONTROL!$C$21, $C$9, 100%, $E$9)</f>
        <v>22.141100000000002</v>
      </c>
      <c r="G543" s="10">
        <f>CHOOSE(CONTROL!$C$42, 22.1583, 22.1583)*CHOOSE(CONTROL!$C$21, $C$9, 100%, $E$9)</f>
        <v>22.158300000000001</v>
      </c>
      <c r="H543" s="10">
        <f>CHOOSE(CONTROL!$C$42, 22.2418, 22.2418) * CHOOSE(CONTROL!$C$21, $C$9, 100%, $E$9)</f>
        <v>22.241800000000001</v>
      </c>
      <c r="I543" s="10">
        <f>CHOOSE(CONTROL!$C$42, 22.1273, 22.1273)* CHOOSE(CONTROL!$C$21, $C$9, 100%, $E$9)</f>
        <v>22.127300000000002</v>
      </c>
      <c r="J543" s="10">
        <f>CHOOSE(CONTROL!$C$42, 22.1341, 22.1341)* CHOOSE(CONTROL!$C$21, $C$9, 100%, $E$9)</f>
        <v>22.1341</v>
      </c>
      <c r="K543" s="54">
        <f>CHOOSE(CONTROL!$C$42, 22.1234, 22.1234) * CHOOSE(CONTROL!$C$21, $C$9, 100%, $E$9)</f>
        <v>22.1234</v>
      </c>
      <c r="L543" s="10">
        <f>CHOOSE(CONTROL!$C$42, 22.8288, 22.8288) * CHOOSE(CONTROL!$C$21, $C$9, 100%, $E$9)</f>
        <v>22.828800000000001</v>
      </c>
      <c r="M543" s="10">
        <f>CHOOSE(CONTROL!$C$42, 21.9245, 21.9245) * CHOOSE(CONTROL!$C$21, $C$9, 100%, $E$9)</f>
        <v>21.924499999999998</v>
      </c>
      <c r="N543" s="10">
        <f>CHOOSE(CONTROL!$C$42, 21.9416, 21.9416) * CHOOSE(CONTROL!$C$21, $C$9, 100%, $E$9)</f>
        <v>21.941600000000001</v>
      </c>
      <c r="O543" s="10">
        <f>CHOOSE(CONTROL!$C$42, 22.0312, 22.0312) * CHOOSE(CONTROL!$C$21, $C$9, 100%, $E$9)</f>
        <v>22.031199999999998</v>
      </c>
      <c r="P543" s="10">
        <f>CHOOSE(CONTROL!$C$42, 21.9178, 21.9178) * CHOOSE(CONTROL!$C$21, $C$9, 100%, $E$9)</f>
        <v>21.9178</v>
      </c>
      <c r="Q543" s="10">
        <f>CHOOSE(CONTROL!$C$42, 22.6265, 22.6265) * CHOOSE(CONTROL!$C$21, $C$9, 100%, $E$9)</f>
        <v>22.6265</v>
      </c>
      <c r="R543" s="10">
        <f>CHOOSE(CONTROL!$C$42, 23.27, 23.27) * CHOOSE(CONTROL!$C$21, $C$9, 100%, $E$9)</f>
        <v>23.27</v>
      </c>
      <c r="S543" s="10">
        <f>CHOOSE(CONTROL!$C$42, 21.511, 21.511) * CHOOSE(CONTROL!$C$21, $C$9, 100%, $E$9)</f>
        <v>21.510999999999999</v>
      </c>
      <c r="T543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543" s="58">
        <f>(1000*CHOOSE(CONTROL!$C$42, 695, 695)*CHOOSE(CONTROL!$C$42, 0.5599, 0.5599)*CHOOSE(CONTROL!$C$42, 31, 31))/1000000</f>
        <v>12.063045499999998</v>
      </c>
      <c r="V543" s="58">
        <f>(1000*CHOOSE(CONTROL!$C$42, 500, 500)*CHOOSE(CONTROL!$C$42, 0.275, 0.275)*CHOOSE(CONTROL!$C$42, 31, 31))/1000000</f>
        <v>4.2625000000000002</v>
      </c>
      <c r="W543" s="58">
        <f>(1000*CHOOSE(CONTROL!$C$42, 0.1146, 0.1146)*CHOOSE(CONTROL!$C$42, 121.5, 121.5)*CHOOSE(CONTROL!$C$42, 31, 31))/1000000</f>
        <v>0.43164089999999994</v>
      </c>
      <c r="X543" s="58">
        <f>(31*0.1790888*100000/1000000)+(31*0.2374*100000/1000000)</f>
        <v>1.2911152800000001</v>
      </c>
      <c r="Y543" s="58"/>
      <c r="Z543" s="10"/>
      <c r="AA543" s="57"/>
      <c r="AB543" s="51">
        <f>(B543*122.58+C543*297.941+D543*89.177+E543*40.302+F543*40+G543*160+H543*0+I543*100+J543*300)/(122.58+297.941+89.177+40.302+0+40+160+100+300)</f>
        <v>22.156166995739131</v>
      </c>
      <c r="AC543" s="27">
        <f>(M543*'RAP TEMPLATE-GAS AVAILABILITY'!O542+N543*'RAP TEMPLATE-GAS AVAILABILITY'!P542+O543*'RAP TEMPLATE-GAS AVAILABILITY'!Q542+P543*'RAP TEMPLATE-GAS AVAILABILITY'!R542)/('RAP TEMPLATE-GAS AVAILABILITY'!O542+'RAP TEMPLATE-GAS AVAILABILITY'!P542+'RAP TEMPLATE-GAS AVAILABILITY'!Q542+'RAP TEMPLATE-GAS AVAILABILITY'!R542)</f>
        <v>21.972880575539566</v>
      </c>
    </row>
    <row r="544" spans="1:29" ht="15.75" x14ac:dyDescent="0.25">
      <c r="A544" s="13">
        <v>57465</v>
      </c>
      <c r="B544" s="10">
        <f>CHOOSE(CONTROL!$C$42, 22.0882, 22.0882) * CHOOSE(CONTROL!$C$21, $C$9, 100%, $E$9)</f>
        <v>22.088200000000001</v>
      </c>
      <c r="C544" s="10">
        <f>CHOOSE(CONTROL!$C$42, 22.0926, 22.0926) * CHOOSE(CONTROL!$C$21, $C$9, 100%, $E$9)</f>
        <v>22.092600000000001</v>
      </c>
      <c r="D544" s="10">
        <f>CHOOSE(CONTROL!$C$42, 22.2882, 22.2882) * CHOOSE(CONTROL!$C$21, $C$9, 100%, $E$9)</f>
        <v>22.2882</v>
      </c>
      <c r="E544" s="10">
        <f>CHOOSE(CONTROL!$C$42, 22.3199, 22.3199) * CHOOSE(CONTROL!$C$21, $C$9, 100%, $E$9)</f>
        <v>22.319900000000001</v>
      </c>
      <c r="F544" s="10">
        <f>CHOOSE(CONTROL!$C$42, 22.056, 22.056)*CHOOSE(CONTROL!$C$21, $C$9, 100%, $E$9)</f>
        <v>22.056000000000001</v>
      </c>
      <c r="G544" s="10">
        <f>CHOOSE(CONTROL!$C$42, 22.0728, 22.0728)*CHOOSE(CONTROL!$C$21, $C$9, 100%, $E$9)</f>
        <v>22.072800000000001</v>
      </c>
      <c r="H544" s="10">
        <f>CHOOSE(CONTROL!$C$42, 22.3097, 22.3097) * CHOOSE(CONTROL!$C$21, $C$9, 100%, $E$9)</f>
        <v>22.309699999999999</v>
      </c>
      <c r="I544" s="10">
        <f>CHOOSE(CONTROL!$C$42, 22.0562, 22.0562)* CHOOSE(CONTROL!$C$21, $C$9, 100%, $E$9)</f>
        <v>22.0562</v>
      </c>
      <c r="J544" s="10">
        <f>CHOOSE(CONTROL!$C$42, 22.049, 22.049)* CHOOSE(CONTROL!$C$21, $C$9, 100%, $E$9)</f>
        <v>22.048999999999999</v>
      </c>
      <c r="K544" s="54">
        <f>CHOOSE(CONTROL!$C$42, 22.0523, 22.0523) * CHOOSE(CONTROL!$C$21, $C$9, 100%, $E$9)</f>
        <v>22.052299999999999</v>
      </c>
      <c r="L544" s="10">
        <f>CHOOSE(CONTROL!$C$42, 22.8967, 22.8967) * CHOOSE(CONTROL!$C$21, $C$9, 100%, $E$9)</f>
        <v>22.896699999999999</v>
      </c>
      <c r="M544" s="10">
        <f>CHOOSE(CONTROL!$C$42, 21.8403, 21.8403) * CHOOSE(CONTROL!$C$21, $C$9, 100%, $E$9)</f>
        <v>21.840299999999999</v>
      </c>
      <c r="N544" s="10">
        <f>CHOOSE(CONTROL!$C$42, 21.8569, 21.8569) * CHOOSE(CONTROL!$C$21, $C$9, 100%, $E$9)</f>
        <v>21.8569</v>
      </c>
      <c r="O544" s="10">
        <f>CHOOSE(CONTROL!$C$42, 22.0984, 22.0984) * CHOOSE(CONTROL!$C$21, $C$9, 100%, $E$9)</f>
        <v>22.098400000000002</v>
      </c>
      <c r="P544" s="10">
        <f>CHOOSE(CONTROL!$C$42, 21.8475, 21.8475) * CHOOSE(CONTROL!$C$21, $C$9, 100%, $E$9)</f>
        <v>21.8475</v>
      </c>
      <c r="Q544" s="10">
        <f>CHOOSE(CONTROL!$C$42, 22.6937, 22.6937) * CHOOSE(CONTROL!$C$21, $C$9, 100%, $E$9)</f>
        <v>22.6937</v>
      </c>
      <c r="R544" s="10">
        <f>CHOOSE(CONTROL!$C$42, 23.3374, 23.3374) * CHOOSE(CONTROL!$C$21, $C$9, 100%, $E$9)</f>
        <v>23.337399999999999</v>
      </c>
      <c r="S544" s="10">
        <f>CHOOSE(CONTROL!$C$42, 21.447, 21.447) * CHOOSE(CONTROL!$C$21, $C$9, 100%, $E$9)</f>
        <v>21.446999999999999</v>
      </c>
      <c r="T544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544" s="58">
        <f>(1000*CHOOSE(CONTROL!$C$42, 695, 695)*CHOOSE(CONTROL!$C$42, 0.5599, 0.5599)*CHOOSE(CONTROL!$C$42, 30, 30))/1000000</f>
        <v>11.673914999999997</v>
      </c>
      <c r="V544" s="58">
        <f>(1000*CHOOSE(CONTROL!$C$42, 500, 500)*CHOOSE(CONTROL!$C$42, 0.275, 0.275)*CHOOSE(CONTROL!$C$42, 30, 30))/1000000</f>
        <v>4.125</v>
      </c>
      <c r="W544" s="58">
        <f>(1000*CHOOSE(CONTROL!$C$42, 0.1146, 0.1146)*CHOOSE(CONTROL!$C$42, 121.5, 121.5)*CHOOSE(CONTROL!$C$42, 30, 30))/1000000</f>
        <v>0.417717</v>
      </c>
      <c r="X544" s="58">
        <f>(30*0.1790888*245000/1000000)+(30*0.2374*100000/1000000)</f>
        <v>2.0285026799999999</v>
      </c>
      <c r="Y544" s="58"/>
      <c r="Z544" s="10"/>
      <c r="AA544" s="57"/>
      <c r="AB544" s="51">
        <f>(B544*141.293+C544*267.993+D544*115.016+E544*89.698+F544*40+G544*185+H544*0+I544*100+J544*300)/(141.293+267.993+115.016+89.698+0+40+185+100+300)</f>
        <v>22.109078446973367</v>
      </c>
      <c r="AC544" s="27">
        <f>(M544*'RAP TEMPLATE-GAS AVAILABILITY'!O543+N544*'RAP TEMPLATE-GAS AVAILABILITY'!P543+O544*'RAP TEMPLATE-GAS AVAILABILITY'!Q543+P544*'RAP TEMPLATE-GAS AVAILABILITY'!R543)/('RAP TEMPLATE-GAS AVAILABILITY'!O543+'RAP TEMPLATE-GAS AVAILABILITY'!P543+'RAP TEMPLATE-GAS AVAILABILITY'!Q543+'RAP TEMPLATE-GAS AVAILABILITY'!R543)</f>
        <v>21.917574100719424</v>
      </c>
    </row>
    <row r="545" spans="1:29" ht="15.75" x14ac:dyDescent="0.25">
      <c r="A545" s="13">
        <v>57496</v>
      </c>
      <c r="B545" s="10">
        <f>CHOOSE(CONTROL!$C$42, 22.2845, 22.2845) * CHOOSE(CONTROL!$C$21, $C$9, 100%, $E$9)</f>
        <v>22.284500000000001</v>
      </c>
      <c r="C545" s="10">
        <f>CHOOSE(CONTROL!$C$42, 22.2924, 22.2924) * CHOOSE(CONTROL!$C$21, $C$9, 100%, $E$9)</f>
        <v>22.292400000000001</v>
      </c>
      <c r="D545" s="10">
        <f>CHOOSE(CONTROL!$C$42, 22.4849, 22.4849) * CHOOSE(CONTROL!$C$21, $C$9, 100%, $E$9)</f>
        <v>22.4849</v>
      </c>
      <c r="E545" s="10">
        <f>CHOOSE(CONTROL!$C$42, 22.516, 22.516) * CHOOSE(CONTROL!$C$21, $C$9, 100%, $E$9)</f>
        <v>22.515999999999998</v>
      </c>
      <c r="F545" s="10">
        <f>CHOOSE(CONTROL!$C$42, 22.2508, 22.2508)*CHOOSE(CONTROL!$C$21, $C$9, 100%, $E$9)</f>
        <v>22.250800000000002</v>
      </c>
      <c r="G545" s="10">
        <f>CHOOSE(CONTROL!$C$42, 22.2679, 22.2679)*CHOOSE(CONTROL!$C$21, $C$9, 100%, $E$9)</f>
        <v>22.267900000000001</v>
      </c>
      <c r="H545" s="10">
        <f>CHOOSE(CONTROL!$C$42, 22.5046, 22.5046) * CHOOSE(CONTROL!$C$21, $C$9, 100%, $E$9)</f>
        <v>22.5046</v>
      </c>
      <c r="I545" s="10">
        <f>CHOOSE(CONTROL!$C$42, 22.2511, 22.2511)* CHOOSE(CONTROL!$C$21, $C$9, 100%, $E$9)</f>
        <v>22.251100000000001</v>
      </c>
      <c r="J545" s="10">
        <f>CHOOSE(CONTROL!$C$42, 22.2438, 22.2438)* CHOOSE(CONTROL!$C$21, $C$9, 100%, $E$9)</f>
        <v>22.2438</v>
      </c>
      <c r="K545" s="54">
        <f>CHOOSE(CONTROL!$C$42, 22.2472, 22.2472) * CHOOSE(CONTROL!$C$21, $C$9, 100%, $E$9)</f>
        <v>22.247199999999999</v>
      </c>
      <c r="L545" s="10">
        <f>CHOOSE(CONTROL!$C$42, 23.0916, 23.0916) * CHOOSE(CONTROL!$C$21, $C$9, 100%, $E$9)</f>
        <v>23.0916</v>
      </c>
      <c r="M545" s="10">
        <f>CHOOSE(CONTROL!$C$42, 22.0331, 22.0331) * CHOOSE(CONTROL!$C$21, $C$9, 100%, $E$9)</f>
        <v>22.033100000000001</v>
      </c>
      <c r="N545" s="10">
        <f>CHOOSE(CONTROL!$C$42, 22.0501, 22.0501) * CHOOSE(CONTROL!$C$21, $C$9, 100%, $E$9)</f>
        <v>22.0501</v>
      </c>
      <c r="O545" s="10">
        <f>CHOOSE(CONTROL!$C$42, 22.2914, 22.2914) * CHOOSE(CONTROL!$C$21, $C$9, 100%, $E$9)</f>
        <v>22.291399999999999</v>
      </c>
      <c r="P545" s="10">
        <f>CHOOSE(CONTROL!$C$42, 22.0404, 22.0404) * CHOOSE(CONTROL!$C$21, $C$9, 100%, $E$9)</f>
        <v>22.040400000000002</v>
      </c>
      <c r="Q545" s="10">
        <f>CHOOSE(CONTROL!$C$42, 22.8867, 22.8867) * CHOOSE(CONTROL!$C$21, $C$9, 100%, $E$9)</f>
        <v>22.886700000000001</v>
      </c>
      <c r="R545" s="10">
        <f>CHOOSE(CONTROL!$C$42, 23.5309, 23.5309) * CHOOSE(CONTROL!$C$21, $C$9, 100%, $E$9)</f>
        <v>23.530899999999999</v>
      </c>
      <c r="S545" s="10">
        <f>CHOOSE(CONTROL!$C$42, 21.6362, 21.6362) * CHOOSE(CONTROL!$C$21, $C$9, 100%, $E$9)</f>
        <v>21.636199999999999</v>
      </c>
      <c r="T545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545" s="58">
        <f>(1000*CHOOSE(CONTROL!$C$42, 695, 695)*CHOOSE(CONTROL!$C$42, 0.5599, 0.5599)*CHOOSE(CONTROL!$C$42, 31, 31))/1000000</f>
        <v>12.063045499999998</v>
      </c>
      <c r="V545" s="58">
        <f>(1000*CHOOSE(CONTROL!$C$42, 500, 500)*CHOOSE(CONTROL!$C$42, 0.275, 0.275)*CHOOSE(CONTROL!$C$42, 31, 31))/1000000</f>
        <v>4.2625000000000002</v>
      </c>
      <c r="W545" s="58">
        <f>(1000*CHOOSE(CONTROL!$C$42, 0.1146, 0.1146)*CHOOSE(CONTROL!$C$42, 121.5, 121.5)*CHOOSE(CONTROL!$C$42, 31, 31))/1000000</f>
        <v>0.43164089999999994</v>
      </c>
      <c r="X545" s="58">
        <f>(31*0.1790888*245000/1000000)+(31*0.2374*100000/1000000)</f>
        <v>2.0961194359999999</v>
      </c>
      <c r="Y545" s="58"/>
      <c r="Z545" s="10"/>
      <c r="AA545" s="57"/>
      <c r="AB545" s="51">
        <f>(B545*194.205+C545*267.466+D545*133.845+E545*53.484+F545*40+G545*185+H545*0+I545*100+J545*300)/(194.205+267.466+133.845+53.484+0+40+185+100+300)</f>
        <v>22.301256723233912</v>
      </c>
      <c r="AC545" s="27">
        <f>(M545*'RAP TEMPLATE-GAS AVAILABILITY'!O544+N545*'RAP TEMPLATE-GAS AVAILABILITY'!P544+O545*'RAP TEMPLATE-GAS AVAILABILITY'!Q544+P545*'RAP TEMPLATE-GAS AVAILABILITY'!R544)/('RAP TEMPLATE-GAS AVAILABILITY'!O544+'RAP TEMPLATE-GAS AVAILABILITY'!P544+'RAP TEMPLATE-GAS AVAILABILITY'!Q544+'RAP TEMPLATE-GAS AVAILABILITY'!R544)</f>
        <v>22.110536690647482</v>
      </c>
    </row>
    <row r="546" spans="1:29" ht="15.75" x14ac:dyDescent="0.25">
      <c r="A546" s="13">
        <v>57526</v>
      </c>
      <c r="B546" s="10">
        <f>CHOOSE(CONTROL!$C$42, 22.9165, 22.9165) * CHOOSE(CONTROL!$C$21, $C$9, 100%, $E$9)</f>
        <v>22.916499999999999</v>
      </c>
      <c r="C546" s="10">
        <f>CHOOSE(CONTROL!$C$42, 22.9244, 22.9244) * CHOOSE(CONTROL!$C$21, $C$9, 100%, $E$9)</f>
        <v>22.924399999999999</v>
      </c>
      <c r="D546" s="10">
        <f>CHOOSE(CONTROL!$C$42, 23.1168, 23.1168) * CHOOSE(CONTROL!$C$21, $C$9, 100%, $E$9)</f>
        <v>23.116800000000001</v>
      </c>
      <c r="E546" s="10">
        <f>CHOOSE(CONTROL!$C$42, 23.148, 23.148) * CHOOSE(CONTROL!$C$21, $C$9, 100%, $E$9)</f>
        <v>23.148</v>
      </c>
      <c r="F546" s="10">
        <f>CHOOSE(CONTROL!$C$42, 22.883, 22.883)*CHOOSE(CONTROL!$C$21, $C$9, 100%, $E$9)</f>
        <v>22.882999999999999</v>
      </c>
      <c r="G546" s="10">
        <f>CHOOSE(CONTROL!$C$42, 22.9002, 22.9002)*CHOOSE(CONTROL!$C$21, $C$9, 100%, $E$9)</f>
        <v>22.900200000000002</v>
      </c>
      <c r="H546" s="10">
        <f>CHOOSE(CONTROL!$C$42, 23.1366, 23.1366) * CHOOSE(CONTROL!$C$21, $C$9, 100%, $E$9)</f>
        <v>23.136600000000001</v>
      </c>
      <c r="I546" s="10">
        <f>CHOOSE(CONTROL!$C$42, 22.8831, 22.8831)* CHOOSE(CONTROL!$C$21, $C$9, 100%, $E$9)</f>
        <v>22.883099999999999</v>
      </c>
      <c r="J546" s="10">
        <f>CHOOSE(CONTROL!$C$42, 22.876, 22.876)* CHOOSE(CONTROL!$C$21, $C$9, 100%, $E$9)</f>
        <v>22.876000000000001</v>
      </c>
      <c r="K546" s="54">
        <f>CHOOSE(CONTROL!$C$42, 22.8792, 22.8792) * CHOOSE(CONTROL!$C$21, $C$9, 100%, $E$9)</f>
        <v>22.879200000000001</v>
      </c>
      <c r="L546" s="10">
        <f>CHOOSE(CONTROL!$C$42, 23.7236, 23.7236) * CHOOSE(CONTROL!$C$21, $C$9, 100%, $E$9)</f>
        <v>23.723600000000001</v>
      </c>
      <c r="M546" s="10">
        <f>CHOOSE(CONTROL!$C$42, 22.659, 22.659) * CHOOSE(CONTROL!$C$21, $C$9, 100%, $E$9)</f>
        <v>22.658999999999999</v>
      </c>
      <c r="N546" s="10">
        <f>CHOOSE(CONTROL!$C$42, 22.676, 22.676) * CHOOSE(CONTROL!$C$21, $C$9, 100%, $E$9)</f>
        <v>22.675999999999998</v>
      </c>
      <c r="O546" s="10">
        <f>CHOOSE(CONTROL!$C$42, 22.917, 22.917) * CHOOSE(CONTROL!$C$21, $C$9, 100%, $E$9)</f>
        <v>22.917000000000002</v>
      </c>
      <c r="P546" s="10">
        <f>CHOOSE(CONTROL!$C$42, 22.666, 22.666) * CHOOSE(CONTROL!$C$21, $C$9, 100%, $E$9)</f>
        <v>22.666</v>
      </c>
      <c r="Q546" s="10">
        <f>CHOOSE(CONTROL!$C$42, 23.5123, 23.5123) * CHOOSE(CONTROL!$C$21, $C$9, 100%, $E$9)</f>
        <v>23.5123</v>
      </c>
      <c r="R546" s="10">
        <f>CHOOSE(CONTROL!$C$42, 24.158, 24.158) * CHOOSE(CONTROL!$C$21, $C$9, 100%, $E$9)</f>
        <v>24.158000000000001</v>
      </c>
      <c r="S546" s="10">
        <f>CHOOSE(CONTROL!$C$42, 22.25, 22.25) * CHOOSE(CONTROL!$C$21, $C$9, 100%, $E$9)</f>
        <v>22.25</v>
      </c>
      <c r="T546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546" s="58">
        <f>(1000*CHOOSE(CONTROL!$C$42, 695, 695)*CHOOSE(CONTROL!$C$42, 0.5599, 0.5599)*CHOOSE(CONTROL!$C$42, 30, 30))/1000000</f>
        <v>11.673914999999997</v>
      </c>
      <c r="V546" s="58">
        <f>(1000*CHOOSE(CONTROL!$C$42, 500, 500)*CHOOSE(CONTROL!$C$42, 0.275, 0.275)*CHOOSE(CONTROL!$C$42, 30, 30))/1000000</f>
        <v>4.125</v>
      </c>
      <c r="W546" s="58">
        <f>(1000*CHOOSE(CONTROL!$C$42, 0.1146, 0.1146)*CHOOSE(CONTROL!$C$42, 121.5, 121.5)*CHOOSE(CONTROL!$C$42, 30, 30))/1000000</f>
        <v>0.417717</v>
      </c>
      <c r="X546" s="58">
        <f>(30*0.1790888*245000/1000000)+(30*0.2374*100000/1000000)</f>
        <v>2.0285026799999999</v>
      </c>
      <c r="Y546" s="58"/>
      <c r="Z546" s="10"/>
      <c r="AA546" s="57"/>
      <c r="AB546" s="51">
        <f>(B546*194.205+C546*267.466+D546*133.845+E546*53.484+F546*40+G546*185+H546*0+I546*100+J546*300)/(194.205+267.466+133.845+53.484+0+40+185+100+300)</f>
        <v>22.933343156122451</v>
      </c>
      <c r="AC546" s="27">
        <f>(M546*'RAP TEMPLATE-GAS AVAILABILITY'!O545+N546*'RAP TEMPLATE-GAS AVAILABILITY'!P545+O546*'RAP TEMPLATE-GAS AVAILABILITY'!Q545+P546*'RAP TEMPLATE-GAS AVAILABILITY'!R545)/('RAP TEMPLATE-GAS AVAILABILITY'!O545+'RAP TEMPLATE-GAS AVAILABILITY'!P545+'RAP TEMPLATE-GAS AVAILABILITY'!Q545+'RAP TEMPLATE-GAS AVAILABILITY'!R545)</f>
        <v>22.736309352517985</v>
      </c>
    </row>
    <row r="547" spans="1:29" ht="15.75" x14ac:dyDescent="0.25">
      <c r="A547" s="13">
        <v>57557</v>
      </c>
      <c r="B547" s="10">
        <f>CHOOSE(CONTROL!$C$42, 22.477, 22.477) * CHOOSE(CONTROL!$C$21, $C$9, 100%, $E$9)</f>
        <v>22.477</v>
      </c>
      <c r="C547" s="10">
        <f>CHOOSE(CONTROL!$C$42, 22.4849, 22.4849) * CHOOSE(CONTROL!$C$21, $C$9, 100%, $E$9)</f>
        <v>22.4849</v>
      </c>
      <c r="D547" s="10">
        <f>CHOOSE(CONTROL!$C$42, 22.6773, 22.6773) * CHOOSE(CONTROL!$C$21, $C$9, 100%, $E$9)</f>
        <v>22.677299999999999</v>
      </c>
      <c r="E547" s="10">
        <f>CHOOSE(CONTROL!$C$42, 22.7084, 22.7084) * CHOOSE(CONTROL!$C$21, $C$9, 100%, $E$9)</f>
        <v>22.708400000000001</v>
      </c>
      <c r="F547" s="10">
        <f>CHOOSE(CONTROL!$C$42, 22.4438, 22.4438)*CHOOSE(CONTROL!$C$21, $C$9, 100%, $E$9)</f>
        <v>22.4438</v>
      </c>
      <c r="G547" s="10">
        <f>CHOOSE(CONTROL!$C$42, 22.4611, 22.4611)*CHOOSE(CONTROL!$C$21, $C$9, 100%, $E$9)</f>
        <v>22.461099999999998</v>
      </c>
      <c r="H547" s="10">
        <f>CHOOSE(CONTROL!$C$42, 22.6971, 22.6971) * CHOOSE(CONTROL!$C$21, $C$9, 100%, $E$9)</f>
        <v>22.697099999999999</v>
      </c>
      <c r="I547" s="10">
        <f>CHOOSE(CONTROL!$C$42, 22.4435, 22.4435)* CHOOSE(CONTROL!$C$21, $C$9, 100%, $E$9)</f>
        <v>22.4435</v>
      </c>
      <c r="J547" s="10">
        <f>CHOOSE(CONTROL!$C$42, 22.4368, 22.4368)* CHOOSE(CONTROL!$C$21, $C$9, 100%, $E$9)</f>
        <v>22.436800000000002</v>
      </c>
      <c r="K547" s="54">
        <f>CHOOSE(CONTROL!$C$42, 22.4396, 22.4396) * CHOOSE(CONTROL!$C$21, $C$9, 100%, $E$9)</f>
        <v>22.439599999999999</v>
      </c>
      <c r="L547" s="10">
        <f>CHOOSE(CONTROL!$C$42, 23.2841, 23.2841) * CHOOSE(CONTROL!$C$21, $C$9, 100%, $E$9)</f>
        <v>23.284099999999999</v>
      </c>
      <c r="M547" s="10">
        <f>CHOOSE(CONTROL!$C$42, 22.2242, 22.2242) * CHOOSE(CONTROL!$C$21, $C$9, 100%, $E$9)</f>
        <v>22.2242</v>
      </c>
      <c r="N547" s="10">
        <f>CHOOSE(CONTROL!$C$42, 22.2414, 22.2414) * CHOOSE(CONTROL!$C$21, $C$9, 100%, $E$9)</f>
        <v>22.241399999999999</v>
      </c>
      <c r="O547" s="10">
        <f>CHOOSE(CONTROL!$C$42, 22.4818, 22.4818) * CHOOSE(CONTROL!$C$21, $C$9, 100%, $E$9)</f>
        <v>22.4818</v>
      </c>
      <c r="P547" s="10">
        <f>CHOOSE(CONTROL!$C$42, 22.2309, 22.2309) * CHOOSE(CONTROL!$C$21, $C$9, 100%, $E$9)</f>
        <v>22.230899999999998</v>
      </c>
      <c r="Q547" s="10">
        <f>CHOOSE(CONTROL!$C$42, 23.0771, 23.0771) * CHOOSE(CONTROL!$C$21, $C$9, 100%, $E$9)</f>
        <v>23.077100000000002</v>
      </c>
      <c r="R547" s="10">
        <f>CHOOSE(CONTROL!$C$42, 23.7218, 23.7218) * CHOOSE(CONTROL!$C$21, $C$9, 100%, $E$9)</f>
        <v>23.721800000000002</v>
      </c>
      <c r="S547" s="10">
        <f>CHOOSE(CONTROL!$C$42, 21.8231, 21.8231) * CHOOSE(CONTROL!$C$21, $C$9, 100%, $E$9)</f>
        <v>21.8231</v>
      </c>
      <c r="T547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547" s="58">
        <f>(1000*CHOOSE(CONTROL!$C$42, 695, 695)*CHOOSE(CONTROL!$C$42, 0.5599, 0.5599)*CHOOSE(CONTROL!$C$42, 31, 31))/1000000</f>
        <v>12.063045499999998</v>
      </c>
      <c r="V547" s="58">
        <f>(1000*CHOOSE(CONTROL!$C$42, 500, 500)*CHOOSE(CONTROL!$C$42, 0.275, 0.275)*CHOOSE(CONTROL!$C$42, 31, 31))/1000000</f>
        <v>4.2625000000000002</v>
      </c>
      <c r="W547" s="58">
        <f>(1000*CHOOSE(CONTROL!$C$42, 0.1146, 0.1146)*CHOOSE(CONTROL!$C$42, 121.5, 121.5)*CHOOSE(CONTROL!$C$42, 31, 31))/1000000</f>
        <v>0.43164089999999994</v>
      </c>
      <c r="X547" s="58">
        <f>(31*0.1790888*245000/1000000)+(31*0.2374*100000/1000000)</f>
        <v>2.0961194359999999</v>
      </c>
      <c r="Y547" s="58"/>
      <c r="Z547" s="10"/>
      <c r="AA547" s="57"/>
      <c r="AB547" s="51">
        <f>(B547*194.205+C547*267.466+D547*133.845+E547*53.484+F547*40+G547*185+H547*0+I547*100+J547*300)/(194.205+267.466+133.845+53.484+0+40+185+100+300)</f>
        <v>22.493969256279435</v>
      </c>
      <c r="AC547" s="27">
        <f>(M547*'RAP TEMPLATE-GAS AVAILABILITY'!O546+N547*'RAP TEMPLATE-GAS AVAILABILITY'!P546+O547*'RAP TEMPLATE-GAS AVAILABILITY'!Q546+P547*'RAP TEMPLATE-GAS AVAILABILITY'!R546)/('RAP TEMPLATE-GAS AVAILABILITY'!O546+'RAP TEMPLATE-GAS AVAILABILITY'!P546+'RAP TEMPLATE-GAS AVAILABILITY'!Q546+'RAP TEMPLATE-GAS AVAILABILITY'!R546)</f>
        <v>22.301400000000001</v>
      </c>
    </row>
    <row r="548" spans="1:29" ht="15.75" x14ac:dyDescent="0.25">
      <c r="A548" s="13">
        <v>57588</v>
      </c>
      <c r="B548" s="10">
        <f>CHOOSE(CONTROL!$C$42, 21.367, 21.367) * CHOOSE(CONTROL!$C$21, $C$9, 100%, $E$9)</f>
        <v>21.367000000000001</v>
      </c>
      <c r="C548" s="10">
        <f>CHOOSE(CONTROL!$C$42, 21.3749, 21.3749) * CHOOSE(CONTROL!$C$21, $C$9, 100%, $E$9)</f>
        <v>21.3749</v>
      </c>
      <c r="D548" s="10">
        <f>CHOOSE(CONTROL!$C$42, 21.5673, 21.5673) * CHOOSE(CONTROL!$C$21, $C$9, 100%, $E$9)</f>
        <v>21.567299999999999</v>
      </c>
      <c r="E548" s="10">
        <f>CHOOSE(CONTROL!$C$42, 21.5985, 21.5985) * CHOOSE(CONTROL!$C$21, $C$9, 100%, $E$9)</f>
        <v>21.598500000000001</v>
      </c>
      <c r="F548" s="10">
        <f>CHOOSE(CONTROL!$C$42, 21.334, 21.334)*CHOOSE(CONTROL!$C$21, $C$9, 100%, $E$9)</f>
        <v>21.334</v>
      </c>
      <c r="G548" s="10">
        <f>CHOOSE(CONTROL!$C$42, 21.3514, 21.3514)*CHOOSE(CONTROL!$C$21, $C$9, 100%, $E$9)</f>
        <v>21.351400000000002</v>
      </c>
      <c r="H548" s="10">
        <f>CHOOSE(CONTROL!$C$42, 21.5871, 21.5871) * CHOOSE(CONTROL!$C$21, $C$9, 100%, $E$9)</f>
        <v>21.5871</v>
      </c>
      <c r="I548" s="10">
        <f>CHOOSE(CONTROL!$C$42, 21.3335, 21.3335)* CHOOSE(CONTROL!$C$21, $C$9, 100%, $E$9)</f>
        <v>21.333500000000001</v>
      </c>
      <c r="J548" s="10">
        <f>CHOOSE(CONTROL!$C$42, 21.327, 21.327)* CHOOSE(CONTROL!$C$21, $C$9, 100%, $E$9)</f>
        <v>21.327000000000002</v>
      </c>
      <c r="K548" s="54">
        <f>CHOOSE(CONTROL!$C$42, 21.3297, 21.3297) * CHOOSE(CONTROL!$C$21, $C$9, 100%, $E$9)</f>
        <v>21.329699999999999</v>
      </c>
      <c r="L548" s="10">
        <f>CHOOSE(CONTROL!$C$42, 22.1741, 22.1741) * CHOOSE(CONTROL!$C$21, $C$9, 100%, $E$9)</f>
        <v>22.174099999999999</v>
      </c>
      <c r="M548" s="10">
        <f>CHOOSE(CONTROL!$C$42, 21.1256, 21.1256) * CHOOSE(CONTROL!$C$21, $C$9, 100%, $E$9)</f>
        <v>21.125599999999999</v>
      </c>
      <c r="N548" s="10">
        <f>CHOOSE(CONTROL!$C$42, 21.1428, 21.1428) * CHOOSE(CONTROL!$C$21, $C$9, 100%, $E$9)</f>
        <v>21.142800000000001</v>
      </c>
      <c r="O548" s="10">
        <f>CHOOSE(CONTROL!$C$42, 21.3831, 21.3831) * CHOOSE(CONTROL!$C$21, $C$9, 100%, $E$9)</f>
        <v>21.383099999999999</v>
      </c>
      <c r="P548" s="10">
        <f>CHOOSE(CONTROL!$C$42, 21.1321, 21.1321) * CHOOSE(CONTROL!$C$21, $C$9, 100%, $E$9)</f>
        <v>21.132100000000001</v>
      </c>
      <c r="Q548" s="10">
        <f>CHOOSE(CONTROL!$C$42, 21.9784, 21.9784) * CHOOSE(CONTROL!$C$21, $C$9, 100%, $E$9)</f>
        <v>21.978400000000001</v>
      </c>
      <c r="R548" s="10">
        <f>CHOOSE(CONTROL!$C$42, 22.6203, 22.6203) * CHOOSE(CONTROL!$C$21, $C$9, 100%, $E$9)</f>
        <v>22.6203</v>
      </c>
      <c r="S548" s="10">
        <f>CHOOSE(CONTROL!$C$42, 20.7452, 20.7452) * CHOOSE(CONTROL!$C$21, $C$9, 100%, $E$9)</f>
        <v>20.745200000000001</v>
      </c>
      <c r="T548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548" s="58">
        <f>(1000*CHOOSE(CONTROL!$C$42, 695, 695)*CHOOSE(CONTROL!$C$42, 0.5599, 0.5599)*CHOOSE(CONTROL!$C$42, 31, 31))/1000000</f>
        <v>12.063045499999998</v>
      </c>
      <c r="V548" s="58">
        <f>(1000*CHOOSE(CONTROL!$C$42, 500, 500)*CHOOSE(CONTROL!$C$42, 0.275, 0.275)*CHOOSE(CONTROL!$C$42, 31, 31))/1000000</f>
        <v>4.2625000000000002</v>
      </c>
      <c r="W548" s="58">
        <f>(1000*CHOOSE(CONTROL!$C$42, 0.1146, 0.1146)*CHOOSE(CONTROL!$C$42, 121.5, 121.5)*CHOOSE(CONTROL!$C$42, 31, 31))/1000000</f>
        <v>0.43164089999999994</v>
      </c>
      <c r="X548" s="58">
        <f>(31*0.1790888*245000/1000000)+(31*0.2374*100000/1000000)</f>
        <v>2.0961194359999999</v>
      </c>
      <c r="Y548" s="58"/>
      <c r="Z548" s="10"/>
      <c r="AA548" s="57"/>
      <c r="AB548" s="51">
        <f>(B548*194.205+C548*267.466+D548*133.845+E548*53.484+F548*40+G548*185+H548*0+I548*100+J548*300)/(194.205+267.466+133.845+53.484+0+40+185+100+300)</f>
        <v>21.384070393171118</v>
      </c>
      <c r="AC548" s="27">
        <f>(M548*'RAP TEMPLATE-GAS AVAILABILITY'!O547+N548*'RAP TEMPLATE-GAS AVAILABILITY'!P547+O548*'RAP TEMPLATE-GAS AVAILABILITY'!Q547+P548*'RAP TEMPLATE-GAS AVAILABILITY'!R547)/('RAP TEMPLATE-GAS AVAILABILITY'!O547+'RAP TEMPLATE-GAS AVAILABILITY'!P547+'RAP TEMPLATE-GAS AVAILABILITY'!Q547+'RAP TEMPLATE-GAS AVAILABILITY'!R547)</f>
        <v>21.202743165467623</v>
      </c>
    </row>
    <row r="549" spans="1:29" ht="15.75" x14ac:dyDescent="0.25">
      <c r="A549" s="13">
        <v>57618</v>
      </c>
      <c r="B549" s="10">
        <f>CHOOSE(CONTROL!$C$42, 20.0104, 20.0104) * CHOOSE(CONTROL!$C$21, $C$9, 100%, $E$9)</f>
        <v>20.010400000000001</v>
      </c>
      <c r="C549" s="10">
        <f>CHOOSE(CONTROL!$C$42, 20.0183, 20.0183) * CHOOSE(CONTROL!$C$21, $C$9, 100%, $E$9)</f>
        <v>20.0183</v>
      </c>
      <c r="D549" s="10">
        <f>CHOOSE(CONTROL!$C$42, 20.2107, 20.2107) * CHOOSE(CONTROL!$C$21, $C$9, 100%, $E$9)</f>
        <v>20.210699999999999</v>
      </c>
      <c r="E549" s="10">
        <f>CHOOSE(CONTROL!$C$42, 20.2419, 20.2419) * CHOOSE(CONTROL!$C$21, $C$9, 100%, $E$9)</f>
        <v>20.241900000000001</v>
      </c>
      <c r="F549" s="10">
        <f>CHOOSE(CONTROL!$C$42, 19.9773, 19.9773)*CHOOSE(CONTROL!$C$21, $C$9, 100%, $E$9)</f>
        <v>19.9773</v>
      </c>
      <c r="G549" s="10">
        <f>CHOOSE(CONTROL!$C$42, 19.9946, 19.9946)*CHOOSE(CONTROL!$C$21, $C$9, 100%, $E$9)</f>
        <v>19.994599999999998</v>
      </c>
      <c r="H549" s="10">
        <f>CHOOSE(CONTROL!$C$42, 20.2305, 20.2305) * CHOOSE(CONTROL!$C$21, $C$9, 100%, $E$9)</f>
        <v>20.230499999999999</v>
      </c>
      <c r="I549" s="10">
        <f>CHOOSE(CONTROL!$C$42, 19.977, 19.977)* CHOOSE(CONTROL!$C$21, $C$9, 100%, $E$9)</f>
        <v>19.977</v>
      </c>
      <c r="J549" s="10">
        <f>CHOOSE(CONTROL!$C$42, 19.9703, 19.9703)* CHOOSE(CONTROL!$C$21, $C$9, 100%, $E$9)</f>
        <v>19.970300000000002</v>
      </c>
      <c r="K549" s="54">
        <f>CHOOSE(CONTROL!$C$42, 19.9731, 19.9731) * CHOOSE(CONTROL!$C$21, $C$9, 100%, $E$9)</f>
        <v>19.973099999999999</v>
      </c>
      <c r="L549" s="10">
        <f>CHOOSE(CONTROL!$C$42, 20.8175, 20.8175) * CHOOSE(CONTROL!$C$21, $C$9, 100%, $E$9)</f>
        <v>20.817499999999999</v>
      </c>
      <c r="M549" s="10">
        <f>CHOOSE(CONTROL!$C$42, 19.7826, 19.7826) * CHOOSE(CONTROL!$C$21, $C$9, 100%, $E$9)</f>
        <v>19.782599999999999</v>
      </c>
      <c r="N549" s="10">
        <f>CHOOSE(CONTROL!$C$42, 19.7997, 19.7997) * CHOOSE(CONTROL!$C$21, $C$9, 100%, $E$9)</f>
        <v>19.799700000000001</v>
      </c>
      <c r="O549" s="10">
        <f>CHOOSE(CONTROL!$C$42, 20.0402, 20.0402) * CHOOSE(CONTROL!$C$21, $C$9, 100%, $E$9)</f>
        <v>20.040199999999999</v>
      </c>
      <c r="P549" s="10">
        <f>CHOOSE(CONTROL!$C$42, 19.7892, 19.7892) * CHOOSE(CONTROL!$C$21, $C$9, 100%, $E$9)</f>
        <v>19.789200000000001</v>
      </c>
      <c r="Q549" s="10">
        <f>CHOOSE(CONTROL!$C$42, 20.6355, 20.6355) * CHOOSE(CONTROL!$C$21, $C$9, 100%, $E$9)</f>
        <v>20.6355</v>
      </c>
      <c r="R549" s="10">
        <f>CHOOSE(CONTROL!$C$42, 21.2741, 21.2741) * CHOOSE(CONTROL!$C$21, $C$9, 100%, $E$9)</f>
        <v>21.274100000000001</v>
      </c>
      <c r="S549" s="10">
        <f>CHOOSE(CONTROL!$C$42, 19.4278, 19.4278) * CHOOSE(CONTROL!$C$21, $C$9, 100%, $E$9)</f>
        <v>19.427800000000001</v>
      </c>
      <c r="T549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549" s="58">
        <f>(1000*CHOOSE(CONTROL!$C$42, 695, 695)*CHOOSE(CONTROL!$C$42, 0.5599, 0.5599)*CHOOSE(CONTROL!$C$42, 30, 30))/1000000</f>
        <v>11.673914999999997</v>
      </c>
      <c r="V549" s="58">
        <f>(1000*CHOOSE(CONTROL!$C$42, 500, 500)*CHOOSE(CONTROL!$C$42, 0.275, 0.275)*CHOOSE(CONTROL!$C$42, 30, 30))/1000000</f>
        <v>4.125</v>
      </c>
      <c r="W549" s="58">
        <f>(1000*CHOOSE(CONTROL!$C$42, 0.1146, 0.1146)*CHOOSE(CONTROL!$C$42, 121.5, 121.5)*CHOOSE(CONTROL!$C$42, 30, 30))/1000000</f>
        <v>0.417717</v>
      </c>
      <c r="X549" s="58">
        <f>(30*0.1790888*245000/1000000)+(30*0.2374*100000/1000000)</f>
        <v>2.0285026799999999</v>
      </c>
      <c r="Y549" s="58"/>
      <c r="Z549" s="10"/>
      <c r="AA549" s="57"/>
      <c r="AB549" s="51">
        <f>(B549*194.205+C549*267.466+D549*133.845+E549*53.484+F549*40+G549*185+H549*0+I549*100+J549*300)/(194.205+267.466+133.845+53.484+0+40+185+100+300)</f>
        <v>20.027422512480378</v>
      </c>
      <c r="AC549" s="27">
        <f>(M549*'RAP TEMPLATE-GAS AVAILABILITY'!O548+N549*'RAP TEMPLATE-GAS AVAILABILITY'!P548+O549*'RAP TEMPLATE-GAS AVAILABILITY'!Q548+P549*'RAP TEMPLATE-GAS AVAILABILITY'!R548)/('RAP TEMPLATE-GAS AVAILABILITY'!O548+'RAP TEMPLATE-GAS AVAILABILITY'!P548+'RAP TEMPLATE-GAS AVAILABILITY'!Q548+'RAP TEMPLATE-GAS AVAILABILITY'!R548)</f>
        <v>19.859762589928057</v>
      </c>
    </row>
    <row r="550" spans="1:29" ht="15.75" x14ac:dyDescent="0.25">
      <c r="A550" s="13">
        <v>57649</v>
      </c>
      <c r="B550" s="10">
        <f>CHOOSE(CONTROL!$C$42, 19.6024, 19.6024) * CHOOSE(CONTROL!$C$21, $C$9, 100%, $E$9)</f>
        <v>19.602399999999999</v>
      </c>
      <c r="C550" s="10">
        <f>CHOOSE(CONTROL!$C$42, 19.6077, 19.6077) * CHOOSE(CONTROL!$C$21, $C$9, 100%, $E$9)</f>
        <v>19.607700000000001</v>
      </c>
      <c r="D550" s="10">
        <f>CHOOSE(CONTROL!$C$42, 19.8051, 19.8051) * CHOOSE(CONTROL!$C$21, $C$9, 100%, $E$9)</f>
        <v>19.805099999999999</v>
      </c>
      <c r="E550" s="10">
        <f>CHOOSE(CONTROL!$C$42, 19.8339, 19.8339) * CHOOSE(CONTROL!$C$21, $C$9, 100%, $E$9)</f>
        <v>19.8339</v>
      </c>
      <c r="F550" s="10">
        <f>CHOOSE(CONTROL!$C$42, 19.5713, 19.5713)*CHOOSE(CONTROL!$C$21, $C$9, 100%, $E$9)</f>
        <v>19.571300000000001</v>
      </c>
      <c r="G550" s="10">
        <f>CHOOSE(CONTROL!$C$42, 19.5883, 19.5883)*CHOOSE(CONTROL!$C$21, $C$9, 100%, $E$9)</f>
        <v>19.5883</v>
      </c>
      <c r="H550" s="10">
        <f>CHOOSE(CONTROL!$C$42, 19.8243, 19.8243) * CHOOSE(CONTROL!$C$21, $C$9, 100%, $E$9)</f>
        <v>19.824300000000001</v>
      </c>
      <c r="I550" s="10">
        <f>CHOOSE(CONTROL!$C$42, 19.5708, 19.5708)* CHOOSE(CONTROL!$C$21, $C$9, 100%, $E$9)</f>
        <v>19.570799999999998</v>
      </c>
      <c r="J550" s="10">
        <f>CHOOSE(CONTROL!$C$42, 19.5643, 19.5643)* CHOOSE(CONTROL!$C$21, $C$9, 100%, $E$9)</f>
        <v>19.564299999999999</v>
      </c>
      <c r="K550" s="54">
        <f>CHOOSE(CONTROL!$C$42, 19.5669, 19.5669) * CHOOSE(CONTROL!$C$21, $C$9, 100%, $E$9)</f>
        <v>19.5669</v>
      </c>
      <c r="L550" s="10">
        <f>CHOOSE(CONTROL!$C$42, 20.4113, 20.4113) * CHOOSE(CONTROL!$C$21, $C$9, 100%, $E$9)</f>
        <v>20.411300000000001</v>
      </c>
      <c r="M550" s="10">
        <f>CHOOSE(CONTROL!$C$42, 19.3807, 19.3807) * CHOOSE(CONTROL!$C$21, $C$9, 100%, $E$9)</f>
        <v>19.380700000000001</v>
      </c>
      <c r="N550" s="10">
        <f>CHOOSE(CONTROL!$C$42, 19.3975, 19.3975) * CHOOSE(CONTROL!$C$21, $C$9, 100%, $E$9)</f>
        <v>19.397500000000001</v>
      </c>
      <c r="O550" s="10">
        <f>CHOOSE(CONTROL!$C$42, 19.6381, 19.6381) * CHOOSE(CONTROL!$C$21, $C$9, 100%, $E$9)</f>
        <v>19.638100000000001</v>
      </c>
      <c r="P550" s="10">
        <f>CHOOSE(CONTROL!$C$42, 19.3871, 19.3871) * CHOOSE(CONTROL!$C$21, $C$9, 100%, $E$9)</f>
        <v>19.3871</v>
      </c>
      <c r="Q550" s="10">
        <f>CHOOSE(CONTROL!$C$42, 20.2334, 20.2334) * CHOOSE(CONTROL!$C$21, $C$9, 100%, $E$9)</f>
        <v>20.2334</v>
      </c>
      <c r="R550" s="10">
        <f>CHOOSE(CONTROL!$C$42, 20.871, 20.871) * CHOOSE(CONTROL!$C$21, $C$9, 100%, $E$9)</f>
        <v>20.870999999999999</v>
      </c>
      <c r="S550" s="10">
        <f>CHOOSE(CONTROL!$C$42, 19.0334, 19.0334) * CHOOSE(CONTROL!$C$21, $C$9, 100%, $E$9)</f>
        <v>19.0334</v>
      </c>
      <c r="T550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550" s="58">
        <f>(1000*CHOOSE(CONTROL!$C$42, 695, 695)*CHOOSE(CONTROL!$C$42, 0.5599, 0.5599)*CHOOSE(CONTROL!$C$42, 31, 31))/1000000</f>
        <v>12.063045499999998</v>
      </c>
      <c r="V550" s="58">
        <f>(1000*CHOOSE(CONTROL!$C$42, 500, 500)*CHOOSE(CONTROL!$C$42, 0.275, 0.275)*CHOOSE(CONTROL!$C$42, 31, 31))/1000000</f>
        <v>4.2625000000000002</v>
      </c>
      <c r="W550" s="58">
        <f>(1000*CHOOSE(CONTROL!$C$42, 0.1146, 0.1146)*CHOOSE(CONTROL!$C$42, 121.5, 121.5)*CHOOSE(CONTROL!$C$42, 31, 31))/1000000</f>
        <v>0.43164089999999994</v>
      </c>
      <c r="X550" s="58">
        <f>(31*0.1790888*245000/1000000)+(31*0.2374*100000/1000000)</f>
        <v>2.0961194359999999</v>
      </c>
      <c r="Y550" s="58"/>
      <c r="Z550" s="10"/>
      <c r="AA550" s="57"/>
      <c r="AB550" s="51">
        <f>(B550*131.881+C550*277.167+D550*79.08+E550*125.872+F550*40+G550*185+H550*0+I550*100+J550*300)/(131.881+277.167+79.08+125.872+0+40+185+100+300)</f>
        <v>19.625156552945924</v>
      </c>
      <c r="AC550" s="27">
        <f>(M550*'RAP TEMPLATE-GAS AVAILABILITY'!O549+N550*'RAP TEMPLATE-GAS AVAILABILITY'!P549+O550*'RAP TEMPLATE-GAS AVAILABILITY'!Q549+P550*'RAP TEMPLATE-GAS AVAILABILITY'!R549)/('RAP TEMPLATE-GAS AVAILABILITY'!O549+'RAP TEMPLATE-GAS AVAILABILITY'!P549+'RAP TEMPLATE-GAS AVAILABILITY'!Q549+'RAP TEMPLATE-GAS AVAILABILITY'!R549)</f>
        <v>19.457708633093528</v>
      </c>
    </row>
    <row r="551" spans="1:29" ht="15.75" x14ac:dyDescent="0.25">
      <c r="A551" s="13">
        <v>57679</v>
      </c>
      <c r="B551" s="10">
        <f>CHOOSE(CONTROL!$C$42, 20.1184, 20.1184) * CHOOSE(CONTROL!$C$21, $C$9, 100%, $E$9)</f>
        <v>20.118400000000001</v>
      </c>
      <c r="C551" s="10">
        <f>CHOOSE(CONTROL!$C$42, 20.1233, 20.1233) * CHOOSE(CONTROL!$C$21, $C$9, 100%, $E$9)</f>
        <v>20.1233</v>
      </c>
      <c r="D551" s="10">
        <f>CHOOSE(CONTROL!$C$42, 20.1529, 20.1529) * CHOOSE(CONTROL!$C$21, $C$9, 100%, $E$9)</f>
        <v>20.152899999999999</v>
      </c>
      <c r="E551" s="10">
        <f>CHOOSE(CONTROL!$C$42, 20.1867, 20.1867) * CHOOSE(CONTROL!$C$21, $C$9, 100%, $E$9)</f>
        <v>20.186699999999998</v>
      </c>
      <c r="F551" s="10">
        <f>CHOOSE(CONTROL!$C$42, 20.0852, 20.0852)*CHOOSE(CONTROL!$C$21, $C$9, 100%, $E$9)</f>
        <v>20.0852</v>
      </c>
      <c r="G551" s="10">
        <f>CHOOSE(CONTROL!$C$42, 20.1023, 20.1023)*CHOOSE(CONTROL!$C$21, $C$9, 100%, $E$9)</f>
        <v>20.1023</v>
      </c>
      <c r="H551" s="10">
        <f>CHOOSE(CONTROL!$C$42, 20.1759, 20.1759) * CHOOSE(CONTROL!$C$21, $C$9, 100%, $E$9)</f>
        <v>20.175899999999999</v>
      </c>
      <c r="I551" s="10">
        <f>CHOOSE(CONTROL!$C$42, 20.082, 20.082)* CHOOSE(CONTROL!$C$21, $C$9, 100%, $E$9)</f>
        <v>20.082000000000001</v>
      </c>
      <c r="J551" s="10">
        <f>CHOOSE(CONTROL!$C$42, 20.0782, 20.0782)* CHOOSE(CONTROL!$C$21, $C$9, 100%, $E$9)</f>
        <v>20.078199999999999</v>
      </c>
      <c r="K551" s="54">
        <f>CHOOSE(CONTROL!$C$42, 20.0781, 20.0781) * CHOOSE(CONTROL!$C$21, $C$9, 100%, $E$9)</f>
        <v>20.078099999999999</v>
      </c>
      <c r="L551" s="10">
        <f>CHOOSE(CONTROL!$C$42, 20.7629, 20.7629) * CHOOSE(CONTROL!$C$21, $C$9, 100%, $E$9)</f>
        <v>20.762899999999998</v>
      </c>
      <c r="M551" s="10">
        <f>CHOOSE(CONTROL!$C$42, 19.8894, 19.8894) * CHOOSE(CONTROL!$C$21, $C$9, 100%, $E$9)</f>
        <v>19.889399999999998</v>
      </c>
      <c r="N551" s="10">
        <f>CHOOSE(CONTROL!$C$42, 19.9063, 19.9063) * CHOOSE(CONTROL!$C$21, $C$9, 100%, $E$9)</f>
        <v>19.906300000000002</v>
      </c>
      <c r="O551" s="10">
        <f>CHOOSE(CONTROL!$C$42, 19.9861, 19.9861) * CHOOSE(CONTROL!$C$21, $C$9, 100%, $E$9)</f>
        <v>19.9861</v>
      </c>
      <c r="P551" s="10">
        <f>CHOOSE(CONTROL!$C$42, 19.8932, 19.8932) * CHOOSE(CONTROL!$C$21, $C$9, 100%, $E$9)</f>
        <v>19.8932</v>
      </c>
      <c r="Q551" s="10">
        <f>CHOOSE(CONTROL!$C$42, 20.5814, 20.5814) * CHOOSE(CONTROL!$C$21, $C$9, 100%, $E$9)</f>
        <v>20.581399999999999</v>
      </c>
      <c r="R551" s="10">
        <f>CHOOSE(CONTROL!$C$42, 21.2199, 21.2199) * CHOOSE(CONTROL!$C$21, $C$9, 100%, $E$9)</f>
        <v>21.219899999999999</v>
      </c>
      <c r="S551" s="10">
        <f>CHOOSE(CONTROL!$C$42, 19.5348, 19.5348) * CHOOSE(CONTROL!$C$21, $C$9, 100%, $E$9)</f>
        <v>19.534800000000001</v>
      </c>
      <c r="T551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551" s="58">
        <f>(1000*CHOOSE(CONTROL!$C$42, 695, 695)*CHOOSE(CONTROL!$C$42, 0.5599, 0.5599)*CHOOSE(CONTROL!$C$42, 30, 30))/1000000</f>
        <v>11.673914999999997</v>
      </c>
      <c r="V551" s="58">
        <f>(1000*CHOOSE(CONTROL!$C$42, 500, 500)*CHOOSE(CONTROL!$C$42, 0.275, 0.275)*CHOOSE(CONTROL!$C$42, 30, 30))/1000000</f>
        <v>4.125</v>
      </c>
      <c r="W551" s="58">
        <f>(1000*CHOOSE(CONTROL!$C$42, 0.1146, 0.1146)*CHOOSE(CONTROL!$C$42, 121.5, 121.5)*CHOOSE(CONTROL!$C$42, 30, 30))/1000000</f>
        <v>0.417717</v>
      </c>
      <c r="X551" s="58">
        <f>(30*0.1790888*100000/1000000)+(30*0.2374*100000/1000000)</f>
        <v>1.2494664</v>
      </c>
      <c r="Y551" s="58"/>
      <c r="Z551" s="10"/>
      <c r="AA551" s="57"/>
      <c r="AB551" s="51">
        <f>(B551*122.58+C551*297.941+D551*89.177+E551*40.302+F551*40+G551*160+H551*0+I551*100+J551*300)/(122.58+297.941+89.177+40.302+0+40+160+100+300)</f>
        <v>20.107691429565218</v>
      </c>
      <c r="AC551" s="27">
        <f>(M551*'RAP TEMPLATE-GAS AVAILABILITY'!O550+N551*'RAP TEMPLATE-GAS AVAILABILITY'!P550+O551*'RAP TEMPLATE-GAS AVAILABILITY'!Q550+P551*'RAP TEMPLATE-GAS AVAILABILITY'!R550)/('RAP TEMPLATE-GAS AVAILABILITY'!O550+'RAP TEMPLATE-GAS AVAILABILITY'!P550+'RAP TEMPLATE-GAS AVAILABILITY'!Q550+'RAP TEMPLATE-GAS AVAILABILITY'!R550)</f>
        <v>19.934747482014387</v>
      </c>
    </row>
    <row r="552" spans="1:29" ht="15.75" x14ac:dyDescent="0.25">
      <c r="A552" s="13">
        <v>57710</v>
      </c>
      <c r="B552" s="10">
        <f>CHOOSE(CONTROL!$C$42, 21.4898, 21.4898) * CHOOSE(CONTROL!$C$21, $C$9, 100%, $E$9)</f>
        <v>21.489799999999999</v>
      </c>
      <c r="C552" s="10">
        <f>CHOOSE(CONTROL!$C$42, 21.4948, 21.4948) * CHOOSE(CONTROL!$C$21, $C$9, 100%, $E$9)</f>
        <v>21.494800000000001</v>
      </c>
      <c r="D552" s="10">
        <f>CHOOSE(CONTROL!$C$42, 21.5244, 21.5244) * CHOOSE(CONTROL!$C$21, $C$9, 100%, $E$9)</f>
        <v>21.5244</v>
      </c>
      <c r="E552" s="10">
        <f>CHOOSE(CONTROL!$C$42, 21.5582, 21.5582) * CHOOSE(CONTROL!$C$21, $C$9, 100%, $E$9)</f>
        <v>21.558199999999999</v>
      </c>
      <c r="F552" s="10">
        <f>CHOOSE(CONTROL!$C$42, 21.458, 21.458)*CHOOSE(CONTROL!$C$21, $C$9, 100%, $E$9)</f>
        <v>21.457999999999998</v>
      </c>
      <c r="G552" s="10">
        <f>CHOOSE(CONTROL!$C$42, 21.4755, 21.4755)*CHOOSE(CONTROL!$C$21, $C$9, 100%, $E$9)</f>
        <v>21.4755</v>
      </c>
      <c r="H552" s="10">
        <f>CHOOSE(CONTROL!$C$42, 21.5473, 21.5473) * CHOOSE(CONTROL!$C$21, $C$9, 100%, $E$9)</f>
        <v>21.5473</v>
      </c>
      <c r="I552" s="10">
        <f>CHOOSE(CONTROL!$C$42, 21.4534, 21.4534)* CHOOSE(CONTROL!$C$21, $C$9, 100%, $E$9)</f>
        <v>21.453399999999998</v>
      </c>
      <c r="J552" s="10">
        <f>CHOOSE(CONTROL!$C$42, 21.451, 21.451)* CHOOSE(CONTROL!$C$21, $C$9, 100%, $E$9)</f>
        <v>21.451000000000001</v>
      </c>
      <c r="K552" s="54">
        <f>CHOOSE(CONTROL!$C$42, 21.4495, 21.4495) * CHOOSE(CONTROL!$C$21, $C$9, 100%, $E$9)</f>
        <v>21.4495</v>
      </c>
      <c r="L552" s="10">
        <f>CHOOSE(CONTROL!$C$42, 22.1343, 22.1343) * CHOOSE(CONTROL!$C$21, $C$9, 100%, $E$9)</f>
        <v>22.1343</v>
      </c>
      <c r="M552" s="10">
        <f>CHOOSE(CONTROL!$C$42, 21.2484, 21.2484) * CHOOSE(CONTROL!$C$21, $C$9, 100%, $E$9)</f>
        <v>21.2484</v>
      </c>
      <c r="N552" s="10">
        <f>CHOOSE(CONTROL!$C$42, 21.2657, 21.2657) * CHOOSE(CONTROL!$C$21, $C$9, 100%, $E$9)</f>
        <v>21.265699999999999</v>
      </c>
      <c r="O552" s="10">
        <f>CHOOSE(CONTROL!$C$42, 21.3437, 21.3437) * CHOOSE(CONTROL!$C$21, $C$9, 100%, $E$9)</f>
        <v>21.343699999999998</v>
      </c>
      <c r="P552" s="10">
        <f>CHOOSE(CONTROL!$C$42, 21.2508, 21.2508) * CHOOSE(CONTROL!$C$21, $C$9, 100%, $E$9)</f>
        <v>21.250800000000002</v>
      </c>
      <c r="Q552" s="10">
        <f>CHOOSE(CONTROL!$C$42, 21.939, 21.939) * CHOOSE(CONTROL!$C$21, $C$9, 100%, $E$9)</f>
        <v>21.939</v>
      </c>
      <c r="R552" s="10">
        <f>CHOOSE(CONTROL!$C$42, 22.5809, 22.5809) * CHOOSE(CONTROL!$C$21, $C$9, 100%, $E$9)</f>
        <v>22.5809</v>
      </c>
      <c r="S552" s="10">
        <f>CHOOSE(CONTROL!$C$42, 20.8666, 20.8666) * CHOOSE(CONTROL!$C$21, $C$9, 100%, $E$9)</f>
        <v>20.866599999999998</v>
      </c>
      <c r="T552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552" s="58">
        <f>(1000*CHOOSE(CONTROL!$C$42, 695, 695)*CHOOSE(CONTROL!$C$42, 0.5599, 0.5599)*CHOOSE(CONTROL!$C$42, 31, 31))/1000000</f>
        <v>12.063045499999998</v>
      </c>
      <c r="V552" s="58">
        <f>(1000*CHOOSE(CONTROL!$C$42, 500, 500)*CHOOSE(CONTROL!$C$42, 0.275, 0.275)*CHOOSE(CONTROL!$C$42, 31, 31))/1000000</f>
        <v>4.2625000000000002</v>
      </c>
      <c r="W552" s="58">
        <f>(1000*CHOOSE(CONTROL!$C$42, 0.1146, 0.1146)*CHOOSE(CONTROL!$C$42, 121.5, 121.5)*CHOOSE(CONTROL!$C$42, 31, 31))/1000000</f>
        <v>0.43164089999999994</v>
      </c>
      <c r="X552" s="58">
        <f>(31*0.1790888*100000/1000000)+(31*0.2374*100000/1000000)</f>
        <v>1.2911152800000001</v>
      </c>
      <c r="Y552" s="58"/>
      <c r="Z552" s="10"/>
      <c r="AA552" s="57"/>
      <c r="AB552" s="51">
        <f>(B552*122.58+C552*297.941+D552*89.177+E552*40.302+F552*40+G552*160+H552*0+I552*100+J552*300)/(122.58+297.941+89.177+40.302+0+40+160+100+300)</f>
        <v>21.479792944347825</v>
      </c>
      <c r="AC552" s="27">
        <f>(M552*'RAP TEMPLATE-GAS AVAILABILITY'!O551+N552*'RAP TEMPLATE-GAS AVAILABILITY'!P551+O552*'RAP TEMPLATE-GAS AVAILABILITY'!Q551+P552*'RAP TEMPLATE-GAS AVAILABILITY'!R551)/('RAP TEMPLATE-GAS AVAILABILITY'!O551+'RAP TEMPLATE-GAS AVAILABILITY'!P551+'RAP TEMPLATE-GAS AVAILABILITY'!Q551+'RAP TEMPLATE-GAS AVAILABILITY'!R551)</f>
        <v>21.292934532374101</v>
      </c>
    </row>
    <row r="553" spans="1:29" ht="15.75" x14ac:dyDescent="0.25">
      <c r="A553" s="13">
        <v>57741</v>
      </c>
      <c r="B553" s="10">
        <f>CHOOSE(CONTROL!$C$42, 23.2504, 23.2504) * CHOOSE(CONTROL!$C$21, $C$9, 100%, $E$9)</f>
        <v>23.250399999999999</v>
      </c>
      <c r="C553" s="10">
        <f>CHOOSE(CONTROL!$C$42, 23.2553, 23.2553) * CHOOSE(CONTROL!$C$21, $C$9, 100%, $E$9)</f>
        <v>23.255299999999998</v>
      </c>
      <c r="D553" s="10">
        <f>CHOOSE(CONTROL!$C$42, 23.3055, 23.3055) * CHOOSE(CONTROL!$C$21, $C$9, 100%, $E$9)</f>
        <v>23.305499999999999</v>
      </c>
      <c r="E553" s="10">
        <f>CHOOSE(CONTROL!$C$42, 23.3393, 23.3393) * CHOOSE(CONTROL!$C$21, $C$9, 100%, $E$9)</f>
        <v>23.339300000000001</v>
      </c>
      <c r="F553" s="10">
        <f>CHOOSE(CONTROL!$C$42, 23.2157, 23.2157)*CHOOSE(CONTROL!$C$21, $C$9, 100%, $E$9)</f>
        <v>23.215699999999998</v>
      </c>
      <c r="G553" s="10">
        <f>CHOOSE(CONTROL!$C$42, 23.2333, 23.2333)*CHOOSE(CONTROL!$C$21, $C$9, 100%, $E$9)</f>
        <v>23.2333</v>
      </c>
      <c r="H553" s="10">
        <f>CHOOSE(CONTROL!$C$42, 23.3285, 23.3285) * CHOOSE(CONTROL!$C$21, $C$9, 100%, $E$9)</f>
        <v>23.328499999999998</v>
      </c>
      <c r="I553" s="10">
        <f>CHOOSE(CONTROL!$C$42, 23.2243, 23.2243)* CHOOSE(CONTROL!$C$21, $C$9, 100%, $E$9)</f>
        <v>23.224299999999999</v>
      </c>
      <c r="J553" s="10">
        <f>CHOOSE(CONTROL!$C$42, 23.2087, 23.2087)* CHOOSE(CONTROL!$C$21, $C$9, 100%, $E$9)</f>
        <v>23.2087</v>
      </c>
      <c r="K553" s="54">
        <f>CHOOSE(CONTROL!$C$42, 23.2204, 23.2204) * CHOOSE(CONTROL!$C$21, $C$9, 100%, $E$9)</f>
        <v>23.220400000000001</v>
      </c>
      <c r="L553" s="10">
        <f>CHOOSE(CONTROL!$C$42, 23.9155, 23.9155) * CHOOSE(CONTROL!$C$21, $C$9, 100%, $E$9)</f>
        <v>23.915500000000002</v>
      </c>
      <c r="M553" s="10">
        <f>CHOOSE(CONTROL!$C$42, 22.9884, 22.9884) * CHOOSE(CONTROL!$C$21, $C$9, 100%, $E$9)</f>
        <v>22.988399999999999</v>
      </c>
      <c r="N553" s="10">
        <f>CHOOSE(CONTROL!$C$42, 23.0057, 23.0057) * CHOOSE(CONTROL!$C$21, $C$9, 100%, $E$9)</f>
        <v>23.005700000000001</v>
      </c>
      <c r="O553" s="10">
        <f>CHOOSE(CONTROL!$C$42, 23.1069, 23.1069) * CHOOSE(CONTROL!$C$21, $C$9, 100%, $E$9)</f>
        <v>23.1069</v>
      </c>
      <c r="P553" s="10">
        <f>CHOOSE(CONTROL!$C$42, 23.0038, 23.0038) * CHOOSE(CONTROL!$C$21, $C$9, 100%, $E$9)</f>
        <v>23.003799999999998</v>
      </c>
      <c r="Q553" s="10">
        <f>CHOOSE(CONTROL!$C$42, 23.7022, 23.7022) * CHOOSE(CONTROL!$C$21, $C$9, 100%, $E$9)</f>
        <v>23.702200000000001</v>
      </c>
      <c r="R553" s="10">
        <f>CHOOSE(CONTROL!$C$42, 24.3485, 24.3485) * CHOOSE(CONTROL!$C$21, $C$9, 100%, $E$9)</f>
        <v>24.348500000000001</v>
      </c>
      <c r="S553" s="10">
        <f>CHOOSE(CONTROL!$C$42, 22.5763, 22.5763) * CHOOSE(CONTROL!$C$21, $C$9, 100%, $E$9)</f>
        <v>22.5763</v>
      </c>
      <c r="T553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553" s="58">
        <f>(1000*CHOOSE(CONTROL!$C$42, 695, 695)*CHOOSE(CONTROL!$C$42, 0.5599, 0.5599)*CHOOSE(CONTROL!$C$42, 31, 31))/1000000</f>
        <v>12.063045499999998</v>
      </c>
      <c r="V553" s="58">
        <f>(1000*CHOOSE(CONTROL!$C$42, 500, 500)*CHOOSE(CONTROL!$C$42, 0.275, 0.275)*CHOOSE(CONTROL!$C$42, 31, 31))/1000000</f>
        <v>4.2625000000000002</v>
      </c>
      <c r="W553" s="58">
        <f>(1000*CHOOSE(CONTROL!$C$42, 0.1146, 0.1146)*CHOOSE(CONTROL!$C$42, 121.5, 121.5)*CHOOSE(CONTROL!$C$42, 31, 31))/1000000</f>
        <v>0.43164089999999994</v>
      </c>
      <c r="X553" s="58">
        <f>(31*0.1790888*100000/1000000)+(31*0.2374*100000/1000000)</f>
        <v>1.2911152800000001</v>
      </c>
      <c r="Y553" s="58"/>
      <c r="Z553" s="10"/>
      <c r="AA553" s="57"/>
      <c r="AB553" s="51">
        <f>(B553*122.58+C553*297.941+D553*89.177+E553*40.302+F553*40+G553*160+H553*0+I553*100+J553*300)/(122.58+297.941+89.177+40.302+0+40+160+100+300)</f>
        <v>23.242323836000001</v>
      </c>
      <c r="AC553" s="27">
        <f>(M553*'RAP TEMPLATE-GAS AVAILABILITY'!O552+N553*'RAP TEMPLATE-GAS AVAILABILITY'!P552+O553*'RAP TEMPLATE-GAS AVAILABILITY'!Q552+P553*'RAP TEMPLATE-GAS AVAILABILITY'!R552)/('RAP TEMPLATE-GAS AVAILABILITY'!O552+'RAP TEMPLATE-GAS AVAILABILITY'!P552+'RAP TEMPLATE-GAS AVAILABILITY'!Q552+'RAP TEMPLATE-GAS AVAILABILITY'!R552)</f>
        <v>23.04532014388489</v>
      </c>
    </row>
    <row r="554" spans="1:29" ht="15.75" x14ac:dyDescent="0.25">
      <c r="A554" s="13">
        <v>57769</v>
      </c>
      <c r="B554" s="10">
        <f>CHOOSE(CONTROL!$C$42, 23.6642, 23.6642) * CHOOSE(CONTROL!$C$21, $C$9, 100%, $E$9)</f>
        <v>23.664200000000001</v>
      </c>
      <c r="C554" s="10">
        <f>CHOOSE(CONTROL!$C$42, 23.6692, 23.6692) * CHOOSE(CONTROL!$C$21, $C$9, 100%, $E$9)</f>
        <v>23.6692</v>
      </c>
      <c r="D554" s="10">
        <f>CHOOSE(CONTROL!$C$42, 23.7297, 23.7297) * CHOOSE(CONTROL!$C$21, $C$9, 100%, $E$9)</f>
        <v>23.729700000000001</v>
      </c>
      <c r="E554" s="10">
        <f>CHOOSE(CONTROL!$C$42, 23.7634, 23.7634) * CHOOSE(CONTROL!$C$21, $C$9, 100%, $E$9)</f>
        <v>23.763400000000001</v>
      </c>
      <c r="F554" s="10">
        <f>CHOOSE(CONTROL!$C$42, 23.6574, 23.6574)*CHOOSE(CONTROL!$C$21, $C$9, 100%, $E$9)</f>
        <v>23.657399999999999</v>
      </c>
      <c r="G554" s="10">
        <f>CHOOSE(CONTROL!$C$42, 23.6747, 23.6747)*CHOOSE(CONTROL!$C$21, $C$9, 100%, $E$9)</f>
        <v>23.674700000000001</v>
      </c>
      <c r="H554" s="10">
        <f>CHOOSE(CONTROL!$C$42, 23.7526, 23.7526) * CHOOSE(CONTROL!$C$21, $C$9, 100%, $E$9)</f>
        <v>23.752600000000001</v>
      </c>
      <c r="I554" s="10">
        <f>CHOOSE(CONTROL!$C$42, 23.651, 23.651)* CHOOSE(CONTROL!$C$21, $C$9, 100%, $E$9)</f>
        <v>23.651</v>
      </c>
      <c r="J554" s="10">
        <f>CHOOSE(CONTROL!$C$42, 23.6504, 23.6504)* CHOOSE(CONTROL!$C$21, $C$9, 100%, $E$9)</f>
        <v>23.650400000000001</v>
      </c>
      <c r="K554" s="54">
        <f>CHOOSE(CONTROL!$C$42, 23.6471, 23.6471) * CHOOSE(CONTROL!$C$21, $C$9, 100%, $E$9)</f>
        <v>23.647099999999998</v>
      </c>
      <c r="L554" s="10">
        <f>CHOOSE(CONTROL!$C$42, 24.3396, 24.3396) * CHOOSE(CONTROL!$C$21, $C$9, 100%, $E$9)</f>
        <v>24.339600000000001</v>
      </c>
      <c r="M554" s="10">
        <f>CHOOSE(CONTROL!$C$42, 23.4256, 23.4256) * CHOOSE(CONTROL!$C$21, $C$9, 100%, $E$9)</f>
        <v>23.425599999999999</v>
      </c>
      <c r="N554" s="10">
        <f>CHOOSE(CONTROL!$C$42, 23.4427, 23.4427) * CHOOSE(CONTROL!$C$21, $C$9, 100%, $E$9)</f>
        <v>23.442699999999999</v>
      </c>
      <c r="O554" s="10">
        <f>CHOOSE(CONTROL!$C$42, 23.5268, 23.5268) * CHOOSE(CONTROL!$C$21, $C$9, 100%, $E$9)</f>
        <v>23.526800000000001</v>
      </c>
      <c r="P554" s="10">
        <f>CHOOSE(CONTROL!$C$42, 23.4262, 23.4262) * CHOOSE(CONTROL!$C$21, $C$9, 100%, $E$9)</f>
        <v>23.426200000000001</v>
      </c>
      <c r="Q554" s="10">
        <f>CHOOSE(CONTROL!$C$42, 24.1221, 24.1221) * CHOOSE(CONTROL!$C$21, $C$9, 100%, $E$9)</f>
        <v>24.1221</v>
      </c>
      <c r="R554" s="10">
        <f>CHOOSE(CONTROL!$C$42, 24.7694, 24.7694) * CHOOSE(CONTROL!$C$21, $C$9, 100%, $E$9)</f>
        <v>24.769400000000001</v>
      </c>
      <c r="S554" s="10">
        <f>CHOOSE(CONTROL!$C$42, 22.9782, 22.9782) * CHOOSE(CONTROL!$C$21, $C$9, 100%, $E$9)</f>
        <v>22.978200000000001</v>
      </c>
      <c r="T554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554" s="58">
        <f>(1000*CHOOSE(CONTROL!$C$42, 695, 695)*CHOOSE(CONTROL!$C$42, 0.5599, 0.5599)*CHOOSE(CONTROL!$C$42, 28, 28))/1000000</f>
        <v>10.895653999999999</v>
      </c>
      <c r="V554" s="58">
        <f>(1000*CHOOSE(CONTROL!$C$42, 500, 500)*CHOOSE(CONTROL!$C$42, 0.275, 0.275)*CHOOSE(CONTROL!$C$42, 28, 28))/1000000</f>
        <v>3.85</v>
      </c>
      <c r="W554" s="58">
        <f>(1000*CHOOSE(CONTROL!$C$42, 0.1146, 0.1146)*CHOOSE(CONTROL!$C$42, 121.5, 121.5)*CHOOSE(CONTROL!$C$42, 28, 28))/1000000</f>
        <v>0.38986920000000003</v>
      </c>
      <c r="X554" s="58">
        <f>(28*0.1790888*100000/1000000)+(28*0.2374*100000/1000000)</f>
        <v>1.16616864</v>
      </c>
      <c r="Y554" s="58"/>
      <c r="Z554" s="10"/>
      <c r="AA554" s="57"/>
      <c r="AB554" s="51">
        <f>(B554*122.58+C554*297.941+D554*89.177+E554*40.302+F554*40+G554*160+H554*0+I554*100+J554*300)/(122.58+297.941+89.177+40.302+0+40+160+100+300)</f>
        <v>23.670527614695654</v>
      </c>
      <c r="AC554" s="27">
        <f>(M554*'RAP TEMPLATE-GAS AVAILABILITY'!O553+N554*'RAP TEMPLATE-GAS AVAILABILITY'!P553+O554*'RAP TEMPLATE-GAS AVAILABILITY'!Q553+P554*'RAP TEMPLATE-GAS AVAILABILITY'!R553)/('RAP TEMPLATE-GAS AVAILABILITY'!O553+'RAP TEMPLATE-GAS AVAILABILITY'!P553+'RAP TEMPLATE-GAS AVAILABILITY'!Q553+'RAP TEMPLATE-GAS AVAILABILITY'!R553)</f>
        <v>23.472538129496407</v>
      </c>
    </row>
    <row r="555" spans="1:29" ht="15.75" x14ac:dyDescent="0.25">
      <c r="A555" s="13">
        <v>57800</v>
      </c>
      <c r="B555" s="10">
        <f>CHOOSE(CONTROL!$C$42, 22.9925, 22.9925) * CHOOSE(CONTROL!$C$21, $C$9, 100%, $E$9)</f>
        <v>22.9925</v>
      </c>
      <c r="C555" s="10">
        <f>CHOOSE(CONTROL!$C$42, 22.9974, 22.9974) * CHOOSE(CONTROL!$C$21, $C$9, 100%, $E$9)</f>
        <v>22.997399999999999</v>
      </c>
      <c r="D555" s="10">
        <f>CHOOSE(CONTROL!$C$42, 23.0579, 23.0579) * CHOOSE(CONTROL!$C$21, $C$9, 100%, $E$9)</f>
        <v>23.0579</v>
      </c>
      <c r="E555" s="10">
        <f>CHOOSE(CONTROL!$C$42, 23.0917, 23.0917) * CHOOSE(CONTROL!$C$21, $C$9, 100%, $E$9)</f>
        <v>23.091699999999999</v>
      </c>
      <c r="F555" s="10">
        <f>CHOOSE(CONTROL!$C$42, 22.9802, 22.9802)*CHOOSE(CONTROL!$C$21, $C$9, 100%, $E$9)</f>
        <v>22.9802</v>
      </c>
      <c r="G555" s="10">
        <f>CHOOSE(CONTROL!$C$42, 22.9974, 22.9974)*CHOOSE(CONTROL!$C$21, $C$9, 100%, $E$9)</f>
        <v>22.997399999999999</v>
      </c>
      <c r="H555" s="10">
        <f>CHOOSE(CONTROL!$C$42, 23.0809, 23.0809) * CHOOSE(CONTROL!$C$21, $C$9, 100%, $E$9)</f>
        <v>23.0809</v>
      </c>
      <c r="I555" s="10">
        <f>CHOOSE(CONTROL!$C$42, 22.9664, 22.9664)* CHOOSE(CONTROL!$C$21, $C$9, 100%, $E$9)</f>
        <v>22.9664</v>
      </c>
      <c r="J555" s="10">
        <f>CHOOSE(CONTROL!$C$42, 22.9732, 22.9732)* CHOOSE(CONTROL!$C$21, $C$9, 100%, $E$9)</f>
        <v>22.973199999999999</v>
      </c>
      <c r="K555" s="54">
        <f>CHOOSE(CONTROL!$C$42, 22.9625, 22.9625) * CHOOSE(CONTROL!$C$21, $C$9, 100%, $E$9)</f>
        <v>22.962499999999999</v>
      </c>
      <c r="L555" s="10">
        <f>CHOOSE(CONTROL!$C$42, 23.6679, 23.6679) * CHOOSE(CONTROL!$C$21, $C$9, 100%, $E$9)</f>
        <v>23.667899999999999</v>
      </c>
      <c r="M555" s="10">
        <f>CHOOSE(CONTROL!$C$42, 22.7552, 22.7552) * CHOOSE(CONTROL!$C$21, $C$9, 100%, $E$9)</f>
        <v>22.755199999999999</v>
      </c>
      <c r="N555" s="10">
        <f>CHOOSE(CONTROL!$C$42, 22.7722, 22.7722) * CHOOSE(CONTROL!$C$21, $C$9, 100%, $E$9)</f>
        <v>22.772200000000002</v>
      </c>
      <c r="O555" s="10">
        <f>CHOOSE(CONTROL!$C$42, 22.8618, 22.8618) * CHOOSE(CONTROL!$C$21, $C$9, 100%, $E$9)</f>
        <v>22.861799999999999</v>
      </c>
      <c r="P555" s="10">
        <f>CHOOSE(CONTROL!$C$42, 22.7484, 22.7484) * CHOOSE(CONTROL!$C$21, $C$9, 100%, $E$9)</f>
        <v>22.7484</v>
      </c>
      <c r="Q555" s="10">
        <f>CHOOSE(CONTROL!$C$42, 23.4571, 23.4571) * CHOOSE(CONTROL!$C$21, $C$9, 100%, $E$9)</f>
        <v>23.457100000000001</v>
      </c>
      <c r="R555" s="10">
        <f>CHOOSE(CONTROL!$C$42, 24.1027, 24.1027) * CHOOSE(CONTROL!$C$21, $C$9, 100%, $E$9)</f>
        <v>24.102699999999999</v>
      </c>
      <c r="S555" s="10">
        <f>CHOOSE(CONTROL!$C$42, 22.3258, 22.3258) * CHOOSE(CONTROL!$C$21, $C$9, 100%, $E$9)</f>
        <v>22.325800000000001</v>
      </c>
      <c r="T555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555" s="58">
        <f>(1000*CHOOSE(CONTROL!$C$42, 695, 695)*CHOOSE(CONTROL!$C$42, 0.5599, 0.5599)*CHOOSE(CONTROL!$C$42, 31, 31))/1000000</f>
        <v>12.063045499999998</v>
      </c>
      <c r="V555" s="58">
        <f>(1000*CHOOSE(CONTROL!$C$42, 500, 500)*CHOOSE(CONTROL!$C$42, 0.275, 0.275)*CHOOSE(CONTROL!$C$42, 31, 31))/1000000</f>
        <v>4.2625000000000002</v>
      </c>
      <c r="W555" s="58">
        <f>(1000*CHOOSE(CONTROL!$C$42, 0.1146, 0.1146)*CHOOSE(CONTROL!$C$42, 121.5, 121.5)*CHOOSE(CONTROL!$C$42, 31, 31))/1000000</f>
        <v>0.43164089999999994</v>
      </c>
      <c r="X555" s="58">
        <f>(31*0.1790888*100000/1000000)+(31*0.2374*100000/1000000)</f>
        <v>1.2911152800000001</v>
      </c>
      <c r="Y555" s="58"/>
      <c r="Z555" s="10"/>
      <c r="AA555" s="57"/>
      <c r="AB555" s="51">
        <f>(B555*122.58+C555*297.941+D555*89.177+E555*40.302+F555*40+G555*160+H555*0+I555*100+J555*300)/(122.58+297.941+89.177+40.302+0+40+160+100+300)</f>
        <v>22.995266995739129</v>
      </c>
      <c r="AC555" s="27">
        <f>(M555*'RAP TEMPLATE-GAS AVAILABILITY'!O554+N555*'RAP TEMPLATE-GAS AVAILABILITY'!P554+O555*'RAP TEMPLATE-GAS AVAILABILITY'!Q554+P555*'RAP TEMPLATE-GAS AVAILABILITY'!R554)/('RAP TEMPLATE-GAS AVAILABILITY'!O554+'RAP TEMPLATE-GAS AVAILABILITY'!P554+'RAP TEMPLATE-GAS AVAILABILITY'!Q554+'RAP TEMPLATE-GAS AVAILABILITY'!R554)</f>
        <v>22.803515107913668</v>
      </c>
    </row>
    <row r="556" spans="1:29" ht="15.75" x14ac:dyDescent="0.25">
      <c r="A556" s="13">
        <v>57830</v>
      </c>
      <c r="B556" s="10">
        <f>CHOOSE(CONTROL!$C$42, 22.9248, 22.9248) * CHOOSE(CONTROL!$C$21, $C$9, 100%, $E$9)</f>
        <v>22.924800000000001</v>
      </c>
      <c r="C556" s="10">
        <f>CHOOSE(CONTROL!$C$42, 22.9292, 22.9292) * CHOOSE(CONTROL!$C$21, $C$9, 100%, $E$9)</f>
        <v>22.929200000000002</v>
      </c>
      <c r="D556" s="10">
        <f>CHOOSE(CONTROL!$C$42, 23.1247, 23.1247) * CHOOSE(CONTROL!$C$21, $C$9, 100%, $E$9)</f>
        <v>23.124700000000001</v>
      </c>
      <c r="E556" s="10">
        <f>CHOOSE(CONTROL!$C$42, 23.1565, 23.1565) * CHOOSE(CONTROL!$C$21, $C$9, 100%, $E$9)</f>
        <v>23.156500000000001</v>
      </c>
      <c r="F556" s="10">
        <f>CHOOSE(CONTROL!$C$42, 22.8926, 22.8926)*CHOOSE(CONTROL!$C$21, $C$9, 100%, $E$9)</f>
        <v>22.892600000000002</v>
      </c>
      <c r="G556" s="10">
        <f>CHOOSE(CONTROL!$C$42, 22.9094, 22.9094)*CHOOSE(CONTROL!$C$21, $C$9, 100%, $E$9)</f>
        <v>22.909400000000002</v>
      </c>
      <c r="H556" s="10">
        <f>CHOOSE(CONTROL!$C$42, 23.1463, 23.1463) * CHOOSE(CONTROL!$C$21, $C$9, 100%, $E$9)</f>
        <v>23.1463</v>
      </c>
      <c r="I556" s="10">
        <f>CHOOSE(CONTROL!$C$42, 22.8928, 22.8928)* CHOOSE(CONTROL!$C$21, $C$9, 100%, $E$9)</f>
        <v>22.892800000000001</v>
      </c>
      <c r="J556" s="10">
        <f>CHOOSE(CONTROL!$C$42, 22.8856, 22.8856)* CHOOSE(CONTROL!$C$21, $C$9, 100%, $E$9)</f>
        <v>22.8856</v>
      </c>
      <c r="K556" s="54">
        <f>CHOOSE(CONTROL!$C$42, 22.8889, 22.8889) * CHOOSE(CONTROL!$C$21, $C$9, 100%, $E$9)</f>
        <v>22.8889</v>
      </c>
      <c r="L556" s="10">
        <f>CHOOSE(CONTROL!$C$42, 23.7333, 23.7333) * CHOOSE(CONTROL!$C$21, $C$9, 100%, $E$9)</f>
        <v>23.7333</v>
      </c>
      <c r="M556" s="10">
        <f>CHOOSE(CONTROL!$C$42, 22.6685, 22.6685) * CHOOSE(CONTROL!$C$21, $C$9, 100%, $E$9)</f>
        <v>22.668500000000002</v>
      </c>
      <c r="N556" s="10">
        <f>CHOOSE(CONTROL!$C$42, 22.6851, 22.6851) * CHOOSE(CONTROL!$C$21, $C$9, 100%, $E$9)</f>
        <v>22.685099999999998</v>
      </c>
      <c r="O556" s="10">
        <f>CHOOSE(CONTROL!$C$42, 22.9265, 22.9265) * CHOOSE(CONTROL!$C$21, $C$9, 100%, $E$9)</f>
        <v>22.926500000000001</v>
      </c>
      <c r="P556" s="10">
        <f>CHOOSE(CONTROL!$C$42, 22.6756, 22.6756) * CHOOSE(CONTROL!$C$21, $C$9, 100%, $E$9)</f>
        <v>22.675599999999999</v>
      </c>
      <c r="Q556" s="10">
        <f>CHOOSE(CONTROL!$C$42, 23.5218, 23.5218) * CHOOSE(CONTROL!$C$21, $C$9, 100%, $E$9)</f>
        <v>23.521799999999999</v>
      </c>
      <c r="R556" s="10">
        <f>CHOOSE(CONTROL!$C$42, 24.1677, 24.1677) * CHOOSE(CONTROL!$C$21, $C$9, 100%, $E$9)</f>
        <v>24.1677</v>
      </c>
      <c r="S556" s="10">
        <f>CHOOSE(CONTROL!$C$42, 22.2594, 22.2594) * CHOOSE(CONTROL!$C$21, $C$9, 100%, $E$9)</f>
        <v>22.259399999999999</v>
      </c>
      <c r="T556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556" s="58">
        <f>(1000*CHOOSE(CONTROL!$C$42, 695, 695)*CHOOSE(CONTROL!$C$42, 0.5599, 0.5599)*CHOOSE(CONTROL!$C$42, 30, 30))/1000000</f>
        <v>11.673914999999997</v>
      </c>
      <c r="V556" s="58">
        <f>(1000*CHOOSE(CONTROL!$C$42, 500, 500)*CHOOSE(CONTROL!$C$42, 0.275, 0.275)*CHOOSE(CONTROL!$C$42, 30, 30))/1000000</f>
        <v>4.125</v>
      </c>
      <c r="W556" s="58">
        <f>(1000*CHOOSE(CONTROL!$C$42, 0.1146, 0.1146)*CHOOSE(CONTROL!$C$42, 121.5, 121.5)*CHOOSE(CONTROL!$C$42, 30, 30))/1000000</f>
        <v>0.417717</v>
      </c>
      <c r="X556" s="58">
        <f>(30*0.1790888*245000/1000000)+(30*0.2374*100000/1000000)</f>
        <v>2.0285026799999999</v>
      </c>
      <c r="Y556" s="58"/>
      <c r="Z556" s="10"/>
      <c r="AA556" s="57"/>
      <c r="AB556" s="51">
        <f>(B556*141.293+C556*267.993+D556*115.016+E556*89.698+F556*40+G556*185+H556*0+I556*100+J556*300)/(141.293+267.993+115.016+89.698+0+40+185+100+300)</f>
        <v>22.945669164003228</v>
      </c>
      <c r="AC556" s="27">
        <f>(M556*'RAP TEMPLATE-GAS AVAILABILITY'!O555+N556*'RAP TEMPLATE-GAS AVAILABILITY'!P555+O556*'RAP TEMPLATE-GAS AVAILABILITY'!Q555+P556*'RAP TEMPLATE-GAS AVAILABILITY'!R555)/('RAP TEMPLATE-GAS AVAILABILITY'!O555+'RAP TEMPLATE-GAS AVAILABILITY'!P555+'RAP TEMPLATE-GAS AVAILABILITY'!Q555+'RAP TEMPLATE-GAS AVAILABILITY'!R555)</f>
        <v>22.745731654676259</v>
      </c>
    </row>
    <row r="557" spans="1:29" ht="15.75" x14ac:dyDescent="0.25">
      <c r="A557" s="13">
        <v>57861</v>
      </c>
      <c r="B557" s="10">
        <f>CHOOSE(CONTROL!$C$42, 23.1285, 23.1285) * CHOOSE(CONTROL!$C$21, $C$9, 100%, $E$9)</f>
        <v>23.128499999999999</v>
      </c>
      <c r="C557" s="10">
        <f>CHOOSE(CONTROL!$C$42, 23.1364, 23.1364) * CHOOSE(CONTROL!$C$21, $C$9, 100%, $E$9)</f>
        <v>23.136399999999998</v>
      </c>
      <c r="D557" s="10">
        <f>CHOOSE(CONTROL!$C$42, 23.3288, 23.3288) * CHOOSE(CONTROL!$C$21, $C$9, 100%, $E$9)</f>
        <v>23.328800000000001</v>
      </c>
      <c r="E557" s="10">
        <f>CHOOSE(CONTROL!$C$42, 23.36, 23.36) * CHOOSE(CONTROL!$C$21, $C$9, 100%, $E$9)</f>
        <v>23.36</v>
      </c>
      <c r="F557" s="10">
        <f>CHOOSE(CONTROL!$C$42, 23.0947, 23.0947)*CHOOSE(CONTROL!$C$21, $C$9, 100%, $E$9)</f>
        <v>23.0947</v>
      </c>
      <c r="G557" s="10">
        <f>CHOOSE(CONTROL!$C$42, 23.1119, 23.1119)*CHOOSE(CONTROL!$C$21, $C$9, 100%, $E$9)</f>
        <v>23.111899999999999</v>
      </c>
      <c r="H557" s="10">
        <f>CHOOSE(CONTROL!$C$42, 23.3486, 23.3486) * CHOOSE(CONTROL!$C$21, $C$9, 100%, $E$9)</f>
        <v>23.348600000000001</v>
      </c>
      <c r="I557" s="10">
        <f>CHOOSE(CONTROL!$C$42, 23.0951, 23.0951)* CHOOSE(CONTROL!$C$21, $C$9, 100%, $E$9)</f>
        <v>23.095099999999999</v>
      </c>
      <c r="J557" s="10">
        <f>CHOOSE(CONTROL!$C$42, 23.0877, 23.0877)* CHOOSE(CONTROL!$C$21, $C$9, 100%, $E$9)</f>
        <v>23.087700000000002</v>
      </c>
      <c r="K557" s="54">
        <f>CHOOSE(CONTROL!$C$42, 23.0912, 23.0912) * CHOOSE(CONTROL!$C$21, $C$9, 100%, $E$9)</f>
        <v>23.091200000000001</v>
      </c>
      <c r="L557" s="10">
        <f>CHOOSE(CONTROL!$C$42, 23.9356, 23.9356) * CHOOSE(CONTROL!$C$21, $C$9, 100%, $E$9)</f>
        <v>23.935600000000001</v>
      </c>
      <c r="M557" s="10">
        <f>CHOOSE(CONTROL!$C$42, 22.8686, 22.8686) * CHOOSE(CONTROL!$C$21, $C$9, 100%, $E$9)</f>
        <v>22.868600000000001</v>
      </c>
      <c r="N557" s="10">
        <f>CHOOSE(CONTROL!$C$42, 22.8855, 22.8855) * CHOOSE(CONTROL!$C$21, $C$9, 100%, $E$9)</f>
        <v>22.8855</v>
      </c>
      <c r="O557" s="10">
        <f>CHOOSE(CONTROL!$C$42, 23.1268, 23.1268) * CHOOSE(CONTROL!$C$21, $C$9, 100%, $E$9)</f>
        <v>23.126799999999999</v>
      </c>
      <c r="P557" s="10">
        <f>CHOOSE(CONTROL!$C$42, 22.8759, 22.8759) * CHOOSE(CONTROL!$C$21, $C$9, 100%, $E$9)</f>
        <v>22.875900000000001</v>
      </c>
      <c r="Q557" s="10">
        <f>CHOOSE(CONTROL!$C$42, 23.7221, 23.7221) * CHOOSE(CONTROL!$C$21, $C$9, 100%, $E$9)</f>
        <v>23.722100000000001</v>
      </c>
      <c r="R557" s="10">
        <f>CHOOSE(CONTROL!$C$42, 24.3684, 24.3684) * CHOOSE(CONTROL!$C$21, $C$9, 100%, $E$9)</f>
        <v>24.368400000000001</v>
      </c>
      <c r="S557" s="10">
        <f>CHOOSE(CONTROL!$C$42, 22.4558, 22.4558) * CHOOSE(CONTROL!$C$21, $C$9, 100%, $E$9)</f>
        <v>22.4558</v>
      </c>
      <c r="T557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557" s="58">
        <f>(1000*CHOOSE(CONTROL!$C$42, 695, 695)*CHOOSE(CONTROL!$C$42, 0.5599, 0.5599)*CHOOSE(CONTROL!$C$42, 31, 31))/1000000</f>
        <v>12.063045499999998</v>
      </c>
      <c r="V557" s="58">
        <f>(1000*CHOOSE(CONTROL!$C$42, 500, 500)*CHOOSE(CONTROL!$C$42, 0.275, 0.275)*CHOOSE(CONTROL!$C$42, 31, 31))/1000000</f>
        <v>4.2625000000000002</v>
      </c>
      <c r="W557" s="58">
        <f>(1000*CHOOSE(CONTROL!$C$42, 0.1146, 0.1146)*CHOOSE(CONTROL!$C$42, 121.5, 121.5)*CHOOSE(CONTROL!$C$42, 31, 31))/1000000</f>
        <v>0.43164089999999994</v>
      </c>
      <c r="X557" s="58">
        <f>(31*0.1790888*245000/1000000)+(31*0.2374*100000/1000000)</f>
        <v>2.0961194359999999</v>
      </c>
      <c r="Y557" s="58"/>
      <c r="Z557" s="10"/>
      <c r="AA557" s="57"/>
      <c r="AB557" s="51">
        <f>(B557*194.205+C557*267.466+D557*133.845+E557*53.484+F557*40+G557*185+H557*0+I557*100+J557*300)/(194.205+267.466+133.845+53.484+0+40+185+100+300)</f>
        <v>23.145219529748822</v>
      </c>
      <c r="AC557" s="27">
        <f>(M557*'RAP TEMPLATE-GAS AVAILABILITY'!O556+N557*'RAP TEMPLATE-GAS AVAILABILITY'!P556+O557*'RAP TEMPLATE-GAS AVAILABILITY'!Q556+P557*'RAP TEMPLATE-GAS AVAILABILITY'!R556)/('RAP TEMPLATE-GAS AVAILABILITY'!O556+'RAP TEMPLATE-GAS AVAILABILITY'!P556+'RAP TEMPLATE-GAS AVAILABILITY'!Q556+'RAP TEMPLATE-GAS AVAILABILITY'!R556)</f>
        <v>22.945985611510789</v>
      </c>
    </row>
    <row r="558" spans="1:29" ht="15.75" x14ac:dyDescent="0.25">
      <c r="A558" s="13">
        <v>57891</v>
      </c>
      <c r="B558" s="10">
        <f>CHOOSE(CONTROL!$C$42, 23.7844, 23.7844) * CHOOSE(CONTROL!$C$21, $C$9, 100%, $E$9)</f>
        <v>23.784400000000002</v>
      </c>
      <c r="C558" s="10">
        <f>CHOOSE(CONTROL!$C$42, 23.7923, 23.7923) * CHOOSE(CONTROL!$C$21, $C$9, 100%, $E$9)</f>
        <v>23.792300000000001</v>
      </c>
      <c r="D558" s="10">
        <f>CHOOSE(CONTROL!$C$42, 23.9848, 23.9848) * CHOOSE(CONTROL!$C$21, $C$9, 100%, $E$9)</f>
        <v>23.9848</v>
      </c>
      <c r="E558" s="10">
        <f>CHOOSE(CONTROL!$C$42, 24.0159, 24.0159) * CHOOSE(CONTROL!$C$21, $C$9, 100%, $E$9)</f>
        <v>24.015899999999998</v>
      </c>
      <c r="F558" s="10">
        <f>CHOOSE(CONTROL!$C$42, 23.7509, 23.7509)*CHOOSE(CONTROL!$C$21, $C$9, 100%, $E$9)</f>
        <v>23.750900000000001</v>
      </c>
      <c r="G558" s="10">
        <f>CHOOSE(CONTROL!$C$42, 23.7681, 23.7681)*CHOOSE(CONTROL!$C$21, $C$9, 100%, $E$9)</f>
        <v>23.7681</v>
      </c>
      <c r="H558" s="10">
        <f>CHOOSE(CONTROL!$C$42, 24.0045, 24.0045) * CHOOSE(CONTROL!$C$21, $C$9, 100%, $E$9)</f>
        <v>24.0045</v>
      </c>
      <c r="I558" s="10">
        <f>CHOOSE(CONTROL!$C$42, 23.751, 23.751)* CHOOSE(CONTROL!$C$21, $C$9, 100%, $E$9)</f>
        <v>23.751000000000001</v>
      </c>
      <c r="J558" s="10">
        <f>CHOOSE(CONTROL!$C$42, 23.7439, 23.7439)* CHOOSE(CONTROL!$C$21, $C$9, 100%, $E$9)</f>
        <v>23.7439</v>
      </c>
      <c r="K558" s="54">
        <f>CHOOSE(CONTROL!$C$42, 23.7471, 23.7471) * CHOOSE(CONTROL!$C$21, $C$9, 100%, $E$9)</f>
        <v>23.7471</v>
      </c>
      <c r="L558" s="10">
        <f>CHOOSE(CONTROL!$C$42, 24.5915, 24.5915) * CHOOSE(CONTROL!$C$21, $C$9, 100%, $E$9)</f>
        <v>24.5915</v>
      </c>
      <c r="M558" s="10">
        <f>CHOOSE(CONTROL!$C$42, 23.5181, 23.5181) * CHOOSE(CONTROL!$C$21, $C$9, 100%, $E$9)</f>
        <v>23.5181</v>
      </c>
      <c r="N558" s="10">
        <f>CHOOSE(CONTROL!$C$42, 23.5351, 23.5351) * CHOOSE(CONTROL!$C$21, $C$9, 100%, $E$9)</f>
        <v>23.5351</v>
      </c>
      <c r="O558" s="10">
        <f>CHOOSE(CONTROL!$C$42, 23.7761, 23.7761) * CHOOSE(CONTROL!$C$21, $C$9, 100%, $E$9)</f>
        <v>23.7761</v>
      </c>
      <c r="P558" s="10">
        <f>CHOOSE(CONTROL!$C$42, 23.5252, 23.5252) * CHOOSE(CONTROL!$C$21, $C$9, 100%, $E$9)</f>
        <v>23.525200000000002</v>
      </c>
      <c r="Q558" s="10">
        <f>CHOOSE(CONTROL!$C$42, 24.3714, 24.3714) * CHOOSE(CONTROL!$C$21, $C$9, 100%, $E$9)</f>
        <v>24.371400000000001</v>
      </c>
      <c r="R558" s="10">
        <f>CHOOSE(CONTROL!$C$42, 25.0193, 25.0193) * CHOOSE(CONTROL!$C$21, $C$9, 100%, $E$9)</f>
        <v>25.019300000000001</v>
      </c>
      <c r="S558" s="10">
        <f>CHOOSE(CONTROL!$C$42, 23.0928, 23.0928) * CHOOSE(CONTROL!$C$21, $C$9, 100%, $E$9)</f>
        <v>23.0928</v>
      </c>
      <c r="T558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558" s="58">
        <f>(1000*CHOOSE(CONTROL!$C$42, 695, 695)*CHOOSE(CONTROL!$C$42, 0.5599, 0.5599)*CHOOSE(CONTROL!$C$42, 30, 30))/1000000</f>
        <v>11.673914999999997</v>
      </c>
      <c r="V558" s="58">
        <f>(1000*CHOOSE(CONTROL!$C$42, 500, 500)*CHOOSE(CONTROL!$C$42, 0.275, 0.275)*CHOOSE(CONTROL!$C$42, 30, 30))/1000000</f>
        <v>4.125</v>
      </c>
      <c r="W558" s="58">
        <f>(1000*CHOOSE(CONTROL!$C$42, 0.1146, 0.1146)*CHOOSE(CONTROL!$C$42, 121.5, 121.5)*CHOOSE(CONTROL!$C$42, 30, 30))/1000000</f>
        <v>0.417717</v>
      </c>
      <c r="X558" s="58">
        <f>(30*0.1790888*245000/1000000)+(30*0.2374*100000/1000000)</f>
        <v>2.0285026799999999</v>
      </c>
      <c r="Y558" s="58"/>
      <c r="Z558" s="10"/>
      <c r="AA558" s="57"/>
      <c r="AB558" s="51">
        <f>(B558*194.205+C558*267.466+D558*133.845+E558*53.484+F558*40+G558*185+H558*0+I558*100+J558*300)/(194.205+267.466+133.845+53.484+0+40+185+100+300)</f>
        <v>23.801253662009419</v>
      </c>
      <c r="AC558" s="27">
        <f>(M558*'RAP TEMPLATE-GAS AVAILABILITY'!O557+N558*'RAP TEMPLATE-GAS AVAILABILITY'!P557+O558*'RAP TEMPLATE-GAS AVAILABILITY'!Q557+P558*'RAP TEMPLATE-GAS AVAILABILITY'!R557)/('RAP TEMPLATE-GAS AVAILABILITY'!O557+'RAP TEMPLATE-GAS AVAILABILITY'!P557+'RAP TEMPLATE-GAS AVAILABILITY'!Q557+'RAP TEMPLATE-GAS AVAILABILITY'!R557)</f>
        <v>23.595423741007192</v>
      </c>
    </row>
    <row r="559" spans="1:29" ht="15.75" x14ac:dyDescent="0.25">
      <c r="A559" s="13">
        <v>57922</v>
      </c>
      <c r="B559" s="10">
        <f>CHOOSE(CONTROL!$C$42, 23.3282, 23.3282) * CHOOSE(CONTROL!$C$21, $C$9, 100%, $E$9)</f>
        <v>23.328199999999999</v>
      </c>
      <c r="C559" s="10">
        <f>CHOOSE(CONTROL!$C$42, 23.3361, 23.3361) * CHOOSE(CONTROL!$C$21, $C$9, 100%, $E$9)</f>
        <v>23.336099999999998</v>
      </c>
      <c r="D559" s="10">
        <f>CHOOSE(CONTROL!$C$42, 23.5286, 23.5286) * CHOOSE(CONTROL!$C$21, $C$9, 100%, $E$9)</f>
        <v>23.528600000000001</v>
      </c>
      <c r="E559" s="10">
        <f>CHOOSE(CONTROL!$C$42, 23.5597, 23.5597) * CHOOSE(CONTROL!$C$21, $C$9, 100%, $E$9)</f>
        <v>23.559699999999999</v>
      </c>
      <c r="F559" s="10">
        <f>CHOOSE(CONTROL!$C$42, 23.2951, 23.2951)*CHOOSE(CONTROL!$C$21, $C$9, 100%, $E$9)</f>
        <v>23.295100000000001</v>
      </c>
      <c r="G559" s="10">
        <f>CHOOSE(CONTROL!$C$42, 23.3124, 23.3124)*CHOOSE(CONTROL!$C$21, $C$9, 100%, $E$9)</f>
        <v>23.3124</v>
      </c>
      <c r="H559" s="10">
        <f>CHOOSE(CONTROL!$C$42, 23.5483, 23.5483) * CHOOSE(CONTROL!$C$21, $C$9, 100%, $E$9)</f>
        <v>23.548300000000001</v>
      </c>
      <c r="I559" s="10">
        <f>CHOOSE(CONTROL!$C$42, 23.2948, 23.2948)* CHOOSE(CONTROL!$C$21, $C$9, 100%, $E$9)</f>
        <v>23.294799999999999</v>
      </c>
      <c r="J559" s="10">
        <f>CHOOSE(CONTROL!$C$42, 23.2881, 23.2881)* CHOOSE(CONTROL!$C$21, $C$9, 100%, $E$9)</f>
        <v>23.2881</v>
      </c>
      <c r="K559" s="54">
        <f>CHOOSE(CONTROL!$C$42, 23.2909, 23.2909) * CHOOSE(CONTROL!$C$21, $C$9, 100%, $E$9)</f>
        <v>23.290900000000001</v>
      </c>
      <c r="L559" s="10">
        <f>CHOOSE(CONTROL!$C$42, 24.1353, 24.1353) * CHOOSE(CONTROL!$C$21, $C$9, 100%, $E$9)</f>
        <v>24.135300000000001</v>
      </c>
      <c r="M559" s="10">
        <f>CHOOSE(CONTROL!$C$42, 23.0669, 23.0669) * CHOOSE(CONTROL!$C$21, $C$9, 100%, $E$9)</f>
        <v>23.0669</v>
      </c>
      <c r="N559" s="10">
        <f>CHOOSE(CONTROL!$C$42, 23.084, 23.084) * CHOOSE(CONTROL!$C$21, $C$9, 100%, $E$9)</f>
        <v>23.084</v>
      </c>
      <c r="O559" s="10">
        <f>CHOOSE(CONTROL!$C$42, 23.3245, 23.3245) * CHOOSE(CONTROL!$C$21, $C$9, 100%, $E$9)</f>
        <v>23.3245</v>
      </c>
      <c r="P559" s="10">
        <f>CHOOSE(CONTROL!$C$42, 23.0736, 23.0736) * CHOOSE(CONTROL!$C$21, $C$9, 100%, $E$9)</f>
        <v>23.073599999999999</v>
      </c>
      <c r="Q559" s="10">
        <f>CHOOSE(CONTROL!$C$42, 23.9198, 23.9198) * CHOOSE(CONTROL!$C$21, $C$9, 100%, $E$9)</f>
        <v>23.919799999999999</v>
      </c>
      <c r="R559" s="10">
        <f>CHOOSE(CONTROL!$C$42, 24.5666, 24.5666) * CHOOSE(CONTROL!$C$21, $C$9, 100%, $E$9)</f>
        <v>24.566600000000001</v>
      </c>
      <c r="S559" s="10">
        <f>CHOOSE(CONTROL!$C$42, 22.6498, 22.6498) * CHOOSE(CONTROL!$C$21, $C$9, 100%, $E$9)</f>
        <v>22.649799999999999</v>
      </c>
      <c r="T559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559" s="58">
        <f>(1000*CHOOSE(CONTROL!$C$42, 695, 695)*CHOOSE(CONTROL!$C$42, 0.5599, 0.5599)*CHOOSE(CONTROL!$C$42, 31, 31))/1000000</f>
        <v>12.063045499999998</v>
      </c>
      <c r="V559" s="58">
        <f>(1000*CHOOSE(CONTROL!$C$42, 500, 500)*CHOOSE(CONTROL!$C$42, 0.275, 0.275)*CHOOSE(CONTROL!$C$42, 31, 31))/1000000</f>
        <v>4.2625000000000002</v>
      </c>
      <c r="W559" s="58">
        <f>(1000*CHOOSE(CONTROL!$C$42, 0.1146, 0.1146)*CHOOSE(CONTROL!$C$42, 121.5, 121.5)*CHOOSE(CONTROL!$C$42, 31, 31))/1000000</f>
        <v>0.43164089999999994</v>
      </c>
      <c r="X559" s="58">
        <f>(31*0.1790888*245000/1000000)+(31*0.2374*100000/1000000)</f>
        <v>2.0961194359999999</v>
      </c>
      <c r="Y559" s="58"/>
      <c r="Z559" s="10"/>
      <c r="AA559" s="57"/>
      <c r="AB559" s="51">
        <f>(B559*194.205+C559*267.466+D559*133.845+E559*53.484+F559*40+G559*185+H559*0+I559*100+J559*300)/(194.205+267.466+133.845+53.484+0+40+185+100+300)</f>
        <v>23.345233018367349</v>
      </c>
      <c r="AC559" s="27">
        <f>(M559*'RAP TEMPLATE-GAS AVAILABILITY'!O558+N559*'RAP TEMPLATE-GAS AVAILABILITY'!P558+O559*'RAP TEMPLATE-GAS AVAILABILITY'!Q558+P559*'RAP TEMPLATE-GAS AVAILABILITY'!R558)/('RAP TEMPLATE-GAS AVAILABILITY'!O558+'RAP TEMPLATE-GAS AVAILABILITY'!P558+'RAP TEMPLATE-GAS AVAILABILITY'!Q558+'RAP TEMPLATE-GAS AVAILABILITY'!R558)</f>
        <v>23.144076978417267</v>
      </c>
    </row>
    <row r="560" spans="1:29" ht="15.75" x14ac:dyDescent="0.25">
      <c r="A560" s="13">
        <v>57953</v>
      </c>
      <c r="B560" s="10">
        <f>CHOOSE(CONTROL!$C$42, 22.1762, 22.1762) * CHOOSE(CONTROL!$C$21, $C$9, 100%, $E$9)</f>
        <v>22.176200000000001</v>
      </c>
      <c r="C560" s="10">
        <f>CHOOSE(CONTROL!$C$42, 22.1841, 22.1841) * CHOOSE(CONTROL!$C$21, $C$9, 100%, $E$9)</f>
        <v>22.184100000000001</v>
      </c>
      <c r="D560" s="10">
        <f>CHOOSE(CONTROL!$C$42, 22.3765, 22.3765) * CHOOSE(CONTROL!$C$21, $C$9, 100%, $E$9)</f>
        <v>22.3765</v>
      </c>
      <c r="E560" s="10">
        <f>CHOOSE(CONTROL!$C$42, 22.4077, 22.4077) * CHOOSE(CONTROL!$C$21, $C$9, 100%, $E$9)</f>
        <v>22.407699999999998</v>
      </c>
      <c r="F560" s="10">
        <f>CHOOSE(CONTROL!$C$42, 22.1432, 22.1432)*CHOOSE(CONTROL!$C$21, $C$9, 100%, $E$9)</f>
        <v>22.1432</v>
      </c>
      <c r="G560" s="10">
        <f>CHOOSE(CONTROL!$C$42, 22.1606, 22.1606)*CHOOSE(CONTROL!$C$21, $C$9, 100%, $E$9)</f>
        <v>22.160599999999999</v>
      </c>
      <c r="H560" s="10">
        <f>CHOOSE(CONTROL!$C$42, 22.3963, 22.3963) * CHOOSE(CONTROL!$C$21, $C$9, 100%, $E$9)</f>
        <v>22.3963</v>
      </c>
      <c r="I560" s="10">
        <f>CHOOSE(CONTROL!$C$42, 22.1428, 22.1428)* CHOOSE(CONTROL!$C$21, $C$9, 100%, $E$9)</f>
        <v>22.142800000000001</v>
      </c>
      <c r="J560" s="10">
        <f>CHOOSE(CONTROL!$C$42, 22.1362, 22.1362)* CHOOSE(CONTROL!$C$21, $C$9, 100%, $E$9)</f>
        <v>22.136199999999999</v>
      </c>
      <c r="K560" s="54">
        <f>CHOOSE(CONTROL!$C$42, 22.1389, 22.1389) * CHOOSE(CONTROL!$C$21, $C$9, 100%, $E$9)</f>
        <v>22.1389</v>
      </c>
      <c r="L560" s="10">
        <f>CHOOSE(CONTROL!$C$42, 22.9833, 22.9833) * CHOOSE(CONTROL!$C$21, $C$9, 100%, $E$9)</f>
        <v>22.9833</v>
      </c>
      <c r="M560" s="10">
        <f>CHOOSE(CONTROL!$C$42, 21.9267, 21.9267) * CHOOSE(CONTROL!$C$21, $C$9, 100%, $E$9)</f>
        <v>21.9267</v>
      </c>
      <c r="N560" s="10">
        <f>CHOOSE(CONTROL!$C$42, 21.9438, 21.9438) * CHOOSE(CONTROL!$C$21, $C$9, 100%, $E$9)</f>
        <v>21.9438</v>
      </c>
      <c r="O560" s="10">
        <f>CHOOSE(CONTROL!$C$42, 22.1841, 22.1841) * CHOOSE(CONTROL!$C$21, $C$9, 100%, $E$9)</f>
        <v>22.184100000000001</v>
      </c>
      <c r="P560" s="10">
        <f>CHOOSE(CONTROL!$C$42, 21.9332, 21.9332) * CHOOSE(CONTROL!$C$21, $C$9, 100%, $E$9)</f>
        <v>21.933199999999999</v>
      </c>
      <c r="Q560" s="10">
        <f>CHOOSE(CONTROL!$C$42, 22.7794, 22.7794) * CHOOSE(CONTROL!$C$21, $C$9, 100%, $E$9)</f>
        <v>22.779399999999999</v>
      </c>
      <c r="R560" s="10">
        <f>CHOOSE(CONTROL!$C$42, 23.4234, 23.4234) * CHOOSE(CONTROL!$C$21, $C$9, 100%, $E$9)</f>
        <v>23.423400000000001</v>
      </c>
      <c r="S560" s="10">
        <f>CHOOSE(CONTROL!$C$42, 21.531, 21.531) * CHOOSE(CONTROL!$C$21, $C$9, 100%, $E$9)</f>
        <v>21.530999999999999</v>
      </c>
      <c r="T560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560" s="58">
        <f>(1000*CHOOSE(CONTROL!$C$42, 695, 695)*CHOOSE(CONTROL!$C$42, 0.5599, 0.5599)*CHOOSE(CONTROL!$C$42, 31, 31))/1000000</f>
        <v>12.063045499999998</v>
      </c>
      <c r="V560" s="58">
        <f>(1000*CHOOSE(CONTROL!$C$42, 500, 500)*CHOOSE(CONTROL!$C$42, 0.275, 0.275)*CHOOSE(CONTROL!$C$42, 31, 31))/1000000</f>
        <v>4.2625000000000002</v>
      </c>
      <c r="W560" s="58">
        <f>(1000*CHOOSE(CONTROL!$C$42, 0.1146, 0.1146)*CHOOSE(CONTROL!$C$42, 121.5, 121.5)*CHOOSE(CONTROL!$C$42, 31, 31))/1000000</f>
        <v>0.43164089999999994</v>
      </c>
      <c r="X560" s="58">
        <f>(31*0.1790888*245000/1000000)+(31*0.2374*100000/1000000)</f>
        <v>2.0961194359999999</v>
      </c>
      <c r="Y560" s="58"/>
      <c r="Z560" s="10"/>
      <c r="AA560" s="57"/>
      <c r="AB560" s="51">
        <f>(B560*194.205+C560*267.466+D560*133.845+E560*53.484+F560*40+G560*185+H560*0+I560*100+J560*300)/(194.205+267.466+133.845+53.484+0+40+185+100+300)</f>
        <v>22.193278242464679</v>
      </c>
      <c r="AC560" s="27">
        <f>(M560*'RAP TEMPLATE-GAS AVAILABILITY'!O559+N560*'RAP TEMPLATE-GAS AVAILABILITY'!P559+O560*'RAP TEMPLATE-GAS AVAILABILITY'!Q559+P560*'RAP TEMPLATE-GAS AVAILABILITY'!R559)/('RAP TEMPLATE-GAS AVAILABILITY'!O559+'RAP TEMPLATE-GAS AVAILABILITY'!P559+'RAP TEMPLATE-GAS AVAILABILITY'!Q559+'RAP TEMPLATE-GAS AVAILABILITY'!R559)</f>
        <v>22.003792086330936</v>
      </c>
    </row>
    <row r="561" spans="1:29" ht="15.75" x14ac:dyDescent="0.25">
      <c r="A561" s="13">
        <v>57983</v>
      </c>
      <c r="B561" s="10">
        <f>CHOOSE(CONTROL!$C$42, 20.7682, 20.7682) * CHOOSE(CONTROL!$C$21, $C$9, 100%, $E$9)</f>
        <v>20.7682</v>
      </c>
      <c r="C561" s="10">
        <f>CHOOSE(CONTROL!$C$42, 20.7761, 20.7761) * CHOOSE(CONTROL!$C$21, $C$9, 100%, $E$9)</f>
        <v>20.7761</v>
      </c>
      <c r="D561" s="10">
        <f>CHOOSE(CONTROL!$C$42, 20.9686, 20.9686) * CHOOSE(CONTROL!$C$21, $C$9, 100%, $E$9)</f>
        <v>20.968599999999999</v>
      </c>
      <c r="E561" s="10">
        <f>CHOOSE(CONTROL!$C$42, 20.9997, 20.9997) * CHOOSE(CONTROL!$C$21, $C$9, 100%, $E$9)</f>
        <v>20.999700000000001</v>
      </c>
      <c r="F561" s="10">
        <f>CHOOSE(CONTROL!$C$42, 20.7351, 20.7351)*CHOOSE(CONTROL!$C$21, $C$9, 100%, $E$9)</f>
        <v>20.735099999999999</v>
      </c>
      <c r="G561" s="10">
        <f>CHOOSE(CONTROL!$C$42, 20.7524, 20.7524)*CHOOSE(CONTROL!$C$21, $C$9, 100%, $E$9)</f>
        <v>20.752400000000002</v>
      </c>
      <c r="H561" s="10">
        <f>CHOOSE(CONTROL!$C$42, 20.9883, 20.9883) * CHOOSE(CONTROL!$C$21, $C$9, 100%, $E$9)</f>
        <v>20.988299999999999</v>
      </c>
      <c r="I561" s="10">
        <f>CHOOSE(CONTROL!$C$42, 20.7348, 20.7348)* CHOOSE(CONTROL!$C$21, $C$9, 100%, $E$9)</f>
        <v>20.7348</v>
      </c>
      <c r="J561" s="10">
        <f>CHOOSE(CONTROL!$C$42, 20.7281, 20.7281)* CHOOSE(CONTROL!$C$21, $C$9, 100%, $E$9)</f>
        <v>20.728100000000001</v>
      </c>
      <c r="K561" s="54">
        <f>CHOOSE(CONTROL!$C$42, 20.7309, 20.7309) * CHOOSE(CONTROL!$C$21, $C$9, 100%, $E$9)</f>
        <v>20.730899999999998</v>
      </c>
      <c r="L561" s="10">
        <f>CHOOSE(CONTROL!$C$42, 21.5753, 21.5753) * CHOOSE(CONTROL!$C$21, $C$9, 100%, $E$9)</f>
        <v>21.575299999999999</v>
      </c>
      <c r="M561" s="10">
        <f>CHOOSE(CONTROL!$C$42, 20.5328, 20.5328) * CHOOSE(CONTROL!$C$21, $C$9, 100%, $E$9)</f>
        <v>20.532800000000002</v>
      </c>
      <c r="N561" s="10">
        <f>CHOOSE(CONTROL!$C$42, 20.5499, 20.5499) * CHOOSE(CONTROL!$C$21, $C$9, 100%, $E$9)</f>
        <v>20.549900000000001</v>
      </c>
      <c r="O561" s="10">
        <f>CHOOSE(CONTROL!$C$42, 20.7904, 20.7904) * CHOOSE(CONTROL!$C$21, $C$9, 100%, $E$9)</f>
        <v>20.790400000000002</v>
      </c>
      <c r="P561" s="10">
        <f>CHOOSE(CONTROL!$C$42, 20.5394, 20.5394) * CHOOSE(CONTROL!$C$21, $C$9, 100%, $E$9)</f>
        <v>20.539400000000001</v>
      </c>
      <c r="Q561" s="10">
        <f>CHOOSE(CONTROL!$C$42, 21.3857, 21.3857) * CHOOSE(CONTROL!$C$21, $C$9, 100%, $E$9)</f>
        <v>21.3857</v>
      </c>
      <c r="R561" s="10">
        <f>CHOOSE(CONTROL!$C$42, 22.0261, 22.0261) * CHOOSE(CONTROL!$C$21, $C$9, 100%, $E$9)</f>
        <v>22.0261</v>
      </c>
      <c r="S561" s="10">
        <f>CHOOSE(CONTROL!$C$42, 20.1638, 20.1638) * CHOOSE(CONTROL!$C$21, $C$9, 100%, $E$9)</f>
        <v>20.163799999999998</v>
      </c>
      <c r="T561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561" s="58">
        <f>(1000*CHOOSE(CONTROL!$C$42, 695, 695)*CHOOSE(CONTROL!$C$42, 0.5599, 0.5599)*CHOOSE(CONTROL!$C$42, 30, 30))/1000000</f>
        <v>11.673914999999997</v>
      </c>
      <c r="V561" s="58">
        <f>(1000*CHOOSE(CONTROL!$C$42, 500, 500)*CHOOSE(CONTROL!$C$42, 0.275, 0.275)*CHOOSE(CONTROL!$C$42, 30, 30))/1000000</f>
        <v>4.125</v>
      </c>
      <c r="W561" s="58">
        <f>(1000*CHOOSE(CONTROL!$C$42, 0.1146, 0.1146)*CHOOSE(CONTROL!$C$42, 121.5, 121.5)*CHOOSE(CONTROL!$C$42, 30, 30))/1000000</f>
        <v>0.417717</v>
      </c>
      <c r="X561" s="58">
        <f>(30*0.1790888*245000/1000000)+(30*0.2374*100000/1000000)</f>
        <v>2.0285026799999999</v>
      </c>
      <c r="Y561" s="58"/>
      <c r="Z561" s="10"/>
      <c r="AA561" s="57"/>
      <c r="AB561" s="51">
        <f>(B561*194.205+C561*267.466+D561*133.845+E561*53.484+F561*40+G561*185+H561*0+I561*100+J561*300)/(194.205+267.466+133.845+53.484+0+40+185+100+300)</f>
        <v>20.785233018367347</v>
      </c>
      <c r="AC561" s="27">
        <f>(M561*'RAP TEMPLATE-GAS AVAILABILITY'!O560+N561*'RAP TEMPLATE-GAS AVAILABILITY'!P560+O561*'RAP TEMPLATE-GAS AVAILABILITY'!Q560+P561*'RAP TEMPLATE-GAS AVAILABILITY'!R560)/('RAP TEMPLATE-GAS AVAILABILITY'!O560+'RAP TEMPLATE-GAS AVAILABILITY'!P560+'RAP TEMPLATE-GAS AVAILABILITY'!Q560+'RAP TEMPLATE-GAS AVAILABILITY'!R560)</f>
        <v>20.60996258992806</v>
      </c>
    </row>
    <row r="562" spans="1:29" ht="15.75" x14ac:dyDescent="0.25">
      <c r="A562" s="13">
        <v>58014</v>
      </c>
      <c r="B562" s="10">
        <f>CHOOSE(CONTROL!$C$42, 20.3449, 20.3449) * CHOOSE(CONTROL!$C$21, $C$9, 100%, $E$9)</f>
        <v>20.344899999999999</v>
      </c>
      <c r="C562" s="10">
        <f>CHOOSE(CONTROL!$C$42, 20.3501, 20.3501) * CHOOSE(CONTROL!$C$21, $C$9, 100%, $E$9)</f>
        <v>20.350100000000001</v>
      </c>
      <c r="D562" s="10">
        <f>CHOOSE(CONTROL!$C$42, 20.5475, 20.5475) * CHOOSE(CONTROL!$C$21, $C$9, 100%, $E$9)</f>
        <v>20.547499999999999</v>
      </c>
      <c r="E562" s="10">
        <f>CHOOSE(CONTROL!$C$42, 20.5763, 20.5763) * CHOOSE(CONTROL!$C$21, $C$9, 100%, $E$9)</f>
        <v>20.5763</v>
      </c>
      <c r="F562" s="10">
        <f>CHOOSE(CONTROL!$C$42, 20.3138, 20.3138)*CHOOSE(CONTROL!$C$21, $C$9, 100%, $E$9)</f>
        <v>20.313800000000001</v>
      </c>
      <c r="G562" s="10">
        <f>CHOOSE(CONTROL!$C$42, 20.3308, 20.3308)*CHOOSE(CONTROL!$C$21, $C$9, 100%, $E$9)</f>
        <v>20.3308</v>
      </c>
      <c r="H562" s="10">
        <f>CHOOSE(CONTROL!$C$42, 20.5668, 20.5668) * CHOOSE(CONTROL!$C$21, $C$9, 100%, $E$9)</f>
        <v>20.566800000000001</v>
      </c>
      <c r="I562" s="10">
        <f>CHOOSE(CONTROL!$C$42, 20.3132, 20.3132)* CHOOSE(CONTROL!$C$21, $C$9, 100%, $E$9)</f>
        <v>20.313199999999998</v>
      </c>
      <c r="J562" s="10">
        <f>CHOOSE(CONTROL!$C$42, 20.3068, 20.3068)* CHOOSE(CONTROL!$C$21, $C$9, 100%, $E$9)</f>
        <v>20.306799999999999</v>
      </c>
      <c r="K562" s="54">
        <f>CHOOSE(CONTROL!$C$42, 20.3093, 20.3093) * CHOOSE(CONTROL!$C$21, $C$9, 100%, $E$9)</f>
        <v>20.3093</v>
      </c>
      <c r="L562" s="10">
        <f>CHOOSE(CONTROL!$C$42, 21.1538, 21.1538) * CHOOSE(CONTROL!$C$21, $C$9, 100%, $E$9)</f>
        <v>21.1538</v>
      </c>
      <c r="M562" s="10">
        <f>CHOOSE(CONTROL!$C$42, 20.1157, 20.1157) * CHOOSE(CONTROL!$C$21, $C$9, 100%, $E$9)</f>
        <v>20.1157</v>
      </c>
      <c r="N562" s="10">
        <f>CHOOSE(CONTROL!$C$42, 20.1325, 20.1325) * CHOOSE(CONTROL!$C$21, $C$9, 100%, $E$9)</f>
        <v>20.1325</v>
      </c>
      <c r="O562" s="10">
        <f>CHOOSE(CONTROL!$C$42, 20.373, 20.373) * CHOOSE(CONTROL!$C$21, $C$9, 100%, $E$9)</f>
        <v>20.373000000000001</v>
      </c>
      <c r="P562" s="10">
        <f>CHOOSE(CONTROL!$C$42, 20.1221, 20.1221) * CHOOSE(CONTROL!$C$21, $C$9, 100%, $E$9)</f>
        <v>20.1221</v>
      </c>
      <c r="Q562" s="10">
        <f>CHOOSE(CONTROL!$C$42, 20.9683, 20.9683) * CHOOSE(CONTROL!$C$21, $C$9, 100%, $E$9)</f>
        <v>20.968299999999999</v>
      </c>
      <c r="R562" s="10">
        <f>CHOOSE(CONTROL!$C$42, 21.6078, 21.6078) * CHOOSE(CONTROL!$C$21, $C$9, 100%, $E$9)</f>
        <v>21.607800000000001</v>
      </c>
      <c r="S562" s="10">
        <f>CHOOSE(CONTROL!$C$42, 19.7544, 19.7544) * CHOOSE(CONTROL!$C$21, $C$9, 100%, $E$9)</f>
        <v>19.7544</v>
      </c>
      <c r="T562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562" s="58">
        <f>(1000*CHOOSE(CONTROL!$C$42, 695, 695)*CHOOSE(CONTROL!$C$42, 0.5599, 0.5599)*CHOOSE(CONTROL!$C$42, 31, 31))/1000000</f>
        <v>12.063045499999998</v>
      </c>
      <c r="V562" s="58">
        <f>(1000*CHOOSE(CONTROL!$C$42, 500, 500)*CHOOSE(CONTROL!$C$42, 0.275, 0.275)*CHOOSE(CONTROL!$C$42, 31, 31))/1000000</f>
        <v>4.2625000000000002</v>
      </c>
      <c r="W562" s="58">
        <f>(1000*CHOOSE(CONTROL!$C$42, 0.1146, 0.1146)*CHOOSE(CONTROL!$C$42, 121.5, 121.5)*CHOOSE(CONTROL!$C$42, 31, 31))/1000000</f>
        <v>0.43164089999999994</v>
      </c>
      <c r="X562" s="58">
        <f>(31*0.1790888*245000/1000000)+(31*0.2374*100000/1000000)</f>
        <v>2.0961194359999999</v>
      </c>
      <c r="Y562" s="58"/>
      <c r="Z562" s="10"/>
      <c r="AA562" s="57"/>
      <c r="AB562" s="51">
        <f>(B562*131.881+C562*277.167+D562*79.08+E562*125.872+F562*40+G562*185+H562*0+I562*100+J562*300)/(131.881+277.167+79.08+125.872+0+40+185+100+300)</f>
        <v>20.367609569975787</v>
      </c>
      <c r="AC562" s="27">
        <f>(M562*'RAP TEMPLATE-GAS AVAILABILITY'!O561+N562*'RAP TEMPLATE-GAS AVAILABILITY'!P561+O562*'RAP TEMPLATE-GAS AVAILABILITY'!Q561+P562*'RAP TEMPLATE-GAS AVAILABILITY'!R561)/('RAP TEMPLATE-GAS AVAILABILITY'!O561+'RAP TEMPLATE-GAS AVAILABILITY'!P561+'RAP TEMPLATE-GAS AVAILABILITY'!Q561+'RAP TEMPLATE-GAS AVAILABILITY'!R561)</f>
        <v>20.192680575539569</v>
      </c>
    </row>
    <row r="563" spans="1:29" ht="15.75" x14ac:dyDescent="0.25">
      <c r="A563" s="13">
        <v>58044</v>
      </c>
      <c r="B563" s="10">
        <f>CHOOSE(CONTROL!$C$42, 20.8804, 20.8804) * CHOOSE(CONTROL!$C$21, $C$9, 100%, $E$9)</f>
        <v>20.880400000000002</v>
      </c>
      <c r="C563" s="10">
        <f>CHOOSE(CONTROL!$C$42, 20.8853, 20.8853) * CHOOSE(CONTROL!$C$21, $C$9, 100%, $E$9)</f>
        <v>20.885300000000001</v>
      </c>
      <c r="D563" s="10">
        <f>CHOOSE(CONTROL!$C$42, 20.9149, 20.9149) * CHOOSE(CONTROL!$C$21, $C$9, 100%, $E$9)</f>
        <v>20.914899999999999</v>
      </c>
      <c r="E563" s="10">
        <f>CHOOSE(CONTROL!$C$42, 20.9487, 20.9487) * CHOOSE(CONTROL!$C$21, $C$9, 100%, $E$9)</f>
        <v>20.948699999999999</v>
      </c>
      <c r="F563" s="10">
        <f>CHOOSE(CONTROL!$C$42, 20.8472, 20.8472)*CHOOSE(CONTROL!$C$21, $C$9, 100%, $E$9)</f>
        <v>20.847200000000001</v>
      </c>
      <c r="G563" s="10">
        <f>CHOOSE(CONTROL!$C$42, 20.8643, 20.8643)*CHOOSE(CONTROL!$C$21, $C$9, 100%, $E$9)</f>
        <v>20.8643</v>
      </c>
      <c r="H563" s="10">
        <f>CHOOSE(CONTROL!$C$42, 20.9379, 20.9379) * CHOOSE(CONTROL!$C$21, $C$9, 100%, $E$9)</f>
        <v>20.937899999999999</v>
      </c>
      <c r="I563" s="10">
        <f>CHOOSE(CONTROL!$C$42, 20.844, 20.844)* CHOOSE(CONTROL!$C$21, $C$9, 100%, $E$9)</f>
        <v>20.844000000000001</v>
      </c>
      <c r="J563" s="10">
        <f>CHOOSE(CONTROL!$C$42, 20.8402, 20.8402)* CHOOSE(CONTROL!$C$21, $C$9, 100%, $E$9)</f>
        <v>20.840199999999999</v>
      </c>
      <c r="K563" s="54">
        <f>CHOOSE(CONTROL!$C$42, 20.8401, 20.8401) * CHOOSE(CONTROL!$C$21, $C$9, 100%, $E$9)</f>
        <v>20.8401</v>
      </c>
      <c r="L563" s="10">
        <f>CHOOSE(CONTROL!$C$42, 21.5249, 21.5249) * CHOOSE(CONTROL!$C$21, $C$9, 100%, $E$9)</f>
        <v>21.524899999999999</v>
      </c>
      <c r="M563" s="10">
        <f>CHOOSE(CONTROL!$C$42, 20.6437, 20.6437) * CHOOSE(CONTROL!$C$21, $C$9, 100%, $E$9)</f>
        <v>20.643699999999999</v>
      </c>
      <c r="N563" s="10">
        <f>CHOOSE(CONTROL!$C$42, 20.6606, 20.6606) * CHOOSE(CONTROL!$C$21, $C$9, 100%, $E$9)</f>
        <v>20.660599999999999</v>
      </c>
      <c r="O563" s="10">
        <f>CHOOSE(CONTROL!$C$42, 20.7404, 20.7404) * CHOOSE(CONTROL!$C$21, $C$9, 100%, $E$9)</f>
        <v>20.740400000000001</v>
      </c>
      <c r="P563" s="10">
        <f>CHOOSE(CONTROL!$C$42, 20.6475, 20.6475) * CHOOSE(CONTROL!$C$21, $C$9, 100%, $E$9)</f>
        <v>20.647500000000001</v>
      </c>
      <c r="Q563" s="10">
        <f>CHOOSE(CONTROL!$C$42, 21.3357, 21.3357) * CHOOSE(CONTROL!$C$21, $C$9, 100%, $E$9)</f>
        <v>21.335699999999999</v>
      </c>
      <c r="R563" s="10">
        <f>CHOOSE(CONTROL!$C$42, 21.9761, 21.9761) * CHOOSE(CONTROL!$C$21, $C$9, 100%, $E$9)</f>
        <v>21.976099999999999</v>
      </c>
      <c r="S563" s="10">
        <f>CHOOSE(CONTROL!$C$42, 20.2748, 20.2748) * CHOOSE(CONTROL!$C$21, $C$9, 100%, $E$9)</f>
        <v>20.274799999999999</v>
      </c>
      <c r="T563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563" s="58">
        <f>(1000*CHOOSE(CONTROL!$C$42, 695, 695)*CHOOSE(CONTROL!$C$42, 0.5599, 0.5599)*CHOOSE(CONTROL!$C$42, 30, 30))/1000000</f>
        <v>11.673914999999997</v>
      </c>
      <c r="V563" s="58">
        <f>(1000*CHOOSE(CONTROL!$C$42, 500, 500)*CHOOSE(CONTROL!$C$42, 0.275, 0.275)*CHOOSE(CONTROL!$C$42, 30, 30))/1000000</f>
        <v>4.125</v>
      </c>
      <c r="W563" s="58">
        <f>(1000*CHOOSE(CONTROL!$C$42, 0.1146, 0.1146)*CHOOSE(CONTROL!$C$42, 121.5, 121.5)*CHOOSE(CONTROL!$C$42, 30, 30))/1000000</f>
        <v>0.417717</v>
      </c>
      <c r="X563" s="58">
        <f>(30*0.1790888*100000/1000000)+(30*0.2374*100000/1000000)</f>
        <v>1.2494664</v>
      </c>
      <c r="Y563" s="58"/>
      <c r="Z563" s="10"/>
      <c r="AA563" s="57"/>
      <c r="AB563" s="51">
        <f>(B563*122.58+C563*297.941+D563*89.177+E563*40.302+F563*40+G563*160+H563*0+I563*100+J563*300)/(122.58+297.941+89.177+40.302+0+40+160+100+300)</f>
        <v>20.869691429565218</v>
      </c>
      <c r="AC563" s="27">
        <f>(M563*'RAP TEMPLATE-GAS AVAILABILITY'!O562+N563*'RAP TEMPLATE-GAS AVAILABILITY'!P562+O563*'RAP TEMPLATE-GAS AVAILABILITY'!Q562+P563*'RAP TEMPLATE-GAS AVAILABILITY'!R562)/('RAP TEMPLATE-GAS AVAILABILITY'!O562+'RAP TEMPLATE-GAS AVAILABILITY'!P562+'RAP TEMPLATE-GAS AVAILABILITY'!Q562+'RAP TEMPLATE-GAS AVAILABILITY'!R562)</f>
        <v>20.689047482014388</v>
      </c>
    </row>
    <row r="564" spans="1:29" ht="15.75" x14ac:dyDescent="0.25">
      <c r="A564" s="13">
        <v>58075</v>
      </c>
      <c r="B564" s="10">
        <f>CHOOSE(CONTROL!$C$42, 22.3038, 22.3038) * CHOOSE(CONTROL!$C$21, $C$9, 100%, $E$9)</f>
        <v>22.303799999999999</v>
      </c>
      <c r="C564" s="10">
        <f>CHOOSE(CONTROL!$C$42, 22.3087, 22.3087) * CHOOSE(CONTROL!$C$21, $C$9, 100%, $E$9)</f>
        <v>22.308700000000002</v>
      </c>
      <c r="D564" s="10">
        <f>CHOOSE(CONTROL!$C$42, 22.3383, 22.3383) * CHOOSE(CONTROL!$C$21, $C$9, 100%, $E$9)</f>
        <v>22.3383</v>
      </c>
      <c r="E564" s="10">
        <f>CHOOSE(CONTROL!$C$42, 22.3721, 22.3721) * CHOOSE(CONTROL!$C$21, $C$9, 100%, $E$9)</f>
        <v>22.3721</v>
      </c>
      <c r="F564" s="10">
        <f>CHOOSE(CONTROL!$C$42, 22.272, 22.272)*CHOOSE(CONTROL!$C$21, $C$9, 100%, $E$9)</f>
        <v>22.271999999999998</v>
      </c>
      <c r="G564" s="10">
        <f>CHOOSE(CONTROL!$C$42, 22.2895, 22.2895)*CHOOSE(CONTROL!$C$21, $C$9, 100%, $E$9)</f>
        <v>22.2895</v>
      </c>
      <c r="H564" s="10">
        <f>CHOOSE(CONTROL!$C$42, 22.3613, 22.3613) * CHOOSE(CONTROL!$C$21, $C$9, 100%, $E$9)</f>
        <v>22.3613</v>
      </c>
      <c r="I564" s="10">
        <f>CHOOSE(CONTROL!$C$42, 22.2674, 22.2674)* CHOOSE(CONTROL!$C$21, $C$9, 100%, $E$9)</f>
        <v>22.267399999999999</v>
      </c>
      <c r="J564" s="10">
        <f>CHOOSE(CONTROL!$C$42, 22.265, 22.265)* CHOOSE(CONTROL!$C$21, $C$9, 100%, $E$9)</f>
        <v>22.265000000000001</v>
      </c>
      <c r="K564" s="54">
        <f>CHOOSE(CONTROL!$C$42, 22.2635, 22.2635) * CHOOSE(CONTROL!$C$21, $C$9, 100%, $E$9)</f>
        <v>22.263500000000001</v>
      </c>
      <c r="L564" s="10">
        <f>CHOOSE(CONTROL!$C$42, 22.9483, 22.9483) * CHOOSE(CONTROL!$C$21, $C$9, 100%, $E$9)</f>
        <v>22.9483</v>
      </c>
      <c r="M564" s="10">
        <f>CHOOSE(CONTROL!$C$42, 22.0541, 22.0541) * CHOOSE(CONTROL!$C$21, $C$9, 100%, $E$9)</f>
        <v>22.054099999999998</v>
      </c>
      <c r="N564" s="10">
        <f>CHOOSE(CONTROL!$C$42, 22.0714, 22.0714) * CHOOSE(CONTROL!$C$21, $C$9, 100%, $E$9)</f>
        <v>22.071400000000001</v>
      </c>
      <c r="O564" s="10">
        <f>CHOOSE(CONTROL!$C$42, 22.1495, 22.1495) * CHOOSE(CONTROL!$C$21, $C$9, 100%, $E$9)</f>
        <v>22.1495</v>
      </c>
      <c r="P564" s="10">
        <f>CHOOSE(CONTROL!$C$42, 22.0565, 22.0565) * CHOOSE(CONTROL!$C$21, $C$9, 100%, $E$9)</f>
        <v>22.0565</v>
      </c>
      <c r="Q564" s="10">
        <f>CHOOSE(CONTROL!$C$42, 22.7448, 22.7448) * CHOOSE(CONTROL!$C$21, $C$9, 100%, $E$9)</f>
        <v>22.744800000000001</v>
      </c>
      <c r="R564" s="10">
        <f>CHOOSE(CONTROL!$C$42, 23.3886, 23.3886) * CHOOSE(CONTROL!$C$21, $C$9, 100%, $E$9)</f>
        <v>23.3886</v>
      </c>
      <c r="S564" s="10">
        <f>CHOOSE(CONTROL!$C$42, 21.6571, 21.6571) * CHOOSE(CONTROL!$C$21, $C$9, 100%, $E$9)</f>
        <v>21.6571</v>
      </c>
      <c r="T564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564" s="58">
        <f>(1000*CHOOSE(CONTROL!$C$42, 695, 695)*CHOOSE(CONTROL!$C$42, 0.5599, 0.5599)*CHOOSE(CONTROL!$C$42, 31, 31))/1000000</f>
        <v>12.063045499999998</v>
      </c>
      <c r="V564" s="58">
        <f>(1000*CHOOSE(CONTROL!$C$42, 500, 500)*CHOOSE(CONTROL!$C$42, 0.275, 0.275)*CHOOSE(CONTROL!$C$42, 31, 31))/1000000</f>
        <v>4.2625000000000002</v>
      </c>
      <c r="W564" s="58">
        <f>(1000*CHOOSE(CONTROL!$C$42, 0.1146, 0.1146)*CHOOSE(CONTROL!$C$42, 121.5, 121.5)*CHOOSE(CONTROL!$C$42, 31, 31))/1000000</f>
        <v>0.43164089999999994</v>
      </c>
      <c r="X564" s="58">
        <f>(31*0.1790888*100000/1000000)+(31*0.2374*100000/1000000)</f>
        <v>1.2911152800000001</v>
      </c>
      <c r="Y564" s="58"/>
      <c r="Z564" s="10"/>
      <c r="AA564" s="57"/>
      <c r="AB564" s="51">
        <f>(B564*122.58+C564*297.941+D564*89.177+E564*40.302+F564*40+G564*160+H564*0+I564*100+J564*300)/(122.58+297.941+89.177+40.302+0+40+160+100+300)</f>
        <v>22.293755777391304</v>
      </c>
      <c r="AC564" s="27">
        <f>(M564*'RAP TEMPLATE-GAS AVAILABILITY'!O563+N564*'RAP TEMPLATE-GAS AVAILABILITY'!P563+O564*'RAP TEMPLATE-GAS AVAILABILITY'!Q563+P564*'RAP TEMPLATE-GAS AVAILABILITY'!R563)/('RAP TEMPLATE-GAS AVAILABILITY'!O563+'RAP TEMPLATE-GAS AVAILABILITY'!P563+'RAP TEMPLATE-GAS AVAILABILITY'!Q563+'RAP TEMPLATE-GAS AVAILABILITY'!R563)</f>
        <v>22.098679856115105</v>
      </c>
    </row>
    <row r="565" spans="1:29" ht="15.75" x14ac:dyDescent="0.25">
      <c r="A565" s="13">
        <v>58106</v>
      </c>
      <c r="B565" s="10">
        <f>CHOOSE(CONTROL!$C$42, 24.131, 24.131) * CHOOSE(CONTROL!$C$21, $C$9, 100%, $E$9)</f>
        <v>24.131</v>
      </c>
      <c r="C565" s="10">
        <f>CHOOSE(CONTROL!$C$42, 24.136, 24.136) * CHOOSE(CONTROL!$C$21, $C$9, 100%, $E$9)</f>
        <v>24.135999999999999</v>
      </c>
      <c r="D565" s="10">
        <f>CHOOSE(CONTROL!$C$42, 24.1862, 24.1862) * CHOOSE(CONTROL!$C$21, $C$9, 100%, $E$9)</f>
        <v>24.186199999999999</v>
      </c>
      <c r="E565" s="10">
        <f>CHOOSE(CONTROL!$C$42, 24.22, 24.22) * CHOOSE(CONTROL!$C$21, $C$9, 100%, $E$9)</f>
        <v>24.22</v>
      </c>
      <c r="F565" s="10">
        <f>CHOOSE(CONTROL!$C$42, 24.0964, 24.0964)*CHOOSE(CONTROL!$C$21, $C$9, 100%, $E$9)</f>
        <v>24.096399999999999</v>
      </c>
      <c r="G565" s="10">
        <f>CHOOSE(CONTROL!$C$42, 24.114, 24.114)*CHOOSE(CONTROL!$C$21, $C$9, 100%, $E$9)</f>
        <v>24.114000000000001</v>
      </c>
      <c r="H565" s="10">
        <f>CHOOSE(CONTROL!$C$42, 24.2092, 24.2092) * CHOOSE(CONTROL!$C$21, $C$9, 100%, $E$9)</f>
        <v>24.209199999999999</v>
      </c>
      <c r="I565" s="10">
        <f>CHOOSE(CONTROL!$C$42, 24.1049, 24.1049)* CHOOSE(CONTROL!$C$21, $C$9, 100%, $E$9)</f>
        <v>24.104900000000001</v>
      </c>
      <c r="J565" s="10">
        <f>CHOOSE(CONTROL!$C$42, 24.0894, 24.0894)* CHOOSE(CONTROL!$C$21, $C$9, 100%, $E$9)</f>
        <v>24.089400000000001</v>
      </c>
      <c r="K565" s="54">
        <f>CHOOSE(CONTROL!$C$42, 24.101, 24.101) * CHOOSE(CONTROL!$C$21, $C$9, 100%, $E$9)</f>
        <v>24.100999999999999</v>
      </c>
      <c r="L565" s="10">
        <f>CHOOSE(CONTROL!$C$42, 24.7962, 24.7962) * CHOOSE(CONTROL!$C$21, $C$9, 100%, $E$9)</f>
        <v>24.796199999999999</v>
      </c>
      <c r="M565" s="10">
        <f>CHOOSE(CONTROL!$C$42, 23.8601, 23.8601) * CHOOSE(CONTROL!$C$21, $C$9, 100%, $E$9)</f>
        <v>23.860099999999999</v>
      </c>
      <c r="N565" s="10">
        <f>CHOOSE(CONTROL!$C$42, 23.8775, 23.8775) * CHOOSE(CONTROL!$C$21, $C$9, 100%, $E$9)</f>
        <v>23.877500000000001</v>
      </c>
      <c r="O565" s="10">
        <f>CHOOSE(CONTROL!$C$42, 23.9787, 23.9787) * CHOOSE(CONTROL!$C$21, $C$9, 100%, $E$9)</f>
        <v>23.9787</v>
      </c>
      <c r="P565" s="10">
        <f>CHOOSE(CONTROL!$C$42, 23.8755, 23.8755) * CHOOSE(CONTROL!$C$21, $C$9, 100%, $E$9)</f>
        <v>23.875499999999999</v>
      </c>
      <c r="Q565" s="10">
        <f>CHOOSE(CONTROL!$C$42, 24.574, 24.574) * CHOOSE(CONTROL!$C$21, $C$9, 100%, $E$9)</f>
        <v>24.574000000000002</v>
      </c>
      <c r="R565" s="10">
        <f>CHOOSE(CONTROL!$C$42, 25.2224, 25.2224) * CHOOSE(CONTROL!$C$21, $C$9, 100%, $E$9)</f>
        <v>25.2224</v>
      </c>
      <c r="S565" s="10">
        <f>CHOOSE(CONTROL!$C$42, 23.4315, 23.4315) * CHOOSE(CONTROL!$C$21, $C$9, 100%, $E$9)</f>
        <v>23.4315</v>
      </c>
      <c r="T565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565" s="58">
        <f>(1000*CHOOSE(CONTROL!$C$42, 695, 695)*CHOOSE(CONTROL!$C$42, 0.5599, 0.5599)*CHOOSE(CONTROL!$C$42, 31, 31))/1000000</f>
        <v>12.063045499999998</v>
      </c>
      <c r="V565" s="58">
        <f>(1000*CHOOSE(CONTROL!$C$42, 500, 500)*CHOOSE(CONTROL!$C$42, 0.275, 0.275)*CHOOSE(CONTROL!$C$42, 31, 31))/1000000</f>
        <v>4.2625000000000002</v>
      </c>
      <c r="W565" s="58">
        <f>(1000*CHOOSE(CONTROL!$C$42, 0.1146, 0.1146)*CHOOSE(CONTROL!$C$42, 121.5, 121.5)*CHOOSE(CONTROL!$C$42, 31, 31))/1000000</f>
        <v>0.43164089999999994</v>
      </c>
      <c r="X565" s="58">
        <f>(31*0.1790888*100000/1000000)+(31*0.2374*100000/1000000)</f>
        <v>1.2911152800000001</v>
      </c>
      <c r="Y565" s="58"/>
      <c r="Z565" s="10"/>
      <c r="AA565" s="57"/>
      <c r="AB565" s="51">
        <f>(B565*122.58+C565*297.941+D565*89.177+E565*40.302+F565*40+G565*160+H565*0+I565*100+J565*300)/(122.58+297.941+89.177+40.302+0+40+160+100+300)</f>
        <v>24.123004481217393</v>
      </c>
      <c r="AC565" s="27">
        <f>(M565*'RAP TEMPLATE-GAS AVAILABILITY'!O564+N565*'RAP TEMPLATE-GAS AVAILABILITY'!P564+O565*'RAP TEMPLATE-GAS AVAILABILITY'!Q564+P565*'RAP TEMPLATE-GAS AVAILABILITY'!R564)/('RAP TEMPLATE-GAS AVAILABILITY'!O564+'RAP TEMPLATE-GAS AVAILABILITY'!P564+'RAP TEMPLATE-GAS AVAILABILITY'!Q564+'RAP TEMPLATE-GAS AVAILABILITY'!R564)</f>
        <v>23.917071223021583</v>
      </c>
    </row>
    <row r="566" spans="1:29" ht="15.75" x14ac:dyDescent="0.25">
      <c r="A566" s="13">
        <v>58134</v>
      </c>
      <c r="B566" s="10">
        <f>CHOOSE(CONTROL!$C$42, 24.5605, 24.5605) * CHOOSE(CONTROL!$C$21, $C$9, 100%, $E$9)</f>
        <v>24.560500000000001</v>
      </c>
      <c r="C566" s="10">
        <f>CHOOSE(CONTROL!$C$42, 24.5655, 24.5655) * CHOOSE(CONTROL!$C$21, $C$9, 100%, $E$9)</f>
        <v>24.5655</v>
      </c>
      <c r="D566" s="10">
        <f>CHOOSE(CONTROL!$C$42, 24.626, 24.626) * CHOOSE(CONTROL!$C$21, $C$9, 100%, $E$9)</f>
        <v>24.626000000000001</v>
      </c>
      <c r="E566" s="10">
        <f>CHOOSE(CONTROL!$C$42, 24.6598, 24.6598) * CHOOSE(CONTROL!$C$21, $C$9, 100%, $E$9)</f>
        <v>24.659800000000001</v>
      </c>
      <c r="F566" s="10">
        <f>CHOOSE(CONTROL!$C$42, 24.5538, 24.5538)*CHOOSE(CONTROL!$C$21, $C$9, 100%, $E$9)</f>
        <v>24.553799999999999</v>
      </c>
      <c r="G566" s="10">
        <f>CHOOSE(CONTROL!$C$42, 24.5711, 24.5711)*CHOOSE(CONTROL!$C$21, $C$9, 100%, $E$9)</f>
        <v>24.571100000000001</v>
      </c>
      <c r="H566" s="10">
        <f>CHOOSE(CONTROL!$C$42, 24.649, 24.649) * CHOOSE(CONTROL!$C$21, $C$9, 100%, $E$9)</f>
        <v>24.649000000000001</v>
      </c>
      <c r="I566" s="10">
        <f>CHOOSE(CONTROL!$C$42, 24.5473, 24.5473)* CHOOSE(CONTROL!$C$21, $C$9, 100%, $E$9)</f>
        <v>24.5473</v>
      </c>
      <c r="J566" s="10">
        <f>CHOOSE(CONTROL!$C$42, 24.5468, 24.5468)* CHOOSE(CONTROL!$C$21, $C$9, 100%, $E$9)</f>
        <v>24.546800000000001</v>
      </c>
      <c r="K566" s="54">
        <f>CHOOSE(CONTROL!$C$42, 24.5434, 24.5434) * CHOOSE(CONTROL!$C$21, $C$9, 100%, $E$9)</f>
        <v>24.543399999999998</v>
      </c>
      <c r="L566" s="10">
        <f>CHOOSE(CONTROL!$C$42, 25.236, 25.236) * CHOOSE(CONTROL!$C$21, $C$9, 100%, $E$9)</f>
        <v>25.236000000000001</v>
      </c>
      <c r="M566" s="10">
        <f>CHOOSE(CONTROL!$C$42, 24.3129, 24.3129) * CHOOSE(CONTROL!$C$21, $C$9, 100%, $E$9)</f>
        <v>24.312899999999999</v>
      </c>
      <c r="N566" s="10">
        <f>CHOOSE(CONTROL!$C$42, 24.33, 24.33) * CHOOSE(CONTROL!$C$21, $C$9, 100%, $E$9)</f>
        <v>24.33</v>
      </c>
      <c r="O566" s="10">
        <f>CHOOSE(CONTROL!$C$42, 24.4141, 24.4141) * CHOOSE(CONTROL!$C$21, $C$9, 100%, $E$9)</f>
        <v>24.414100000000001</v>
      </c>
      <c r="P566" s="10">
        <f>CHOOSE(CONTROL!$C$42, 24.3135, 24.3135) * CHOOSE(CONTROL!$C$21, $C$9, 100%, $E$9)</f>
        <v>24.313500000000001</v>
      </c>
      <c r="Q566" s="10">
        <f>CHOOSE(CONTROL!$C$42, 25.0094, 25.0094) * CHOOSE(CONTROL!$C$21, $C$9, 100%, $E$9)</f>
        <v>25.009399999999999</v>
      </c>
      <c r="R566" s="10">
        <f>CHOOSE(CONTROL!$C$42, 25.6589, 25.6589) * CHOOSE(CONTROL!$C$21, $C$9, 100%, $E$9)</f>
        <v>25.658899999999999</v>
      </c>
      <c r="S566" s="10">
        <f>CHOOSE(CONTROL!$C$42, 23.8486, 23.8486) * CHOOSE(CONTROL!$C$21, $C$9, 100%, $E$9)</f>
        <v>23.848600000000001</v>
      </c>
      <c r="T566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566" s="58">
        <f>(1000*CHOOSE(CONTROL!$C$42, 695, 695)*CHOOSE(CONTROL!$C$42, 0.5599, 0.5599)*CHOOSE(CONTROL!$C$42, 28, 28))/1000000</f>
        <v>10.895653999999999</v>
      </c>
      <c r="V566" s="58">
        <f>(1000*CHOOSE(CONTROL!$C$42, 500, 500)*CHOOSE(CONTROL!$C$42, 0.275, 0.275)*CHOOSE(CONTROL!$C$42, 28, 28))/1000000</f>
        <v>3.85</v>
      </c>
      <c r="W566" s="58">
        <f>(1000*CHOOSE(CONTROL!$C$42, 0.1146, 0.1146)*CHOOSE(CONTROL!$C$42, 121.5, 121.5)*CHOOSE(CONTROL!$C$42, 28, 28))/1000000</f>
        <v>0.38986920000000003</v>
      </c>
      <c r="X566" s="58">
        <f>(28*0.1790888*100000/1000000)+(28*0.2374*100000/1000000)</f>
        <v>1.16616864</v>
      </c>
      <c r="Y566" s="58"/>
      <c r="Z566" s="10"/>
      <c r="AA566" s="57"/>
      <c r="AB566" s="51">
        <f>(B566*122.58+C566*297.941+D566*89.177+E566*40.302+F566*40+G566*160+H566*0+I566*100+J566*300)/(122.58+297.941+89.177+40.302+0+40+160+100+300)</f>
        <v>24.566874597478261</v>
      </c>
      <c r="AC566" s="27">
        <f>(M566*'RAP TEMPLATE-GAS AVAILABILITY'!O565+N566*'RAP TEMPLATE-GAS AVAILABILITY'!P565+O566*'RAP TEMPLATE-GAS AVAILABILITY'!Q565+P566*'RAP TEMPLATE-GAS AVAILABILITY'!R565)/('RAP TEMPLATE-GAS AVAILABILITY'!O565+'RAP TEMPLATE-GAS AVAILABILITY'!P565+'RAP TEMPLATE-GAS AVAILABILITY'!Q565+'RAP TEMPLATE-GAS AVAILABILITY'!R565)</f>
        <v>24.359838129496399</v>
      </c>
    </row>
    <row r="567" spans="1:29" ht="15.75" x14ac:dyDescent="0.25">
      <c r="A567" s="13">
        <v>58165</v>
      </c>
      <c r="B567" s="10">
        <f>CHOOSE(CONTROL!$C$42, 23.8633, 23.8633) * CHOOSE(CONTROL!$C$21, $C$9, 100%, $E$9)</f>
        <v>23.863299999999999</v>
      </c>
      <c r="C567" s="10">
        <f>CHOOSE(CONTROL!$C$42, 23.8683, 23.8683) * CHOOSE(CONTROL!$C$21, $C$9, 100%, $E$9)</f>
        <v>23.868300000000001</v>
      </c>
      <c r="D567" s="10">
        <f>CHOOSE(CONTROL!$C$42, 23.9288, 23.9288) * CHOOSE(CONTROL!$C$21, $C$9, 100%, $E$9)</f>
        <v>23.928799999999999</v>
      </c>
      <c r="E567" s="10">
        <f>CHOOSE(CONTROL!$C$42, 23.9626, 23.9626) * CHOOSE(CONTROL!$C$21, $C$9, 100%, $E$9)</f>
        <v>23.962599999999998</v>
      </c>
      <c r="F567" s="10">
        <f>CHOOSE(CONTROL!$C$42, 23.8511, 23.8511)*CHOOSE(CONTROL!$C$21, $C$9, 100%, $E$9)</f>
        <v>23.851099999999999</v>
      </c>
      <c r="G567" s="10">
        <f>CHOOSE(CONTROL!$C$42, 23.8683, 23.8683)*CHOOSE(CONTROL!$C$21, $C$9, 100%, $E$9)</f>
        <v>23.868300000000001</v>
      </c>
      <c r="H567" s="10">
        <f>CHOOSE(CONTROL!$C$42, 23.9518, 23.9518) * CHOOSE(CONTROL!$C$21, $C$9, 100%, $E$9)</f>
        <v>23.951799999999999</v>
      </c>
      <c r="I567" s="10">
        <f>CHOOSE(CONTROL!$C$42, 23.8372, 23.8372)* CHOOSE(CONTROL!$C$21, $C$9, 100%, $E$9)</f>
        <v>23.837199999999999</v>
      </c>
      <c r="J567" s="10">
        <f>CHOOSE(CONTROL!$C$42, 23.8441, 23.8441)* CHOOSE(CONTROL!$C$21, $C$9, 100%, $E$9)</f>
        <v>23.844100000000001</v>
      </c>
      <c r="K567" s="54">
        <f>CHOOSE(CONTROL!$C$42, 23.8333, 23.8333) * CHOOSE(CONTROL!$C$21, $C$9, 100%, $E$9)</f>
        <v>23.833300000000001</v>
      </c>
      <c r="L567" s="10">
        <f>CHOOSE(CONTROL!$C$42, 24.5388, 24.5388) * CHOOSE(CONTROL!$C$21, $C$9, 100%, $E$9)</f>
        <v>24.538799999999998</v>
      </c>
      <c r="M567" s="10">
        <f>CHOOSE(CONTROL!$C$42, 23.6173, 23.6173) * CHOOSE(CONTROL!$C$21, $C$9, 100%, $E$9)</f>
        <v>23.6173</v>
      </c>
      <c r="N567" s="10">
        <f>CHOOSE(CONTROL!$C$42, 23.6343, 23.6343) * CHOOSE(CONTROL!$C$21, $C$9, 100%, $E$9)</f>
        <v>23.6343</v>
      </c>
      <c r="O567" s="10">
        <f>CHOOSE(CONTROL!$C$42, 23.7239, 23.7239) * CHOOSE(CONTROL!$C$21, $C$9, 100%, $E$9)</f>
        <v>23.7239</v>
      </c>
      <c r="P567" s="10">
        <f>CHOOSE(CONTROL!$C$42, 23.6105, 23.6105) * CHOOSE(CONTROL!$C$21, $C$9, 100%, $E$9)</f>
        <v>23.610499999999998</v>
      </c>
      <c r="Q567" s="10">
        <f>CHOOSE(CONTROL!$C$42, 24.3192, 24.3192) * CHOOSE(CONTROL!$C$21, $C$9, 100%, $E$9)</f>
        <v>24.319199999999999</v>
      </c>
      <c r="R567" s="10">
        <f>CHOOSE(CONTROL!$C$42, 24.967, 24.967) * CHOOSE(CONTROL!$C$21, $C$9, 100%, $E$9)</f>
        <v>24.966999999999999</v>
      </c>
      <c r="S567" s="10">
        <f>CHOOSE(CONTROL!$C$42, 23.1716, 23.1716) * CHOOSE(CONTROL!$C$21, $C$9, 100%, $E$9)</f>
        <v>23.171600000000002</v>
      </c>
      <c r="T567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567" s="58">
        <f>(1000*CHOOSE(CONTROL!$C$42, 695, 695)*CHOOSE(CONTROL!$C$42, 0.5599, 0.5599)*CHOOSE(CONTROL!$C$42, 31, 31))/1000000</f>
        <v>12.063045499999998</v>
      </c>
      <c r="V567" s="58">
        <f>(1000*CHOOSE(CONTROL!$C$42, 500, 500)*CHOOSE(CONTROL!$C$42, 0.275, 0.275)*CHOOSE(CONTROL!$C$42, 31, 31))/1000000</f>
        <v>4.2625000000000002</v>
      </c>
      <c r="W567" s="58">
        <f>(1000*CHOOSE(CONTROL!$C$42, 0.1146, 0.1146)*CHOOSE(CONTROL!$C$42, 121.5, 121.5)*CHOOSE(CONTROL!$C$42, 31, 31))/1000000</f>
        <v>0.43164089999999994</v>
      </c>
      <c r="X567" s="58">
        <f>(31*0.1790888*100000/1000000)+(31*0.2374*100000/1000000)</f>
        <v>1.2911152800000001</v>
      </c>
      <c r="Y567" s="58"/>
      <c r="Z567" s="10"/>
      <c r="AA567" s="57"/>
      <c r="AB567" s="51">
        <f>(B567*122.58+C567*297.941+D567*89.177+E567*40.302+F567*40+G567*160+H567*0+I567*100+J567*300)/(122.58+297.941+89.177+40.302+0+40+160+100+300)</f>
        <v>23.866147640956523</v>
      </c>
      <c r="AC567" s="27">
        <f>(M567*'RAP TEMPLATE-GAS AVAILABILITY'!O566+N567*'RAP TEMPLATE-GAS AVAILABILITY'!P566+O567*'RAP TEMPLATE-GAS AVAILABILITY'!Q566+P567*'RAP TEMPLATE-GAS AVAILABILITY'!R566)/('RAP TEMPLATE-GAS AVAILABILITY'!O566+'RAP TEMPLATE-GAS AVAILABILITY'!P566+'RAP TEMPLATE-GAS AVAILABILITY'!Q566+'RAP TEMPLATE-GAS AVAILABILITY'!R566)</f>
        <v>23.66561510791367</v>
      </c>
    </row>
    <row r="568" spans="1:29" ht="15.75" x14ac:dyDescent="0.25">
      <c r="A568" s="13">
        <v>58195</v>
      </c>
      <c r="B568" s="10">
        <f>CHOOSE(CONTROL!$C$42, 23.7931, 23.7931) * CHOOSE(CONTROL!$C$21, $C$9, 100%, $E$9)</f>
        <v>23.793099999999999</v>
      </c>
      <c r="C568" s="10">
        <f>CHOOSE(CONTROL!$C$42, 23.7974, 23.7974) * CHOOSE(CONTROL!$C$21, $C$9, 100%, $E$9)</f>
        <v>23.7974</v>
      </c>
      <c r="D568" s="10">
        <f>CHOOSE(CONTROL!$C$42, 23.993, 23.993) * CHOOSE(CONTROL!$C$21, $C$9, 100%, $E$9)</f>
        <v>23.992999999999999</v>
      </c>
      <c r="E568" s="10">
        <f>CHOOSE(CONTROL!$C$42, 24.0248, 24.0248) * CHOOSE(CONTROL!$C$21, $C$9, 100%, $E$9)</f>
        <v>24.024799999999999</v>
      </c>
      <c r="F568" s="10">
        <f>CHOOSE(CONTROL!$C$42, 23.7609, 23.7609)*CHOOSE(CONTROL!$C$21, $C$9, 100%, $E$9)</f>
        <v>23.760899999999999</v>
      </c>
      <c r="G568" s="10">
        <f>CHOOSE(CONTROL!$C$42, 23.7777, 23.7777)*CHOOSE(CONTROL!$C$21, $C$9, 100%, $E$9)</f>
        <v>23.777699999999999</v>
      </c>
      <c r="H568" s="10">
        <f>CHOOSE(CONTROL!$C$42, 24.0146, 24.0146) * CHOOSE(CONTROL!$C$21, $C$9, 100%, $E$9)</f>
        <v>24.014600000000002</v>
      </c>
      <c r="I568" s="10">
        <f>CHOOSE(CONTROL!$C$42, 23.761, 23.761)* CHOOSE(CONTROL!$C$21, $C$9, 100%, $E$9)</f>
        <v>23.760999999999999</v>
      </c>
      <c r="J568" s="10">
        <f>CHOOSE(CONTROL!$C$42, 23.7539, 23.7539)* CHOOSE(CONTROL!$C$21, $C$9, 100%, $E$9)</f>
        <v>23.753900000000002</v>
      </c>
      <c r="K568" s="54">
        <f>CHOOSE(CONTROL!$C$42, 23.7571, 23.7571) * CHOOSE(CONTROL!$C$21, $C$9, 100%, $E$9)</f>
        <v>23.757100000000001</v>
      </c>
      <c r="L568" s="10">
        <f>CHOOSE(CONTROL!$C$42, 24.6016, 24.6016) * CHOOSE(CONTROL!$C$21, $C$9, 100%, $E$9)</f>
        <v>24.601600000000001</v>
      </c>
      <c r="M568" s="10">
        <f>CHOOSE(CONTROL!$C$42, 23.528, 23.528) * CHOOSE(CONTROL!$C$21, $C$9, 100%, $E$9)</f>
        <v>23.527999999999999</v>
      </c>
      <c r="N568" s="10">
        <f>CHOOSE(CONTROL!$C$42, 23.5446, 23.5446) * CHOOSE(CONTROL!$C$21, $C$9, 100%, $E$9)</f>
        <v>23.544599999999999</v>
      </c>
      <c r="O568" s="10">
        <f>CHOOSE(CONTROL!$C$42, 23.7861, 23.7861) * CHOOSE(CONTROL!$C$21, $C$9, 100%, $E$9)</f>
        <v>23.786100000000001</v>
      </c>
      <c r="P568" s="10">
        <f>CHOOSE(CONTROL!$C$42, 23.5351, 23.5351) * CHOOSE(CONTROL!$C$21, $C$9, 100%, $E$9)</f>
        <v>23.5351</v>
      </c>
      <c r="Q568" s="10">
        <f>CHOOSE(CONTROL!$C$42, 24.3814, 24.3814) * CHOOSE(CONTROL!$C$21, $C$9, 100%, $E$9)</f>
        <v>24.381399999999999</v>
      </c>
      <c r="R568" s="10">
        <f>CHOOSE(CONTROL!$C$42, 25.0293, 25.0293) * CHOOSE(CONTROL!$C$21, $C$9, 100%, $E$9)</f>
        <v>25.029299999999999</v>
      </c>
      <c r="S568" s="10">
        <f>CHOOSE(CONTROL!$C$42, 23.1026, 23.1026) * CHOOSE(CONTROL!$C$21, $C$9, 100%, $E$9)</f>
        <v>23.102599999999999</v>
      </c>
      <c r="T568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568" s="58">
        <f>(1000*CHOOSE(CONTROL!$C$42, 695, 695)*CHOOSE(CONTROL!$C$42, 0.5599, 0.5599)*CHOOSE(CONTROL!$C$42, 30, 30))/1000000</f>
        <v>11.673914999999997</v>
      </c>
      <c r="V568" s="58">
        <f>(1000*CHOOSE(CONTROL!$C$42, 500, 500)*CHOOSE(CONTROL!$C$42, 0.275, 0.275)*CHOOSE(CONTROL!$C$42, 30, 30))/1000000</f>
        <v>4.125</v>
      </c>
      <c r="W568" s="58">
        <f>(1000*CHOOSE(CONTROL!$C$42, 0.1146, 0.1146)*CHOOSE(CONTROL!$C$42, 121.5, 121.5)*CHOOSE(CONTROL!$C$42, 30, 30))/1000000</f>
        <v>0.417717</v>
      </c>
      <c r="X568" s="58">
        <f>(30*0.1790888*245000/1000000)+(30*0.2374*100000/1000000)</f>
        <v>2.0285026799999999</v>
      </c>
      <c r="Y568" s="58"/>
      <c r="Z568" s="10"/>
      <c r="AA568" s="57"/>
      <c r="AB568" s="51">
        <f>(B568*141.293+C568*267.993+D568*115.016+E568*89.698+F568*40+G568*185+H568*0+I568*100+J568*300)/(141.293+267.993+115.016+89.698+0+40+185+100+300)</f>
        <v>23.813939463196121</v>
      </c>
      <c r="AC568" s="27">
        <f>(M568*'RAP TEMPLATE-GAS AVAILABILITY'!O567+N568*'RAP TEMPLATE-GAS AVAILABILITY'!P567+O568*'RAP TEMPLATE-GAS AVAILABILITY'!Q567+P568*'RAP TEMPLATE-GAS AVAILABILITY'!R567)/('RAP TEMPLATE-GAS AVAILABILITY'!O567+'RAP TEMPLATE-GAS AVAILABILITY'!P567+'RAP TEMPLATE-GAS AVAILABILITY'!Q567+'RAP TEMPLATE-GAS AVAILABILITY'!R567)</f>
        <v>23.605259712230218</v>
      </c>
    </row>
    <row r="569" spans="1:29" ht="15.75" x14ac:dyDescent="0.25">
      <c r="A569" s="13">
        <v>58226</v>
      </c>
      <c r="B569" s="10">
        <f>CHOOSE(CONTROL!$C$42, 24.0044, 24.0044) * CHOOSE(CONTROL!$C$21, $C$9, 100%, $E$9)</f>
        <v>24.0044</v>
      </c>
      <c r="C569" s="10">
        <f>CHOOSE(CONTROL!$C$42, 24.0123, 24.0123) * CHOOSE(CONTROL!$C$21, $C$9, 100%, $E$9)</f>
        <v>24.0123</v>
      </c>
      <c r="D569" s="10">
        <f>CHOOSE(CONTROL!$C$42, 24.2048, 24.2048) * CHOOSE(CONTROL!$C$21, $C$9, 100%, $E$9)</f>
        <v>24.204799999999999</v>
      </c>
      <c r="E569" s="10">
        <f>CHOOSE(CONTROL!$C$42, 24.2359, 24.2359) * CHOOSE(CONTROL!$C$21, $C$9, 100%, $E$9)</f>
        <v>24.235900000000001</v>
      </c>
      <c r="F569" s="10">
        <f>CHOOSE(CONTROL!$C$42, 23.9707, 23.9707)*CHOOSE(CONTROL!$C$21, $C$9, 100%, $E$9)</f>
        <v>23.970700000000001</v>
      </c>
      <c r="G569" s="10">
        <f>CHOOSE(CONTROL!$C$42, 23.9878, 23.9878)*CHOOSE(CONTROL!$C$21, $C$9, 100%, $E$9)</f>
        <v>23.9878</v>
      </c>
      <c r="H569" s="10">
        <f>CHOOSE(CONTROL!$C$42, 24.2246, 24.2246) * CHOOSE(CONTROL!$C$21, $C$9, 100%, $E$9)</f>
        <v>24.224599999999999</v>
      </c>
      <c r="I569" s="10">
        <f>CHOOSE(CONTROL!$C$42, 23.971, 23.971)* CHOOSE(CONTROL!$C$21, $C$9, 100%, $E$9)</f>
        <v>23.971</v>
      </c>
      <c r="J569" s="10">
        <f>CHOOSE(CONTROL!$C$42, 23.9637, 23.9637)* CHOOSE(CONTROL!$C$21, $C$9, 100%, $E$9)</f>
        <v>23.963699999999999</v>
      </c>
      <c r="K569" s="54">
        <f>CHOOSE(CONTROL!$C$42, 23.9671, 23.9671) * CHOOSE(CONTROL!$C$21, $C$9, 100%, $E$9)</f>
        <v>23.967099999999999</v>
      </c>
      <c r="L569" s="10">
        <f>CHOOSE(CONTROL!$C$42, 24.8116, 24.8116) * CHOOSE(CONTROL!$C$21, $C$9, 100%, $E$9)</f>
        <v>24.811599999999999</v>
      </c>
      <c r="M569" s="10">
        <f>CHOOSE(CONTROL!$C$42, 23.7357, 23.7357) * CHOOSE(CONTROL!$C$21, $C$9, 100%, $E$9)</f>
        <v>23.735700000000001</v>
      </c>
      <c r="N569" s="10">
        <f>CHOOSE(CONTROL!$C$42, 23.7526, 23.7526) * CHOOSE(CONTROL!$C$21, $C$9, 100%, $E$9)</f>
        <v>23.752600000000001</v>
      </c>
      <c r="O569" s="10">
        <f>CHOOSE(CONTROL!$C$42, 23.9939, 23.9939) * CHOOSE(CONTROL!$C$21, $C$9, 100%, $E$9)</f>
        <v>23.9939</v>
      </c>
      <c r="P569" s="10">
        <f>CHOOSE(CONTROL!$C$42, 23.743, 23.743) * CHOOSE(CONTROL!$C$21, $C$9, 100%, $E$9)</f>
        <v>23.742999999999999</v>
      </c>
      <c r="Q569" s="10">
        <f>CHOOSE(CONTROL!$C$42, 24.5892, 24.5892) * CHOOSE(CONTROL!$C$21, $C$9, 100%, $E$9)</f>
        <v>24.589200000000002</v>
      </c>
      <c r="R569" s="10">
        <f>CHOOSE(CONTROL!$C$42, 25.2377, 25.2377) * CHOOSE(CONTROL!$C$21, $C$9, 100%, $E$9)</f>
        <v>25.2377</v>
      </c>
      <c r="S569" s="10">
        <f>CHOOSE(CONTROL!$C$42, 23.3065, 23.3065) * CHOOSE(CONTROL!$C$21, $C$9, 100%, $E$9)</f>
        <v>23.3065</v>
      </c>
      <c r="T569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569" s="58">
        <f>(1000*CHOOSE(CONTROL!$C$42, 695, 695)*CHOOSE(CONTROL!$C$42, 0.5599, 0.5599)*CHOOSE(CONTROL!$C$42, 31, 31))/1000000</f>
        <v>12.063045499999998</v>
      </c>
      <c r="V569" s="58">
        <f>(1000*CHOOSE(CONTROL!$C$42, 500, 500)*CHOOSE(CONTROL!$C$42, 0.275, 0.275)*CHOOSE(CONTROL!$C$42, 31, 31))/1000000</f>
        <v>4.2625000000000002</v>
      </c>
      <c r="W569" s="58">
        <f>(1000*CHOOSE(CONTROL!$C$42, 0.1146, 0.1146)*CHOOSE(CONTROL!$C$42, 121.5, 121.5)*CHOOSE(CONTROL!$C$42, 31, 31))/1000000</f>
        <v>0.43164089999999994</v>
      </c>
      <c r="X569" s="58">
        <f>(31*0.1790888*245000/1000000)+(31*0.2374*100000/1000000)</f>
        <v>2.0961194359999999</v>
      </c>
      <c r="Y569" s="58"/>
      <c r="Z569" s="10"/>
      <c r="AA569" s="57"/>
      <c r="AB569" s="51">
        <f>(B569*194.205+C569*267.466+D569*133.845+E569*53.484+F569*40+G569*185+H569*0+I569*100+J569*300)/(194.205+267.466+133.845+53.484+0+40+185+100+300)</f>
        <v>24.021156723233911</v>
      </c>
      <c r="AC569" s="27">
        <f>(M569*'RAP TEMPLATE-GAS AVAILABILITY'!O568+N569*'RAP TEMPLATE-GAS AVAILABILITY'!P568+O569*'RAP TEMPLATE-GAS AVAILABILITY'!Q568+P569*'RAP TEMPLATE-GAS AVAILABILITY'!R568)/('RAP TEMPLATE-GAS AVAILABILITY'!O568+'RAP TEMPLATE-GAS AVAILABILITY'!P568+'RAP TEMPLATE-GAS AVAILABILITY'!Q568+'RAP TEMPLATE-GAS AVAILABILITY'!R568)</f>
        <v>23.81308561151079</v>
      </c>
    </row>
    <row r="570" spans="1:29" ht="15.75" x14ac:dyDescent="0.25">
      <c r="A570" s="13">
        <v>58256</v>
      </c>
      <c r="B570" s="10">
        <f>CHOOSE(CONTROL!$C$42, 24.6852, 24.6852) * CHOOSE(CONTROL!$C$21, $C$9, 100%, $E$9)</f>
        <v>24.685199999999998</v>
      </c>
      <c r="C570" s="10">
        <f>CHOOSE(CONTROL!$C$42, 24.6931, 24.6931) * CHOOSE(CONTROL!$C$21, $C$9, 100%, $E$9)</f>
        <v>24.693100000000001</v>
      </c>
      <c r="D570" s="10">
        <f>CHOOSE(CONTROL!$C$42, 24.8855, 24.8855) * CHOOSE(CONTROL!$C$21, $C$9, 100%, $E$9)</f>
        <v>24.8855</v>
      </c>
      <c r="E570" s="10">
        <f>CHOOSE(CONTROL!$C$42, 24.9167, 24.9167) * CHOOSE(CONTROL!$C$21, $C$9, 100%, $E$9)</f>
        <v>24.916699999999999</v>
      </c>
      <c r="F570" s="10">
        <f>CHOOSE(CONTROL!$C$42, 24.6517, 24.6517)*CHOOSE(CONTROL!$C$21, $C$9, 100%, $E$9)</f>
        <v>24.651700000000002</v>
      </c>
      <c r="G570" s="10">
        <f>CHOOSE(CONTROL!$C$42, 24.6689, 24.6689)*CHOOSE(CONTROL!$C$21, $C$9, 100%, $E$9)</f>
        <v>24.668900000000001</v>
      </c>
      <c r="H570" s="10">
        <f>CHOOSE(CONTROL!$C$42, 24.9053, 24.9053) * CHOOSE(CONTROL!$C$21, $C$9, 100%, $E$9)</f>
        <v>24.9053</v>
      </c>
      <c r="I570" s="10">
        <f>CHOOSE(CONTROL!$C$42, 24.6518, 24.6518)* CHOOSE(CONTROL!$C$21, $C$9, 100%, $E$9)</f>
        <v>24.651800000000001</v>
      </c>
      <c r="J570" s="10">
        <f>CHOOSE(CONTROL!$C$42, 24.6447, 24.6447)* CHOOSE(CONTROL!$C$21, $C$9, 100%, $E$9)</f>
        <v>24.6447</v>
      </c>
      <c r="K570" s="54">
        <f>CHOOSE(CONTROL!$C$42, 24.6479, 24.6479) * CHOOSE(CONTROL!$C$21, $C$9, 100%, $E$9)</f>
        <v>24.6479</v>
      </c>
      <c r="L570" s="10">
        <f>CHOOSE(CONTROL!$C$42, 25.4923, 25.4923) * CHOOSE(CONTROL!$C$21, $C$9, 100%, $E$9)</f>
        <v>25.4923</v>
      </c>
      <c r="M570" s="10">
        <f>CHOOSE(CONTROL!$C$42, 24.4098, 24.4098) * CHOOSE(CONTROL!$C$21, $C$9, 100%, $E$9)</f>
        <v>24.409800000000001</v>
      </c>
      <c r="N570" s="10">
        <f>CHOOSE(CONTROL!$C$42, 24.4268, 24.4268) * CHOOSE(CONTROL!$C$21, $C$9, 100%, $E$9)</f>
        <v>24.4268</v>
      </c>
      <c r="O570" s="10">
        <f>CHOOSE(CONTROL!$C$42, 24.6678, 24.6678) * CHOOSE(CONTROL!$C$21, $C$9, 100%, $E$9)</f>
        <v>24.6678</v>
      </c>
      <c r="P570" s="10">
        <f>CHOOSE(CONTROL!$C$42, 24.4169, 24.4169) * CHOOSE(CONTROL!$C$21, $C$9, 100%, $E$9)</f>
        <v>24.416899999999998</v>
      </c>
      <c r="Q570" s="10">
        <f>CHOOSE(CONTROL!$C$42, 25.2631, 25.2631) * CHOOSE(CONTROL!$C$21, $C$9, 100%, $E$9)</f>
        <v>25.263100000000001</v>
      </c>
      <c r="R570" s="10">
        <f>CHOOSE(CONTROL!$C$42, 25.9133, 25.9133) * CHOOSE(CONTROL!$C$21, $C$9, 100%, $E$9)</f>
        <v>25.9133</v>
      </c>
      <c r="S570" s="10">
        <f>CHOOSE(CONTROL!$C$42, 23.9675, 23.9675) * CHOOSE(CONTROL!$C$21, $C$9, 100%, $E$9)</f>
        <v>23.967500000000001</v>
      </c>
      <c r="T570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570" s="58">
        <f>(1000*CHOOSE(CONTROL!$C$42, 695, 695)*CHOOSE(CONTROL!$C$42, 0.5599, 0.5599)*CHOOSE(CONTROL!$C$42, 30, 30))/1000000</f>
        <v>11.673914999999997</v>
      </c>
      <c r="V570" s="58">
        <f>(1000*CHOOSE(CONTROL!$C$42, 500, 500)*CHOOSE(CONTROL!$C$42, 0.275, 0.275)*CHOOSE(CONTROL!$C$42, 30, 30))/1000000</f>
        <v>4.125</v>
      </c>
      <c r="W570" s="58">
        <f>(1000*CHOOSE(CONTROL!$C$42, 0.1146, 0.1146)*CHOOSE(CONTROL!$C$42, 121.5, 121.5)*CHOOSE(CONTROL!$C$42, 30, 30))/1000000</f>
        <v>0.417717</v>
      </c>
      <c r="X570" s="58">
        <f>(30*0.1790888*245000/1000000)+(30*0.2374*100000/1000000)</f>
        <v>2.0285026799999999</v>
      </c>
      <c r="Y570" s="58"/>
      <c r="Z570" s="10"/>
      <c r="AA570" s="57"/>
      <c r="AB570" s="51">
        <f>(B570*194.205+C570*267.466+D570*133.845+E570*53.484+F570*40+G570*185+H570*0+I570*100+J570*300)/(194.205+267.466+133.845+53.484+0+40+185+100+300)</f>
        <v>24.70204315612245</v>
      </c>
      <c r="AC570" s="27">
        <f>(M570*'RAP TEMPLATE-GAS AVAILABILITY'!O569+N570*'RAP TEMPLATE-GAS AVAILABILITY'!P569+O570*'RAP TEMPLATE-GAS AVAILABILITY'!Q569+P570*'RAP TEMPLATE-GAS AVAILABILITY'!R569)/('RAP TEMPLATE-GAS AVAILABILITY'!O569+'RAP TEMPLATE-GAS AVAILABILITY'!P569+'RAP TEMPLATE-GAS AVAILABILITY'!Q569+'RAP TEMPLATE-GAS AVAILABILITY'!R569)</f>
        <v>24.487123741007192</v>
      </c>
    </row>
    <row r="571" spans="1:29" ht="15.75" x14ac:dyDescent="0.25">
      <c r="A571" s="13">
        <v>58287</v>
      </c>
      <c r="B571" s="10">
        <f>CHOOSE(CONTROL!$C$42, 24.2117, 24.2117) * CHOOSE(CONTROL!$C$21, $C$9, 100%, $E$9)</f>
        <v>24.2117</v>
      </c>
      <c r="C571" s="10">
        <f>CHOOSE(CONTROL!$C$42, 24.2196, 24.2196) * CHOOSE(CONTROL!$C$21, $C$9, 100%, $E$9)</f>
        <v>24.2196</v>
      </c>
      <c r="D571" s="10">
        <f>CHOOSE(CONTROL!$C$42, 24.4121, 24.4121) * CHOOSE(CONTROL!$C$21, $C$9, 100%, $E$9)</f>
        <v>24.412099999999999</v>
      </c>
      <c r="E571" s="10">
        <f>CHOOSE(CONTROL!$C$42, 24.4432, 24.4432) * CHOOSE(CONTROL!$C$21, $C$9, 100%, $E$9)</f>
        <v>24.443200000000001</v>
      </c>
      <c r="F571" s="10">
        <f>CHOOSE(CONTROL!$C$42, 24.1786, 24.1786)*CHOOSE(CONTROL!$C$21, $C$9, 100%, $E$9)</f>
        <v>24.178599999999999</v>
      </c>
      <c r="G571" s="10">
        <f>CHOOSE(CONTROL!$C$42, 24.1959, 24.1959)*CHOOSE(CONTROL!$C$21, $C$9, 100%, $E$9)</f>
        <v>24.195900000000002</v>
      </c>
      <c r="H571" s="10">
        <f>CHOOSE(CONTROL!$C$42, 24.4318, 24.4318) * CHOOSE(CONTROL!$C$21, $C$9, 100%, $E$9)</f>
        <v>24.431799999999999</v>
      </c>
      <c r="I571" s="10">
        <f>CHOOSE(CONTROL!$C$42, 24.1783, 24.1783)* CHOOSE(CONTROL!$C$21, $C$9, 100%, $E$9)</f>
        <v>24.1783</v>
      </c>
      <c r="J571" s="10">
        <f>CHOOSE(CONTROL!$C$42, 24.1716, 24.1716)* CHOOSE(CONTROL!$C$21, $C$9, 100%, $E$9)</f>
        <v>24.171600000000002</v>
      </c>
      <c r="K571" s="54">
        <f>CHOOSE(CONTROL!$C$42, 24.1744, 24.1744) * CHOOSE(CONTROL!$C$21, $C$9, 100%, $E$9)</f>
        <v>24.174399999999999</v>
      </c>
      <c r="L571" s="10">
        <f>CHOOSE(CONTROL!$C$42, 25.0188, 25.0188) * CHOOSE(CONTROL!$C$21, $C$9, 100%, $E$9)</f>
        <v>25.018799999999999</v>
      </c>
      <c r="M571" s="10">
        <f>CHOOSE(CONTROL!$C$42, 23.9415, 23.9415) * CHOOSE(CONTROL!$C$21, $C$9, 100%, $E$9)</f>
        <v>23.941500000000001</v>
      </c>
      <c r="N571" s="10">
        <f>CHOOSE(CONTROL!$C$42, 23.9586, 23.9586) * CHOOSE(CONTROL!$C$21, $C$9, 100%, $E$9)</f>
        <v>23.958600000000001</v>
      </c>
      <c r="O571" s="10">
        <f>CHOOSE(CONTROL!$C$42, 24.1991, 24.1991) * CHOOSE(CONTROL!$C$21, $C$9, 100%, $E$9)</f>
        <v>24.199100000000001</v>
      </c>
      <c r="P571" s="10">
        <f>CHOOSE(CONTROL!$C$42, 23.9482, 23.9482) * CHOOSE(CONTROL!$C$21, $C$9, 100%, $E$9)</f>
        <v>23.9482</v>
      </c>
      <c r="Q571" s="10">
        <f>CHOOSE(CONTROL!$C$42, 24.7944, 24.7944) * CHOOSE(CONTROL!$C$21, $C$9, 100%, $E$9)</f>
        <v>24.7944</v>
      </c>
      <c r="R571" s="10">
        <f>CHOOSE(CONTROL!$C$42, 25.4434, 25.4434) * CHOOSE(CONTROL!$C$21, $C$9, 100%, $E$9)</f>
        <v>25.4434</v>
      </c>
      <c r="S571" s="10">
        <f>CHOOSE(CONTROL!$C$42, 23.5078, 23.5078) * CHOOSE(CONTROL!$C$21, $C$9, 100%, $E$9)</f>
        <v>23.5078</v>
      </c>
      <c r="T571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571" s="58">
        <f>(1000*CHOOSE(CONTROL!$C$42, 695, 695)*CHOOSE(CONTROL!$C$42, 0.5599, 0.5599)*CHOOSE(CONTROL!$C$42, 31, 31))/1000000</f>
        <v>12.063045499999998</v>
      </c>
      <c r="V571" s="58">
        <f>(1000*CHOOSE(CONTROL!$C$42, 500, 500)*CHOOSE(CONTROL!$C$42, 0.275, 0.275)*CHOOSE(CONTROL!$C$42, 31, 31))/1000000</f>
        <v>4.2625000000000002</v>
      </c>
      <c r="W571" s="58">
        <f>(1000*CHOOSE(CONTROL!$C$42, 0.1146, 0.1146)*CHOOSE(CONTROL!$C$42, 121.5, 121.5)*CHOOSE(CONTROL!$C$42, 31, 31))/1000000</f>
        <v>0.43164089999999994</v>
      </c>
      <c r="X571" s="58">
        <f>(31*0.1790888*245000/1000000)+(31*0.2374*100000/1000000)</f>
        <v>2.0961194359999999</v>
      </c>
      <c r="Y571" s="58"/>
      <c r="Z571" s="10"/>
      <c r="AA571" s="57"/>
      <c r="AB571" s="51">
        <f>(B571*194.205+C571*267.466+D571*133.845+E571*53.484+F571*40+G571*185+H571*0+I571*100+J571*300)/(194.205+267.466+133.845+53.484+0+40+185+100+300)</f>
        <v>24.228733018367347</v>
      </c>
      <c r="AC571" s="27">
        <f>(M571*'RAP TEMPLATE-GAS AVAILABILITY'!O570+N571*'RAP TEMPLATE-GAS AVAILABILITY'!P570+O571*'RAP TEMPLATE-GAS AVAILABILITY'!Q570+P571*'RAP TEMPLATE-GAS AVAILABILITY'!R570)/('RAP TEMPLATE-GAS AVAILABILITY'!O570+'RAP TEMPLATE-GAS AVAILABILITY'!P570+'RAP TEMPLATE-GAS AVAILABILITY'!Q570+'RAP TEMPLATE-GAS AVAILABILITY'!R570)</f>
        <v>24.018676978417268</v>
      </c>
    </row>
    <row r="572" spans="1:29" ht="15.75" x14ac:dyDescent="0.25">
      <c r="A572" s="13">
        <v>58318</v>
      </c>
      <c r="B572" s="10">
        <f>CHOOSE(CONTROL!$C$42, 23.016, 23.016) * CHOOSE(CONTROL!$C$21, $C$9, 100%, $E$9)</f>
        <v>23.015999999999998</v>
      </c>
      <c r="C572" s="10">
        <f>CHOOSE(CONTROL!$C$42, 23.024, 23.024) * CHOOSE(CONTROL!$C$21, $C$9, 100%, $E$9)</f>
        <v>23.024000000000001</v>
      </c>
      <c r="D572" s="10">
        <f>CHOOSE(CONTROL!$C$42, 23.2164, 23.2164) * CHOOSE(CONTROL!$C$21, $C$9, 100%, $E$9)</f>
        <v>23.2164</v>
      </c>
      <c r="E572" s="10">
        <f>CHOOSE(CONTROL!$C$42, 23.2475, 23.2475) * CHOOSE(CONTROL!$C$21, $C$9, 100%, $E$9)</f>
        <v>23.247499999999999</v>
      </c>
      <c r="F572" s="10">
        <f>CHOOSE(CONTROL!$C$42, 22.9831, 22.9831)*CHOOSE(CONTROL!$C$21, $C$9, 100%, $E$9)</f>
        <v>22.9831</v>
      </c>
      <c r="G572" s="10">
        <f>CHOOSE(CONTROL!$C$42, 23.0004, 23.0004)*CHOOSE(CONTROL!$C$21, $C$9, 100%, $E$9)</f>
        <v>23.000399999999999</v>
      </c>
      <c r="H572" s="10">
        <f>CHOOSE(CONTROL!$C$42, 23.2362, 23.2362) * CHOOSE(CONTROL!$C$21, $C$9, 100%, $E$9)</f>
        <v>23.2362</v>
      </c>
      <c r="I572" s="10">
        <f>CHOOSE(CONTROL!$C$42, 22.9826, 22.9826)* CHOOSE(CONTROL!$C$21, $C$9, 100%, $E$9)</f>
        <v>22.982600000000001</v>
      </c>
      <c r="J572" s="10">
        <f>CHOOSE(CONTROL!$C$42, 22.9761, 22.9761)* CHOOSE(CONTROL!$C$21, $C$9, 100%, $E$9)</f>
        <v>22.976099999999999</v>
      </c>
      <c r="K572" s="54">
        <f>CHOOSE(CONTROL!$C$42, 22.9787, 22.9787) * CHOOSE(CONTROL!$C$21, $C$9, 100%, $E$9)</f>
        <v>22.9787</v>
      </c>
      <c r="L572" s="10">
        <f>CHOOSE(CONTROL!$C$42, 23.8232, 23.8232) * CHOOSE(CONTROL!$C$21, $C$9, 100%, $E$9)</f>
        <v>23.8232</v>
      </c>
      <c r="M572" s="10">
        <f>CHOOSE(CONTROL!$C$42, 22.7581, 22.7581) * CHOOSE(CONTROL!$C$21, $C$9, 100%, $E$9)</f>
        <v>22.758099999999999</v>
      </c>
      <c r="N572" s="10">
        <f>CHOOSE(CONTROL!$C$42, 22.7752, 22.7752) * CHOOSE(CONTROL!$C$21, $C$9, 100%, $E$9)</f>
        <v>22.775200000000002</v>
      </c>
      <c r="O572" s="10">
        <f>CHOOSE(CONTROL!$C$42, 23.0155, 23.0155) * CHOOSE(CONTROL!$C$21, $C$9, 100%, $E$9)</f>
        <v>23.015499999999999</v>
      </c>
      <c r="P572" s="10">
        <f>CHOOSE(CONTROL!$C$42, 22.7645, 22.7645) * CHOOSE(CONTROL!$C$21, $C$9, 100%, $E$9)</f>
        <v>22.764500000000002</v>
      </c>
      <c r="Q572" s="10">
        <f>CHOOSE(CONTROL!$C$42, 23.6108, 23.6108) * CHOOSE(CONTROL!$C$21, $C$9, 100%, $E$9)</f>
        <v>23.610800000000001</v>
      </c>
      <c r="R572" s="10">
        <f>CHOOSE(CONTROL!$C$42, 24.2568, 24.2568) * CHOOSE(CONTROL!$C$21, $C$9, 100%, $E$9)</f>
        <v>24.256799999999998</v>
      </c>
      <c r="S572" s="10">
        <f>CHOOSE(CONTROL!$C$42, 22.3466, 22.3466) * CHOOSE(CONTROL!$C$21, $C$9, 100%, $E$9)</f>
        <v>22.346599999999999</v>
      </c>
      <c r="T572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572" s="58">
        <f>(1000*CHOOSE(CONTROL!$C$42, 695, 695)*CHOOSE(CONTROL!$C$42, 0.5599, 0.5599)*CHOOSE(CONTROL!$C$42, 31, 31))/1000000</f>
        <v>12.063045499999998</v>
      </c>
      <c r="V572" s="58">
        <f>(1000*CHOOSE(CONTROL!$C$42, 500, 500)*CHOOSE(CONTROL!$C$42, 0.275, 0.275)*CHOOSE(CONTROL!$C$42, 31, 31))/1000000</f>
        <v>4.2625000000000002</v>
      </c>
      <c r="W572" s="58">
        <f>(1000*CHOOSE(CONTROL!$C$42, 0.1146, 0.1146)*CHOOSE(CONTROL!$C$42, 121.5, 121.5)*CHOOSE(CONTROL!$C$42, 31, 31))/1000000</f>
        <v>0.43164089999999994</v>
      </c>
      <c r="X572" s="58">
        <f>(31*0.1790888*245000/1000000)+(31*0.2374*100000/1000000)</f>
        <v>2.0961194359999999</v>
      </c>
      <c r="Y572" s="58"/>
      <c r="Z572" s="10"/>
      <c r="AA572" s="57"/>
      <c r="AB572" s="51">
        <f>(B572*194.205+C572*267.466+D572*133.845+E572*53.484+F572*40+G572*185+H572*0+I572*100+J572*300)/(194.205+267.466+133.845+53.484+0+40+185+100+300)</f>
        <v>23.03313643014129</v>
      </c>
      <c r="AC572" s="27">
        <f>(M572*'RAP TEMPLATE-GAS AVAILABILITY'!O571+N572*'RAP TEMPLATE-GAS AVAILABILITY'!P571+O572*'RAP TEMPLATE-GAS AVAILABILITY'!Q571+P572*'RAP TEMPLATE-GAS AVAILABILITY'!R571)/('RAP TEMPLATE-GAS AVAILABILITY'!O571+'RAP TEMPLATE-GAS AVAILABILITY'!P571+'RAP TEMPLATE-GAS AVAILABILITY'!Q571+'RAP TEMPLATE-GAS AVAILABILITY'!R571)</f>
        <v>22.835177697841726</v>
      </c>
    </row>
    <row r="573" spans="1:29" ht="15.75" x14ac:dyDescent="0.25">
      <c r="A573" s="13">
        <v>58348</v>
      </c>
      <c r="B573" s="10">
        <f>CHOOSE(CONTROL!$C$42, 21.5548, 21.5548) * CHOOSE(CONTROL!$C$21, $C$9, 100%, $E$9)</f>
        <v>21.5548</v>
      </c>
      <c r="C573" s="10">
        <f>CHOOSE(CONTROL!$C$42, 21.5627, 21.5627) * CHOOSE(CONTROL!$C$21, $C$9, 100%, $E$9)</f>
        <v>21.5627</v>
      </c>
      <c r="D573" s="10">
        <f>CHOOSE(CONTROL!$C$42, 21.7551, 21.7551) * CHOOSE(CONTROL!$C$21, $C$9, 100%, $E$9)</f>
        <v>21.755099999999999</v>
      </c>
      <c r="E573" s="10">
        <f>CHOOSE(CONTROL!$C$42, 21.7863, 21.7863) * CHOOSE(CONTROL!$C$21, $C$9, 100%, $E$9)</f>
        <v>21.786300000000001</v>
      </c>
      <c r="F573" s="10">
        <f>CHOOSE(CONTROL!$C$42, 21.5217, 21.5217)*CHOOSE(CONTROL!$C$21, $C$9, 100%, $E$9)</f>
        <v>21.521699999999999</v>
      </c>
      <c r="G573" s="10">
        <f>CHOOSE(CONTROL!$C$42, 21.539, 21.539)*CHOOSE(CONTROL!$C$21, $C$9, 100%, $E$9)</f>
        <v>21.539000000000001</v>
      </c>
      <c r="H573" s="10">
        <f>CHOOSE(CONTROL!$C$42, 21.7749, 21.7749) * CHOOSE(CONTROL!$C$21, $C$9, 100%, $E$9)</f>
        <v>21.774899999999999</v>
      </c>
      <c r="I573" s="10">
        <f>CHOOSE(CONTROL!$C$42, 21.5213, 21.5213)* CHOOSE(CONTROL!$C$21, $C$9, 100%, $E$9)</f>
        <v>21.5213</v>
      </c>
      <c r="J573" s="10">
        <f>CHOOSE(CONTROL!$C$42, 21.5147, 21.5147)* CHOOSE(CONTROL!$C$21, $C$9, 100%, $E$9)</f>
        <v>21.514700000000001</v>
      </c>
      <c r="K573" s="54">
        <f>CHOOSE(CONTROL!$C$42, 21.5174, 21.5174) * CHOOSE(CONTROL!$C$21, $C$9, 100%, $E$9)</f>
        <v>21.517399999999999</v>
      </c>
      <c r="L573" s="10">
        <f>CHOOSE(CONTROL!$C$42, 22.3619, 22.3619) * CHOOSE(CONTROL!$C$21, $C$9, 100%, $E$9)</f>
        <v>22.361899999999999</v>
      </c>
      <c r="M573" s="10">
        <f>CHOOSE(CONTROL!$C$42, 21.3114, 21.3114) * CHOOSE(CONTROL!$C$21, $C$9, 100%, $E$9)</f>
        <v>21.311399999999999</v>
      </c>
      <c r="N573" s="10">
        <f>CHOOSE(CONTROL!$C$42, 21.3285, 21.3285) * CHOOSE(CONTROL!$C$21, $C$9, 100%, $E$9)</f>
        <v>21.328499999999998</v>
      </c>
      <c r="O573" s="10">
        <f>CHOOSE(CONTROL!$C$42, 21.569, 21.569) * CHOOSE(CONTROL!$C$21, $C$9, 100%, $E$9)</f>
        <v>21.568999999999999</v>
      </c>
      <c r="P573" s="10">
        <f>CHOOSE(CONTROL!$C$42, 21.318, 21.318) * CHOOSE(CONTROL!$C$21, $C$9, 100%, $E$9)</f>
        <v>21.318000000000001</v>
      </c>
      <c r="Q573" s="10">
        <f>CHOOSE(CONTROL!$C$42, 22.1643, 22.1643) * CHOOSE(CONTROL!$C$21, $C$9, 100%, $E$9)</f>
        <v>22.164300000000001</v>
      </c>
      <c r="R573" s="10">
        <f>CHOOSE(CONTROL!$C$42, 22.8067, 22.8067) * CHOOSE(CONTROL!$C$21, $C$9, 100%, $E$9)</f>
        <v>22.806699999999999</v>
      </c>
      <c r="S573" s="10">
        <f>CHOOSE(CONTROL!$C$42, 20.9276, 20.9276) * CHOOSE(CONTROL!$C$21, $C$9, 100%, $E$9)</f>
        <v>20.927600000000002</v>
      </c>
      <c r="T573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573" s="58">
        <f>(1000*CHOOSE(CONTROL!$C$42, 695, 695)*CHOOSE(CONTROL!$C$42, 0.5599, 0.5599)*CHOOSE(CONTROL!$C$42, 30, 30))/1000000</f>
        <v>11.673914999999997</v>
      </c>
      <c r="V573" s="58">
        <f>(1000*CHOOSE(CONTROL!$C$42, 500, 500)*CHOOSE(CONTROL!$C$42, 0.275, 0.275)*CHOOSE(CONTROL!$C$42, 30, 30))/1000000</f>
        <v>4.125</v>
      </c>
      <c r="W573" s="58">
        <f>(1000*CHOOSE(CONTROL!$C$42, 0.1146, 0.1146)*CHOOSE(CONTROL!$C$42, 121.5, 121.5)*CHOOSE(CONTROL!$C$42, 30, 30))/1000000</f>
        <v>0.417717</v>
      </c>
      <c r="X573" s="58">
        <f>(30*0.1790888*245000/1000000)+(30*0.2374*100000/1000000)</f>
        <v>2.0285026799999999</v>
      </c>
      <c r="Y573" s="58"/>
      <c r="Z573" s="10"/>
      <c r="AA573" s="57"/>
      <c r="AB573" s="51">
        <f>(B573*194.205+C573*267.466+D573*133.845+E573*53.484+F573*40+G573*185+H573*0+I573*100+J573*300)/(194.205+267.466+133.845+53.484+0+40+185+100+300)</f>
        <v>21.571814663186814</v>
      </c>
      <c r="AC573" s="27">
        <f>(M573*'RAP TEMPLATE-GAS AVAILABILITY'!O572+N573*'RAP TEMPLATE-GAS AVAILABILITY'!P572+O573*'RAP TEMPLATE-GAS AVAILABILITY'!Q572+P573*'RAP TEMPLATE-GAS AVAILABILITY'!R572)/('RAP TEMPLATE-GAS AVAILABILITY'!O572+'RAP TEMPLATE-GAS AVAILABILITY'!P572+'RAP TEMPLATE-GAS AVAILABILITY'!Q572+'RAP TEMPLATE-GAS AVAILABILITY'!R572)</f>
        <v>21.388562589928057</v>
      </c>
    </row>
    <row r="574" spans="1:29" ht="15.75" x14ac:dyDescent="0.25">
      <c r="A574" s="13">
        <v>58379</v>
      </c>
      <c r="B574" s="10">
        <f>CHOOSE(CONTROL!$C$42, 21.1155, 21.1155) * CHOOSE(CONTROL!$C$21, $C$9, 100%, $E$9)</f>
        <v>21.115500000000001</v>
      </c>
      <c r="C574" s="10">
        <f>CHOOSE(CONTROL!$C$42, 21.1207, 21.1207) * CHOOSE(CONTROL!$C$21, $C$9, 100%, $E$9)</f>
        <v>21.120699999999999</v>
      </c>
      <c r="D574" s="10">
        <f>CHOOSE(CONTROL!$C$42, 21.3181, 21.3181) * CHOOSE(CONTROL!$C$21, $C$9, 100%, $E$9)</f>
        <v>21.318100000000001</v>
      </c>
      <c r="E574" s="10">
        <f>CHOOSE(CONTROL!$C$42, 21.3469, 21.3469) * CHOOSE(CONTROL!$C$21, $C$9, 100%, $E$9)</f>
        <v>21.346900000000002</v>
      </c>
      <c r="F574" s="10">
        <f>CHOOSE(CONTROL!$C$42, 21.0844, 21.0844)*CHOOSE(CONTROL!$C$21, $C$9, 100%, $E$9)</f>
        <v>21.084399999999999</v>
      </c>
      <c r="G574" s="10">
        <f>CHOOSE(CONTROL!$C$42, 21.1013, 21.1013)*CHOOSE(CONTROL!$C$21, $C$9, 100%, $E$9)</f>
        <v>21.101299999999998</v>
      </c>
      <c r="H574" s="10">
        <f>CHOOSE(CONTROL!$C$42, 21.3373, 21.3373) * CHOOSE(CONTROL!$C$21, $C$9, 100%, $E$9)</f>
        <v>21.337299999999999</v>
      </c>
      <c r="I574" s="10">
        <f>CHOOSE(CONTROL!$C$42, 21.0838, 21.0838)* CHOOSE(CONTROL!$C$21, $C$9, 100%, $E$9)</f>
        <v>21.0838</v>
      </c>
      <c r="J574" s="10">
        <f>CHOOSE(CONTROL!$C$42, 21.0774, 21.0774)* CHOOSE(CONTROL!$C$21, $C$9, 100%, $E$9)</f>
        <v>21.077400000000001</v>
      </c>
      <c r="K574" s="54">
        <f>CHOOSE(CONTROL!$C$42, 21.0799, 21.0799) * CHOOSE(CONTROL!$C$21, $C$9, 100%, $E$9)</f>
        <v>21.079899999999999</v>
      </c>
      <c r="L574" s="10">
        <f>CHOOSE(CONTROL!$C$42, 21.9243, 21.9243) * CHOOSE(CONTROL!$C$21, $C$9, 100%, $E$9)</f>
        <v>21.924299999999999</v>
      </c>
      <c r="M574" s="10">
        <f>CHOOSE(CONTROL!$C$42, 20.8785, 20.8785) * CHOOSE(CONTROL!$C$21, $C$9, 100%, $E$9)</f>
        <v>20.878499999999999</v>
      </c>
      <c r="N574" s="10">
        <f>CHOOSE(CONTROL!$C$42, 20.8953, 20.8953) * CHOOSE(CONTROL!$C$21, $C$9, 100%, $E$9)</f>
        <v>20.895299999999999</v>
      </c>
      <c r="O574" s="10">
        <f>CHOOSE(CONTROL!$C$42, 21.1358, 21.1358) * CHOOSE(CONTROL!$C$21, $C$9, 100%, $E$9)</f>
        <v>21.1358</v>
      </c>
      <c r="P574" s="10">
        <f>CHOOSE(CONTROL!$C$42, 20.8849, 20.8849) * CHOOSE(CONTROL!$C$21, $C$9, 100%, $E$9)</f>
        <v>20.884899999999998</v>
      </c>
      <c r="Q574" s="10">
        <f>CHOOSE(CONTROL!$C$42, 21.7311, 21.7311) * CHOOSE(CONTROL!$C$21, $C$9, 100%, $E$9)</f>
        <v>21.731100000000001</v>
      </c>
      <c r="R574" s="10">
        <f>CHOOSE(CONTROL!$C$42, 22.3725, 22.3725) * CHOOSE(CONTROL!$C$21, $C$9, 100%, $E$9)</f>
        <v>22.372499999999999</v>
      </c>
      <c r="S574" s="10">
        <f>CHOOSE(CONTROL!$C$42, 20.5027, 20.5027) * CHOOSE(CONTROL!$C$21, $C$9, 100%, $E$9)</f>
        <v>20.502700000000001</v>
      </c>
      <c r="T574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574" s="58">
        <f>(1000*CHOOSE(CONTROL!$C$42, 695, 695)*CHOOSE(CONTROL!$C$42, 0.5599, 0.5599)*CHOOSE(CONTROL!$C$42, 31, 31))/1000000</f>
        <v>12.063045499999998</v>
      </c>
      <c r="V574" s="58">
        <f>(1000*CHOOSE(CONTROL!$C$42, 500, 500)*CHOOSE(CONTROL!$C$42, 0.275, 0.275)*CHOOSE(CONTROL!$C$42, 31, 31))/1000000</f>
        <v>4.2625000000000002</v>
      </c>
      <c r="W574" s="58">
        <f>(1000*CHOOSE(CONTROL!$C$42, 0.1146, 0.1146)*CHOOSE(CONTROL!$C$42, 121.5, 121.5)*CHOOSE(CONTROL!$C$42, 31, 31))/1000000</f>
        <v>0.43164089999999994</v>
      </c>
      <c r="X574" s="58">
        <f>(31*0.1790888*245000/1000000)+(31*0.2374*100000/1000000)</f>
        <v>2.0961194359999999</v>
      </c>
      <c r="Y574" s="58"/>
      <c r="Z574" s="10"/>
      <c r="AA574" s="57"/>
      <c r="AB574" s="51">
        <f>(B574*131.881+C574*277.167+D574*79.08+E574*125.872+F574*40+G574*185+H574*0+I574*100+J574*300)/(131.881+277.167+79.08+125.872+0+40+185+100+300)</f>
        <v>21.138194638579503</v>
      </c>
      <c r="AC574" s="27">
        <f>(M574*'RAP TEMPLATE-GAS AVAILABILITY'!O573+N574*'RAP TEMPLATE-GAS AVAILABILITY'!P573+O574*'RAP TEMPLATE-GAS AVAILABILITY'!Q573+P574*'RAP TEMPLATE-GAS AVAILABILITY'!R573)/('RAP TEMPLATE-GAS AVAILABILITY'!O573+'RAP TEMPLATE-GAS AVAILABILITY'!P573+'RAP TEMPLATE-GAS AVAILABILITY'!Q573+'RAP TEMPLATE-GAS AVAILABILITY'!R573)</f>
        <v>20.955480575539568</v>
      </c>
    </row>
    <row r="575" spans="1:29" ht="15.75" x14ac:dyDescent="0.25">
      <c r="A575" s="13">
        <v>58409</v>
      </c>
      <c r="B575" s="10">
        <f>CHOOSE(CONTROL!$C$42, 21.6712, 21.6712) * CHOOSE(CONTROL!$C$21, $C$9, 100%, $E$9)</f>
        <v>21.671199999999999</v>
      </c>
      <c r="C575" s="10">
        <f>CHOOSE(CONTROL!$C$42, 21.6762, 21.6762) * CHOOSE(CONTROL!$C$21, $C$9, 100%, $E$9)</f>
        <v>21.676200000000001</v>
      </c>
      <c r="D575" s="10">
        <f>CHOOSE(CONTROL!$C$42, 21.7058, 21.7058) * CHOOSE(CONTROL!$C$21, $C$9, 100%, $E$9)</f>
        <v>21.7058</v>
      </c>
      <c r="E575" s="10">
        <f>CHOOSE(CONTROL!$C$42, 21.7396, 21.7396) * CHOOSE(CONTROL!$C$21, $C$9, 100%, $E$9)</f>
        <v>21.739599999999999</v>
      </c>
      <c r="F575" s="10">
        <f>CHOOSE(CONTROL!$C$42, 21.638, 21.638)*CHOOSE(CONTROL!$C$21, $C$9, 100%, $E$9)</f>
        <v>21.638000000000002</v>
      </c>
      <c r="G575" s="10">
        <f>CHOOSE(CONTROL!$C$42, 21.6552, 21.6552)*CHOOSE(CONTROL!$C$21, $C$9, 100%, $E$9)</f>
        <v>21.655200000000001</v>
      </c>
      <c r="H575" s="10">
        <f>CHOOSE(CONTROL!$C$42, 21.7288, 21.7288) * CHOOSE(CONTROL!$C$21, $C$9, 100%, $E$9)</f>
        <v>21.7288</v>
      </c>
      <c r="I575" s="10">
        <f>CHOOSE(CONTROL!$C$42, 21.6348, 21.6348)* CHOOSE(CONTROL!$C$21, $C$9, 100%, $E$9)</f>
        <v>21.634799999999998</v>
      </c>
      <c r="J575" s="10">
        <f>CHOOSE(CONTROL!$C$42, 21.631, 21.631)* CHOOSE(CONTROL!$C$21, $C$9, 100%, $E$9)</f>
        <v>21.631</v>
      </c>
      <c r="K575" s="54">
        <f>CHOOSE(CONTROL!$C$42, 21.6309, 21.6309) * CHOOSE(CONTROL!$C$21, $C$9, 100%, $E$9)</f>
        <v>21.6309</v>
      </c>
      <c r="L575" s="10">
        <f>CHOOSE(CONTROL!$C$42, 22.3158, 22.3158) * CHOOSE(CONTROL!$C$21, $C$9, 100%, $E$9)</f>
        <v>22.315799999999999</v>
      </c>
      <c r="M575" s="10">
        <f>CHOOSE(CONTROL!$C$42, 21.4266, 21.4266) * CHOOSE(CONTROL!$C$21, $C$9, 100%, $E$9)</f>
        <v>21.426600000000001</v>
      </c>
      <c r="N575" s="10">
        <f>CHOOSE(CONTROL!$C$42, 21.4435, 21.4435) * CHOOSE(CONTROL!$C$21, $C$9, 100%, $E$9)</f>
        <v>21.4435</v>
      </c>
      <c r="O575" s="10">
        <f>CHOOSE(CONTROL!$C$42, 21.5233, 21.5233) * CHOOSE(CONTROL!$C$21, $C$9, 100%, $E$9)</f>
        <v>21.523299999999999</v>
      </c>
      <c r="P575" s="10">
        <f>CHOOSE(CONTROL!$C$42, 21.4304, 21.4304) * CHOOSE(CONTROL!$C$21, $C$9, 100%, $E$9)</f>
        <v>21.430399999999999</v>
      </c>
      <c r="Q575" s="10">
        <f>CHOOSE(CONTROL!$C$42, 22.1186, 22.1186) * CHOOSE(CONTROL!$C$21, $C$9, 100%, $E$9)</f>
        <v>22.118600000000001</v>
      </c>
      <c r="R575" s="10">
        <f>CHOOSE(CONTROL!$C$42, 22.7609, 22.7609) * CHOOSE(CONTROL!$C$21, $C$9, 100%, $E$9)</f>
        <v>22.760899999999999</v>
      </c>
      <c r="S575" s="10">
        <f>CHOOSE(CONTROL!$C$42, 21.0428, 21.0428) * CHOOSE(CONTROL!$C$21, $C$9, 100%, $E$9)</f>
        <v>21.0428</v>
      </c>
      <c r="T575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575" s="58">
        <f>(1000*CHOOSE(CONTROL!$C$42, 695, 695)*CHOOSE(CONTROL!$C$42, 0.5599, 0.5599)*CHOOSE(CONTROL!$C$42, 30, 30))/1000000</f>
        <v>11.673914999999997</v>
      </c>
      <c r="V575" s="58">
        <f>(1000*CHOOSE(CONTROL!$C$42, 500, 500)*CHOOSE(CONTROL!$C$42, 0.275, 0.275)*CHOOSE(CONTROL!$C$42, 30, 30))/1000000</f>
        <v>4.125</v>
      </c>
      <c r="W575" s="58">
        <f>(1000*CHOOSE(CONTROL!$C$42, 0.1146, 0.1146)*CHOOSE(CONTROL!$C$42, 121.5, 121.5)*CHOOSE(CONTROL!$C$42, 30, 30))/1000000</f>
        <v>0.417717</v>
      </c>
      <c r="X575" s="58">
        <f>(30*0.1790888*100000/1000000)+(30*0.2374*100000/1000000)</f>
        <v>1.2494664</v>
      </c>
      <c r="Y575" s="58"/>
      <c r="Z575" s="10"/>
      <c r="AA575" s="57"/>
      <c r="AB575" s="51">
        <f>(B575*122.58+C575*297.941+D575*89.177+E575*40.302+F575*40+G575*160+H575*0+I575*100+J575*300)/(122.58+297.941+89.177+40.302+0+40+160+100+300)</f>
        <v>21.660542509565218</v>
      </c>
      <c r="AC575" s="27">
        <f>(M575*'RAP TEMPLATE-GAS AVAILABILITY'!O574+N575*'RAP TEMPLATE-GAS AVAILABILITY'!P574+O575*'RAP TEMPLATE-GAS AVAILABILITY'!Q574+P575*'RAP TEMPLATE-GAS AVAILABILITY'!R574)/('RAP TEMPLATE-GAS AVAILABILITY'!O574+'RAP TEMPLATE-GAS AVAILABILITY'!P574+'RAP TEMPLATE-GAS AVAILABILITY'!Q574+'RAP TEMPLATE-GAS AVAILABILITY'!R574)</f>
        <v>21.471947482014386</v>
      </c>
    </row>
    <row r="576" spans="1:29" ht="15.75" x14ac:dyDescent="0.25">
      <c r="A576" s="13">
        <v>58440</v>
      </c>
      <c r="B576" s="10">
        <f>CHOOSE(CONTROL!$C$42, 23.1486, 23.1486) * CHOOSE(CONTROL!$C$21, $C$9, 100%, $E$9)</f>
        <v>23.148599999999998</v>
      </c>
      <c r="C576" s="10">
        <f>CHOOSE(CONTROL!$C$42, 23.1535, 23.1535) * CHOOSE(CONTROL!$C$21, $C$9, 100%, $E$9)</f>
        <v>23.153500000000001</v>
      </c>
      <c r="D576" s="10">
        <f>CHOOSE(CONTROL!$C$42, 23.1831, 23.1831) * CHOOSE(CONTROL!$C$21, $C$9, 100%, $E$9)</f>
        <v>23.1831</v>
      </c>
      <c r="E576" s="10">
        <f>CHOOSE(CONTROL!$C$42, 23.2169, 23.2169) * CHOOSE(CONTROL!$C$21, $C$9, 100%, $E$9)</f>
        <v>23.216899999999999</v>
      </c>
      <c r="F576" s="10">
        <f>CHOOSE(CONTROL!$C$42, 23.1168, 23.1168)*CHOOSE(CONTROL!$C$21, $C$9, 100%, $E$9)</f>
        <v>23.116800000000001</v>
      </c>
      <c r="G576" s="10">
        <f>CHOOSE(CONTROL!$C$42, 23.1343, 23.1343)*CHOOSE(CONTROL!$C$21, $C$9, 100%, $E$9)</f>
        <v>23.1343</v>
      </c>
      <c r="H576" s="10">
        <f>CHOOSE(CONTROL!$C$42, 23.2061, 23.2061) * CHOOSE(CONTROL!$C$21, $C$9, 100%, $E$9)</f>
        <v>23.206099999999999</v>
      </c>
      <c r="I576" s="10">
        <f>CHOOSE(CONTROL!$C$42, 23.1122, 23.1122)* CHOOSE(CONTROL!$C$21, $C$9, 100%, $E$9)</f>
        <v>23.112200000000001</v>
      </c>
      <c r="J576" s="10">
        <f>CHOOSE(CONTROL!$C$42, 23.1098, 23.1098)* CHOOSE(CONTROL!$C$21, $C$9, 100%, $E$9)</f>
        <v>23.1098</v>
      </c>
      <c r="K576" s="54">
        <f>CHOOSE(CONTROL!$C$42, 23.1083, 23.1083) * CHOOSE(CONTROL!$C$21, $C$9, 100%, $E$9)</f>
        <v>23.1083</v>
      </c>
      <c r="L576" s="10">
        <f>CHOOSE(CONTROL!$C$42, 23.7931, 23.7931) * CHOOSE(CONTROL!$C$21, $C$9, 100%, $E$9)</f>
        <v>23.793099999999999</v>
      </c>
      <c r="M576" s="10">
        <f>CHOOSE(CONTROL!$C$42, 22.8904, 22.8904) * CHOOSE(CONTROL!$C$21, $C$9, 100%, $E$9)</f>
        <v>22.8904</v>
      </c>
      <c r="N576" s="10">
        <f>CHOOSE(CONTROL!$C$42, 22.9077, 22.9077) * CHOOSE(CONTROL!$C$21, $C$9, 100%, $E$9)</f>
        <v>22.907699999999998</v>
      </c>
      <c r="O576" s="10">
        <f>CHOOSE(CONTROL!$C$42, 22.9857, 22.9857) * CHOOSE(CONTROL!$C$21, $C$9, 100%, $E$9)</f>
        <v>22.985700000000001</v>
      </c>
      <c r="P576" s="10">
        <f>CHOOSE(CONTROL!$C$42, 22.8928, 22.8928) * CHOOSE(CONTROL!$C$21, $C$9, 100%, $E$9)</f>
        <v>22.892800000000001</v>
      </c>
      <c r="Q576" s="10">
        <f>CHOOSE(CONTROL!$C$42, 23.581, 23.581) * CHOOSE(CONTROL!$C$21, $C$9, 100%, $E$9)</f>
        <v>23.581</v>
      </c>
      <c r="R576" s="10">
        <f>CHOOSE(CONTROL!$C$42, 24.227, 24.227) * CHOOSE(CONTROL!$C$21, $C$9, 100%, $E$9)</f>
        <v>24.227</v>
      </c>
      <c r="S576" s="10">
        <f>CHOOSE(CONTROL!$C$42, 22.4774, 22.4774) * CHOOSE(CONTROL!$C$21, $C$9, 100%, $E$9)</f>
        <v>22.477399999999999</v>
      </c>
      <c r="T576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576" s="58">
        <f>(1000*CHOOSE(CONTROL!$C$42, 695, 695)*CHOOSE(CONTROL!$C$42, 0.5599, 0.5599)*CHOOSE(CONTROL!$C$42, 31, 31))/1000000</f>
        <v>12.063045499999998</v>
      </c>
      <c r="V576" s="58">
        <f>(1000*CHOOSE(CONTROL!$C$42, 500, 500)*CHOOSE(CONTROL!$C$42, 0.275, 0.275)*CHOOSE(CONTROL!$C$42, 31, 31))/1000000</f>
        <v>4.2625000000000002</v>
      </c>
      <c r="W576" s="58">
        <f>(1000*CHOOSE(CONTROL!$C$42, 0.1146, 0.1146)*CHOOSE(CONTROL!$C$42, 121.5, 121.5)*CHOOSE(CONTROL!$C$42, 31, 31))/1000000</f>
        <v>0.43164089999999994</v>
      </c>
      <c r="X576" s="58">
        <f>(31*0.1790888*100000/1000000)+(31*0.2374*100000/1000000)</f>
        <v>1.2911152800000001</v>
      </c>
      <c r="Y576" s="58"/>
      <c r="Z576" s="10"/>
      <c r="AA576" s="57"/>
      <c r="AB576" s="51">
        <f>(B576*122.58+C576*297.941+D576*89.177+E576*40.302+F576*40+G576*160+H576*0+I576*100+J576*300)/(122.58+297.941+89.177+40.302+0+40+160+100+300)</f>
        <v>23.138555777391307</v>
      </c>
      <c r="AC576" s="27">
        <f>(M576*'RAP TEMPLATE-GAS AVAILABILITY'!O575+N576*'RAP TEMPLATE-GAS AVAILABILITY'!P575+O576*'RAP TEMPLATE-GAS AVAILABILITY'!Q575+P576*'RAP TEMPLATE-GAS AVAILABILITY'!R575)/('RAP TEMPLATE-GAS AVAILABILITY'!O575+'RAP TEMPLATE-GAS AVAILABILITY'!P575+'RAP TEMPLATE-GAS AVAILABILITY'!Q575+'RAP TEMPLATE-GAS AVAILABILITY'!R575)</f>
        <v>22.934934532374101</v>
      </c>
    </row>
    <row r="577" spans="1:29" ht="15.75" x14ac:dyDescent="0.25">
      <c r="A577" s="13">
        <v>58471</v>
      </c>
      <c r="B577" s="10">
        <f>CHOOSE(CONTROL!$C$42, 25.045, 25.045) * CHOOSE(CONTROL!$C$21, $C$9, 100%, $E$9)</f>
        <v>25.045000000000002</v>
      </c>
      <c r="C577" s="10">
        <f>CHOOSE(CONTROL!$C$42, 25.05, 25.05) * CHOOSE(CONTROL!$C$21, $C$9, 100%, $E$9)</f>
        <v>25.05</v>
      </c>
      <c r="D577" s="10">
        <f>CHOOSE(CONTROL!$C$42, 25.1002, 25.1002) * CHOOSE(CONTROL!$C$21, $C$9, 100%, $E$9)</f>
        <v>25.100200000000001</v>
      </c>
      <c r="E577" s="10">
        <f>CHOOSE(CONTROL!$C$42, 25.134, 25.134) * CHOOSE(CONTROL!$C$21, $C$9, 100%, $E$9)</f>
        <v>25.134</v>
      </c>
      <c r="F577" s="10">
        <f>CHOOSE(CONTROL!$C$42, 25.0104, 25.0104)*CHOOSE(CONTROL!$C$21, $C$9, 100%, $E$9)</f>
        <v>25.010400000000001</v>
      </c>
      <c r="G577" s="10">
        <f>CHOOSE(CONTROL!$C$42, 25.028, 25.028)*CHOOSE(CONTROL!$C$21, $C$9, 100%, $E$9)</f>
        <v>25.027999999999999</v>
      </c>
      <c r="H577" s="10">
        <f>CHOOSE(CONTROL!$C$42, 25.1232, 25.1232) * CHOOSE(CONTROL!$C$21, $C$9, 100%, $E$9)</f>
        <v>25.123200000000001</v>
      </c>
      <c r="I577" s="10">
        <f>CHOOSE(CONTROL!$C$42, 25.0189, 25.0189)* CHOOSE(CONTROL!$C$21, $C$9, 100%, $E$9)</f>
        <v>25.018899999999999</v>
      </c>
      <c r="J577" s="10">
        <f>CHOOSE(CONTROL!$C$42, 25.0034, 25.0034)* CHOOSE(CONTROL!$C$21, $C$9, 100%, $E$9)</f>
        <v>25.003399999999999</v>
      </c>
      <c r="K577" s="54">
        <f>CHOOSE(CONTROL!$C$42, 25.0151, 25.0151) * CHOOSE(CONTROL!$C$21, $C$9, 100%, $E$9)</f>
        <v>25.0151</v>
      </c>
      <c r="L577" s="10">
        <f>CHOOSE(CONTROL!$C$42, 25.7102, 25.7102) * CHOOSE(CONTROL!$C$21, $C$9, 100%, $E$9)</f>
        <v>25.7102</v>
      </c>
      <c r="M577" s="10">
        <f>CHOOSE(CONTROL!$C$42, 24.7649, 24.7649) * CHOOSE(CONTROL!$C$21, $C$9, 100%, $E$9)</f>
        <v>24.764900000000001</v>
      </c>
      <c r="N577" s="10">
        <f>CHOOSE(CONTROL!$C$42, 24.7823, 24.7823) * CHOOSE(CONTROL!$C$21, $C$9, 100%, $E$9)</f>
        <v>24.782299999999999</v>
      </c>
      <c r="O577" s="10">
        <f>CHOOSE(CONTROL!$C$42, 24.8835, 24.8835) * CHOOSE(CONTROL!$C$21, $C$9, 100%, $E$9)</f>
        <v>24.883500000000002</v>
      </c>
      <c r="P577" s="10">
        <f>CHOOSE(CONTROL!$C$42, 24.7803, 24.7803) * CHOOSE(CONTROL!$C$21, $C$9, 100%, $E$9)</f>
        <v>24.7803</v>
      </c>
      <c r="Q577" s="10">
        <f>CHOOSE(CONTROL!$C$42, 25.4788, 25.4788) * CHOOSE(CONTROL!$C$21, $C$9, 100%, $E$9)</f>
        <v>25.4788</v>
      </c>
      <c r="R577" s="10">
        <f>CHOOSE(CONTROL!$C$42, 26.1295, 26.1295) * CHOOSE(CONTROL!$C$21, $C$9, 100%, $E$9)</f>
        <v>26.1295</v>
      </c>
      <c r="S577" s="10">
        <f>CHOOSE(CONTROL!$C$42, 24.3191, 24.3191) * CHOOSE(CONTROL!$C$21, $C$9, 100%, $E$9)</f>
        <v>24.319099999999999</v>
      </c>
      <c r="T577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577" s="58">
        <f>(1000*CHOOSE(CONTROL!$C$42, 695, 695)*CHOOSE(CONTROL!$C$42, 0.5599, 0.5599)*CHOOSE(CONTROL!$C$42, 31, 31))/1000000</f>
        <v>12.063045499999998</v>
      </c>
      <c r="V577" s="58">
        <f>(1000*CHOOSE(CONTROL!$C$42, 500, 500)*CHOOSE(CONTROL!$C$42, 0.275, 0.275)*CHOOSE(CONTROL!$C$42, 31, 31))/1000000</f>
        <v>4.2625000000000002</v>
      </c>
      <c r="W577" s="58">
        <f>(1000*CHOOSE(CONTROL!$C$42, 0.1146, 0.1146)*CHOOSE(CONTROL!$C$42, 121.5, 121.5)*CHOOSE(CONTROL!$C$42, 31, 31))/1000000</f>
        <v>0.43164089999999994</v>
      </c>
      <c r="X577" s="58">
        <f>(31*0.1790888*100000/1000000)+(31*0.2374*100000/1000000)</f>
        <v>1.2911152800000001</v>
      </c>
      <c r="Y577" s="58"/>
      <c r="Z577" s="10"/>
      <c r="AA577" s="57"/>
      <c r="AB577" s="51">
        <f>(B577*122.58+C577*297.941+D577*89.177+E577*40.302+F577*40+G577*160+H577*0+I577*100+J577*300)/(122.58+297.941+89.177+40.302+0+40+160+100+300)</f>
        <v>25.037004481217391</v>
      </c>
      <c r="AC577" s="27">
        <f>(M577*'RAP TEMPLATE-GAS AVAILABILITY'!O576+N577*'RAP TEMPLATE-GAS AVAILABILITY'!P576+O577*'RAP TEMPLATE-GAS AVAILABILITY'!Q576+P577*'RAP TEMPLATE-GAS AVAILABILITY'!R576)/('RAP TEMPLATE-GAS AVAILABILITY'!O576+'RAP TEMPLATE-GAS AVAILABILITY'!P576+'RAP TEMPLATE-GAS AVAILABILITY'!Q576+'RAP TEMPLATE-GAS AVAILABILITY'!R576)</f>
        <v>24.821871223021581</v>
      </c>
    </row>
    <row r="578" spans="1:29" ht="15.75" x14ac:dyDescent="0.25">
      <c r="A578" s="13">
        <v>58499</v>
      </c>
      <c r="B578" s="10">
        <f>CHOOSE(CONTROL!$C$42, 25.4908, 25.4908) * CHOOSE(CONTROL!$C$21, $C$9, 100%, $E$9)</f>
        <v>25.4908</v>
      </c>
      <c r="C578" s="10">
        <f>CHOOSE(CONTROL!$C$42, 25.4958, 25.4958) * CHOOSE(CONTROL!$C$21, $C$9, 100%, $E$9)</f>
        <v>25.495799999999999</v>
      </c>
      <c r="D578" s="10">
        <f>CHOOSE(CONTROL!$C$42, 25.5563, 25.5563) * CHOOSE(CONTROL!$C$21, $C$9, 100%, $E$9)</f>
        <v>25.5563</v>
      </c>
      <c r="E578" s="10">
        <f>CHOOSE(CONTROL!$C$42, 25.5901, 25.5901) * CHOOSE(CONTROL!$C$21, $C$9, 100%, $E$9)</f>
        <v>25.5901</v>
      </c>
      <c r="F578" s="10">
        <f>CHOOSE(CONTROL!$C$42, 25.4841, 25.4841)*CHOOSE(CONTROL!$C$21, $C$9, 100%, $E$9)</f>
        <v>25.484100000000002</v>
      </c>
      <c r="G578" s="10">
        <f>CHOOSE(CONTROL!$C$42, 25.5014, 25.5014)*CHOOSE(CONTROL!$C$21, $C$9, 100%, $E$9)</f>
        <v>25.5014</v>
      </c>
      <c r="H578" s="10">
        <f>CHOOSE(CONTROL!$C$42, 25.5793, 25.5793) * CHOOSE(CONTROL!$C$21, $C$9, 100%, $E$9)</f>
        <v>25.5793</v>
      </c>
      <c r="I578" s="10">
        <f>CHOOSE(CONTROL!$C$42, 25.4776, 25.4776)* CHOOSE(CONTROL!$C$21, $C$9, 100%, $E$9)</f>
        <v>25.477599999999999</v>
      </c>
      <c r="J578" s="10">
        <f>CHOOSE(CONTROL!$C$42, 25.4771, 25.4771)* CHOOSE(CONTROL!$C$21, $C$9, 100%, $E$9)</f>
        <v>25.4771</v>
      </c>
      <c r="K578" s="54">
        <f>CHOOSE(CONTROL!$C$42, 25.4737, 25.4737) * CHOOSE(CONTROL!$C$21, $C$9, 100%, $E$9)</f>
        <v>25.473700000000001</v>
      </c>
      <c r="L578" s="10">
        <f>CHOOSE(CONTROL!$C$42, 26.1663, 26.1663) * CHOOSE(CONTROL!$C$21, $C$9, 100%, $E$9)</f>
        <v>26.1663</v>
      </c>
      <c r="M578" s="10">
        <f>CHOOSE(CONTROL!$C$42, 25.2338, 25.2338) * CHOOSE(CONTROL!$C$21, $C$9, 100%, $E$9)</f>
        <v>25.233799999999999</v>
      </c>
      <c r="N578" s="10">
        <f>CHOOSE(CONTROL!$C$42, 25.2509, 25.2509) * CHOOSE(CONTROL!$C$21, $C$9, 100%, $E$9)</f>
        <v>25.250900000000001</v>
      </c>
      <c r="O578" s="10">
        <f>CHOOSE(CONTROL!$C$42, 25.335, 25.335) * CHOOSE(CONTROL!$C$21, $C$9, 100%, $E$9)</f>
        <v>25.335000000000001</v>
      </c>
      <c r="P578" s="10">
        <f>CHOOSE(CONTROL!$C$42, 25.2344, 25.2344) * CHOOSE(CONTROL!$C$21, $C$9, 100%, $E$9)</f>
        <v>25.234400000000001</v>
      </c>
      <c r="Q578" s="10">
        <f>CHOOSE(CONTROL!$C$42, 25.9303, 25.9303) * CHOOSE(CONTROL!$C$21, $C$9, 100%, $E$9)</f>
        <v>25.930299999999999</v>
      </c>
      <c r="R578" s="10">
        <f>CHOOSE(CONTROL!$C$42, 26.5821, 26.5821) * CHOOSE(CONTROL!$C$21, $C$9, 100%, $E$9)</f>
        <v>26.582100000000001</v>
      </c>
      <c r="S578" s="10">
        <f>CHOOSE(CONTROL!$C$42, 24.752, 24.752) * CHOOSE(CONTROL!$C$21, $C$9, 100%, $E$9)</f>
        <v>24.751999999999999</v>
      </c>
      <c r="T578" s="5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578" s="58">
        <f>(1000*CHOOSE(CONTROL!$C$42, 695, 695)*CHOOSE(CONTROL!$C$42, 0.5599, 0.5599)*CHOOSE(CONTROL!$C$42, 29, 29))/1000000</f>
        <v>11.284784499999999</v>
      </c>
      <c r="V578" s="58">
        <f>(1000*CHOOSE(CONTROL!$C$42, 500, 500)*CHOOSE(CONTROL!$C$42, 0.275, 0.275)*CHOOSE(CONTROL!$C$42, 29, 29))/1000000</f>
        <v>3.9874999999999998</v>
      </c>
      <c r="W578" s="58">
        <f>(1000*CHOOSE(CONTROL!$C$42, 0.1146, 0.1146)*CHOOSE(CONTROL!$C$42, 121.5, 121.5)*CHOOSE(CONTROL!$C$42, 29, 29))/1000000</f>
        <v>0.40379309999999996</v>
      </c>
      <c r="X578" s="58">
        <f>(29*0.1790888*100000/1000000)+(29*0.2374*100000/1000000)</f>
        <v>1.2078175199999999</v>
      </c>
      <c r="Y578" s="58"/>
      <c r="Z578" s="10"/>
      <c r="AA578" s="57"/>
      <c r="AB578" s="51">
        <f>(B578*122.58+C578*297.941+D578*89.177+E578*40.302+F578*40+G578*160+H578*0+I578*100+J578*300)/(122.58+297.941+89.177+40.302+0+40+160+100+300)</f>
        <v>25.49717459747826</v>
      </c>
      <c r="AC578" s="27">
        <f>(M578*'RAP TEMPLATE-GAS AVAILABILITY'!O577+N578*'RAP TEMPLATE-GAS AVAILABILITY'!P577+O578*'RAP TEMPLATE-GAS AVAILABILITY'!Q577+P578*'RAP TEMPLATE-GAS AVAILABILITY'!R577)/('RAP TEMPLATE-GAS AVAILABILITY'!O577+'RAP TEMPLATE-GAS AVAILABILITY'!P577+'RAP TEMPLATE-GAS AVAILABILITY'!Q577+'RAP TEMPLATE-GAS AVAILABILITY'!R577)</f>
        <v>25.280738129496406</v>
      </c>
    </row>
    <row r="579" spans="1:29" ht="15.75" x14ac:dyDescent="0.25">
      <c r="A579" s="13">
        <v>58531</v>
      </c>
      <c r="B579" s="10">
        <f>CHOOSE(CONTROL!$C$42, 24.7672, 24.7672) * CHOOSE(CONTROL!$C$21, $C$9, 100%, $E$9)</f>
        <v>24.767199999999999</v>
      </c>
      <c r="C579" s="10">
        <f>CHOOSE(CONTROL!$C$42, 24.7722, 24.7722) * CHOOSE(CONTROL!$C$21, $C$9, 100%, $E$9)</f>
        <v>24.772200000000002</v>
      </c>
      <c r="D579" s="10">
        <f>CHOOSE(CONTROL!$C$42, 24.8327, 24.8327) * CHOOSE(CONTROL!$C$21, $C$9, 100%, $E$9)</f>
        <v>24.832699999999999</v>
      </c>
      <c r="E579" s="10">
        <f>CHOOSE(CONTROL!$C$42, 24.8664, 24.8664) * CHOOSE(CONTROL!$C$21, $C$9, 100%, $E$9)</f>
        <v>24.866399999999999</v>
      </c>
      <c r="F579" s="10">
        <f>CHOOSE(CONTROL!$C$42, 24.7549, 24.7549)*CHOOSE(CONTROL!$C$21, $C$9, 100%, $E$9)</f>
        <v>24.754899999999999</v>
      </c>
      <c r="G579" s="10">
        <f>CHOOSE(CONTROL!$C$42, 24.7721, 24.7721)*CHOOSE(CONTROL!$C$21, $C$9, 100%, $E$9)</f>
        <v>24.772099999999998</v>
      </c>
      <c r="H579" s="10">
        <f>CHOOSE(CONTROL!$C$42, 24.8556, 24.8556) * CHOOSE(CONTROL!$C$21, $C$9, 100%, $E$9)</f>
        <v>24.855599999999999</v>
      </c>
      <c r="I579" s="10">
        <f>CHOOSE(CONTROL!$C$42, 24.7411, 24.7411)* CHOOSE(CONTROL!$C$21, $C$9, 100%, $E$9)</f>
        <v>24.741099999999999</v>
      </c>
      <c r="J579" s="10">
        <f>CHOOSE(CONTROL!$C$42, 24.7479, 24.7479)* CHOOSE(CONTROL!$C$21, $C$9, 100%, $E$9)</f>
        <v>24.747900000000001</v>
      </c>
      <c r="K579" s="54">
        <f>CHOOSE(CONTROL!$C$42, 24.7372, 24.7372) * CHOOSE(CONTROL!$C$21, $C$9, 100%, $E$9)</f>
        <v>24.737200000000001</v>
      </c>
      <c r="L579" s="10">
        <f>CHOOSE(CONTROL!$C$42, 25.4426, 25.4426) * CHOOSE(CONTROL!$C$21, $C$9, 100%, $E$9)</f>
        <v>25.442599999999999</v>
      </c>
      <c r="M579" s="10">
        <f>CHOOSE(CONTROL!$C$42, 24.512, 24.512) * CHOOSE(CONTROL!$C$21, $C$9, 100%, $E$9)</f>
        <v>24.512</v>
      </c>
      <c r="N579" s="10">
        <f>CHOOSE(CONTROL!$C$42, 24.529, 24.529) * CHOOSE(CONTROL!$C$21, $C$9, 100%, $E$9)</f>
        <v>24.529</v>
      </c>
      <c r="O579" s="10">
        <f>CHOOSE(CONTROL!$C$42, 24.6186, 24.6186) * CHOOSE(CONTROL!$C$21, $C$9, 100%, $E$9)</f>
        <v>24.618600000000001</v>
      </c>
      <c r="P579" s="10">
        <f>CHOOSE(CONTROL!$C$42, 24.5053, 24.5053) * CHOOSE(CONTROL!$C$21, $C$9, 100%, $E$9)</f>
        <v>24.505299999999998</v>
      </c>
      <c r="Q579" s="10">
        <f>CHOOSE(CONTROL!$C$42, 25.2139, 25.2139) * CHOOSE(CONTROL!$C$21, $C$9, 100%, $E$9)</f>
        <v>25.213899999999999</v>
      </c>
      <c r="R579" s="10">
        <f>CHOOSE(CONTROL!$C$42, 25.864, 25.864) * CHOOSE(CONTROL!$C$21, $C$9, 100%, $E$9)</f>
        <v>25.864000000000001</v>
      </c>
      <c r="S579" s="10">
        <f>CHOOSE(CONTROL!$C$42, 24.0493, 24.0493) * CHOOSE(CONTROL!$C$21, $C$9, 100%, $E$9)</f>
        <v>24.049299999999999</v>
      </c>
      <c r="T579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579" s="58">
        <f>(1000*CHOOSE(CONTROL!$C$42, 695, 695)*CHOOSE(CONTROL!$C$42, 0.5599, 0.5599)*CHOOSE(CONTROL!$C$42, 31, 31))/1000000</f>
        <v>12.063045499999998</v>
      </c>
      <c r="V579" s="58">
        <f>(1000*CHOOSE(CONTROL!$C$42, 500, 500)*CHOOSE(CONTROL!$C$42, 0.275, 0.275)*CHOOSE(CONTROL!$C$42, 31, 31))/1000000</f>
        <v>4.2625000000000002</v>
      </c>
      <c r="W579" s="58">
        <f>(1000*CHOOSE(CONTROL!$C$42, 0.1146, 0.1146)*CHOOSE(CONTROL!$C$42, 121.5, 121.5)*CHOOSE(CONTROL!$C$42, 31, 31))/1000000</f>
        <v>0.43164089999999994</v>
      </c>
      <c r="X579" s="58">
        <f>(31*0.1790888*100000/1000000)+(31*0.2374*100000/1000000)</f>
        <v>1.2911152800000001</v>
      </c>
      <c r="Y579" s="58"/>
      <c r="Z579" s="10"/>
      <c r="AA579" s="57"/>
      <c r="AB579" s="51">
        <f>(B579*122.58+C579*297.941+D579*89.177+E579*40.302+F579*40+G579*160+H579*0+I579*100+J579*300)/(122.58+297.941+89.177+40.302+0+40+160+100+300)</f>
        <v>24.770000658173913</v>
      </c>
      <c r="AC579" s="27">
        <f>(M579*'RAP TEMPLATE-GAS AVAILABILITY'!O578+N579*'RAP TEMPLATE-GAS AVAILABILITY'!P578+O579*'RAP TEMPLATE-GAS AVAILABILITY'!Q578+P579*'RAP TEMPLATE-GAS AVAILABILITY'!R578)/('RAP TEMPLATE-GAS AVAILABILITY'!O578+'RAP TEMPLATE-GAS AVAILABILITY'!P578+'RAP TEMPLATE-GAS AVAILABILITY'!Q578+'RAP TEMPLATE-GAS AVAILABILITY'!R578)</f>
        <v>24.560329496402879</v>
      </c>
    </row>
    <row r="580" spans="1:29" ht="15.75" x14ac:dyDescent="0.25">
      <c r="A580" s="13">
        <v>58561</v>
      </c>
      <c r="B580" s="10">
        <f>CHOOSE(CONTROL!$C$42, 24.6942, 24.6942) * CHOOSE(CONTROL!$C$21, $C$9, 100%, $E$9)</f>
        <v>24.694199999999999</v>
      </c>
      <c r="C580" s="10">
        <f>CHOOSE(CONTROL!$C$42, 24.6986, 24.6986) * CHOOSE(CONTROL!$C$21, $C$9, 100%, $E$9)</f>
        <v>24.698599999999999</v>
      </c>
      <c r="D580" s="10">
        <f>CHOOSE(CONTROL!$C$42, 24.8942, 24.8942) * CHOOSE(CONTROL!$C$21, $C$9, 100%, $E$9)</f>
        <v>24.894200000000001</v>
      </c>
      <c r="E580" s="10">
        <f>CHOOSE(CONTROL!$C$42, 24.926, 24.926) * CHOOSE(CONTROL!$C$21, $C$9, 100%, $E$9)</f>
        <v>24.925999999999998</v>
      </c>
      <c r="F580" s="10">
        <f>CHOOSE(CONTROL!$C$42, 24.662, 24.662)*CHOOSE(CONTROL!$C$21, $C$9, 100%, $E$9)</f>
        <v>24.661999999999999</v>
      </c>
      <c r="G580" s="10">
        <f>CHOOSE(CONTROL!$C$42, 24.6788, 24.6788)*CHOOSE(CONTROL!$C$21, $C$9, 100%, $E$9)</f>
        <v>24.678799999999999</v>
      </c>
      <c r="H580" s="10">
        <f>CHOOSE(CONTROL!$C$42, 24.9158, 24.9158) * CHOOSE(CONTROL!$C$21, $C$9, 100%, $E$9)</f>
        <v>24.915800000000001</v>
      </c>
      <c r="I580" s="10">
        <f>CHOOSE(CONTROL!$C$42, 24.6622, 24.6622)* CHOOSE(CONTROL!$C$21, $C$9, 100%, $E$9)</f>
        <v>24.662199999999999</v>
      </c>
      <c r="J580" s="10">
        <f>CHOOSE(CONTROL!$C$42, 24.655, 24.655)* CHOOSE(CONTROL!$C$21, $C$9, 100%, $E$9)</f>
        <v>24.655000000000001</v>
      </c>
      <c r="K580" s="54">
        <f>CHOOSE(CONTROL!$C$42, 24.6583, 24.6583) * CHOOSE(CONTROL!$C$21, $C$9, 100%, $E$9)</f>
        <v>24.658300000000001</v>
      </c>
      <c r="L580" s="10">
        <f>CHOOSE(CONTROL!$C$42, 25.5028, 25.5028) * CHOOSE(CONTROL!$C$21, $C$9, 100%, $E$9)</f>
        <v>25.502800000000001</v>
      </c>
      <c r="M580" s="10">
        <f>CHOOSE(CONTROL!$C$42, 24.4201, 24.4201) * CHOOSE(CONTROL!$C$21, $C$9, 100%, $E$9)</f>
        <v>24.420100000000001</v>
      </c>
      <c r="N580" s="10">
        <f>CHOOSE(CONTROL!$C$42, 24.4367, 24.4367) * CHOOSE(CONTROL!$C$21, $C$9, 100%, $E$9)</f>
        <v>24.436699999999998</v>
      </c>
      <c r="O580" s="10">
        <f>CHOOSE(CONTROL!$C$42, 24.6781, 24.6781) * CHOOSE(CONTROL!$C$21, $C$9, 100%, $E$9)</f>
        <v>24.678100000000001</v>
      </c>
      <c r="P580" s="10">
        <f>CHOOSE(CONTROL!$C$42, 24.4272, 24.4272) * CHOOSE(CONTROL!$C$21, $C$9, 100%, $E$9)</f>
        <v>24.427199999999999</v>
      </c>
      <c r="Q580" s="10">
        <f>CHOOSE(CONTROL!$C$42, 25.2734, 25.2734) * CHOOSE(CONTROL!$C$21, $C$9, 100%, $E$9)</f>
        <v>25.273399999999999</v>
      </c>
      <c r="R580" s="10">
        <f>CHOOSE(CONTROL!$C$42, 25.9236, 25.9236) * CHOOSE(CONTROL!$C$21, $C$9, 100%, $E$9)</f>
        <v>25.9236</v>
      </c>
      <c r="S580" s="10">
        <f>CHOOSE(CONTROL!$C$42, 23.9777, 23.9777) * CHOOSE(CONTROL!$C$21, $C$9, 100%, $E$9)</f>
        <v>23.977699999999999</v>
      </c>
      <c r="T580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580" s="58">
        <f>(1000*CHOOSE(CONTROL!$C$42, 695, 695)*CHOOSE(CONTROL!$C$42, 0.5599, 0.5599)*CHOOSE(CONTROL!$C$42, 30, 30))/1000000</f>
        <v>11.673914999999997</v>
      </c>
      <c r="V580" s="58">
        <f>(1000*CHOOSE(CONTROL!$C$42, 500, 500)*CHOOSE(CONTROL!$C$42, 0.275, 0.275)*CHOOSE(CONTROL!$C$42, 30, 30))/1000000</f>
        <v>4.125</v>
      </c>
      <c r="W580" s="58">
        <f>(1000*CHOOSE(CONTROL!$C$42, 0.1146, 0.1146)*CHOOSE(CONTROL!$C$42, 121.5, 121.5)*CHOOSE(CONTROL!$C$42, 30, 30))/1000000</f>
        <v>0.417717</v>
      </c>
      <c r="X580" s="58">
        <f>(30*0.1790888*245000/1000000)+(30*0.2374*100000/1000000)</f>
        <v>2.0285026799999999</v>
      </c>
      <c r="Y580" s="58"/>
      <c r="Z580" s="10"/>
      <c r="AA580" s="57"/>
      <c r="AB580" s="51">
        <f>(B580*141.293+C580*267.993+D580*115.016+E580*89.698+F580*40+G580*185+H580*0+I580*100+J580*300)/(141.293+267.993+115.016+89.698+0+40+185+100+300)</f>
        <v>24.715085686521384</v>
      </c>
      <c r="AC580" s="27">
        <f>(M580*'RAP TEMPLATE-GAS AVAILABILITY'!O579+N580*'RAP TEMPLATE-GAS AVAILABILITY'!P579+O580*'RAP TEMPLATE-GAS AVAILABILITY'!Q579+P580*'RAP TEMPLATE-GAS AVAILABILITY'!R579)/('RAP TEMPLATE-GAS AVAILABILITY'!O579+'RAP TEMPLATE-GAS AVAILABILITY'!P579+'RAP TEMPLATE-GAS AVAILABILITY'!Q579+'RAP TEMPLATE-GAS AVAILABILITY'!R579)</f>
        <v>24.497331654676263</v>
      </c>
    </row>
    <row r="581" spans="1:29" ht="15.75" x14ac:dyDescent="0.25">
      <c r="A581" s="13">
        <v>58592</v>
      </c>
      <c r="B581" s="10">
        <f>CHOOSE(CONTROL!$C$42, 24.9136, 24.9136) * CHOOSE(CONTROL!$C$21, $C$9, 100%, $E$9)</f>
        <v>24.913599999999999</v>
      </c>
      <c r="C581" s="10">
        <f>CHOOSE(CONTROL!$C$42, 24.9215, 24.9215) * CHOOSE(CONTROL!$C$21, $C$9, 100%, $E$9)</f>
        <v>24.921500000000002</v>
      </c>
      <c r="D581" s="10">
        <f>CHOOSE(CONTROL!$C$42, 25.1139, 25.1139) * CHOOSE(CONTROL!$C$21, $C$9, 100%, $E$9)</f>
        <v>25.113900000000001</v>
      </c>
      <c r="E581" s="10">
        <f>CHOOSE(CONTROL!$C$42, 25.145, 25.145) * CHOOSE(CONTROL!$C$21, $C$9, 100%, $E$9)</f>
        <v>25.145</v>
      </c>
      <c r="F581" s="10">
        <f>CHOOSE(CONTROL!$C$42, 24.8798, 24.8798)*CHOOSE(CONTROL!$C$21, $C$9, 100%, $E$9)</f>
        <v>24.879799999999999</v>
      </c>
      <c r="G581" s="10">
        <f>CHOOSE(CONTROL!$C$42, 24.8969, 24.8969)*CHOOSE(CONTROL!$C$21, $C$9, 100%, $E$9)</f>
        <v>24.896899999999999</v>
      </c>
      <c r="H581" s="10">
        <f>CHOOSE(CONTROL!$C$42, 25.1337, 25.1337) * CHOOSE(CONTROL!$C$21, $C$9, 100%, $E$9)</f>
        <v>25.133700000000001</v>
      </c>
      <c r="I581" s="10">
        <f>CHOOSE(CONTROL!$C$42, 24.8801, 24.8801)* CHOOSE(CONTROL!$C$21, $C$9, 100%, $E$9)</f>
        <v>24.880099999999999</v>
      </c>
      <c r="J581" s="10">
        <f>CHOOSE(CONTROL!$C$42, 24.8728, 24.8728)* CHOOSE(CONTROL!$C$21, $C$9, 100%, $E$9)</f>
        <v>24.872800000000002</v>
      </c>
      <c r="K581" s="54">
        <f>CHOOSE(CONTROL!$C$42, 24.8762, 24.8762) * CHOOSE(CONTROL!$C$21, $C$9, 100%, $E$9)</f>
        <v>24.876200000000001</v>
      </c>
      <c r="L581" s="10">
        <f>CHOOSE(CONTROL!$C$42, 25.7207, 25.7207) * CHOOSE(CONTROL!$C$21, $C$9, 100%, $E$9)</f>
        <v>25.720700000000001</v>
      </c>
      <c r="M581" s="10">
        <f>CHOOSE(CONTROL!$C$42, 24.6356, 24.6356) * CHOOSE(CONTROL!$C$21, $C$9, 100%, $E$9)</f>
        <v>24.6356</v>
      </c>
      <c r="N581" s="10">
        <f>CHOOSE(CONTROL!$C$42, 24.6526, 24.6526) * CHOOSE(CONTROL!$C$21, $C$9, 100%, $E$9)</f>
        <v>24.6526</v>
      </c>
      <c r="O581" s="10">
        <f>CHOOSE(CONTROL!$C$42, 24.8939, 24.8939) * CHOOSE(CONTROL!$C$21, $C$9, 100%, $E$9)</f>
        <v>24.893899999999999</v>
      </c>
      <c r="P581" s="10">
        <f>CHOOSE(CONTROL!$C$42, 24.6429, 24.6429) * CHOOSE(CONTROL!$C$21, $C$9, 100%, $E$9)</f>
        <v>24.642900000000001</v>
      </c>
      <c r="Q581" s="10">
        <f>CHOOSE(CONTROL!$C$42, 25.4892, 25.4892) * CHOOSE(CONTROL!$C$21, $C$9, 100%, $E$9)</f>
        <v>25.4892</v>
      </c>
      <c r="R581" s="10">
        <f>CHOOSE(CONTROL!$C$42, 26.1399, 26.1399) * CHOOSE(CONTROL!$C$21, $C$9, 100%, $E$9)</f>
        <v>26.139900000000001</v>
      </c>
      <c r="S581" s="10">
        <f>CHOOSE(CONTROL!$C$42, 24.1893, 24.1893) * CHOOSE(CONTROL!$C$21, $C$9, 100%, $E$9)</f>
        <v>24.189299999999999</v>
      </c>
      <c r="T581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581" s="58">
        <f>(1000*CHOOSE(CONTROL!$C$42, 695, 695)*CHOOSE(CONTROL!$C$42, 0.5599, 0.5599)*CHOOSE(CONTROL!$C$42, 31, 31))/1000000</f>
        <v>12.063045499999998</v>
      </c>
      <c r="V581" s="58">
        <f>(1000*CHOOSE(CONTROL!$C$42, 500, 500)*CHOOSE(CONTROL!$C$42, 0.275, 0.275)*CHOOSE(CONTROL!$C$42, 31, 31))/1000000</f>
        <v>4.2625000000000002</v>
      </c>
      <c r="W581" s="58">
        <f>(1000*CHOOSE(CONTROL!$C$42, 0.1146, 0.1146)*CHOOSE(CONTROL!$C$42, 121.5, 121.5)*CHOOSE(CONTROL!$C$42, 31, 31))/1000000</f>
        <v>0.43164089999999994</v>
      </c>
      <c r="X581" s="58">
        <f>(31*0.1790888*245000/1000000)+(31*0.2374*100000/1000000)</f>
        <v>2.0961194359999999</v>
      </c>
      <c r="Y581" s="58"/>
      <c r="Z581" s="10"/>
      <c r="AA581" s="57"/>
      <c r="AB581" s="51">
        <f>(B581*194.205+C581*267.466+D581*133.845+E581*53.484+F581*40+G581*185+H581*0+I581*100+J581*300)/(194.205+267.466+133.845+53.484+0+40+185+100+300)</f>
        <v>24.930292961145998</v>
      </c>
      <c r="AC581" s="27">
        <f>(M581*'RAP TEMPLATE-GAS AVAILABILITY'!O580+N581*'RAP TEMPLATE-GAS AVAILABILITY'!P580+O581*'RAP TEMPLATE-GAS AVAILABILITY'!Q580+P581*'RAP TEMPLATE-GAS AVAILABILITY'!R580)/('RAP TEMPLATE-GAS AVAILABILITY'!O580+'RAP TEMPLATE-GAS AVAILABILITY'!P580+'RAP TEMPLATE-GAS AVAILABILITY'!Q580+'RAP TEMPLATE-GAS AVAILABILITY'!R580)</f>
        <v>24.713036690647481</v>
      </c>
    </row>
    <row r="582" spans="1:29" ht="15.75" x14ac:dyDescent="0.25">
      <c r="A582" s="13">
        <v>58622</v>
      </c>
      <c r="B582" s="10">
        <f>CHOOSE(CONTROL!$C$42, 25.6201, 25.6201) * CHOOSE(CONTROL!$C$21, $C$9, 100%, $E$9)</f>
        <v>25.620100000000001</v>
      </c>
      <c r="C582" s="10">
        <f>CHOOSE(CONTROL!$C$42, 25.628, 25.628) * CHOOSE(CONTROL!$C$21, $C$9, 100%, $E$9)</f>
        <v>25.628</v>
      </c>
      <c r="D582" s="10">
        <f>CHOOSE(CONTROL!$C$42, 25.8205, 25.8205) * CHOOSE(CONTROL!$C$21, $C$9, 100%, $E$9)</f>
        <v>25.820499999999999</v>
      </c>
      <c r="E582" s="10">
        <f>CHOOSE(CONTROL!$C$42, 25.8516, 25.8516) * CHOOSE(CONTROL!$C$21, $C$9, 100%, $E$9)</f>
        <v>25.851600000000001</v>
      </c>
      <c r="F582" s="10">
        <f>CHOOSE(CONTROL!$C$42, 25.5866, 25.5866)*CHOOSE(CONTROL!$C$21, $C$9, 100%, $E$9)</f>
        <v>25.586600000000001</v>
      </c>
      <c r="G582" s="10">
        <f>CHOOSE(CONTROL!$C$42, 25.6038, 25.6038)*CHOOSE(CONTROL!$C$21, $C$9, 100%, $E$9)</f>
        <v>25.6038</v>
      </c>
      <c r="H582" s="10">
        <f>CHOOSE(CONTROL!$C$42, 25.8402, 25.8402) * CHOOSE(CONTROL!$C$21, $C$9, 100%, $E$9)</f>
        <v>25.840199999999999</v>
      </c>
      <c r="I582" s="10">
        <f>CHOOSE(CONTROL!$C$42, 25.5867, 25.5867)* CHOOSE(CONTROL!$C$21, $C$9, 100%, $E$9)</f>
        <v>25.5867</v>
      </c>
      <c r="J582" s="10">
        <f>CHOOSE(CONTROL!$C$42, 25.5796, 25.5796)* CHOOSE(CONTROL!$C$21, $C$9, 100%, $E$9)</f>
        <v>25.579599999999999</v>
      </c>
      <c r="K582" s="54">
        <f>CHOOSE(CONTROL!$C$42, 25.5828, 25.5828) * CHOOSE(CONTROL!$C$21, $C$9, 100%, $E$9)</f>
        <v>25.582799999999999</v>
      </c>
      <c r="L582" s="10">
        <f>CHOOSE(CONTROL!$C$42, 26.4272, 26.4272) * CHOOSE(CONTROL!$C$21, $C$9, 100%, $E$9)</f>
        <v>26.427199999999999</v>
      </c>
      <c r="M582" s="10">
        <f>CHOOSE(CONTROL!$C$42, 25.3353, 25.3353) * CHOOSE(CONTROL!$C$21, $C$9, 100%, $E$9)</f>
        <v>25.3353</v>
      </c>
      <c r="N582" s="10">
        <f>CHOOSE(CONTROL!$C$42, 25.3523, 25.3523) * CHOOSE(CONTROL!$C$21, $C$9, 100%, $E$9)</f>
        <v>25.3523</v>
      </c>
      <c r="O582" s="10">
        <f>CHOOSE(CONTROL!$C$42, 25.5933, 25.5933) * CHOOSE(CONTROL!$C$21, $C$9, 100%, $E$9)</f>
        <v>25.593299999999999</v>
      </c>
      <c r="P582" s="10">
        <f>CHOOSE(CONTROL!$C$42, 25.3423, 25.3423) * CHOOSE(CONTROL!$C$21, $C$9, 100%, $E$9)</f>
        <v>25.342300000000002</v>
      </c>
      <c r="Q582" s="10">
        <f>CHOOSE(CONTROL!$C$42, 26.1886, 26.1886) * CHOOSE(CONTROL!$C$21, $C$9, 100%, $E$9)</f>
        <v>26.188600000000001</v>
      </c>
      <c r="R582" s="10">
        <f>CHOOSE(CONTROL!$C$42, 26.8411, 26.8411) * CHOOSE(CONTROL!$C$21, $C$9, 100%, $E$9)</f>
        <v>26.841100000000001</v>
      </c>
      <c r="S582" s="10">
        <f>CHOOSE(CONTROL!$C$42, 24.8754, 24.8754) * CHOOSE(CONTROL!$C$21, $C$9, 100%, $E$9)</f>
        <v>24.875399999999999</v>
      </c>
      <c r="T582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582" s="58">
        <f>(1000*CHOOSE(CONTROL!$C$42, 695, 695)*CHOOSE(CONTROL!$C$42, 0.5599, 0.5599)*CHOOSE(CONTROL!$C$42, 30, 30))/1000000</f>
        <v>11.673914999999997</v>
      </c>
      <c r="V582" s="58">
        <f>(1000*CHOOSE(CONTROL!$C$42, 500, 500)*CHOOSE(CONTROL!$C$42, 0.275, 0.275)*CHOOSE(CONTROL!$C$42, 30, 30))/1000000</f>
        <v>4.125</v>
      </c>
      <c r="W582" s="58">
        <f>(1000*CHOOSE(CONTROL!$C$42, 0.1146, 0.1146)*CHOOSE(CONTROL!$C$42, 121.5, 121.5)*CHOOSE(CONTROL!$C$42, 30, 30))/1000000</f>
        <v>0.417717</v>
      </c>
      <c r="X582" s="58">
        <f>(30*0.1790888*245000/1000000)+(30*0.2374*100000/1000000)</f>
        <v>2.0285026799999999</v>
      </c>
      <c r="Y582" s="58"/>
      <c r="Z582" s="10"/>
      <c r="AA582" s="57"/>
      <c r="AB582" s="51">
        <f>(B582*194.205+C582*267.466+D582*133.845+E582*53.484+F582*40+G582*185+H582*0+I582*100+J582*300)/(194.205+267.466+133.845+53.484+0+40+185+100+300)</f>
        <v>25.636953662009422</v>
      </c>
      <c r="AC582" s="27">
        <f>(M582*'RAP TEMPLATE-GAS AVAILABILITY'!O581+N582*'RAP TEMPLATE-GAS AVAILABILITY'!P581+O582*'RAP TEMPLATE-GAS AVAILABILITY'!Q581+P582*'RAP TEMPLATE-GAS AVAILABILITY'!R581)/('RAP TEMPLATE-GAS AVAILABILITY'!O581+'RAP TEMPLATE-GAS AVAILABILITY'!P581+'RAP TEMPLATE-GAS AVAILABILITY'!Q581+'RAP TEMPLATE-GAS AVAILABILITY'!R581)</f>
        <v>25.412609352517986</v>
      </c>
    </row>
    <row r="583" spans="1:29" ht="15.75" x14ac:dyDescent="0.25">
      <c r="A583" s="13">
        <v>58653</v>
      </c>
      <c r="B583" s="10">
        <f>CHOOSE(CONTROL!$C$42, 25.1287, 25.1287) * CHOOSE(CONTROL!$C$21, $C$9, 100%, $E$9)</f>
        <v>25.128699999999998</v>
      </c>
      <c r="C583" s="10">
        <f>CHOOSE(CONTROL!$C$42, 25.1366, 25.1366) * CHOOSE(CONTROL!$C$21, $C$9, 100%, $E$9)</f>
        <v>25.136600000000001</v>
      </c>
      <c r="D583" s="10">
        <f>CHOOSE(CONTROL!$C$42, 25.329, 25.329) * CHOOSE(CONTROL!$C$21, $C$9, 100%, $E$9)</f>
        <v>25.329000000000001</v>
      </c>
      <c r="E583" s="10">
        <f>CHOOSE(CONTROL!$C$42, 25.3602, 25.3602) * CHOOSE(CONTROL!$C$21, $C$9, 100%, $E$9)</f>
        <v>25.360199999999999</v>
      </c>
      <c r="F583" s="10">
        <f>CHOOSE(CONTROL!$C$42, 25.0956, 25.0956)*CHOOSE(CONTROL!$C$21, $C$9, 100%, $E$9)</f>
        <v>25.095600000000001</v>
      </c>
      <c r="G583" s="10">
        <f>CHOOSE(CONTROL!$C$42, 25.1129, 25.1129)*CHOOSE(CONTROL!$C$21, $C$9, 100%, $E$9)</f>
        <v>25.1129</v>
      </c>
      <c r="H583" s="10">
        <f>CHOOSE(CONTROL!$C$42, 25.3488, 25.3488) * CHOOSE(CONTROL!$C$21, $C$9, 100%, $E$9)</f>
        <v>25.348800000000001</v>
      </c>
      <c r="I583" s="10">
        <f>CHOOSE(CONTROL!$C$42, 25.0953, 25.0953)* CHOOSE(CONTROL!$C$21, $C$9, 100%, $E$9)</f>
        <v>25.095300000000002</v>
      </c>
      <c r="J583" s="10">
        <f>CHOOSE(CONTROL!$C$42, 25.0886, 25.0886)* CHOOSE(CONTROL!$C$21, $C$9, 100%, $E$9)</f>
        <v>25.0886</v>
      </c>
      <c r="K583" s="54">
        <f>CHOOSE(CONTROL!$C$42, 25.0914, 25.0914) * CHOOSE(CONTROL!$C$21, $C$9, 100%, $E$9)</f>
        <v>25.0914</v>
      </c>
      <c r="L583" s="10">
        <f>CHOOSE(CONTROL!$C$42, 25.9358, 25.9358) * CHOOSE(CONTROL!$C$21, $C$9, 100%, $E$9)</f>
        <v>25.9358</v>
      </c>
      <c r="M583" s="10">
        <f>CHOOSE(CONTROL!$C$42, 24.8492, 24.8492) * CHOOSE(CONTROL!$C$21, $C$9, 100%, $E$9)</f>
        <v>24.8492</v>
      </c>
      <c r="N583" s="10">
        <f>CHOOSE(CONTROL!$C$42, 24.8663, 24.8663) * CHOOSE(CONTROL!$C$21, $C$9, 100%, $E$9)</f>
        <v>24.866299999999999</v>
      </c>
      <c r="O583" s="10">
        <f>CHOOSE(CONTROL!$C$42, 25.1068, 25.1068) * CHOOSE(CONTROL!$C$21, $C$9, 100%, $E$9)</f>
        <v>25.1068</v>
      </c>
      <c r="P583" s="10">
        <f>CHOOSE(CONTROL!$C$42, 24.8559, 24.8559) * CHOOSE(CONTROL!$C$21, $C$9, 100%, $E$9)</f>
        <v>24.855899999999998</v>
      </c>
      <c r="Q583" s="10">
        <f>CHOOSE(CONTROL!$C$42, 25.7021, 25.7021) * CHOOSE(CONTROL!$C$21, $C$9, 100%, $E$9)</f>
        <v>25.702100000000002</v>
      </c>
      <c r="R583" s="10">
        <f>CHOOSE(CONTROL!$C$42, 26.3534, 26.3534) * CHOOSE(CONTROL!$C$21, $C$9, 100%, $E$9)</f>
        <v>26.353400000000001</v>
      </c>
      <c r="S583" s="10">
        <f>CHOOSE(CONTROL!$C$42, 24.3982, 24.3982) * CHOOSE(CONTROL!$C$21, $C$9, 100%, $E$9)</f>
        <v>24.398199999999999</v>
      </c>
      <c r="T583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583" s="58">
        <f>(1000*CHOOSE(CONTROL!$C$42, 695, 695)*CHOOSE(CONTROL!$C$42, 0.5599, 0.5599)*CHOOSE(CONTROL!$C$42, 31, 31))/1000000</f>
        <v>12.063045499999998</v>
      </c>
      <c r="V583" s="58">
        <f>(1000*CHOOSE(CONTROL!$C$42, 500, 500)*CHOOSE(CONTROL!$C$42, 0.275, 0.275)*CHOOSE(CONTROL!$C$42, 31, 31))/1000000</f>
        <v>4.2625000000000002</v>
      </c>
      <c r="W583" s="58">
        <f>(1000*CHOOSE(CONTROL!$C$42, 0.1146, 0.1146)*CHOOSE(CONTROL!$C$42, 121.5, 121.5)*CHOOSE(CONTROL!$C$42, 31, 31))/1000000</f>
        <v>0.43164089999999994</v>
      </c>
      <c r="X583" s="58">
        <f>(31*0.1790888*245000/1000000)+(31*0.2374*100000/1000000)</f>
        <v>2.0961194359999999</v>
      </c>
      <c r="Y583" s="58"/>
      <c r="Z583" s="10"/>
      <c r="AA583" s="57"/>
      <c r="AB583" s="51">
        <f>(B583*194.205+C583*267.466+D583*133.845+E583*53.484+F583*40+G583*185+H583*0+I583*100+J583*300)/(194.205+267.466+133.845+53.484+0+40+185+100+300)</f>
        <v>25.145722512480372</v>
      </c>
      <c r="AC583" s="27">
        <f>(M583*'RAP TEMPLATE-GAS AVAILABILITY'!O582+N583*'RAP TEMPLATE-GAS AVAILABILITY'!P582+O583*'RAP TEMPLATE-GAS AVAILABILITY'!Q582+P583*'RAP TEMPLATE-GAS AVAILABILITY'!R582)/('RAP TEMPLATE-GAS AVAILABILITY'!O582+'RAP TEMPLATE-GAS AVAILABILITY'!P582+'RAP TEMPLATE-GAS AVAILABILITY'!Q582+'RAP TEMPLATE-GAS AVAILABILITY'!R582)</f>
        <v>24.926376978417263</v>
      </c>
    </row>
    <row r="584" spans="1:29" ht="15.75" x14ac:dyDescent="0.25">
      <c r="A584" s="13">
        <v>58684</v>
      </c>
      <c r="B584" s="10">
        <f>CHOOSE(CONTROL!$C$42, 23.8877, 23.8877) * CHOOSE(CONTROL!$C$21, $C$9, 100%, $E$9)</f>
        <v>23.887699999999999</v>
      </c>
      <c r="C584" s="10">
        <f>CHOOSE(CONTROL!$C$42, 23.8956, 23.8956) * CHOOSE(CONTROL!$C$21, $C$9, 100%, $E$9)</f>
        <v>23.895600000000002</v>
      </c>
      <c r="D584" s="10">
        <f>CHOOSE(CONTROL!$C$42, 24.0881, 24.0881) * CHOOSE(CONTROL!$C$21, $C$9, 100%, $E$9)</f>
        <v>24.088100000000001</v>
      </c>
      <c r="E584" s="10">
        <f>CHOOSE(CONTROL!$C$42, 24.1192, 24.1192) * CHOOSE(CONTROL!$C$21, $C$9, 100%, $E$9)</f>
        <v>24.119199999999999</v>
      </c>
      <c r="F584" s="10">
        <f>CHOOSE(CONTROL!$C$42, 23.8548, 23.8548)*CHOOSE(CONTROL!$C$21, $C$9, 100%, $E$9)</f>
        <v>23.854800000000001</v>
      </c>
      <c r="G584" s="10">
        <f>CHOOSE(CONTROL!$C$42, 23.8721, 23.8721)*CHOOSE(CONTROL!$C$21, $C$9, 100%, $E$9)</f>
        <v>23.8721</v>
      </c>
      <c r="H584" s="10">
        <f>CHOOSE(CONTROL!$C$42, 24.1078, 24.1078) * CHOOSE(CONTROL!$C$21, $C$9, 100%, $E$9)</f>
        <v>24.107800000000001</v>
      </c>
      <c r="I584" s="10">
        <f>CHOOSE(CONTROL!$C$42, 23.8543, 23.8543)* CHOOSE(CONTROL!$C$21, $C$9, 100%, $E$9)</f>
        <v>23.854299999999999</v>
      </c>
      <c r="J584" s="10">
        <f>CHOOSE(CONTROL!$C$42, 23.8478, 23.8478)* CHOOSE(CONTROL!$C$21, $C$9, 100%, $E$9)</f>
        <v>23.847799999999999</v>
      </c>
      <c r="K584" s="54">
        <f>CHOOSE(CONTROL!$C$42, 23.8504, 23.8504) * CHOOSE(CONTROL!$C$21, $C$9, 100%, $E$9)</f>
        <v>23.8504</v>
      </c>
      <c r="L584" s="10">
        <f>CHOOSE(CONTROL!$C$42, 24.6948, 24.6948) * CHOOSE(CONTROL!$C$21, $C$9, 100%, $E$9)</f>
        <v>24.694800000000001</v>
      </c>
      <c r="M584" s="10">
        <f>CHOOSE(CONTROL!$C$42, 23.6209, 23.6209) * CHOOSE(CONTROL!$C$21, $C$9, 100%, $E$9)</f>
        <v>23.620899999999999</v>
      </c>
      <c r="N584" s="10">
        <f>CHOOSE(CONTROL!$C$42, 23.6381, 23.6381) * CHOOSE(CONTROL!$C$21, $C$9, 100%, $E$9)</f>
        <v>23.638100000000001</v>
      </c>
      <c r="O584" s="10">
        <f>CHOOSE(CONTROL!$C$42, 23.8784, 23.8784) * CHOOSE(CONTROL!$C$21, $C$9, 100%, $E$9)</f>
        <v>23.878399999999999</v>
      </c>
      <c r="P584" s="10">
        <f>CHOOSE(CONTROL!$C$42, 23.6274, 23.6274) * CHOOSE(CONTROL!$C$21, $C$9, 100%, $E$9)</f>
        <v>23.627400000000002</v>
      </c>
      <c r="Q584" s="10">
        <f>CHOOSE(CONTROL!$C$42, 24.4737, 24.4737) * CHOOSE(CONTROL!$C$21, $C$9, 100%, $E$9)</f>
        <v>24.473700000000001</v>
      </c>
      <c r="R584" s="10">
        <f>CHOOSE(CONTROL!$C$42, 25.1219, 25.1219) * CHOOSE(CONTROL!$C$21, $C$9, 100%, $E$9)</f>
        <v>25.1219</v>
      </c>
      <c r="S584" s="10">
        <f>CHOOSE(CONTROL!$C$42, 23.1931, 23.1931) * CHOOSE(CONTROL!$C$21, $C$9, 100%, $E$9)</f>
        <v>23.193100000000001</v>
      </c>
      <c r="T584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584" s="58">
        <f>(1000*CHOOSE(CONTROL!$C$42, 695, 695)*CHOOSE(CONTROL!$C$42, 0.5599, 0.5599)*CHOOSE(CONTROL!$C$42, 31, 31))/1000000</f>
        <v>12.063045499999998</v>
      </c>
      <c r="V584" s="58">
        <f>(1000*CHOOSE(CONTROL!$C$42, 500, 500)*CHOOSE(CONTROL!$C$42, 0.275, 0.275)*CHOOSE(CONTROL!$C$42, 31, 31))/1000000</f>
        <v>4.2625000000000002</v>
      </c>
      <c r="W584" s="58">
        <f>(1000*CHOOSE(CONTROL!$C$42, 0.1146, 0.1146)*CHOOSE(CONTROL!$C$42, 121.5, 121.5)*CHOOSE(CONTROL!$C$42, 31, 31))/1000000</f>
        <v>0.43164089999999994</v>
      </c>
      <c r="X584" s="58">
        <f>(31*0.1790888*245000/1000000)+(31*0.2374*100000/1000000)</f>
        <v>2.0961194359999999</v>
      </c>
      <c r="Y584" s="58"/>
      <c r="Z584" s="10"/>
      <c r="AA584" s="57"/>
      <c r="AB584" s="51">
        <f>(B584*194.205+C584*267.466+D584*133.845+E584*53.484+F584*40+G584*185+H584*0+I584*100+J584*300)/(194.205+267.466+133.845+53.484+0+40+185+100+300)</f>
        <v>23.904815435949768</v>
      </c>
      <c r="AC584" s="27">
        <f>(M584*'RAP TEMPLATE-GAS AVAILABILITY'!O583+N584*'RAP TEMPLATE-GAS AVAILABILITY'!P583+O584*'RAP TEMPLATE-GAS AVAILABILITY'!Q583+P584*'RAP TEMPLATE-GAS AVAILABILITY'!R583)/('RAP TEMPLATE-GAS AVAILABILITY'!O583+'RAP TEMPLATE-GAS AVAILABILITY'!P583+'RAP TEMPLATE-GAS AVAILABILITY'!Q583+'RAP TEMPLATE-GAS AVAILABILITY'!R583)</f>
        <v>23.698043165467631</v>
      </c>
    </row>
    <row r="585" spans="1:29" ht="15.75" x14ac:dyDescent="0.25">
      <c r="A585" s="13">
        <v>58714</v>
      </c>
      <c r="B585" s="10">
        <f>CHOOSE(CONTROL!$C$42, 22.3711, 22.3711) * CHOOSE(CONTROL!$C$21, $C$9, 100%, $E$9)</f>
        <v>22.371099999999998</v>
      </c>
      <c r="C585" s="10">
        <f>CHOOSE(CONTROL!$C$42, 22.379, 22.379) * CHOOSE(CONTROL!$C$21, $C$9, 100%, $E$9)</f>
        <v>22.379000000000001</v>
      </c>
      <c r="D585" s="10">
        <f>CHOOSE(CONTROL!$C$42, 22.5715, 22.5715) * CHOOSE(CONTROL!$C$21, $C$9, 100%, $E$9)</f>
        <v>22.5715</v>
      </c>
      <c r="E585" s="10">
        <f>CHOOSE(CONTROL!$C$42, 22.6026, 22.6026) * CHOOSE(CONTROL!$C$21, $C$9, 100%, $E$9)</f>
        <v>22.602599999999999</v>
      </c>
      <c r="F585" s="10">
        <f>CHOOSE(CONTROL!$C$42, 22.338, 22.338)*CHOOSE(CONTROL!$C$21, $C$9, 100%, $E$9)</f>
        <v>22.338000000000001</v>
      </c>
      <c r="G585" s="10">
        <f>CHOOSE(CONTROL!$C$42, 22.3553, 22.3553)*CHOOSE(CONTROL!$C$21, $C$9, 100%, $E$9)</f>
        <v>22.3553</v>
      </c>
      <c r="H585" s="10">
        <f>CHOOSE(CONTROL!$C$42, 22.5912, 22.5912) * CHOOSE(CONTROL!$C$21, $C$9, 100%, $E$9)</f>
        <v>22.591200000000001</v>
      </c>
      <c r="I585" s="10">
        <f>CHOOSE(CONTROL!$C$42, 22.3377, 22.3377)* CHOOSE(CONTROL!$C$21, $C$9, 100%, $E$9)</f>
        <v>22.337700000000002</v>
      </c>
      <c r="J585" s="10">
        <f>CHOOSE(CONTROL!$C$42, 22.331, 22.331)* CHOOSE(CONTROL!$C$21, $C$9, 100%, $E$9)</f>
        <v>22.331</v>
      </c>
      <c r="K585" s="54">
        <f>CHOOSE(CONTROL!$C$42, 22.3338, 22.3338) * CHOOSE(CONTROL!$C$21, $C$9, 100%, $E$9)</f>
        <v>22.3338</v>
      </c>
      <c r="L585" s="10">
        <f>CHOOSE(CONTROL!$C$42, 23.1782, 23.1782) * CHOOSE(CONTROL!$C$21, $C$9, 100%, $E$9)</f>
        <v>23.1782</v>
      </c>
      <c r="M585" s="10">
        <f>CHOOSE(CONTROL!$C$42, 22.1195, 22.1195) * CHOOSE(CONTROL!$C$21, $C$9, 100%, $E$9)</f>
        <v>22.119499999999999</v>
      </c>
      <c r="N585" s="10">
        <f>CHOOSE(CONTROL!$C$42, 22.1366, 22.1366) * CHOOSE(CONTROL!$C$21, $C$9, 100%, $E$9)</f>
        <v>22.136600000000001</v>
      </c>
      <c r="O585" s="10">
        <f>CHOOSE(CONTROL!$C$42, 22.3771, 22.3771) * CHOOSE(CONTROL!$C$21, $C$9, 100%, $E$9)</f>
        <v>22.377099999999999</v>
      </c>
      <c r="P585" s="10">
        <f>CHOOSE(CONTROL!$C$42, 22.1261, 22.1261) * CHOOSE(CONTROL!$C$21, $C$9, 100%, $E$9)</f>
        <v>22.126100000000001</v>
      </c>
      <c r="Q585" s="10">
        <f>CHOOSE(CONTROL!$C$42, 22.9724, 22.9724) * CHOOSE(CONTROL!$C$21, $C$9, 100%, $E$9)</f>
        <v>22.9724</v>
      </c>
      <c r="R585" s="10">
        <f>CHOOSE(CONTROL!$C$42, 23.6168, 23.6168) * CHOOSE(CONTROL!$C$21, $C$9, 100%, $E$9)</f>
        <v>23.616800000000001</v>
      </c>
      <c r="S585" s="10">
        <f>CHOOSE(CONTROL!$C$42, 21.7203, 21.7203) * CHOOSE(CONTROL!$C$21, $C$9, 100%, $E$9)</f>
        <v>21.720300000000002</v>
      </c>
      <c r="T585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585" s="58">
        <f>(1000*CHOOSE(CONTROL!$C$42, 695, 695)*CHOOSE(CONTROL!$C$42, 0.5599, 0.5599)*CHOOSE(CONTROL!$C$42, 30, 30))/1000000</f>
        <v>11.673914999999997</v>
      </c>
      <c r="V585" s="58">
        <f>(1000*CHOOSE(CONTROL!$C$42, 500, 500)*CHOOSE(CONTROL!$C$42, 0.275, 0.275)*CHOOSE(CONTROL!$C$42, 30, 30))/1000000</f>
        <v>4.125</v>
      </c>
      <c r="W585" s="58">
        <f>(1000*CHOOSE(CONTROL!$C$42, 0.1146, 0.1146)*CHOOSE(CONTROL!$C$42, 121.5, 121.5)*CHOOSE(CONTROL!$C$42, 30, 30))/1000000</f>
        <v>0.417717</v>
      </c>
      <c r="X585" s="58">
        <f>(30*0.1790888*245000/1000000)+(30*0.2374*100000/1000000)</f>
        <v>2.0285026799999999</v>
      </c>
      <c r="Y585" s="58"/>
      <c r="Z585" s="10"/>
      <c r="AA585" s="57"/>
      <c r="AB585" s="51">
        <f>(B585*194.205+C585*267.466+D585*133.845+E585*53.484+F585*40+G585*185+H585*0+I585*100+J585*300)/(194.205+267.466+133.845+53.484+0+40+185+100+300)</f>
        <v>22.388133018367348</v>
      </c>
      <c r="AC585" s="27">
        <f>(M585*'RAP TEMPLATE-GAS AVAILABILITY'!O584+N585*'RAP TEMPLATE-GAS AVAILABILITY'!P584+O585*'RAP TEMPLATE-GAS AVAILABILITY'!Q584+P585*'RAP TEMPLATE-GAS AVAILABILITY'!R584)/('RAP TEMPLATE-GAS AVAILABILITY'!O584+'RAP TEMPLATE-GAS AVAILABILITY'!P584+'RAP TEMPLATE-GAS AVAILABILITY'!Q584+'RAP TEMPLATE-GAS AVAILABILITY'!R584)</f>
        <v>22.196662589928057</v>
      </c>
    </row>
    <row r="586" spans="1:29" ht="15.75" x14ac:dyDescent="0.25">
      <c r="A586" s="13">
        <v>58745</v>
      </c>
      <c r="B586" s="10">
        <f>CHOOSE(CONTROL!$C$42, 21.9152, 21.9152) * CHOOSE(CONTROL!$C$21, $C$9, 100%, $E$9)</f>
        <v>21.915199999999999</v>
      </c>
      <c r="C586" s="10">
        <f>CHOOSE(CONTROL!$C$42, 21.9204, 21.9204) * CHOOSE(CONTROL!$C$21, $C$9, 100%, $E$9)</f>
        <v>21.920400000000001</v>
      </c>
      <c r="D586" s="10">
        <f>CHOOSE(CONTROL!$C$42, 22.1178, 22.1178) * CHOOSE(CONTROL!$C$21, $C$9, 100%, $E$9)</f>
        <v>22.117799999999999</v>
      </c>
      <c r="E586" s="10">
        <f>CHOOSE(CONTROL!$C$42, 22.1466, 22.1466) * CHOOSE(CONTROL!$C$21, $C$9, 100%, $E$9)</f>
        <v>22.146599999999999</v>
      </c>
      <c r="F586" s="10">
        <f>CHOOSE(CONTROL!$C$42, 21.8841, 21.8841)*CHOOSE(CONTROL!$C$21, $C$9, 100%, $E$9)</f>
        <v>21.8841</v>
      </c>
      <c r="G586" s="10">
        <f>CHOOSE(CONTROL!$C$42, 21.9011, 21.9011)*CHOOSE(CONTROL!$C$21, $C$9, 100%, $E$9)</f>
        <v>21.9011</v>
      </c>
      <c r="H586" s="10">
        <f>CHOOSE(CONTROL!$C$42, 22.1371, 22.1371) * CHOOSE(CONTROL!$C$21, $C$9, 100%, $E$9)</f>
        <v>22.1371</v>
      </c>
      <c r="I586" s="10">
        <f>CHOOSE(CONTROL!$C$42, 21.8836, 21.8836)* CHOOSE(CONTROL!$C$21, $C$9, 100%, $E$9)</f>
        <v>21.883600000000001</v>
      </c>
      <c r="J586" s="10">
        <f>CHOOSE(CONTROL!$C$42, 21.8771, 21.8771)* CHOOSE(CONTROL!$C$21, $C$9, 100%, $E$9)</f>
        <v>21.877099999999999</v>
      </c>
      <c r="K586" s="54">
        <f>CHOOSE(CONTROL!$C$42, 21.8797, 21.8797) * CHOOSE(CONTROL!$C$21, $C$9, 100%, $E$9)</f>
        <v>21.8797</v>
      </c>
      <c r="L586" s="10">
        <f>CHOOSE(CONTROL!$C$42, 22.7241, 22.7241) * CHOOSE(CONTROL!$C$21, $C$9, 100%, $E$9)</f>
        <v>22.7241</v>
      </c>
      <c r="M586" s="10">
        <f>CHOOSE(CONTROL!$C$42, 21.6702, 21.6702) * CHOOSE(CONTROL!$C$21, $C$9, 100%, $E$9)</f>
        <v>21.670200000000001</v>
      </c>
      <c r="N586" s="10">
        <f>CHOOSE(CONTROL!$C$42, 21.687, 21.687) * CHOOSE(CONTROL!$C$21, $C$9, 100%, $E$9)</f>
        <v>21.687000000000001</v>
      </c>
      <c r="O586" s="10">
        <f>CHOOSE(CONTROL!$C$42, 21.9275, 21.9275) * CHOOSE(CONTROL!$C$21, $C$9, 100%, $E$9)</f>
        <v>21.927499999999998</v>
      </c>
      <c r="P586" s="10">
        <f>CHOOSE(CONTROL!$C$42, 21.6766, 21.6766) * CHOOSE(CONTROL!$C$21, $C$9, 100%, $E$9)</f>
        <v>21.676600000000001</v>
      </c>
      <c r="Q586" s="10">
        <f>CHOOSE(CONTROL!$C$42, 22.5228, 22.5228) * CHOOSE(CONTROL!$C$21, $C$9, 100%, $E$9)</f>
        <v>22.5228</v>
      </c>
      <c r="R586" s="10">
        <f>CHOOSE(CONTROL!$C$42, 23.1661, 23.1661) * CHOOSE(CONTROL!$C$21, $C$9, 100%, $E$9)</f>
        <v>23.1661</v>
      </c>
      <c r="S586" s="10">
        <f>CHOOSE(CONTROL!$C$42, 21.2793, 21.2793) * CHOOSE(CONTROL!$C$21, $C$9, 100%, $E$9)</f>
        <v>21.279299999999999</v>
      </c>
      <c r="T586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586" s="58">
        <f>(1000*CHOOSE(CONTROL!$C$42, 695, 695)*CHOOSE(CONTROL!$C$42, 0.5599, 0.5599)*CHOOSE(CONTROL!$C$42, 31, 31))/1000000</f>
        <v>12.063045499999998</v>
      </c>
      <c r="V586" s="58">
        <f>(1000*CHOOSE(CONTROL!$C$42, 500, 500)*CHOOSE(CONTROL!$C$42, 0.275, 0.275)*CHOOSE(CONTROL!$C$42, 31, 31))/1000000</f>
        <v>4.2625000000000002</v>
      </c>
      <c r="W586" s="58">
        <f>(1000*CHOOSE(CONTROL!$C$42, 0.1146, 0.1146)*CHOOSE(CONTROL!$C$42, 121.5, 121.5)*CHOOSE(CONTROL!$C$42, 31, 31))/1000000</f>
        <v>0.43164089999999994</v>
      </c>
      <c r="X586" s="58">
        <f>(31*0.1790888*245000/1000000)+(31*0.2374*100000/1000000)</f>
        <v>2.0961194359999999</v>
      </c>
      <c r="Y586" s="58"/>
      <c r="Z586" s="10"/>
      <c r="AA586" s="57"/>
      <c r="AB586" s="51">
        <f>(B586*131.881+C586*277.167+D586*79.08+E586*125.872+F586*40+G586*185+H586*0+I586*100+J586*300)/(131.881+277.167+79.08+125.872+0+40+185+100+300)</f>
        <v>21.937917641000809</v>
      </c>
      <c r="AC586" s="27">
        <f>(M586*'RAP TEMPLATE-GAS AVAILABILITY'!O585+N586*'RAP TEMPLATE-GAS AVAILABILITY'!P585+O586*'RAP TEMPLATE-GAS AVAILABILITY'!Q585+P586*'RAP TEMPLATE-GAS AVAILABILITY'!R585)/('RAP TEMPLATE-GAS AVAILABILITY'!O585+'RAP TEMPLATE-GAS AVAILABILITY'!P585+'RAP TEMPLATE-GAS AVAILABILITY'!Q585+'RAP TEMPLATE-GAS AVAILABILITY'!R585)</f>
        <v>21.747180575539566</v>
      </c>
    </row>
    <row r="587" spans="1:29" ht="15.75" x14ac:dyDescent="0.25">
      <c r="A587" s="13">
        <v>58775</v>
      </c>
      <c r="B587" s="10">
        <f>CHOOSE(CONTROL!$C$42, 22.4921, 22.4921) * CHOOSE(CONTROL!$C$21, $C$9, 100%, $E$9)</f>
        <v>22.492100000000001</v>
      </c>
      <c r="C587" s="10">
        <f>CHOOSE(CONTROL!$C$42, 22.497, 22.497) * CHOOSE(CONTROL!$C$21, $C$9, 100%, $E$9)</f>
        <v>22.497</v>
      </c>
      <c r="D587" s="10">
        <f>CHOOSE(CONTROL!$C$42, 22.5266, 22.5266) * CHOOSE(CONTROL!$C$21, $C$9, 100%, $E$9)</f>
        <v>22.526599999999998</v>
      </c>
      <c r="E587" s="10">
        <f>CHOOSE(CONTROL!$C$42, 22.5604, 22.5604) * CHOOSE(CONTROL!$C$21, $C$9, 100%, $E$9)</f>
        <v>22.560400000000001</v>
      </c>
      <c r="F587" s="10">
        <f>CHOOSE(CONTROL!$C$42, 22.4589, 22.4589)*CHOOSE(CONTROL!$C$21, $C$9, 100%, $E$9)</f>
        <v>22.4589</v>
      </c>
      <c r="G587" s="10">
        <f>CHOOSE(CONTROL!$C$42, 22.476, 22.476)*CHOOSE(CONTROL!$C$21, $C$9, 100%, $E$9)</f>
        <v>22.475999999999999</v>
      </c>
      <c r="H587" s="10">
        <f>CHOOSE(CONTROL!$C$42, 22.5496, 22.5496) * CHOOSE(CONTROL!$C$21, $C$9, 100%, $E$9)</f>
        <v>22.549600000000002</v>
      </c>
      <c r="I587" s="10">
        <f>CHOOSE(CONTROL!$C$42, 22.4557, 22.4557)* CHOOSE(CONTROL!$C$21, $C$9, 100%, $E$9)</f>
        <v>22.4557</v>
      </c>
      <c r="J587" s="10">
        <f>CHOOSE(CONTROL!$C$42, 22.4519, 22.4519)* CHOOSE(CONTROL!$C$21, $C$9, 100%, $E$9)</f>
        <v>22.451899999999998</v>
      </c>
      <c r="K587" s="54">
        <f>CHOOSE(CONTROL!$C$42, 22.4518, 22.4518) * CHOOSE(CONTROL!$C$21, $C$9, 100%, $E$9)</f>
        <v>22.451799999999999</v>
      </c>
      <c r="L587" s="10">
        <f>CHOOSE(CONTROL!$C$42, 23.1366, 23.1366) * CHOOSE(CONTROL!$C$21, $C$9, 100%, $E$9)</f>
        <v>23.136600000000001</v>
      </c>
      <c r="M587" s="10">
        <f>CHOOSE(CONTROL!$C$42, 22.2391, 22.2391) * CHOOSE(CONTROL!$C$21, $C$9, 100%, $E$9)</f>
        <v>22.239100000000001</v>
      </c>
      <c r="N587" s="10">
        <f>CHOOSE(CONTROL!$C$42, 22.2561, 22.2561) * CHOOSE(CONTROL!$C$21, $C$9, 100%, $E$9)</f>
        <v>22.2561</v>
      </c>
      <c r="O587" s="10">
        <f>CHOOSE(CONTROL!$C$42, 22.3359, 22.3359) * CHOOSE(CONTROL!$C$21, $C$9, 100%, $E$9)</f>
        <v>22.335899999999999</v>
      </c>
      <c r="P587" s="10">
        <f>CHOOSE(CONTROL!$C$42, 22.2429, 22.2429) * CHOOSE(CONTROL!$C$21, $C$9, 100%, $E$9)</f>
        <v>22.242899999999999</v>
      </c>
      <c r="Q587" s="10">
        <f>CHOOSE(CONTROL!$C$42, 22.9312, 22.9312) * CHOOSE(CONTROL!$C$21, $C$9, 100%, $E$9)</f>
        <v>22.9312</v>
      </c>
      <c r="R587" s="10">
        <f>CHOOSE(CONTROL!$C$42, 23.5755, 23.5755) * CHOOSE(CONTROL!$C$21, $C$9, 100%, $E$9)</f>
        <v>23.575500000000002</v>
      </c>
      <c r="S587" s="10">
        <f>CHOOSE(CONTROL!$C$42, 21.8399, 21.8399) * CHOOSE(CONTROL!$C$21, $C$9, 100%, $E$9)</f>
        <v>21.8399</v>
      </c>
      <c r="T587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587" s="58">
        <f>(1000*CHOOSE(CONTROL!$C$42, 695, 695)*CHOOSE(CONTROL!$C$42, 0.5599, 0.5599)*CHOOSE(CONTROL!$C$42, 30, 30))/1000000</f>
        <v>11.673914999999997</v>
      </c>
      <c r="V587" s="58">
        <f>(1000*CHOOSE(CONTROL!$C$42, 500, 500)*CHOOSE(CONTROL!$C$42, 0.275, 0.275)*CHOOSE(CONTROL!$C$42, 30, 30))/1000000</f>
        <v>4.125</v>
      </c>
      <c r="W587" s="58">
        <f>(1000*CHOOSE(CONTROL!$C$42, 0.1146, 0.1146)*CHOOSE(CONTROL!$C$42, 121.5, 121.5)*CHOOSE(CONTROL!$C$42, 30, 30))/1000000</f>
        <v>0.417717</v>
      </c>
      <c r="X587" s="58">
        <f>(30*0.1790888*100000/1000000)+(30*0.2374*100000/1000000)</f>
        <v>1.2494664</v>
      </c>
      <c r="Y587" s="58"/>
      <c r="Z587" s="10"/>
      <c r="AA587" s="57"/>
      <c r="AB587" s="51">
        <f>(B587*122.58+C587*297.941+D587*89.177+E587*40.302+F587*40+G587*160+H587*0+I587*100+J587*300)/(122.58+297.941+89.177+40.302+0+40+160+100+300)</f>
        <v>22.481391429565214</v>
      </c>
      <c r="AC587" s="27">
        <f>(M587*'RAP TEMPLATE-GAS AVAILABILITY'!O586+N587*'RAP TEMPLATE-GAS AVAILABILITY'!P586+O587*'RAP TEMPLATE-GAS AVAILABILITY'!Q586+P587*'RAP TEMPLATE-GAS AVAILABILITY'!R586)/('RAP TEMPLATE-GAS AVAILABILITY'!O586+'RAP TEMPLATE-GAS AVAILABILITY'!P586+'RAP TEMPLATE-GAS AVAILABILITY'!Q586+'RAP TEMPLATE-GAS AVAILABILITY'!R586)</f>
        <v>22.284498561151079</v>
      </c>
    </row>
    <row r="588" spans="1:29" ht="15.75" x14ac:dyDescent="0.25">
      <c r="A588" s="13">
        <v>58806</v>
      </c>
      <c r="B588" s="10">
        <f>CHOOSE(CONTROL!$C$42, 24.0254, 24.0254) * CHOOSE(CONTROL!$C$21, $C$9, 100%, $E$9)</f>
        <v>24.025400000000001</v>
      </c>
      <c r="C588" s="10">
        <f>CHOOSE(CONTROL!$C$42, 24.0303, 24.0303) * CHOOSE(CONTROL!$C$21, $C$9, 100%, $E$9)</f>
        <v>24.0303</v>
      </c>
      <c r="D588" s="10">
        <f>CHOOSE(CONTROL!$C$42, 24.0599, 24.0599) * CHOOSE(CONTROL!$C$21, $C$9, 100%, $E$9)</f>
        <v>24.059899999999999</v>
      </c>
      <c r="E588" s="10">
        <f>CHOOSE(CONTROL!$C$42, 24.0937, 24.0937) * CHOOSE(CONTROL!$C$21, $C$9, 100%, $E$9)</f>
        <v>24.093699999999998</v>
      </c>
      <c r="F588" s="10">
        <f>CHOOSE(CONTROL!$C$42, 23.9936, 23.9936)*CHOOSE(CONTROL!$C$21, $C$9, 100%, $E$9)</f>
        <v>23.993600000000001</v>
      </c>
      <c r="G588" s="10">
        <f>CHOOSE(CONTROL!$C$42, 24.0111, 24.0111)*CHOOSE(CONTROL!$C$21, $C$9, 100%, $E$9)</f>
        <v>24.011099999999999</v>
      </c>
      <c r="H588" s="10">
        <f>CHOOSE(CONTROL!$C$42, 24.0829, 24.0829) * CHOOSE(CONTROL!$C$21, $C$9, 100%, $E$9)</f>
        <v>24.082899999999999</v>
      </c>
      <c r="I588" s="10">
        <f>CHOOSE(CONTROL!$C$42, 23.989, 23.989)* CHOOSE(CONTROL!$C$21, $C$9, 100%, $E$9)</f>
        <v>23.989000000000001</v>
      </c>
      <c r="J588" s="10">
        <f>CHOOSE(CONTROL!$C$42, 23.9866, 23.9866)* CHOOSE(CONTROL!$C$21, $C$9, 100%, $E$9)</f>
        <v>23.986599999999999</v>
      </c>
      <c r="K588" s="54">
        <f>CHOOSE(CONTROL!$C$42, 23.9851, 23.9851) * CHOOSE(CONTROL!$C$21, $C$9, 100%, $E$9)</f>
        <v>23.985099999999999</v>
      </c>
      <c r="L588" s="10">
        <f>CHOOSE(CONTROL!$C$42, 24.6699, 24.6699) * CHOOSE(CONTROL!$C$21, $C$9, 100%, $E$9)</f>
        <v>24.669899999999998</v>
      </c>
      <c r="M588" s="10">
        <f>CHOOSE(CONTROL!$C$42, 23.7583, 23.7583) * CHOOSE(CONTROL!$C$21, $C$9, 100%, $E$9)</f>
        <v>23.758299999999998</v>
      </c>
      <c r="N588" s="10">
        <f>CHOOSE(CONTROL!$C$42, 23.7757, 23.7757) * CHOOSE(CONTROL!$C$21, $C$9, 100%, $E$9)</f>
        <v>23.775700000000001</v>
      </c>
      <c r="O588" s="10">
        <f>CHOOSE(CONTROL!$C$42, 23.8537, 23.8537) * CHOOSE(CONTROL!$C$21, $C$9, 100%, $E$9)</f>
        <v>23.8537</v>
      </c>
      <c r="P588" s="10">
        <f>CHOOSE(CONTROL!$C$42, 23.7607, 23.7607) * CHOOSE(CONTROL!$C$21, $C$9, 100%, $E$9)</f>
        <v>23.7607</v>
      </c>
      <c r="Q588" s="10">
        <f>CHOOSE(CONTROL!$C$42, 24.449, 24.449) * CHOOSE(CONTROL!$C$21, $C$9, 100%, $E$9)</f>
        <v>24.449000000000002</v>
      </c>
      <c r="R588" s="10">
        <f>CHOOSE(CONTROL!$C$42, 25.0971, 25.0971) * CHOOSE(CONTROL!$C$21, $C$9, 100%, $E$9)</f>
        <v>25.097100000000001</v>
      </c>
      <c r="S588" s="10">
        <f>CHOOSE(CONTROL!$C$42, 23.3289, 23.3289) * CHOOSE(CONTROL!$C$21, $C$9, 100%, $E$9)</f>
        <v>23.328900000000001</v>
      </c>
      <c r="T588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588" s="58">
        <f>(1000*CHOOSE(CONTROL!$C$42, 695, 695)*CHOOSE(CONTROL!$C$42, 0.5599, 0.5599)*CHOOSE(CONTROL!$C$42, 31, 31))/1000000</f>
        <v>12.063045499999998</v>
      </c>
      <c r="V588" s="58">
        <f>(1000*CHOOSE(CONTROL!$C$42, 500, 500)*CHOOSE(CONTROL!$C$42, 0.275, 0.275)*CHOOSE(CONTROL!$C$42, 31, 31))/1000000</f>
        <v>4.2625000000000002</v>
      </c>
      <c r="W588" s="58">
        <f>(1000*CHOOSE(CONTROL!$C$42, 0.1146, 0.1146)*CHOOSE(CONTROL!$C$42, 121.5, 121.5)*CHOOSE(CONTROL!$C$42, 31, 31))/1000000</f>
        <v>0.43164089999999994</v>
      </c>
      <c r="X588" s="58">
        <f>(31*0.1790888*100000/1000000)+(31*0.2374*100000/1000000)</f>
        <v>1.2911152800000001</v>
      </c>
      <c r="Y588" s="58"/>
      <c r="Z588" s="10"/>
      <c r="AA588" s="57"/>
      <c r="AB588" s="51">
        <f>(B588*122.58+C588*297.941+D588*89.177+E588*40.302+F588*40+G588*160+H588*0+I588*100+J588*300)/(122.58+297.941+89.177+40.302+0+40+160+100+300)</f>
        <v>24.015355777391306</v>
      </c>
      <c r="AC588" s="27">
        <f>(M588*'RAP TEMPLATE-GAS AVAILABILITY'!O587+N588*'RAP TEMPLATE-GAS AVAILABILITY'!P587+O588*'RAP TEMPLATE-GAS AVAILABILITY'!Q587+P588*'RAP TEMPLATE-GAS AVAILABILITY'!R587)/('RAP TEMPLATE-GAS AVAILABILITY'!O587+'RAP TEMPLATE-GAS AVAILABILITY'!P587+'RAP TEMPLATE-GAS AVAILABILITY'!Q587+'RAP TEMPLATE-GAS AVAILABILITY'!R587)</f>
        <v>23.802885611510792</v>
      </c>
    </row>
    <row r="589" spans="1:29" ht="15.75" x14ac:dyDescent="0.25">
      <c r="A589" s="13">
        <v>58837</v>
      </c>
      <c r="B589" s="10">
        <f>CHOOSE(CONTROL!$C$42, 25.9937, 25.9937) * CHOOSE(CONTROL!$C$21, $C$9, 100%, $E$9)</f>
        <v>25.9937</v>
      </c>
      <c r="C589" s="10">
        <f>CHOOSE(CONTROL!$C$42, 25.9986, 25.9986) * CHOOSE(CONTROL!$C$21, $C$9, 100%, $E$9)</f>
        <v>25.9986</v>
      </c>
      <c r="D589" s="10">
        <f>CHOOSE(CONTROL!$C$42, 26.0488, 26.0488) * CHOOSE(CONTROL!$C$21, $C$9, 100%, $E$9)</f>
        <v>26.0488</v>
      </c>
      <c r="E589" s="10">
        <f>CHOOSE(CONTROL!$C$42, 26.0826, 26.0826) * CHOOSE(CONTROL!$C$21, $C$9, 100%, $E$9)</f>
        <v>26.082599999999999</v>
      </c>
      <c r="F589" s="10">
        <f>CHOOSE(CONTROL!$C$42, 25.9591, 25.9591)*CHOOSE(CONTROL!$C$21, $C$9, 100%, $E$9)</f>
        <v>25.959099999999999</v>
      </c>
      <c r="G589" s="10">
        <f>CHOOSE(CONTROL!$C$42, 25.9766, 25.9766)*CHOOSE(CONTROL!$C$21, $C$9, 100%, $E$9)</f>
        <v>25.976600000000001</v>
      </c>
      <c r="H589" s="10">
        <f>CHOOSE(CONTROL!$C$42, 26.0718, 26.0718) * CHOOSE(CONTROL!$C$21, $C$9, 100%, $E$9)</f>
        <v>26.0718</v>
      </c>
      <c r="I589" s="10">
        <f>CHOOSE(CONTROL!$C$42, 25.9676, 25.9676)* CHOOSE(CONTROL!$C$21, $C$9, 100%, $E$9)</f>
        <v>25.967600000000001</v>
      </c>
      <c r="J589" s="10">
        <f>CHOOSE(CONTROL!$C$42, 25.9521, 25.9521)* CHOOSE(CONTROL!$C$21, $C$9, 100%, $E$9)</f>
        <v>25.952100000000002</v>
      </c>
      <c r="K589" s="54">
        <f>CHOOSE(CONTROL!$C$42, 25.9637, 25.9637) * CHOOSE(CONTROL!$C$21, $C$9, 100%, $E$9)</f>
        <v>25.963699999999999</v>
      </c>
      <c r="L589" s="10">
        <f>CHOOSE(CONTROL!$C$42, 26.6588, 26.6588) * CHOOSE(CONTROL!$C$21, $C$9, 100%, $E$9)</f>
        <v>26.658799999999999</v>
      </c>
      <c r="M589" s="10">
        <f>CHOOSE(CONTROL!$C$42, 25.704, 25.704) * CHOOSE(CONTROL!$C$21, $C$9, 100%, $E$9)</f>
        <v>25.704000000000001</v>
      </c>
      <c r="N589" s="10">
        <f>CHOOSE(CONTROL!$C$42, 25.7214, 25.7214) * CHOOSE(CONTROL!$C$21, $C$9, 100%, $E$9)</f>
        <v>25.721399999999999</v>
      </c>
      <c r="O589" s="10">
        <f>CHOOSE(CONTROL!$C$42, 25.8225, 25.8225) * CHOOSE(CONTROL!$C$21, $C$9, 100%, $E$9)</f>
        <v>25.822500000000002</v>
      </c>
      <c r="P589" s="10">
        <f>CHOOSE(CONTROL!$C$42, 25.7194, 25.7194) * CHOOSE(CONTROL!$C$21, $C$9, 100%, $E$9)</f>
        <v>25.7194</v>
      </c>
      <c r="Q589" s="10">
        <f>CHOOSE(CONTROL!$C$42, 26.4178, 26.4178) * CHOOSE(CONTROL!$C$21, $C$9, 100%, $E$9)</f>
        <v>26.4178</v>
      </c>
      <c r="R589" s="10">
        <f>CHOOSE(CONTROL!$C$42, 27.0709, 27.0709) * CHOOSE(CONTROL!$C$21, $C$9, 100%, $E$9)</f>
        <v>27.070900000000002</v>
      </c>
      <c r="S589" s="10">
        <f>CHOOSE(CONTROL!$C$42, 25.2403, 25.2403) * CHOOSE(CONTROL!$C$21, $C$9, 100%, $E$9)</f>
        <v>25.240300000000001</v>
      </c>
      <c r="T589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589" s="58">
        <f>(1000*CHOOSE(CONTROL!$C$42, 695, 695)*CHOOSE(CONTROL!$C$42, 0.5599, 0.5599)*CHOOSE(CONTROL!$C$42, 31, 31))/1000000</f>
        <v>12.063045499999998</v>
      </c>
      <c r="V589" s="58">
        <f>(1000*CHOOSE(CONTROL!$C$42, 500, 500)*CHOOSE(CONTROL!$C$42, 0.275, 0.275)*CHOOSE(CONTROL!$C$42, 31, 31))/1000000</f>
        <v>4.2625000000000002</v>
      </c>
      <c r="W589" s="58">
        <f>(1000*CHOOSE(CONTROL!$C$42, 0.1146, 0.1146)*CHOOSE(CONTROL!$C$42, 121.5, 121.5)*CHOOSE(CONTROL!$C$42, 31, 31))/1000000</f>
        <v>0.43164089999999994</v>
      </c>
      <c r="X589" s="58">
        <f>(31*0.1790888*100000/1000000)+(31*0.2374*100000/1000000)</f>
        <v>1.2911152800000001</v>
      </c>
      <c r="Y589" s="58"/>
      <c r="Z589" s="10"/>
      <c r="AA589" s="57"/>
      <c r="AB589" s="51">
        <f>(B589*122.58+C589*297.941+D589*89.177+E589*40.302+F589*40+G589*160+H589*0+I589*100+J589*300)/(122.58+297.941+89.177+40.302+0+40+160+100+300)</f>
        <v>25.985653401217387</v>
      </c>
      <c r="AC589" s="27">
        <f>(M589*'RAP TEMPLATE-GAS AVAILABILITY'!O588+N589*'RAP TEMPLATE-GAS AVAILABILITY'!P588+O589*'RAP TEMPLATE-GAS AVAILABILITY'!Q588+P589*'RAP TEMPLATE-GAS AVAILABILITY'!R588)/('RAP TEMPLATE-GAS AVAILABILITY'!O588+'RAP TEMPLATE-GAS AVAILABILITY'!P588+'RAP TEMPLATE-GAS AVAILABILITY'!Q588+'RAP TEMPLATE-GAS AVAILABILITY'!R588)</f>
        <v>25.760925899280576</v>
      </c>
    </row>
    <row r="590" spans="1:29" ht="15.75" x14ac:dyDescent="0.25">
      <c r="A590" s="13">
        <v>58865</v>
      </c>
      <c r="B590" s="10">
        <f>CHOOSE(CONTROL!$C$42, 26.4564, 26.4564) * CHOOSE(CONTROL!$C$21, $C$9, 100%, $E$9)</f>
        <v>26.456399999999999</v>
      </c>
      <c r="C590" s="10">
        <f>CHOOSE(CONTROL!$C$42, 26.4613, 26.4613) * CHOOSE(CONTROL!$C$21, $C$9, 100%, $E$9)</f>
        <v>26.461300000000001</v>
      </c>
      <c r="D590" s="10">
        <f>CHOOSE(CONTROL!$C$42, 26.5218, 26.5218) * CHOOSE(CONTROL!$C$21, $C$9, 100%, $E$9)</f>
        <v>26.521799999999999</v>
      </c>
      <c r="E590" s="10">
        <f>CHOOSE(CONTROL!$C$42, 26.5556, 26.5556) * CHOOSE(CONTROL!$C$21, $C$9, 100%, $E$9)</f>
        <v>26.555599999999998</v>
      </c>
      <c r="F590" s="10">
        <f>CHOOSE(CONTROL!$C$42, 26.4496, 26.4496)*CHOOSE(CONTROL!$C$21, $C$9, 100%, $E$9)</f>
        <v>26.4496</v>
      </c>
      <c r="G590" s="10">
        <f>CHOOSE(CONTROL!$C$42, 26.4669, 26.4669)*CHOOSE(CONTROL!$C$21, $C$9, 100%, $E$9)</f>
        <v>26.466899999999999</v>
      </c>
      <c r="H590" s="10">
        <f>CHOOSE(CONTROL!$C$42, 26.5448, 26.5448) * CHOOSE(CONTROL!$C$21, $C$9, 100%, $E$9)</f>
        <v>26.544799999999999</v>
      </c>
      <c r="I590" s="10">
        <f>CHOOSE(CONTROL!$C$42, 26.4431, 26.4431)* CHOOSE(CONTROL!$C$21, $C$9, 100%, $E$9)</f>
        <v>26.443100000000001</v>
      </c>
      <c r="J590" s="10">
        <f>CHOOSE(CONTROL!$C$42, 26.4426, 26.4426)* CHOOSE(CONTROL!$C$21, $C$9, 100%, $E$9)</f>
        <v>26.442599999999999</v>
      </c>
      <c r="K590" s="54">
        <f>CHOOSE(CONTROL!$C$42, 26.4392, 26.4392) * CHOOSE(CONTROL!$C$21, $C$9, 100%, $E$9)</f>
        <v>26.4392</v>
      </c>
      <c r="L590" s="10">
        <f>CHOOSE(CONTROL!$C$42, 27.1318, 27.1318) * CHOOSE(CONTROL!$C$21, $C$9, 100%, $E$9)</f>
        <v>27.131799999999998</v>
      </c>
      <c r="M590" s="10">
        <f>CHOOSE(CONTROL!$C$42, 26.1896, 26.1896) * CHOOSE(CONTROL!$C$21, $C$9, 100%, $E$9)</f>
        <v>26.189599999999999</v>
      </c>
      <c r="N590" s="10">
        <f>CHOOSE(CONTROL!$C$42, 26.2067, 26.2067) * CHOOSE(CONTROL!$C$21, $C$9, 100%, $E$9)</f>
        <v>26.206700000000001</v>
      </c>
      <c r="O590" s="10">
        <f>CHOOSE(CONTROL!$C$42, 26.2907, 26.2907) * CHOOSE(CONTROL!$C$21, $C$9, 100%, $E$9)</f>
        <v>26.290700000000001</v>
      </c>
      <c r="P590" s="10">
        <f>CHOOSE(CONTROL!$C$42, 26.1901, 26.1901) * CHOOSE(CONTROL!$C$21, $C$9, 100%, $E$9)</f>
        <v>26.190100000000001</v>
      </c>
      <c r="Q590" s="10">
        <f>CHOOSE(CONTROL!$C$42, 26.886, 26.886) * CHOOSE(CONTROL!$C$21, $C$9, 100%, $E$9)</f>
        <v>26.885999999999999</v>
      </c>
      <c r="R590" s="10">
        <f>CHOOSE(CONTROL!$C$42, 27.5403, 27.5403) * CHOOSE(CONTROL!$C$21, $C$9, 100%, $E$9)</f>
        <v>27.540299999999998</v>
      </c>
      <c r="S590" s="10">
        <f>CHOOSE(CONTROL!$C$42, 25.6896, 25.6896) * CHOOSE(CONTROL!$C$21, $C$9, 100%, $E$9)</f>
        <v>25.689599999999999</v>
      </c>
      <c r="T590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590" s="58">
        <f>(1000*CHOOSE(CONTROL!$C$42, 695, 695)*CHOOSE(CONTROL!$C$42, 0.5599, 0.5599)*CHOOSE(CONTROL!$C$42, 28, 28))/1000000</f>
        <v>10.895653999999999</v>
      </c>
      <c r="V590" s="58">
        <f>(1000*CHOOSE(CONTROL!$C$42, 500, 500)*CHOOSE(CONTROL!$C$42, 0.275, 0.275)*CHOOSE(CONTROL!$C$42, 28, 28))/1000000</f>
        <v>3.85</v>
      </c>
      <c r="W590" s="58">
        <f>(1000*CHOOSE(CONTROL!$C$42, 0.1146, 0.1146)*CHOOSE(CONTROL!$C$42, 121.5, 121.5)*CHOOSE(CONTROL!$C$42, 28, 28))/1000000</f>
        <v>0.38986920000000003</v>
      </c>
      <c r="X590" s="58">
        <f>(28*0.1790888*100000/1000000)+(28*0.2374*100000/1000000)</f>
        <v>1.16616864</v>
      </c>
      <c r="Y590" s="58"/>
      <c r="Z590" s="10"/>
      <c r="AA590" s="57"/>
      <c r="AB590" s="51">
        <f>(B590*122.58+C590*297.941+D590*89.177+E590*40.302+F590*40+G590*160+H590*0+I590*100+J590*300)/(122.58+297.941+89.177+40.302+0+40+160+100+300)</f>
        <v>26.462685256608697</v>
      </c>
      <c r="AC590" s="27">
        <f>(M590*'RAP TEMPLATE-GAS AVAILABILITY'!O589+N590*'RAP TEMPLATE-GAS AVAILABILITY'!P589+O590*'RAP TEMPLATE-GAS AVAILABILITY'!Q589+P590*'RAP TEMPLATE-GAS AVAILABILITY'!R589)/('RAP TEMPLATE-GAS AVAILABILITY'!O589+'RAP TEMPLATE-GAS AVAILABILITY'!P589+'RAP TEMPLATE-GAS AVAILABILITY'!Q589+'RAP TEMPLATE-GAS AVAILABILITY'!R589)</f>
        <v>26.236478417266188</v>
      </c>
    </row>
    <row r="591" spans="1:29" ht="15.75" x14ac:dyDescent="0.25">
      <c r="A591" s="13">
        <v>58893</v>
      </c>
      <c r="B591" s="10">
        <f>CHOOSE(CONTROL!$C$42, 25.7053, 25.7053) * CHOOSE(CONTROL!$C$21, $C$9, 100%, $E$9)</f>
        <v>25.705300000000001</v>
      </c>
      <c r="C591" s="10">
        <f>CHOOSE(CONTROL!$C$42, 25.7103, 25.7103) * CHOOSE(CONTROL!$C$21, $C$9, 100%, $E$9)</f>
        <v>25.7103</v>
      </c>
      <c r="D591" s="10">
        <f>CHOOSE(CONTROL!$C$42, 25.7708, 25.7708) * CHOOSE(CONTROL!$C$21, $C$9, 100%, $E$9)</f>
        <v>25.770800000000001</v>
      </c>
      <c r="E591" s="10">
        <f>CHOOSE(CONTROL!$C$42, 25.8046, 25.8046) * CHOOSE(CONTROL!$C$21, $C$9, 100%, $E$9)</f>
        <v>25.804600000000001</v>
      </c>
      <c r="F591" s="10">
        <f>CHOOSE(CONTROL!$C$42, 25.6931, 25.6931)*CHOOSE(CONTROL!$C$21, $C$9, 100%, $E$9)</f>
        <v>25.693100000000001</v>
      </c>
      <c r="G591" s="10">
        <f>CHOOSE(CONTROL!$C$42, 25.7103, 25.7103)*CHOOSE(CONTROL!$C$21, $C$9, 100%, $E$9)</f>
        <v>25.7103</v>
      </c>
      <c r="H591" s="10">
        <f>CHOOSE(CONTROL!$C$42, 25.7938, 25.7938) * CHOOSE(CONTROL!$C$21, $C$9, 100%, $E$9)</f>
        <v>25.793800000000001</v>
      </c>
      <c r="I591" s="10">
        <f>CHOOSE(CONTROL!$C$42, 25.6792, 25.6792)* CHOOSE(CONTROL!$C$21, $C$9, 100%, $E$9)</f>
        <v>25.679200000000002</v>
      </c>
      <c r="J591" s="10">
        <f>CHOOSE(CONTROL!$C$42, 25.6861, 25.6861)* CHOOSE(CONTROL!$C$21, $C$9, 100%, $E$9)</f>
        <v>25.6861</v>
      </c>
      <c r="K591" s="54">
        <f>CHOOSE(CONTROL!$C$42, 25.6753, 25.6753) * CHOOSE(CONTROL!$C$21, $C$9, 100%, $E$9)</f>
        <v>25.6753</v>
      </c>
      <c r="L591" s="10">
        <f>CHOOSE(CONTROL!$C$42, 26.3808, 26.3808) * CHOOSE(CONTROL!$C$21, $C$9, 100%, $E$9)</f>
        <v>26.380800000000001</v>
      </c>
      <c r="M591" s="10">
        <f>CHOOSE(CONTROL!$C$42, 25.4407, 25.4407) * CHOOSE(CONTROL!$C$21, $C$9, 100%, $E$9)</f>
        <v>25.4407</v>
      </c>
      <c r="N591" s="10">
        <f>CHOOSE(CONTROL!$C$42, 25.4577, 25.4577) * CHOOSE(CONTROL!$C$21, $C$9, 100%, $E$9)</f>
        <v>25.457699999999999</v>
      </c>
      <c r="O591" s="10">
        <f>CHOOSE(CONTROL!$C$42, 25.5473, 25.5473) * CHOOSE(CONTROL!$C$21, $C$9, 100%, $E$9)</f>
        <v>25.5473</v>
      </c>
      <c r="P591" s="10">
        <f>CHOOSE(CONTROL!$C$42, 25.4339, 25.4339) * CHOOSE(CONTROL!$C$21, $C$9, 100%, $E$9)</f>
        <v>25.433900000000001</v>
      </c>
      <c r="Q591" s="10">
        <f>CHOOSE(CONTROL!$C$42, 26.1426, 26.1426) * CHOOSE(CONTROL!$C$21, $C$9, 100%, $E$9)</f>
        <v>26.142600000000002</v>
      </c>
      <c r="R591" s="10">
        <f>CHOOSE(CONTROL!$C$42, 26.7949, 26.7949) * CHOOSE(CONTROL!$C$21, $C$9, 100%, $E$9)</f>
        <v>26.794899999999998</v>
      </c>
      <c r="S591" s="10">
        <f>CHOOSE(CONTROL!$C$42, 24.9603, 24.9603) * CHOOSE(CONTROL!$C$21, $C$9, 100%, $E$9)</f>
        <v>24.9603</v>
      </c>
      <c r="T591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591" s="58">
        <f>(1000*CHOOSE(CONTROL!$C$42, 695, 695)*CHOOSE(CONTROL!$C$42, 0.5599, 0.5599)*CHOOSE(CONTROL!$C$42, 31, 31))/1000000</f>
        <v>12.063045499999998</v>
      </c>
      <c r="V591" s="58">
        <f>(1000*CHOOSE(CONTROL!$C$42, 500, 500)*CHOOSE(CONTROL!$C$42, 0.275, 0.275)*CHOOSE(CONTROL!$C$42, 31, 31))/1000000</f>
        <v>4.2625000000000002</v>
      </c>
      <c r="W591" s="58">
        <f>(1000*CHOOSE(CONTROL!$C$42, 0.1146, 0.1146)*CHOOSE(CONTROL!$C$42, 121.5, 121.5)*CHOOSE(CONTROL!$C$42, 31, 31))/1000000</f>
        <v>0.43164089999999994</v>
      </c>
      <c r="X591" s="58">
        <f>(31*0.1790888*100000/1000000)+(31*0.2374*100000/1000000)</f>
        <v>1.2911152800000001</v>
      </c>
      <c r="Y591" s="58"/>
      <c r="Z591" s="10"/>
      <c r="AA591" s="57"/>
      <c r="AB591" s="51">
        <f>(B591*122.58+C591*297.941+D591*89.177+E591*40.302+F591*40+G591*160+H591*0+I591*100+J591*300)/(122.58+297.941+89.177+40.302+0+40+160+100+300)</f>
        <v>25.708147640956525</v>
      </c>
      <c r="AC591" s="27">
        <f>(M591*'RAP TEMPLATE-GAS AVAILABILITY'!O590+N591*'RAP TEMPLATE-GAS AVAILABILITY'!P590+O591*'RAP TEMPLATE-GAS AVAILABILITY'!Q590+P591*'RAP TEMPLATE-GAS AVAILABILITY'!R590)/('RAP TEMPLATE-GAS AVAILABILITY'!O590+'RAP TEMPLATE-GAS AVAILABILITY'!P590+'RAP TEMPLATE-GAS AVAILABILITY'!Q590+'RAP TEMPLATE-GAS AVAILABILITY'!R590)</f>
        <v>25.489015107913669</v>
      </c>
    </row>
    <row r="592" spans="1:29" ht="15.75" x14ac:dyDescent="0.25">
      <c r="A592" s="13">
        <v>58926</v>
      </c>
      <c r="B592" s="10">
        <f>CHOOSE(CONTROL!$C$42, 25.6295, 25.6295) * CHOOSE(CONTROL!$C$21, $C$9, 100%, $E$9)</f>
        <v>25.6295</v>
      </c>
      <c r="C592" s="10">
        <f>CHOOSE(CONTROL!$C$42, 25.6339, 25.6339) * CHOOSE(CONTROL!$C$21, $C$9, 100%, $E$9)</f>
        <v>25.633900000000001</v>
      </c>
      <c r="D592" s="10">
        <f>CHOOSE(CONTROL!$C$42, 25.8295, 25.8295) * CHOOSE(CONTROL!$C$21, $C$9, 100%, $E$9)</f>
        <v>25.829499999999999</v>
      </c>
      <c r="E592" s="10">
        <f>CHOOSE(CONTROL!$C$42, 25.8613, 25.8613) * CHOOSE(CONTROL!$C$21, $C$9, 100%, $E$9)</f>
        <v>25.8613</v>
      </c>
      <c r="F592" s="10">
        <f>CHOOSE(CONTROL!$C$42, 25.5974, 25.5974)*CHOOSE(CONTROL!$C$21, $C$9, 100%, $E$9)</f>
        <v>25.5974</v>
      </c>
      <c r="G592" s="10">
        <f>CHOOSE(CONTROL!$C$42, 25.6141, 25.6141)*CHOOSE(CONTROL!$C$21, $C$9, 100%, $E$9)</f>
        <v>25.614100000000001</v>
      </c>
      <c r="H592" s="10">
        <f>CHOOSE(CONTROL!$C$42, 25.8511, 25.8511) * CHOOSE(CONTROL!$C$21, $C$9, 100%, $E$9)</f>
        <v>25.851099999999999</v>
      </c>
      <c r="I592" s="10">
        <f>CHOOSE(CONTROL!$C$42, 25.5975, 25.5975)* CHOOSE(CONTROL!$C$21, $C$9, 100%, $E$9)</f>
        <v>25.5975</v>
      </c>
      <c r="J592" s="10">
        <f>CHOOSE(CONTROL!$C$42, 25.5904, 25.5904)* CHOOSE(CONTROL!$C$21, $C$9, 100%, $E$9)</f>
        <v>25.590399999999999</v>
      </c>
      <c r="K592" s="54">
        <f>CHOOSE(CONTROL!$C$42, 25.5936, 25.5936) * CHOOSE(CONTROL!$C$21, $C$9, 100%, $E$9)</f>
        <v>25.593599999999999</v>
      </c>
      <c r="L592" s="10">
        <f>CHOOSE(CONTROL!$C$42, 26.4381, 26.4381) * CHOOSE(CONTROL!$C$21, $C$9, 100%, $E$9)</f>
        <v>26.438099999999999</v>
      </c>
      <c r="M592" s="10">
        <f>CHOOSE(CONTROL!$C$42, 25.3459, 25.3459) * CHOOSE(CONTROL!$C$21, $C$9, 100%, $E$9)</f>
        <v>25.3459</v>
      </c>
      <c r="N592" s="10">
        <f>CHOOSE(CONTROL!$C$42, 25.3625, 25.3625) * CHOOSE(CONTROL!$C$21, $C$9, 100%, $E$9)</f>
        <v>25.362500000000001</v>
      </c>
      <c r="O592" s="10">
        <f>CHOOSE(CONTROL!$C$42, 25.604, 25.604) * CHOOSE(CONTROL!$C$21, $C$9, 100%, $E$9)</f>
        <v>25.603999999999999</v>
      </c>
      <c r="P592" s="10">
        <f>CHOOSE(CONTROL!$C$42, 25.3531, 25.3531) * CHOOSE(CONTROL!$C$21, $C$9, 100%, $E$9)</f>
        <v>25.353100000000001</v>
      </c>
      <c r="Q592" s="10">
        <f>CHOOSE(CONTROL!$C$42, 26.1993, 26.1993) * CHOOSE(CONTROL!$C$21, $C$9, 100%, $E$9)</f>
        <v>26.199300000000001</v>
      </c>
      <c r="R592" s="10">
        <f>CHOOSE(CONTROL!$C$42, 26.8518, 26.8518) * CHOOSE(CONTROL!$C$21, $C$9, 100%, $E$9)</f>
        <v>26.851800000000001</v>
      </c>
      <c r="S592" s="10">
        <f>CHOOSE(CONTROL!$C$42, 24.886, 24.886) * CHOOSE(CONTROL!$C$21, $C$9, 100%, $E$9)</f>
        <v>24.885999999999999</v>
      </c>
      <c r="T592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592" s="58">
        <f>(1000*CHOOSE(CONTROL!$C$42, 695, 695)*CHOOSE(CONTROL!$C$42, 0.5599, 0.5599)*CHOOSE(CONTROL!$C$42, 30, 30))/1000000</f>
        <v>11.673914999999997</v>
      </c>
      <c r="V592" s="58">
        <f>(1000*CHOOSE(CONTROL!$C$42, 500, 500)*CHOOSE(CONTROL!$C$42, 0.275, 0.275)*CHOOSE(CONTROL!$C$42, 30, 30))/1000000</f>
        <v>4.125</v>
      </c>
      <c r="W592" s="58">
        <f>(1000*CHOOSE(CONTROL!$C$42, 0.1146, 0.1146)*CHOOSE(CONTROL!$C$42, 121.5, 121.5)*CHOOSE(CONTROL!$C$42, 30, 30))/1000000</f>
        <v>0.417717</v>
      </c>
      <c r="X592" s="58">
        <f>(30*0.1790888*245000/1000000)+(30*0.2374*100000/1000000)</f>
        <v>2.0285026799999999</v>
      </c>
      <c r="Y592" s="58"/>
      <c r="Z592" s="10"/>
      <c r="AA592" s="57"/>
      <c r="AB592" s="51">
        <f>(B592*141.293+C592*267.993+D592*115.016+E592*89.698+F592*40+G592*185+H592*0+I592*100+J592*300)/(141.293+267.993+115.016+89.698+0+40+185+100+300)</f>
        <v>25.650413128006456</v>
      </c>
      <c r="AC592" s="27">
        <f>(M592*'RAP TEMPLATE-GAS AVAILABILITY'!O591+N592*'RAP TEMPLATE-GAS AVAILABILITY'!P591+O592*'RAP TEMPLATE-GAS AVAILABILITY'!Q591+P592*'RAP TEMPLATE-GAS AVAILABILITY'!R591)/('RAP TEMPLATE-GAS AVAILABILITY'!O591+'RAP TEMPLATE-GAS AVAILABILITY'!P591+'RAP TEMPLATE-GAS AVAILABILITY'!Q591+'RAP TEMPLATE-GAS AVAILABILITY'!R591)</f>
        <v>25.423174100719425</v>
      </c>
    </row>
    <row r="593" spans="1:29" ht="15.75" x14ac:dyDescent="0.25">
      <c r="A593" s="13">
        <v>58957</v>
      </c>
      <c r="B593" s="10">
        <f>CHOOSE(CONTROL!$C$42, 25.8571, 25.8571) * CHOOSE(CONTROL!$C$21, $C$9, 100%, $E$9)</f>
        <v>25.857099999999999</v>
      </c>
      <c r="C593" s="10">
        <f>CHOOSE(CONTROL!$C$42, 25.865, 25.865) * CHOOSE(CONTROL!$C$21, $C$9, 100%, $E$9)</f>
        <v>25.864999999999998</v>
      </c>
      <c r="D593" s="10">
        <f>CHOOSE(CONTROL!$C$42, 26.0575, 26.0575) * CHOOSE(CONTROL!$C$21, $C$9, 100%, $E$9)</f>
        <v>26.057500000000001</v>
      </c>
      <c r="E593" s="10">
        <f>CHOOSE(CONTROL!$C$42, 26.0886, 26.0886) * CHOOSE(CONTROL!$C$21, $C$9, 100%, $E$9)</f>
        <v>26.0886</v>
      </c>
      <c r="F593" s="10">
        <f>CHOOSE(CONTROL!$C$42, 25.8234, 25.8234)*CHOOSE(CONTROL!$C$21, $C$9, 100%, $E$9)</f>
        <v>25.823399999999999</v>
      </c>
      <c r="G593" s="10">
        <f>CHOOSE(CONTROL!$C$42, 25.8405, 25.8405)*CHOOSE(CONTROL!$C$21, $C$9, 100%, $E$9)</f>
        <v>25.840499999999999</v>
      </c>
      <c r="H593" s="10">
        <f>CHOOSE(CONTROL!$C$42, 26.0772, 26.0772) * CHOOSE(CONTROL!$C$21, $C$9, 100%, $E$9)</f>
        <v>26.077200000000001</v>
      </c>
      <c r="I593" s="10">
        <f>CHOOSE(CONTROL!$C$42, 25.8237, 25.8237)* CHOOSE(CONTROL!$C$21, $C$9, 100%, $E$9)</f>
        <v>25.823699999999999</v>
      </c>
      <c r="J593" s="10">
        <f>CHOOSE(CONTROL!$C$42, 25.8164, 25.8164)* CHOOSE(CONTROL!$C$21, $C$9, 100%, $E$9)</f>
        <v>25.816400000000002</v>
      </c>
      <c r="K593" s="54">
        <f>CHOOSE(CONTROL!$C$42, 25.8198, 25.8198) * CHOOSE(CONTROL!$C$21, $C$9, 100%, $E$9)</f>
        <v>25.819800000000001</v>
      </c>
      <c r="L593" s="10">
        <f>CHOOSE(CONTROL!$C$42, 26.6642, 26.6642) * CHOOSE(CONTROL!$C$21, $C$9, 100%, $E$9)</f>
        <v>26.664200000000001</v>
      </c>
      <c r="M593" s="10">
        <f>CHOOSE(CONTROL!$C$42, 25.5697, 25.5697) * CHOOSE(CONTROL!$C$21, $C$9, 100%, $E$9)</f>
        <v>25.569700000000001</v>
      </c>
      <c r="N593" s="10">
        <f>CHOOSE(CONTROL!$C$42, 25.5866, 25.5866) * CHOOSE(CONTROL!$C$21, $C$9, 100%, $E$9)</f>
        <v>25.586600000000001</v>
      </c>
      <c r="O593" s="10">
        <f>CHOOSE(CONTROL!$C$42, 25.8279, 25.8279) * CHOOSE(CONTROL!$C$21, $C$9, 100%, $E$9)</f>
        <v>25.8279</v>
      </c>
      <c r="P593" s="10">
        <f>CHOOSE(CONTROL!$C$42, 25.5769, 25.5769) * CHOOSE(CONTROL!$C$21, $C$9, 100%, $E$9)</f>
        <v>25.576899999999998</v>
      </c>
      <c r="Q593" s="10">
        <f>CHOOSE(CONTROL!$C$42, 26.4232, 26.4232) * CHOOSE(CONTROL!$C$21, $C$9, 100%, $E$9)</f>
        <v>26.423200000000001</v>
      </c>
      <c r="R593" s="10">
        <f>CHOOSE(CONTROL!$C$42, 27.0763, 27.0763) * CHOOSE(CONTROL!$C$21, $C$9, 100%, $E$9)</f>
        <v>27.0763</v>
      </c>
      <c r="S593" s="10">
        <f>CHOOSE(CONTROL!$C$42, 25.1056, 25.1056) * CHOOSE(CONTROL!$C$21, $C$9, 100%, $E$9)</f>
        <v>25.105599999999999</v>
      </c>
      <c r="T593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593" s="58">
        <f>(1000*CHOOSE(CONTROL!$C$42, 695, 695)*CHOOSE(CONTROL!$C$42, 0.5599, 0.5599)*CHOOSE(CONTROL!$C$42, 31, 31))/1000000</f>
        <v>12.063045499999998</v>
      </c>
      <c r="V593" s="58">
        <f>(1000*CHOOSE(CONTROL!$C$42, 500, 500)*CHOOSE(CONTROL!$C$42, 0.275, 0.275)*CHOOSE(CONTROL!$C$42, 31, 31))/1000000</f>
        <v>4.2625000000000002</v>
      </c>
      <c r="W593" s="58">
        <f>(1000*CHOOSE(CONTROL!$C$42, 0.1146, 0.1146)*CHOOSE(CONTROL!$C$42, 121.5, 121.5)*CHOOSE(CONTROL!$C$42, 31, 31))/1000000</f>
        <v>0.43164089999999994</v>
      </c>
      <c r="X593" s="58">
        <f>(31*0.1790888*245000/1000000)+(31*0.2374*100000/1000000)</f>
        <v>2.0961194359999999</v>
      </c>
      <c r="Y593" s="58"/>
      <c r="Z593" s="10"/>
      <c r="AA593" s="57"/>
      <c r="AB593" s="51">
        <f>(B593*194.205+C593*267.466+D593*133.845+E593*53.484+F593*40+G593*185+H593*0+I593*100+J593*300)/(194.205+267.466+133.845+53.484+0+40+185+100+300)</f>
        <v>25.873856723233907</v>
      </c>
      <c r="AC593" s="27">
        <f>(M593*'RAP TEMPLATE-GAS AVAILABILITY'!O592+N593*'RAP TEMPLATE-GAS AVAILABILITY'!P592+O593*'RAP TEMPLATE-GAS AVAILABILITY'!Q592+P593*'RAP TEMPLATE-GAS AVAILABILITY'!R592)/('RAP TEMPLATE-GAS AVAILABILITY'!O592+'RAP TEMPLATE-GAS AVAILABILITY'!P592+'RAP TEMPLATE-GAS AVAILABILITY'!Q592+'RAP TEMPLATE-GAS AVAILABILITY'!R592)</f>
        <v>25.64707122302158</v>
      </c>
    </row>
    <row r="594" spans="1:29" ht="15.75" x14ac:dyDescent="0.25">
      <c r="A594" s="13">
        <v>58987</v>
      </c>
      <c r="B594" s="10">
        <f>CHOOSE(CONTROL!$C$42, 26.5904, 26.5904) * CHOOSE(CONTROL!$C$21, $C$9, 100%, $E$9)</f>
        <v>26.590399999999999</v>
      </c>
      <c r="C594" s="10">
        <f>CHOOSE(CONTROL!$C$42, 26.5983, 26.5983) * CHOOSE(CONTROL!$C$21, $C$9, 100%, $E$9)</f>
        <v>26.598299999999998</v>
      </c>
      <c r="D594" s="10">
        <f>CHOOSE(CONTROL!$C$42, 26.7908, 26.7908) * CHOOSE(CONTROL!$C$21, $C$9, 100%, $E$9)</f>
        <v>26.790800000000001</v>
      </c>
      <c r="E594" s="10">
        <f>CHOOSE(CONTROL!$C$42, 26.8219, 26.8219) * CHOOSE(CONTROL!$C$21, $C$9, 100%, $E$9)</f>
        <v>26.821899999999999</v>
      </c>
      <c r="F594" s="10">
        <f>CHOOSE(CONTROL!$C$42, 26.5569, 26.5569)*CHOOSE(CONTROL!$C$21, $C$9, 100%, $E$9)</f>
        <v>26.556899999999999</v>
      </c>
      <c r="G594" s="10">
        <f>CHOOSE(CONTROL!$C$42, 26.5741, 26.5741)*CHOOSE(CONTROL!$C$21, $C$9, 100%, $E$9)</f>
        <v>26.574100000000001</v>
      </c>
      <c r="H594" s="10">
        <f>CHOOSE(CONTROL!$C$42, 26.8106, 26.8106) * CHOOSE(CONTROL!$C$21, $C$9, 100%, $E$9)</f>
        <v>26.810600000000001</v>
      </c>
      <c r="I594" s="10">
        <f>CHOOSE(CONTROL!$C$42, 26.557, 26.557)* CHOOSE(CONTROL!$C$21, $C$9, 100%, $E$9)</f>
        <v>26.556999999999999</v>
      </c>
      <c r="J594" s="10">
        <f>CHOOSE(CONTROL!$C$42, 26.5499, 26.5499)* CHOOSE(CONTROL!$C$21, $C$9, 100%, $E$9)</f>
        <v>26.549900000000001</v>
      </c>
      <c r="K594" s="54">
        <f>CHOOSE(CONTROL!$C$42, 26.5531, 26.5531) * CHOOSE(CONTROL!$C$21, $C$9, 100%, $E$9)</f>
        <v>26.553100000000001</v>
      </c>
      <c r="L594" s="10">
        <f>CHOOSE(CONTROL!$C$42, 27.3976, 27.3976) * CHOOSE(CONTROL!$C$21, $C$9, 100%, $E$9)</f>
        <v>27.397600000000001</v>
      </c>
      <c r="M594" s="10">
        <f>CHOOSE(CONTROL!$C$42, 26.2958, 26.2958) * CHOOSE(CONTROL!$C$21, $C$9, 100%, $E$9)</f>
        <v>26.2958</v>
      </c>
      <c r="N594" s="10">
        <f>CHOOSE(CONTROL!$C$42, 26.3128, 26.3128) * CHOOSE(CONTROL!$C$21, $C$9, 100%, $E$9)</f>
        <v>26.312799999999999</v>
      </c>
      <c r="O594" s="10">
        <f>CHOOSE(CONTROL!$C$42, 26.5538, 26.5538) * CHOOSE(CONTROL!$C$21, $C$9, 100%, $E$9)</f>
        <v>26.553799999999999</v>
      </c>
      <c r="P594" s="10">
        <f>CHOOSE(CONTROL!$C$42, 26.3029, 26.3029) * CHOOSE(CONTROL!$C$21, $C$9, 100%, $E$9)</f>
        <v>26.302900000000001</v>
      </c>
      <c r="Q594" s="10">
        <f>CHOOSE(CONTROL!$C$42, 27.1491, 27.1491) * CHOOSE(CONTROL!$C$21, $C$9, 100%, $E$9)</f>
        <v>27.149100000000001</v>
      </c>
      <c r="R594" s="10">
        <f>CHOOSE(CONTROL!$C$42, 27.804, 27.804) * CHOOSE(CONTROL!$C$21, $C$9, 100%, $E$9)</f>
        <v>27.803999999999998</v>
      </c>
      <c r="S594" s="10">
        <f>CHOOSE(CONTROL!$C$42, 25.8177, 25.8177) * CHOOSE(CONTROL!$C$21, $C$9, 100%, $E$9)</f>
        <v>25.817699999999999</v>
      </c>
      <c r="T594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594" s="58">
        <f>(1000*CHOOSE(CONTROL!$C$42, 695, 695)*CHOOSE(CONTROL!$C$42, 0.5599, 0.5599)*CHOOSE(CONTROL!$C$42, 30, 30))/1000000</f>
        <v>11.673914999999997</v>
      </c>
      <c r="V594" s="58">
        <f>(1000*CHOOSE(CONTROL!$C$42, 500, 500)*CHOOSE(CONTROL!$C$42, 0.275, 0.275)*CHOOSE(CONTROL!$C$42, 30, 30))/1000000</f>
        <v>4.125</v>
      </c>
      <c r="W594" s="58">
        <f>(1000*CHOOSE(CONTROL!$C$42, 0.1146, 0.1146)*CHOOSE(CONTROL!$C$42, 121.5, 121.5)*CHOOSE(CONTROL!$C$42, 30, 30))/1000000</f>
        <v>0.417717</v>
      </c>
      <c r="X594" s="58">
        <f>(30*0.1790888*245000/1000000)+(30*0.2374*100000/1000000)</f>
        <v>2.0285026799999999</v>
      </c>
      <c r="Y594" s="58"/>
      <c r="Z594" s="10"/>
      <c r="AA594" s="57"/>
      <c r="AB594" s="51">
        <f>(B594*194.205+C594*267.466+D594*133.845+E594*53.484+F594*40+G594*185+H594*0+I594*100+J594*300)/(194.205+267.466+133.845+53.484+0+40+185+100+300)</f>
        <v>26.607253662009416</v>
      </c>
      <c r="AC594" s="27">
        <f>(M594*'RAP TEMPLATE-GAS AVAILABILITY'!O593+N594*'RAP TEMPLATE-GAS AVAILABILITY'!P593+O594*'RAP TEMPLATE-GAS AVAILABILITY'!Q593+P594*'RAP TEMPLATE-GAS AVAILABILITY'!R593)/('RAP TEMPLATE-GAS AVAILABILITY'!O593+'RAP TEMPLATE-GAS AVAILABILITY'!P593+'RAP TEMPLATE-GAS AVAILABILITY'!Q593+'RAP TEMPLATE-GAS AVAILABILITY'!R593)</f>
        <v>26.373123741007195</v>
      </c>
    </row>
    <row r="595" spans="1:29" ht="15.75" x14ac:dyDescent="0.25">
      <c r="A595" s="13">
        <v>59018</v>
      </c>
      <c r="B595" s="10">
        <f>CHOOSE(CONTROL!$C$42, 26.0804, 26.0804) * CHOOSE(CONTROL!$C$21, $C$9, 100%, $E$9)</f>
        <v>26.080400000000001</v>
      </c>
      <c r="C595" s="10">
        <f>CHOOSE(CONTROL!$C$42, 26.0883, 26.0883) * CHOOSE(CONTROL!$C$21, $C$9, 100%, $E$9)</f>
        <v>26.0883</v>
      </c>
      <c r="D595" s="10">
        <f>CHOOSE(CONTROL!$C$42, 26.2808, 26.2808) * CHOOSE(CONTROL!$C$21, $C$9, 100%, $E$9)</f>
        <v>26.280799999999999</v>
      </c>
      <c r="E595" s="10">
        <f>CHOOSE(CONTROL!$C$42, 26.3119, 26.3119) * CHOOSE(CONTROL!$C$21, $C$9, 100%, $E$9)</f>
        <v>26.311900000000001</v>
      </c>
      <c r="F595" s="10">
        <f>CHOOSE(CONTROL!$C$42, 26.0473, 26.0473)*CHOOSE(CONTROL!$C$21, $C$9, 100%, $E$9)</f>
        <v>26.0473</v>
      </c>
      <c r="G595" s="10">
        <f>CHOOSE(CONTROL!$C$42, 26.0646, 26.0646)*CHOOSE(CONTROL!$C$21, $C$9, 100%, $E$9)</f>
        <v>26.064599999999999</v>
      </c>
      <c r="H595" s="10">
        <f>CHOOSE(CONTROL!$C$42, 26.3005, 26.3005) * CHOOSE(CONTROL!$C$21, $C$9, 100%, $E$9)</f>
        <v>26.3005</v>
      </c>
      <c r="I595" s="10">
        <f>CHOOSE(CONTROL!$C$42, 26.047, 26.047)* CHOOSE(CONTROL!$C$21, $C$9, 100%, $E$9)</f>
        <v>26.047000000000001</v>
      </c>
      <c r="J595" s="10">
        <f>CHOOSE(CONTROL!$C$42, 26.0403, 26.0403)* CHOOSE(CONTROL!$C$21, $C$9, 100%, $E$9)</f>
        <v>26.040299999999998</v>
      </c>
      <c r="K595" s="54">
        <f>CHOOSE(CONTROL!$C$42, 26.0431, 26.0431) * CHOOSE(CONTROL!$C$21, $C$9, 100%, $E$9)</f>
        <v>26.043099999999999</v>
      </c>
      <c r="L595" s="10">
        <f>CHOOSE(CONTROL!$C$42, 26.8875, 26.8875) * CHOOSE(CONTROL!$C$21, $C$9, 100%, $E$9)</f>
        <v>26.887499999999999</v>
      </c>
      <c r="M595" s="10">
        <f>CHOOSE(CONTROL!$C$42, 25.7913, 25.7913) * CHOOSE(CONTROL!$C$21, $C$9, 100%, $E$9)</f>
        <v>25.7913</v>
      </c>
      <c r="N595" s="10">
        <f>CHOOSE(CONTROL!$C$42, 25.8084, 25.8084) * CHOOSE(CONTROL!$C$21, $C$9, 100%, $E$9)</f>
        <v>25.808399999999999</v>
      </c>
      <c r="O595" s="10">
        <f>CHOOSE(CONTROL!$C$42, 26.0489, 26.0489) * CHOOSE(CONTROL!$C$21, $C$9, 100%, $E$9)</f>
        <v>26.0489</v>
      </c>
      <c r="P595" s="10">
        <f>CHOOSE(CONTROL!$C$42, 25.798, 25.798) * CHOOSE(CONTROL!$C$21, $C$9, 100%, $E$9)</f>
        <v>25.797999999999998</v>
      </c>
      <c r="Q595" s="10">
        <f>CHOOSE(CONTROL!$C$42, 26.6442, 26.6442) * CHOOSE(CONTROL!$C$21, $C$9, 100%, $E$9)</f>
        <v>26.644200000000001</v>
      </c>
      <c r="R595" s="10">
        <f>CHOOSE(CONTROL!$C$42, 27.2978, 27.2978) * CHOOSE(CONTROL!$C$21, $C$9, 100%, $E$9)</f>
        <v>27.297799999999999</v>
      </c>
      <c r="S595" s="10">
        <f>CHOOSE(CONTROL!$C$42, 25.3224, 25.3224) * CHOOSE(CONTROL!$C$21, $C$9, 100%, $E$9)</f>
        <v>25.322399999999998</v>
      </c>
      <c r="T595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595" s="58">
        <f>(1000*CHOOSE(CONTROL!$C$42, 695, 695)*CHOOSE(CONTROL!$C$42, 0.5599, 0.5599)*CHOOSE(CONTROL!$C$42, 31, 31))/1000000</f>
        <v>12.063045499999998</v>
      </c>
      <c r="V595" s="58">
        <f>(1000*CHOOSE(CONTROL!$C$42, 500, 500)*CHOOSE(CONTROL!$C$42, 0.275, 0.275)*CHOOSE(CONTROL!$C$42, 31, 31))/1000000</f>
        <v>4.2625000000000002</v>
      </c>
      <c r="W595" s="58">
        <f>(1000*CHOOSE(CONTROL!$C$42, 0.1146, 0.1146)*CHOOSE(CONTROL!$C$42, 121.5, 121.5)*CHOOSE(CONTROL!$C$42, 31, 31))/1000000</f>
        <v>0.43164089999999994</v>
      </c>
      <c r="X595" s="58">
        <f>(31*0.1790888*245000/1000000)+(31*0.2374*100000/1000000)</f>
        <v>2.0961194359999999</v>
      </c>
      <c r="Y595" s="58"/>
      <c r="Z595" s="10"/>
      <c r="AA595" s="57"/>
      <c r="AB595" s="51">
        <f>(B595*194.205+C595*267.466+D595*133.845+E595*53.484+F595*40+G595*185+H595*0+I595*100+J595*300)/(194.205+267.466+133.845+53.484+0+40+185+100+300)</f>
        <v>26.097433018367351</v>
      </c>
      <c r="AC595" s="27">
        <f>(M595*'RAP TEMPLATE-GAS AVAILABILITY'!O594+N595*'RAP TEMPLATE-GAS AVAILABILITY'!P594+O595*'RAP TEMPLATE-GAS AVAILABILITY'!Q594+P595*'RAP TEMPLATE-GAS AVAILABILITY'!R594)/('RAP TEMPLATE-GAS AVAILABILITY'!O594+'RAP TEMPLATE-GAS AVAILABILITY'!P594+'RAP TEMPLATE-GAS AVAILABILITY'!Q594+'RAP TEMPLATE-GAS AVAILABILITY'!R594)</f>
        <v>25.86847697841727</v>
      </c>
    </row>
    <row r="596" spans="1:29" ht="15.75" x14ac:dyDescent="0.25">
      <c r="A596" s="13">
        <v>59049</v>
      </c>
      <c r="B596" s="10">
        <f>CHOOSE(CONTROL!$C$42, 24.7924, 24.7924) * CHOOSE(CONTROL!$C$21, $C$9, 100%, $E$9)</f>
        <v>24.792400000000001</v>
      </c>
      <c r="C596" s="10">
        <f>CHOOSE(CONTROL!$C$42, 24.8003, 24.8003) * CHOOSE(CONTROL!$C$21, $C$9, 100%, $E$9)</f>
        <v>24.8003</v>
      </c>
      <c r="D596" s="10">
        <f>CHOOSE(CONTROL!$C$42, 24.9928, 24.9928) * CHOOSE(CONTROL!$C$21, $C$9, 100%, $E$9)</f>
        <v>24.992799999999999</v>
      </c>
      <c r="E596" s="10">
        <f>CHOOSE(CONTROL!$C$42, 25.0239, 25.0239) * CHOOSE(CONTROL!$C$21, $C$9, 100%, $E$9)</f>
        <v>25.023900000000001</v>
      </c>
      <c r="F596" s="10">
        <f>CHOOSE(CONTROL!$C$42, 24.7595, 24.7595)*CHOOSE(CONTROL!$C$21, $C$9, 100%, $E$9)</f>
        <v>24.759499999999999</v>
      </c>
      <c r="G596" s="10">
        <f>CHOOSE(CONTROL!$C$42, 24.7768, 24.7768)*CHOOSE(CONTROL!$C$21, $C$9, 100%, $E$9)</f>
        <v>24.776800000000001</v>
      </c>
      <c r="H596" s="10">
        <f>CHOOSE(CONTROL!$C$42, 25.0126, 25.0126) * CHOOSE(CONTROL!$C$21, $C$9, 100%, $E$9)</f>
        <v>25.012599999999999</v>
      </c>
      <c r="I596" s="10">
        <f>CHOOSE(CONTROL!$C$42, 24.759, 24.759)* CHOOSE(CONTROL!$C$21, $C$9, 100%, $E$9)</f>
        <v>24.759</v>
      </c>
      <c r="J596" s="10">
        <f>CHOOSE(CONTROL!$C$42, 24.7525, 24.7525)* CHOOSE(CONTROL!$C$21, $C$9, 100%, $E$9)</f>
        <v>24.752500000000001</v>
      </c>
      <c r="K596" s="54">
        <f>CHOOSE(CONTROL!$C$42, 24.7551, 24.7551) * CHOOSE(CONTROL!$C$21, $C$9, 100%, $E$9)</f>
        <v>24.755099999999999</v>
      </c>
      <c r="L596" s="10">
        <f>CHOOSE(CONTROL!$C$42, 25.5996, 25.5996) * CHOOSE(CONTROL!$C$21, $C$9, 100%, $E$9)</f>
        <v>25.599599999999999</v>
      </c>
      <c r="M596" s="10">
        <f>CHOOSE(CONTROL!$C$42, 24.5165, 24.5165) * CHOOSE(CONTROL!$C$21, $C$9, 100%, $E$9)</f>
        <v>24.516500000000001</v>
      </c>
      <c r="N596" s="10">
        <f>CHOOSE(CONTROL!$C$42, 24.5337, 24.5337) * CHOOSE(CONTROL!$C$21, $C$9, 100%, $E$9)</f>
        <v>24.5337</v>
      </c>
      <c r="O596" s="10">
        <f>CHOOSE(CONTROL!$C$42, 24.774, 24.774) * CHOOSE(CONTROL!$C$21, $C$9, 100%, $E$9)</f>
        <v>24.774000000000001</v>
      </c>
      <c r="P596" s="10">
        <f>CHOOSE(CONTROL!$C$42, 24.523, 24.523) * CHOOSE(CONTROL!$C$21, $C$9, 100%, $E$9)</f>
        <v>24.523</v>
      </c>
      <c r="Q596" s="10">
        <f>CHOOSE(CONTROL!$C$42, 25.3693, 25.3693) * CHOOSE(CONTROL!$C$21, $C$9, 100%, $E$9)</f>
        <v>25.369299999999999</v>
      </c>
      <c r="R596" s="10">
        <f>CHOOSE(CONTROL!$C$42, 26.0197, 26.0197) * CHOOSE(CONTROL!$C$21, $C$9, 100%, $E$9)</f>
        <v>26.0197</v>
      </c>
      <c r="S596" s="10">
        <f>CHOOSE(CONTROL!$C$42, 24.0717, 24.0717) * CHOOSE(CONTROL!$C$21, $C$9, 100%, $E$9)</f>
        <v>24.0717</v>
      </c>
      <c r="T596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596" s="58">
        <f>(1000*CHOOSE(CONTROL!$C$42, 695, 695)*CHOOSE(CONTROL!$C$42, 0.5599, 0.5599)*CHOOSE(CONTROL!$C$42, 31, 31))/1000000</f>
        <v>12.063045499999998</v>
      </c>
      <c r="V596" s="58">
        <f>(1000*CHOOSE(CONTROL!$C$42, 500, 500)*CHOOSE(CONTROL!$C$42, 0.275, 0.275)*CHOOSE(CONTROL!$C$42, 31, 31))/1000000</f>
        <v>4.2625000000000002</v>
      </c>
      <c r="W596" s="58">
        <f>(1000*CHOOSE(CONTROL!$C$42, 0.1146, 0.1146)*CHOOSE(CONTROL!$C$42, 121.5, 121.5)*CHOOSE(CONTROL!$C$42, 31, 31))/1000000</f>
        <v>0.43164089999999994</v>
      </c>
      <c r="X596" s="58">
        <f>(31*0.1790888*245000/1000000)+(31*0.2374*100000/1000000)</f>
        <v>2.0961194359999999</v>
      </c>
      <c r="Y596" s="58"/>
      <c r="Z596" s="10"/>
      <c r="AA596" s="57"/>
      <c r="AB596" s="51">
        <f>(B596*194.205+C596*267.466+D596*133.845+E596*53.484+F596*40+G596*185+H596*0+I596*100+J596*300)/(194.205+267.466+133.845+53.484+0+40+185+100+300)</f>
        <v>24.809515435949766</v>
      </c>
      <c r="AC596" s="27">
        <f>(M596*'RAP TEMPLATE-GAS AVAILABILITY'!O595+N596*'RAP TEMPLATE-GAS AVAILABILITY'!P595+O596*'RAP TEMPLATE-GAS AVAILABILITY'!Q595+P596*'RAP TEMPLATE-GAS AVAILABILITY'!R595)/('RAP TEMPLATE-GAS AVAILABILITY'!O595+'RAP TEMPLATE-GAS AVAILABILITY'!P595+'RAP TEMPLATE-GAS AVAILABILITY'!Q595+'RAP TEMPLATE-GAS AVAILABILITY'!R595)</f>
        <v>24.593643165467626</v>
      </c>
    </row>
    <row r="597" spans="1:29" ht="15.75" x14ac:dyDescent="0.25">
      <c r="A597" s="13">
        <v>59079</v>
      </c>
      <c r="B597" s="10">
        <f>CHOOSE(CONTROL!$C$42, 23.2184, 23.2184) * CHOOSE(CONTROL!$C$21, $C$9, 100%, $E$9)</f>
        <v>23.218399999999999</v>
      </c>
      <c r="C597" s="10">
        <f>CHOOSE(CONTROL!$C$42, 23.2263, 23.2263) * CHOOSE(CONTROL!$C$21, $C$9, 100%, $E$9)</f>
        <v>23.226299999999998</v>
      </c>
      <c r="D597" s="10">
        <f>CHOOSE(CONTROL!$C$42, 23.4187, 23.4187) * CHOOSE(CONTROL!$C$21, $C$9, 100%, $E$9)</f>
        <v>23.418700000000001</v>
      </c>
      <c r="E597" s="10">
        <f>CHOOSE(CONTROL!$C$42, 23.4499, 23.4499) * CHOOSE(CONTROL!$C$21, $C$9, 100%, $E$9)</f>
        <v>23.4499</v>
      </c>
      <c r="F597" s="10">
        <f>CHOOSE(CONTROL!$C$42, 23.1853, 23.1853)*CHOOSE(CONTROL!$C$21, $C$9, 100%, $E$9)</f>
        <v>23.185300000000002</v>
      </c>
      <c r="G597" s="10">
        <f>CHOOSE(CONTROL!$C$42, 23.2026, 23.2026)*CHOOSE(CONTROL!$C$21, $C$9, 100%, $E$9)</f>
        <v>23.2026</v>
      </c>
      <c r="H597" s="10">
        <f>CHOOSE(CONTROL!$C$42, 23.4385, 23.4385) * CHOOSE(CONTROL!$C$21, $C$9, 100%, $E$9)</f>
        <v>23.438500000000001</v>
      </c>
      <c r="I597" s="10">
        <f>CHOOSE(CONTROL!$C$42, 23.1849, 23.1849)* CHOOSE(CONTROL!$C$21, $C$9, 100%, $E$9)</f>
        <v>23.184899999999999</v>
      </c>
      <c r="J597" s="10">
        <f>CHOOSE(CONTROL!$C$42, 23.1783, 23.1783)* CHOOSE(CONTROL!$C$21, $C$9, 100%, $E$9)</f>
        <v>23.1783</v>
      </c>
      <c r="K597" s="54">
        <f>CHOOSE(CONTROL!$C$42, 23.1811, 23.1811) * CHOOSE(CONTROL!$C$21, $C$9, 100%, $E$9)</f>
        <v>23.181100000000001</v>
      </c>
      <c r="L597" s="10">
        <f>CHOOSE(CONTROL!$C$42, 24.0255, 24.0255) * CHOOSE(CONTROL!$C$21, $C$9, 100%, $E$9)</f>
        <v>24.025500000000001</v>
      </c>
      <c r="M597" s="10">
        <f>CHOOSE(CONTROL!$C$42, 22.9582, 22.9582) * CHOOSE(CONTROL!$C$21, $C$9, 100%, $E$9)</f>
        <v>22.958200000000001</v>
      </c>
      <c r="N597" s="10">
        <f>CHOOSE(CONTROL!$C$42, 22.9753, 22.9753) * CHOOSE(CONTROL!$C$21, $C$9, 100%, $E$9)</f>
        <v>22.975300000000001</v>
      </c>
      <c r="O597" s="10">
        <f>CHOOSE(CONTROL!$C$42, 23.2158, 23.2158) * CHOOSE(CONTROL!$C$21, $C$9, 100%, $E$9)</f>
        <v>23.215800000000002</v>
      </c>
      <c r="P597" s="10">
        <f>CHOOSE(CONTROL!$C$42, 22.9648, 22.9648) * CHOOSE(CONTROL!$C$21, $C$9, 100%, $E$9)</f>
        <v>22.9648</v>
      </c>
      <c r="Q597" s="10">
        <f>CHOOSE(CONTROL!$C$42, 23.8111, 23.8111) * CHOOSE(CONTROL!$C$21, $C$9, 100%, $E$9)</f>
        <v>23.8111</v>
      </c>
      <c r="R597" s="10">
        <f>CHOOSE(CONTROL!$C$42, 24.4576, 24.4576) * CHOOSE(CONTROL!$C$21, $C$9, 100%, $E$9)</f>
        <v>24.457599999999999</v>
      </c>
      <c r="S597" s="10">
        <f>CHOOSE(CONTROL!$C$42, 22.5431, 22.5431) * CHOOSE(CONTROL!$C$21, $C$9, 100%, $E$9)</f>
        <v>22.543099999999999</v>
      </c>
      <c r="T597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597" s="58">
        <f>(1000*CHOOSE(CONTROL!$C$42, 695, 695)*CHOOSE(CONTROL!$C$42, 0.5599, 0.5599)*CHOOSE(CONTROL!$C$42, 30, 30))/1000000</f>
        <v>11.673914999999997</v>
      </c>
      <c r="V597" s="58">
        <f>(1000*CHOOSE(CONTROL!$C$42, 500, 500)*CHOOSE(CONTROL!$C$42, 0.275, 0.275)*CHOOSE(CONTROL!$C$42, 30, 30))/1000000</f>
        <v>4.125</v>
      </c>
      <c r="W597" s="58">
        <f>(1000*CHOOSE(CONTROL!$C$42, 0.1146, 0.1146)*CHOOSE(CONTROL!$C$42, 121.5, 121.5)*CHOOSE(CONTROL!$C$42, 30, 30))/1000000</f>
        <v>0.417717</v>
      </c>
      <c r="X597" s="58">
        <f>(30*0.1790888*245000/1000000)+(30*0.2374*100000/1000000)</f>
        <v>2.0285026799999999</v>
      </c>
      <c r="Y597" s="58"/>
      <c r="Z597" s="10"/>
      <c r="AA597" s="57"/>
      <c r="AB597" s="51">
        <f>(B597*194.205+C597*267.466+D597*133.845+E597*53.484+F597*40+G597*185+H597*0+I597*100+J597*300)/(194.205+267.466+133.845+53.484+0+40+185+100+300)</f>
        <v>23.235414663186813</v>
      </c>
      <c r="AC597" s="27">
        <f>(M597*'RAP TEMPLATE-GAS AVAILABILITY'!O596+N597*'RAP TEMPLATE-GAS AVAILABILITY'!P596+O597*'RAP TEMPLATE-GAS AVAILABILITY'!Q596+P597*'RAP TEMPLATE-GAS AVAILABILITY'!R596)/('RAP TEMPLATE-GAS AVAILABILITY'!O596+'RAP TEMPLATE-GAS AVAILABILITY'!P596+'RAP TEMPLATE-GAS AVAILABILITY'!Q596+'RAP TEMPLATE-GAS AVAILABILITY'!R596)</f>
        <v>23.035362589928059</v>
      </c>
    </row>
    <row r="598" spans="1:29" ht="15.75" x14ac:dyDescent="0.25">
      <c r="A598" s="13">
        <v>59110</v>
      </c>
      <c r="B598" s="10">
        <f>CHOOSE(CONTROL!$C$42, 22.7453, 22.7453) * CHOOSE(CONTROL!$C$21, $C$9, 100%, $E$9)</f>
        <v>22.7453</v>
      </c>
      <c r="C598" s="10">
        <f>CHOOSE(CONTROL!$C$42, 22.7505, 22.7505) * CHOOSE(CONTROL!$C$21, $C$9, 100%, $E$9)</f>
        <v>22.750499999999999</v>
      </c>
      <c r="D598" s="10">
        <f>CHOOSE(CONTROL!$C$42, 22.9479, 22.9479) * CHOOSE(CONTROL!$C$21, $C$9, 100%, $E$9)</f>
        <v>22.947900000000001</v>
      </c>
      <c r="E598" s="10">
        <f>CHOOSE(CONTROL!$C$42, 22.9767, 22.9767) * CHOOSE(CONTROL!$C$21, $C$9, 100%, $E$9)</f>
        <v>22.976700000000001</v>
      </c>
      <c r="F598" s="10">
        <f>CHOOSE(CONTROL!$C$42, 22.7142, 22.7142)*CHOOSE(CONTROL!$C$21, $C$9, 100%, $E$9)</f>
        <v>22.714200000000002</v>
      </c>
      <c r="G598" s="10">
        <f>CHOOSE(CONTROL!$C$42, 22.7312, 22.7312)*CHOOSE(CONTROL!$C$21, $C$9, 100%, $E$9)</f>
        <v>22.731200000000001</v>
      </c>
      <c r="H598" s="10">
        <f>CHOOSE(CONTROL!$C$42, 22.9672, 22.9672) * CHOOSE(CONTROL!$C$21, $C$9, 100%, $E$9)</f>
        <v>22.967199999999998</v>
      </c>
      <c r="I598" s="10">
        <f>CHOOSE(CONTROL!$C$42, 22.7136, 22.7136)* CHOOSE(CONTROL!$C$21, $C$9, 100%, $E$9)</f>
        <v>22.7136</v>
      </c>
      <c r="J598" s="10">
        <f>CHOOSE(CONTROL!$C$42, 22.7072, 22.7072)* CHOOSE(CONTROL!$C$21, $C$9, 100%, $E$9)</f>
        <v>22.7072</v>
      </c>
      <c r="K598" s="54">
        <f>CHOOSE(CONTROL!$C$42, 22.7097, 22.7097) * CHOOSE(CONTROL!$C$21, $C$9, 100%, $E$9)</f>
        <v>22.709700000000002</v>
      </c>
      <c r="L598" s="10">
        <f>CHOOSE(CONTROL!$C$42, 23.5542, 23.5542) * CHOOSE(CONTROL!$C$21, $C$9, 100%, $E$9)</f>
        <v>23.554200000000002</v>
      </c>
      <c r="M598" s="10">
        <f>CHOOSE(CONTROL!$C$42, 22.4919, 22.4919) * CHOOSE(CONTROL!$C$21, $C$9, 100%, $E$9)</f>
        <v>22.491900000000001</v>
      </c>
      <c r="N598" s="10">
        <f>CHOOSE(CONTROL!$C$42, 22.5087, 22.5087) * CHOOSE(CONTROL!$C$21, $C$9, 100%, $E$9)</f>
        <v>22.508700000000001</v>
      </c>
      <c r="O598" s="10">
        <f>CHOOSE(CONTROL!$C$42, 22.7492, 22.7492) * CHOOSE(CONTROL!$C$21, $C$9, 100%, $E$9)</f>
        <v>22.749199999999998</v>
      </c>
      <c r="P598" s="10">
        <f>CHOOSE(CONTROL!$C$42, 22.4983, 22.4983) * CHOOSE(CONTROL!$C$21, $C$9, 100%, $E$9)</f>
        <v>22.4983</v>
      </c>
      <c r="Q598" s="10">
        <f>CHOOSE(CONTROL!$C$42, 23.3445, 23.3445) * CHOOSE(CONTROL!$C$21, $C$9, 100%, $E$9)</f>
        <v>23.3445</v>
      </c>
      <c r="R598" s="10">
        <f>CHOOSE(CONTROL!$C$42, 23.9899, 23.9899) * CHOOSE(CONTROL!$C$21, $C$9, 100%, $E$9)</f>
        <v>23.989899999999999</v>
      </c>
      <c r="S598" s="10">
        <f>CHOOSE(CONTROL!$C$42, 22.0854, 22.0854) * CHOOSE(CONTROL!$C$21, $C$9, 100%, $E$9)</f>
        <v>22.0854</v>
      </c>
      <c r="T598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598" s="58">
        <f>(1000*CHOOSE(CONTROL!$C$42, 695, 695)*CHOOSE(CONTROL!$C$42, 0.5599, 0.5599)*CHOOSE(CONTROL!$C$42, 31, 31))/1000000</f>
        <v>12.063045499999998</v>
      </c>
      <c r="V598" s="58">
        <f>(1000*CHOOSE(CONTROL!$C$42, 500, 500)*CHOOSE(CONTROL!$C$42, 0.275, 0.275)*CHOOSE(CONTROL!$C$42, 31, 31))/1000000</f>
        <v>4.2625000000000002</v>
      </c>
      <c r="W598" s="58">
        <f>(1000*CHOOSE(CONTROL!$C$42, 0.1146, 0.1146)*CHOOSE(CONTROL!$C$42, 121.5, 121.5)*CHOOSE(CONTROL!$C$42, 31, 31))/1000000</f>
        <v>0.43164089999999994</v>
      </c>
      <c r="X598" s="58">
        <f>(31*0.1790888*245000/1000000)+(31*0.2374*100000/1000000)</f>
        <v>2.0961194359999999</v>
      </c>
      <c r="Y598" s="58"/>
      <c r="Z598" s="10"/>
      <c r="AA598" s="57"/>
      <c r="AB598" s="51">
        <f>(B598*131.881+C598*277.167+D598*79.08+E598*125.872+F598*40+G598*185+H598*0+I598*100+J598*300)/(131.881+277.167+79.08+125.872+0+40+185+100+300)</f>
        <v>22.768009569975785</v>
      </c>
      <c r="AC598" s="27">
        <f>(M598*'RAP TEMPLATE-GAS AVAILABILITY'!O597+N598*'RAP TEMPLATE-GAS AVAILABILITY'!P597+O598*'RAP TEMPLATE-GAS AVAILABILITY'!Q597+P598*'RAP TEMPLATE-GAS AVAILABILITY'!R597)/('RAP TEMPLATE-GAS AVAILABILITY'!O597+'RAP TEMPLATE-GAS AVAILABILITY'!P597+'RAP TEMPLATE-GAS AVAILABILITY'!Q597+'RAP TEMPLATE-GAS AVAILABILITY'!R597)</f>
        <v>22.56888057553957</v>
      </c>
    </row>
    <row r="599" spans="1:29" ht="15.75" x14ac:dyDescent="0.25">
      <c r="A599" s="13">
        <v>59140</v>
      </c>
      <c r="B599" s="10">
        <f>CHOOSE(CONTROL!$C$42, 23.344, 23.344) * CHOOSE(CONTROL!$C$21, $C$9, 100%, $E$9)</f>
        <v>23.344000000000001</v>
      </c>
      <c r="C599" s="10">
        <f>CHOOSE(CONTROL!$C$42, 23.349, 23.349) * CHOOSE(CONTROL!$C$21, $C$9, 100%, $E$9)</f>
        <v>23.349</v>
      </c>
      <c r="D599" s="10">
        <f>CHOOSE(CONTROL!$C$42, 23.3786, 23.3786) * CHOOSE(CONTROL!$C$21, $C$9, 100%, $E$9)</f>
        <v>23.378599999999999</v>
      </c>
      <c r="E599" s="10">
        <f>CHOOSE(CONTROL!$C$42, 23.4123, 23.4123) * CHOOSE(CONTROL!$C$21, $C$9, 100%, $E$9)</f>
        <v>23.412299999999998</v>
      </c>
      <c r="F599" s="10">
        <f>CHOOSE(CONTROL!$C$42, 23.3108, 23.3108)*CHOOSE(CONTROL!$C$21, $C$9, 100%, $E$9)</f>
        <v>23.3108</v>
      </c>
      <c r="G599" s="10">
        <f>CHOOSE(CONTROL!$C$42, 23.3279, 23.3279)*CHOOSE(CONTROL!$C$21, $C$9, 100%, $E$9)</f>
        <v>23.3279</v>
      </c>
      <c r="H599" s="10">
        <f>CHOOSE(CONTROL!$C$42, 23.4015, 23.4015) * CHOOSE(CONTROL!$C$21, $C$9, 100%, $E$9)</f>
        <v>23.401499999999999</v>
      </c>
      <c r="I599" s="10">
        <f>CHOOSE(CONTROL!$C$42, 23.3076, 23.3076)* CHOOSE(CONTROL!$C$21, $C$9, 100%, $E$9)</f>
        <v>23.307600000000001</v>
      </c>
      <c r="J599" s="10">
        <f>CHOOSE(CONTROL!$C$42, 23.3038, 23.3038)* CHOOSE(CONTROL!$C$21, $C$9, 100%, $E$9)</f>
        <v>23.303799999999999</v>
      </c>
      <c r="K599" s="54">
        <f>CHOOSE(CONTROL!$C$42, 23.3037, 23.3037) * CHOOSE(CONTROL!$C$21, $C$9, 100%, $E$9)</f>
        <v>23.303699999999999</v>
      </c>
      <c r="L599" s="10">
        <f>CHOOSE(CONTROL!$C$42, 23.9885, 23.9885) * CHOOSE(CONTROL!$C$21, $C$9, 100%, $E$9)</f>
        <v>23.988499999999998</v>
      </c>
      <c r="M599" s="10">
        <f>CHOOSE(CONTROL!$C$42, 23.0825, 23.0825) * CHOOSE(CONTROL!$C$21, $C$9, 100%, $E$9)</f>
        <v>23.0825</v>
      </c>
      <c r="N599" s="10">
        <f>CHOOSE(CONTROL!$C$42, 23.0994, 23.0994) * CHOOSE(CONTROL!$C$21, $C$9, 100%, $E$9)</f>
        <v>23.099399999999999</v>
      </c>
      <c r="O599" s="10">
        <f>CHOOSE(CONTROL!$C$42, 23.1792, 23.1792) * CHOOSE(CONTROL!$C$21, $C$9, 100%, $E$9)</f>
        <v>23.179200000000002</v>
      </c>
      <c r="P599" s="10">
        <f>CHOOSE(CONTROL!$C$42, 23.0863, 23.0863) * CHOOSE(CONTROL!$C$21, $C$9, 100%, $E$9)</f>
        <v>23.086300000000001</v>
      </c>
      <c r="Q599" s="10">
        <f>CHOOSE(CONTROL!$C$42, 23.7745, 23.7745) * CHOOSE(CONTROL!$C$21, $C$9, 100%, $E$9)</f>
        <v>23.7745</v>
      </c>
      <c r="R599" s="10">
        <f>CHOOSE(CONTROL!$C$42, 24.4209, 24.4209) * CHOOSE(CONTROL!$C$21, $C$9, 100%, $E$9)</f>
        <v>24.4209</v>
      </c>
      <c r="S599" s="10">
        <f>CHOOSE(CONTROL!$C$42, 22.6672, 22.6672) * CHOOSE(CONTROL!$C$21, $C$9, 100%, $E$9)</f>
        <v>22.667200000000001</v>
      </c>
      <c r="T599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599" s="58">
        <f>(1000*CHOOSE(CONTROL!$C$42, 695, 695)*CHOOSE(CONTROL!$C$42, 0.5599, 0.5599)*CHOOSE(CONTROL!$C$42, 30, 30))/1000000</f>
        <v>11.673914999999997</v>
      </c>
      <c r="V599" s="58">
        <f>(1000*CHOOSE(CONTROL!$C$42, 500, 500)*CHOOSE(CONTROL!$C$42, 0.275, 0.275)*CHOOSE(CONTROL!$C$42, 30, 30))/1000000</f>
        <v>4.125</v>
      </c>
      <c r="W599" s="58">
        <f>(1000*CHOOSE(CONTROL!$C$42, 0.1146, 0.1146)*CHOOSE(CONTROL!$C$42, 121.5, 121.5)*CHOOSE(CONTROL!$C$42, 30, 30))/1000000</f>
        <v>0.417717</v>
      </c>
      <c r="X599" s="58">
        <f>(30*0.1790888*100000/1000000)+(30*0.2374*100000/1000000)</f>
        <v>1.2494664</v>
      </c>
      <c r="Y599" s="58"/>
      <c r="Z599" s="10"/>
      <c r="AA599" s="57"/>
      <c r="AB599" s="51">
        <f>(B599*122.58+C599*297.941+D599*89.177+E599*40.302+F599*40+G599*160+H599*0+I599*100+J599*300)/(122.58+297.941+89.177+40.302+0+40+160+100+300)</f>
        <v>23.333325092000003</v>
      </c>
      <c r="AC599" s="27">
        <f>(M599*'RAP TEMPLATE-GAS AVAILABILITY'!O598+N599*'RAP TEMPLATE-GAS AVAILABILITY'!P598+O599*'RAP TEMPLATE-GAS AVAILABILITY'!Q598+P599*'RAP TEMPLATE-GAS AVAILABILITY'!R598)/('RAP TEMPLATE-GAS AVAILABILITY'!O598+'RAP TEMPLATE-GAS AVAILABILITY'!P598+'RAP TEMPLATE-GAS AVAILABILITY'!Q598+'RAP TEMPLATE-GAS AVAILABILITY'!R598)</f>
        <v>23.127847482014388</v>
      </c>
    </row>
    <row r="600" spans="1:29" ht="15.75" x14ac:dyDescent="0.25">
      <c r="A600" s="13">
        <v>59171</v>
      </c>
      <c r="B600" s="10">
        <f>CHOOSE(CONTROL!$C$42, 24.9354, 24.9354) * CHOOSE(CONTROL!$C$21, $C$9, 100%, $E$9)</f>
        <v>24.935400000000001</v>
      </c>
      <c r="C600" s="10">
        <f>CHOOSE(CONTROL!$C$42, 24.9403, 24.9403) * CHOOSE(CONTROL!$C$21, $C$9, 100%, $E$9)</f>
        <v>24.940300000000001</v>
      </c>
      <c r="D600" s="10">
        <f>CHOOSE(CONTROL!$C$42, 24.9699, 24.9699) * CHOOSE(CONTROL!$C$21, $C$9, 100%, $E$9)</f>
        <v>24.969899999999999</v>
      </c>
      <c r="E600" s="10">
        <f>CHOOSE(CONTROL!$C$42, 25.0037, 25.0037) * CHOOSE(CONTROL!$C$21, $C$9, 100%, $E$9)</f>
        <v>25.003699999999998</v>
      </c>
      <c r="F600" s="10">
        <f>CHOOSE(CONTROL!$C$42, 24.9036, 24.9036)*CHOOSE(CONTROL!$C$21, $C$9, 100%, $E$9)</f>
        <v>24.903600000000001</v>
      </c>
      <c r="G600" s="10">
        <f>CHOOSE(CONTROL!$C$42, 24.9211, 24.9211)*CHOOSE(CONTROL!$C$21, $C$9, 100%, $E$9)</f>
        <v>24.921099999999999</v>
      </c>
      <c r="H600" s="10">
        <f>CHOOSE(CONTROL!$C$42, 24.9929, 24.9929) * CHOOSE(CONTROL!$C$21, $C$9, 100%, $E$9)</f>
        <v>24.992899999999999</v>
      </c>
      <c r="I600" s="10">
        <f>CHOOSE(CONTROL!$C$42, 24.899, 24.899)* CHOOSE(CONTROL!$C$21, $C$9, 100%, $E$9)</f>
        <v>24.899000000000001</v>
      </c>
      <c r="J600" s="10">
        <f>CHOOSE(CONTROL!$C$42, 24.8966, 24.8966)* CHOOSE(CONTROL!$C$21, $C$9, 100%, $E$9)</f>
        <v>24.896599999999999</v>
      </c>
      <c r="K600" s="54">
        <f>CHOOSE(CONTROL!$C$42, 24.8951, 24.8951) * CHOOSE(CONTROL!$C$21, $C$9, 100%, $E$9)</f>
        <v>24.895099999999999</v>
      </c>
      <c r="L600" s="10">
        <f>CHOOSE(CONTROL!$C$42, 25.5799, 25.5799) * CHOOSE(CONTROL!$C$21, $C$9, 100%, $E$9)</f>
        <v>25.579899999999999</v>
      </c>
      <c r="M600" s="10">
        <f>CHOOSE(CONTROL!$C$42, 24.6592, 24.6592) * CHOOSE(CONTROL!$C$21, $C$9, 100%, $E$9)</f>
        <v>24.659199999999998</v>
      </c>
      <c r="N600" s="10">
        <f>CHOOSE(CONTROL!$C$42, 24.6765, 24.6765) * CHOOSE(CONTROL!$C$21, $C$9, 100%, $E$9)</f>
        <v>24.676500000000001</v>
      </c>
      <c r="O600" s="10">
        <f>CHOOSE(CONTROL!$C$42, 24.7545, 24.7545) * CHOOSE(CONTROL!$C$21, $C$9, 100%, $E$9)</f>
        <v>24.7545</v>
      </c>
      <c r="P600" s="10">
        <f>CHOOSE(CONTROL!$C$42, 24.6616, 24.6616) * CHOOSE(CONTROL!$C$21, $C$9, 100%, $E$9)</f>
        <v>24.6616</v>
      </c>
      <c r="Q600" s="10">
        <f>CHOOSE(CONTROL!$C$42, 25.3498, 25.3498) * CHOOSE(CONTROL!$C$21, $C$9, 100%, $E$9)</f>
        <v>25.349799999999998</v>
      </c>
      <c r="R600" s="10">
        <f>CHOOSE(CONTROL!$C$42, 26.0002, 26.0002) * CHOOSE(CONTROL!$C$21, $C$9, 100%, $E$9)</f>
        <v>26.0002</v>
      </c>
      <c r="S600" s="10">
        <f>CHOOSE(CONTROL!$C$42, 24.2126, 24.2126) * CHOOSE(CONTROL!$C$21, $C$9, 100%, $E$9)</f>
        <v>24.212599999999998</v>
      </c>
      <c r="T600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600" s="58">
        <f>(1000*CHOOSE(CONTROL!$C$42, 695, 695)*CHOOSE(CONTROL!$C$42, 0.5599, 0.5599)*CHOOSE(CONTROL!$C$42, 31, 31))/1000000</f>
        <v>12.063045499999998</v>
      </c>
      <c r="V600" s="58">
        <f>(1000*CHOOSE(CONTROL!$C$42, 500, 500)*CHOOSE(CONTROL!$C$42, 0.275, 0.275)*CHOOSE(CONTROL!$C$42, 31, 31))/1000000</f>
        <v>4.2625000000000002</v>
      </c>
      <c r="W600" s="58">
        <f>(1000*CHOOSE(CONTROL!$C$42, 0.1146, 0.1146)*CHOOSE(CONTROL!$C$42, 121.5, 121.5)*CHOOSE(CONTROL!$C$42, 31, 31))/1000000</f>
        <v>0.43164089999999994</v>
      </c>
      <c r="X600" s="58">
        <f>(31*0.1790888*100000/1000000)+(31*0.2374*100000/1000000)</f>
        <v>1.2911152800000001</v>
      </c>
      <c r="Y600" s="58"/>
      <c r="Z600" s="10"/>
      <c r="AA600" s="57"/>
      <c r="AB600" s="51">
        <f>(B600*122.58+C600*297.941+D600*89.177+E600*40.302+F600*40+G600*160+H600*0+I600*100+J600*300)/(122.58+297.941+89.177+40.302+0+40+160+100+300)</f>
        <v>24.925355777391307</v>
      </c>
      <c r="AC600" s="27">
        <f>(M600*'RAP TEMPLATE-GAS AVAILABILITY'!O599+N600*'RAP TEMPLATE-GAS AVAILABILITY'!P599+O600*'RAP TEMPLATE-GAS AVAILABILITY'!Q599+P600*'RAP TEMPLATE-GAS AVAILABILITY'!R599)/('RAP TEMPLATE-GAS AVAILABILITY'!O599+'RAP TEMPLATE-GAS AVAILABILITY'!P599+'RAP TEMPLATE-GAS AVAILABILITY'!Q599+'RAP TEMPLATE-GAS AVAILABILITY'!R599)</f>
        <v>24.703734532374099</v>
      </c>
    </row>
    <row r="601" spans="1:29" ht="15.75" x14ac:dyDescent="0.25">
      <c r="A601" s="13">
        <v>59202</v>
      </c>
      <c r="B601" s="10">
        <f>CHOOSE(CONTROL!$C$42, 26.9783, 26.9783) * CHOOSE(CONTROL!$C$21, $C$9, 100%, $E$9)</f>
        <v>26.978300000000001</v>
      </c>
      <c r="C601" s="10">
        <f>CHOOSE(CONTROL!$C$42, 26.9832, 26.9832) * CHOOSE(CONTROL!$C$21, $C$9, 100%, $E$9)</f>
        <v>26.9832</v>
      </c>
      <c r="D601" s="10">
        <f>CHOOSE(CONTROL!$C$42, 27.0334, 27.0334) * CHOOSE(CONTROL!$C$21, $C$9, 100%, $E$9)</f>
        <v>27.0334</v>
      </c>
      <c r="E601" s="10">
        <f>CHOOSE(CONTROL!$C$42, 27.0672, 27.0672) * CHOOSE(CONTROL!$C$21, $C$9, 100%, $E$9)</f>
        <v>27.0672</v>
      </c>
      <c r="F601" s="10">
        <f>CHOOSE(CONTROL!$C$42, 26.9436, 26.9436)*CHOOSE(CONTROL!$C$21, $C$9, 100%, $E$9)</f>
        <v>26.9436</v>
      </c>
      <c r="G601" s="10">
        <f>CHOOSE(CONTROL!$C$42, 26.9612, 26.9612)*CHOOSE(CONTROL!$C$21, $C$9, 100%, $E$9)</f>
        <v>26.961200000000002</v>
      </c>
      <c r="H601" s="10">
        <f>CHOOSE(CONTROL!$C$42, 27.0564, 27.0564) * CHOOSE(CONTROL!$C$21, $C$9, 100%, $E$9)</f>
        <v>27.0564</v>
      </c>
      <c r="I601" s="10">
        <f>CHOOSE(CONTROL!$C$42, 26.9522, 26.9522)* CHOOSE(CONTROL!$C$21, $C$9, 100%, $E$9)</f>
        <v>26.952200000000001</v>
      </c>
      <c r="J601" s="10">
        <f>CHOOSE(CONTROL!$C$42, 26.9366, 26.9366)* CHOOSE(CONTROL!$C$21, $C$9, 100%, $E$9)</f>
        <v>26.936599999999999</v>
      </c>
      <c r="K601" s="54">
        <f>CHOOSE(CONTROL!$C$42, 26.9483, 26.9483) * CHOOSE(CONTROL!$C$21, $C$9, 100%, $E$9)</f>
        <v>26.9483</v>
      </c>
      <c r="L601" s="10">
        <f>CHOOSE(CONTROL!$C$42, 27.6434, 27.6434) * CHOOSE(CONTROL!$C$21, $C$9, 100%, $E$9)</f>
        <v>27.6434</v>
      </c>
      <c r="M601" s="10">
        <f>CHOOSE(CONTROL!$C$42, 26.6786, 26.6786) * CHOOSE(CONTROL!$C$21, $C$9, 100%, $E$9)</f>
        <v>26.678599999999999</v>
      </c>
      <c r="N601" s="10">
        <f>CHOOSE(CONTROL!$C$42, 26.696, 26.696) * CHOOSE(CONTROL!$C$21, $C$9, 100%, $E$9)</f>
        <v>26.696000000000002</v>
      </c>
      <c r="O601" s="10">
        <f>CHOOSE(CONTROL!$C$42, 26.7972, 26.7972) * CHOOSE(CONTROL!$C$21, $C$9, 100%, $E$9)</f>
        <v>26.7972</v>
      </c>
      <c r="P601" s="10">
        <f>CHOOSE(CONTROL!$C$42, 26.694, 26.694) * CHOOSE(CONTROL!$C$21, $C$9, 100%, $E$9)</f>
        <v>26.693999999999999</v>
      </c>
      <c r="Q601" s="10">
        <f>CHOOSE(CONTROL!$C$42, 27.3925, 27.3925) * CHOOSE(CONTROL!$C$21, $C$9, 100%, $E$9)</f>
        <v>27.392499999999998</v>
      </c>
      <c r="R601" s="10">
        <f>CHOOSE(CONTROL!$C$42, 28.048, 28.048) * CHOOSE(CONTROL!$C$21, $C$9, 100%, $E$9)</f>
        <v>28.047999999999998</v>
      </c>
      <c r="S601" s="10">
        <f>CHOOSE(CONTROL!$C$42, 26.1965, 26.1965) * CHOOSE(CONTROL!$C$21, $C$9, 100%, $E$9)</f>
        <v>26.1965</v>
      </c>
      <c r="T601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601" s="58">
        <f>(1000*CHOOSE(CONTROL!$C$42, 695, 695)*CHOOSE(CONTROL!$C$42, 0.5599, 0.5599)*CHOOSE(CONTROL!$C$42, 31, 31))/1000000</f>
        <v>12.063045499999998</v>
      </c>
      <c r="V601" s="58">
        <f>(1000*CHOOSE(CONTROL!$C$42, 500, 500)*CHOOSE(CONTROL!$C$42, 0.275, 0.275)*CHOOSE(CONTROL!$C$42, 31, 31))/1000000</f>
        <v>4.2625000000000002</v>
      </c>
      <c r="W601" s="58">
        <f>(1000*CHOOSE(CONTROL!$C$42, 0.1146, 0.1146)*CHOOSE(CONTROL!$C$42, 121.5, 121.5)*CHOOSE(CONTROL!$C$42, 31, 31))/1000000</f>
        <v>0.43164089999999994</v>
      </c>
      <c r="X601" s="58">
        <f>(31*0.1790888*100000/1000000)+(31*0.2374*100000/1000000)</f>
        <v>1.2911152800000001</v>
      </c>
      <c r="Y601" s="58"/>
      <c r="Z601" s="10"/>
      <c r="AA601" s="57"/>
      <c r="AB601" s="51">
        <f>(B601*122.58+C601*297.941+D601*89.177+E601*40.302+F601*40+G601*160+H601*0+I601*100+J601*300)/(122.58+297.941+89.177+40.302+0+40+160+100+300)</f>
        <v>26.970223836000002</v>
      </c>
      <c r="AC601" s="27">
        <f>(M601*'RAP TEMPLATE-GAS AVAILABILITY'!O600+N601*'RAP TEMPLATE-GAS AVAILABILITY'!P600+O601*'RAP TEMPLATE-GAS AVAILABILITY'!Q600+P601*'RAP TEMPLATE-GAS AVAILABILITY'!R600)/('RAP TEMPLATE-GAS AVAILABILITY'!O600+'RAP TEMPLATE-GAS AVAILABILITY'!P600+'RAP TEMPLATE-GAS AVAILABILITY'!Q600+'RAP TEMPLATE-GAS AVAILABILITY'!R600)</f>
        <v>26.735571223021584</v>
      </c>
    </row>
    <row r="602" spans="1:29" ht="15.75" x14ac:dyDescent="0.25">
      <c r="A602" s="13">
        <v>59230</v>
      </c>
      <c r="B602" s="10">
        <f>CHOOSE(CONTROL!$C$42, 27.4585, 27.4585) * CHOOSE(CONTROL!$C$21, $C$9, 100%, $E$9)</f>
        <v>27.458500000000001</v>
      </c>
      <c r="C602" s="10">
        <f>CHOOSE(CONTROL!$C$42, 27.4634, 27.4634) * CHOOSE(CONTROL!$C$21, $C$9, 100%, $E$9)</f>
        <v>27.4634</v>
      </c>
      <c r="D602" s="10">
        <f>CHOOSE(CONTROL!$C$42, 27.5239, 27.5239) * CHOOSE(CONTROL!$C$21, $C$9, 100%, $E$9)</f>
        <v>27.523900000000001</v>
      </c>
      <c r="E602" s="10">
        <f>CHOOSE(CONTROL!$C$42, 27.5577, 27.5577) * CHOOSE(CONTROL!$C$21, $C$9, 100%, $E$9)</f>
        <v>27.557700000000001</v>
      </c>
      <c r="F602" s="10">
        <f>CHOOSE(CONTROL!$C$42, 27.4517, 27.4517)*CHOOSE(CONTROL!$C$21, $C$9, 100%, $E$9)</f>
        <v>27.451699999999999</v>
      </c>
      <c r="G602" s="10">
        <f>CHOOSE(CONTROL!$C$42, 27.469, 27.469)*CHOOSE(CONTROL!$C$21, $C$9, 100%, $E$9)</f>
        <v>27.469000000000001</v>
      </c>
      <c r="H602" s="10">
        <f>CHOOSE(CONTROL!$C$42, 27.5469, 27.5469) * CHOOSE(CONTROL!$C$21, $C$9, 100%, $E$9)</f>
        <v>27.546900000000001</v>
      </c>
      <c r="I602" s="10">
        <f>CHOOSE(CONTROL!$C$42, 27.4452, 27.4452)* CHOOSE(CONTROL!$C$21, $C$9, 100%, $E$9)</f>
        <v>27.4452</v>
      </c>
      <c r="J602" s="10">
        <f>CHOOSE(CONTROL!$C$42, 27.4447, 27.4447)* CHOOSE(CONTROL!$C$21, $C$9, 100%, $E$9)</f>
        <v>27.444700000000001</v>
      </c>
      <c r="K602" s="54">
        <f>CHOOSE(CONTROL!$C$42, 27.4413, 27.4413) * CHOOSE(CONTROL!$C$21, $C$9, 100%, $E$9)</f>
        <v>27.441299999999998</v>
      </c>
      <c r="L602" s="10">
        <f>CHOOSE(CONTROL!$C$42, 28.1339, 28.1339) * CHOOSE(CONTROL!$C$21, $C$9, 100%, $E$9)</f>
        <v>28.133900000000001</v>
      </c>
      <c r="M602" s="10">
        <f>CHOOSE(CONTROL!$C$42, 27.1816, 27.1816) * CHOOSE(CONTROL!$C$21, $C$9, 100%, $E$9)</f>
        <v>27.1816</v>
      </c>
      <c r="N602" s="10">
        <f>CHOOSE(CONTROL!$C$42, 27.1987, 27.1987) * CHOOSE(CONTROL!$C$21, $C$9, 100%, $E$9)</f>
        <v>27.198699999999999</v>
      </c>
      <c r="O602" s="10">
        <f>CHOOSE(CONTROL!$C$42, 27.2827, 27.2827) * CHOOSE(CONTROL!$C$21, $C$9, 100%, $E$9)</f>
        <v>27.282699999999998</v>
      </c>
      <c r="P602" s="10">
        <f>CHOOSE(CONTROL!$C$42, 27.1821, 27.1821) * CHOOSE(CONTROL!$C$21, $C$9, 100%, $E$9)</f>
        <v>27.182099999999998</v>
      </c>
      <c r="Q602" s="10">
        <f>CHOOSE(CONTROL!$C$42, 27.878, 27.878) * CHOOSE(CONTROL!$C$21, $C$9, 100%, $E$9)</f>
        <v>27.878</v>
      </c>
      <c r="R602" s="10">
        <f>CHOOSE(CONTROL!$C$42, 28.5347, 28.5347) * CHOOSE(CONTROL!$C$21, $C$9, 100%, $E$9)</f>
        <v>28.534700000000001</v>
      </c>
      <c r="S602" s="10">
        <f>CHOOSE(CONTROL!$C$42, 26.6628, 26.6628) * CHOOSE(CONTROL!$C$21, $C$9, 100%, $E$9)</f>
        <v>26.662800000000001</v>
      </c>
      <c r="T602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602" s="58">
        <f>(1000*CHOOSE(CONTROL!$C$42, 695, 695)*CHOOSE(CONTROL!$C$42, 0.5599, 0.5599)*CHOOSE(CONTROL!$C$42, 28, 28))/1000000</f>
        <v>10.895653999999999</v>
      </c>
      <c r="V602" s="58">
        <f>(1000*CHOOSE(CONTROL!$C$42, 500, 500)*CHOOSE(CONTROL!$C$42, 0.275, 0.275)*CHOOSE(CONTROL!$C$42, 28, 28))/1000000</f>
        <v>3.85</v>
      </c>
      <c r="W602" s="58">
        <f>(1000*CHOOSE(CONTROL!$C$42, 0.1146, 0.1146)*CHOOSE(CONTROL!$C$42, 121.5, 121.5)*CHOOSE(CONTROL!$C$42, 28, 28))/1000000</f>
        <v>0.38986920000000003</v>
      </c>
      <c r="X602" s="58">
        <f>(28*0.1790888*100000/1000000)+(28*0.2374*100000/1000000)</f>
        <v>1.16616864</v>
      </c>
      <c r="Y602" s="58"/>
      <c r="Z602" s="10"/>
      <c r="AA602" s="57"/>
      <c r="AB602" s="51">
        <f>(B602*122.58+C602*297.941+D602*89.177+E602*40.302+F602*40+G602*160+H602*0+I602*100+J602*300)/(122.58+297.941+89.177+40.302+0+40+160+100+300)</f>
        <v>27.464785256608696</v>
      </c>
      <c r="AC602" s="27">
        <f>(M602*'RAP TEMPLATE-GAS AVAILABILITY'!O601+N602*'RAP TEMPLATE-GAS AVAILABILITY'!P601+O602*'RAP TEMPLATE-GAS AVAILABILITY'!Q601+P602*'RAP TEMPLATE-GAS AVAILABILITY'!R601)/('RAP TEMPLATE-GAS AVAILABILITY'!O601+'RAP TEMPLATE-GAS AVAILABILITY'!P601+'RAP TEMPLATE-GAS AVAILABILITY'!Q601+'RAP TEMPLATE-GAS AVAILABILITY'!R601)</f>
        <v>27.228478417266185</v>
      </c>
    </row>
    <row r="603" spans="1:29" ht="15.75" x14ac:dyDescent="0.25">
      <c r="A603" s="13">
        <v>59261</v>
      </c>
      <c r="B603" s="10">
        <f>CHOOSE(CONTROL!$C$42, 26.679, 26.679) * CHOOSE(CONTROL!$C$21, $C$9, 100%, $E$9)</f>
        <v>26.678999999999998</v>
      </c>
      <c r="C603" s="10">
        <f>CHOOSE(CONTROL!$C$42, 26.6839, 26.6839) * CHOOSE(CONTROL!$C$21, $C$9, 100%, $E$9)</f>
        <v>26.683900000000001</v>
      </c>
      <c r="D603" s="10">
        <f>CHOOSE(CONTROL!$C$42, 26.7444, 26.7444) * CHOOSE(CONTROL!$C$21, $C$9, 100%, $E$9)</f>
        <v>26.744399999999999</v>
      </c>
      <c r="E603" s="10">
        <f>CHOOSE(CONTROL!$C$42, 26.7782, 26.7782) * CHOOSE(CONTROL!$C$21, $C$9, 100%, $E$9)</f>
        <v>26.778199999999998</v>
      </c>
      <c r="F603" s="10">
        <f>CHOOSE(CONTROL!$C$42, 26.6667, 26.6667)*CHOOSE(CONTROL!$C$21, $C$9, 100%, $E$9)</f>
        <v>26.666699999999999</v>
      </c>
      <c r="G603" s="10">
        <f>CHOOSE(CONTROL!$C$42, 26.6839, 26.6839)*CHOOSE(CONTROL!$C$21, $C$9, 100%, $E$9)</f>
        <v>26.683900000000001</v>
      </c>
      <c r="H603" s="10">
        <f>CHOOSE(CONTROL!$C$42, 26.7674, 26.7674) * CHOOSE(CONTROL!$C$21, $C$9, 100%, $E$9)</f>
        <v>26.767399999999999</v>
      </c>
      <c r="I603" s="10">
        <f>CHOOSE(CONTROL!$C$42, 26.6529, 26.6529)* CHOOSE(CONTROL!$C$21, $C$9, 100%, $E$9)</f>
        <v>26.652899999999999</v>
      </c>
      <c r="J603" s="10">
        <f>CHOOSE(CONTROL!$C$42, 26.6597, 26.6597)* CHOOSE(CONTROL!$C$21, $C$9, 100%, $E$9)</f>
        <v>26.659700000000001</v>
      </c>
      <c r="K603" s="54">
        <f>CHOOSE(CONTROL!$C$42, 26.649, 26.649) * CHOOSE(CONTROL!$C$21, $C$9, 100%, $E$9)</f>
        <v>26.649000000000001</v>
      </c>
      <c r="L603" s="10">
        <f>CHOOSE(CONTROL!$C$42, 27.3544, 27.3544) * CHOOSE(CONTROL!$C$21, $C$9, 100%, $E$9)</f>
        <v>27.354399999999998</v>
      </c>
      <c r="M603" s="10">
        <f>CHOOSE(CONTROL!$C$42, 26.4045, 26.4045) * CHOOSE(CONTROL!$C$21, $C$9, 100%, $E$9)</f>
        <v>26.404499999999999</v>
      </c>
      <c r="N603" s="10">
        <f>CHOOSE(CONTROL!$C$42, 26.4215, 26.4215) * CHOOSE(CONTROL!$C$21, $C$9, 100%, $E$9)</f>
        <v>26.421500000000002</v>
      </c>
      <c r="O603" s="10">
        <f>CHOOSE(CONTROL!$C$42, 26.5111, 26.5111) * CHOOSE(CONTROL!$C$21, $C$9, 100%, $E$9)</f>
        <v>26.511099999999999</v>
      </c>
      <c r="P603" s="10">
        <f>CHOOSE(CONTROL!$C$42, 26.3978, 26.3978) * CHOOSE(CONTROL!$C$21, $C$9, 100%, $E$9)</f>
        <v>26.3978</v>
      </c>
      <c r="Q603" s="10">
        <f>CHOOSE(CONTROL!$C$42, 27.1064, 27.1064) * CHOOSE(CONTROL!$C$21, $C$9, 100%, $E$9)</f>
        <v>27.106400000000001</v>
      </c>
      <c r="R603" s="10">
        <f>CHOOSE(CONTROL!$C$42, 27.7612, 27.7612) * CHOOSE(CONTROL!$C$21, $C$9, 100%, $E$9)</f>
        <v>27.761199999999999</v>
      </c>
      <c r="S603" s="10">
        <f>CHOOSE(CONTROL!$C$42, 25.9058, 25.9058) * CHOOSE(CONTROL!$C$21, $C$9, 100%, $E$9)</f>
        <v>25.905799999999999</v>
      </c>
      <c r="T603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603" s="58">
        <f>(1000*CHOOSE(CONTROL!$C$42, 695, 695)*CHOOSE(CONTROL!$C$42, 0.5599, 0.5599)*CHOOSE(CONTROL!$C$42, 31, 31))/1000000</f>
        <v>12.063045499999998</v>
      </c>
      <c r="V603" s="58">
        <f>(1000*CHOOSE(CONTROL!$C$42, 500, 500)*CHOOSE(CONTROL!$C$42, 0.275, 0.275)*CHOOSE(CONTROL!$C$42, 31, 31))/1000000</f>
        <v>4.2625000000000002</v>
      </c>
      <c r="W603" s="58">
        <f>(1000*CHOOSE(CONTROL!$C$42, 0.1146, 0.1146)*CHOOSE(CONTROL!$C$42, 121.5, 121.5)*CHOOSE(CONTROL!$C$42, 31, 31))/1000000</f>
        <v>0.43164089999999994</v>
      </c>
      <c r="X603" s="58">
        <f>(31*0.1790888*100000/1000000)+(31*0.2374*100000/1000000)</f>
        <v>1.2911152800000001</v>
      </c>
      <c r="Y603" s="58"/>
      <c r="Z603" s="10"/>
      <c r="AA603" s="57"/>
      <c r="AB603" s="51">
        <f>(B603*122.58+C603*297.941+D603*89.177+E603*40.302+F603*40+G603*160+H603*0+I603*100+J603*300)/(122.58+297.941+89.177+40.302+0+40+160+100+300)</f>
        <v>26.681766995739132</v>
      </c>
      <c r="AC603" s="27">
        <f>(M603*'RAP TEMPLATE-GAS AVAILABILITY'!O602+N603*'RAP TEMPLATE-GAS AVAILABILITY'!P602+O603*'RAP TEMPLATE-GAS AVAILABILITY'!Q602+P603*'RAP TEMPLATE-GAS AVAILABILITY'!R602)/('RAP TEMPLATE-GAS AVAILABILITY'!O602+'RAP TEMPLATE-GAS AVAILABILITY'!P602+'RAP TEMPLATE-GAS AVAILABILITY'!Q602+'RAP TEMPLATE-GAS AVAILABILITY'!R602)</f>
        <v>26.452829496402877</v>
      </c>
    </row>
    <row r="604" spans="1:29" ht="15.75" x14ac:dyDescent="0.25">
      <c r="A604" s="13">
        <v>59291</v>
      </c>
      <c r="B604" s="10">
        <f>CHOOSE(CONTROL!$C$42, 26.6003, 26.6003) * CHOOSE(CONTROL!$C$21, $C$9, 100%, $E$9)</f>
        <v>26.600300000000001</v>
      </c>
      <c r="C604" s="10">
        <f>CHOOSE(CONTROL!$C$42, 26.6047, 26.6047) * CHOOSE(CONTROL!$C$21, $C$9, 100%, $E$9)</f>
        <v>26.604700000000001</v>
      </c>
      <c r="D604" s="10">
        <f>CHOOSE(CONTROL!$C$42, 26.8002, 26.8002) * CHOOSE(CONTROL!$C$21, $C$9, 100%, $E$9)</f>
        <v>26.8002</v>
      </c>
      <c r="E604" s="10">
        <f>CHOOSE(CONTROL!$C$42, 26.832, 26.832) * CHOOSE(CONTROL!$C$21, $C$9, 100%, $E$9)</f>
        <v>26.832000000000001</v>
      </c>
      <c r="F604" s="10">
        <f>CHOOSE(CONTROL!$C$42, 26.5681, 26.5681)*CHOOSE(CONTROL!$C$21, $C$9, 100%, $E$9)</f>
        <v>26.568100000000001</v>
      </c>
      <c r="G604" s="10">
        <f>CHOOSE(CONTROL!$C$42, 26.5849, 26.5849)*CHOOSE(CONTROL!$C$21, $C$9, 100%, $E$9)</f>
        <v>26.584900000000001</v>
      </c>
      <c r="H604" s="10">
        <f>CHOOSE(CONTROL!$C$42, 26.8218, 26.8218) * CHOOSE(CONTROL!$C$21, $C$9, 100%, $E$9)</f>
        <v>26.8218</v>
      </c>
      <c r="I604" s="10">
        <f>CHOOSE(CONTROL!$C$42, 26.5683, 26.5683)* CHOOSE(CONTROL!$C$21, $C$9, 100%, $E$9)</f>
        <v>26.568300000000001</v>
      </c>
      <c r="J604" s="10">
        <f>CHOOSE(CONTROL!$C$42, 26.5611, 26.5611)* CHOOSE(CONTROL!$C$21, $C$9, 100%, $E$9)</f>
        <v>26.5611</v>
      </c>
      <c r="K604" s="54">
        <f>CHOOSE(CONTROL!$C$42, 26.5644, 26.5644) * CHOOSE(CONTROL!$C$21, $C$9, 100%, $E$9)</f>
        <v>26.564399999999999</v>
      </c>
      <c r="L604" s="10">
        <f>CHOOSE(CONTROL!$C$42, 27.4088, 27.4088) * CHOOSE(CONTROL!$C$21, $C$9, 100%, $E$9)</f>
        <v>27.408799999999999</v>
      </c>
      <c r="M604" s="10">
        <f>CHOOSE(CONTROL!$C$42, 26.3069, 26.3069) * CHOOSE(CONTROL!$C$21, $C$9, 100%, $E$9)</f>
        <v>26.306899999999999</v>
      </c>
      <c r="N604" s="10">
        <f>CHOOSE(CONTROL!$C$42, 26.3235, 26.3235) * CHOOSE(CONTROL!$C$21, $C$9, 100%, $E$9)</f>
        <v>26.323499999999999</v>
      </c>
      <c r="O604" s="10">
        <f>CHOOSE(CONTROL!$C$42, 26.5649, 26.5649) * CHOOSE(CONTROL!$C$21, $C$9, 100%, $E$9)</f>
        <v>26.564900000000002</v>
      </c>
      <c r="P604" s="10">
        <f>CHOOSE(CONTROL!$C$42, 26.314, 26.314) * CHOOSE(CONTROL!$C$21, $C$9, 100%, $E$9)</f>
        <v>26.314</v>
      </c>
      <c r="Q604" s="10">
        <f>CHOOSE(CONTROL!$C$42, 27.1602, 27.1602) * CHOOSE(CONTROL!$C$21, $C$9, 100%, $E$9)</f>
        <v>27.1602</v>
      </c>
      <c r="R604" s="10">
        <f>CHOOSE(CONTROL!$C$42, 27.8152, 27.8152) * CHOOSE(CONTROL!$C$21, $C$9, 100%, $E$9)</f>
        <v>27.815200000000001</v>
      </c>
      <c r="S604" s="10">
        <f>CHOOSE(CONTROL!$C$42, 25.8286, 25.8286) * CHOOSE(CONTROL!$C$21, $C$9, 100%, $E$9)</f>
        <v>25.828600000000002</v>
      </c>
      <c r="T604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604" s="58">
        <f>(1000*CHOOSE(CONTROL!$C$42, 695, 695)*CHOOSE(CONTROL!$C$42, 0.5599, 0.5599)*CHOOSE(CONTROL!$C$42, 30, 30))/1000000</f>
        <v>11.673914999999997</v>
      </c>
      <c r="V604" s="58">
        <f>(1000*CHOOSE(CONTROL!$C$42, 500, 500)*CHOOSE(CONTROL!$C$42, 0.275, 0.275)*CHOOSE(CONTROL!$C$42, 30, 30))/1000000</f>
        <v>4.125</v>
      </c>
      <c r="W604" s="58">
        <f>(1000*CHOOSE(CONTROL!$C$42, 0.1146, 0.1146)*CHOOSE(CONTROL!$C$42, 121.5, 121.5)*CHOOSE(CONTROL!$C$42, 30, 30))/1000000</f>
        <v>0.417717</v>
      </c>
      <c r="X604" s="58">
        <f>(30*0.1790888*245000/1000000)+(30*0.2374*100000/1000000)</f>
        <v>2.0285026799999999</v>
      </c>
      <c r="Y604" s="58"/>
      <c r="Z604" s="10"/>
      <c r="AA604" s="57"/>
      <c r="AB604" s="51">
        <f>(B604*141.293+C604*267.993+D604*115.016+E604*89.698+F604*40+G604*185+H604*0+I604*100+J604*300)/(141.293+267.993+115.016+89.698+0+40+185+100+300)</f>
        <v>26.621169164003231</v>
      </c>
      <c r="AC604" s="27">
        <f>(M604*'RAP TEMPLATE-GAS AVAILABILITY'!O603+N604*'RAP TEMPLATE-GAS AVAILABILITY'!P603+O604*'RAP TEMPLATE-GAS AVAILABILITY'!Q603+P604*'RAP TEMPLATE-GAS AVAILABILITY'!R603)/('RAP TEMPLATE-GAS AVAILABILITY'!O603+'RAP TEMPLATE-GAS AVAILABILITY'!P603+'RAP TEMPLATE-GAS AVAILABILITY'!Q603+'RAP TEMPLATE-GAS AVAILABILITY'!R603)</f>
        <v>26.425812230215829</v>
      </c>
    </row>
    <row r="605" spans="1:29" ht="15.75" x14ac:dyDescent="0.25">
      <c r="A605" s="13">
        <v>59322</v>
      </c>
      <c r="B605" s="10">
        <f>CHOOSE(CONTROL!$C$42, 26.8364, 26.8364) * CHOOSE(CONTROL!$C$21, $C$9, 100%, $E$9)</f>
        <v>26.836400000000001</v>
      </c>
      <c r="C605" s="10">
        <f>CHOOSE(CONTROL!$C$42, 26.8443, 26.8443) * CHOOSE(CONTROL!$C$21, $C$9, 100%, $E$9)</f>
        <v>26.8443</v>
      </c>
      <c r="D605" s="10">
        <f>CHOOSE(CONTROL!$C$42, 27.0368, 27.0368) * CHOOSE(CONTROL!$C$21, $C$9, 100%, $E$9)</f>
        <v>27.036799999999999</v>
      </c>
      <c r="E605" s="10">
        <f>CHOOSE(CONTROL!$C$42, 27.0679, 27.0679) * CHOOSE(CONTROL!$C$21, $C$9, 100%, $E$9)</f>
        <v>27.067900000000002</v>
      </c>
      <c r="F605" s="10">
        <f>CHOOSE(CONTROL!$C$42, 26.8027, 26.8027)*CHOOSE(CONTROL!$C$21, $C$9, 100%, $E$9)</f>
        <v>26.802700000000002</v>
      </c>
      <c r="G605" s="10">
        <f>CHOOSE(CONTROL!$C$42, 26.8198, 26.8198)*CHOOSE(CONTROL!$C$21, $C$9, 100%, $E$9)</f>
        <v>26.819800000000001</v>
      </c>
      <c r="H605" s="10">
        <f>CHOOSE(CONTROL!$C$42, 27.0565, 27.0565) * CHOOSE(CONTROL!$C$21, $C$9, 100%, $E$9)</f>
        <v>27.0565</v>
      </c>
      <c r="I605" s="10">
        <f>CHOOSE(CONTROL!$C$42, 26.803, 26.803)* CHOOSE(CONTROL!$C$21, $C$9, 100%, $E$9)</f>
        <v>26.803000000000001</v>
      </c>
      <c r="J605" s="10">
        <f>CHOOSE(CONTROL!$C$42, 26.7957, 26.7957)* CHOOSE(CONTROL!$C$21, $C$9, 100%, $E$9)</f>
        <v>26.7957</v>
      </c>
      <c r="K605" s="54">
        <f>CHOOSE(CONTROL!$C$42, 26.7991, 26.7991) * CHOOSE(CONTROL!$C$21, $C$9, 100%, $E$9)</f>
        <v>26.799099999999999</v>
      </c>
      <c r="L605" s="10">
        <f>CHOOSE(CONTROL!$C$42, 27.6435, 27.6435) * CHOOSE(CONTROL!$C$21, $C$9, 100%, $E$9)</f>
        <v>27.6435</v>
      </c>
      <c r="M605" s="10">
        <f>CHOOSE(CONTROL!$C$42, 26.5391, 26.5391) * CHOOSE(CONTROL!$C$21, $C$9, 100%, $E$9)</f>
        <v>26.539100000000001</v>
      </c>
      <c r="N605" s="10">
        <f>CHOOSE(CONTROL!$C$42, 26.556, 26.556) * CHOOSE(CONTROL!$C$21, $C$9, 100%, $E$9)</f>
        <v>26.556000000000001</v>
      </c>
      <c r="O605" s="10">
        <f>CHOOSE(CONTROL!$C$42, 26.7973, 26.7973) * CHOOSE(CONTROL!$C$21, $C$9, 100%, $E$9)</f>
        <v>26.7973</v>
      </c>
      <c r="P605" s="10">
        <f>CHOOSE(CONTROL!$C$42, 26.5464, 26.5464) * CHOOSE(CONTROL!$C$21, $C$9, 100%, $E$9)</f>
        <v>26.546399999999998</v>
      </c>
      <c r="Q605" s="10">
        <f>CHOOSE(CONTROL!$C$42, 27.3926, 27.3926) * CHOOSE(CONTROL!$C$21, $C$9, 100%, $E$9)</f>
        <v>27.392600000000002</v>
      </c>
      <c r="R605" s="10">
        <f>CHOOSE(CONTROL!$C$42, 28.0481, 28.0481) * CHOOSE(CONTROL!$C$21, $C$9, 100%, $E$9)</f>
        <v>28.048100000000002</v>
      </c>
      <c r="S605" s="10">
        <f>CHOOSE(CONTROL!$C$42, 26.0566, 26.0566) * CHOOSE(CONTROL!$C$21, $C$9, 100%, $E$9)</f>
        <v>26.0566</v>
      </c>
      <c r="T605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605" s="58">
        <f>(1000*CHOOSE(CONTROL!$C$42, 695, 695)*CHOOSE(CONTROL!$C$42, 0.5599, 0.5599)*CHOOSE(CONTROL!$C$42, 31, 31))/1000000</f>
        <v>12.063045499999998</v>
      </c>
      <c r="V605" s="58">
        <f>(1000*CHOOSE(CONTROL!$C$42, 500, 500)*CHOOSE(CONTROL!$C$42, 0.275, 0.275)*CHOOSE(CONTROL!$C$42, 31, 31))/1000000</f>
        <v>4.2625000000000002</v>
      </c>
      <c r="W605" s="58">
        <f>(1000*CHOOSE(CONTROL!$C$42, 0.1146, 0.1146)*CHOOSE(CONTROL!$C$42, 121.5, 121.5)*CHOOSE(CONTROL!$C$42, 31, 31))/1000000</f>
        <v>0.43164089999999994</v>
      </c>
      <c r="X605" s="58">
        <f>(31*0.1790888*245000/1000000)+(31*0.2374*100000/1000000)</f>
        <v>2.0961194359999999</v>
      </c>
      <c r="Y605" s="58"/>
      <c r="Z605" s="10"/>
      <c r="AA605" s="57"/>
      <c r="AB605" s="51">
        <f>(B605*194.205+C605*267.466+D605*133.845+E605*53.484+F605*40+G605*185+H605*0+I605*100+J605*300)/(194.205+267.466+133.845+53.484+0+40+185+100+300)</f>
        <v>26.853156723233912</v>
      </c>
      <c r="AC605" s="27">
        <f>(M605*'RAP TEMPLATE-GAS AVAILABILITY'!O604+N605*'RAP TEMPLATE-GAS AVAILABILITY'!P604+O605*'RAP TEMPLATE-GAS AVAILABILITY'!Q604+P605*'RAP TEMPLATE-GAS AVAILABILITY'!R604)/('RAP TEMPLATE-GAS AVAILABILITY'!O604+'RAP TEMPLATE-GAS AVAILABILITY'!P604+'RAP TEMPLATE-GAS AVAILABILITY'!Q604+'RAP TEMPLATE-GAS AVAILABILITY'!R604)</f>
        <v>26.658148920863308</v>
      </c>
    </row>
    <row r="606" spans="1:29" ht="15.75" x14ac:dyDescent="0.25">
      <c r="A606" s="13">
        <v>59352</v>
      </c>
      <c r="B606" s="10">
        <f>CHOOSE(CONTROL!$C$42, 27.5975, 27.5975) * CHOOSE(CONTROL!$C$21, $C$9, 100%, $E$9)</f>
        <v>27.5975</v>
      </c>
      <c r="C606" s="10">
        <f>CHOOSE(CONTROL!$C$42, 27.6054, 27.6054) * CHOOSE(CONTROL!$C$21, $C$9, 100%, $E$9)</f>
        <v>27.605399999999999</v>
      </c>
      <c r="D606" s="10">
        <f>CHOOSE(CONTROL!$C$42, 27.7979, 27.7979) * CHOOSE(CONTROL!$C$21, $C$9, 100%, $E$9)</f>
        <v>27.797899999999998</v>
      </c>
      <c r="E606" s="10">
        <f>CHOOSE(CONTROL!$C$42, 27.829, 27.829) * CHOOSE(CONTROL!$C$21, $C$9, 100%, $E$9)</f>
        <v>27.829000000000001</v>
      </c>
      <c r="F606" s="10">
        <f>CHOOSE(CONTROL!$C$42, 27.564, 27.564)*CHOOSE(CONTROL!$C$21, $C$9, 100%, $E$9)</f>
        <v>27.564</v>
      </c>
      <c r="G606" s="10">
        <f>CHOOSE(CONTROL!$C$42, 27.5812, 27.5812)*CHOOSE(CONTROL!$C$21, $C$9, 100%, $E$9)</f>
        <v>27.581199999999999</v>
      </c>
      <c r="H606" s="10">
        <f>CHOOSE(CONTROL!$C$42, 27.8176, 27.8176) * CHOOSE(CONTROL!$C$21, $C$9, 100%, $E$9)</f>
        <v>27.817599999999999</v>
      </c>
      <c r="I606" s="10">
        <f>CHOOSE(CONTROL!$C$42, 27.5641, 27.5641)* CHOOSE(CONTROL!$C$21, $C$9, 100%, $E$9)</f>
        <v>27.5641</v>
      </c>
      <c r="J606" s="10">
        <f>CHOOSE(CONTROL!$C$42, 27.557, 27.557)* CHOOSE(CONTROL!$C$21, $C$9, 100%, $E$9)</f>
        <v>27.556999999999999</v>
      </c>
      <c r="K606" s="54">
        <f>CHOOSE(CONTROL!$C$42, 27.5602, 27.5602) * CHOOSE(CONTROL!$C$21, $C$9, 100%, $E$9)</f>
        <v>27.560199999999998</v>
      </c>
      <c r="L606" s="10">
        <f>CHOOSE(CONTROL!$C$42, 28.4046, 28.4046) * CHOOSE(CONTROL!$C$21, $C$9, 100%, $E$9)</f>
        <v>28.404599999999999</v>
      </c>
      <c r="M606" s="10">
        <f>CHOOSE(CONTROL!$C$42, 27.2927, 27.2927) * CHOOSE(CONTROL!$C$21, $C$9, 100%, $E$9)</f>
        <v>27.2927</v>
      </c>
      <c r="N606" s="10">
        <f>CHOOSE(CONTROL!$C$42, 27.3098, 27.3098) * CHOOSE(CONTROL!$C$21, $C$9, 100%, $E$9)</f>
        <v>27.309799999999999</v>
      </c>
      <c r="O606" s="10">
        <f>CHOOSE(CONTROL!$C$42, 27.5507, 27.5507) * CHOOSE(CONTROL!$C$21, $C$9, 100%, $E$9)</f>
        <v>27.550699999999999</v>
      </c>
      <c r="P606" s="10">
        <f>CHOOSE(CONTROL!$C$42, 27.2998, 27.2998) * CHOOSE(CONTROL!$C$21, $C$9, 100%, $E$9)</f>
        <v>27.299800000000001</v>
      </c>
      <c r="Q606" s="10">
        <f>CHOOSE(CONTROL!$C$42, 28.146, 28.146) * CHOOSE(CONTROL!$C$21, $C$9, 100%, $E$9)</f>
        <v>28.146000000000001</v>
      </c>
      <c r="R606" s="10">
        <f>CHOOSE(CONTROL!$C$42, 28.8034, 28.8034) * CHOOSE(CONTROL!$C$21, $C$9, 100%, $E$9)</f>
        <v>28.8034</v>
      </c>
      <c r="S606" s="10">
        <f>CHOOSE(CONTROL!$C$42, 26.7957, 26.7957) * CHOOSE(CONTROL!$C$21, $C$9, 100%, $E$9)</f>
        <v>26.7957</v>
      </c>
      <c r="T606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606" s="58">
        <f>(1000*CHOOSE(CONTROL!$C$42, 695, 695)*CHOOSE(CONTROL!$C$42, 0.5599, 0.5599)*CHOOSE(CONTROL!$C$42, 30, 30))/1000000</f>
        <v>11.673914999999997</v>
      </c>
      <c r="V606" s="58">
        <f>(1000*CHOOSE(CONTROL!$C$42, 500, 500)*CHOOSE(CONTROL!$C$42, 0.275, 0.275)*CHOOSE(CONTROL!$C$42, 30, 30))/1000000</f>
        <v>4.125</v>
      </c>
      <c r="W606" s="58">
        <f>(1000*CHOOSE(CONTROL!$C$42, 0.1146, 0.1146)*CHOOSE(CONTROL!$C$42, 121.5, 121.5)*CHOOSE(CONTROL!$C$42, 30, 30))/1000000</f>
        <v>0.417717</v>
      </c>
      <c r="X606" s="58">
        <f>(30*0.1790888*245000/1000000)+(30*0.2374*100000/1000000)</f>
        <v>2.0285026799999999</v>
      </c>
      <c r="Y606" s="58"/>
      <c r="Z606" s="10"/>
      <c r="AA606" s="57"/>
      <c r="AB606" s="51">
        <f>(B606*194.205+C606*267.466+D606*133.845+E606*53.484+F606*40+G606*185+H606*0+I606*100+J606*300)/(194.205+267.466+133.845+53.484+0+40+185+100+300)</f>
        <v>27.614353662009417</v>
      </c>
      <c r="AC606" s="27">
        <f>(M606*'RAP TEMPLATE-GAS AVAILABILITY'!O605+N606*'RAP TEMPLATE-GAS AVAILABILITY'!P605+O606*'RAP TEMPLATE-GAS AVAILABILITY'!Q605+P606*'RAP TEMPLATE-GAS AVAILABILITY'!R605)/('RAP TEMPLATE-GAS AVAILABILITY'!O605+'RAP TEMPLATE-GAS AVAILABILITY'!P605+'RAP TEMPLATE-GAS AVAILABILITY'!Q605+'RAP TEMPLATE-GAS AVAILABILITY'!R605)</f>
        <v>27.411641007194241</v>
      </c>
    </row>
    <row r="607" spans="1:29" ht="15.75" x14ac:dyDescent="0.25">
      <c r="A607" s="13">
        <v>59383</v>
      </c>
      <c r="B607" s="10">
        <f>CHOOSE(CONTROL!$C$42, 27.0682, 27.0682) * CHOOSE(CONTROL!$C$21, $C$9, 100%, $E$9)</f>
        <v>27.068200000000001</v>
      </c>
      <c r="C607" s="10">
        <f>CHOOSE(CONTROL!$C$42, 27.0761, 27.0761) * CHOOSE(CONTROL!$C$21, $C$9, 100%, $E$9)</f>
        <v>27.0761</v>
      </c>
      <c r="D607" s="10">
        <f>CHOOSE(CONTROL!$C$42, 27.2685, 27.2685) * CHOOSE(CONTROL!$C$21, $C$9, 100%, $E$9)</f>
        <v>27.2685</v>
      </c>
      <c r="E607" s="10">
        <f>CHOOSE(CONTROL!$C$42, 27.2997, 27.2997) * CHOOSE(CONTROL!$C$21, $C$9, 100%, $E$9)</f>
        <v>27.299700000000001</v>
      </c>
      <c r="F607" s="10">
        <f>CHOOSE(CONTROL!$C$42, 27.0351, 27.0351)*CHOOSE(CONTROL!$C$21, $C$9, 100%, $E$9)</f>
        <v>27.0351</v>
      </c>
      <c r="G607" s="10">
        <f>CHOOSE(CONTROL!$C$42, 27.0524, 27.0524)*CHOOSE(CONTROL!$C$21, $C$9, 100%, $E$9)</f>
        <v>27.052399999999999</v>
      </c>
      <c r="H607" s="10">
        <f>CHOOSE(CONTROL!$C$42, 27.2883, 27.2883) * CHOOSE(CONTROL!$C$21, $C$9, 100%, $E$9)</f>
        <v>27.2883</v>
      </c>
      <c r="I607" s="10">
        <f>CHOOSE(CONTROL!$C$42, 27.0347, 27.0347)* CHOOSE(CONTROL!$C$21, $C$9, 100%, $E$9)</f>
        <v>27.034700000000001</v>
      </c>
      <c r="J607" s="10">
        <f>CHOOSE(CONTROL!$C$42, 27.0281, 27.0281)* CHOOSE(CONTROL!$C$21, $C$9, 100%, $E$9)</f>
        <v>27.028099999999998</v>
      </c>
      <c r="K607" s="54">
        <f>CHOOSE(CONTROL!$C$42, 27.0309, 27.0309) * CHOOSE(CONTROL!$C$21, $C$9, 100%, $E$9)</f>
        <v>27.030899999999999</v>
      </c>
      <c r="L607" s="10">
        <f>CHOOSE(CONTROL!$C$42, 27.8753, 27.8753) * CHOOSE(CONTROL!$C$21, $C$9, 100%, $E$9)</f>
        <v>27.875299999999999</v>
      </c>
      <c r="M607" s="10">
        <f>CHOOSE(CONTROL!$C$42, 26.7691, 26.7691) * CHOOSE(CONTROL!$C$21, $C$9, 100%, $E$9)</f>
        <v>26.769100000000002</v>
      </c>
      <c r="N607" s="10">
        <f>CHOOSE(CONTROL!$C$42, 26.7862, 26.7862) * CHOOSE(CONTROL!$C$21, $C$9, 100%, $E$9)</f>
        <v>26.786200000000001</v>
      </c>
      <c r="O607" s="10">
        <f>CHOOSE(CONTROL!$C$42, 27.0267, 27.0267) * CHOOSE(CONTROL!$C$21, $C$9, 100%, $E$9)</f>
        <v>27.026700000000002</v>
      </c>
      <c r="P607" s="10">
        <f>CHOOSE(CONTROL!$C$42, 26.7758, 26.7758) * CHOOSE(CONTROL!$C$21, $C$9, 100%, $E$9)</f>
        <v>26.7758</v>
      </c>
      <c r="Q607" s="10">
        <f>CHOOSE(CONTROL!$C$42, 27.622, 27.622) * CHOOSE(CONTROL!$C$21, $C$9, 100%, $E$9)</f>
        <v>27.622</v>
      </c>
      <c r="R607" s="10">
        <f>CHOOSE(CONTROL!$C$42, 28.2781, 28.2781) * CHOOSE(CONTROL!$C$21, $C$9, 100%, $E$9)</f>
        <v>28.278099999999998</v>
      </c>
      <c r="S607" s="10">
        <f>CHOOSE(CONTROL!$C$42, 26.2817, 26.2817) * CHOOSE(CONTROL!$C$21, $C$9, 100%, $E$9)</f>
        <v>26.281700000000001</v>
      </c>
      <c r="T607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607" s="58">
        <f>(1000*CHOOSE(CONTROL!$C$42, 695, 695)*CHOOSE(CONTROL!$C$42, 0.5599, 0.5599)*CHOOSE(CONTROL!$C$42, 31, 31))/1000000</f>
        <v>12.063045499999998</v>
      </c>
      <c r="V607" s="58">
        <f>(1000*CHOOSE(CONTROL!$C$42, 500, 500)*CHOOSE(CONTROL!$C$42, 0.275, 0.275)*CHOOSE(CONTROL!$C$42, 31, 31))/1000000</f>
        <v>4.2625000000000002</v>
      </c>
      <c r="W607" s="58">
        <f>(1000*CHOOSE(CONTROL!$C$42, 0.1146, 0.1146)*CHOOSE(CONTROL!$C$42, 121.5, 121.5)*CHOOSE(CONTROL!$C$42, 31, 31))/1000000</f>
        <v>0.43164089999999994</v>
      </c>
      <c r="X607" s="58">
        <f>(31*0.1790888*245000/1000000)+(31*0.2374*100000/1000000)</f>
        <v>2.0961194359999999</v>
      </c>
      <c r="Y607" s="58"/>
      <c r="Z607" s="10"/>
      <c r="AA607" s="57"/>
      <c r="AB607" s="51">
        <f>(B607*194.205+C607*267.466+D607*133.845+E607*53.484+F607*40+G607*185+H607*0+I607*100+J607*300)/(194.205+267.466+133.845+53.484+0+40+185+100+300)</f>
        <v>27.085214663186811</v>
      </c>
      <c r="AC607" s="27">
        <f>(M607*'RAP TEMPLATE-GAS AVAILABILITY'!O606+N607*'RAP TEMPLATE-GAS AVAILABILITY'!P606+O607*'RAP TEMPLATE-GAS AVAILABILITY'!Q606+P607*'RAP TEMPLATE-GAS AVAILABILITY'!R606)/('RAP TEMPLATE-GAS AVAILABILITY'!O606+'RAP TEMPLATE-GAS AVAILABILITY'!P606+'RAP TEMPLATE-GAS AVAILABILITY'!Q606+'RAP TEMPLATE-GAS AVAILABILITY'!R606)</f>
        <v>26.887802158273381</v>
      </c>
    </row>
    <row r="608" spans="1:29" ht="15.75" x14ac:dyDescent="0.25">
      <c r="A608" s="13">
        <v>59414</v>
      </c>
      <c r="B608" s="10">
        <f>CHOOSE(CONTROL!$C$42, 25.7314, 25.7314) * CHOOSE(CONTROL!$C$21, $C$9, 100%, $E$9)</f>
        <v>25.731400000000001</v>
      </c>
      <c r="C608" s="10">
        <f>CHOOSE(CONTROL!$C$42, 25.7393, 25.7393) * CHOOSE(CONTROL!$C$21, $C$9, 100%, $E$9)</f>
        <v>25.7393</v>
      </c>
      <c r="D608" s="10">
        <f>CHOOSE(CONTROL!$C$42, 25.9318, 25.9318) * CHOOSE(CONTROL!$C$21, $C$9, 100%, $E$9)</f>
        <v>25.931799999999999</v>
      </c>
      <c r="E608" s="10">
        <f>CHOOSE(CONTROL!$C$42, 25.9629, 25.9629) * CHOOSE(CONTROL!$C$21, $C$9, 100%, $E$9)</f>
        <v>25.962900000000001</v>
      </c>
      <c r="F608" s="10">
        <f>CHOOSE(CONTROL!$C$42, 25.6985, 25.6985)*CHOOSE(CONTROL!$C$21, $C$9, 100%, $E$9)</f>
        <v>25.698499999999999</v>
      </c>
      <c r="G608" s="10">
        <f>CHOOSE(CONTROL!$C$42, 25.7158, 25.7158)*CHOOSE(CONTROL!$C$21, $C$9, 100%, $E$9)</f>
        <v>25.715800000000002</v>
      </c>
      <c r="H608" s="10">
        <f>CHOOSE(CONTROL!$C$42, 25.9515, 25.9515) * CHOOSE(CONTROL!$C$21, $C$9, 100%, $E$9)</f>
        <v>25.951499999999999</v>
      </c>
      <c r="I608" s="10">
        <f>CHOOSE(CONTROL!$C$42, 25.698, 25.698)* CHOOSE(CONTROL!$C$21, $C$9, 100%, $E$9)</f>
        <v>25.698</v>
      </c>
      <c r="J608" s="10">
        <f>CHOOSE(CONTROL!$C$42, 25.6915, 25.6915)* CHOOSE(CONTROL!$C$21, $C$9, 100%, $E$9)</f>
        <v>25.691500000000001</v>
      </c>
      <c r="K608" s="54">
        <f>CHOOSE(CONTROL!$C$42, 25.6941, 25.6941) * CHOOSE(CONTROL!$C$21, $C$9, 100%, $E$9)</f>
        <v>25.694099999999999</v>
      </c>
      <c r="L608" s="10">
        <f>CHOOSE(CONTROL!$C$42, 26.5385, 26.5385) * CHOOSE(CONTROL!$C$21, $C$9, 100%, $E$9)</f>
        <v>26.538499999999999</v>
      </c>
      <c r="M608" s="10">
        <f>CHOOSE(CONTROL!$C$42, 25.446, 25.446) * CHOOSE(CONTROL!$C$21, $C$9, 100%, $E$9)</f>
        <v>25.446000000000002</v>
      </c>
      <c r="N608" s="10">
        <f>CHOOSE(CONTROL!$C$42, 25.4632, 25.4632) * CHOOSE(CONTROL!$C$21, $C$9, 100%, $E$9)</f>
        <v>25.463200000000001</v>
      </c>
      <c r="O608" s="10">
        <f>CHOOSE(CONTROL!$C$42, 25.7035, 25.7035) * CHOOSE(CONTROL!$C$21, $C$9, 100%, $E$9)</f>
        <v>25.703499999999998</v>
      </c>
      <c r="P608" s="10">
        <f>CHOOSE(CONTROL!$C$42, 25.4525, 25.4525) * CHOOSE(CONTROL!$C$21, $C$9, 100%, $E$9)</f>
        <v>25.452500000000001</v>
      </c>
      <c r="Q608" s="10">
        <f>CHOOSE(CONTROL!$C$42, 26.2988, 26.2988) * CHOOSE(CONTROL!$C$21, $C$9, 100%, $E$9)</f>
        <v>26.2988</v>
      </c>
      <c r="R608" s="10">
        <f>CHOOSE(CONTROL!$C$42, 26.9515, 26.9515) * CHOOSE(CONTROL!$C$21, $C$9, 100%, $E$9)</f>
        <v>26.951499999999999</v>
      </c>
      <c r="S608" s="10">
        <f>CHOOSE(CONTROL!$C$42, 24.9835, 24.9835) * CHOOSE(CONTROL!$C$21, $C$9, 100%, $E$9)</f>
        <v>24.983499999999999</v>
      </c>
      <c r="T608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608" s="58">
        <f>(1000*CHOOSE(CONTROL!$C$42, 695, 695)*CHOOSE(CONTROL!$C$42, 0.5599, 0.5599)*CHOOSE(CONTROL!$C$42, 31, 31))/1000000</f>
        <v>12.063045499999998</v>
      </c>
      <c r="V608" s="58">
        <f>(1000*CHOOSE(CONTROL!$C$42, 500, 500)*CHOOSE(CONTROL!$C$42, 0.275, 0.275)*CHOOSE(CONTROL!$C$42, 31, 31))/1000000</f>
        <v>4.2625000000000002</v>
      </c>
      <c r="W608" s="58">
        <f>(1000*CHOOSE(CONTROL!$C$42, 0.1146, 0.1146)*CHOOSE(CONTROL!$C$42, 121.5, 121.5)*CHOOSE(CONTROL!$C$42, 31, 31))/1000000</f>
        <v>0.43164089999999994</v>
      </c>
      <c r="X608" s="58">
        <f>(31*0.1790888*245000/1000000)+(31*0.2374*100000/1000000)</f>
        <v>2.0961194359999999</v>
      </c>
      <c r="Y608" s="58"/>
      <c r="Z608" s="10"/>
      <c r="AA608" s="57"/>
      <c r="AB608" s="51">
        <f>(B608*194.205+C608*267.466+D608*133.845+E608*53.484+F608*40+G608*185+H608*0+I608*100+J608*300)/(194.205+267.466+133.845+53.484+0+40+185+100+300)</f>
        <v>25.748515435949766</v>
      </c>
      <c r="AC608" s="27">
        <f>(M608*'RAP TEMPLATE-GAS AVAILABILITY'!O607+N608*'RAP TEMPLATE-GAS AVAILABILITY'!P607+O608*'RAP TEMPLATE-GAS AVAILABILITY'!Q607+P608*'RAP TEMPLATE-GAS AVAILABILITY'!R607)/('RAP TEMPLATE-GAS AVAILABILITY'!O607+'RAP TEMPLATE-GAS AVAILABILITY'!P607+'RAP TEMPLATE-GAS AVAILABILITY'!Q607+'RAP TEMPLATE-GAS AVAILABILITY'!R607)</f>
        <v>25.564633812949641</v>
      </c>
    </row>
    <row r="609" spans="1:29" ht="15.75" x14ac:dyDescent="0.25">
      <c r="A609" s="13">
        <v>59444</v>
      </c>
      <c r="B609" s="10">
        <f>CHOOSE(CONTROL!$C$42, 24.0977, 24.0977) * CHOOSE(CONTROL!$C$21, $C$9, 100%, $E$9)</f>
        <v>24.0977</v>
      </c>
      <c r="C609" s="10">
        <f>CHOOSE(CONTROL!$C$42, 24.1056, 24.1056) * CHOOSE(CONTROL!$C$21, $C$9, 100%, $E$9)</f>
        <v>24.105599999999999</v>
      </c>
      <c r="D609" s="10">
        <f>CHOOSE(CONTROL!$C$42, 24.2981, 24.2981) * CHOOSE(CONTROL!$C$21, $C$9, 100%, $E$9)</f>
        <v>24.298100000000002</v>
      </c>
      <c r="E609" s="10">
        <f>CHOOSE(CONTROL!$C$42, 24.3292, 24.3292) * CHOOSE(CONTROL!$C$21, $C$9, 100%, $E$9)</f>
        <v>24.3292</v>
      </c>
      <c r="F609" s="10">
        <f>CHOOSE(CONTROL!$C$42, 24.0646, 24.0646)*CHOOSE(CONTROL!$C$21, $C$9, 100%, $E$9)</f>
        <v>24.064599999999999</v>
      </c>
      <c r="G609" s="10">
        <f>CHOOSE(CONTROL!$C$42, 24.0819, 24.0819)*CHOOSE(CONTROL!$C$21, $C$9, 100%, $E$9)</f>
        <v>24.081900000000001</v>
      </c>
      <c r="H609" s="10">
        <f>CHOOSE(CONTROL!$C$42, 24.3179, 24.3179) * CHOOSE(CONTROL!$C$21, $C$9, 100%, $E$9)</f>
        <v>24.317900000000002</v>
      </c>
      <c r="I609" s="10">
        <f>CHOOSE(CONTROL!$C$42, 24.0643, 24.0643)* CHOOSE(CONTROL!$C$21, $C$9, 100%, $E$9)</f>
        <v>24.064299999999999</v>
      </c>
      <c r="J609" s="10">
        <f>CHOOSE(CONTROL!$C$42, 24.0576, 24.0576)* CHOOSE(CONTROL!$C$21, $C$9, 100%, $E$9)</f>
        <v>24.057600000000001</v>
      </c>
      <c r="K609" s="54">
        <f>CHOOSE(CONTROL!$C$42, 24.0604, 24.0604) * CHOOSE(CONTROL!$C$21, $C$9, 100%, $E$9)</f>
        <v>24.060400000000001</v>
      </c>
      <c r="L609" s="10">
        <f>CHOOSE(CONTROL!$C$42, 24.9049, 24.9049) * CHOOSE(CONTROL!$C$21, $C$9, 100%, $E$9)</f>
        <v>24.904900000000001</v>
      </c>
      <c r="M609" s="10">
        <f>CHOOSE(CONTROL!$C$42, 23.8287, 23.8287) * CHOOSE(CONTROL!$C$21, $C$9, 100%, $E$9)</f>
        <v>23.828700000000001</v>
      </c>
      <c r="N609" s="10">
        <f>CHOOSE(CONTROL!$C$42, 23.8458, 23.8458) * CHOOSE(CONTROL!$C$21, $C$9, 100%, $E$9)</f>
        <v>23.845800000000001</v>
      </c>
      <c r="O609" s="10">
        <f>CHOOSE(CONTROL!$C$42, 24.0863, 24.0863) * CHOOSE(CONTROL!$C$21, $C$9, 100%, $E$9)</f>
        <v>24.086300000000001</v>
      </c>
      <c r="P609" s="10">
        <f>CHOOSE(CONTROL!$C$42, 23.8353, 23.8353) * CHOOSE(CONTROL!$C$21, $C$9, 100%, $E$9)</f>
        <v>23.8353</v>
      </c>
      <c r="Q609" s="10">
        <f>CHOOSE(CONTROL!$C$42, 24.6816, 24.6816) * CHOOSE(CONTROL!$C$21, $C$9, 100%, $E$9)</f>
        <v>24.6816</v>
      </c>
      <c r="R609" s="10">
        <f>CHOOSE(CONTROL!$C$42, 25.3303, 25.3303) * CHOOSE(CONTROL!$C$21, $C$9, 100%, $E$9)</f>
        <v>25.330300000000001</v>
      </c>
      <c r="S609" s="10">
        <f>CHOOSE(CONTROL!$C$42, 23.3971, 23.3971) * CHOOSE(CONTROL!$C$21, $C$9, 100%, $E$9)</f>
        <v>23.397099999999998</v>
      </c>
      <c r="T609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609" s="58">
        <f>(1000*CHOOSE(CONTROL!$C$42, 695, 695)*CHOOSE(CONTROL!$C$42, 0.5599, 0.5599)*CHOOSE(CONTROL!$C$42, 30, 30))/1000000</f>
        <v>11.673914999999997</v>
      </c>
      <c r="V609" s="58">
        <f>(1000*CHOOSE(CONTROL!$C$42, 500, 500)*CHOOSE(CONTROL!$C$42, 0.275, 0.275)*CHOOSE(CONTROL!$C$42, 30, 30))/1000000</f>
        <v>4.125</v>
      </c>
      <c r="W609" s="58">
        <f>(1000*CHOOSE(CONTROL!$C$42, 0.1146, 0.1146)*CHOOSE(CONTROL!$C$42, 121.5, 121.5)*CHOOSE(CONTROL!$C$42, 30, 30))/1000000</f>
        <v>0.417717</v>
      </c>
      <c r="X609" s="58">
        <f>(30*0.1790888*245000/1000000)+(30*0.2374*100000/1000000)</f>
        <v>2.0285026799999999</v>
      </c>
      <c r="Y609" s="58"/>
      <c r="Z609" s="10"/>
      <c r="AA609" s="57"/>
      <c r="AB609" s="51">
        <f>(B609*194.205+C609*267.466+D609*133.845+E609*53.484+F609*40+G609*185+H609*0+I609*100+J609*300)/(194.205+267.466+133.845+53.484+0+40+185+100+300)</f>
        <v>24.114733018367346</v>
      </c>
      <c r="AC609" s="27">
        <f>(M609*'RAP TEMPLATE-GAS AVAILABILITY'!O608+N609*'RAP TEMPLATE-GAS AVAILABILITY'!P608+O609*'RAP TEMPLATE-GAS AVAILABILITY'!Q608+P609*'RAP TEMPLATE-GAS AVAILABILITY'!R608)/('RAP TEMPLATE-GAS AVAILABILITY'!O608+'RAP TEMPLATE-GAS AVAILABILITY'!P608+'RAP TEMPLATE-GAS AVAILABILITY'!Q608+'RAP TEMPLATE-GAS AVAILABILITY'!R608)</f>
        <v>23.947387769784171</v>
      </c>
    </row>
    <row r="610" spans="1:29" ht="15.75" x14ac:dyDescent="0.25">
      <c r="A610" s="13">
        <v>59475</v>
      </c>
      <c r="B610" s="10">
        <f>CHOOSE(CONTROL!$C$42, 23.6068, 23.6068) * CHOOSE(CONTROL!$C$21, $C$9, 100%, $E$9)</f>
        <v>23.6068</v>
      </c>
      <c r="C610" s="10">
        <f>CHOOSE(CONTROL!$C$42, 23.612, 23.612) * CHOOSE(CONTROL!$C$21, $C$9, 100%, $E$9)</f>
        <v>23.611999999999998</v>
      </c>
      <c r="D610" s="10">
        <f>CHOOSE(CONTROL!$C$42, 23.8094, 23.8094) * CHOOSE(CONTROL!$C$21, $C$9, 100%, $E$9)</f>
        <v>23.8094</v>
      </c>
      <c r="E610" s="10">
        <f>CHOOSE(CONTROL!$C$42, 23.8382, 23.8382) * CHOOSE(CONTROL!$C$21, $C$9, 100%, $E$9)</f>
        <v>23.838200000000001</v>
      </c>
      <c r="F610" s="10">
        <f>CHOOSE(CONTROL!$C$42, 23.5757, 23.5757)*CHOOSE(CONTROL!$C$21, $C$9, 100%, $E$9)</f>
        <v>23.575700000000001</v>
      </c>
      <c r="G610" s="10">
        <f>CHOOSE(CONTROL!$C$42, 23.5927, 23.5927)*CHOOSE(CONTROL!$C$21, $C$9, 100%, $E$9)</f>
        <v>23.592700000000001</v>
      </c>
      <c r="H610" s="10">
        <f>CHOOSE(CONTROL!$C$42, 23.8287, 23.8287) * CHOOSE(CONTROL!$C$21, $C$9, 100%, $E$9)</f>
        <v>23.828700000000001</v>
      </c>
      <c r="I610" s="10">
        <f>CHOOSE(CONTROL!$C$42, 23.5751, 23.5751)* CHOOSE(CONTROL!$C$21, $C$9, 100%, $E$9)</f>
        <v>23.575099999999999</v>
      </c>
      <c r="J610" s="10">
        <f>CHOOSE(CONTROL!$C$42, 23.5687, 23.5687)* CHOOSE(CONTROL!$C$21, $C$9, 100%, $E$9)</f>
        <v>23.5687</v>
      </c>
      <c r="K610" s="54">
        <f>CHOOSE(CONTROL!$C$42, 23.5712, 23.5712) * CHOOSE(CONTROL!$C$21, $C$9, 100%, $E$9)</f>
        <v>23.571200000000001</v>
      </c>
      <c r="L610" s="10">
        <f>CHOOSE(CONTROL!$C$42, 24.4157, 24.4157) * CHOOSE(CONTROL!$C$21, $C$9, 100%, $E$9)</f>
        <v>24.415700000000001</v>
      </c>
      <c r="M610" s="10">
        <f>CHOOSE(CONTROL!$C$42, 23.3447, 23.3447) * CHOOSE(CONTROL!$C$21, $C$9, 100%, $E$9)</f>
        <v>23.3447</v>
      </c>
      <c r="N610" s="10">
        <f>CHOOSE(CONTROL!$C$42, 23.3615, 23.3615) * CHOOSE(CONTROL!$C$21, $C$9, 100%, $E$9)</f>
        <v>23.361499999999999</v>
      </c>
      <c r="O610" s="10">
        <f>CHOOSE(CONTROL!$C$42, 23.602, 23.602) * CHOOSE(CONTROL!$C$21, $C$9, 100%, $E$9)</f>
        <v>23.602</v>
      </c>
      <c r="P610" s="10">
        <f>CHOOSE(CONTROL!$C$42, 23.3511, 23.3511) * CHOOSE(CONTROL!$C$21, $C$9, 100%, $E$9)</f>
        <v>23.351099999999999</v>
      </c>
      <c r="Q610" s="10">
        <f>CHOOSE(CONTROL!$C$42, 24.1973, 24.1973) * CHOOSE(CONTROL!$C$21, $C$9, 100%, $E$9)</f>
        <v>24.197299999999998</v>
      </c>
      <c r="R610" s="10">
        <f>CHOOSE(CONTROL!$C$42, 24.8448, 24.8448) * CHOOSE(CONTROL!$C$21, $C$9, 100%, $E$9)</f>
        <v>24.844799999999999</v>
      </c>
      <c r="S610" s="10">
        <f>CHOOSE(CONTROL!$C$42, 22.922, 22.922) * CHOOSE(CONTROL!$C$21, $C$9, 100%, $E$9)</f>
        <v>22.922000000000001</v>
      </c>
      <c r="T610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610" s="58">
        <f>(1000*CHOOSE(CONTROL!$C$42, 695, 695)*CHOOSE(CONTROL!$C$42, 0.5599, 0.5599)*CHOOSE(CONTROL!$C$42, 31, 31))/1000000</f>
        <v>12.063045499999998</v>
      </c>
      <c r="V610" s="58">
        <f>(1000*CHOOSE(CONTROL!$C$42, 500, 500)*CHOOSE(CONTROL!$C$42, 0.275, 0.275)*CHOOSE(CONTROL!$C$42, 31, 31))/1000000</f>
        <v>4.2625000000000002</v>
      </c>
      <c r="W610" s="58">
        <f>(1000*CHOOSE(CONTROL!$C$42, 0.1146, 0.1146)*CHOOSE(CONTROL!$C$42, 121.5, 121.5)*CHOOSE(CONTROL!$C$42, 31, 31))/1000000</f>
        <v>0.43164089999999994</v>
      </c>
      <c r="X610" s="58">
        <f>(31*0.1790888*245000/1000000)+(31*0.2374*100000/1000000)</f>
        <v>2.0961194359999999</v>
      </c>
      <c r="Y610" s="58"/>
      <c r="Z610" s="10"/>
      <c r="AA610" s="57"/>
      <c r="AB610" s="51">
        <f>(B610*131.881+C610*277.167+D610*79.08+E610*125.872+F610*40+G610*185+H610*0+I610*100+J610*300)/(131.881+277.167+79.08+125.872+0+40+185+100+300)</f>
        <v>23.629509569975784</v>
      </c>
      <c r="AC610" s="27">
        <f>(M610*'RAP TEMPLATE-GAS AVAILABILITY'!O609+N610*'RAP TEMPLATE-GAS AVAILABILITY'!P609+O610*'RAP TEMPLATE-GAS AVAILABILITY'!Q609+P610*'RAP TEMPLATE-GAS AVAILABILITY'!R609)/('RAP TEMPLATE-GAS AVAILABILITY'!O609+'RAP TEMPLATE-GAS AVAILABILITY'!P609+'RAP TEMPLATE-GAS AVAILABILITY'!Q609+'RAP TEMPLATE-GAS AVAILABILITY'!R609)</f>
        <v>23.463205755395684</v>
      </c>
    </row>
    <row r="611" spans="1:29" ht="15.75" x14ac:dyDescent="0.25">
      <c r="A611" s="13">
        <v>59505</v>
      </c>
      <c r="B611" s="10">
        <f>CHOOSE(CONTROL!$C$42, 24.2282, 24.2282) * CHOOSE(CONTROL!$C$21, $C$9, 100%, $E$9)</f>
        <v>24.228200000000001</v>
      </c>
      <c r="C611" s="10">
        <f>CHOOSE(CONTROL!$C$42, 24.2332, 24.2332) * CHOOSE(CONTROL!$C$21, $C$9, 100%, $E$9)</f>
        <v>24.2332</v>
      </c>
      <c r="D611" s="10">
        <f>CHOOSE(CONTROL!$C$42, 24.2628, 24.2628) * CHOOSE(CONTROL!$C$21, $C$9, 100%, $E$9)</f>
        <v>24.262799999999999</v>
      </c>
      <c r="E611" s="10">
        <f>CHOOSE(CONTROL!$C$42, 24.2965, 24.2965) * CHOOSE(CONTROL!$C$21, $C$9, 100%, $E$9)</f>
        <v>24.296500000000002</v>
      </c>
      <c r="F611" s="10">
        <f>CHOOSE(CONTROL!$C$42, 24.195, 24.195)*CHOOSE(CONTROL!$C$21, $C$9, 100%, $E$9)</f>
        <v>24.195</v>
      </c>
      <c r="G611" s="10">
        <f>CHOOSE(CONTROL!$C$42, 24.2121, 24.2121)*CHOOSE(CONTROL!$C$21, $C$9, 100%, $E$9)</f>
        <v>24.2121</v>
      </c>
      <c r="H611" s="10">
        <f>CHOOSE(CONTROL!$C$42, 24.2857, 24.2857) * CHOOSE(CONTROL!$C$21, $C$9, 100%, $E$9)</f>
        <v>24.285699999999999</v>
      </c>
      <c r="I611" s="10">
        <f>CHOOSE(CONTROL!$C$42, 24.1918, 24.1918)* CHOOSE(CONTROL!$C$21, $C$9, 100%, $E$9)</f>
        <v>24.191800000000001</v>
      </c>
      <c r="J611" s="10">
        <f>CHOOSE(CONTROL!$C$42, 24.188, 24.188)* CHOOSE(CONTROL!$C$21, $C$9, 100%, $E$9)</f>
        <v>24.187999999999999</v>
      </c>
      <c r="K611" s="54">
        <f>CHOOSE(CONTROL!$C$42, 24.1879, 24.1879) * CHOOSE(CONTROL!$C$21, $C$9, 100%, $E$9)</f>
        <v>24.187899999999999</v>
      </c>
      <c r="L611" s="10">
        <f>CHOOSE(CONTROL!$C$42, 24.8727, 24.8727) * CHOOSE(CONTROL!$C$21, $C$9, 100%, $E$9)</f>
        <v>24.872699999999998</v>
      </c>
      <c r="M611" s="10">
        <f>CHOOSE(CONTROL!$C$42, 23.9577, 23.9577) * CHOOSE(CONTROL!$C$21, $C$9, 100%, $E$9)</f>
        <v>23.957699999999999</v>
      </c>
      <c r="N611" s="10">
        <f>CHOOSE(CONTROL!$C$42, 23.9747, 23.9747) * CHOOSE(CONTROL!$C$21, $C$9, 100%, $E$9)</f>
        <v>23.974699999999999</v>
      </c>
      <c r="O611" s="10">
        <f>CHOOSE(CONTROL!$C$42, 24.0545, 24.0545) * CHOOSE(CONTROL!$C$21, $C$9, 100%, $E$9)</f>
        <v>24.054500000000001</v>
      </c>
      <c r="P611" s="10">
        <f>CHOOSE(CONTROL!$C$42, 23.9615, 23.9615) * CHOOSE(CONTROL!$C$21, $C$9, 100%, $E$9)</f>
        <v>23.961500000000001</v>
      </c>
      <c r="Q611" s="10">
        <f>CHOOSE(CONTROL!$C$42, 24.6498, 24.6498) * CHOOSE(CONTROL!$C$21, $C$9, 100%, $E$9)</f>
        <v>24.649799999999999</v>
      </c>
      <c r="R611" s="10">
        <f>CHOOSE(CONTROL!$C$42, 25.2984, 25.2984) * CHOOSE(CONTROL!$C$21, $C$9, 100%, $E$9)</f>
        <v>25.298400000000001</v>
      </c>
      <c r="S611" s="10">
        <f>CHOOSE(CONTROL!$C$42, 23.5259, 23.5259) * CHOOSE(CONTROL!$C$21, $C$9, 100%, $E$9)</f>
        <v>23.5259</v>
      </c>
      <c r="T611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611" s="58">
        <f>(1000*CHOOSE(CONTROL!$C$42, 695, 695)*CHOOSE(CONTROL!$C$42, 0.5599, 0.5599)*CHOOSE(CONTROL!$C$42, 30, 30))/1000000</f>
        <v>11.673914999999997</v>
      </c>
      <c r="V611" s="58">
        <f>(1000*CHOOSE(CONTROL!$C$42, 500, 500)*CHOOSE(CONTROL!$C$42, 0.275, 0.275)*CHOOSE(CONTROL!$C$42, 30, 30))/1000000</f>
        <v>4.125</v>
      </c>
      <c r="W611" s="58">
        <f>(1000*CHOOSE(CONTROL!$C$42, 0.1146, 0.1146)*CHOOSE(CONTROL!$C$42, 121.5, 121.5)*CHOOSE(CONTROL!$C$42, 30, 30))/1000000</f>
        <v>0.417717</v>
      </c>
      <c r="X611" s="58">
        <f>(30*0.1790888*100000/1000000)+(30*0.2374*100000/1000000)</f>
        <v>1.2494664</v>
      </c>
      <c r="Y611" s="58"/>
      <c r="Z611" s="10"/>
      <c r="AA611" s="57"/>
      <c r="AB611" s="51">
        <f>(B611*122.58+C611*297.941+D611*89.177+E611*40.302+F611*40+G611*160+H611*0+I611*100+J611*300)/(122.58+297.941+89.177+40.302+0+40+160+100+300)</f>
        <v>24.217525092000002</v>
      </c>
      <c r="AC611" s="27">
        <f>(M611*'RAP TEMPLATE-GAS AVAILABILITY'!O610+N611*'RAP TEMPLATE-GAS AVAILABILITY'!P610+O611*'RAP TEMPLATE-GAS AVAILABILITY'!Q610+P611*'RAP TEMPLATE-GAS AVAILABILITY'!R610)/('RAP TEMPLATE-GAS AVAILABILITY'!O610+'RAP TEMPLATE-GAS AVAILABILITY'!P610+'RAP TEMPLATE-GAS AVAILABILITY'!Q610+'RAP TEMPLATE-GAS AVAILABILITY'!R610)</f>
        <v>24.003098561151081</v>
      </c>
    </row>
    <row r="612" spans="1:29" ht="15.75" x14ac:dyDescent="0.25">
      <c r="A612" s="13">
        <v>59536</v>
      </c>
      <c r="B612" s="10">
        <f>CHOOSE(CONTROL!$C$42, 25.8799, 25.8799) * CHOOSE(CONTROL!$C$21, $C$9, 100%, $E$9)</f>
        <v>25.879899999999999</v>
      </c>
      <c r="C612" s="10">
        <f>CHOOSE(CONTROL!$C$42, 25.8848, 25.8848) * CHOOSE(CONTROL!$C$21, $C$9, 100%, $E$9)</f>
        <v>25.884799999999998</v>
      </c>
      <c r="D612" s="10">
        <f>CHOOSE(CONTROL!$C$42, 25.9144, 25.9144) * CHOOSE(CONTROL!$C$21, $C$9, 100%, $E$9)</f>
        <v>25.914400000000001</v>
      </c>
      <c r="E612" s="10">
        <f>CHOOSE(CONTROL!$C$42, 25.9482, 25.9482) * CHOOSE(CONTROL!$C$21, $C$9, 100%, $E$9)</f>
        <v>25.9482</v>
      </c>
      <c r="F612" s="10">
        <f>CHOOSE(CONTROL!$C$42, 25.8481, 25.8481)*CHOOSE(CONTROL!$C$21, $C$9, 100%, $E$9)</f>
        <v>25.848099999999999</v>
      </c>
      <c r="G612" s="10">
        <f>CHOOSE(CONTROL!$C$42, 25.8656, 25.8656)*CHOOSE(CONTROL!$C$21, $C$9, 100%, $E$9)</f>
        <v>25.865600000000001</v>
      </c>
      <c r="H612" s="10">
        <f>CHOOSE(CONTROL!$C$42, 25.9374, 25.9374) * CHOOSE(CONTROL!$C$21, $C$9, 100%, $E$9)</f>
        <v>25.9374</v>
      </c>
      <c r="I612" s="10">
        <f>CHOOSE(CONTROL!$C$42, 25.8435, 25.8435)* CHOOSE(CONTROL!$C$21, $C$9, 100%, $E$9)</f>
        <v>25.843499999999999</v>
      </c>
      <c r="J612" s="10">
        <f>CHOOSE(CONTROL!$C$42, 25.8411, 25.8411)* CHOOSE(CONTROL!$C$21, $C$9, 100%, $E$9)</f>
        <v>25.841100000000001</v>
      </c>
      <c r="K612" s="54">
        <f>CHOOSE(CONTROL!$C$42, 25.8396, 25.8396) * CHOOSE(CONTROL!$C$21, $C$9, 100%, $E$9)</f>
        <v>25.839600000000001</v>
      </c>
      <c r="L612" s="10">
        <f>CHOOSE(CONTROL!$C$42, 26.5244, 26.5244) * CHOOSE(CONTROL!$C$21, $C$9, 100%, $E$9)</f>
        <v>26.5244</v>
      </c>
      <c r="M612" s="10">
        <f>CHOOSE(CONTROL!$C$42, 25.5941, 25.5941) * CHOOSE(CONTROL!$C$21, $C$9, 100%, $E$9)</f>
        <v>25.594100000000001</v>
      </c>
      <c r="N612" s="10">
        <f>CHOOSE(CONTROL!$C$42, 25.6114, 25.6114) * CHOOSE(CONTROL!$C$21, $C$9, 100%, $E$9)</f>
        <v>25.6114</v>
      </c>
      <c r="O612" s="10">
        <f>CHOOSE(CONTROL!$C$42, 25.6895, 25.6895) * CHOOSE(CONTROL!$C$21, $C$9, 100%, $E$9)</f>
        <v>25.689499999999999</v>
      </c>
      <c r="P612" s="10">
        <f>CHOOSE(CONTROL!$C$42, 25.5965, 25.5965) * CHOOSE(CONTROL!$C$21, $C$9, 100%, $E$9)</f>
        <v>25.596499999999999</v>
      </c>
      <c r="Q612" s="10">
        <f>CHOOSE(CONTROL!$C$42, 26.2848, 26.2848) * CHOOSE(CONTROL!$C$21, $C$9, 100%, $E$9)</f>
        <v>26.284800000000001</v>
      </c>
      <c r="R612" s="10">
        <f>CHOOSE(CONTROL!$C$42, 26.9375, 26.9375) * CHOOSE(CONTROL!$C$21, $C$9, 100%, $E$9)</f>
        <v>26.9375</v>
      </c>
      <c r="S612" s="10">
        <f>CHOOSE(CONTROL!$C$42, 25.1298, 25.1298) * CHOOSE(CONTROL!$C$21, $C$9, 100%, $E$9)</f>
        <v>25.129799999999999</v>
      </c>
      <c r="T612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612" s="58">
        <f>(1000*CHOOSE(CONTROL!$C$42, 695, 695)*CHOOSE(CONTROL!$C$42, 0.5599, 0.5599)*CHOOSE(CONTROL!$C$42, 31, 31))/1000000</f>
        <v>12.063045499999998</v>
      </c>
      <c r="V612" s="58">
        <f>(1000*CHOOSE(CONTROL!$C$42, 500, 500)*CHOOSE(CONTROL!$C$42, 0.275, 0.275)*CHOOSE(CONTROL!$C$42, 31, 31))/1000000</f>
        <v>4.2625000000000002</v>
      </c>
      <c r="W612" s="58">
        <f>(1000*CHOOSE(CONTROL!$C$42, 0.1146, 0.1146)*CHOOSE(CONTROL!$C$42, 121.5, 121.5)*CHOOSE(CONTROL!$C$42, 31, 31))/1000000</f>
        <v>0.43164089999999994</v>
      </c>
      <c r="X612" s="58">
        <f>(31*0.1790888*100000/1000000)+(31*0.2374*100000/1000000)</f>
        <v>1.2911152800000001</v>
      </c>
      <c r="Y612" s="58"/>
      <c r="Z612" s="10"/>
      <c r="AA612" s="57"/>
      <c r="AB612" s="51">
        <f>(B612*122.58+C612*297.941+D612*89.177+E612*40.302+F612*40+G612*160+H612*0+I612*100+J612*300)/(122.58+297.941+89.177+40.302+0+40+160+100+300)</f>
        <v>25.869855777391297</v>
      </c>
      <c r="AC612" s="27">
        <f>(M612*'RAP TEMPLATE-GAS AVAILABILITY'!O611+N612*'RAP TEMPLATE-GAS AVAILABILITY'!P611+O612*'RAP TEMPLATE-GAS AVAILABILITY'!Q611+P612*'RAP TEMPLATE-GAS AVAILABILITY'!R611)/('RAP TEMPLATE-GAS AVAILABILITY'!O611+'RAP TEMPLATE-GAS AVAILABILITY'!P611+'RAP TEMPLATE-GAS AVAILABILITY'!Q611+'RAP TEMPLATE-GAS AVAILABILITY'!R611)</f>
        <v>25.638679856115107</v>
      </c>
    </row>
    <row r="613" spans="1:29" ht="15.75" x14ac:dyDescent="0.25">
      <c r="A613" s="13">
        <v>59567</v>
      </c>
      <c r="B613" s="10">
        <f>CHOOSE(CONTROL!$C$42, 28.0001, 28.0001) * CHOOSE(CONTROL!$C$21, $C$9, 100%, $E$9)</f>
        <v>28.0001</v>
      </c>
      <c r="C613" s="10">
        <f>CHOOSE(CONTROL!$C$42, 28.0051, 28.0051) * CHOOSE(CONTROL!$C$21, $C$9, 100%, $E$9)</f>
        <v>28.005099999999999</v>
      </c>
      <c r="D613" s="10">
        <f>CHOOSE(CONTROL!$C$42, 28.0553, 28.0553) * CHOOSE(CONTROL!$C$21, $C$9, 100%, $E$9)</f>
        <v>28.055299999999999</v>
      </c>
      <c r="E613" s="10">
        <f>CHOOSE(CONTROL!$C$42, 28.0891, 28.0891) * CHOOSE(CONTROL!$C$21, $C$9, 100%, $E$9)</f>
        <v>28.089099999999998</v>
      </c>
      <c r="F613" s="10">
        <f>CHOOSE(CONTROL!$C$42, 27.9655, 27.9655)*CHOOSE(CONTROL!$C$21, $C$9, 100%, $E$9)</f>
        <v>27.965499999999999</v>
      </c>
      <c r="G613" s="10">
        <f>CHOOSE(CONTROL!$C$42, 27.9831, 27.9831)*CHOOSE(CONTROL!$C$21, $C$9, 100%, $E$9)</f>
        <v>27.9831</v>
      </c>
      <c r="H613" s="10">
        <f>CHOOSE(CONTROL!$C$42, 28.0783, 28.0783) * CHOOSE(CONTROL!$C$21, $C$9, 100%, $E$9)</f>
        <v>28.078299999999999</v>
      </c>
      <c r="I613" s="10">
        <f>CHOOSE(CONTROL!$C$42, 27.974, 27.974)* CHOOSE(CONTROL!$C$21, $C$9, 100%, $E$9)</f>
        <v>27.974</v>
      </c>
      <c r="J613" s="10">
        <f>CHOOSE(CONTROL!$C$42, 27.9585, 27.9585)* CHOOSE(CONTROL!$C$21, $C$9, 100%, $E$9)</f>
        <v>27.958500000000001</v>
      </c>
      <c r="K613" s="54">
        <f>CHOOSE(CONTROL!$C$42, 27.9701, 27.9701) * CHOOSE(CONTROL!$C$21, $C$9, 100%, $E$9)</f>
        <v>27.970099999999999</v>
      </c>
      <c r="L613" s="10">
        <f>CHOOSE(CONTROL!$C$42, 28.6653, 28.6653) * CHOOSE(CONTROL!$C$21, $C$9, 100%, $E$9)</f>
        <v>28.665299999999998</v>
      </c>
      <c r="M613" s="10">
        <f>CHOOSE(CONTROL!$C$42, 27.6902, 27.6902) * CHOOSE(CONTROL!$C$21, $C$9, 100%, $E$9)</f>
        <v>27.690200000000001</v>
      </c>
      <c r="N613" s="10">
        <f>CHOOSE(CONTROL!$C$42, 27.7076, 27.7076) * CHOOSE(CONTROL!$C$21, $C$9, 100%, $E$9)</f>
        <v>27.707599999999999</v>
      </c>
      <c r="O613" s="10">
        <f>CHOOSE(CONTROL!$C$42, 27.8087, 27.8087) * CHOOSE(CONTROL!$C$21, $C$9, 100%, $E$9)</f>
        <v>27.808700000000002</v>
      </c>
      <c r="P613" s="10">
        <f>CHOOSE(CONTROL!$C$42, 27.7056, 27.7056) * CHOOSE(CONTROL!$C$21, $C$9, 100%, $E$9)</f>
        <v>27.7056</v>
      </c>
      <c r="Q613" s="10">
        <f>CHOOSE(CONTROL!$C$42, 28.404, 28.404) * CHOOSE(CONTROL!$C$21, $C$9, 100%, $E$9)</f>
        <v>28.404</v>
      </c>
      <c r="R613" s="10">
        <f>CHOOSE(CONTROL!$C$42, 29.0621, 29.0621) * CHOOSE(CONTROL!$C$21, $C$9, 100%, $E$9)</f>
        <v>29.062100000000001</v>
      </c>
      <c r="S613" s="10">
        <f>CHOOSE(CONTROL!$C$42, 27.1888, 27.1888) * CHOOSE(CONTROL!$C$21, $C$9, 100%, $E$9)</f>
        <v>27.188800000000001</v>
      </c>
      <c r="T613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613" s="58">
        <f>(1000*CHOOSE(CONTROL!$C$42, 695, 695)*CHOOSE(CONTROL!$C$42, 0.5599, 0.5599)*CHOOSE(CONTROL!$C$42, 31, 31))/1000000</f>
        <v>12.063045499999998</v>
      </c>
      <c r="V613" s="58">
        <f>(1000*CHOOSE(CONTROL!$C$42, 500, 500)*CHOOSE(CONTROL!$C$42, 0.275, 0.275)*CHOOSE(CONTROL!$C$42, 31, 31))/1000000</f>
        <v>4.2625000000000002</v>
      </c>
      <c r="W613" s="58">
        <f>(1000*CHOOSE(CONTROL!$C$42, 0.1146, 0.1146)*CHOOSE(CONTROL!$C$42, 121.5, 121.5)*CHOOSE(CONTROL!$C$42, 31, 31))/1000000</f>
        <v>0.43164089999999994</v>
      </c>
      <c r="X613" s="58">
        <f>(31*0.1790888*100000/1000000)+(31*0.2374*100000/1000000)</f>
        <v>1.2911152800000001</v>
      </c>
      <c r="Y613" s="58"/>
      <c r="Z613" s="10"/>
      <c r="AA613" s="57"/>
      <c r="AB613" s="51">
        <f>(B613*122.58+C613*297.941+D613*89.177+E613*40.302+F613*40+G613*160+H613*0+I613*100+J613*300)/(122.58+297.941+89.177+40.302+0+40+160+100+300)</f>
        <v>27.992104481217392</v>
      </c>
      <c r="AC613" s="27">
        <f>(M613*'RAP TEMPLATE-GAS AVAILABILITY'!O612+N613*'RAP TEMPLATE-GAS AVAILABILITY'!P612+O613*'RAP TEMPLATE-GAS AVAILABILITY'!Q612+P613*'RAP TEMPLATE-GAS AVAILABILITY'!R612)/('RAP TEMPLATE-GAS AVAILABILITY'!O612+'RAP TEMPLATE-GAS AVAILABILITY'!P612+'RAP TEMPLATE-GAS AVAILABILITY'!Q612+'RAP TEMPLATE-GAS AVAILABILITY'!R612)</f>
        <v>27.747125899280579</v>
      </c>
    </row>
    <row r="614" spans="1:29" ht="15.75" x14ac:dyDescent="0.25">
      <c r="A614" s="13">
        <v>59595</v>
      </c>
      <c r="B614" s="10">
        <f>CHOOSE(CONTROL!$C$42, 28.4985, 28.4985) * CHOOSE(CONTROL!$C$21, $C$9, 100%, $E$9)</f>
        <v>28.4985</v>
      </c>
      <c r="C614" s="10">
        <f>CHOOSE(CONTROL!$C$42, 28.5035, 28.5035) * CHOOSE(CONTROL!$C$21, $C$9, 100%, $E$9)</f>
        <v>28.503499999999999</v>
      </c>
      <c r="D614" s="10">
        <f>CHOOSE(CONTROL!$C$42, 28.564, 28.564) * CHOOSE(CONTROL!$C$21, $C$9, 100%, $E$9)</f>
        <v>28.564</v>
      </c>
      <c r="E614" s="10">
        <f>CHOOSE(CONTROL!$C$42, 28.5978, 28.5978) * CHOOSE(CONTROL!$C$21, $C$9, 100%, $E$9)</f>
        <v>28.597799999999999</v>
      </c>
      <c r="F614" s="10">
        <f>CHOOSE(CONTROL!$C$42, 28.4918, 28.4918)*CHOOSE(CONTROL!$C$21, $C$9, 100%, $E$9)</f>
        <v>28.491800000000001</v>
      </c>
      <c r="G614" s="10">
        <f>CHOOSE(CONTROL!$C$42, 28.5091, 28.5091)*CHOOSE(CONTROL!$C$21, $C$9, 100%, $E$9)</f>
        <v>28.5091</v>
      </c>
      <c r="H614" s="10">
        <f>CHOOSE(CONTROL!$C$42, 28.587, 28.587) * CHOOSE(CONTROL!$C$21, $C$9, 100%, $E$9)</f>
        <v>28.587</v>
      </c>
      <c r="I614" s="10">
        <f>CHOOSE(CONTROL!$C$42, 28.4853, 28.4853)* CHOOSE(CONTROL!$C$21, $C$9, 100%, $E$9)</f>
        <v>28.485299999999999</v>
      </c>
      <c r="J614" s="10">
        <f>CHOOSE(CONTROL!$C$42, 28.4848, 28.4848)* CHOOSE(CONTROL!$C$21, $C$9, 100%, $E$9)</f>
        <v>28.4848</v>
      </c>
      <c r="K614" s="54">
        <f>CHOOSE(CONTROL!$C$42, 28.4814, 28.4814) * CHOOSE(CONTROL!$C$21, $C$9, 100%, $E$9)</f>
        <v>28.481400000000001</v>
      </c>
      <c r="L614" s="10">
        <f>CHOOSE(CONTROL!$C$42, 29.174, 29.174) * CHOOSE(CONTROL!$C$21, $C$9, 100%, $E$9)</f>
        <v>29.173999999999999</v>
      </c>
      <c r="M614" s="10">
        <f>CHOOSE(CONTROL!$C$42, 28.2111, 28.2111) * CHOOSE(CONTROL!$C$21, $C$9, 100%, $E$9)</f>
        <v>28.211099999999998</v>
      </c>
      <c r="N614" s="10">
        <f>CHOOSE(CONTROL!$C$42, 28.2283, 28.2283) * CHOOSE(CONTROL!$C$21, $C$9, 100%, $E$9)</f>
        <v>28.228300000000001</v>
      </c>
      <c r="O614" s="10">
        <f>CHOOSE(CONTROL!$C$42, 28.3123, 28.3123) * CHOOSE(CONTROL!$C$21, $C$9, 100%, $E$9)</f>
        <v>28.3123</v>
      </c>
      <c r="P614" s="10">
        <f>CHOOSE(CONTROL!$C$42, 28.2117, 28.2117) * CHOOSE(CONTROL!$C$21, $C$9, 100%, $E$9)</f>
        <v>28.2117</v>
      </c>
      <c r="Q614" s="10">
        <f>CHOOSE(CONTROL!$C$42, 28.9076, 28.9076) * CHOOSE(CONTROL!$C$21, $C$9, 100%, $E$9)</f>
        <v>28.907599999999999</v>
      </c>
      <c r="R614" s="10">
        <f>CHOOSE(CONTROL!$C$42, 29.5669, 29.5669) * CHOOSE(CONTROL!$C$21, $C$9, 100%, $E$9)</f>
        <v>29.5669</v>
      </c>
      <c r="S614" s="10">
        <f>CHOOSE(CONTROL!$C$42, 27.6728, 27.6728) * CHOOSE(CONTROL!$C$21, $C$9, 100%, $E$9)</f>
        <v>27.672799999999999</v>
      </c>
      <c r="T614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614" s="58">
        <f>(1000*CHOOSE(CONTROL!$C$42, 695, 695)*CHOOSE(CONTROL!$C$42, 0.5599, 0.5599)*CHOOSE(CONTROL!$C$42, 28, 28))/1000000</f>
        <v>10.895653999999999</v>
      </c>
      <c r="V614" s="58">
        <f>(1000*CHOOSE(CONTROL!$C$42, 500, 500)*CHOOSE(CONTROL!$C$42, 0.275, 0.275)*CHOOSE(CONTROL!$C$42, 28, 28))/1000000</f>
        <v>3.85</v>
      </c>
      <c r="W614" s="58">
        <f>(1000*CHOOSE(CONTROL!$C$42, 0.1146, 0.1146)*CHOOSE(CONTROL!$C$42, 121.5, 121.5)*CHOOSE(CONTROL!$C$42, 28, 28))/1000000</f>
        <v>0.38986920000000003</v>
      </c>
      <c r="X614" s="58">
        <f>(28*0.1790888*100000/1000000)+(28*0.2374*100000/1000000)</f>
        <v>1.16616864</v>
      </c>
      <c r="Y614" s="58"/>
      <c r="Z614" s="10"/>
      <c r="AA614" s="57"/>
      <c r="AB614" s="51">
        <f>(B614*122.58+C614*297.941+D614*89.177+E614*40.302+F614*40+G614*160+H614*0+I614*100+J614*300)/(122.58+297.941+89.177+40.302+0+40+160+100+300)</f>
        <v>28.504874597478263</v>
      </c>
      <c r="AC614" s="27">
        <f>(M614*'RAP TEMPLATE-GAS AVAILABILITY'!O613+N614*'RAP TEMPLATE-GAS AVAILABILITY'!P613+O614*'RAP TEMPLATE-GAS AVAILABILITY'!Q613+P614*'RAP TEMPLATE-GAS AVAILABILITY'!R613)/('RAP TEMPLATE-GAS AVAILABILITY'!O613+'RAP TEMPLATE-GAS AVAILABILITY'!P613+'RAP TEMPLATE-GAS AVAILABILITY'!Q613+'RAP TEMPLATE-GAS AVAILABILITY'!R613)</f>
        <v>28.258043884892086</v>
      </c>
    </row>
    <row r="615" spans="1:29" ht="15.75" x14ac:dyDescent="0.25">
      <c r="A615" s="13">
        <v>59626</v>
      </c>
      <c r="B615" s="10">
        <f>CHOOSE(CONTROL!$C$42, 27.6895, 27.6895) * CHOOSE(CONTROL!$C$21, $C$9, 100%, $E$9)</f>
        <v>27.689499999999999</v>
      </c>
      <c r="C615" s="10">
        <f>CHOOSE(CONTROL!$C$42, 27.6945, 27.6945) * CHOOSE(CONTROL!$C$21, $C$9, 100%, $E$9)</f>
        <v>27.694500000000001</v>
      </c>
      <c r="D615" s="10">
        <f>CHOOSE(CONTROL!$C$42, 27.755, 27.755) * CHOOSE(CONTROL!$C$21, $C$9, 100%, $E$9)</f>
        <v>27.754999999999999</v>
      </c>
      <c r="E615" s="10">
        <f>CHOOSE(CONTROL!$C$42, 27.7888, 27.7888) * CHOOSE(CONTROL!$C$21, $C$9, 100%, $E$9)</f>
        <v>27.788799999999998</v>
      </c>
      <c r="F615" s="10">
        <f>CHOOSE(CONTROL!$C$42, 27.6772, 27.6772)*CHOOSE(CONTROL!$C$21, $C$9, 100%, $E$9)</f>
        <v>27.677199999999999</v>
      </c>
      <c r="G615" s="10">
        <f>CHOOSE(CONTROL!$C$42, 27.6945, 27.6945)*CHOOSE(CONTROL!$C$21, $C$9, 100%, $E$9)</f>
        <v>27.694500000000001</v>
      </c>
      <c r="H615" s="10">
        <f>CHOOSE(CONTROL!$C$42, 27.778, 27.778) * CHOOSE(CONTROL!$C$21, $C$9, 100%, $E$9)</f>
        <v>27.777999999999999</v>
      </c>
      <c r="I615" s="10">
        <f>CHOOSE(CONTROL!$C$42, 27.6634, 27.6634)* CHOOSE(CONTROL!$C$21, $C$9, 100%, $E$9)</f>
        <v>27.663399999999999</v>
      </c>
      <c r="J615" s="10">
        <f>CHOOSE(CONTROL!$C$42, 27.6702, 27.6702)* CHOOSE(CONTROL!$C$21, $C$9, 100%, $E$9)</f>
        <v>27.670200000000001</v>
      </c>
      <c r="K615" s="54">
        <f>CHOOSE(CONTROL!$C$42, 27.6595, 27.6595) * CHOOSE(CONTROL!$C$21, $C$9, 100%, $E$9)</f>
        <v>27.659500000000001</v>
      </c>
      <c r="L615" s="10">
        <f>CHOOSE(CONTROL!$C$42, 28.365, 28.365) * CHOOSE(CONTROL!$C$21, $C$9, 100%, $E$9)</f>
        <v>28.364999999999998</v>
      </c>
      <c r="M615" s="10">
        <f>CHOOSE(CONTROL!$C$42, 27.4048, 27.4048) * CHOOSE(CONTROL!$C$21, $C$9, 100%, $E$9)</f>
        <v>27.404800000000002</v>
      </c>
      <c r="N615" s="10">
        <f>CHOOSE(CONTROL!$C$42, 27.4219, 27.4219) * CHOOSE(CONTROL!$C$21, $C$9, 100%, $E$9)</f>
        <v>27.421900000000001</v>
      </c>
      <c r="O615" s="10">
        <f>CHOOSE(CONTROL!$C$42, 27.5115, 27.5115) * CHOOSE(CONTROL!$C$21, $C$9, 100%, $E$9)</f>
        <v>27.511500000000002</v>
      </c>
      <c r="P615" s="10">
        <f>CHOOSE(CONTROL!$C$42, 27.3981, 27.3981) * CHOOSE(CONTROL!$C$21, $C$9, 100%, $E$9)</f>
        <v>27.398099999999999</v>
      </c>
      <c r="Q615" s="10">
        <f>CHOOSE(CONTROL!$C$42, 28.1068, 28.1068) * CHOOSE(CONTROL!$C$21, $C$9, 100%, $E$9)</f>
        <v>28.1068</v>
      </c>
      <c r="R615" s="10">
        <f>CHOOSE(CONTROL!$C$42, 28.764, 28.764) * CHOOSE(CONTROL!$C$21, $C$9, 100%, $E$9)</f>
        <v>28.763999999999999</v>
      </c>
      <c r="S615" s="10">
        <f>CHOOSE(CONTROL!$C$42, 26.8872, 26.8872) * CHOOSE(CONTROL!$C$21, $C$9, 100%, $E$9)</f>
        <v>26.8872</v>
      </c>
      <c r="T615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615" s="58">
        <f>(1000*CHOOSE(CONTROL!$C$42, 695, 695)*CHOOSE(CONTROL!$C$42, 0.5599, 0.5599)*CHOOSE(CONTROL!$C$42, 31, 31))/1000000</f>
        <v>12.063045499999998</v>
      </c>
      <c r="V615" s="58">
        <f>(1000*CHOOSE(CONTROL!$C$42, 500, 500)*CHOOSE(CONTROL!$C$42, 0.275, 0.275)*CHOOSE(CONTROL!$C$42, 31, 31))/1000000</f>
        <v>4.2625000000000002</v>
      </c>
      <c r="W615" s="58">
        <f>(1000*CHOOSE(CONTROL!$C$42, 0.1146, 0.1146)*CHOOSE(CONTROL!$C$42, 121.5, 121.5)*CHOOSE(CONTROL!$C$42, 31, 31))/1000000</f>
        <v>0.43164089999999994</v>
      </c>
      <c r="X615" s="58">
        <f>(31*0.1790888*100000/1000000)+(31*0.2374*100000/1000000)</f>
        <v>1.2911152800000001</v>
      </c>
      <c r="Y615" s="58"/>
      <c r="Z615" s="10"/>
      <c r="AA615" s="57"/>
      <c r="AB615" s="51">
        <f>(B615*122.58+C615*297.941+D615*89.177+E615*40.302+F615*40+G615*160+H615*0+I615*100+J615*300)/(122.58+297.941+89.177+40.302+0+40+160+100+300)</f>
        <v>27.692318075739131</v>
      </c>
      <c r="AC615" s="27">
        <f>(M615*'RAP TEMPLATE-GAS AVAILABILITY'!O614+N615*'RAP TEMPLATE-GAS AVAILABILITY'!P614+O615*'RAP TEMPLATE-GAS AVAILABILITY'!Q614+P615*'RAP TEMPLATE-GAS AVAILABILITY'!R614)/('RAP TEMPLATE-GAS AVAILABILITY'!O614+'RAP TEMPLATE-GAS AVAILABILITY'!P614+'RAP TEMPLATE-GAS AVAILABILITY'!Q614+'RAP TEMPLATE-GAS AVAILABILITY'!R614)</f>
        <v>27.453180575539569</v>
      </c>
    </row>
    <row r="616" spans="1:29" ht="15.75" x14ac:dyDescent="0.25">
      <c r="A616" s="13">
        <v>59656</v>
      </c>
      <c r="B616" s="10">
        <f>CHOOSE(CONTROL!$C$42, 27.6078, 27.6078) * CHOOSE(CONTROL!$C$21, $C$9, 100%, $E$9)</f>
        <v>27.607800000000001</v>
      </c>
      <c r="C616" s="10">
        <f>CHOOSE(CONTROL!$C$42, 27.6122, 27.6122) * CHOOSE(CONTROL!$C$21, $C$9, 100%, $E$9)</f>
        <v>27.612200000000001</v>
      </c>
      <c r="D616" s="10">
        <f>CHOOSE(CONTROL!$C$42, 27.8078, 27.8078) * CHOOSE(CONTROL!$C$21, $C$9, 100%, $E$9)</f>
        <v>27.8078</v>
      </c>
      <c r="E616" s="10">
        <f>CHOOSE(CONTROL!$C$42, 27.8395, 27.8395) * CHOOSE(CONTROL!$C$21, $C$9, 100%, $E$9)</f>
        <v>27.839500000000001</v>
      </c>
      <c r="F616" s="10">
        <f>CHOOSE(CONTROL!$C$42, 27.5756, 27.5756)*CHOOSE(CONTROL!$C$21, $C$9, 100%, $E$9)</f>
        <v>27.575600000000001</v>
      </c>
      <c r="G616" s="10">
        <f>CHOOSE(CONTROL!$C$42, 27.5924, 27.5924)*CHOOSE(CONTROL!$C$21, $C$9, 100%, $E$9)</f>
        <v>27.592400000000001</v>
      </c>
      <c r="H616" s="10">
        <f>CHOOSE(CONTROL!$C$42, 27.8293, 27.8293) * CHOOSE(CONTROL!$C$21, $C$9, 100%, $E$9)</f>
        <v>27.8293</v>
      </c>
      <c r="I616" s="10">
        <f>CHOOSE(CONTROL!$C$42, 27.5758, 27.5758)* CHOOSE(CONTROL!$C$21, $C$9, 100%, $E$9)</f>
        <v>27.575800000000001</v>
      </c>
      <c r="J616" s="10">
        <f>CHOOSE(CONTROL!$C$42, 27.5686, 27.5686)* CHOOSE(CONTROL!$C$21, $C$9, 100%, $E$9)</f>
        <v>27.5686</v>
      </c>
      <c r="K616" s="54">
        <f>CHOOSE(CONTROL!$C$42, 27.5719, 27.5719) * CHOOSE(CONTROL!$C$21, $C$9, 100%, $E$9)</f>
        <v>27.571899999999999</v>
      </c>
      <c r="L616" s="10">
        <f>CHOOSE(CONTROL!$C$42, 28.4163, 28.4163) * CHOOSE(CONTROL!$C$21, $C$9, 100%, $E$9)</f>
        <v>28.4163</v>
      </c>
      <c r="M616" s="10">
        <f>CHOOSE(CONTROL!$C$42, 27.3042, 27.3042) * CHOOSE(CONTROL!$C$21, $C$9, 100%, $E$9)</f>
        <v>27.304200000000002</v>
      </c>
      <c r="N616" s="10">
        <f>CHOOSE(CONTROL!$C$42, 27.3208, 27.3208) * CHOOSE(CONTROL!$C$21, $C$9, 100%, $E$9)</f>
        <v>27.320799999999998</v>
      </c>
      <c r="O616" s="10">
        <f>CHOOSE(CONTROL!$C$42, 27.5623, 27.5623) * CHOOSE(CONTROL!$C$21, $C$9, 100%, $E$9)</f>
        <v>27.5623</v>
      </c>
      <c r="P616" s="10">
        <f>CHOOSE(CONTROL!$C$42, 27.3113, 27.3113) * CHOOSE(CONTROL!$C$21, $C$9, 100%, $E$9)</f>
        <v>27.311299999999999</v>
      </c>
      <c r="Q616" s="10">
        <f>CHOOSE(CONTROL!$C$42, 28.1576, 28.1576) * CHOOSE(CONTROL!$C$21, $C$9, 100%, $E$9)</f>
        <v>28.157599999999999</v>
      </c>
      <c r="R616" s="10">
        <f>CHOOSE(CONTROL!$C$42, 28.815, 28.815) * CHOOSE(CONTROL!$C$21, $C$9, 100%, $E$9)</f>
        <v>28.815000000000001</v>
      </c>
      <c r="S616" s="10">
        <f>CHOOSE(CONTROL!$C$42, 26.807, 26.807) * CHOOSE(CONTROL!$C$21, $C$9, 100%, $E$9)</f>
        <v>26.806999999999999</v>
      </c>
      <c r="T616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616" s="58">
        <f>(1000*CHOOSE(CONTROL!$C$42, 695, 695)*CHOOSE(CONTROL!$C$42, 0.5599, 0.5599)*CHOOSE(CONTROL!$C$42, 30, 30))/1000000</f>
        <v>11.673914999999997</v>
      </c>
      <c r="V616" s="58">
        <f>(1000*CHOOSE(CONTROL!$C$42, 500, 500)*CHOOSE(CONTROL!$C$42, 0.275, 0.275)*CHOOSE(CONTROL!$C$42, 30, 30))/1000000</f>
        <v>4.125</v>
      </c>
      <c r="W616" s="58">
        <f>(1000*CHOOSE(CONTROL!$C$42, 0.1146, 0.1146)*CHOOSE(CONTROL!$C$42, 121.5, 121.5)*CHOOSE(CONTROL!$C$42, 30, 30))/1000000</f>
        <v>0.417717</v>
      </c>
      <c r="X616" s="58">
        <f>(30*0.1790888*245000/1000000)+(30*0.2374*100000/1000000)</f>
        <v>2.0285026799999999</v>
      </c>
      <c r="Y616" s="58"/>
      <c r="Z616" s="10"/>
      <c r="AA616" s="57"/>
      <c r="AB616" s="51">
        <f>(B616*141.293+C616*267.993+D616*115.016+E616*89.698+F616*40+G616*185+H616*0+I616*100+J616*300)/(141.293+267.993+115.016+89.698+0+40+185+100+300)</f>
        <v>27.628678446973367</v>
      </c>
      <c r="AC616" s="27">
        <f>(M616*'RAP TEMPLATE-GAS AVAILABILITY'!O615+N616*'RAP TEMPLATE-GAS AVAILABILITY'!P615+O616*'RAP TEMPLATE-GAS AVAILABILITY'!Q615+P616*'RAP TEMPLATE-GAS AVAILABILITY'!R615)/('RAP TEMPLATE-GAS AVAILABILITY'!O615+'RAP TEMPLATE-GAS AVAILABILITY'!P615+'RAP TEMPLATE-GAS AVAILABILITY'!Q615+'RAP TEMPLATE-GAS AVAILABILITY'!R615)</f>
        <v>27.423157553956834</v>
      </c>
    </row>
    <row r="617" spans="1:29" ht="15.75" x14ac:dyDescent="0.25">
      <c r="A617" s="13">
        <v>59687</v>
      </c>
      <c r="B617" s="10">
        <f>CHOOSE(CONTROL!$C$42, 27.8528, 27.8528) * CHOOSE(CONTROL!$C$21, $C$9, 100%, $E$9)</f>
        <v>27.852799999999998</v>
      </c>
      <c r="C617" s="10">
        <f>CHOOSE(CONTROL!$C$42, 27.8607, 27.8607) * CHOOSE(CONTROL!$C$21, $C$9, 100%, $E$9)</f>
        <v>27.860700000000001</v>
      </c>
      <c r="D617" s="10">
        <f>CHOOSE(CONTROL!$C$42, 28.0532, 28.0532) * CHOOSE(CONTROL!$C$21, $C$9, 100%, $E$9)</f>
        <v>28.0532</v>
      </c>
      <c r="E617" s="10">
        <f>CHOOSE(CONTROL!$C$42, 28.0843, 28.0843) * CHOOSE(CONTROL!$C$21, $C$9, 100%, $E$9)</f>
        <v>28.084299999999999</v>
      </c>
      <c r="F617" s="10">
        <f>CHOOSE(CONTROL!$C$42, 27.8191, 27.8191)*CHOOSE(CONTROL!$C$21, $C$9, 100%, $E$9)</f>
        <v>27.819099999999999</v>
      </c>
      <c r="G617" s="10">
        <f>CHOOSE(CONTROL!$C$42, 27.8362, 27.8362)*CHOOSE(CONTROL!$C$21, $C$9, 100%, $E$9)</f>
        <v>27.836200000000002</v>
      </c>
      <c r="H617" s="10">
        <f>CHOOSE(CONTROL!$C$42, 28.0729, 28.0729) * CHOOSE(CONTROL!$C$21, $C$9, 100%, $E$9)</f>
        <v>28.072900000000001</v>
      </c>
      <c r="I617" s="10">
        <f>CHOOSE(CONTROL!$C$42, 27.8194, 27.8194)* CHOOSE(CONTROL!$C$21, $C$9, 100%, $E$9)</f>
        <v>27.819400000000002</v>
      </c>
      <c r="J617" s="10">
        <f>CHOOSE(CONTROL!$C$42, 27.8121, 27.8121)* CHOOSE(CONTROL!$C$21, $C$9, 100%, $E$9)</f>
        <v>27.812100000000001</v>
      </c>
      <c r="K617" s="54">
        <f>CHOOSE(CONTROL!$C$42, 27.8155, 27.8155) * CHOOSE(CONTROL!$C$21, $C$9, 100%, $E$9)</f>
        <v>27.8155</v>
      </c>
      <c r="L617" s="10">
        <f>CHOOSE(CONTROL!$C$42, 28.6599, 28.6599) * CHOOSE(CONTROL!$C$21, $C$9, 100%, $E$9)</f>
        <v>28.6599</v>
      </c>
      <c r="M617" s="10">
        <f>CHOOSE(CONTROL!$C$42, 27.5452, 27.5452) * CHOOSE(CONTROL!$C$21, $C$9, 100%, $E$9)</f>
        <v>27.545200000000001</v>
      </c>
      <c r="N617" s="10">
        <f>CHOOSE(CONTROL!$C$42, 27.5622, 27.5622) * CHOOSE(CONTROL!$C$21, $C$9, 100%, $E$9)</f>
        <v>27.562200000000001</v>
      </c>
      <c r="O617" s="10">
        <f>CHOOSE(CONTROL!$C$42, 27.8035, 27.8035) * CHOOSE(CONTROL!$C$21, $C$9, 100%, $E$9)</f>
        <v>27.8035</v>
      </c>
      <c r="P617" s="10">
        <f>CHOOSE(CONTROL!$C$42, 27.5525, 27.5525) * CHOOSE(CONTROL!$C$21, $C$9, 100%, $E$9)</f>
        <v>27.552499999999998</v>
      </c>
      <c r="Q617" s="10">
        <f>CHOOSE(CONTROL!$C$42, 28.3988, 28.3988) * CHOOSE(CONTROL!$C$21, $C$9, 100%, $E$9)</f>
        <v>28.398800000000001</v>
      </c>
      <c r="R617" s="10">
        <f>CHOOSE(CONTROL!$C$42, 29.0568, 29.0568) * CHOOSE(CONTROL!$C$21, $C$9, 100%, $E$9)</f>
        <v>29.056799999999999</v>
      </c>
      <c r="S617" s="10">
        <f>CHOOSE(CONTROL!$C$42, 27.0436, 27.0436) * CHOOSE(CONTROL!$C$21, $C$9, 100%, $E$9)</f>
        <v>27.043600000000001</v>
      </c>
      <c r="T617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617" s="58">
        <f>(1000*CHOOSE(CONTROL!$C$42, 695, 695)*CHOOSE(CONTROL!$C$42, 0.5599, 0.5599)*CHOOSE(CONTROL!$C$42, 31, 31))/1000000</f>
        <v>12.063045499999998</v>
      </c>
      <c r="V617" s="58">
        <f>(1000*CHOOSE(CONTROL!$C$42, 500, 500)*CHOOSE(CONTROL!$C$42, 0.275, 0.275)*CHOOSE(CONTROL!$C$42, 31, 31))/1000000</f>
        <v>4.2625000000000002</v>
      </c>
      <c r="W617" s="58">
        <f>(1000*CHOOSE(CONTROL!$C$42, 0.1146, 0.1146)*CHOOSE(CONTROL!$C$42, 121.5, 121.5)*CHOOSE(CONTROL!$C$42, 31, 31))/1000000</f>
        <v>0.43164089999999994</v>
      </c>
      <c r="X617" s="58">
        <f>(31*0.1790888*245000/1000000)+(31*0.2374*100000/1000000)</f>
        <v>2.0961194359999999</v>
      </c>
      <c r="Y617" s="58"/>
      <c r="Z617" s="10"/>
      <c r="AA617" s="57"/>
      <c r="AB617" s="51">
        <f>(B617*194.205+C617*267.466+D617*133.845+E617*53.484+F617*40+G617*185+H617*0+I617*100+J617*300)/(194.205+267.466+133.845+53.484+0+40+185+100+300)</f>
        <v>27.869556723233909</v>
      </c>
      <c r="AC617" s="27">
        <f>(M617*'RAP TEMPLATE-GAS AVAILABILITY'!O616+N617*'RAP TEMPLATE-GAS AVAILABILITY'!P616+O617*'RAP TEMPLATE-GAS AVAILABILITY'!Q616+P617*'RAP TEMPLATE-GAS AVAILABILITY'!R616)/('RAP TEMPLATE-GAS AVAILABILITY'!O616+'RAP TEMPLATE-GAS AVAILABILITY'!P616+'RAP TEMPLATE-GAS AVAILABILITY'!Q616+'RAP TEMPLATE-GAS AVAILABILITY'!R616)</f>
        <v>27.664300000000001</v>
      </c>
    </row>
    <row r="618" spans="1:29" ht="15.75" x14ac:dyDescent="0.25">
      <c r="A618" s="13">
        <v>59717</v>
      </c>
      <c r="B618" s="10">
        <f>CHOOSE(CONTROL!$C$42, 28.6428, 28.6428) * CHOOSE(CONTROL!$C$21, $C$9, 100%, $E$9)</f>
        <v>28.642800000000001</v>
      </c>
      <c r="C618" s="10">
        <f>CHOOSE(CONTROL!$C$42, 28.6507, 28.6507) * CHOOSE(CONTROL!$C$21, $C$9, 100%, $E$9)</f>
        <v>28.650700000000001</v>
      </c>
      <c r="D618" s="10">
        <f>CHOOSE(CONTROL!$C$42, 28.8431, 28.8431) * CHOOSE(CONTROL!$C$21, $C$9, 100%, $E$9)</f>
        <v>28.8431</v>
      </c>
      <c r="E618" s="10">
        <f>CHOOSE(CONTROL!$C$42, 28.8742, 28.8742) * CHOOSE(CONTROL!$C$21, $C$9, 100%, $E$9)</f>
        <v>28.874199999999998</v>
      </c>
      <c r="F618" s="10">
        <f>CHOOSE(CONTROL!$C$42, 28.6092, 28.6092)*CHOOSE(CONTROL!$C$21, $C$9, 100%, $E$9)</f>
        <v>28.609200000000001</v>
      </c>
      <c r="G618" s="10">
        <f>CHOOSE(CONTROL!$C$42, 28.6264, 28.6264)*CHOOSE(CONTROL!$C$21, $C$9, 100%, $E$9)</f>
        <v>28.6264</v>
      </c>
      <c r="H618" s="10">
        <f>CHOOSE(CONTROL!$C$42, 28.8629, 28.8629) * CHOOSE(CONTROL!$C$21, $C$9, 100%, $E$9)</f>
        <v>28.8629</v>
      </c>
      <c r="I618" s="10">
        <f>CHOOSE(CONTROL!$C$42, 28.6093, 28.6093)* CHOOSE(CONTROL!$C$21, $C$9, 100%, $E$9)</f>
        <v>28.609300000000001</v>
      </c>
      <c r="J618" s="10">
        <f>CHOOSE(CONTROL!$C$42, 28.6022, 28.6022)* CHOOSE(CONTROL!$C$21, $C$9, 100%, $E$9)</f>
        <v>28.6022</v>
      </c>
      <c r="K618" s="54">
        <f>CHOOSE(CONTROL!$C$42, 28.6054, 28.6054) * CHOOSE(CONTROL!$C$21, $C$9, 100%, $E$9)</f>
        <v>28.605399999999999</v>
      </c>
      <c r="L618" s="10">
        <f>CHOOSE(CONTROL!$C$42, 29.4499, 29.4499) * CHOOSE(CONTROL!$C$21, $C$9, 100%, $E$9)</f>
        <v>29.4499</v>
      </c>
      <c r="M618" s="10">
        <f>CHOOSE(CONTROL!$C$42, 28.3274, 28.3274) * CHOOSE(CONTROL!$C$21, $C$9, 100%, $E$9)</f>
        <v>28.327400000000001</v>
      </c>
      <c r="N618" s="10">
        <f>CHOOSE(CONTROL!$C$42, 28.3444, 28.3444) * CHOOSE(CONTROL!$C$21, $C$9, 100%, $E$9)</f>
        <v>28.3444</v>
      </c>
      <c r="O618" s="10">
        <f>CHOOSE(CONTROL!$C$42, 28.5854, 28.5854) * CHOOSE(CONTROL!$C$21, $C$9, 100%, $E$9)</f>
        <v>28.5854</v>
      </c>
      <c r="P618" s="10">
        <f>CHOOSE(CONTROL!$C$42, 28.3345, 28.3345) * CHOOSE(CONTROL!$C$21, $C$9, 100%, $E$9)</f>
        <v>28.334499999999998</v>
      </c>
      <c r="Q618" s="10">
        <f>CHOOSE(CONTROL!$C$42, 29.1807, 29.1807) * CHOOSE(CONTROL!$C$21, $C$9, 100%, $E$9)</f>
        <v>29.180700000000002</v>
      </c>
      <c r="R618" s="10">
        <f>CHOOSE(CONTROL!$C$42, 29.8407, 29.8407) * CHOOSE(CONTROL!$C$21, $C$9, 100%, $E$9)</f>
        <v>29.840699999999998</v>
      </c>
      <c r="S618" s="10">
        <f>CHOOSE(CONTROL!$C$42, 27.8107, 27.8107) * CHOOSE(CONTROL!$C$21, $C$9, 100%, $E$9)</f>
        <v>27.810700000000001</v>
      </c>
      <c r="T618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618" s="58">
        <f>(1000*CHOOSE(CONTROL!$C$42, 695, 695)*CHOOSE(CONTROL!$C$42, 0.5599, 0.5599)*CHOOSE(CONTROL!$C$42, 30, 30))/1000000</f>
        <v>11.673914999999997</v>
      </c>
      <c r="V618" s="58">
        <f>(1000*CHOOSE(CONTROL!$C$42, 500, 500)*CHOOSE(CONTROL!$C$42, 0.275, 0.275)*CHOOSE(CONTROL!$C$42, 30, 30))/1000000</f>
        <v>4.125</v>
      </c>
      <c r="W618" s="58">
        <f>(1000*CHOOSE(CONTROL!$C$42, 0.1146, 0.1146)*CHOOSE(CONTROL!$C$42, 121.5, 121.5)*CHOOSE(CONTROL!$C$42, 30, 30))/1000000</f>
        <v>0.417717</v>
      </c>
      <c r="X618" s="58">
        <f>(30*0.1790888*245000/1000000)+(30*0.2374*100000/1000000)</f>
        <v>2.0285026799999999</v>
      </c>
      <c r="Y618" s="58"/>
      <c r="Z618" s="10"/>
      <c r="AA618" s="57"/>
      <c r="AB618" s="51">
        <f>(B618*194.205+C618*267.466+D618*133.845+E618*53.484+F618*40+G618*185+H618*0+I618*100+J618*300)/(194.205+267.466+133.845+53.484+0+40+185+100+300)</f>
        <v>28.65958989992151</v>
      </c>
      <c r="AC618" s="27">
        <f>(M618*'RAP TEMPLATE-GAS AVAILABILITY'!O617+N618*'RAP TEMPLATE-GAS AVAILABILITY'!P617+O618*'RAP TEMPLATE-GAS AVAILABILITY'!Q617+P618*'RAP TEMPLATE-GAS AVAILABILITY'!R617)/('RAP TEMPLATE-GAS AVAILABILITY'!O617+'RAP TEMPLATE-GAS AVAILABILITY'!P617+'RAP TEMPLATE-GAS AVAILABILITY'!Q617+'RAP TEMPLATE-GAS AVAILABILITY'!R617)</f>
        <v>28.446335251798562</v>
      </c>
    </row>
    <row r="619" spans="1:29" ht="15.75" x14ac:dyDescent="0.25">
      <c r="A619" s="13">
        <v>59748</v>
      </c>
      <c r="B619" s="10">
        <f>CHOOSE(CONTROL!$C$42, 28.0934, 28.0934) * CHOOSE(CONTROL!$C$21, $C$9, 100%, $E$9)</f>
        <v>28.093399999999999</v>
      </c>
      <c r="C619" s="10">
        <f>CHOOSE(CONTROL!$C$42, 28.1013, 28.1013) * CHOOSE(CONTROL!$C$21, $C$9, 100%, $E$9)</f>
        <v>28.101299999999998</v>
      </c>
      <c r="D619" s="10">
        <f>CHOOSE(CONTROL!$C$42, 28.2937, 28.2937) * CHOOSE(CONTROL!$C$21, $C$9, 100%, $E$9)</f>
        <v>28.293700000000001</v>
      </c>
      <c r="E619" s="10">
        <f>CHOOSE(CONTROL!$C$42, 28.3248, 28.3248) * CHOOSE(CONTROL!$C$21, $C$9, 100%, $E$9)</f>
        <v>28.3248</v>
      </c>
      <c r="F619" s="10">
        <f>CHOOSE(CONTROL!$C$42, 28.0602, 28.0602)*CHOOSE(CONTROL!$C$21, $C$9, 100%, $E$9)</f>
        <v>28.060199999999998</v>
      </c>
      <c r="G619" s="10">
        <f>CHOOSE(CONTROL!$C$42, 28.0775, 28.0775)*CHOOSE(CONTROL!$C$21, $C$9, 100%, $E$9)</f>
        <v>28.077500000000001</v>
      </c>
      <c r="H619" s="10">
        <f>CHOOSE(CONTROL!$C$42, 28.3135, 28.3135) * CHOOSE(CONTROL!$C$21, $C$9, 100%, $E$9)</f>
        <v>28.313500000000001</v>
      </c>
      <c r="I619" s="10">
        <f>CHOOSE(CONTROL!$C$42, 28.0599, 28.0599)* CHOOSE(CONTROL!$C$21, $C$9, 100%, $E$9)</f>
        <v>28.059899999999999</v>
      </c>
      <c r="J619" s="10">
        <f>CHOOSE(CONTROL!$C$42, 28.0532, 28.0532)* CHOOSE(CONTROL!$C$21, $C$9, 100%, $E$9)</f>
        <v>28.0532</v>
      </c>
      <c r="K619" s="54">
        <f>CHOOSE(CONTROL!$C$42, 28.056, 28.056) * CHOOSE(CONTROL!$C$21, $C$9, 100%, $E$9)</f>
        <v>28.056000000000001</v>
      </c>
      <c r="L619" s="10">
        <f>CHOOSE(CONTROL!$C$42, 28.9005, 28.9005) * CHOOSE(CONTROL!$C$21, $C$9, 100%, $E$9)</f>
        <v>28.900500000000001</v>
      </c>
      <c r="M619" s="10">
        <f>CHOOSE(CONTROL!$C$42, 27.784, 27.784) * CHOOSE(CONTROL!$C$21, $C$9, 100%, $E$9)</f>
        <v>27.783999999999999</v>
      </c>
      <c r="N619" s="10">
        <f>CHOOSE(CONTROL!$C$42, 27.8011, 27.8011) * CHOOSE(CONTROL!$C$21, $C$9, 100%, $E$9)</f>
        <v>27.801100000000002</v>
      </c>
      <c r="O619" s="10">
        <f>CHOOSE(CONTROL!$C$42, 28.0416, 28.0416) * CHOOSE(CONTROL!$C$21, $C$9, 100%, $E$9)</f>
        <v>28.041599999999999</v>
      </c>
      <c r="P619" s="10">
        <f>CHOOSE(CONTROL!$C$42, 27.7906, 27.7906) * CHOOSE(CONTROL!$C$21, $C$9, 100%, $E$9)</f>
        <v>27.790600000000001</v>
      </c>
      <c r="Q619" s="10">
        <f>CHOOSE(CONTROL!$C$42, 28.6369, 28.6369) * CHOOSE(CONTROL!$C$21, $C$9, 100%, $E$9)</f>
        <v>28.636900000000001</v>
      </c>
      <c r="R619" s="10">
        <f>CHOOSE(CONTROL!$C$42, 29.2955, 29.2955) * CHOOSE(CONTROL!$C$21, $C$9, 100%, $E$9)</f>
        <v>29.295500000000001</v>
      </c>
      <c r="S619" s="10">
        <f>CHOOSE(CONTROL!$C$42, 27.2772, 27.2772) * CHOOSE(CONTROL!$C$21, $C$9, 100%, $E$9)</f>
        <v>27.277200000000001</v>
      </c>
      <c r="T619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619" s="58">
        <f>(1000*CHOOSE(CONTROL!$C$42, 695, 695)*CHOOSE(CONTROL!$C$42, 0.5599, 0.5599)*CHOOSE(CONTROL!$C$42, 31, 31))/1000000</f>
        <v>12.063045499999998</v>
      </c>
      <c r="V619" s="58">
        <f>(1000*CHOOSE(CONTROL!$C$42, 500, 500)*CHOOSE(CONTROL!$C$42, 0.275, 0.275)*CHOOSE(CONTROL!$C$42, 31, 31))/1000000</f>
        <v>4.2625000000000002</v>
      </c>
      <c r="W619" s="58">
        <f>(1000*CHOOSE(CONTROL!$C$42, 0.1146, 0.1146)*CHOOSE(CONTROL!$C$42, 121.5, 121.5)*CHOOSE(CONTROL!$C$42, 31, 31))/1000000</f>
        <v>0.43164089999999994</v>
      </c>
      <c r="X619" s="58">
        <f>(31*0.1790888*245000/1000000)+(31*0.2374*100000/1000000)</f>
        <v>2.0961194359999999</v>
      </c>
      <c r="Y619" s="58"/>
      <c r="Z619" s="10"/>
      <c r="AA619" s="57"/>
      <c r="AB619" s="51">
        <f>(B619*194.205+C619*267.466+D619*133.845+E619*53.484+F619*40+G619*185+H619*0+I619*100+J619*300)/(194.205+267.466+133.845+53.484+0+40+185+100+300)</f>
        <v>28.110369256279434</v>
      </c>
      <c r="AC619" s="27">
        <f>(M619*'RAP TEMPLATE-GAS AVAILABILITY'!O618+N619*'RAP TEMPLATE-GAS AVAILABILITY'!P618+O619*'RAP TEMPLATE-GAS AVAILABILITY'!Q618+P619*'RAP TEMPLATE-GAS AVAILABILITY'!R618)/('RAP TEMPLATE-GAS AVAILABILITY'!O618+'RAP TEMPLATE-GAS AVAILABILITY'!P618+'RAP TEMPLATE-GAS AVAILABILITY'!Q618+'RAP TEMPLATE-GAS AVAILABILITY'!R618)</f>
        <v>27.902687769784169</v>
      </c>
    </row>
    <row r="620" spans="1:29" ht="15.75" x14ac:dyDescent="0.25">
      <c r="A620" s="13">
        <v>59779</v>
      </c>
      <c r="B620" s="10">
        <f>CHOOSE(CONTROL!$C$42, 26.7059, 26.7059) * CHOOSE(CONTROL!$C$21, $C$9, 100%, $E$9)</f>
        <v>26.7059</v>
      </c>
      <c r="C620" s="10">
        <f>CHOOSE(CONTROL!$C$42, 26.7139, 26.7139) * CHOOSE(CONTROL!$C$21, $C$9, 100%, $E$9)</f>
        <v>26.713899999999999</v>
      </c>
      <c r="D620" s="10">
        <f>CHOOSE(CONTROL!$C$42, 26.9063, 26.9063) * CHOOSE(CONTROL!$C$21, $C$9, 100%, $E$9)</f>
        <v>26.906300000000002</v>
      </c>
      <c r="E620" s="10">
        <f>CHOOSE(CONTROL!$C$42, 26.9374, 26.9374) * CHOOSE(CONTROL!$C$21, $C$9, 100%, $E$9)</f>
        <v>26.9374</v>
      </c>
      <c r="F620" s="10">
        <f>CHOOSE(CONTROL!$C$42, 26.673, 26.673)*CHOOSE(CONTROL!$C$21, $C$9, 100%, $E$9)</f>
        <v>26.672999999999998</v>
      </c>
      <c r="G620" s="10">
        <f>CHOOSE(CONTROL!$C$42, 26.6903, 26.6903)*CHOOSE(CONTROL!$C$21, $C$9, 100%, $E$9)</f>
        <v>26.690300000000001</v>
      </c>
      <c r="H620" s="10">
        <f>CHOOSE(CONTROL!$C$42, 26.9261, 26.9261) * CHOOSE(CONTROL!$C$21, $C$9, 100%, $E$9)</f>
        <v>26.926100000000002</v>
      </c>
      <c r="I620" s="10">
        <f>CHOOSE(CONTROL!$C$42, 26.6725, 26.6725)* CHOOSE(CONTROL!$C$21, $C$9, 100%, $E$9)</f>
        <v>26.672499999999999</v>
      </c>
      <c r="J620" s="10">
        <f>CHOOSE(CONTROL!$C$42, 26.666, 26.666)* CHOOSE(CONTROL!$C$21, $C$9, 100%, $E$9)</f>
        <v>26.666</v>
      </c>
      <c r="K620" s="54">
        <f>CHOOSE(CONTROL!$C$42, 26.6686, 26.6686) * CHOOSE(CONTROL!$C$21, $C$9, 100%, $E$9)</f>
        <v>26.668600000000001</v>
      </c>
      <c r="L620" s="10">
        <f>CHOOSE(CONTROL!$C$42, 27.5131, 27.5131) * CHOOSE(CONTROL!$C$21, $C$9, 100%, $E$9)</f>
        <v>27.513100000000001</v>
      </c>
      <c r="M620" s="10">
        <f>CHOOSE(CONTROL!$C$42, 26.4107, 26.4107) * CHOOSE(CONTROL!$C$21, $C$9, 100%, $E$9)</f>
        <v>26.410699999999999</v>
      </c>
      <c r="N620" s="10">
        <f>CHOOSE(CONTROL!$C$42, 26.4279, 26.4279) * CHOOSE(CONTROL!$C$21, $C$9, 100%, $E$9)</f>
        <v>26.427900000000001</v>
      </c>
      <c r="O620" s="10">
        <f>CHOOSE(CONTROL!$C$42, 26.6682, 26.6682) * CHOOSE(CONTROL!$C$21, $C$9, 100%, $E$9)</f>
        <v>26.668199999999999</v>
      </c>
      <c r="P620" s="10">
        <f>CHOOSE(CONTROL!$C$42, 26.4172, 26.4172) * CHOOSE(CONTROL!$C$21, $C$9, 100%, $E$9)</f>
        <v>26.417200000000001</v>
      </c>
      <c r="Q620" s="10">
        <f>CHOOSE(CONTROL!$C$42, 27.2635, 27.2635) * CHOOSE(CONTROL!$C$21, $C$9, 100%, $E$9)</f>
        <v>27.263500000000001</v>
      </c>
      <c r="R620" s="10">
        <f>CHOOSE(CONTROL!$C$42, 27.9186, 27.9186) * CHOOSE(CONTROL!$C$21, $C$9, 100%, $E$9)</f>
        <v>27.918600000000001</v>
      </c>
      <c r="S620" s="10">
        <f>CHOOSE(CONTROL!$C$42, 25.9299, 25.9299) * CHOOSE(CONTROL!$C$21, $C$9, 100%, $E$9)</f>
        <v>25.9299</v>
      </c>
      <c r="T620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620" s="58">
        <f>(1000*CHOOSE(CONTROL!$C$42, 695, 695)*CHOOSE(CONTROL!$C$42, 0.5599, 0.5599)*CHOOSE(CONTROL!$C$42, 31, 31))/1000000</f>
        <v>12.063045499999998</v>
      </c>
      <c r="V620" s="58">
        <f>(1000*CHOOSE(CONTROL!$C$42, 500, 500)*CHOOSE(CONTROL!$C$42, 0.275, 0.275)*CHOOSE(CONTROL!$C$42, 31, 31))/1000000</f>
        <v>4.2625000000000002</v>
      </c>
      <c r="W620" s="58">
        <f>(1000*CHOOSE(CONTROL!$C$42, 0.1146, 0.1146)*CHOOSE(CONTROL!$C$42, 121.5, 121.5)*CHOOSE(CONTROL!$C$42, 31, 31))/1000000</f>
        <v>0.43164089999999994</v>
      </c>
      <c r="X620" s="58">
        <f>(31*0.1790888*245000/1000000)+(31*0.2374*100000/1000000)</f>
        <v>2.0961194359999999</v>
      </c>
      <c r="Y620" s="58"/>
      <c r="Z620" s="10"/>
      <c r="AA620" s="57"/>
      <c r="AB620" s="51">
        <f>(B620*194.205+C620*267.466+D620*133.845+E620*53.484+F620*40+G620*185+H620*0+I620*100+J620*300)/(194.205+267.466+133.845+53.484+0+40+185+100+300)</f>
        <v>26.723036430141288</v>
      </c>
      <c r="AC620" s="27">
        <f>(M620*'RAP TEMPLATE-GAS AVAILABILITY'!O619+N620*'RAP TEMPLATE-GAS AVAILABILITY'!P619+O620*'RAP TEMPLATE-GAS AVAILABILITY'!Q619+P620*'RAP TEMPLATE-GAS AVAILABILITY'!R619)/('RAP TEMPLATE-GAS AVAILABILITY'!O619+'RAP TEMPLATE-GAS AVAILABILITY'!P619+'RAP TEMPLATE-GAS AVAILABILITY'!Q619+'RAP TEMPLATE-GAS AVAILABILITY'!R619)</f>
        <v>26.529333812949638</v>
      </c>
    </row>
    <row r="621" spans="1:29" ht="15.75" x14ac:dyDescent="0.25">
      <c r="A621" s="13">
        <v>59809</v>
      </c>
      <c r="B621" s="10">
        <f>CHOOSE(CONTROL!$C$42, 25.0104, 25.0104) * CHOOSE(CONTROL!$C$21, $C$9, 100%, $E$9)</f>
        <v>25.010400000000001</v>
      </c>
      <c r="C621" s="10">
        <f>CHOOSE(CONTROL!$C$42, 25.0183, 25.0183) * CHOOSE(CONTROL!$C$21, $C$9, 100%, $E$9)</f>
        <v>25.0183</v>
      </c>
      <c r="D621" s="10">
        <f>CHOOSE(CONTROL!$C$42, 25.2108, 25.2108) * CHOOSE(CONTROL!$C$21, $C$9, 100%, $E$9)</f>
        <v>25.210799999999999</v>
      </c>
      <c r="E621" s="10">
        <f>CHOOSE(CONTROL!$C$42, 25.2419, 25.2419) * CHOOSE(CONTROL!$C$21, $C$9, 100%, $E$9)</f>
        <v>25.241900000000001</v>
      </c>
      <c r="F621" s="10">
        <f>CHOOSE(CONTROL!$C$42, 24.9773, 24.9773)*CHOOSE(CONTROL!$C$21, $C$9, 100%, $E$9)</f>
        <v>24.9773</v>
      </c>
      <c r="G621" s="10">
        <f>CHOOSE(CONTROL!$C$42, 24.9946, 24.9946)*CHOOSE(CONTROL!$C$21, $C$9, 100%, $E$9)</f>
        <v>24.994599999999998</v>
      </c>
      <c r="H621" s="10">
        <f>CHOOSE(CONTROL!$C$42, 25.2305, 25.2305) * CHOOSE(CONTROL!$C$21, $C$9, 100%, $E$9)</f>
        <v>25.230499999999999</v>
      </c>
      <c r="I621" s="10">
        <f>CHOOSE(CONTROL!$C$42, 24.977, 24.977)* CHOOSE(CONTROL!$C$21, $C$9, 100%, $E$9)</f>
        <v>24.977</v>
      </c>
      <c r="J621" s="10">
        <f>CHOOSE(CONTROL!$C$42, 24.9703, 24.9703)* CHOOSE(CONTROL!$C$21, $C$9, 100%, $E$9)</f>
        <v>24.970300000000002</v>
      </c>
      <c r="K621" s="54">
        <f>CHOOSE(CONTROL!$C$42, 24.9731, 24.9731) * CHOOSE(CONTROL!$C$21, $C$9, 100%, $E$9)</f>
        <v>24.973099999999999</v>
      </c>
      <c r="L621" s="10">
        <f>CHOOSE(CONTROL!$C$42, 25.8175, 25.8175) * CHOOSE(CONTROL!$C$21, $C$9, 100%, $E$9)</f>
        <v>25.817499999999999</v>
      </c>
      <c r="M621" s="10">
        <f>CHOOSE(CONTROL!$C$42, 24.7321, 24.7321) * CHOOSE(CONTROL!$C$21, $C$9, 100%, $E$9)</f>
        <v>24.732099999999999</v>
      </c>
      <c r="N621" s="10">
        <f>CHOOSE(CONTROL!$C$42, 24.7493, 24.7493) * CHOOSE(CONTROL!$C$21, $C$9, 100%, $E$9)</f>
        <v>24.749300000000002</v>
      </c>
      <c r="O621" s="10">
        <f>CHOOSE(CONTROL!$C$42, 24.9897, 24.9897) * CHOOSE(CONTROL!$C$21, $C$9, 100%, $E$9)</f>
        <v>24.989699999999999</v>
      </c>
      <c r="P621" s="10">
        <f>CHOOSE(CONTROL!$C$42, 24.7388, 24.7388) * CHOOSE(CONTROL!$C$21, $C$9, 100%, $E$9)</f>
        <v>24.738800000000001</v>
      </c>
      <c r="Q621" s="10">
        <f>CHOOSE(CONTROL!$C$42, 25.585, 25.585) * CHOOSE(CONTROL!$C$21, $C$9, 100%, $E$9)</f>
        <v>25.585000000000001</v>
      </c>
      <c r="R621" s="10">
        <f>CHOOSE(CONTROL!$C$42, 26.236, 26.236) * CHOOSE(CONTROL!$C$21, $C$9, 100%, $E$9)</f>
        <v>26.236000000000001</v>
      </c>
      <c r="S621" s="10">
        <f>CHOOSE(CONTROL!$C$42, 24.2834, 24.2834) * CHOOSE(CONTROL!$C$21, $C$9, 100%, $E$9)</f>
        <v>24.2834</v>
      </c>
      <c r="T621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621" s="58">
        <f>(1000*CHOOSE(CONTROL!$C$42, 695, 695)*CHOOSE(CONTROL!$C$42, 0.5599, 0.5599)*CHOOSE(CONTROL!$C$42, 30, 30))/1000000</f>
        <v>11.673914999999997</v>
      </c>
      <c r="V621" s="58">
        <f>(1000*CHOOSE(CONTROL!$C$42, 500, 500)*CHOOSE(CONTROL!$C$42, 0.275, 0.275)*CHOOSE(CONTROL!$C$42, 30, 30))/1000000</f>
        <v>4.125</v>
      </c>
      <c r="W621" s="58">
        <f>(1000*CHOOSE(CONTROL!$C$42, 0.1146, 0.1146)*CHOOSE(CONTROL!$C$42, 121.5, 121.5)*CHOOSE(CONTROL!$C$42, 30, 30))/1000000</f>
        <v>0.417717</v>
      </c>
      <c r="X621" s="58">
        <f>(30*0.1790888*245000/1000000)+(30*0.2374*100000/1000000)</f>
        <v>2.0285026799999999</v>
      </c>
      <c r="Y621" s="58"/>
      <c r="Z621" s="10"/>
      <c r="AA621" s="57"/>
      <c r="AB621" s="51">
        <f>(B621*194.205+C621*267.466+D621*133.845+E621*53.484+F621*40+G621*185+H621*0+I621*100+J621*300)/(194.205+267.466+133.845+53.484+0+40+185+100+300)</f>
        <v>25.027433018367347</v>
      </c>
      <c r="AC621" s="27">
        <f>(M621*'RAP TEMPLATE-GAS AVAILABILITY'!O620+N621*'RAP TEMPLATE-GAS AVAILABILITY'!P620+O621*'RAP TEMPLATE-GAS AVAILABILITY'!Q620+P621*'RAP TEMPLATE-GAS AVAILABILITY'!R620)/('RAP TEMPLATE-GAS AVAILABILITY'!O620+'RAP TEMPLATE-GAS AVAILABILITY'!P620+'RAP TEMPLATE-GAS AVAILABILITY'!Q620+'RAP TEMPLATE-GAS AVAILABILITY'!R620)</f>
        <v>24.850807913669065</v>
      </c>
    </row>
    <row r="622" spans="1:29" ht="15.75" x14ac:dyDescent="0.25">
      <c r="A622" s="13">
        <v>59840</v>
      </c>
      <c r="B622" s="10">
        <f>CHOOSE(CONTROL!$C$42, 24.5009, 24.5009) * CHOOSE(CONTROL!$C$21, $C$9, 100%, $E$9)</f>
        <v>24.500900000000001</v>
      </c>
      <c r="C622" s="10">
        <f>CHOOSE(CONTROL!$C$42, 24.5061, 24.5061) * CHOOSE(CONTROL!$C$21, $C$9, 100%, $E$9)</f>
        <v>24.5061</v>
      </c>
      <c r="D622" s="10">
        <f>CHOOSE(CONTROL!$C$42, 24.7036, 24.7036) * CHOOSE(CONTROL!$C$21, $C$9, 100%, $E$9)</f>
        <v>24.703600000000002</v>
      </c>
      <c r="E622" s="10">
        <f>CHOOSE(CONTROL!$C$42, 24.7323, 24.7323) * CHOOSE(CONTROL!$C$21, $C$9, 100%, $E$9)</f>
        <v>24.732299999999999</v>
      </c>
      <c r="F622" s="10">
        <f>CHOOSE(CONTROL!$C$42, 24.4698, 24.4698)*CHOOSE(CONTROL!$C$21, $C$9, 100%, $E$9)</f>
        <v>24.469799999999999</v>
      </c>
      <c r="G622" s="10">
        <f>CHOOSE(CONTROL!$C$42, 24.4868, 24.4868)*CHOOSE(CONTROL!$C$21, $C$9, 100%, $E$9)</f>
        <v>24.486799999999999</v>
      </c>
      <c r="H622" s="10">
        <f>CHOOSE(CONTROL!$C$42, 24.7228, 24.7228) * CHOOSE(CONTROL!$C$21, $C$9, 100%, $E$9)</f>
        <v>24.722799999999999</v>
      </c>
      <c r="I622" s="10">
        <f>CHOOSE(CONTROL!$C$42, 24.4693, 24.4693)* CHOOSE(CONTROL!$C$21, $C$9, 100%, $E$9)</f>
        <v>24.4693</v>
      </c>
      <c r="J622" s="10">
        <f>CHOOSE(CONTROL!$C$42, 24.4628, 24.4628)* CHOOSE(CONTROL!$C$21, $C$9, 100%, $E$9)</f>
        <v>24.462800000000001</v>
      </c>
      <c r="K622" s="54">
        <f>CHOOSE(CONTROL!$C$42, 24.4654, 24.4654) * CHOOSE(CONTROL!$C$21, $C$9, 100%, $E$9)</f>
        <v>24.465399999999999</v>
      </c>
      <c r="L622" s="10">
        <f>CHOOSE(CONTROL!$C$42, 25.3098, 25.3098) * CHOOSE(CONTROL!$C$21, $C$9, 100%, $E$9)</f>
        <v>25.309799999999999</v>
      </c>
      <c r="M622" s="10">
        <f>CHOOSE(CONTROL!$C$42, 24.2298, 24.2298) * CHOOSE(CONTROL!$C$21, $C$9, 100%, $E$9)</f>
        <v>24.229800000000001</v>
      </c>
      <c r="N622" s="10">
        <f>CHOOSE(CONTROL!$C$42, 24.2466, 24.2466) * CHOOSE(CONTROL!$C$21, $C$9, 100%, $E$9)</f>
        <v>24.246600000000001</v>
      </c>
      <c r="O622" s="10">
        <f>CHOOSE(CONTROL!$C$42, 24.4871, 24.4871) * CHOOSE(CONTROL!$C$21, $C$9, 100%, $E$9)</f>
        <v>24.487100000000002</v>
      </c>
      <c r="P622" s="10">
        <f>CHOOSE(CONTROL!$C$42, 24.2362, 24.2362) * CHOOSE(CONTROL!$C$21, $C$9, 100%, $E$9)</f>
        <v>24.2362</v>
      </c>
      <c r="Q622" s="10">
        <f>CHOOSE(CONTROL!$C$42, 25.0824, 25.0824) * CHOOSE(CONTROL!$C$21, $C$9, 100%, $E$9)</f>
        <v>25.0824</v>
      </c>
      <c r="R622" s="10">
        <f>CHOOSE(CONTROL!$C$42, 25.7322, 25.7322) * CHOOSE(CONTROL!$C$21, $C$9, 100%, $E$9)</f>
        <v>25.732199999999999</v>
      </c>
      <c r="S622" s="10">
        <f>CHOOSE(CONTROL!$C$42, 23.7903, 23.7903) * CHOOSE(CONTROL!$C$21, $C$9, 100%, $E$9)</f>
        <v>23.790299999999998</v>
      </c>
      <c r="T622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622" s="58">
        <f>(1000*CHOOSE(CONTROL!$C$42, 695, 695)*CHOOSE(CONTROL!$C$42, 0.5599, 0.5599)*CHOOSE(CONTROL!$C$42, 31, 31))/1000000</f>
        <v>12.063045499999998</v>
      </c>
      <c r="V622" s="58">
        <f>(1000*CHOOSE(CONTROL!$C$42, 500, 500)*CHOOSE(CONTROL!$C$42, 0.275, 0.275)*CHOOSE(CONTROL!$C$42, 31, 31))/1000000</f>
        <v>4.2625000000000002</v>
      </c>
      <c r="W622" s="58">
        <f>(1000*CHOOSE(CONTROL!$C$42, 0.1146, 0.1146)*CHOOSE(CONTROL!$C$42, 121.5, 121.5)*CHOOSE(CONTROL!$C$42, 31, 31))/1000000</f>
        <v>0.43164089999999994</v>
      </c>
      <c r="X622" s="58">
        <f>(31*0.1790888*245000/1000000)+(31*0.2374*100000/1000000)</f>
        <v>2.0961194359999999</v>
      </c>
      <c r="Y622" s="58"/>
      <c r="Z622" s="10"/>
      <c r="AA622" s="57"/>
      <c r="AB622" s="51">
        <f>(B622*131.881+C622*277.167+D622*79.08+E622*125.872+F622*40+G622*185+H622*0+I622*100+J622*300)/(131.881+277.167+79.08+125.872+0+40+185+100+300)</f>
        <v>24.523624023567393</v>
      </c>
      <c r="AC622" s="27">
        <f>(M622*'RAP TEMPLATE-GAS AVAILABILITY'!O621+N622*'RAP TEMPLATE-GAS AVAILABILITY'!P621+O622*'RAP TEMPLATE-GAS AVAILABILITY'!Q621+P622*'RAP TEMPLATE-GAS AVAILABILITY'!R621)/('RAP TEMPLATE-GAS AVAILABILITY'!O621+'RAP TEMPLATE-GAS AVAILABILITY'!P621+'RAP TEMPLATE-GAS AVAILABILITY'!Q621+'RAP TEMPLATE-GAS AVAILABILITY'!R621)</f>
        <v>24.348305755395682</v>
      </c>
    </row>
    <row r="623" spans="1:29" ht="15.75" x14ac:dyDescent="0.25">
      <c r="A623" s="13">
        <v>59870</v>
      </c>
      <c r="B623" s="10">
        <f>CHOOSE(CONTROL!$C$42, 25.1459, 25.1459) * CHOOSE(CONTROL!$C$21, $C$9, 100%, $E$9)</f>
        <v>25.145900000000001</v>
      </c>
      <c r="C623" s="10">
        <f>CHOOSE(CONTROL!$C$42, 25.1509, 25.1509) * CHOOSE(CONTROL!$C$21, $C$9, 100%, $E$9)</f>
        <v>25.1509</v>
      </c>
      <c r="D623" s="10">
        <f>CHOOSE(CONTROL!$C$42, 25.1805, 25.1805) * CHOOSE(CONTROL!$C$21, $C$9, 100%, $E$9)</f>
        <v>25.180499999999999</v>
      </c>
      <c r="E623" s="10">
        <f>CHOOSE(CONTROL!$C$42, 25.2142, 25.2142) * CHOOSE(CONTROL!$C$21, $C$9, 100%, $E$9)</f>
        <v>25.214200000000002</v>
      </c>
      <c r="F623" s="10">
        <f>CHOOSE(CONTROL!$C$42, 25.1127, 25.1127)*CHOOSE(CONTROL!$C$21, $C$9, 100%, $E$9)</f>
        <v>25.1127</v>
      </c>
      <c r="G623" s="10">
        <f>CHOOSE(CONTROL!$C$42, 25.1298, 25.1298)*CHOOSE(CONTROL!$C$21, $C$9, 100%, $E$9)</f>
        <v>25.129799999999999</v>
      </c>
      <c r="H623" s="10">
        <f>CHOOSE(CONTROL!$C$42, 25.2034, 25.2034) * CHOOSE(CONTROL!$C$21, $C$9, 100%, $E$9)</f>
        <v>25.203399999999998</v>
      </c>
      <c r="I623" s="10">
        <f>CHOOSE(CONTROL!$C$42, 25.1095, 25.1095)* CHOOSE(CONTROL!$C$21, $C$9, 100%, $E$9)</f>
        <v>25.109500000000001</v>
      </c>
      <c r="J623" s="10">
        <f>CHOOSE(CONTROL!$C$42, 25.1057, 25.1057)* CHOOSE(CONTROL!$C$21, $C$9, 100%, $E$9)</f>
        <v>25.105699999999999</v>
      </c>
      <c r="K623" s="54">
        <f>CHOOSE(CONTROL!$C$42, 25.1056, 25.1056) * CHOOSE(CONTROL!$C$21, $C$9, 100%, $E$9)</f>
        <v>25.105599999999999</v>
      </c>
      <c r="L623" s="10">
        <f>CHOOSE(CONTROL!$C$42, 25.7904, 25.7904) * CHOOSE(CONTROL!$C$21, $C$9, 100%, $E$9)</f>
        <v>25.790400000000002</v>
      </c>
      <c r="M623" s="10">
        <f>CHOOSE(CONTROL!$C$42, 24.8662, 24.8662) * CHOOSE(CONTROL!$C$21, $C$9, 100%, $E$9)</f>
        <v>24.866199999999999</v>
      </c>
      <c r="N623" s="10">
        <f>CHOOSE(CONTROL!$C$42, 24.8831, 24.8831) * CHOOSE(CONTROL!$C$21, $C$9, 100%, $E$9)</f>
        <v>24.883099999999999</v>
      </c>
      <c r="O623" s="10">
        <f>CHOOSE(CONTROL!$C$42, 24.9629, 24.9629) * CHOOSE(CONTROL!$C$21, $C$9, 100%, $E$9)</f>
        <v>24.962900000000001</v>
      </c>
      <c r="P623" s="10">
        <f>CHOOSE(CONTROL!$C$42, 24.87, 24.87) * CHOOSE(CONTROL!$C$21, $C$9, 100%, $E$9)</f>
        <v>24.87</v>
      </c>
      <c r="Q623" s="10">
        <f>CHOOSE(CONTROL!$C$42, 25.5582, 25.5582) * CHOOSE(CONTROL!$C$21, $C$9, 100%, $E$9)</f>
        <v>25.558199999999999</v>
      </c>
      <c r="R623" s="10">
        <f>CHOOSE(CONTROL!$C$42, 26.2091, 26.2091) * CHOOSE(CONTROL!$C$21, $C$9, 100%, $E$9)</f>
        <v>26.209099999999999</v>
      </c>
      <c r="S623" s="10">
        <f>CHOOSE(CONTROL!$C$42, 24.4171, 24.4171) * CHOOSE(CONTROL!$C$21, $C$9, 100%, $E$9)</f>
        <v>24.417100000000001</v>
      </c>
      <c r="T623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623" s="58">
        <f>(1000*CHOOSE(CONTROL!$C$42, 695, 695)*CHOOSE(CONTROL!$C$42, 0.5599, 0.5599)*CHOOSE(CONTROL!$C$42, 30, 30))/1000000</f>
        <v>11.673914999999997</v>
      </c>
      <c r="V623" s="58">
        <f>(1000*CHOOSE(CONTROL!$C$42, 500, 500)*CHOOSE(CONTROL!$C$42, 0.275, 0.275)*CHOOSE(CONTROL!$C$42, 30, 30))/1000000</f>
        <v>4.125</v>
      </c>
      <c r="W623" s="58">
        <f>(1000*CHOOSE(CONTROL!$C$42, 0.1146, 0.1146)*CHOOSE(CONTROL!$C$42, 121.5, 121.5)*CHOOSE(CONTROL!$C$42, 30, 30))/1000000</f>
        <v>0.417717</v>
      </c>
      <c r="X623" s="58">
        <f>(30*0.1790888*100000/1000000)+(30*0.2374*100000/1000000)</f>
        <v>1.2494664</v>
      </c>
      <c r="Y623" s="58"/>
      <c r="Z623" s="10"/>
      <c r="AA623" s="57"/>
      <c r="AB623" s="51">
        <f>(B623*122.58+C623*297.941+D623*89.177+E623*40.302+F623*40+G623*160+H623*0+I623*100+J623*300)/(122.58+297.941+89.177+40.302+0+40+160+100+300)</f>
        <v>25.135225091999999</v>
      </c>
      <c r="AC623" s="27">
        <f>(M623*'RAP TEMPLATE-GAS AVAILABILITY'!O622+N623*'RAP TEMPLATE-GAS AVAILABILITY'!P622+O623*'RAP TEMPLATE-GAS AVAILABILITY'!Q622+P623*'RAP TEMPLATE-GAS AVAILABILITY'!R622)/('RAP TEMPLATE-GAS AVAILABILITY'!O622+'RAP TEMPLATE-GAS AVAILABILITY'!P622+'RAP TEMPLATE-GAS AVAILABILITY'!Q622+'RAP TEMPLATE-GAS AVAILABILITY'!R622)</f>
        <v>24.911547482014388</v>
      </c>
    </row>
    <row r="624" spans="1:29" ht="15.75" x14ac:dyDescent="0.25">
      <c r="A624" s="13">
        <v>59901</v>
      </c>
      <c r="B624" s="10">
        <f>CHOOSE(CONTROL!$C$42, 26.8601, 26.8601) * CHOOSE(CONTROL!$C$21, $C$9, 100%, $E$9)</f>
        <v>26.860099999999999</v>
      </c>
      <c r="C624" s="10">
        <f>CHOOSE(CONTROL!$C$42, 26.8651, 26.8651) * CHOOSE(CONTROL!$C$21, $C$9, 100%, $E$9)</f>
        <v>26.865100000000002</v>
      </c>
      <c r="D624" s="10">
        <f>CHOOSE(CONTROL!$C$42, 26.8947, 26.8947) * CHOOSE(CONTROL!$C$21, $C$9, 100%, $E$9)</f>
        <v>26.8947</v>
      </c>
      <c r="E624" s="10">
        <f>CHOOSE(CONTROL!$C$42, 26.9285, 26.9285) * CHOOSE(CONTROL!$C$21, $C$9, 100%, $E$9)</f>
        <v>26.9285</v>
      </c>
      <c r="F624" s="10">
        <f>CHOOSE(CONTROL!$C$42, 26.8283, 26.8283)*CHOOSE(CONTROL!$C$21, $C$9, 100%, $E$9)</f>
        <v>26.828299999999999</v>
      </c>
      <c r="G624" s="10">
        <f>CHOOSE(CONTROL!$C$42, 26.8458, 26.8458)*CHOOSE(CONTROL!$C$21, $C$9, 100%, $E$9)</f>
        <v>26.845800000000001</v>
      </c>
      <c r="H624" s="10">
        <f>CHOOSE(CONTROL!$C$42, 26.9177, 26.9177) * CHOOSE(CONTROL!$C$21, $C$9, 100%, $E$9)</f>
        <v>26.9177</v>
      </c>
      <c r="I624" s="10">
        <f>CHOOSE(CONTROL!$C$42, 26.8237, 26.8237)* CHOOSE(CONTROL!$C$21, $C$9, 100%, $E$9)</f>
        <v>26.823699999999999</v>
      </c>
      <c r="J624" s="10">
        <f>CHOOSE(CONTROL!$C$42, 26.8213, 26.8213)* CHOOSE(CONTROL!$C$21, $C$9, 100%, $E$9)</f>
        <v>26.821300000000001</v>
      </c>
      <c r="K624" s="54">
        <f>CHOOSE(CONTROL!$C$42, 26.8198, 26.8198) * CHOOSE(CONTROL!$C$21, $C$9, 100%, $E$9)</f>
        <v>26.819800000000001</v>
      </c>
      <c r="L624" s="10">
        <f>CHOOSE(CONTROL!$C$42, 27.5047, 27.5047) * CHOOSE(CONTROL!$C$21, $C$9, 100%, $E$9)</f>
        <v>27.5047</v>
      </c>
      <c r="M624" s="10">
        <f>CHOOSE(CONTROL!$C$42, 26.5645, 26.5645) * CHOOSE(CONTROL!$C$21, $C$9, 100%, $E$9)</f>
        <v>26.564499999999999</v>
      </c>
      <c r="N624" s="10">
        <f>CHOOSE(CONTROL!$C$42, 26.5818, 26.5818) * CHOOSE(CONTROL!$C$21, $C$9, 100%, $E$9)</f>
        <v>26.581800000000001</v>
      </c>
      <c r="O624" s="10">
        <f>CHOOSE(CONTROL!$C$42, 26.6599, 26.6599) * CHOOSE(CONTROL!$C$21, $C$9, 100%, $E$9)</f>
        <v>26.6599</v>
      </c>
      <c r="P624" s="10">
        <f>CHOOSE(CONTROL!$C$42, 26.5669, 26.5669) * CHOOSE(CONTROL!$C$21, $C$9, 100%, $E$9)</f>
        <v>26.5669</v>
      </c>
      <c r="Q624" s="10">
        <f>CHOOSE(CONTROL!$C$42, 27.2552, 27.2552) * CHOOSE(CONTROL!$C$21, $C$9, 100%, $E$9)</f>
        <v>27.255199999999999</v>
      </c>
      <c r="R624" s="10">
        <f>CHOOSE(CONTROL!$C$42, 27.9103, 27.9103) * CHOOSE(CONTROL!$C$21, $C$9, 100%, $E$9)</f>
        <v>27.910299999999999</v>
      </c>
      <c r="S624" s="10">
        <f>CHOOSE(CONTROL!$C$42, 26.0817, 26.0817) * CHOOSE(CONTROL!$C$21, $C$9, 100%, $E$9)</f>
        <v>26.081700000000001</v>
      </c>
      <c r="T624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624" s="58">
        <f>(1000*CHOOSE(CONTROL!$C$42, 695, 695)*CHOOSE(CONTROL!$C$42, 0.5599, 0.5599)*CHOOSE(CONTROL!$C$42, 31, 31))/1000000</f>
        <v>12.063045499999998</v>
      </c>
      <c r="V624" s="58">
        <f>(1000*CHOOSE(CONTROL!$C$42, 500, 500)*CHOOSE(CONTROL!$C$42, 0.275, 0.275)*CHOOSE(CONTROL!$C$42, 31, 31))/1000000</f>
        <v>4.2625000000000002</v>
      </c>
      <c r="W624" s="58">
        <f>(1000*CHOOSE(CONTROL!$C$42, 0.1146, 0.1146)*CHOOSE(CONTROL!$C$42, 121.5, 121.5)*CHOOSE(CONTROL!$C$42, 31, 31))/1000000</f>
        <v>0.43164089999999994</v>
      </c>
      <c r="X624" s="58">
        <f>(31*0.1790888*100000/1000000)+(31*0.2374*100000/1000000)</f>
        <v>1.2911152800000001</v>
      </c>
      <c r="Y624" s="58"/>
      <c r="Z624" s="10"/>
      <c r="AA624" s="57"/>
      <c r="AB624" s="51">
        <f>(B624*122.58+C624*297.941+D624*89.177+E624*40.302+F624*40+G624*160+H624*0+I624*100+J624*300)/(122.58+297.941+89.177+40.302+0+40+160+100+300)</f>
        <v>26.850092944347825</v>
      </c>
      <c r="AC624" s="27">
        <f>(M624*'RAP TEMPLATE-GAS AVAILABILITY'!O623+N624*'RAP TEMPLATE-GAS AVAILABILITY'!P623+O624*'RAP TEMPLATE-GAS AVAILABILITY'!Q623+P624*'RAP TEMPLATE-GAS AVAILABILITY'!R623)/('RAP TEMPLATE-GAS AVAILABILITY'!O623+'RAP TEMPLATE-GAS AVAILABILITY'!P623+'RAP TEMPLATE-GAS AVAILABILITY'!Q623+'RAP TEMPLATE-GAS AVAILABILITY'!R623)</f>
        <v>26.609079856115109</v>
      </c>
    </row>
    <row r="625" spans="1:29" ht="15.75" x14ac:dyDescent="0.25">
      <c r="A625" s="13">
        <v>59932</v>
      </c>
      <c r="B625" s="10">
        <f>CHOOSE(CONTROL!$C$42, 29.0607, 29.0607) * CHOOSE(CONTROL!$C$21, $C$9, 100%, $E$9)</f>
        <v>29.060700000000001</v>
      </c>
      <c r="C625" s="10">
        <f>CHOOSE(CONTROL!$C$42, 29.0657, 29.0657) * CHOOSE(CONTROL!$C$21, $C$9, 100%, $E$9)</f>
        <v>29.0657</v>
      </c>
      <c r="D625" s="10">
        <f>CHOOSE(CONTROL!$C$42, 29.1159, 29.1159) * CHOOSE(CONTROL!$C$21, $C$9, 100%, $E$9)</f>
        <v>29.1159</v>
      </c>
      <c r="E625" s="10">
        <f>CHOOSE(CONTROL!$C$42, 29.1497, 29.1497) * CHOOSE(CONTROL!$C$21, $C$9, 100%, $E$9)</f>
        <v>29.149699999999999</v>
      </c>
      <c r="F625" s="10">
        <f>CHOOSE(CONTROL!$C$42, 29.0261, 29.0261)*CHOOSE(CONTROL!$C$21, $C$9, 100%, $E$9)</f>
        <v>29.0261</v>
      </c>
      <c r="G625" s="10">
        <f>CHOOSE(CONTROL!$C$42, 29.0436, 29.0436)*CHOOSE(CONTROL!$C$21, $C$9, 100%, $E$9)</f>
        <v>29.043600000000001</v>
      </c>
      <c r="H625" s="10">
        <f>CHOOSE(CONTROL!$C$42, 29.1389, 29.1389) * CHOOSE(CONTROL!$C$21, $C$9, 100%, $E$9)</f>
        <v>29.1389</v>
      </c>
      <c r="I625" s="10">
        <f>CHOOSE(CONTROL!$C$42, 29.0346, 29.0346)* CHOOSE(CONTROL!$C$21, $C$9, 100%, $E$9)</f>
        <v>29.034600000000001</v>
      </c>
      <c r="J625" s="10">
        <f>CHOOSE(CONTROL!$C$42, 29.0191, 29.0191)* CHOOSE(CONTROL!$C$21, $C$9, 100%, $E$9)</f>
        <v>29.019100000000002</v>
      </c>
      <c r="K625" s="54">
        <f>CHOOSE(CONTROL!$C$42, 29.0307, 29.0307) * CHOOSE(CONTROL!$C$21, $C$9, 100%, $E$9)</f>
        <v>29.0307</v>
      </c>
      <c r="L625" s="10">
        <f>CHOOSE(CONTROL!$C$42, 29.7259, 29.7259) * CHOOSE(CONTROL!$C$21, $C$9, 100%, $E$9)</f>
        <v>29.725899999999999</v>
      </c>
      <c r="M625" s="10">
        <f>CHOOSE(CONTROL!$C$42, 28.7401, 28.7401) * CHOOSE(CONTROL!$C$21, $C$9, 100%, $E$9)</f>
        <v>28.740100000000002</v>
      </c>
      <c r="N625" s="10">
        <f>CHOOSE(CONTROL!$C$42, 28.7574, 28.7574) * CHOOSE(CONTROL!$C$21, $C$9, 100%, $E$9)</f>
        <v>28.757400000000001</v>
      </c>
      <c r="O625" s="10">
        <f>CHOOSE(CONTROL!$C$42, 28.8586, 28.8586) * CHOOSE(CONTROL!$C$21, $C$9, 100%, $E$9)</f>
        <v>28.858599999999999</v>
      </c>
      <c r="P625" s="10">
        <f>CHOOSE(CONTROL!$C$42, 28.7555, 28.7555) * CHOOSE(CONTROL!$C$21, $C$9, 100%, $E$9)</f>
        <v>28.755500000000001</v>
      </c>
      <c r="Q625" s="10">
        <f>CHOOSE(CONTROL!$C$42, 29.4539, 29.4539) * CHOOSE(CONTROL!$C$21, $C$9, 100%, $E$9)</f>
        <v>29.453900000000001</v>
      </c>
      <c r="R625" s="10">
        <f>CHOOSE(CONTROL!$C$42, 30.1146, 30.1146) * CHOOSE(CONTROL!$C$21, $C$9, 100%, $E$9)</f>
        <v>30.114599999999999</v>
      </c>
      <c r="S625" s="10">
        <f>CHOOSE(CONTROL!$C$42, 28.2187, 28.2187) * CHOOSE(CONTROL!$C$21, $C$9, 100%, $E$9)</f>
        <v>28.218699999999998</v>
      </c>
      <c r="T625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625" s="58">
        <f>(1000*CHOOSE(CONTROL!$C$42, 695, 695)*CHOOSE(CONTROL!$C$42, 0.5599, 0.5599)*CHOOSE(CONTROL!$C$42, 31, 31))/1000000</f>
        <v>12.063045499999998</v>
      </c>
      <c r="V625" s="58">
        <f>(1000*CHOOSE(CONTROL!$C$42, 500, 500)*CHOOSE(CONTROL!$C$42, 0.275, 0.275)*CHOOSE(CONTROL!$C$42, 31, 31))/1000000</f>
        <v>4.2625000000000002</v>
      </c>
      <c r="W625" s="58">
        <f>(1000*CHOOSE(CONTROL!$C$42, 0.1146, 0.1146)*CHOOSE(CONTROL!$C$42, 121.5, 121.5)*CHOOSE(CONTROL!$C$42, 31, 31))/1000000</f>
        <v>0.43164089999999994</v>
      </c>
      <c r="X625" s="58">
        <f>(31*0.1790888*100000/1000000)+(31*0.2374*100000/1000000)</f>
        <v>1.2911152800000001</v>
      </c>
      <c r="Y625" s="58"/>
      <c r="Z625" s="10"/>
      <c r="AA625" s="57"/>
      <c r="AB625" s="51">
        <f>(B625*122.58+C625*297.941+D625*89.177+E625*40.302+F625*40+G625*160+H625*0+I625*100+J625*300)/(122.58+297.941+89.177+40.302+0+40+160+100+300)</f>
        <v>29.052690568173915</v>
      </c>
      <c r="AC625" s="27">
        <f>(M625*'RAP TEMPLATE-GAS AVAILABILITY'!O624+N625*'RAP TEMPLATE-GAS AVAILABILITY'!P624+O625*'RAP TEMPLATE-GAS AVAILABILITY'!Q624+P625*'RAP TEMPLATE-GAS AVAILABILITY'!R624)/('RAP TEMPLATE-GAS AVAILABILITY'!O624+'RAP TEMPLATE-GAS AVAILABILITY'!P624+'RAP TEMPLATE-GAS AVAILABILITY'!Q624+'RAP TEMPLATE-GAS AVAILABILITY'!R624)</f>
        <v>28.797020143884893</v>
      </c>
    </row>
    <row r="626" spans="1:29" ht="15.75" x14ac:dyDescent="0.25">
      <c r="A626" s="13">
        <v>59961</v>
      </c>
      <c r="B626" s="10">
        <f>CHOOSE(CONTROL!$C$42, 29.578, 29.578) * CHOOSE(CONTROL!$C$21, $C$9, 100%, $E$9)</f>
        <v>29.577999999999999</v>
      </c>
      <c r="C626" s="10">
        <f>CHOOSE(CONTROL!$C$42, 29.583, 29.583) * CHOOSE(CONTROL!$C$21, $C$9, 100%, $E$9)</f>
        <v>29.582999999999998</v>
      </c>
      <c r="D626" s="10">
        <f>CHOOSE(CONTROL!$C$42, 29.6435, 29.6435) * CHOOSE(CONTROL!$C$21, $C$9, 100%, $E$9)</f>
        <v>29.6435</v>
      </c>
      <c r="E626" s="10">
        <f>CHOOSE(CONTROL!$C$42, 29.6772, 29.6772) * CHOOSE(CONTROL!$C$21, $C$9, 100%, $E$9)</f>
        <v>29.677199999999999</v>
      </c>
      <c r="F626" s="10">
        <f>CHOOSE(CONTROL!$C$42, 29.5712, 29.5712)*CHOOSE(CONTROL!$C$21, $C$9, 100%, $E$9)</f>
        <v>29.571200000000001</v>
      </c>
      <c r="G626" s="10">
        <f>CHOOSE(CONTROL!$C$42, 29.5885, 29.5885)*CHOOSE(CONTROL!$C$21, $C$9, 100%, $E$9)</f>
        <v>29.5885</v>
      </c>
      <c r="H626" s="10">
        <f>CHOOSE(CONTROL!$C$42, 29.6664, 29.6664) * CHOOSE(CONTROL!$C$21, $C$9, 100%, $E$9)</f>
        <v>29.666399999999999</v>
      </c>
      <c r="I626" s="10">
        <f>CHOOSE(CONTROL!$C$42, 29.5648, 29.5648)* CHOOSE(CONTROL!$C$21, $C$9, 100%, $E$9)</f>
        <v>29.564800000000002</v>
      </c>
      <c r="J626" s="10">
        <f>CHOOSE(CONTROL!$C$42, 29.5642, 29.5642)* CHOOSE(CONTROL!$C$21, $C$9, 100%, $E$9)</f>
        <v>29.5642</v>
      </c>
      <c r="K626" s="54">
        <f>CHOOSE(CONTROL!$C$42, 29.5609, 29.5609) * CHOOSE(CONTROL!$C$21, $C$9, 100%, $E$9)</f>
        <v>29.5609</v>
      </c>
      <c r="L626" s="10">
        <f>CHOOSE(CONTROL!$C$42, 30.2534, 30.2534) * CHOOSE(CONTROL!$C$21, $C$9, 100%, $E$9)</f>
        <v>30.253399999999999</v>
      </c>
      <c r="M626" s="10">
        <f>CHOOSE(CONTROL!$C$42, 29.2797, 29.2797) * CHOOSE(CONTROL!$C$21, $C$9, 100%, $E$9)</f>
        <v>29.279699999999998</v>
      </c>
      <c r="N626" s="10">
        <f>CHOOSE(CONTROL!$C$42, 29.2968, 29.2968) * CHOOSE(CONTROL!$C$21, $C$9, 100%, $E$9)</f>
        <v>29.296800000000001</v>
      </c>
      <c r="O626" s="10">
        <f>CHOOSE(CONTROL!$C$42, 29.3809, 29.3809) * CHOOSE(CONTROL!$C$21, $C$9, 100%, $E$9)</f>
        <v>29.3809</v>
      </c>
      <c r="P626" s="10">
        <f>CHOOSE(CONTROL!$C$42, 29.2803, 29.2803) * CHOOSE(CONTROL!$C$21, $C$9, 100%, $E$9)</f>
        <v>29.2803</v>
      </c>
      <c r="Q626" s="10">
        <f>CHOOSE(CONTROL!$C$42, 29.9762, 29.9762) * CHOOSE(CONTROL!$C$21, $C$9, 100%, $E$9)</f>
        <v>29.976199999999999</v>
      </c>
      <c r="R626" s="10">
        <f>CHOOSE(CONTROL!$C$42, 30.6381, 30.6381) * CHOOSE(CONTROL!$C$21, $C$9, 100%, $E$9)</f>
        <v>30.638100000000001</v>
      </c>
      <c r="S626" s="10">
        <f>CHOOSE(CONTROL!$C$42, 28.7211, 28.7211) * CHOOSE(CONTROL!$C$21, $C$9, 100%, $E$9)</f>
        <v>28.7211</v>
      </c>
      <c r="T626" s="5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626" s="58">
        <f>(1000*CHOOSE(CONTROL!$C$42, 695, 695)*CHOOSE(CONTROL!$C$42, 0.5599, 0.5599)*CHOOSE(CONTROL!$C$42, 29, 29))/1000000</f>
        <v>11.284784499999999</v>
      </c>
      <c r="V626" s="58">
        <f>(1000*CHOOSE(CONTROL!$C$42, 500, 500)*CHOOSE(CONTROL!$C$42, 0.275, 0.275)*CHOOSE(CONTROL!$C$42, 29, 29))/1000000</f>
        <v>3.9874999999999998</v>
      </c>
      <c r="W626" s="58">
        <f>(1000*CHOOSE(CONTROL!$C$42, 0.1146, 0.1146)*CHOOSE(CONTROL!$C$42, 121.5, 121.5)*CHOOSE(CONTROL!$C$42, 29, 29))/1000000</f>
        <v>0.40379309999999996</v>
      </c>
      <c r="X626" s="58">
        <f>(29*0.1790888*100000/1000000)+(29*0.2374*100000/1000000)</f>
        <v>1.2078175199999999</v>
      </c>
      <c r="Y626" s="58"/>
      <c r="Z626" s="10"/>
      <c r="AA626" s="57"/>
      <c r="AB626" s="51">
        <f>(B626*122.58+C626*297.941+D626*89.177+E626*40.302+F626*40+G626*160+H626*0+I626*100+J626*300)/(122.58+297.941+89.177+40.302+0+40+160+100+300)</f>
        <v>29.584327614695649</v>
      </c>
      <c r="AC626" s="27">
        <f>(M626*'RAP TEMPLATE-GAS AVAILABILITY'!O625+N626*'RAP TEMPLATE-GAS AVAILABILITY'!P625+O626*'RAP TEMPLATE-GAS AVAILABILITY'!Q625+P626*'RAP TEMPLATE-GAS AVAILABILITY'!R625)/('RAP TEMPLATE-GAS AVAILABILITY'!O625+'RAP TEMPLATE-GAS AVAILABILITY'!P625+'RAP TEMPLATE-GAS AVAILABILITY'!Q625+'RAP TEMPLATE-GAS AVAILABILITY'!R625)</f>
        <v>29.326638129496406</v>
      </c>
    </row>
    <row r="627" spans="1:29" ht="15.75" x14ac:dyDescent="0.25">
      <c r="A627" s="13">
        <v>59992</v>
      </c>
      <c r="B627" s="10">
        <f>CHOOSE(CONTROL!$C$42, 28.7383, 28.7383) * CHOOSE(CONTROL!$C$21, $C$9, 100%, $E$9)</f>
        <v>28.738299999999999</v>
      </c>
      <c r="C627" s="10">
        <f>CHOOSE(CONTROL!$C$42, 28.7433, 28.7433) * CHOOSE(CONTROL!$C$21, $C$9, 100%, $E$9)</f>
        <v>28.743300000000001</v>
      </c>
      <c r="D627" s="10">
        <f>CHOOSE(CONTROL!$C$42, 28.8038, 28.8038) * CHOOSE(CONTROL!$C$21, $C$9, 100%, $E$9)</f>
        <v>28.803799999999999</v>
      </c>
      <c r="E627" s="10">
        <f>CHOOSE(CONTROL!$C$42, 28.8376, 28.8376) * CHOOSE(CONTROL!$C$21, $C$9, 100%, $E$9)</f>
        <v>28.837599999999998</v>
      </c>
      <c r="F627" s="10">
        <f>CHOOSE(CONTROL!$C$42, 28.7261, 28.7261)*CHOOSE(CONTROL!$C$21, $C$9, 100%, $E$9)</f>
        <v>28.726099999999999</v>
      </c>
      <c r="G627" s="10">
        <f>CHOOSE(CONTROL!$C$42, 28.7433, 28.7433)*CHOOSE(CONTROL!$C$21, $C$9, 100%, $E$9)</f>
        <v>28.743300000000001</v>
      </c>
      <c r="H627" s="10">
        <f>CHOOSE(CONTROL!$C$42, 28.8268, 28.8268) * CHOOSE(CONTROL!$C$21, $C$9, 100%, $E$9)</f>
        <v>28.826799999999999</v>
      </c>
      <c r="I627" s="10">
        <f>CHOOSE(CONTROL!$C$42, 28.7122, 28.7122)* CHOOSE(CONTROL!$C$21, $C$9, 100%, $E$9)</f>
        <v>28.712199999999999</v>
      </c>
      <c r="J627" s="10">
        <f>CHOOSE(CONTROL!$C$42, 28.7191, 28.7191)* CHOOSE(CONTROL!$C$21, $C$9, 100%, $E$9)</f>
        <v>28.719100000000001</v>
      </c>
      <c r="K627" s="54">
        <f>CHOOSE(CONTROL!$C$42, 28.7083, 28.7083) * CHOOSE(CONTROL!$C$21, $C$9, 100%, $E$9)</f>
        <v>28.708300000000001</v>
      </c>
      <c r="L627" s="10">
        <f>CHOOSE(CONTROL!$C$42, 29.4138, 29.4138) * CHOOSE(CONTROL!$C$21, $C$9, 100%, $E$9)</f>
        <v>29.413799999999998</v>
      </c>
      <c r="M627" s="10">
        <f>CHOOSE(CONTROL!$C$42, 28.4431, 28.4431) * CHOOSE(CONTROL!$C$21, $C$9, 100%, $E$9)</f>
        <v>28.443100000000001</v>
      </c>
      <c r="N627" s="10">
        <f>CHOOSE(CONTROL!$C$42, 28.4601, 28.4601) * CHOOSE(CONTROL!$C$21, $C$9, 100%, $E$9)</f>
        <v>28.460100000000001</v>
      </c>
      <c r="O627" s="10">
        <f>CHOOSE(CONTROL!$C$42, 28.5497, 28.5497) * CHOOSE(CONTROL!$C$21, $C$9, 100%, $E$9)</f>
        <v>28.549700000000001</v>
      </c>
      <c r="P627" s="10">
        <f>CHOOSE(CONTROL!$C$42, 28.4363, 28.4363) * CHOOSE(CONTROL!$C$21, $C$9, 100%, $E$9)</f>
        <v>28.436299999999999</v>
      </c>
      <c r="Q627" s="10">
        <f>CHOOSE(CONTROL!$C$42, 29.145, 29.145) * CHOOSE(CONTROL!$C$21, $C$9, 100%, $E$9)</f>
        <v>29.145</v>
      </c>
      <c r="R627" s="10">
        <f>CHOOSE(CONTROL!$C$42, 29.8048, 29.8048) * CHOOSE(CONTROL!$C$21, $C$9, 100%, $E$9)</f>
        <v>29.8048</v>
      </c>
      <c r="S627" s="10">
        <f>CHOOSE(CONTROL!$C$42, 27.9057, 27.9057) * CHOOSE(CONTROL!$C$21, $C$9, 100%, $E$9)</f>
        <v>27.9057</v>
      </c>
      <c r="T627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627" s="58">
        <f>(1000*CHOOSE(CONTROL!$C$42, 695, 695)*CHOOSE(CONTROL!$C$42, 0.5599, 0.5599)*CHOOSE(CONTROL!$C$42, 31, 31))/1000000</f>
        <v>12.063045499999998</v>
      </c>
      <c r="V627" s="58">
        <f>(1000*CHOOSE(CONTROL!$C$42, 500, 500)*CHOOSE(CONTROL!$C$42, 0.275, 0.275)*CHOOSE(CONTROL!$C$42, 31, 31))/1000000</f>
        <v>4.2625000000000002</v>
      </c>
      <c r="W627" s="58">
        <f>(1000*CHOOSE(CONTROL!$C$42, 0.1146, 0.1146)*CHOOSE(CONTROL!$C$42, 121.5, 121.5)*CHOOSE(CONTROL!$C$42, 31, 31))/1000000</f>
        <v>0.43164089999999994</v>
      </c>
      <c r="X627" s="58">
        <f>(31*0.1790888*100000/1000000)+(31*0.2374*100000/1000000)</f>
        <v>1.2911152800000001</v>
      </c>
      <c r="Y627" s="58"/>
      <c r="Z627" s="10"/>
      <c r="AA627" s="57"/>
      <c r="AB627" s="51">
        <f>(B627*122.58+C627*297.941+D627*89.177+E627*40.302+F627*40+G627*160+H627*0+I627*100+J627*300)/(122.58+297.941+89.177+40.302+0+40+160+100+300)</f>
        <v>28.741147640956523</v>
      </c>
      <c r="AC627" s="27">
        <f>(M627*'RAP TEMPLATE-GAS AVAILABILITY'!O626+N627*'RAP TEMPLATE-GAS AVAILABILITY'!P626+O627*'RAP TEMPLATE-GAS AVAILABILITY'!Q626+P627*'RAP TEMPLATE-GAS AVAILABILITY'!R626)/('RAP TEMPLATE-GAS AVAILABILITY'!O626+'RAP TEMPLATE-GAS AVAILABILITY'!P626+'RAP TEMPLATE-GAS AVAILABILITY'!Q626+'RAP TEMPLATE-GAS AVAILABILITY'!R626)</f>
        <v>28.491415107913671</v>
      </c>
    </row>
    <row r="628" spans="1:29" ht="15.75" x14ac:dyDescent="0.25">
      <c r="A628" s="13">
        <v>60022</v>
      </c>
      <c r="B628" s="10">
        <f>CHOOSE(CONTROL!$C$42, 28.6535, 28.6535) * CHOOSE(CONTROL!$C$21, $C$9, 100%, $E$9)</f>
        <v>28.653500000000001</v>
      </c>
      <c r="C628" s="10">
        <f>CHOOSE(CONTROL!$C$42, 28.6578, 28.6578) * CHOOSE(CONTROL!$C$21, $C$9, 100%, $E$9)</f>
        <v>28.657800000000002</v>
      </c>
      <c r="D628" s="10">
        <f>CHOOSE(CONTROL!$C$42, 28.8534, 28.8534) * CHOOSE(CONTROL!$C$21, $C$9, 100%, $E$9)</f>
        <v>28.853400000000001</v>
      </c>
      <c r="E628" s="10">
        <f>CHOOSE(CONTROL!$C$42, 28.8852, 28.8852) * CHOOSE(CONTROL!$C$21, $C$9, 100%, $E$9)</f>
        <v>28.885200000000001</v>
      </c>
      <c r="F628" s="10">
        <f>CHOOSE(CONTROL!$C$42, 28.6213, 28.6213)*CHOOSE(CONTROL!$C$21, $C$9, 100%, $E$9)</f>
        <v>28.621300000000002</v>
      </c>
      <c r="G628" s="10">
        <f>CHOOSE(CONTROL!$C$42, 28.6381, 28.6381)*CHOOSE(CONTROL!$C$21, $C$9, 100%, $E$9)</f>
        <v>28.638100000000001</v>
      </c>
      <c r="H628" s="10">
        <f>CHOOSE(CONTROL!$C$42, 28.875, 28.875) * CHOOSE(CONTROL!$C$21, $C$9, 100%, $E$9)</f>
        <v>28.875</v>
      </c>
      <c r="I628" s="10">
        <f>CHOOSE(CONTROL!$C$42, 28.6214, 28.6214)* CHOOSE(CONTROL!$C$21, $C$9, 100%, $E$9)</f>
        <v>28.621400000000001</v>
      </c>
      <c r="J628" s="10">
        <f>CHOOSE(CONTROL!$C$42, 28.6143, 28.6143)* CHOOSE(CONTROL!$C$21, $C$9, 100%, $E$9)</f>
        <v>28.6143</v>
      </c>
      <c r="K628" s="54">
        <f>CHOOSE(CONTROL!$C$42, 28.6176, 28.6176) * CHOOSE(CONTROL!$C$21, $C$9, 100%, $E$9)</f>
        <v>28.617599999999999</v>
      </c>
      <c r="L628" s="10">
        <f>CHOOSE(CONTROL!$C$42, 29.462, 29.462) * CHOOSE(CONTROL!$C$21, $C$9, 100%, $E$9)</f>
        <v>29.462</v>
      </c>
      <c r="M628" s="10">
        <f>CHOOSE(CONTROL!$C$42, 28.3393, 28.3393) * CHOOSE(CONTROL!$C$21, $C$9, 100%, $E$9)</f>
        <v>28.339300000000001</v>
      </c>
      <c r="N628" s="10">
        <f>CHOOSE(CONTROL!$C$42, 28.3559, 28.3559) * CHOOSE(CONTROL!$C$21, $C$9, 100%, $E$9)</f>
        <v>28.355899999999998</v>
      </c>
      <c r="O628" s="10">
        <f>CHOOSE(CONTROL!$C$42, 28.5974, 28.5974) * CHOOSE(CONTROL!$C$21, $C$9, 100%, $E$9)</f>
        <v>28.5974</v>
      </c>
      <c r="P628" s="10">
        <f>CHOOSE(CONTROL!$C$42, 28.3465, 28.3465) * CHOOSE(CONTROL!$C$21, $C$9, 100%, $E$9)</f>
        <v>28.346499999999999</v>
      </c>
      <c r="Q628" s="10">
        <f>CHOOSE(CONTROL!$C$42, 29.1927, 29.1927) * CHOOSE(CONTROL!$C$21, $C$9, 100%, $E$9)</f>
        <v>29.192699999999999</v>
      </c>
      <c r="R628" s="10">
        <f>CHOOSE(CONTROL!$C$42, 29.8527, 29.8527) * CHOOSE(CONTROL!$C$21, $C$9, 100%, $E$9)</f>
        <v>29.852699999999999</v>
      </c>
      <c r="S628" s="10">
        <f>CHOOSE(CONTROL!$C$42, 27.8225, 27.8225) * CHOOSE(CONTROL!$C$21, $C$9, 100%, $E$9)</f>
        <v>27.822500000000002</v>
      </c>
      <c r="T628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628" s="58">
        <f>(1000*CHOOSE(CONTROL!$C$42, 695, 695)*CHOOSE(CONTROL!$C$42, 0.5599, 0.5599)*CHOOSE(CONTROL!$C$42, 30, 30))/1000000</f>
        <v>11.673914999999997</v>
      </c>
      <c r="V628" s="58">
        <f>(1000*CHOOSE(CONTROL!$C$42, 500, 500)*CHOOSE(CONTROL!$C$42, 0.275, 0.275)*CHOOSE(CONTROL!$C$42, 30, 30))/1000000</f>
        <v>4.125</v>
      </c>
      <c r="W628" s="58">
        <f>(1000*CHOOSE(CONTROL!$C$42, 0.1146, 0.1146)*CHOOSE(CONTROL!$C$42, 121.5, 121.5)*CHOOSE(CONTROL!$C$42, 30, 30))/1000000</f>
        <v>0.417717</v>
      </c>
      <c r="X628" s="58">
        <f>(30*0.1790888*245000/1000000)+(30*0.2374*100000/1000000)</f>
        <v>2.0285026799999999</v>
      </c>
      <c r="Y628" s="58"/>
      <c r="Z628" s="10"/>
      <c r="AA628" s="57"/>
      <c r="AB628" s="51">
        <f>(B628*141.293+C628*267.993+D628*115.016+E628*89.698+F628*40+G628*185+H628*0+I628*100+J628*300)/(141.293+267.993+115.016+89.698+0+40+185+100+300)</f>
        <v>28.674339463196123</v>
      </c>
      <c r="AC628" s="27">
        <f>(M628*'RAP TEMPLATE-GAS AVAILABILITY'!O627+N628*'RAP TEMPLATE-GAS AVAILABILITY'!P627+O628*'RAP TEMPLATE-GAS AVAILABILITY'!Q627+P628*'RAP TEMPLATE-GAS AVAILABILITY'!R627)/('RAP TEMPLATE-GAS AVAILABILITY'!O627+'RAP TEMPLATE-GAS AVAILABILITY'!P627+'RAP TEMPLATE-GAS AVAILABILITY'!Q627+'RAP TEMPLATE-GAS AVAILABILITY'!R627)</f>
        <v>28.458271942446046</v>
      </c>
    </row>
    <row r="629" spans="1:29" ht="15.75" x14ac:dyDescent="0.25">
      <c r="A629" s="13">
        <v>60053</v>
      </c>
      <c r="B629" s="10">
        <f>CHOOSE(CONTROL!$C$42, 28.9077, 28.9077) * CHOOSE(CONTROL!$C$21, $C$9, 100%, $E$9)</f>
        <v>28.907699999999998</v>
      </c>
      <c r="C629" s="10">
        <f>CHOOSE(CONTROL!$C$42, 28.9157, 28.9157) * CHOOSE(CONTROL!$C$21, $C$9, 100%, $E$9)</f>
        <v>28.915700000000001</v>
      </c>
      <c r="D629" s="10">
        <f>CHOOSE(CONTROL!$C$42, 29.1081, 29.1081) * CHOOSE(CONTROL!$C$21, $C$9, 100%, $E$9)</f>
        <v>29.1081</v>
      </c>
      <c r="E629" s="10">
        <f>CHOOSE(CONTROL!$C$42, 29.1392, 29.1392) * CHOOSE(CONTROL!$C$21, $C$9, 100%, $E$9)</f>
        <v>29.139199999999999</v>
      </c>
      <c r="F629" s="10">
        <f>CHOOSE(CONTROL!$C$42, 28.874, 28.874)*CHOOSE(CONTROL!$C$21, $C$9, 100%, $E$9)</f>
        <v>28.873999999999999</v>
      </c>
      <c r="G629" s="10">
        <f>CHOOSE(CONTROL!$C$42, 28.8911, 28.8911)*CHOOSE(CONTROL!$C$21, $C$9, 100%, $E$9)</f>
        <v>28.891100000000002</v>
      </c>
      <c r="H629" s="10">
        <f>CHOOSE(CONTROL!$C$42, 29.1279, 29.1279) * CHOOSE(CONTROL!$C$21, $C$9, 100%, $E$9)</f>
        <v>29.1279</v>
      </c>
      <c r="I629" s="10">
        <f>CHOOSE(CONTROL!$C$42, 28.8743, 28.8743)* CHOOSE(CONTROL!$C$21, $C$9, 100%, $E$9)</f>
        <v>28.874300000000002</v>
      </c>
      <c r="J629" s="10">
        <f>CHOOSE(CONTROL!$C$42, 28.867, 28.867)* CHOOSE(CONTROL!$C$21, $C$9, 100%, $E$9)</f>
        <v>28.867000000000001</v>
      </c>
      <c r="K629" s="54">
        <f>CHOOSE(CONTROL!$C$42, 28.8704, 28.8704) * CHOOSE(CONTROL!$C$21, $C$9, 100%, $E$9)</f>
        <v>28.8704</v>
      </c>
      <c r="L629" s="10">
        <f>CHOOSE(CONTROL!$C$42, 29.7149, 29.7149) * CHOOSE(CONTROL!$C$21, $C$9, 100%, $E$9)</f>
        <v>29.7149</v>
      </c>
      <c r="M629" s="10">
        <f>CHOOSE(CONTROL!$C$42, 28.5895, 28.5895) * CHOOSE(CONTROL!$C$21, $C$9, 100%, $E$9)</f>
        <v>28.589500000000001</v>
      </c>
      <c r="N629" s="10">
        <f>CHOOSE(CONTROL!$C$42, 28.6064, 28.6064) * CHOOSE(CONTROL!$C$21, $C$9, 100%, $E$9)</f>
        <v>28.606400000000001</v>
      </c>
      <c r="O629" s="10">
        <f>CHOOSE(CONTROL!$C$42, 28.8477, 28.8477) * CHOOSE(CONTROL!$C$21, $C$9, 100%, $E$9)</f>
        <v>28.8477</v>
      </c>
      <c r="P629" s="10">
        <f>CHOOSE(CONTROL!$C$42, 28.5968, 28.5968) * CHOOSE(CONTROL!$C$21, $C$9, 100%, $E$9)</f>
        <v>28.596800000000002</v>
      </c>
      <c r="Q629" s="10">
        <f>CHOOSE(CONTROL!$C$42, 29.443, 29.443) * CHOOSE(CONTROL!$C$21, $C$9, 100%, $E$9)</f>
        <v>29.443000000000001</v>
      </c>
      <c r="R629" s="10">
        <f>CHOOSE(CONTROL!$C$42, 30.1036, 30.1036) * CHOOSE(CONTROL!$C$21, $C$9, 100%, $E$9)</f>
        <v>30.1036</v>
      </c>
      <c r="S629" s="10">
        <f>CHOOSE(CONTROL!$C$42, 28.0681, 28.0681) * CHOOSE(CONTROL!$C$21, $C$9, 100%, $E$9)</f>
        <v>28.068100000000001</v>
      </c>
      <c r="T629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629" s="58">
        <f>(1000*CHOOSE(CONTROL!$C$42, 695, 695)*CHOOSE(CONTROL!$C$42, 0.5599, 0.5599)*CHOOSE(CONTROL!$C$42, 31, 31))/1000000</f>
        <v>12.063045499999998</v>
      </c>
      <c r="V629" s="58">
        <f>(1000*CHOOSE(CONTROL!$C$42, 500, 500)*CHOOSE(CONTROL!$C$42, 0.275, 0.275)*CHOOSE(CONTROL!$C$42, 31, 31))/1000000</f>
        <v>4.2625000000000002</v>
      </c>
      <c r="W629" s="58">
        <f>(1000*CHOOSE(CONTROL!$C$42, 0.1146, 0.1146)*CHOOSE(CONTROL!$C$42, 121.5, 121.5)*CHOOSE(CONTROL!$C$42, 31, 31))/1000000</f>
        <v>0.43164089999999994</v>
      </c>
      <c r="X629" s="58">
        <f>(31*0.1790888*245000/1000000)+(31*0.2374*100000/1000000)</f>
        <v>2.0961194359999999</v>
      </c>
      <c r="Y629" s="58"/>
      <c r="Z629" s="10"/>
      <c r="AA629" s="57"/>
      <c r="AB629" s="51">
        <f>(B629*194.205+C629*267.466+D629*133.845+E629*53.484+F629*40+G629*185+H629*0+I629*100+J629*300)/(194.205+267.466+133.845+53.484+0+40+185+100+300)</f>
        <v>28.924477717425432</v>
      </c>
      <c r="AC629" s="27">
        <f>(M629*'RAP TEMPLATE-GAS AVAILABILITY'!O628+N629*'RAP TEMPLATE-GAS AVAILABILITY'!P628+O629*'RAP TEMPLATE-GAS AVAILABILITY'!Q628+P629*'RAP TEMPLATE-GAS AVAILABILITY'!R628)/('RAP TEMPLATE-GAS AVAILABILITY'!O628+'RAP TEMPLATE-GAS AVAILABILITY'!P628+'RAP TEMPLATE-GAS AVAILABILITY'!Q628+'RAP TEMPLATE-GAS AVAILABILITY'!R628)</f>
        <v>28.708548920863311</v>
      </c>
    </row>
    <row r="630" spans="1:29" ht="15.75" x14ac:dyDescent="0.25">
      <c r="A630" s="13">
        <v>60083</v>
      </c>
      <c r="B630" s="10">
        <f>CHOOSE(CONTROL!$C$42, 29.7276, 29.7276) * CHOOSE(CONTROL!$C$21, $C$9, 100%, $E$9)</f>
        <v>29.727599999999999</v>
      </c>
      <c r="C630" s="10">
        <f>CHOOSE(CONTROL!$C$42, 29.7355, 29.7355) * CHOOSE(CONTROL!$C$21, $C$9, 100%, $E$9)</f>
        <v>29.735499999999998</v>
      </c>
      <c r="D630" s="10">
        <f>CHOOSE(CONTROL!$C$42, 29.9279, 29.9279) * CHOOSE(CONTROL!$C$21, $C$9, 100%, $E$9)</f>
        <v>29.927900000000001</v>
      </c>
      <c r="E630" s="10">
        <f>CHOOSE(CONTROL!$C$42, 29.9591, 29.9591) * CHOOSE(CONTROL!$C$21, $C$9, 100%, $E$9)</f>
        <v>29.959099999999999</v>
      </c>
      <c r="F630" s="10">
        <f>CHOOSE(CONTROL!$C$42, 29.6941, 29.6941)*CHOOSE(CONTROL!$C$21, $C$9, 100%, $E$9)</f>
        <v>29.694099999999999</v>
      </c>
      <c r="G630" s="10">
        <f>CHOOSE(CONTROL!$C$42, 29.7113, 29.7113)*CHOOSE(CONTROL!$C$21, $C$9, 100%, $E$9)</f>
        <v>29.711300000000001</v>
      </c>
      <c r="H630" s="10">
        <f>CHOOSE(CONTROL!$C$42, 29.9477, 29.9477) * CHOOSE(CONTROL!$C$21, $C$9, 100%, $E$9)</f>
        <v>29.947700000000001</v>
      </c>
      <c r="I630" s="10">
        <f>CHOOSE(CONTROL!$C$42, 29.6942, 29.6942)* CHOOSE(CONTROL!$C$21, $C$9, 100%, $E$9)</f>
        <v>29.694199999999999</v>
      </c>
      <c r="J630" s="10">
        <f>CHOOSE(CONTROL!$C$42, 29.6871, 29.6871)* CHOOSE(CONTROL!$C$21, $C$9, 100%, $E$9)</f>
        <v>29.687100000000001</v>
      </c>
      <c r="K630" s="54">
        <f>CHOOSE(CONTROL!$C$42, 29.6903, 29.6903) * CHOOSE(CONTROL!$C$21, $C$9, 100%, $E$9)</f>
        <v>29.690300000000001</v>
      </c>
      <c r="L630" s="10">
        <f>CHOOSE(CONTROL!$C$42, 30.5347, 30.5347) * CHOOSE(CONTROL!$C$21, $C$9, 100%, $E$9)</f>
        <v>30.534700000000001</v>
      </c>
      <c r="M630" s="10">
        <f>CHOOSE(CONTROL!$C$42, 29.4013, 29.4013) * CHOOSE(CONTROL!$C$21, $C$9, 100%, $E$9)</f>
        <v>29.401299999999999</v>
      </c>
      <c r="N630" s="10">
        <f>CHOOSE(CONTROL!$C$42, 29.4183, 29.4183) * CHOOSE(CONTROL!$C$21, $C$9, 100%, $E$9)</f>
        <v>29.418299999999999</v>
      </c>
      <c r="O630" s="10">
        <f>CHOOSE(CONTROL!$C$42, 29.6593, 29.6593) * CHOOSE(CONTROL!$C$21, $C$9, 100%, $E$9)</f>
        <v>29.659300000000002</v>
      </c>
      <c r="P630" s="10">
        <f>CHOOSE(CONTROL!$C$42, 29.4084, 29.4084) * CHOOSE(CONTROL!$C$21, $C$9, 100%, $E$9)</f>
        <v>29.4084</v>
      </c>
      <c r="Q630" s="10">
        <f>CHOOSE(CONTROL!$C$42, 30.2546, 30.2546) * CHOOSE(CONTROL!$C$21, $C$9, 100%, $E$9)</f>
        <v>30.2546</v>
      </c>
      <c r="R630" s="10">
        <f>CHOOSE(CONTROL!$C$42, 30.9172, 30.9172) * CHOOSE(CONTROL!$C$21, $C$9, 100%, $E$9)</f>
        <v>30.917200000000001</v>
      </c>
      <c r="S630" s="10">
        <f>CHOOSE(CONTROL!$C$42, 28.8642, 28.8642) * CHOOSE(CONTROL!$C$21, $C$9, 100%, $E$9)</f>
        <v>28.8642</v>
      </c>
      <c r="T630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630" s="58">
        <f>(1000*CHOOSE(CONTROL!$C$42, 695, 695)*CHOOSE(CONTROL!$C$42, 0.5599, 0.5599)*CHOOSE(CONTROL!$C$42, 30, 30))/1000000</f>
        <v>11.673914999999997</v>
      </c>
      <c r="V630" s="58">
        <f>(1000*CHOOSE(CONTROL!$C$42, 500, 500)*CHOOSE(CONTROL!$C$42, 0.275, 0.275)*CHOOSE(CONTROL!$C$42, 30, 30))/1000000</f>
        <v>4.125</v>
      </c>
      <c r="W630" s="58">
        <f>(1000*CHOOSE(CONTROL!$C$42, 0.1146, 0.1146)*CHOOSE(CONTROL!$C$42, 121.5, 121.5)*CHOOSE(CONTROL!$C$42, 30, 30))/1000000</f>
        <v>0.417717</v>
      </c>
      <c r="X630" s="58">
        <f>(30*0.1790888*245000/1000000)+(30*0.2374*100000/1000000)</f>
        <v>2.0285026799999999</v>
      </c>
      <c r="Y630" s="58"/>
      <c r="Z630" s="10"/>
      <c r="AA630" s="57"/>
      <c r="AB630" s="51">
        <f>(B630*194.205+C630*267.466+D630*133.845+E630*53.484+F630*40+G630*185+H630*0+I630*100+J630*300)/(194.205+267.466+133.845+53.484+0+40+185+100+300)</f>
        <v>29.744443156122447</v>
      </c>
      <c r="AC630" s="27">
        <f>(M630*'RAP TEMPLATE-GAS AVAILABILITY'!O629+N630*'RAP TEMPLATE-GAS AVAILABILITY'!P629+O630*'RAP TEMPLATE-GAS AVAILABILITY'!Q629+P630*'RAP TEMPLATE-GAS AVAILABILITY'!R629)/('RAP TEMPLATE-GAS AVAILABILITY'!O629+'RAP TEMPLATE-GAS AVAILABILITY'!P629+'RAP TEMPLATE-GAS AVAILABILITY'!Q629+'RAP TEMPLATE-GAS AVAILABILITY'!R629)</f>
        <v>29.52023525179856</v>
      </c>
    </row>
    <row r="631" spans="1:29" ht="15.75" x14ac:dyDescent="0.25">
      <c r="A631" s="13">
        <v>60114</v>
      </c>
      <c r="B631" s="10">
        <f>CHOOSE(CONTROL!$C$42, 29.1574, 29.1574) * CHOOSE(CONTROL!$C$21, $C$9, 100%, $E$9)</f>
        <v>29.157399999999999</v>
      </c>
      <c r="C631" s="10">
        <f>CHOOSE(CONTROL!$C$42, 29.1653, 29.1653) * CHOOSE(CONTROL!$C$21, $C$9, 100%, $E$9)</f>
        <v>29.165299999999998</v>
      </c>
      <c r="D631" s="10">
        <f>CHOOSE(CONTROL!$C$42, 29.3577, 29.3577) * CHOOSE(CONTROL!$C$21, $C$9, 100%, $E$9)</f>
        <v>29.357700000000001</v>
      </c>
      <c r="E631" s="10">
        <f>CHOOSE(CONTROL!$C$42, 29.3889, 29.3889) * CHOOSE(CONTROL!$C$21, $C$9, 100%, $E$9)</f>
        <v>29.3889</v>
      </c>
      <c r="F631" s="10">
        <f>CHOOSE(CONTROL!$C$42, 29.1243, 29.1243)*CHOOSE(CONTROL!$C$21, $C$9, 100%, $E$9)</f>
        <v>29.124300000000002</v>
      </c>
      <c r="G631" s="10">
        <f>CHOOSE(CONTROL!$C$42, 29.1416, 29.1416)*CHOOSE(CONTROL!$C$21, $C$9, 100%, $E$9)</f>
        <v>29.1416</v>
      </c>
      <c r="H631" s="10">
        <f>CHOOSE(CONTROL!$C$42, 29.3775, 29.3775) * CHOOSE(CONTROL!$C$21, $C$9, 100%, $E$9)</f>
        <v>29.377500000000001</v>
      </c>
      <c r="I631" s="10">
        <f>CHOOSE(CONTROL!$C$42, 29.1239, 29.1239)* CHOOSE(CONTROL!$C$21, $C$9, 100%, $E$9)</f>
        <v>29.123899999999999</v>
      </c>
      <c r="J631" s="10">
        <f>CHOOSE(CONTROL!$C$42, 29.1173, 29.1173)* CHOOSE(CONTROL!$C$21, $C$9, 100%, $E$9)</f>
        <v>29.1173</v>
      </c>
      <c r="K631" s="54">
        <f>CHOOSE(CONTROL!$C$42, 29.1201, 29.1201) * CHOOSE(CONTROL!$C$21, $C$9, 100%, $E$9)</f>
        <v>29.120100000000001</v>
      </c>
      <c r="L631" s="10">
        <f>CHOOSE(CONTROL!$C$42, 29.9645, 29.9645) * CHOOSE(CONTROL!$C$21, $C$9, 100%, $E$9)</f>
        <v>29.964500000000001</v>
      </c>
      <c r="M631" s="10">
        <f>CHOOSE(CONTROL!$C$42, 28.8372, 28.8372) * CHOOSE(CONTROL!$C$21, $C$9, 100%, $E$9)</f>
        <v>28.837199999999999</v>
      </c>
      <c r="N631" s="10">
        <f>CHOOSE(CONTROL!$C$42, 28.8544, 28.8544) * CHOOSE(CONTROL!$C$21, $C$9, 100%, $E$9)</f>
        <v>28.854399999999998</v>
      </c>
      <c r="O631" s="10">
        <f>CHOOSE(CONTROL!$C$42, 29.0949, 29.0949) * CHOOSE(CONTROL!$C$21, $C$9, 100%, $E$9)</f>
        <v>29.094899999999999</v>
      </c>
      <c r="P631" s="10">
        <f>CHOOSE(CONTROL!$C$42, 28.8439, 28.8439) * CHOOSE(CONTROL!$C$21, $C$9, 100%, $E$9)</f>
        <v>28.843900000000001</v>
      </c>
      <c r="Q631" s="10">
        <f>CHOOSE(CONTROL!$C$42, 29.6902, 29.6902) * CHOOSE(CONTROL!$C$21, $C$9, 100%, $E$9)</f>
        <v>29.690200000000001</v>
      </c>
      <c r="R631" s="10">
        <f>CHOOSE(CONTROL!$C$42, 30.3514, 30.3514) * CHOOSE(CONTROL!$C$21, $C$9, 100%, $E$9)</f>
        <v>30.351400000000002</v>
      </c>
      <c r="S631" s="10">
        <f>CHOOSE(CONTROL!$C$42, 28.3105, 28.3105) * CHOOSE(CONTROL!$C$21, $C$9, 100%, $E$9)</f>
        <v>28.310500000000001</v>
      </c>
      <c r="T631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631" s="58">
        <f>(1000*CHOOSE(CONTROL!$C$42, 695, 695)*CHOOSE(CONTROL!$C$42, 0.5599, 0.5599)*CHOOSE(CONTROL!$C$42, 31, 31))/1000000</f>
        <v>12.063045499999998</v>
      </c>
      <c r="V631" s="58">
        <f>(1000*CHOOSE(CONTROL!$C$42, 500, 500)*CHOOSE(CONTROL!$C$42, 0.275, 0.275)*CHOOSE(CONTROL!$C$42, 31, 31))/1000000</f>
        <v>4.2625000000000002</v>
      </c>
      <c r="W631" s="58">
        <f>(1000*CHOOSE(CONTROL!$C$42, 0.1146, 0.1146)*CHOOSE(CONTROL!$C$42, 121.5, 121.5)*CHOOSE(CONTROL!$C$42, 31, 31))/1000000</f>
        <v>0.43164089999999994</v>
      </c>
      <c r="X631" s="58">
        <f>(31*0.1790888*245000/1000000)+(31*0.2374*100000/1000000)</f>
        <v>2.0961194359999999</v>
      </c>
      <c r="Y631" s="58"/>
      <c r="Z631" s="10"/>
      <c r="AA631" s="57"/>
      <c r="AB631" s="51">
        <f>(B631*194.205+C631*267.466+D631*133.845+E631*53.484+F631*40+G631*185+H631*0+I631*100+J631*300)/(194.205+267.466+133.845+53.484+0+40+185+100+300)</f>
        <v>29.174414663186816</v>
      </c>
      <c r="AC631" s="27">
        <f>(M631*'RAP TEMPLATE-GAS AVAILABILITY'!O630+N631*'RAP TEMPLATE-GAS AVAILABILITY'!P630+O631*'RAP TEMPLATE-GAS AVAILABILITY'!Q630+P631*'RAP TEMPLATE-GAS AVAILABILITY'!R630)/('RAP TEMPLATE-GAS AVAILABILITY'!O630+'RAP TEMPLATE-GAS AVAILABILITY'!P630+'RAP TEMPLATE-GAS AVAILABILITY'!Q630+'RAP TEMPLATE-GAS AVAILABILITY'!R630)</f>
        <v>28.955953237410068</v>
      </c>
    </row>
    <row r="632" spans="1:29" ht="15.75" x14ac:dyDescent="0.25">
      <c r="A632" s="13">
        <v>60145</v>
      </c>
      <c r="B632" s="10">
        <f>CHOOSE(CONTROL!$C$42, 27.7174, 27.7174) * CHOOSE(CONTROL!$C$21, $C$9, 100%, $E$9)</f>
        <v>27.717400000000001</v>
      </c>
      <c r="C632" s="10">
        <f>CHOOSE(CONTROL!$C$42, 27.7253, 27.7253) * CHOOSE(CONTROL!$C$21, $C$9, 100%, $E$9)</f>
        <v>27.725300000000001</v>
      </c>
      <c r="D632" s="10">
        <f>CHOOSE(CONTROL!$C$42, 27.9178, 27.9178) * CHOOSE(CONTROL!$C$21, $C$9, 100%, $E$9)</f>
        <v>27.9178</v>
      </c>
      <c r="E632" s="10">
        <f>CHOOSE(CONTROL!$C$42, 27.9489, 27.9489) * CHOOSE(CONTROL!$C$21, $C$9, 100%, $E$9)</f>
        <v>27.948899999999998</v>
      </c>
      <c r="F632" s="10">
        <f>CHOOSE(CONTROL!$C$42, 27.6845, 27.6845)*CHOOSE(CONTROL!$C$21, $C$9, 100%, $E$9)</f>
        <v>27.6845</v>
      </c>
      <c r="G632" s="10">
        <f>CHOOSE(CONTROL!$C$42, 27.7018, 27.7018)*CHOOSE(CONTROL!$C$21, $C$9, 100%, $E$9)</f>
        <v>27.701799999999999</v>
      </c>
      <c r="H632" s="10">
        <f>CHOOSE(CONTROL!$C$42, 27.9375, 27.9375) * CHOOSE(CONTROL!$C$21, $C$9, 100%, $E$9)</f>
        <v>27.9375</v>
      </c>
      <c r="I632" s="10">
        <f>CHOOSE(CONTROL!$C$42, 27.684, 27.684)* CHOOSE(CONTROL!$C$21, $C$9, 100%, $E$9)</f>
        <v>27.684000000000001</v>
      </c>
      <c r="J632" s="10">
        <f>CHOOSE(CONTROL!$C$42, 27.6775, 27.6775)* CHOOSE(CONTROL!$C$21, $C$9, 100%, $E$9)</f>
        <v>27.677499999999998</v>
      </c>
      <c r="K632" s="54">
        <f>CHOOSE(CONTROL!$C$42, 27.6801, 27.6801) * CHOOSE(CONTROL!$C$21, $C$9, 100%, $E$9)</f>
        <v>27.680099999999999</v>
      </c>
      <c r="L632" s="10">
        <f>CHOOSE(CONTROL!$C$42, 28.5245, 28.5245) * CHOOSE(CONTROL!$C$21, $C$9, 100%, $E$9)</f>
        <v>28.5245</v>
      </c>
      <c r="M632" s="10">
        <f>CHOOSE(CONTROL!$C$42, 27.412, 27.412) * CHOOSE(CONTROL!$C$21, $C$9, 100%, $E$9)</f>
        <v>27.411999999999999</v>
      </c>
      <c r="N632" s="10">
        <f>CHOOSE(CONTROL!$C$42, 27.4291, 27.4291) * CHOOSE(CONTROL!$C$21, $C$9, 100%, $E$9)</f>
        <v>27.429099999999998</v>
      </c>
      <c r="O632" s="10">
        <f>CHOOSE(CONTROL!$C$42, 27.6694, 27.6694) * CHOOSE(CONTROL!$C$21, $C$9, 100%, $E$9)</f>
        <v>27.6694</v>
      </c>
      <c r="P632" s="10">
        <f>CHOOSE(CONTROL!$C$42, 27.4185, 27.4185) * CHOOSE(CONTROL!$C$21, $C$9, 100%, $E$9)</f>
        <v>27.418500000000002</v>
      </c>
      <c r="Q632" s="10">
        <f>CHOOSE(CONTROL!$C$42, 28.2647, 28.2647) * CHOOSE(CONTROL!$C$21, $C$9, 100%, $E$9)</f>
        <v>28.264700000000001</v>
      </c>
      <c r="R632" s="10">
        <f>CHOOSE(CONTROL!$C$42, 28.9224, 28.9224) * CHOOSE(CONTROL!$C$21, $C$9, 100%, $E$9)</f>
        <v>28.9224</v>
      </c>
      <c r="S632" s="10">
        <f>CHOOSE(CONTROL!$C$42, 26.9121, 26.9121) * CHOOSE(CONTROL!$C$21, $C$9, 100%, $E$9)</f>
        <v>26.912099999999999</v>
      </c>
      <c r="T632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632" s="58">
        <f>(1000*CHOOSE(CONTROL!$C$42, 695, 695)*CHOOSE(CONTROL!$C$42, 0.5599, 0.5599)*CHOOSE(CONTROL!$C$42, 31, 31))/1000000</f>
        <v>12.063045499999998</v>
      </c>
      <c r="V632" s="58">
        <f>(1000*CHOOSE(CONTROL!$C$42, 500, 500)*CHOOSE(CONTROL!$C$42, 0.275, 0.275)*CHOOSE(CONTROL!$C$42, 31, 31))/1000000</f>
        <v>4.2625000000000002</v>
      </c>
      <c r="W632" s="58">
        <f>(1000*CHOOSE(CONTROL!$C$42, 0.1146, 0.1146)*CHOOSE(CONTROL!$C$42, 121.5, 121.5)*CHOOSE(CONTROL!$C$42, 31, 31))/1000000</f>
        <v>0.43164089999999994</v>
      </c>
      <c r="X632" s="58">
        <f>(31*0.1790888*245000/1000000)+(31*0.2374*100000/1000000)</f>
        <v>2.0961194359999999</v>
      </c>
      <c r="Y632" s="58"/>
      <c r="Z632" s="10"/>
      <c r="AA632" s="57"/>
      <c r="AB632" s="51">
        <f>(B632*194.205+C632*267.466+D632*133.845+E632*53.484+F632*40+G632*185+H632*0+I632*100+J632*300)/(194.205+267.466+133.845+53.484+0+40+185+100+300)</f>
        <v>27.734515435949763</v>
      </c>
      <c r="AC632" s="27">
        <f>(M632*'RAP TEMPLATE-GAS AVAILABILITY'!O631+N632*'RAP TEMPLATE-GAS AVAILABILITY'!P631+O632*'RAP TEMPLATE-GAS AVAILABILITY'!Q631+P632*'RAP TEMPLATE-GAS AVAILABILITY'!R631)/('RAP TEMPLATE-GAS AVAILABILITY'!O631+'RAP TEMPLATE-GAS AVAILABILITY'!P631+'RAP TEMPLATE-GAS AVAILABILITY'!Q631+'RAP TEMPLATE-GAS AVAILABILITY'!R631)</f>
        <v>27.530582733812945</v>
      </c>
    </row>
    <row r="633" spans="1:29" ht="15.75" x14ac:dyDescent="0.25">
      <c r="A633" s="13">
        <v>60175</v>
      </c>
      <c r="B633" s="10">
        <f>CHOOSE(CONTROL!$C$42, 25.9577, 25.9577) * CHOOSE(CONTROL!$C$21, $C$9, 100%, $E$9)</f>
        <v>25.957699999999999</v>
      </c>
      <c r="C633" s="10">
        <f>CHOOSE(CONTROL!$C$42, 25.9656, 25.9656) * CHOOSE(CONTROL!$C$21, $C$9, 100%, $E$9)</f>
        <v>25.965599999999998</v>
      </c>
      <c r="D633" s="10">
        <f>CHOOSE(CONTROL!$C$42, 26.158, 26.158) * CHOOSE(CONTROL!$C$21, $C$9, 100%, $E$9)</f>
        <v>26.158000000000001</v>
      </c>
      <c r="E633" s="10">
        <f>CHOOSE(CONTROL!$C$42, 26.1891, 26.1891) * CHOOSE(CONTROL!$C$21, $C$9, 100%, $E$9)</f>
        <v>26.1891</v>
      </c>
      <c r="F633" s="10">
        <f>CHOOSE(CONTROL!$C$42, 25.9246, 25.9246)*CHOOSE(CONTROL!$C$21, $C$9, 100%, $E$9)</f>
        <v>25.924600000000002</v>
      </c>
      <c r="G633" s="10">
        <f>CHOOSE(CONTROL!$C$42, 25.9418, 25.9418)*CHOOSE(CONTROL!$C$21, $C$9, 100%, $E$9)</f>
        <v>25.941800000000001</v>
      </c>
      <c r="H633" s="10">
        <f>CHOOSE(CONTROL!$C$42, 26.1778, 26.1778) * CHOOSE(CONTROL!$C$21, $C$9, 100%, $E$9)</f>
        <v>26.177800000000001</v>
      </c>
      <c r="I633" s="10">
        <f>CHOOSE(CONTROL!$C$42, 25.9242, 25.9242)* CHOOSE(CONTROL!$C$21, $C$9, 100%, $E$9)</f>
        <v>25.924199999999999</v>
      </c>
      <c r="J633" s="10">
        <f>CHOOSE(CONTROL!$C$42, 25.9176, 25.9176)* CHOOSE(CONTROL!$C$21, $C$9, 100%, $E$9)</f>
        <v>25.9176</v>
      </c>
      <c r="K633" s="54">
        <f>CHOOSE(CONTROL!$C$42, 25.9203, 25.9203) * CHOOSE(CONTROL!$C$21, $C$9, 100%, $E$9)</f>
        <v>25.920300000000001</v>
      </c>
      <c r="L633" s="10">
        <f>CHOOSE(CONTROL!$C$42, 26.7648, 26.7648) * CHOOSE(CONTROL!$C$21, $C$9, 100%, $E$9)</f>
        <v>26.764800000000001</v>
      </c>
      <c r="M633" s="10">
        <f>CHOOSE(CONTROL!$C$42, 25.6698, 25.6698) * CHOOSE(CONTROL!$C$21, $C$9, 100%, $E$9)</f>
        <v>25.669799999999999</v>
      </c>
      <c r="N633" s="10">
        <f>CHOOSE(CONTROL!$C$42, 25.6869, 25.6869) * CHOOSE(CONTROL!$C$21, $C$9, 100%, $E$9)</f>
        <v>25.686900000000001</v>
      </c>
      <c r="O633" s="10">
        <f>CHOOSE(CONTROL!$C$42, 25.9274, 25.9274) * CHOOSE(CONTROL!$C$21, $C$9, 100%, $E$9)</f>
        <v>25.927399999999999</v>
      </c>
      <c r="P633" s="10">
        <f>CHOOSE(CONTROL!$C$42, 25.6765, 25.6765) * CHOOSE(CONTROL!$C$21, $C$9, 100%, $E$9)</f>
        <v>25.676500000000001</v>
      </c>
      <c r="Q633" s="10">
        <f>CHOOSE(CONTROL!$C$42, 26.5227, 26.5227) * CHOOSE(CONTROL!$C$21, $C$9, 100%, $E$9)</f>
        <v>26.5227</v>
      </c>
      <c r="R633" s="10">
        <f>CHOOSE(CONTROL!$C$42, 27.176, 27.176) * CHOOSE(CONTROL!$C$21, $C$9, 100%, $E$9)</f>
        <v>27.175999999999998</v>
      </c>
      <c r="S633" s="10">
        <f>CHOOSE(CONTROL!$C$42, 25.2032, 25.2032) * CHOOSE(CONTROL!$C$21, $C$9, 100%, $E$9)</f>
        <v>25.203199999999999</v>
      </c>
      <c r="T633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633" s="58">
        <f>(1000*CHOOSE(CONTROL!$C$42, 695, 695)*CHOOSE(CONTROL!$C$42, 0.5599, 0.5599)*CHOOSE(CONTROL!$C$42, 30, 30))/1000000</f>
        <v>11.673914999999997</v>
      </c>
      <c r="V633" s="58">
        <f>(1000*CHOOSE(CONTROL!$C$42, 500, 500)*CHOOSE(CONTROL!$C$42, 0.275, 0.275)*CHOOSE(CONTROL!$C$42, 30, 30))/1000000</f>
        <v>4.125</v>
      </c>
      <c r="W633" s="58">
        <f>(1000*CHOOSE(CONTROL!$C$42, 0.1146, 0.1146)*CHOOSE(CONTROL!$C$42, 121.5, 121.5)*CHOOSE(CONTROL!$C$42, 30, 30))/1000000</f>
        <v>0.417717</v>
      </c>
      <c r="X633" s="58">
        <f>(30*0.1790888*245000/1000000)+(30*0.2374*100000/1000000)</f>
        <v>2.0285026799999999</v>
      </c>
      <c r="Y633" s="58"/>
      <c r="Z633" s="10"/>
      <c r="AA633" s="57"/>
      <c r="AB633" s="51">
        <f>(B633*194.205+C633*267.466+D633*133.845+E633*53.484+F633*40+G633*185+H633*0+I633*100+J633*300)/(194.205+267.466+133.845+53.484+0+40+185+100+300)</f>
        <v>25.974695943877553</v>
      </c>
      <c r="AC633" s="27">
        <f>(M633*'RAP TEMPLATE-GAS AVAILABILITY'!O632+N633*'RAP TEMPLATE-GAS AVAILABILITY'!P632+O633*'RAP TEMPLATE-GAS AVAILABILITY'!Q632+P633*'RAP TEMPLATE-GAS AVAILABILITY'!R632)/('RAP TEMPLATE-GAS AVAILABILITY'!O632+'RAP TEMPLATE-GAS AVAILABILITY'!P632+'RAP TEMPLATE-GAS AVAILABILITY'!Q632+'RAP TEMPLATE-GAS AVAILABILITY'!R632)</f>
        <v>25.788502158273378</v>
      </c>
    </row>
    <row r="634" spans="1:29" ht="15.75" x14ac:dyDescent="0.25">
      <c r="A634" s="13">
        <v>60206</v>
      </c>
      <c r="B634" s="10">
        <f>CHOOSE(CONTROL!$C$42, 25.429, 25.429) * CHOOSE(CONTROL!$C$21, $C$9, 100%, $E$9)</f>
        <v>25.428999999999998</v>
      </c>
      <c r="C634" s="10">
        <f>CHOOSE(CONTROL!$C$42, 25.4342, 25.4342) * CHOOSE(CONTROL!$C$21, $C$9, 100%, $E$9)</f>
        <v>25.434200000000001</v>
      </c>
      <c r="D634" s="10">
        <f>CHOOSE(CONTROL!$C$42, 25.6316, 25.6316) * CHOOSE(CONTROL!$C$21, $C$9, 100%, $E$9)</f>
        <v>25.631599999999999</v>
      </c>
      <c r="E634" s="10">
        <f>CHOOSE(CONTROL!$C$42, 25.6604, 25.6604) * CHOOSE(CONTROL!$C$21, $C$9, 100%, $E$9)</f>
        <v>25.660399999999999</v>
      </c>
      <c r="F634" s="10">
        <f>CHOOSE(CONTROL!$C$42, 25.3979, 25.3979)*CHOOSE(CONTROL!$C$21, $C$9, 100%, $E$9)</f>
        <v>25.3979</v>
      </c>
      <c r="G634" s="10">
        <f>CHOOSE(CONTROL!$C$42, 25.4148, 25.4148)*CHOOSE(CONTROL!$C$21, $C$9, 100%, $E$9)</f>
        <v>25.4148</v>
      </c>
      <c r="H634" s="10">
        <f>CHOOSE(CONTROL!$C$42, 25.6508, 25.6508) * CHOOSE(CONTROL!$C$21, $C$9, 100%, $E$9)</f>
        <v>25.6508</v>
      </c>
      <c r="I634" s="10">
        <f>CHOOSE(CONTROL!$C$42, 25.3973, 25.3973)* CHOOSE(CONTROL!$C$21, $C$9, 100%, $E$9)</f>
        <v>25.397300000000001</v>
      </c>
      <c r="J634" s="10">
        <f>CHOOSE(CONTROL!$C$42, 25.3909, 25.3909)* CHOOSE(CONTROL!$C$21, $C$9, 100%, $E$9)</f>
        <v>25.390899999999998</v>
      </c>
      <c r="K634" s="54">
        <f>CHOOSE(CONTROL!$C$42, 25.3934, 25.3934) * CHOOSE(CONTROL!$C$21, $C$9, 100%, $E$9)</f>
        <v>25.3934</v>
      </c>
      <c r="L634" s="10">
        <f>CHOOSE(CONTROL!$C$42, 26.2378, 26.2378) * CHOOSE(CONTROL!$C$21, $C$9, 100%, $E$9)</f>
        <v>26.2378</v>
      </c>
      <c r="M634" s="10">
        <f>CHOOSE(CONTROL!$C$42, 25.1484, 25.1484) * CHOOSE(CONTROL!$C$21, $C$9, 100%, $E$9)</f>
        <v>25.148399999999999</v>
      </c>
      <c r="N634" s="10">
        <f>CHOOSE(CONTROL!$C$42, 25.1652, 25.1652) * CHOOSE(CONTROL!$C$21, $C$9, 100%, $E$9)</f>
        <v>25.165199999999999</v>
      </c>
      <c r="O634" s="10">
        <f>CHOOSE(CONTROL!$C$42, 25.4058, 25.4058) * CHOOSE(CONTROL!$C$21, $C$9, 100%, $E$9)</f>
        <v>25.405799999999999</v>
      </c>
      <c r="P634" s="10">
        <f>CHOOSE(CONTROL!$C$42, 25.1548, 25.1548) * CHOOSE(CONTROL!$C$21, $C$9, 100%, $E$9)</f>
        <v>25.154800000000002</v>
      </c>
      <c r="Q634" s="10">
        <f>CHOOSE(CONTROL!$C$42, 26.0011, 26.0011) * CHOOSE(CONTROL!$C$21, $C$9, 100%, $E$9)</f>
        <v>26.001100000000001</v>
      </c>
      <c r="R634" s="10">
        <f>CHOOSE(CONTROL!$C$42, 26.6531, 26.6531) * CHOOSE(CONTROL!$C$21, $C$9, 100%, $E$9)</f>
        <v>26.653099999999998</v>
      </c>
      <c r="S634" s="10">
        <f>CHOOSE(CONTROL!$C$42, 24.6915, 24.6915) * CHOOSE(CONTROL!$C$21, $C$9, 100%, $E$9)</f>
        <v>24.691500000000001</v>
      </c>
      <c r="T634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634" s="58">
        <f>(1000*CHOOSE(CONTROL!$C$42, 695, 695)*CHOOSE(CONTROL!$C$42, 0.5599, 0.5599)*CHOOSE(CONTROL!$C$42, 31, 31))/1000000</f>
        <v>12.063045499999998</v>
      </c>
      <c r="V634" s="58">
        <f>(1000*CHOOSE(CONTROL!$C$42, 500, 500)*CHOOSE(CONTROL!$C$42, 0.275, 0.275)*CHOOSE(CONTROL!$C$42, 31, 31))/1000000</f>
        <v>4.2625000000000002</v>
      </c>
      <c r="W634" s="58">
        <f>(1000*CHOOSE(CONTROL!$C$42, 0.1146, 0.1146)*CHOOSE(CONTROL!$C$42, 121.5, 121.5)*CHOOSE(CONTROL!$C$42, 31, 31))/1000000</f>
        <v>0.43164089999999994</v>
      </c>
      <c r="X634" s="58">
        <f>(31*0.1790888*245000/1000000)+(31*0.2374*100000/1000000)</f>
        <v>2.0961194359999999</v>
      </c>
      <c r="Y634" s="58"/>
      <c r="Z634" s="10"/>
      <c r="AA634" s="57"/>
      <c r="AB634" s="51">
        <f>(B634*131.881+C634*277.167+D634*79.08+E634*125.872+F634*40+G634*185+H634*0+I634*100+J634*300)/(131.881+277.167+79.08+125.872+0+40+185+100+300)</f>
        <v>25.4516946385795</v>
      </c>
      <c r="AC634" s="27">
        <f>(M634*'RAP TEMPLATE-GAS AVAILABILITY'!O633+N634*'RAP TEMPLATE-GAS AVAILABILITY'!P633+O634*'RAP TEMPLATE-GAS AVAILABILITY'!Q633+P634*'RAP TEMPLATE-GAS AVAILABILITY'!R633)/('RAP TEMPLATE-GAS AVAILABILITY'!O633+'RAP TEMPLATE-GAS AVAILABILITY'!P633+'RAP TEMPLATE-GAS AVAILABILITY'!Q633+'RAP TEMPLATE-GAS AVAILABILITY'!R633)</f>
        <v>25.266951079136689</v>
      </c>
    </row>
    <row r="635" spans="1:29" ht="15.75" x14ac:dyDescent="0.25">
      <c r="A635" s="13">
        <v>60236</v>
      </c>
      <c r="B635" s="10">
        <f>CHOOSE(CONTROL!$C$42, 26.0984, 26.0984) * CHOOSE(CONTROL!$C$21, $C$9, 100%, $E$9)</f>
        <v>26.098400000000002</v>
      </c>
      <c r="C635" s="10">
        <f>CHOOSE(CONTROL!$C$42, 26.1033, 26.1033) * CHOOSE(CONTROL!$C$21, $C$9, 100%, $E$9)</f>
        <v>26.103300000000001</v>
      </c>
      <c r="D635" s="10">
        <f>CHOOSE(CONTROL!$C$42, 26.1329, 26.1329) * CHOOSE(CONTROL!$C$21, $C$9, 100%, $E$9)</f>
        <v>26.132899999999999</v>
      </c>
      <c r="E635" s="10">
        <f>CHOOSE(CONTROL!$C$42, 26.1667, 26.1667) * CHOOSE(CONTROL!$C$21, $C$9, 100%, $E$9)</f>
        <v>26.166699999999999</v>
      </c>
      <c r="F635" s="10">
        <f>CHOOSE(CONTROL!$C$42, 26.0652, 26.0652)*CHOOSE(CONTROL!$C$21, $C$9, 100%, $E$9)</f>
        <v>26.065200000000001</v>
      </c>
      <c r="G635" s="10">
        <f>CHOOSE(CONTROL!$C$42, 26.0823, 26.0823)*CHOOSE(CONTROL!$C$21, $C$9, 100%, $E$9)</f>
        <v>26.0823</v>
      </c>
      <c r="H635" s="10">
        <f>CHOOSE(CONTROL!$C$42, 26.1559, 26.1559) * CHOOSE(CONTROL!$C$21, $C$9, 100%, $E$9)</f>
        <v>26.155899999999999</v>
      </c>
      <c r="I635" s="10">
        <f>CHOOSE(CONTROL!$C$42, 26.062, 26.062)* CHOOSE(CONTROL!$C$21, $C$9, 100%, $E$9)</f>
        <v>26.062000000000001</v>
      </c>
      <c r="J635" s="10">
        <f>CHOOSE(CONTROL!$C$42, 26.0582, 26.0582)* CHOOSE(CONTROL!$C$21, $C$9, 100%, $E$9)</f>
        <v>26.058199999999999</v>
      </c>
      <c r="K635" s="54">
        <f>CHOOSE(CONTROL!$C$42, 26.0581, 26.0581) * CHOOSE(CONTROL!$C$21, $C$9, 100%, $E$9)</f>
        <v>26.0581</v>
      </c>
      <c r="L635" s="10">
        <f>CHOOSE(CONTROL!$C$42, 26.7429, 26.7429) * CHOOSE(CONTROL!$C$21, $C$9, 100%, $E$9)</f>
        <v>26.742899999999999</v>
      </c>
      <c r="M635" s="10">
        <f>CHOOSE(CONTROL!$C$42, 25.809, 25.809) * CHOOSE(CONTROL!$C$21, $C$9, 100%, $E$9)</f>
        <v>25.809000000000001</v>
      </c>
      <c r="N635" s="10">
        <f>CHOOSE(CONTROL!$C$42, 25.826, 25.826) * CHOOSE(CONTROL!$C$21, $C$9, 100%, $E$9)</f>
        <v>25.826000000000001</v>
      </c>
      <c r="O635" s="10">
        <f>CHOOSE(CONTROL!$C$42, 25.9058, 25.9058) * CHOOSE(CONTROL!$C$21, $C$9, 100%, $E$9)</f>
        <v>25.905799999999999</v>
      </c>
      <c r="P635" s="10">
        <f>CHOOSE(CONTROL!$C$42, 25.8128, 25.8128) * CHOOSE(CONTROL!$C$21, $C$9, 100%, $E$9)</f>
        <v>25.812799999999999</v>
      </c>
      <c r="Q635" s="10">
        <f>CHOOSE(CONTROL!$C$42, 26.5011, 26.5011) * CHOOSE(CONTROL!$C$21, $C$9, 100%, $E$9)</f>
        <v>26.501100000000001</v>
      </c>
      <c r="R635" s="10">
        <f>CHOOSE(CONTROL!$C$42, 27.1543, 27.1543) * CHOOSE(CONTROL!$C$21, $C$9, 100%, $E$9)</f>
        <v>27.154299999999999</v>
      </c>
      <c r="S635" s="10">
        <f>CHOOSE(CONTROL!$C$42, 25.342, 25.342) * CHOOSE(CONTROL!$C$21, $C$9, 100%, $E$9)</f>
        <v>25.341999999999999</v>
      </c>
      <c r="T635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635" s="58">
        <f>(1000*CHOOSE(CONTROL!$C$42, 695, 695)*CHOOSE(CONTROL!$C$42, 0.5599, 0.5599)*CHOOSE(CONTROL!$C$42, 30, 30))/1000000</f>
        <v>11.673914999999997</v>
      </c>
      <c r="V635" s="58">
        <f>(1000*CHOOSE(CONTROL!$C$42, 500, 500)*CHOOSE(CONTROL!$C$42, 0.275, 0.275)*CHOOSE(CONTROL!$C$42, 30, 30))/1000000</f>
        <v>4.125</v>
      </c>
      <c r="W635" s="58">
        <f>(1000*CHOOSE(CONTROL!$C$42, 0.1146, 0.1146)*CHOOSE(CONTROL!$C$42, 121.5, 121.5)*CHOOSE(CONTROL!$C$42, 30, 30))/1000000</f>
        <v>0.417717</v>
      </c>
      <c r="X635" s="58">
        <f>(30*0.1790888*100000/1000000)+(30*0.2374*100000/1000000)</f>
        <v>1.2494664</v>
      </c>
      <c r="Y635" s="58"/>
      <c r="Z635" s="10"/>
      <c r="AA635" s="57"/>
      <c r="AB635" s="51">
        <f>(B635*122.58+C635*297.941+D635*89.177+E635*40.302+F635*40+G635*160+H635*0+I635*100+J635*300)/(122.58+297.941+89.177+40.302+0+40+160+100+300)</f>
        <v>26.087691429565215</v>
      </c>
      <c r="AC635" s="27">
        <f>(M635*'RAP TEMPLATE-GAS AVAILABILITY'!O634+N635*'RAP TEMPLATE-GAS AVAILABILITY'!P634+O635*'RAP TEMPLATE-GAS AVAILABILITY'!Q634+P635*'RAP TEMPLATE-GAS AVAILABILITY'!R634)/('RAP TEMPLATE-GAS AVAILABILITY'!O634+'RAP TEMPLATE-GAS AVAILABILITY'!P634+'RAP TEMPLATE-GAS AVAILABILITY'!Q634+'RAP TEMPLATE-GAS AVAILABILITY'!R634)</f>
        <v>25.854398561151076</v>
      </c>
    </row>
    <row r="636" spans="1:29" ht="15.75" x14ac:dyDescent="0.25">
      <c r="A636" s="13">
        <v>60267</v>
      </c>
      <c r="B636" s="10">
        <f>CHOOSE(CONTROL!$C$42, 27.8775, 27.8775) * CHOOSE(CONTROL!$C$21, $C$9, 100%, $E$9)</f>
        <v>27.877500000000001</v>
      </c>
      <c r="C636" s="10">
        <f>CHOOSE(CONTROL!$C$42, 27.8825, 27.8825) * CHOOSE(CONTROL!$C$21, $C$9, 100%, $E$9)</f>
        <v>27.8825</v>
      </c>
      <c r="D636" s="10">
        <f>CHOOSE(CONTROL!$C$42, 27.9121, 27.9121) * CHOOSE(CONTROL!$C$21, $C$9, 100%, $E$9)</f>
        <v>27.912099999999999</v>
      </c>
      <c r="E636" s="10">
        <f>CHOOSE(CONTROL!$C$42, 27.9459, 27.9459) * CHOOSE(CONTROL!$C$21, $C$9, 100%, $E$9)</f>
        <v>27.945900000000002</v>
      </c>
      <c r="F636" s="10">
        <f>CHOOSE(CONTROL!$C$42, 27.8457, 27.8457)*CHOOSE(CONTROL!$C$21, $C$9, 100%, $E$9)</f>
        <v>27.845700000000001</v>
      </c>
      <c r="G636" s="10">
        <f>CHOOSE(CONTROL!$C$42, 27.8632, 27.8632)*CHOOSE(CONTROL!$C$21, $C$9, 100%, $E$9)</f>
        <v>27.863199999999999</v>
      </c>
      <c r="H636" s="10">
        <f>CHOOSE(CONTROL!$C$42, 27.9351, 27.9351) * CHOOSE(CONTROL!$C$21, $C$9, 100%, $E$9)</f>
        <v>27.935099999999998</v>
      </c>
      <c r="I636" s="10">
        <f>CHOOSE(CONTROL!$C$42, 27.8411, 27.8411)* CHOOSE(CONTROL!$C$21, $C$9, 100%, $E$9)</f>
        <v>27.841100000000001</v>
      </c>
      <c r="J636" s="10">
        <f>CHOOSE(CONTROL!$C$42, 27.8387, 27.8387)* CHOOSE(CONTROL!$C$21, $C$9, 100%, $E$9)</f>
        <v>27.838699999999999</v>
      </c>
      <c r="K636" s="54">
        <f>CHOOSE(CONTROL!$C$42, 27.8372, 27.8372) * CHOOSE(CONTROL!$C$21, $C$9, 100%, $E$9)</f>
        <v>27.837199999999999</v>
      </c>
      <c r="L636" s="10">
        <f>CHOOSE(CONTROL!$C$42, 28.5221, 28.5221) * CHOOSE(CONTROL!$C$21, $C$9, 100%, $E$9)</f>
        <v>28.522099999999998</v>
      </c>
      <c r="M636" s="10">
        <f>CHOOSE(CONTROL!$C$42, 27.5716, 27.5716) * CHOOSE(CONTROL!$C$21, $C$9, 100%, $E$9)</f>
        <v>27.5716</v>
      </c>
      <c r="N636" s="10">
        <f>CHOOSE(CONTROL!$C$42, 27.589, 27.589) * CHOOSE(CONTROL!$C$21, $C$9, 100%, $E$9)</f>
        <v>27.588999999999999</v>
      </c>
      <c r="O636" s="10">
        <f>CHOOSE(CONTROL!$C$42, 27.667, 27.667) * CHOOSE(CONTROL!$C$21, $C$9, 100%, $E$9)</f>
        <v>27.667000000000002</v>
      </c>
      <c r="P636" s="10">
        <f>CHOOSE(CONTROL!$C$42, 27.574, 27.574) * CHOOSE(CONTROL!$C$21, $C$9, 100%, $E$9)</f>
        <v>27.574000000000002</v>
      </c>
      <c r="Q636" s="10">
        <f>CHOOSE(CONTROL!$C$42, 28.2623, 28.2623) * CHOOSE(CONTROL!$C$21, $C$9, 100%, $E$9)</f>
        <v>28.2623</v>
      </c>
      <c r="R636" s="10">
        <f>CHOOSE(CONTROL!$C$42, 28.9199, 28.9199) * CHOOSE(CONTROL!$C$21, $C$9, 100%, $E$9)</f>
        <v>28.919899999999998</v>
      </c>
      <c r="S636" s="10">
        <f>CHOOSE(CONTROL!$C$42, 27.0697, 27.0697) * CHOOSE(CONTROL!$C$21, $C$9, 100%, $E$9)</f>
        <v>27.069700000000001</v>
      </c>
      <c r="T636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636" s="58">
        <f>(1000*CHOOSE(CONTROL!$C$42, 695, 695)*CHOOSE(CONTROL!$C$42, 0.5599, 0.5599)*CHOOSE(CONTROL!$C$42, 31, 31))/1000000</f>
        <v>12.063045499999998</v>
      </c>
      <c r="V636" s="58">
        <f>(1000*CHOOSE(CONTROL!$C$42, 500, 500)*CHOOSE(CONTROL!$C$42, 0.275, 0.275)*CHOOSE(CONTROL!$C$42, 31, 31))/1000000</f>
        <v>4.2625000000000002</v>
      </c>
      <c r="W636" s="58">
        <f>(1000*CHOOSE(CONTROL!$C$42, 0.1146, 0.1146)*CHOOSE(CONTROL!$C$42, 121.5, 121.5)*CHOOSE(CONTROL!$C$42, 31, 31))/1000000</f>
        <v>0.43164089999999994</v>
      </c>
      <c r="X636" s="58">
        <f>(31*0.1790888*100000/1000000)+(31*0.2374*100000/1000000)</f>
        <v>1.2911152800000001</v>
      </c>
      <c r="Y636" s="58"/>
      <c r="Z636" s="10"/>
      <c r="AA636" s="57"/>
      <c r="AB636" s="51">
        <f>(B636*122.58+C636*297.941+D636*89.177+E636*40.302+F636*40+G636*160+H636*0+I636*100+J636*300)/(122.58+297.941+89.177+40.302+0+40+160+100+300)</f>
        <v>27.867492944347827</v>
      </c>
      <c r="AC636" s="27">
        <f>(M636*'RAP TEMPLATE-GAS AVAILABILITY'!O635+N636*'RAP TEMPLATE-GAS AVAILABILITY'!P635+O636*'RAP TEMPLATE-GAS AVAILABILITY'!Q635+P636*'RAP TEMPLATE-GAS AVAILABILITY'!R635)/('RAP TEMPLATE-GAS AVAILABILITY'!O635+'RAP TEMPLATE-GAS AVAILABILITY'!P635+'RAP TEMPLATE-GAS AVAILABILITY'!Q635+'RAP TEMPLATE-GAS AVAILABILITY'!R635)</f>
        <v>27.616185611510797</v>
      </c>
    </row>
    <row r="637" spans="1:29" ht="15.75" x14ac:dyDescent="0.25">
      <c r="A637" s="13">
        <v>60298</v>
      </c>
      <c r="B637" s="10">
        <f>CHOOSE(CONTROL!$C$42, 30.1615, 30.1615) * CHOOSE(CONTROL!$C$21, $C$9, 100%, $E$9)</f>
        <v>30.1615</v>
      </c>
      <c r="C637" s="10">
        <f>CHOOSE(CONTROL!$C$42, 30.1664, 30.1664) * CHOOSE(CONTROL!$C$21, $C$9, 100%, $E$9)</f>
        <v>30.166399999999999</v>
      </c>
      <c r="D637" s="10">
        <f>CHOOSE(CONTROL!$C$42, 30.2166, 30.2166) * CHOOSE(CONTROL!$C$21, $C$9, 100%, $E$9)</f>
        <v>30.2166</v>
      </c>
      <c r="E637" s="10">
        <f>CHOOSE(CONTROL!$C$42, 30.2504, 30.2504) * CHOOSE(CONTROL!$C$21, $C$9, 100%, $E$9)</f>
        <v>30.250399999999999</v>
      </c>
      <c r="F637" s="10">
        <f>CHOOSE(CONTROL!$C$42, 30.1269, 30.1269)*CHOOSE(CONTROL!$C$21, $C$9, 100%, $E$9)</f>
        <v>30.126899999999999</v>
      </c>
      <c r="G637" s="10">
        <f>CHOOSE(CONTROL!$C$42, 30.1444, 30.1444)*CHOOSE(CONTROL!$C$21, $C$9, 100%, $E$9)</f>
        <v>30.144400000000001</v>
      </c>
      <c r="H637" s="10">
        <f>CHOOSE(CONTROL!$C$42, 30.2396, 30.2396) * CHOOSE(CONTROL!$C$21, $C$9, 100%, $E$9)</f>
        <v>30.239599999999999</v>
      </c>
      <c r="I637" s="10">
        <f>CHOOSE(CONTROL!$C$42, 30.1354, 30.1354)* CHOOSE(CONTROL!$C$21, $C$9, 100%, $E$9)</f>
        <v>30.135400000000001</v>
      </c>
      <c r="J637" s="10">
        <f>CHOOSE(CONTROL!$C$42, 30.1199, 30.1199)* CHOOSE(CONTROL!$C$21, $C$9, 100%, $E$9)</f>
        <v>30.119900000000001</v>
      </c>
      <c r="K637" s="54">
        <f>CHOOSE(CONTROL!$C$42, 30.1315, 30.1315) * CHOOSE(CONTROL!$C$21, $C$9, 100%, $E$9)</f>
        <v>30.131499999999999</v>
      </c>
      <c r="L637" s="10">
        <f>CHOOSE(CONTROL!$C$42, 30.8266, 30.8266) * CHOOSE(CONTROL!$C$21, $C$9, 100%, $E$9)</f>
        <v>30.826599999999999</v>
      </c>
      <c r="M637" s="10">
        <f>CHOOSE(CONTROL!$C$42, 29.8297, 29.8297) * CHOOSE(CONTROL!$C$21, $C$9, 100%, $E$9)</f>
        <v>29.829699999999999</v>
      </c>
      <c r="N637" s="10">
        <f>CHOOSE(CONTROL!$C$42, 29.8471, 29.8471) * CHOOSE(CONTROL!$C$21, $C$9, 100%, $E$9)</f>
        <v>29.847100000000001</v>
      </c>
      <c r="O637" s="10">
        <f>CHOOSE(CONTROL!$C$42, 29.9483, 29.9483) * CHOOSE(CONTROL!$C$21, $C$9, 100%, $E$9)</f>
        <v>29.9483</v>
      </c>
      <c r="P637" s="10">
        <f>CHOOSE(CONTROL!$C$42, 29.8451, 29.8451) * CHOOSE(CONTROL!$C$21, $C$9, 100%, $E$9)</f>
        <v>29.845099999999999</v>
      </c>
      <c r="Q637" s="10">
        <f>CHOOSE(CONTROL!$C$42, 30.5436, 30.5436) * CHOOSE(CONTROL!$C$21, $C$9, 100%, $E$9)</f>
        <v>30.543600000000001</v>
      </c>
      <c r="R637" s="10">
        <f>CHOOSE(CONTROL!$C$42, 31.2069, 31.2069) * CHOOSE(CONTROL!$C$21, $C$9, 100%, $E$9)</f>
        <v>31.206900000000001</v>
      </c>
      <c r="S637" s="10">
        <f>CHOOSE(CONTROL!$C$42, 29.2877, 29.2877) * CHOOSE(CONTROL!$C$21, $C$9, 100%, $E$9)</f>
        <v>29.287700000000001</v>
      </c>
      <c r="T637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637" s="58">
        <f>(1000*CHOOSE(CONTROL!$C$42, 695, 695)*CHOOSE(CONTROL!$C$42, 0.5599, 0.5599)*CHOOSE(CONTROL!$C$42, 31, 31))/1000000</f>
        <v>12.063045499999998</v>
      </c>
      <c r="V637" s="58">
        <f>(1000*CHOOSE(CONTROL!$C$42, 500, 500)*CHOOSE(CONTROL!$C$42, 0.275, 0.275)*CHOOSE(CONTROL!$C$42, 31, 31))/1000000</f>
        <v>4.2625000000000002</v>
      </c>
      <c r="W637" s="58">
        <f>(1000*CHOOSE(CONTROL!$C$42, 0.1146, 0.1146)*CHOOSE(CONTROL!$C$42, 121.5, 121.5)*CHOOSE(CONTROL!$C$42, 31, 31))/1000000</f>
        <v>0.43164089999999994</v>
      </c>
      <c r="X637" s="58">
        <f>(31*0.1790888*100000/1000000)+(31*0.2374*100000/1000000)</f>
        <v>1.2911152800000001</v>
      </c>
      <c r="Y637" s="58"/>
      <c r="Z637" s="10"/>
      <c r="AA637" s="57"/>
      <c r="AB637" s="51">
        <f>(B637*122.58+C637*297.941+D637*89.177+E637*40.302+F637*40+G637*160+H637*0+I637*100+J637*300)/(122.58+297.941+89.177+40.302+0+40+160+100+300)</f>
        <v>30.153453401217394</v>
      </c>
      <c r="AC637" s="27">
        <f>(M637*'RAP TEMPLATE-GAS AVAILABILITY'!O636+N637*'RAP TEMPLATE-GAS AVAILABILITY'!P636+O637*'RAP TEMPLATE-GAS AVAILABILITY'!Q636+P637*'RAP TEMPLATE-GAS AVAILABILITY'!R636)/('RAP TEMPLATE-GAS AVAILABILITY'!O636+'RAP TEMPLATE-GAS AVAILABILITY'!P636+'RAP TEMPLATE-GAS AVAILABILITY'!Q636+'RAP TEMPLATE-GAS AVAILABILITY'!R636)</f>
        <v>29.886671223021576</v>
      </c>
    </row>
    <row r="638" spans="1:29" ht="15.75" x14ac:dyDescent="0.25">
      <c r="A638" s="13">
        <v>60326</v>
      </c>
      <c r="B638" s="10">
        <f>CHOOSE(CONTROL!$C$42, 30.6984, 30.6984) * CHOOSE(CONTROL!$C$21, $C$9, 100%, $E$9)</f>
        <v>30.698399999999999</v>
      </c>
      <c r="C638" s="10">
        <f>CHOOSE(CONTROL!$C$42, 30.7033, 30.7033) * CHOOSE(CONTROL!$C$21, $C$9, 100%, $E$9)</f>
        <v>30.703299999999999</v>
      </c>
      <c r="D638" s="10">
        <f>CHOOSE(CONTROL!$C$42, 30.7638, 30.7638) * CHOOSE(CONTROL!$C$21, $C$9, 100%, $E$9)</f>
        <v>30.7638</v>
      </c>
      <c r="E638" s="10">
        <f>CHOOSE(CONTROL!$C$42, 30.7976, 30.7976) * CHOOSE(CONTROL!$C$21, $C$9, 100%, $E$9)</f>
        <v>30.797599999999999</v>
      </c>
      <c r="F638" s="10">
        <f>CHOOSE(CONTROL!$C$42, 30.6916, 30.6916)*CHOOSE(CONTROL!$C$21, $C$9, 100%, $E$9)</f>
        <v>30.691600000000001</v>
      </c>
      <c r="G638" s="10">
        <f>CHOOSE(CONTROL!$C$42, 30.7089, 30.7089)*CHOOSE(CONTROL!$C$21, $C$9, 100%, $E$9)</f>
        <v>30.7089</v>
      </c>
      <c r="H638" s="10">
        <f>CHOOSE(CONTROL!$C$42, 30.7868, 30.7868) * CHOOSE(CONTROL!$C$21, $C$9, 100%, $E$9)</f>
        <v>30.786799999999999</v>
      </c>
      <c r="I638" s="10">
        <f>CHOOSE(CONTROL!$C$42, 30.6851, 30.6851)* CHOOSE(CONTROL!$C$21, $C$9, 100%, $E$9)</f>
        <v>30.685099999999998</v>
      </c>
      <c r="J638" s="10">
        <f>CHOOSE(CONTROL!$C$42, 30.6846, 30.6846)* CHOOSE(CONTROL!$C$21, $C$9, 100%, $E$9)</f>
        <v>30.6846</v>
      </c>
      <c r="K638" s="54">
        <f>CHOOSE(CONTROL!$C$42, 30.6812, 30.6812) * CHOOSE(CONTROL!$C$21, $C$9, 100%, $E$9)</f>
        <v>30.6812</v>
      </c>
      <c r="L638" s="10">
        <f>CHOOSE(CONTROL!$C$42, 31.3738, 31.3738) * CHOOSE(CONTROL!$C$21, $C$9, 100%, $E$9)</f>
        <v>31.373799999999999</v>
      </c>
      <c r="M638" s="10">
        <f>CHOOSE(CONTROL!$C$42, 30.3888, 30.3888) * CHOOSE(CONTROL!$C$21, $C$9, 100%, $E$9)</f>
        <v>30.3888</v>
      </c>
      <c r="N638" s="10">
        <f>CHOOSE(CONTROL!$C$42, 30.4059, 30.4059) * CHOOSE(CONTROL!$C$21, $C$9, 100%, $E$9)</f>
        <v>30.405899999999999</v>
      </c>
      <c r="O638" s="10">
        <f>CHOOSE(CONTROL!$C$42, 30.4899, 30.4899) * CHOOSE(CONTROL!$C$21, $C$9, 100%, $E$9)</f>
        <v>30.489899999999999</v>
      </c>
      <c r="P638" s="10">
        <f>CHOOSE(CONTROL!$C$42, 30.3893, 30.3893) * CHOOSE(CONTROL!$C$21, $C$9, 100%, $E$9)</f>
        <v>30.389299999999999</v>
      </c>
      <c r="Q638" s="10">
        <f>CHOOSE(CONTROL!$C$42, 31.0852, 31.0852) * CHOOSE(CONTROL!$C$21, $C$9, 100%, $E$9)</f>
        <v>31.0852</v>
      </c>
      <c r="R638" s="10">
        <f>CHOOSE(CONTROL!$C$42, 31.7499, 31.7499) * CHOOSE(CONTROL!$C$21, $C$9, 100%, $E$9)</f>
        <v>31.7499</v>
      </c>
      <c r="S638" s="10">
        <f>CHOOSE(CONTROL!$C$42, 29.809, 29.809) * CHOOSE(CONTROL!$C$21, $C$9, 100%, $E$9)</f>
        <v>29.809000000000001</v>
      </c>
      <c r="T638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638" s="58">
        <f>(1000*CHOOSE(CONTROL!$C$42, 695, 695)*CHOOSE(CONTROL!$C$42, 0.5599, 0.5599)*CHOOSE(CONTROL!$C$42, 28, 28))/1000000</f>
        <v>10.895653999999999</v>
      </c>
      <c r="V638" s="58">
        <f>(1000*CHOOSE(CONTROL!$C$42, 500, 500)*CHOOSE(CONTROL!$C$42, 0.275, 0.275)*CHOOSE(CONTROL!$C$42, 28, 28))/1000000</f>
        <v>3.85</v>
      </c>
      <c r="W638" s="58">
        <f>(1000*CHOOSE(CONTROL!$C$42, 0.1146, 0.1146)*CHOOSE(CONTROL!$C$42, 121.5, 121.5)*CHOOSE(CONTROL!$C$42, 28, 28))/1000000</f>
        <v>0.38986920000000003</v>
      </c>
      <c r="X638" s="58">
        <f>(28*0.1790888*100000/1000000)+(28*0.2374*100000/1000000)</f>
        <v>1.16616864</v>
      </c>
      <c r="Y638" s="58"/>
      <c r="Z638" s="10"/>
      <c r="AA638" s="57"/>
      <c r="AB638" s="51">
        <f>(B638*122.58+C638*297.941+D638*89.177+E638*40.302+F638*40+G638*160+H638*0+I638*100+J638*300)/(122.58+297.941+89.177+40.302+0+40+160+100+300)</f>
        <v>30.704685256608691</v>
      </c>
      <c r="AC638" s="27">
        <f>(M638*'RAP TEMPLATE-GAS AVAILABILITY'!O637+N638*'RAP TEMPLATE-GAS AVAILABILITY'!P637+O638*'RAP TEMPLATE-GAS AVAILABILITY'!Q637+P638*'RAP TEMPLATE-GAS AVAILABILITY'!R637)/('RAP TEMPLATE-GAS AVAILABILITY'!O637+'RAP TEMPLATE-GAS AVAILABILITY'!P637+'RAP TEMPLATE-GAS AVAILABILITY'!Q637+'RAP TEMPLATE-GAS AVAILABILITY'!R637)</f>
        <v>30.435678417266182</v>
      </c>
    </row>
    <row r="639" spans="1:29" ht="15.75" x14ac:dyDescent="0.25">
      <c r="A639" s="13">
        <v>60357</v>
      </c>
      <c r="B639" s="10">
        <f>CHOOSE(CONTROL!$C$42, 29.8269, 29.8269) * CHOOSE(CONTROL!$C$21, $C$9, 100%, $E$9)</f>
        <v>29.826899999999998</v>
      </c>
      <c r="C639" s="10">
        <f>CHOOSE(CONTROL!$C$42, 29.8318, 29.8318) * CHOOSE(CONTROL!$C$21, $C$9, 100%, $E$9)</f>
        <v>29.831800000000001</v>
      </c>
      <c r="D639" s="10">
        <f>CHOOSE(CONTROL!$C$42, 29.8923, 29.8923) * CHOOSE(CONTROL!$C$21, $C$9, 100%, $E$9)</f>
        <v>29.892299999999999</v>
      </c>
      <c r="E639" s="10">
        <f>CHOOSE(CONTROL!$C$42, 29.9261, 29.9261) * CHOOSE(CONTROL!$C$21, $C$9, 100%, $E$9)</f>
        <v>29.926100000000002</v>
      </c>
      <c r="F639" s="10">
        <f>CHOOSE(CONTROL!$C$42, 29.8146, 29.8146)*CHOOSE(CONTROL!$C$21, $C$9, 100%, $E$9)</f>
        <v>29.814599999999999</v>
      </c>
      <c r="G639" s="10">
        <f>CHOOSE(CONTROL!$C$42, 29.8318, 29.8318)*CHOOSE(CONTROL!$C$21, $C$9, 100%, $E$9)</f>
        <v>29.831800000000001</v>
      </c>
      <c r="H639" s="10">
        <f>CHOOSE(CONTROL!$C$42, 29.9153, 29.9153) * CHOOSE(CONTROL!$C$21, $C$9, 100%, $E$9)</f>
        <v>29.915299999999998</v>
      </c>
      <c r="I639" s="10">
        <f>CHOOSE(CONTROL!$C$42, 29.8008, 29.8008)* CHOOSE(CONTROL!$C$21, $C$9, 100%, $E$9)</f>
        <v>29.800799999999999</v>
      </c>
      <c r="J639" s="10">
        <f>CHOOSE(CONTROL!$C$42, 29.8076, 29.8076)* CHOOSE(CONTROL!$C$21, $C$9, 100%, $E$9)</f>
        <v>29.807600000000001</v>
      </c>
      <c r="K639" s="54">
        <f>CHOOSE(CONTROL!$C$42, 29.7969, 29.7969) * CHOOSE(CONTROL!$C$21, $C$9, 100%, $E$9)</f>
        <v>29.796900000000001</v>
      </c>
      <c r="L639" s="10">
        <f>CHOOSE(CONTROL!$C$42, 30.5023, 30.5023) * CHOOSE(CONTROL!$C$21, $C$9, 100%, $E$9)</f>
        <v>30.502300000000002</v>
      </c>
      <c r="M639" s="10">
        <f>CHOOSE(CONTROL!$C$42, 29.5206, 29.5206) * CHOOSE(CONTROL!$C$21, $C$9, 100%, $E$9)</f>
        <v>29.520600000000002</v>
      </c>
      <c r="N639" s="10">
        <f>CHOOSE(CONTROL!$C$42, 29.5377, 29.5377) * CHOOSE(CONTROL!$C$21, $C$9, 100%, $E$9)</f>
        <v>29.537700000000001</v>
      </c>
      <c r="O639" s="10">
        <f>CHOOSE(CONTROL!$C$42, 29.6273, 29.6273) * CHOOSE(CONTROL!$C$21, $C$9, 100%, $E$9)</f>
        <v>29.627300000000002</v>
      </c>
      <c r="P639" s="10">
        <f>CHOOSE(CONTROL!$C$42, 29.5139, 29.5139) * CHOOSE(CONTROL!$C$21, $C$9, 100%, $E$9)</f>
        <v>29.5139</v>
      </c>
      <c r="Q639" s="10">
        <f>CHOOSE(CONTROL!$C$42, 30.2226, 30.2226) * CHOOSE(CONTROL!$C$21, $C$9, 100%, $E$9)</f>
        <v>30.2226</v>
      </c>
      <c r="R639" s="10">
        <f>CHOOSE(CONTROL!$C$42, 30.8851, 30.8851) * CHOOSE(CONTROL!$C$21, $C$9, 100%, $E$9)</f>
        <v>30.885100000000001</v>
      </c>
      <c r="S639" s="10">
        <f>CHOOSE(CONTROL!$C$42, 28.9628, 28.9628) * CHOOSE(CONTROL!$C$21, $C$9, 100%, $E$9)</f>
        <v>28.962800000000001</v>
      </c>
      <c r="T639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639" s="58">
        <f>(1000*CHOOSE(CONTROL!$C$42, 695, 695)*CHOOSE(CONTROL!$C$42, 0.5599, 0.5599)*CHOOSE(CONTROL!$C$42, 31, 31))/1000000</f>
        <v>12.063045499999998</v>
      </c>
      <c r="V639" s="58">
        <f>(1000*CHOOSE(CONTROL!$C$42, 500, 500)*CHOOSE(CONTROL!$C$42, 0.275, 0.275)*CHOOSE(CONTROL!$C$42, 31, 31))/1000000</f>
        <v>4.2625000000000002</v>
      </c>
      <c r="W639" s="58">
        <f>(1000*CHOOSE(CONTROL!$C$42, 0.1146, 0.1146)*CHOOSE(CONTROL!$C$42, 121.5, 121.5)*CHOOSE(CONTROL!$C$42, 31, 31))/1000000</f>
        <v>0.43164089999999994</v>
      </c>
      <c r="X639" s="58">
        <f>(31*0.1790888*100000/1000000)+(31*0.2374*100000/1000000)</f>
        <v>1.2911152800000001</v>
      </c>
      <c r="Y639" s="58"/>
      <c r="Z639" s="10"/>
      <c r="AA639" s="57"/>
      <c r="AB639" s="51">
        <f>(B639*122.58+C639*297.941+D639*89.177+E639*40.302+F639*40+G639*160+H639*0+I639*100+J639*300)/(122.58+297.941+89.177+40.302+0+40+160+100+300)</f>
        <v>29.829666995739132</v>
      </c>
      <c r="AC639" s="27">
        <f>(M639*'RAP TEMPLATE-GAS AVAILABILITY'!O638+N639*'RAP TEMPLATE-GAS AVAILABILITY'!P638+O639*'RAP TEMPLATE-GAS AVAILABILITY'!Q638+P639*'RAP TEMPLATE-GAS AVAILABILITY'!R638)/('RAP TEMPLATE-GAS AVAILABILITY'!O638+'RAP TEMPLATE-GAS AVAILABILITY'!P638+'RAP TEMPLATE-GAS AVAILABILITY'!Q638+'RAP TEMPLATE-GAS AVAILABILITY'!R638)</f>
        <v>29.56898057553957</v>
      </c>
    </row>
    <row r="640" spans="1:29" ht="15.75" x14ac:dyDescent="0.25">
      <c r="A640" s="13">
        <v>60387</v>
      </c>
      <c r="B640" s="10">
        <f>CHOOSE(CONTROL!$C$42, 29.7388, 29.7388) * CHOOSE(CONTROL!$C$21, $C$9, 100%, $E$9)</f>
        <v>29.738800000000001</v>
      </c>
      <c r="C640" s="10">
        <f>CHOOSE(CONTROL!$C$42, 29.7431, 29.7431) * CHOOSE(CONTROL!$C$21, $C$9, 100%, $E$9)</f>
        <v>29.743099999999998</v>
      </c>
      <c r="D640" s="10">
        <f>CHOOSE(CONTROL!$C$42, 29.9387, 29.9387) * CHOOSE(CONTROL!$C$21, $C$9, 100%, $E$9)</f>
        <v>29.938700000000001</v>
      </c>
      <c r="E640" s="10">
        <f>CHOOSE(CONTROL!$C$42, 29.9705, 29.9705) * CHOOSE(CONTROL!$C$21, $C$9, 100%, $E$9)</f>
        <v>29.970500000000001</v>
      </c>
      <c r="F640" s="10">
        <f>CHOOSE(CONTROL!$C$42, 29.7066, 29.7066)*CHOOSE(CONTROL!$C$21, $C$9, 100%, $E$9)</f>
        <v>29.706600000000002</v>
      </c>
      <c r="G640" s="10">
        <f>CHOOSE(CONTROL!$C$42, 29.7233, 29.7233)*CHOOSE(CONTROL!$C$21, $C$9, 100%, $E$9)</f>
        <v>29.723299999999998</v>
      </c>
      <c r="H640" s="10">
        <f>CHOOSE(CONTROL!$C$42, 29.9603, 29.9603) * CHOOSE(CONTROL!$C$21, $C$9, 100%, $E$9)</f>
        <v>29.9603</v>
      </c>
      <c r="I640" s="10">
        <f>CHOOSE(CONTROL!$C$42, 29.7067, 29.7067)* CHOOSE(CONTROL!$C$21, $C$9, 100%, $E$9)</f>
        <v>29.706700000000001</v>
      </c>
      <c r="J640" s="10">
        <f>CHOOSE(CONTROL!$C$42, 29.6996, 29.6996)* CHOOSE(CONTROL!$C$21, $C$9, 100%, $E$9)</f>
        <v>29.6996</v>
      </c>
      <c r="K640" s="54">
        <f>CHOOSE(CONTROL!$C$42, 29.7028, 29.7028) * CHOOSE(CONTROL!$C$21, $C$9, 100%, $E$9)</f>
        <v>29.7028</v>
      </c>
      <c r="L640" s="10">
        <f>CHOOSE(CONTROL!$C$42, 30.5473, 30.5473) * CHOOSE(CONTROL!$C$21, $C$9, 100%, $E$9)</f>
        <v>30.5473</v>
      </c>
      <c r="M640" s="10">
        <f>CHOOSE(CONTROL!$C$42, 29.4137, 29.4137) * CHOOSE(CONTROL!$C$21, $C$9, 100%, $E$9)</f>
        <v>29.413699999999999</v>
      </c>
      <c r="N640" s="10">
        <f>CHOOSE(CONTROL!$C$42, 29.4303, 29.4303) * CHOOSE(CONTROL!$C$21, $C$9, 100%, $E$9)</f>
        <v>29.430299999999999</v>
      </c>
      <c r="O640" s="10">
        <f>CHOOSE(CONTROL!$C$42, 29.6718, 29.6718) * CHOOSE(CONTROL!$C$21, $C$9, 100%, $E$9)</f>
        <v>29.671800000000001</v>
      </c>
      <c r="P640" s="10">
        <f>CHOOSE(CONTROL!$C$42, 29.4208, 29.4208) * CHOOSE(CONTROL!$C$21, $C$9, 100%, $E$9)</f>
        <v>29.4208</v>
      </c>
      <c r="Q640" s="10">
        <f>CHOOSE(CONTROL!$C$42, 30.2671, 30.2671) * CHOOSE(CONTROL!$C$21, $C$9, 100%, $E$9)</f>
        <v>30.267099999999999</v>
      </c>
      <c r="R640" s="10">
        <f>CHOOSE(CONTROL!$C$42, 30.9297, 30.9297) * CHOOSE(CONTROL!$C$21, $C$9, 100%, $E$9)</f>
        <v>30.9297</v>
      </c>
      <c r="S640" s="10">
        <f>CHOOSE(CONTROL!$C$42, 28.8764, 28.8764) * CHOOSE(CONTROL!$C$21, $C$9, 100%, $E$9)</f>
        <v>28.8764</v>
      </c>
      <c r="T640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640" s="58">
        <f>(1000*CHOOSE(CONTROL!$C$42, 695, 695)*CHOOSE(CONTROL!$C$42, 0.5599, 0.5599)*CHOOSE(CONTROL!$C$42, 30, 30))/1000000</f>
        <v>11.673914999999997</v>
      </c>
      <c r="V640" s="58">
        <f>(1000*CHOOSE(CONTROL!$C$42, 500, 500)*CHOOSE(CONTROL!$C$42, 0.275, 0.275)*CHOOSE(CONTROL!$C$42, 30, 30))/1000000</f>
        <v>4.125</v>
      </c>
      <c r="W640" s="58">
        <f>(1000*CHOOSE(CONTROL!$C$42, 0.1146, 0.1146)*CHOOSE(CONTROL!$C$42, 121.5, 121.5)*CHOOSE(CONTROL!$C$42, 30, 30))/1000000</f>
        <v>0.417717</v>
      </c>
      <c r="X640" s="58">
        <f>(30*0.1790888*245000/1000000)+(30*0.2374*100000/1000000)</f>
        <v>2.0285026799999999</v>
      </c>
      <c r="Y640" s="58"/>
      <c r="Z640" s="10"/>
      <c r="AA640" s="57"/>
      <c r="AB640" s="51">
        <f>(B640*141.293+C640*267.993+D640*115.016+E640*89.698+F640*40+G640*185+H640*0+I640*100+J640*300)/(141.293+267.993+115.016+89.698+0+40+185+100+300)</f>
        <v>29.759624531799837</v>
      </c>
      <c r="AC640" s="27">
        <f>(M640*'RAP TEMPLATE-GAS AVAILABILITY'!O639+N640*'RAP TEMPLATE-GAS AVAILABILITY'!P639+O640*'RAP TEMPLATE-GAS AVAILABILITY'!Q639+P640*'RAP TEMPLATE-GAS AVAILABILITY'!R639)/('RAP TEMPLATE-GAS AVAILABILITY'!O639+'RAP TEMPLATE-GAS AVAILABILITY'!P639+'RAP TEMPLATE-GAS AVAILABILITY'!Q639+'RAP TEMPLATE-GAS AVAILABILITY'!R639)</f>
        <v>29.532657553956835</v>
      </c>
    </row>
    <row r="641" spans="1:29" ht="15.75" x14ac:dyDescent="0.25">
      <c r="A641" s="13">
        <v>60418</v>
      </c>
      <c r="B641" s="10">
        <f>CHOOSE(CONTROL!$C$42, 30.0026, 30.0026) * CHOOSE(CONTROL!$C$21, $C$9, 100%, $E$9)</f>
        <v>30.002600000000001</v>
      </c>
      <c r="C641" s="10">
        <f>CHOOSE(CONTROL!$C$42, 30.0105, 30.0105) * CHOOSE(CONTROL!$C$21, $C$9, 100%, $E$9)</f>
        <v>30.0105</v>
      </c>
      <c r="D641" s="10">
        <f>CHOOSE(CONTROL!$C$42, 30.203, 30.203) * CHOOSE(CONTROL!$C$21, $C$9, 100%, $E$9)</f>
        <v>30.202999999999999</v>
      </c>
      <c r="E641" s="10">
        <f>CHOOSE(CONTROL!$C$42, 30.2341, 30.2341) * CHOOSE(CONTROL!$C$21, $C$9, 100%, $E$9)</f>
        <v>30.234100000000002</v>
      </c>
      <c r="F641" s="10">
        <f>CHOOSE(CONTROL!$C$42, 29.9689, 29.9689)*CHOOSE(CONTROL!$C$21, $C$9, 100%, $E$9)</f>
        <v>29.968900000000001</v>
      </c>
      <c r="G641" s="10">
        <f>CHOOSE(CONTROL!$C$42, 29.986, 29.986)*CHOOSE(CONTROL!$C$21, $C$9, 100%, $E$9)</f>
        <v>29.986000000000001</v>
      </c>
      <c r="H641" s="10">
        <f>CHOOSE(CONTROL!$C$42, 30.2227, 30.2227) * CHOOSE(CONTROL!$C$21, $C$9, 100%, $E$9)</f>
        <v>30.2227</v>
      </c>
      <c r="I641" s="10">
        <f>CHOOSE(CONTROL!$C$42, 29.9692, 29.9692)* CHOOSE(CONTROL!$C$21, $C$9, 100%, $E$9)</f>
        <v>29.969200000000001</v>
      </c>
      <c r="J641" s="10">
        <f>CHOOSE(CONTROL!$C$42, 29.9619, 29.9619)* CHOOSE(CONTROL!$C$21, $C$9, 100%, $E$9)</f>
        <v>29.9619</v>
      </c>
      <c r="K641" s="54">
        <f>CHOOSE(CONTROL!$C$42, 29.9653, 29.9653) * CHOOSE(CONTROL!$C$21, $C$9, 100%, $E$9)</f>
        <v>29.965299999999999</v>
      </c>
      <c r="L641" s="10">
        <f>CHOOSE(CONTROL!$C$42, 30.8097, 30.8097) * CHOOSE(CONTROL!$C$21, $C$9, 100%, $E$9)</f>
        <v>30.809699999999999</v>
      </c>
      <c r="M641" s="10">
        <f>CHOOSE(CONTROL!$C$42, 29.6733, 29.6733) * CHOOSE(CONTROL!$C$21, $C$9, 100%, $E$9)</f>
        <v>29.673300000000001</v>
      </c>
      <c r="N641" s="10">
        <f>CHOOSE(CONTROL!$C$42, 29.6903, 29.6903) * CHOOSE(CONTROL!$C$21, $C$9, 100%, $E$9)</f>
        <v>29.690300000000001</v>
      </c>
      <c r="O641" s="10">
        <f>CHOOSE(CONTROL!$C$42, 29.9316, 29.9316) * CHOOSE(CONTROL!$C$21, $C$9, 100%, $E$9)</f>
        <v>29.9316</v>
      </c>
      <c r="P641" s="10">
        <f>CHOOSE(CONTROL!$C$42, 29.6806, 29.6806) * CHOOSE(CONTROL!$C$21, $C$9, 100%, $E$9)</f>
        <v>29.680599999999998</v>
      </c>
      <c r="Q641" s="10">
        <f>CHOOSE(CONTROL!$C$42, 30.5269, 30.5269) * CHOOSE(CONTROL!$C$21, $C$9, 100%, $E$9)</f>
        <v>30.526900000000001</v>
      </c>
      <c r="R641" s="10">
        <f>CHOOSE(CONTROL!$C$42, 31.1902, 31.1902) * CHOOSE(CONTROL!$C$21, $C$9, 100%, $E$9)</f>
        <v>31.190200000000001</v>
      </c>
      <c r="S641" s="10">
        <f>CHOOSE(CONTROL!$C$42, 29.1313, 29.1313) * CHOOSE(CONTROL!$C$21, $C$9, 100%, $E$9)</f>
        <v>29.1313</v>
      </c>
      <c r="T641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641" s="58">
        <f>(1000*CHOOSE(CONTROL!$C$42, 695, 695)*CHOOSE(CONTROL!$C$42, 0.5599, 0.5599)*CHOOSE(CONTROL!$C$42, 31, 31))/1000000</f>
        <v>12.063045499999998</v>
      </c>
      <c r="V641" s="58">
        <f>(1000*CHOOSE(CONTROL!$C$42, 500, 500)*CHOOSE(CONTROL!$C$42, 0.275, 0.275)*CHOOSE(CONTROL!$C$42, 31, 31))/1000000</f>
        <v>4.2625000000000002</v>
      </c>
      <c r="W641" s="58">
        <f>(1000*CHOOSE(CONTROL!$C$42, 0.1146, 0.1146)*CHOOSE(CONTROL!$C$42, 121.5, 121.5)*CHOOSE(CONTROL!$C$42, 31, 31))/1000000</f>
        <v>0.43164089999999994</v>
      </c>
      <c r="X641" s="58">
        <f>(31*0.1790888*245000/1000000)+(31*0.2374*100000/1000000)</f>
        <v>2.0961194359999999</v>
      </c>
      <c r="Y641" s="58"/>
      <c r="Z641" s="10"/>
      <c r="AA641" s="57"/>
      <c r="AB641" s="51">
        <f>(B641*194.205+C641*267.466+D641*133.845+E641*53.484+F641*40+G641*185+H641*0+I641*100+J641*300)/(194.205+267.466+133.845+53.484+0+40+185+100+300)</f>
        <v>30.019356723233912</v>
      </c>
      <c r="AC641" s="27">
        <f>(M641*'RAP TEMPLATE-GAS AVAILABILITY'!O640+N641*'RAP TEMPLATE-GAS AVAILABILITY'!P640+O641*'RAP TEMPLATE-GAS AVAILABILITY'!Q640+P641*'RAP TEMPLATE-GAS AVAILABILITY'!R640)/('RAP TEMPLATE-GAS AVAILABILITY'!O640+'RAP TEMPLATE-GAS AVAILABILITY'!P640+'RAP TEMPLATE-GAS AVAILABILITY'!Q640+'RAP TEMPLATE-GAS AVAILABILITY'!R640)</f>
        <v>29.792400000000008</v>
      </c>
    </row>
    <row r="642" spans="1:29" ht="15.75" x14ac:dyDescent="0.25">
      <c r="A642" s="13">
        <v>60448</v>
      </c>
      <c r="B642" s="10">
        <f>CHOOSE(CONTROL!$C$42, 30.8535, 30.8535) * CHOOSE(CONTROL!$C$21, $C$9, 100%, $E$9)</f>
        <v>30.8535</v>
      </c>
      <c r="C642" s="10">
        <f>CHOOSE(CONTROL!$C$42, 30.8614, 30.8614) * CHOOSE(CONTROL!$C$21, $C$9, 100%, $E$9)</f>
        <v>30.8614</v>
      </c>
      <c r="D642" s="10">
        <f>CHOOSE(CONTROL!$C$42, 31.0539, 31.0539) * CHOOSE(CONTROL!$C$21, $C$9, 100%, $E$9)</f>
        <v>31.053899999999999</v>
      </c>
      <c r="E642" s="10">
        <f>CHOOSE(CONTROL!$C$42, 31.085, 31.085) * CHOOSE(CONTROL!$C$21, $C$9, 100%, $E$9)</f>
        <v>31.085000000000001</v>
      </c>
      <c r="F642" s="10">
        <f>CHOOSE(CONTROL!$C$42, 30.82, 30.82)*CHOOSE(CONTROL!$C$21, $C$9, 100%, $E$9)</f>
        <v>30.82</v>
      </c>
      <c r="G642" s="10">
        <f>CHOOSE(CONTROL!$C$42, 30.8372, 30.8372)*CHOOSE(CONTROL!$C$21, $C$9, 100%, $E$9)</f>
        <v>30.837199999999999</v>
      </c>
      <c r="H642" s="10">
        <f>CHOOSE(CONTROL!$C$42, 31.0736, 31.0736) * CHOOSE(CONTROL!$C$21, $C$9, 100%, $E$9)</f>
        <v>31.073599999999999</v>
      </c>
      <c r="I642" s="10">
        <f>CHOOSE(CONTROL!$C$42, 30.8201, 30.8201)* CHOOSE(CONTROL!$C$21, $C$9, 100%, $E$9)</f>
        <v>30.8201</v>
      </c>
      <c r="J642" s="10">
        <f>CHOOSE(CONTROL!$C$42, 30.813, 30.813)* CHOOSE(CONTROL!$C$21, $C$9, 100%, $E$9)</f>
        <v>30.812999999999999</v>
      </c>
      <c r="K642" s="54">
        <f>CHOOSE(CONTROL!$C$42, 30.8162, 30.8162) * CHOOSE(CONTROL!$C$21, $C$9, 100%, $E$9)</f>
        <v>30.816199999999998</v>
      </c>
      <c r="L642" s="10">
        <f>CHOOSE(CONTROL!$C$42, 31.6606, 31.6606) * CHOOSE(CONTROL!$C$21, $C$9, 100%, $E$9)</f>
        <v>31.660599999999999</v>
      </c>
      <c r="M642" s="10">
        <f>CHOOSE(CONTROL!$C$42, 30.5159, 30.5159) * CHOOSE(CONTROL!$C$21, $C$9, 100%, $E$9)</f>
        <v>30.515899999999998</v>
      </c>
      <c r="N642" s="10">
        <f>CHOOSE(CONTROL!$C$42, 30.5329, 30.5329) * CHOOSE(CONTROL!$C$21, $C$9, 100%, $E$9)</f>
        <v>30.532900000000001</v>
      </c>
      <c r="O642" s="10">
        <f>CHOOSE(CONTROL!$C$42, 30.7739, 30.7739) * CHOOSE(CONTROL!$C$21, $C$9, 100%, $E$9)</f>
        <v>30.773900000000001</v>
      </c>
      <c r="P642" s="10">
        <f>CHOOSE(CONTROL!$C$42, 30.5229, 30.5229) * CHOOSE(CONTROL!$C$21, $C$9, 100%, $E$9)</f>
        <v>30.5229</v>
      </c>
      <c r="Q642" s="10">
        <f>CHOOSE(CONTROL!$C$42, 31.3692, 31.3692) * CHOOSE(CONTROL!$C$21, $C$9, 100%, $E$9)</f>
        <v>31.369199999999999</v>
      </c>
      <c r="R642" s="10">
        <f>CHOOSE(CONTROL!$C$42, 32.0346, 32.0346) * CHOOSE(CONTROL!$C$21, $C$9, 100%, $E$9)</f>
        <v>32.034599999999998</v>
      </c>
      <c r="S642" s="10">
        <f>CHOOSE(CONTROL!$C$42, 29.9576, 29.9576) * CHOOSE(CONTROL!$C$21, $C$9, 100%, $E$9)</f>
        <v>29.957599999999999</v>
      </c>
      <c r="T642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642" s="58">
        <f>(1000*CHOOSE(CONTROL!$C$42, 695, 695)*CHOOSE(CONTROL!$C$42, 0.5599, 0.5599)*CHOOSE(CONTROL!$C$42, 30, 30))/1000000</f>
        <v>11.673914999999997</v>
      </c>
      <c r="V642" s="58">
        <f>(1000*CHOOSE(CONTROL!$C$42, 500, 500)*CHOOSE(CONTROL!$C$42, 0.275, 0.275)*CHOOSE(CONTROL!$C$42, 30, 30))/1000000</f>
        <v>4.125</v>
      </c>
      <c r="W642" s="58">
        <f>(1000*CHOOSE(CONTROL!$C$42, 0.1146, 0.1146)*CHOOSE(CONTROL!$C$42, 121.5, 121.5)*CHOOSE(CONTROL!$C$42, 30, 30))/1000000</f>
        <v>0.417717</v>
      </c>
      <c r="X642" s="58">
        <f>(30*0.1790888*245000/1000000)+(30*0.2374*100000/1000000)</f>
        <v>2.0285026799999999</v>
      </c>
      <c r="Y642" s="58"/>
      <c r="Z642" s="10"/>
      <c r="AA642" s="57"/>
      <c r="AB642" s="51">
        <f>(B642*194.205+C642*267.466+D642*133.845+E642*53.484+F642*40+G642*185+H642*0+I642*100+J642*300)/(194.205+267.466+133.845+53.484+0+40+185+100+300)</f>
        <v>30.870353662009418</v>
      </c>
      <c r="AC642" s="27">
        <f>(M642*'RAP TEMPLATE-GAS AVAILABILITY'!O641+N642*'RAP TEMPLATE-GAS AVAILABILITY'!P641+O642*'RAP TEMPLATE-GAS AVAILABILITY'!Q641+P642*'RAP TEMPLATE-GAS AVAILABILITY'!R641)/('RAP TEMPLATE-GAS AVAILABILITY'!O641+'RAP TEMPLATE-GAS AVAILABILITY'!P641+'RAP TEMPLATE-GAS AVAILABILITY'!Q641+'RAP TEMPLATE-GAS AVAILABILITY'!R641)</f>
        <v>30.634820863309351</v>
      </c>
    </row>
    <row r="643" spans="1:29" ht="15.75" x14ac:dyDescent="0.25">
      <c r="A643" s="13">
        <v>60479</v>
      </c>
      <c r="B643" s="10">
        <f>CHOOSE(CONTROL!$C$42, 30.2617, 30.2617) * CHOOSE(CONTROL!$C$21, $C$9, 100%, $E$9)</f>
        <v>30.261700000000001</v>
      </c>
      <c r="C643" s="10">
        <f>CHOOSE(CONTROL!$C$42, 30.2696, 30.2696) * CHOOSE(CONTROL!$C$21, $C$9, 100%, $E$9)</f>
        <v>30.269600000000001</v>
      </c>
      <c r="D643" s="10">
        <f>CHOOSE(CONTROL!$C$42, 30.4621, 30.4621) * CHOOSE(CONTROL!$C$21, $C$9, 100%, $E$9)</f>
        <v>30.4621</v>
      </c>
      <c r="E643" s="10">
        <f>CHOOSE(CONTROL!$C$42, 30.4932, 30.4932) * CHOOSE(CONTROL!$C$21, $C$9, 100%, $E$9)</f>
        <v>30.493200000000002</v>
      </c>
      <c r="F643" s="10">
        <f>CHOOSE(CONTROL!$C$42, 30.2286, 30.2286)*CHOOSE(CONTROL!$C$21, $C$9, 100%, $E$9)</f>
        <v>30.2286</v>
      </c>
      <c r="G643" s="10">
        <f>CHOOSE(CONTROL!$C$42, 30.2459, 30.2459)*CHOOSE(CONTROL!$C$21, $C$9, 100%, $E$9)</f>
        <v>30.245899999999999</v>
      </c>
      <c r="H643" s="10">
        <f>CHOOSE(CONTROL!$C$42, 30.4818, 30.4818) * CHOOSE(CONTROL!$C$21, $C$9, 100%, $E$9)</f>
        <v>30.4818</v>
      </c>
      <c r="I643" s="10">
        <f>CHOOSE(CONTROL!$C$42, 30.2283, 30.2283)* CHOOSE(CONTROL!$C$21, $C$9, 100%, $E$9)</f>
        <v>30.228300000000001</v>
      </c>
      <c r="J643" s="10">
        <f>CHOOSE(CONTROL!$C$42, 30.2216, 30.2216)* CHOOSE(CONTROL!$C$21, $C$9, 100%, $E$9)</f>
        <v>30.221599999999999</v>
      </c>
      <c r="K643" s="54">
        <f>CHOOSE(CONTROL!$C$42, 30.2244, 30.2244) * CHOOSE(CONTROL!$C$21, $C$9, 100%, $E$9)</f>
        <v>30.224399999999999</v>
      </c>
      <c r="L643" s="10">
        <f>CHOOSE(CONTROL!$C$42, 31.0688, 31.0688) * CHOOSE(CONTROL!$C$21, $C$9, 100%, $E$9)</f>
        <v>31.0688</v>
      </c>
      <c r="M643" s="10">
        <f>CHOOSE(CONTROL!$C$42, 29.9304, 29.9304) * CHOOSE(CONTROL!$C$21, $C$9, 100%, $E$9)</f>
        <v>29.930399999999999</v>
      </c>
      <c r="N643" s="10">
        <f>CHOOSE(CONTROL!$C$42, 29.9475, 29.9475) * CHOOSE(CONTROL!$C$21, $C$9, 100%, $E$9)</f>
        <v>29.947500000000002</v>
      </c>
      <c r="O643" s="10">
        <f>CHOOSE(CONTROL!$C$42, 30.188, 30.188) * CHOOSE(CONTROL!$C$21, $C$9, 100%, $E$9)</f>
        <v>30.187999999999999</v>
      </c>
      <c r="P643" s="10">
        <f>CHOOSE(CONTROL!$C$42, 29.9371, 29.9371) * CHOOSE(CONTROL!$C$21, $C$9, 100%, $E$9)</f>
        <v>29.937100000000001</v>
      </c>
      <c r="Q643" s="10">
        <f>CHOOSE(CONTROL!$C$42, 30.7833, 30.7833) * CHOOSE(CONTROL!$C$21, $C$9, 100%, $E$9)</f>
        <v>30.783300000000001</v>
      </c>
      <c r="R643" s="10">
        <f>CHOOSE(CONTROL!$C$42, 31.4473, 31.4473) * CHOOSE(CONTROL!$C$21, $C$9, 100%, $E$9)</f>
        <v>31.447299999999998</v>
      </c>
      <c r="S643" s="10">
        <f>CHOOSE(CONTROL!$C$42, 29.3829, 29.3829) * CHOOSE(CONTROL!$C$21, $C$9, 100%, $E$9)</f>
        <v>29.382899999999999</v>
      </c>
      <c r="T643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643" s="58">
        <f>(1000*CHOOSE(CONTROL!$C$42, 695, 695)*CHOOSE(CONTROL!$C$42, 0.5599, 0.5599)*CHOOSE(CONTROL!$C$42, 31, 31))/1000000</f>
        <v>12.063045499999998</v>
      </c>
      <c r="V643" s="58">
        <f>(1000*CHOOSE(CONTROL!$C$42, 500, 500)*CHOOSE(CONTROL!$C$42, 0.275, 0.275)*CHOOSE(CONTROL!$C$42, 31, 31))/1000000</f>
        <v>4.2625000000000002</v>
      </c>
      <c r="W643" s="58">
        <f>(1000*CHOOSE(CONTROL!$C$42, 0.1146, 0.1146)*CHOOSE(CONTROL!$C$42, 121.5, 121.5)*CHOOSE(CONTROL!$C$42, 31, 31))/1000000</f>
        <v>0.43164089999999994</v>
      </c>
      <c r="X643" s="58">
        <f>(31*0.1790888*245000/1000000)+(31*0.2374*100000/1000000)</f>
        <v>2.0961194359999999</v>
      </c>
      <c r="Y643" s="58"/>
      <c r="Z643" s="10"/>
      <c r="AA643" s="57"/>
      <c r="AB643" s="51">
        <f>(B643*194.205+C643*267.466+D643*133.845+E643*53.484+F643*40+G643*185+H643*0+I643*100+J643*300)/(194.205+267.466+133.845+53.484+0+40+185+100+300)</f>
        <v>30.27873301836734</v>
      </c>
      <c r="AC643" s="27">
        <f>(M643*'RAP TEMPLATE-GAS AVAILABILITY'!O642+N643*'RAP TEMPLATE-GAS AVAILABILITY'!P642+O643*'RAP TEMPLATE-GAS AVAILABILITY'!Q642+P643*'RAP TEMPLATE-GAS AVAILABILITY'!R642)/('RAP TEMPLATE-GAS AVAILABILITY'!O642+'RAP TEMPLATE-GAS AVAILABILITY'!P642+'RAP TEMPLATE-GAS AVAILABILITY'!Q642+'RAP TEMPLATE-GAS AVAILABILITY'!R642)</f>
        <v>30.049102158273378</v>
      </c>
    </row>
    <row r="644" spans="1:29" ht="15.75" x14ac:dyDescent="0.25">
      <c r="A644" s="13">
        <v>60510</v>
      </c>
      <c r="B644" s="10">
        <f>CHOOSE(CONTROL!$C$42, 28.7672, 28.7672) * CHOOSE(CONTROL!$C$21, $C$9, 100%, $E$9)</f>
        <v>28.767199999999999</v>
      </c>
      <c r="C644" s="10">
        <f>CHOOSE(CONTROL!$C$42, 28.7751, 28.7751) * CHOOSE(CONTROL!$C$21, $C$9, 100%, $E$9)</f>
        <v>28.775099999999998</v>
      </c>
      <c r="D644" s="10">
        <f>CHOOSE(CONTROL!$C$42, 28.9675, 28.9675) * CHOOSE(CONTROL!$C$21, $C$9, 100%, $E$9)</f>
        <v>28.967500000000001</v>
      </c>
      <c r="E644" s="10">
        <f>CHOOSE(CONTROL!$C$42, 28.9987, 28.9987) * CHOOSE(CONTROL!$C$21, $C$9, 100%, $E$9)</f>
        <v>28.998699999999999</v>
      </c>
      <c r="F644" s="10">
        <f>CHOOSE(CONTROL!$C$42, 28.7342, 28.7342)*CHOOSE(CONTROL!$C$21, $C$9, 100%, $E$9)</f>
        <v>28.734200000000001</v>
      </c>
      <c r="G644" s="10">
        <f>CHOOSE(CONTROL!$C$42, 28.7516, 28.7516)*CHOOSE(CONTROL!$C$21, $C$9, 100%, $E$9)</f>
        <v>28.7516</v>
      </c>
      <c r="H644" s="10">
        <f>CHOOSE(CONTROL!$C$42, 28.9873, 28.9873) * CHOOSE(CONTROL!$C$21, $C$9, 100%, $E$9)</f>
        <v>28.987300000000001</v>
      </c>
      <c r="I644" s="10">
        <f>CHOOSE(CONTROL!$C$42, 28.7338, 28.7338)* CHOOSE(CONTROL!$C$21, $C$9, 100%, $E$9)</f>
        <v>28.733799999999999</v>
      </c>
      <c r="J644" s="10">
        <f>CHOOSE(CONTROL!$C$42, 28.7272, 28.7272)* CHOOSE(CONTROL!$C$21, $C$9, 100%, $E$9)</f>
        <v>28.7272</v>
      </c>
      <c r="K644" s="54">
        <f>CHOOSE(CONTROL!$C$42, 28.7299, 28.7299) * CHOOSE(CONTROL!$C$21, $C$9, 100%, $E$9)</f>
        <v>28.729900000000001</v>
      </c>
      <c r="L644" s="10">
        <f>CHOOSE(CONTROL!$C$42, 29.5743, 29.5743) * CHOOSE(CONTROL!$C$21, $C$9, 100%, $E$9)</f>
        <v>29.574300000000001</v>
      </c>
      <c r="M644" s="10">
        <f>CHOOSE(CONTROL!$C$42, 28.4512, 28.4512) * CHOOSE(CONTROL!$C$21, $C$9, 100%, $E$9)</f>
        <v>28.4512</v>
      </c>
      <c r="N644" s="10">
        <f>CHOOSE(CONTROL!$C$42, 28.4683, 28.4683) * CHOOSE(CONTROL!$C$21, $C$9, 100%, $E$9)</f>
        <v>28.468299999999999</v>
      </c>
      <c r="O644" s="10">
        <f>CHOOSE(CONTROL!$C$42, 28.7086, 28.7086) * CHOOSE(CONTROL!$C$21, $C$9, 100%, $E$9)</f>
        <v>28.708600000000001</v>
      </c>
      <c r="P644" s="10">
        <f>CHOOSE(CONTROL!$C$42, 28.4577, 28.4577) * CHOOSE(CONTROL!$C$21, $C$9, 100%, $E$9)</f>
        <v>28.457699999999999</v>
      </c>
      <c r="Q644" s="10">
        <f>CHOOSE(CONTROL!$C$42, 29.3039, 29.3039) * CHOOSE(CONTROL!$C$21, $C$9, 100%, $E$9)</f>
        <v>29.303899999999999</v>
      </c>
      <c r="R644" s="10">
        <f>CHOOSE(CONTROL!$C$42, 29.9642, 29.9642) * CHOOSE(CONTROL!$C$21, $C$9, 100%, $E$9)</f>
        <v>29.964200000000002</v>
      </c>
      <c r="S644" s="10">
        <f>CHOOSE(CONTROL!$C$42, 27.9316, 27.9316) * CHOOSE(CONTROL!$C$21, $C$9, 100%, $E$9)</f>
        <v>27.9316</v>
      </c>
      <c r="T644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644" s="58">
        <f>(1000*CHOOSE(CONTROL!$C$42, 695, 695)*CHOOSE(CONTROL!$C$42, 0.5599, 0.5599)*CHOOSE(CONTROL!$C$42, 31, 31))/1000000</f>
        <v>12.063045499999998</v>
      </c>
      <c r="V644" s="58">
        <f>(1000*CHOOSE(CONTROL!$C$42, 500, 500)*CHOOSE(CONTROL!$C$42, 0.275, 0.275)*CHOOSE(CONTROL!$C$42, 31, 31))/1000000</f>
        <v>4.2625000000000002</v>
      </c>
      <c r="W644" s="58">
        <f>(1000*CHOOSE(CONTROL!$C$42, 0.1146, 0.1146)*CHOOSE(CONTROL!$C$42, 121.5, 121.5)*CHOOSE(CONTROL!$C$42, 31, 31))/1000000</f>
        <v>0.43164089999999994</v>
      </c>
      <c r="X644" s="58">
        <f>(31*0.1790888*245000/1000000)+(31*0.2374*100000/1000000)</f>
        <v>2.0961194359999999</v>
      </c>
      <c r="Y644" s="58"/>
      <c r="Z644" s="10"/>
      <c r="AA644" s="57"/>
      <c r="AB644" s="51">
        <f>(B644*194.205+C644*267.466+D644*133.845+E644*53.484+F644*40+G644*185+H644*0+I644*100+J644*300)/(194.205+267.466+133.845+53.484+0+40+185+100+300)</f>
        <v>28.78427824246468</v>
      </c>
      <c r="AC644" s="27">
        <f>(M644*'RAP TEMPLATE-GAS AVAILABILITY'!O643+N644*'RAP TEMPLATE-GAS AVAILABILITY'!P643+O644*'RAP TEMPLATE-GAS AVAILABILITY'!Q643+P644*'RAP TEMPLATE-GAS AVAILABILITY'!R643)/('RAP TEMPLATE-GAS AVAILABILITY'!O643+'RAP TEMPLATE-GAS AVAILABILITY'!P643+'RAP TEMPLATE-GAS AVAILABILITY'!Q643+'RAP TEMPLATE-GAS AVAILABILITY'!R643)</f>
        <v>28.56978273381295</v>
      </c>
    </row>
    <row r="645" spans="1:29" ht="15.75" x14ac:dyDescent="0.25">
      <c r="A645" s="13">
        <v>60540</v>
      </c>
      <c r="B645" s="10">
        <f>CHOOSE(CONTROL!$C$42, 26.9408, 26.9408) * CHOOSE(CONTROL!$C$21, $C$9, 100%, $E$9)</f>
        <v>26.940799999999999</v>
      </c>
      <c r="C645" s="10">
        <f>CHOOSE(CONTROL!$C$42, 26.9487, 26.9487) * CHOOSE(CONTROL!$C$21, $C$9, 100%, $E$9)</f>
        <v>26.948699999999999</v>
      </c>
      <c r="D645" s="10">
        <f>CHOOSE(CONTROL!$C$42, 27.1411, 27.1411) * CHOOSE(CONTROL!$C$21, $C$9, 100%, $E$9)</f>
        <v>27.141100000000002</v>
      </c>
      <c r="E645" s="10">
        <f>CHOOSE(CONTROL!$C$42, 27.1723, 27.1723) * CHOOSE(CONTROL!$C$21, $C$9, 100%, $E$9)</f>
        <v>27.1723</v>
      </c>
      <c r="F645" s="10">
        <f>CHOOSE(CONTROL!$C$42, 26.9077, 26.9077)*CHOOSE(CONTROL!$C$21, $C$9, 100%, $E$9)</f>
        <v>26.907699999999998</v>
      </c>
      <c r="G645" s="10">
        <f>CHOOSE(CONTROL!$C$42, 26.925, 26.925)*CHOOSE(CONTROL!$C$21, $C$9, 100%, $E$9)</f>
        <v>26.925000000000001</v>
      </c>
      <c r="H645" s="10">
        <f>CHOOSE(CONTROL!$C$42, 27.1609, 27.1609) * CHOOSE(CONTROL!$C$21, $C$9, 100%, $E$9)</f>
        <v>27.160900000000002</v>
      </c>
      <c r="I645" s="10">
        <f>CHOOSE(CONTROL!$C$42, 26.9074, 26.9074)* CHOOSE(CONTROL!$C$21, $C$9, 100%, $E$9)</f>
        <v>26.907399999999999</v>
      </c>
      <c r="J645" s="10">
        <f>CHOOSE(CONTROL!$C$42, 26.9007, 26.9007)* CHOOSE(CONTROL!$C$21, $C$9, 100%, $E$9)</f>
        <v>26.900700000000001</v>
      </c>
      <c r="K645" s="54">
        <f>CHOOSE(CONTROL!$C$42, 26.9035, 26.9035) * CHOOSE(CONTROL!$C$21, $C$9, 100%, $E$9)</f>
        <v>26.903500000000001</v>
      </c>
      <c r="L645" s="10">
        <f>CHOOSE(CONTROL!$C$42, 27.7479, 27.7479) * CHOOSE(CONTROL!$C$21, $C$9, 100%, $E$9)</f>
        <v>27.747900000000001</v>
      </c>
      <c r="M645" s="10">
        <f>CHOOSE(CONTROL!$C$42, 26.643, 26.643) * CHOOSE(CONTROL!$C$21, $C$9, 100%, $E$9)</f>
        <v>26.643000000000001</v>
      </c>
      <c r="N645" s="10">
        <f>CHOOSE(CONTROL!$C$42, 26.6602, 26.6602) * CHOOSE(CONTROL!$C$21, $C$9, 100%, $E$9)</f>
        <v>26.6602</v>
      </c>
      <c r="O645" s="10">
        <f>CHOOSE(CONTROL!$C$42, 26.9006, 26.9006) * CHOOSE(CONTROL!$C$21, $C$9, 100%, $E$9)</f>
        <v>26.900600000000001</v>
      </c>
      <c r="P645" s="10">
        <f>CHOOSE(CONTROL!$C$42, 26.6497, 26.6497) * CHOOSE(CONTROL!$C$21, $C$9, 100%, $E$9)</f>
        <v>26.649699999999999</v>
      </c>
      <c r="Q645" s="10">
        <f>CHOOSE(CONTROL!$C$42, 27.4959, 27.4959) * CHOOSE(CONTROL!$C$21, $C$9, 100%, $E$9)</f>
        <v>27.495899999999999</v>
      </c>
      <c r="R645" s="10">
        <f>CHOOSE(CONTROL!$C$42, 28.1517, 28.1517) * CHOOSE(CONTROL!$C$21, $C$9, 100%, $E$9)</f>
        <v>28.151700000000002</v>
      </c>
      <c r="S645" s="10">
        <f>CHOOSE(CONTROL!$C$42, 26.1579, 26.1579) * CHOOSE(CONTROL!$C$21, $C$9, 100%, $E$9)</f>
        <v>26.157900000000001</v>
      </c>
      <c r="T645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645" s="58">
        <f>(1000*CHOOSE(CONTROL!$C$42, 695, 695)*CHOOSE(CONTROL!$C$42, 0.5599, 0.5599)*CHOOSE(CONTROL!$C$42, 30, 30))/1000000</f>
        <v>11.673914999999997</v>
      </c>
      <c r="V645" s="58">
        <f>(1000*CHOOSE(CONTROL!$C$42, 500, 500)*CHOOSE(CONTROL!$C$42, 0.275, 0.275)*CHOOSE(CONTROL!$C$42, 30, 30))/1000000</f>
        <v>4.125</v>
      </c>
      <c r="W645" s="58">
        <f>(1000*CHOOSE(CONTROL!$C$42, 0.1146, 0.1146)*CHOOSE(CONTROL!$C$42, 121.5, 121.5)*CHOOSE(CONTROL!$C$42, 30, 30))/1000000</f>
        <v>0.417717</v>
      </c>
      <c r="X645" s="58">
        <f>(30*0.1790888*245000/1000000)+(30*0.2374*100000/1000000)</f>
        <v>2.0285026799999999</v>
      </c>
      <c r="Y645" s="58"/>
      <c r="Z645" s="10"/>
      <c r="AA645" s="57"/>
      <c r="AB645" s="51">
        <f>(B645*194.205+C645*267.466+D645*133.845+E645*53.484+F645*40+G645*185+H645*0+I645*100+J645*300)/(194.205+267.466+133.845+53.484+0+40+185+100+300)</f>
        <v>26.957822512480377</v>
      </c>
      <c r="AC645" s="27">
        <f>(M645*'RAP TEMPLATE-GAS AVAILABILITY'!O644+N645*'RAP TEMPLATE-GAS AVAILABILITY'!P644+O645*'RAP TEMPLATE-GAS AVAILABILITY'!Q644+P645*'RAP TEMPLATE-GAS AVAILABILITY'!R644)/('RAP TEMPLATE-GAS AVAILABILITY'!O644+'RAP TEMPLATE-GAS AVAILABILITY'!P644+'RAP TEMPLATE-GAS AVAILABILITY'!Q644+'RAP TEMPLATE-GAS AVAILABILITY'!R644)</f>
        <v>26.761707913669063</v>
      </c>
    </row>
    <row r="646" spans="1:29" ht="15.75" x14ac:dyDescent="0.25">
      <c r="A646" s="13">
        <v>60571</v>
      </c>
      <c r="B646" s="10">
        <f>CHOOSE(CONTROL!$C$42, 26.3921, 26.3921) * CHOOSE(CONTROL!$C$21, $C$9, 100%, $E$9)</f>
        <v>26.392099999999999</v>
      </c>
      <c r="C646" s="10">
        <f>CHOOSE(CONTROL!$C$42, 26.3973, 26.3973) * CHOOSE(CONTROL!$C$21, $C$9, 100%, $E$9)</f>
        <v>26.397300000000001</v>
      </c>
      <c r="D646" s="10">
        <f>CHOOSE(CONTROL!$C$42, 26.5947, 26.5947) * CHOOSE(CONTROL!$C$21, $C$9, 100%, $E$9)</f>
        <v>26.5947</v>
      </c>
      <c r="E646" s="10">
        <f>CHOOSE(CONTROL!$C$42, 26.6235, 26.6235) * CHOOSE(CONTROL!$C$21, $C$9, 100%, $E$9)</f>
        <v>26.6235</v>
      </c>
      <c r="F646" s="10">
        <f>CHOOSE(CONTROL!$C$42, 26.361, 26.361)*CHOOSE(CONTROL!$C$21, $C$9, 100%, $E$9)</f>
        <v>26.361000000000001</v>
      </c>
      <c r="G646" s="10">
        <f>CHOOSE(CONTROL!$C$42, 26.378, 26.378)*CHOOSE(CONTROL!$C$21, $C$9, 100%, $E$9)</f>
        <v>26.378</v>
      </c>
      <c r="H646" s="10">
        <f>CHOOSE(CONTROL!$C$42, 26.614, 26.614) * CHOOSE(CONTROL!$C$21, $C$9, 100%, $E$9)</f>
        <v>26.614000000000001</v>
      </c>
      <c r="I646" s="10">
        <f>CHOOSE(CONTROL!$C$42, 26.3605, 26.3605)* CHOOSE(CONTROL!$C$21, $C$9, 100%, $E$9)</f>
        <v>26.360499999999998</v>
      </c>
      <c r="J646" s="10">
        <f>CHOOSE(CONTROL!$C$42, 26.354, 26.354)* CHOOSE(CONTROL!$C$21, $C$9, 100%, $E$9)</f>
        <v>26.353999999999999</v>
      </c>
      <c r="K646" s="54">
        <f>CHOOSE(CONTROL!$C$42, 26.3566, 26.3566) * CHOOSE(CONTROL!$C$21, $C$9, 100%, $E$9)</f>
        <v>26.3566</v>
      </c>
      <c r="L646" s="10">
        <f>CHOOSE(CONTROL!$C$42, 27.201, 27.201) * CHOOSE(CONTROL!$C$21, $C$9, 100%, $E$9)</f>
        <v>27.201000000000001</v>
      </c>
      <c r="M646" s="10">
        <f>CHOOSE(CONTROL!$C$42, 26.1019, 26.1019) * CHOOSE(CONTROL!$C$21, $C$9, 100%, $E$9)</f>
        <v>26.101900000000001</v>
      </c>
      <c r="N646" s="10">
        <f>CHOOSE(CONTROL!$C$42, 26.1187, 26.1187) * CHOOSE(CONTROL!$C$21, $C$9, 100%, $E$9)</f>
        <v>26.1187</v>
      </c>
      <c r="O646" s="10">
        <f>CHOOSE(CONTROL!$C$42, 26.3592, 26.3592) * CHOOSE(CONTROL!$C$21, $C$9, 100%, $E$9)</f>
        <v>26.359200000000001</v>
      </c>
      <c r="P646" s="10">
        <f>CHOOSE(CONTROL!$C$42, 26.1083, 26.1083) * CHOOSE(CONTROL!$C$21, $C$9, 100%, $E$9)</f>
        <v>26.1083</v>
      </c>
      <c r="Q646" s="10">
        <f>CHOOSE(CONTROL!$C$42, 26.9545, 26.9545) * CHOOSE(CONTROL!$C$21, $C$9, 100%, $E$9)</f>
        <v>26.954499999999999</v>
      </c>
      <c r="R646" s="10">
        <f>CHOOSE(CONTROL!$C$42, 27.6089, 27.6089) * CHOOSE(CONTROL!$C$21, $C$9, 100%, $E$9)</f>
        <v>27.608899999999998</v>
      </c>
      <c r="S646" s="10">
        <f>CHOOSE(CONTROL!$C$42, 25.6268, 25.6268) * CHOOSE(CONTROL!$C$21, $C$9, 100%, $E$9)</f>
        <v>25.626799999999999</v>
      </c>
      <c r="T646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646" s="58">
        <f>(1000*CHOOSE(CONTROL!$C$42, 695, 695)*CHOOSE(CONTROL!$C$42, 0.5599, 0.5599)*CHOOSE(CONTROL!$C$42, 31, 31))/1000000</f>
        <v>12.063045499999998</v>
      </c>
      <c r="V646" s="58">
        <f>(1000*CHOOSE(CONTROL!$C$42, 500, 500)*CHOOSE(CONTROL!$C$42, 0.275, 0.275)*CHOOSE(CONTROL!$C$42, 31, 31))/1000000</f>
        <v>4.2625000000000002</v>
      </c>
      <c r="W646" s="58">
        <f>(1000*CHOOSE(CONTROL!$C$42, 0.1146, 0.1146)*CHOOSE(CONTROL!$C$42, 121.5, 121.5)*CHOOSE(CONTROL!$C$42, 31, 31))/1000000</f>
        <v>0.43164089999999994</v>
      </c>
      <c r="X646" s="58">
        <f>(31*0.1790888*245000/1000000)+(31*0.2374*100000/1000000)</f>
        <v>2.0961194359999999</v>
      </c>
      <c r="Y646" s="58"/>
      <c r="Z646" s="10"/>
      <c r="AA646" s="57"/>
      <c r="AB646" s="51">
        <f>(B646*131.881+C646*277.167+D646*79.08+E646*125.872+F646*40+G646*185+H646*0+I646*100+J646*300)/(131.881+277.167+79.08+125.872+0+40+185+100+300)</f>
        <v>26.414817641000806</v>
      </c>
      <c r="AC646" s="27">
        <f>(M646*'RAP TEMPLATE-GAS AVAILABILITY'!O645+N646*'RAP TEMPLATE-GAS AVAILABILITY'!P645+O646*'RAP TEMPLATE-GAS AVAILABILITY'!Q645+P646*'RAP TEMPLATE-GAS AVAILABILITY'!R645)/('RAP TEMPLATE-GAS AVAILABILITY'!O645+'RAP TEMPLATE-GAS AVAILABILITY'!P645+'RAP TEMPLATE-GAS AVAILABILITY'!Q645+'RAP TEMPLATE-GAS AVAILABILITY'!R645)</f>
        <v>26.220405755395685</v>
      </c>
    </row>
    <row r="647" spans="1:29" ht="15.75" x14ac:dyDescent="0.25">
      <c r="A647" s="13">
        <v>60601</v>
      </c>
      <c r="B647" s="10">
        <f>CHOOSE(CONTROL!$C$42, 27.0869, 27.0869) * CHOOSE(CONTROL!$C$21, $C$9, 100%, $E$9)</f>
        <v>27.0869</v>
      </c>
      <c r="C647" s="10">
        <f>CHOOSE(CONTROL!$C$42, 27.0919, 27.0919) * CHOOSE(CONTROL!$C$21, $C$9, 100%, $E$9)</f>
        <v>27.091899999999999</v>
      </c>
      <c r="D647" s="10">
        <f>CHOOSE(CONTROL!$C$42, 27.1215, 27.1215) * CHOOSE(CONTROL!$C$21, $C$9, 100%, $E$9)</f>
        <v>27.121500000000001</v>
      </c>
      <c r="E647" s="10">
        <f>CHOOSE(CONTROL!$C$42, 27.1552, 27.1552) * CHOOSE(CONTROL!$C$21, $C$9, 100%, $E$9)</f>
        <v>27.155200000000001</v>
      </c>
      <c r="F647" s="10">
        <f>CHOOSE(CONTROL!$C$42, 27.0537, 27.0537)*CHOOSE(CONTROL!$C$21, $C$9, 100%, $E$9)</f>
        <v>27.053699999999999</v>
      </c>
      <c r="G647" s="10">
        <f>CHOOSE(CONTROL!$C$42, 27.0708, 27.0708)*CHOOSE(CONTROL!$C$21, $C$9, 100%, $E$9)</f>
        <v>27.070799999999998</v>
      </c>
      <c r="H647" s="10">
        <f>CHOOSE(CONTROL!$C$42, 27.1444, 27.1444) * CHOOSE(CONTROL!$C$21, $C$9, 100%, $E$9)</f>
        <v>27.144400000000001</v>
      </c>
      <c r="I647" s="10">
        <f>CHOOSE(CONTROL!$C$42, 27.0505, 27.0505)* CHOOSE(CONTROL!$C$21, $C$9, 100%, $E$9)</f>
        <v>27.0505</v>
      </c>
      <c r="J647" s="10">
        <f>CHOOSE(CONTROL!$C$42, 27.0467, 27.0467)* CHOOSE(CONTROL!$C$21, $C$9, 100%, $E$9)</f>
        <v>27.046700000000001</v>
      </c>
      <c r="K647" s="54">
        <f>CHOOSE(CONTROL!$C$42, 27.0466, 27.0466) * CHOOSE(CONTROL!$C$21, $C$9, 100%, $E$9)</f>
        <v>27.046600000000002</v>
      </c>
      <c r="L647" s="10">
        <f>CHOOSE(CONTROL!$C$42, 27.7314, 27.7314) * CHOOSE(CONTROL!$C$21, $C$9, 100%, $E$9)</f>
        <v>27.731400000000001</v>
      </c>
      <c r="M647" s="10">
        <f>CHOOSE(CONTROL!$C$42, 26.7876, 26.7876) * CHOOSE(CONTROL!$C$21, $C$9, 100%, $E$9)</f>
        <v>26.787600000000001</v>
      </c>
      <c r="N647" s="10">
        <f>CHOOSE(CONTROL!$C$42, 26.8045, 26.8045) * CHOOSE(CONTROL!$C$21, $C$9, 100%, $E$9)</f>
        <v>26.804500000000001</v>
      </c>
      <c r="O647" s="10">
        <f>CHOOSE(CONTROL!$C$42, 26.8843, 26.8843) * CHOOSE(CONTROL!$C$21, $C$9, 100%, $E$9)</f>
        <v>26.8843</v>
      </c>
      <c r="P647" s="10">
        <f>CHOOSE(CONTROL!$C$42, 26.7914, 26.7914) * CHOOSE(CONTROL!$C$21, $C$9, 100%, $E$9)</f>
        <v>26.791399999999999</v>
      </c>
      <c r="Q647" s="10">
        <f>CHOOSE(CONTROL!$C$42, 27.4796, 27.4796) * CHOOSE(CONTROL!$C$21, $C$9, 100%, $E$9)</f>
        <v>27.479600000000001</v>
      </c>
      <c r="R647" s="10">
        <f>CHOOSE(CONTROL!$C$42, 28.1353, 28.1353) * CHOOSE(CONTROL!$C$21, $C$9, 100%, $E$9)</f>
        <v>28.135300000000001</v>
      </c>
      <c r="S647" s="10">
        <f>CHOOSE(CONTROL!$C$42, 26.302, 26.302) * CHOOSE(CONTROL!$C$21, $C$9, 100%, $E$9)</f>
        <v>26.302</v>
      </c>
      <c r="T647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647" s="58">
        <f>(1000*CHOOSE(CONTROL!$C$42, 695, 695)*CHOOSE(CONTROL!$C$42, 0.5599, 0.5599)*CHOOSE(CONTROL!$C$42, 30, 30))/1000000</f>
        <v>11.673914999999997</v>
      </c>
      <c r="V647" s="58">
        <f>(1000*CHOOSE(CONTROL!$C$42, 500, 500)*CHOOSE(CONTROL!$C$42, 0.275, 0.275)*CHOOSE(CONTROL!$C$42, 30, 30))/1000000</f>
        <v>4.125</v>
      </c>
      <c r="W647" s="58">
        <f>(1000*CHOOSE(CONTROL!$C$42, 0.1146, 0.1146)*CHOOSE(CONTROL!$C$42, 121.5, 121.5)*CHOOSE(CONTROL!$C$42, 30, 30))/1000000</f>
        <v>0.417717</v>
      </c>
      <c r="X647" s="58">
        <f>(30*0.1790888*100000/1000000)+(30*0.2374*100000/1000000)</f>
        <v>1.2494664</v>
      </c>
      <c r="Y647" s="58"/>
      <c r="Z647" s="10"/>
      <c r="AA647" s="57"/>
      <c r="AB647" s="51">
        <f>(B647*122.58+C647*297.941+D647*89.177+E647*40.302+F647*40+G647*160+H647*0+I647*100+J647*300)/(122.58+297.941+89.177+40.302+0+40+160+100+300)</f>
        <v>27.076225091999994</v>
      </c>
      <c r="AC647" s="27">
        <f>(M647*'RAP TEMPLATE-GAS AVAILABILITY'!O646+N647*'RAP TEMPLATE-GAS AVAILABILITY'!P646+O647*'RAP TEMPLATE-GAS AVAILABILITY'!Q646+P647*'RAP TEMPLATE-GAS AVAILABILITY'!R646)/('RAP TEMPLATE-GAS AVAILABILITY'!O646+'RAP TEMPLATE-GAS AVAILABILITY'!P646+'RAP TEMPLATE-GAS AVAILABILITY'!Q646+'RAP TEMPLATE-GAS AVAILABILITY'!R646)</f>
        <v>26.832947482014387</v>
      </c>
    </row>
    <row r="648" spans="1:29" ht="15.75" x14ac:dyDescent="0.25">
      <c r="A648" s="13">
        <v>60632</v>
      </c>
      <c r="B648" s="10">
        <f>CHOOSE(CONTROL!$C$42, 28.9335, 28.9335) * CHOOSE(CONTROL!$C$21, $C$9, 100%, $E$9)</f>
        <v>28.933499999999999</v>
      </c>
      <c r="C648" s="10">
        <f>CHOOSE(CONTROL!$C$42, 28.9384, 28.9384) * CHOOSE(CONTROL!$C$21, $C$9, 100%, $E$9)</f>
        <v>28.938400000000001</v>
      </c>
      <c r="D648" s="10">
        <f>CHOOSE(CONTROL!$C$42, 28.968, 28.968) * CHOOSE(CONTROL!$C$21, $C$9, 100%, $E$9)</f>
        <v>28.968</v>
      </c>
      <c r="E648" s="10">
        <f>CHOOSE(CONTROL!$C$42, 29.0018, 29.0018) * CHOOSE(CONTROL!$C$21, $C$9, 100%, $E$9)</f>
        <v>29.001799999999999</v>
      </c>
      <c r="F648" s="10">
        <f>CHOOSE(CONTROL!$C$42, 28.9017, 28.9017)*CHOOSE(CONTROL!$C$21, $C$9, 100%, $E$9)</f>
        <v>28.901700000000002</v>
      </c>
      <c r="G648" s="10">
        <f>CHOOSE(CONTROL!$C$42, 28.9192, 28.9192)*CHOOSE(CONTROL!$C$21, $C$9, 100%, $E$9)</f>
        <v>28.9192</v>
      </c>
      <c r="H648" s="10">
        <f>CHOOSE(CONTROL!$C$42, 28.991, 28.991) * CHOOSE(CONTROL!$C$21, $C$9, 100%, $E$9)</f>
        <v>28.991</v>
      </c>
      <c r="I648" s="10">
        <f>CHOOSE(CONTROL!$C$42, 28.8971, 28.8971)* CHOOSE(CONTROL!$C$21, $C$9, 100%, $E$9)</f>
        <v>28.897099999999998</v>
      </c>
      <c r="J648" s="10">
        <f>CHOOSE(CONTROL!$C$42, 28.8947, 28.8947)* CHOOSE(CONTROL!$C$21, $C$9, 100%, $E$9)</f>
        <v>28.8947</v>
      </c>
      <c r="K648" s="54">
        <f>CHOOSE(CONTROL!$C$42, 28.8932, 28.8932) * CHOOSE(CONTROL!$C$21, $C$9, 100%, $E$9)</f>
        <v>28.8932</v>
      </c>
      <c r="L648" s="10">
        <f>CHOOSE(CONTROL!$C$42, 29.578, 29.578) * CHOOSE(CONTROL!$C$21, $C$9, 100%, $E$9)</f>
        <v>29.577999999999999</v>
      </c>
      <c r="M648" s="10">
        <f>CHOOSE(CONTROL!$C$42, 28.6169, 28.6169) * CHOOSE(CONTROL!$C$21, $C$9, 100%, $E$9)</f>
        <v>28.616900000000001</v>
      </c>
      <c r="N648" s="10">
        <f>CHOOSE(CONTROL!$C$42, 28.6342, 28.6342) * CHOOSE(CONTROL!$C$21, $C$9, 100%, $E$9)</f>
        <v>28.6342</v>
      </c>
      <c r="O648" s="10">
        <f>CHOOSE(CONTROL!$C$42, 28.7123, 28.7123) * CHOOSE(CONTROL!$C$21, $C$9, 100%, $E$9)</f>
        <v>28.712299999999999</v>
      </c>
      <c r="P648" s="10">
        <f>CHOOSE(CONTROL!$C$42, 28.6193, 28.6193) * CHOOSE(CONTROL!$C$21, $C$9, 100%, $E$9)</f>
        <v>28.619299999999999</v>
      </c>
      <c r="Q648" s="10">
        <f>CHOOSE(CONTROL!$C$42, 29.3076, 29.3076) * CHOOSE(CONTROL!$C$21, $C$9, 100%, $E$9)</f>
        <v>29.307600000000001</v>
      </c>
      <c r="R648" s="10">
        <f>CHOOSE(CONTROL!$C$42, 29.9678, 29.9678) * CHOOSE(CONTROL!$C$21, $C$9, 100%, $E$9)</f>
        <v>29.9678</v>
      </c>
      <c r="S648" s="10">
        <f>CHOOSE(CONTROL!$C$42, 28.0952, 28.0952) * CHOOSE(CONTROL!$C$21, $C$9, 100%, $E$9)</f>
        <v>28.095199999999998</v>
      </c>
      <c r="T648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648" s="58">
        <f>(1000*CHOOSE(CONTROL!$C$42, 695, 695)*CHOOSE(CONTROL!$C$42, 0.5599, 0.5599)*CHOOSE(CONTROL!$C$42, 31, 31))/1000000</f>
        <v>12.063045499999998</v>
      </c>
      <c r="V648" s="58">
        <f>(1000*CHOOSE(CONTROL!$C$42, 500, 500)*CHOOSE(CONTROL!$C$42, 0.275, 0.275)*CHOOSE(CONTROL!$C$42, 31, 31))/1000000</f>
        <v>4.2625000000000002</v>
      </c>
      <c r="W648" s="58">
        <f>(1000*CHOOSE(CONTROL!$C$42, 0.1146, 0.1146)*CHOOSE(CONTROL!$C$42, 121.5, 121.5)*CHOOSE(CONTROL!$C$42, 31, 31))/1000000</f>
        <v>0.43164089999999994</v>
      </c>
      <c r="X648" s="58">
        <f>(31*0.1790888*100000/1000000)+(31*0.2374*100000/1000000)</f>
        <v>1.2911152800000001</v>
      </c>
      <c r="Y648" s="58"/>
      <c r="Z648" s="10"/>
      <c r="AA648" s="57"/>
      <c r="AB648" s="51">
        <f>(B648*122.58+C648*297.941+D648*89.177+E648*40.302+F648*40+G648*160+H648*0+I648*100+J648*300)/(122.58+297.941+89.177+40.302+0+40+160+100+300)</f>
        <v>28.923455777391297</v>
      </c>
      <c r="AC648" s="27">
        <f>(M648*'RAP TEMPLATE-GAS AVAILABILITY'!O647+N648*'RAP TEMPLATE-GAS AVAILABILITY'!P647+O648*'RAP TEMPLATE-GAS AVAILABILITY'!Q647+P648*'RAP TEMPLATE-GAS AVAILABILITY'!R647)/('RAP TEMPLATE-GAS AVAILABILITY'!O647+'RAP TEMPLATE-GAS AVAILABILITY'!P647+'RAP TEMPLATE-GAS AVAILABILITY'!Q647+'RAP TEMPLATE-GAS AVAILABILITY'!R647)</f>
        <v>28.661479856115111</v>
      </c>
    </row>
    <row r="649" spans="1:29" ht="15.75" x14ac:dyDescent="0.25">
      <c r="A649" s="13">
        <v>60663</v>
      </c>
      <c r="B649" s="10">
        <f>CHOOSE(CONTROL!$C$42, 31.304, 31.304) * CHOOSE(CONTROL!$C$21, $C$9, 100%, $E$9)</f>
        <v>31.303999999999998</v>
      </c>
      <c r="C649" s="10">
        <f>CHOOSE(CONTROL!$C$42, 31.3089, 31.3089) * CHOOSE(CONTROL!$C$21, $C$9, 100%, $E$9)</f>
        <v>31.308900000000001</v>
      </c>
      <c r="D649" s="10">
        <f>CHOOSE(CONTROL!$C$42, 31.3591, 31.3591) * CHOOSE(CONTROL!$C$21, $C$9, 100%, $E$9)</f>
        <v>31.359100000000002</v>
      </c>
      <c r="E649" s="10">
        <f>CHOOSE(CONTROL!$C$42, 31.3929, 31.3929) * CHOOSE(CONTROL!$C$21, $C$9, 100%, $E$9)</f>
        <v>31.392900000000001</v>
      </c>
      <c r="F649" s="10">
        <f>CHOOSE(CONTROL!$C$42, 31.2693, 31.2693)*CHOOSE(CONTROL!$C$21, $C$9, 100%, $E$9)</f>
        <v>31.269300000000001</v>
      </c>
      <c r="G649" s="10">
        <f>CHOOSE(CONTROL!$C$42, 31.2869, 31.2869)*CHOOSE(CONTROL!$C$21, $C$9, 100%, $E$9)</f>
        <v>31.286899999999999</v>
      </c>
      <c r="H649" s="10">
        <f>CHOOSE(CONTROL!$C$42, 31.3821, 31.3821) * CHOOSE(CONTROL!$C$21, $C$9, 100%, $E$9)</f>
        <v>31.382100000000001</v>
      </c>
      <c r="I649" s="10">
        <f>CHOOSE(CONTROL!$C$42, 31.2778, 31.2778)* CHOOSE(CONTROL!$C$21, $C$9, 100%, $E$9)</f>
        <v>31.277799999999999</v>
      </c>
      <c r="J649" s="10">
        <f>CHOOSE(CONTROL!$C$42, 31.2623, 31.2623)* CHOOSE(CONTROL!$C$21, $C$9, 100%, $E$9)</f>
        <v>31.2623</v>
      </c>
      <c r="K649" s="54">
        <f>CHOOSE(CONTROL!$C$42, 31.274, 31.274) * CHOOSE(CONTROL!$C$21, $C$9, 100%, $E$9)</f>
        <v>31.274000000000001</v>
      </c>
      <c r="L649" s="10">
        <f>CHOOSE(CONTROL!$C$42, 31.9691, 31.9691) * CHOOSE(CONTROL!$C$21, $C$9, 100%, $E$9)</f>
        <v>31.969100000000001</v>
      </c>
      <c r="M649" s="10">
        <f>CHOOSE(CONTROL!$C$42, 30.9607, 30.9607) * CHOOSE(CONTROL!$C$21, $C$9, 100%, $E$9)</f>
        <v>30.960699999999999</v>
      </c>
      <c r="N649" s="10">
        <f>CHOOSE(CONTROL!$C$42, 30.978, 30.978) * CHOOSE(CONTROL!$C$21, $C$9, 100%, $E$9)</f>
        <v>30.978000000000002</v>
      </c>
      <c r="O649" s="10">
        <f>CHOOSE(CONTROL!$C$42, 31.0792, 31.0792) * CHOOSE(CONTROL!$C$21, $C$9, 100%, $E$9)</f>
        <v>31.0792</v>
      </c>
      <c r="P649" s="10">
        <f>CHOOSE(CONTROL!$C$42, 30.9761, 30.9761) * CHOOSE(CONTROL!$C$21, $C$9, 100%, $E$9)</f>
        <v>30.976099999999999</v>
      </c>
      <c r="Q649" s="10">
        <f>CHOOSE(CONTROL!$C$42, 31.6745, 31.6745) * CHOOSE(CONTROL!$C$21, $C$9, 100%, $E$9)</f>
        <v>31.674499999999998</v>
      </c>
      <c r="R649" s="10">
        <f>CHOOSE(CONTROL!$C$42, 32.3407, 32.3407) * CHOOSE(CONTROL!$C$21, $C$9, 100%, $E$9)</f>
        <v>32.340699999999998</v>
      </c>
      <c r="S649" s="10">
        <f>CHOOSE(CONTROL!$C$42, 30.3971, 30.3971) * CHOOSE(CONTROL!$C$21, $C$9, 100%, $E$9)</f>
        <v>30.397099999999998</v>
      </c>
      <c r="T649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649" s="58">
        <f>(1000*CHOOSE(CONTROL!$C$42, 695, 695)*CHOOSE(CONTROL!$C$42, 0.5599, 0.5599)*CHOOSE(CONTROL!$C$42, 31, 31))/1000000</f>
        <v>12.063045499999998</v>
      </c>
      <c r="V649" s="58">
        <f>(1000*CHOOSE(CONTROL!$C$42, 500, 500)*CHOOSE(CONTROL!$C$42, 0.275, 0.275)*CHOOSE(CONTROL!$C$42, 31, 31))/1000000</f>
        <v>4.2625000000000002</v>
      </c>
      <c r="W649" s="58">
        <f>(1000*CHOOSE(CONTROL!$C$42, 0.1146, 0.1146)*CHOOSE(CONTROL!$C$42, 121.5, 121.5)*CHOOSE(CONTROL!$C$42, 31, 31))/1000000</f>
        <v>0.43164089999999994</v>
      </c>
      <c r="X649" s="58">
        <f>(31*0.1790888*100000/1000000)+(31*0.2374*100000/1000000)</f>
        <v>1.2911152800000001</v>
      </c>
      <c r="Y649" s="58"/>
      <c r="Z649" s="10"/>
      <c r="AA649" s="57"/>
      <c r="AB649" s="51">
        <f>(B649*122.58+C649*297.941+D649*89.177+E649*40.302+F649*40+G649*160+H649*0+I649*100+J649*300)/(122.58+297.941+89.177+40.302+0+40+160+100+300)</f>
        <v>31.295915140347827</v>
      </c>
      <c r="AC649" s="27">
        <f>(M649*'RAP TEMPLATE-GAS AVAILABILITY'!O648+N649*'RAP TEMPLATE-GAS AVAILABILITY'!P648+O649*'RAP TEMPLATE-GAS AVAILABILITY'!Q648+P649*'RAP TEMPLATE-GAS AVAILABILITY'!R648)/('RAP TEMPLATE-GAS AVAILABILITY'!O648+'RAP TEMPLATE-GAS AVAILABILITY'!P648+'RAP TEMPLATE-GAS AVAILABILITY'!Q648+'RAP TEMPLATE-GAS AVAILABILITY'!R648)</f>
        <v>31.017620143884891</v>
      </c>
    </row>
    <row r="650" spans="1:29" ht="15.75" x14ac:dyDescent="0.25">
      <c r="A650" s="13">
        <v>60691</v>
      </c>
      <c r="B650" s="10">
        <f>CHOOSE(CONTROL!$C$42, 31.8612, 31.8612) * CHOOSE(CONTROL!$C$21, $C$9, 100%, $E$9)</f>
        <v>31.8612</v>
      </c>
      <c r="C650" s="10">
        <f>CHOOSE(CONTROL!$C$42, 31.8661, 31.8661) * CHOOSE(CONTROL!$C$21, $C$9, 100%, $E$9)</f>
        <v>31.866099999999999</v>
      </c>
      <c r="D650" s="10">
        <f>CHOOSE(CONTROL!$C$42, 31.9266, 31.9266) * CHOOSE(CONTROL!$C$21, $C$9, 100%, $E$9)</f>
        <v>31.926600000000001</v>
      </c>
      <c r="E650" s="10">
        <f>CHOOSE(CONTROL!$C$42, 31.9604, 31.9604) * CHOOSE(CONTROL!$C$21, $C$9, 100%, $E$9)</f>
        <v>31.9604</v>
      </c>
      <c r="F650" s="10">
        <f>CHOOSE(CONTROL!$C$42, 31.8544, 31.8544)*CHOOSE(CONTROL!$C$21, $C$9, 100%, $E$9)</f>
        <v>31.854399999999998</v>
      </c>
      <c r="G650" s="10">
        <f>CHOOSE(CONTROL!$C$42, 31.8717, 31.8717)*CHOOSE(CONTROL!$C$21, $C$9, 100%, $E$9)</f>
        <v>31.871700000000001</v>
      </c>
      <c r="H650" s="10">
        <f>CHOOSE(CONTROL!$C$42, 31.9496, 31.9496) * CHOOSE(CONTROL!$C$21, $C$9, 100%, $E$9)</f>
        <v>31.9496</v>
      </c>
      <c r="I650" s="10">
        <f>CHOOSE(CONTROL!$C$42, 31.8479, 31.8479)* CHOOSE(CONTROL!$C$21, $C$9, 100%, $E$9)</f>
        <v>31.847899999999999</v>
      </c>
      <c r="J650" s="10">
        <f>CHOOSE(CONTROL!$C$42, 31.8474, 31.8474)* CHOOSE(CONTROL!$C$21, $C$9, 100%, $E$9)</f>
        <v>31.8474</v>
      </c>
      <c r="K650" s="54">
        <f>CHOOSE(CONTROL!$C$42, 31.844, 31.844) * CHOOSE(CONTROL!$C$21, $C$9, 100%, $E$9)</f>
        <v>31.844000000000001</v>
      </c>
      <c r="L650" s="10">
        <f>CHOOSE(CONTROL!$C$42, 32.5366, 32.5366) * CHOOSE(CONTROL!$C$21, $C$9, 100%, $E$9)</f>
        <v>32.5366</v>
      </c>
      <c r="M650" s="10">
        <f>CHOOSE(CONTROL!$C$42, 31.5398, 31.5398) * CHOOSE(CONTROL!$C$21, $C$9, 100%, $E$9)</f>
        <v>31.5398</v>
      </c>
      <c r="N650" s="10">
        <f>CHOOSE(CONTROL!$C$42, 31.5569, 31.5569) * CHOOSE(CONTROL!$C$21, $C$9, 100%, $E$9)</f>
        <v>31.556899999999999</v>
      </c>
      <c r="O650" s="10">
        <f>CHOOSE(CONTROL!$C$42, 31.641, 31.641) * CHOOSE(CONTROL!$C$21, $C$9, 100%, $E$9)</f>
        <v>31.640999999999998</v>
      </c>
      <c r="P650" s="10">
        <f>CHOOSE(CONTROL!$C$42, 31.5404, 31.5404) * CHOOSE(CONTROL!$C$21, $C$9, 100%, $E$9)</f>
        <v>31.540400000000002</v>
      </c>
      <c r="Q650" s="10">
        <f>CHOOSE(CONTROL!$C$42, 32.2363, 32.2363) * CHOOSE(CONTROL!$C$21, $C$9, 100%, $E$9)</f>
        <v>32.2363</v>
      </c>
      <c r="R650" s="10">
        <f>CHOOSE(CONTROL!$C$42, 32.9039, 32.9039) * CHOOSE(CONTROL!$C$21, $C$9, 100%, $E$9)</f>
        <v>32.9039</v>
      </c>
      <c r="S650" s="10">
        <f>CHOOSE(CONTROL!$C$42, 30.9382, 30.9382) * CHOOSE(CONTROL!$C$21, $C$9, 100%, $E$9)</f>
        <v>30.938199999999998</v>
      </c>
      <c r="T650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650" s="58">
        <f>(1000*CHOOSE(CONTROL!$C$42, 695, 695)*CHOOSE(CONTROL!$C$42, 0.5599, 0.5599)*CHOOSE(CONTROL!$C$42, 28, 28))/1000000</f>
        <v>10.895653999999999</v>
      </c>
      <c r="V650" s="58">
        <f>(1000*CHOOSE(CONTROL!$C$42, 500, 500)*CHOOSE(CONTROL!$C$42, 0.275, 0.275)*CHOOSE(CONTROL!$C$42, 28, 28))/1000000</f>
        <v>3.85</v>
      </c>
      <c r="W650" s="58">
        <f>(1000*CHOOSE(CONTROL!$C$42, 0.1146, 0.1146)*CHOOSE(CONTROL!$C$42, 121.5, 121.5)*CHOOSE(CONTROL!$C$42, 28, 28))/1000000</f>
        <v>0.38986920000000003</v>
      </c>
      <c r="X650" s="58">
        <f>(28*0.1790888*100000/1000000)+(28*0.2374*100000/1000000)</f>
        <v>1.16616864</v>
      </c>
      <c r="Y650" s="58"/>
      <c r="Z650" s="10"/>
      <c r="AA650" s="57"/>
      <c r="AB650" s="51">
        <f>(B650*122.58+C650*297.941+D650*89.177+E650*40.302+F650*40+G650*160+H650*0+I650*100+J650*300)/(122.58+297.941+89.177+40.302+0+40+160+100+300)</f>
        <v>31.867485256608695</v>
      </c>
      <c r="AC650" s="27">
        <f>(M650*'RAP TEMPLATE-GAS AVAILABILITY'!O649+N650*'RAP TEMPLATE-GAS AVAILABILITY'!P649+O650*'RAP TEMPLATE-GAS AVAILABILITY'!Q649+P650*'RAP TEMPLATE-GAS AVAILABILITY'!R649)/('RAP TEMPLATE-GAS AVAILABILITY'!O649+'RAP TEMPLATE-GAS AVAILABILITY'!P649+'RAP TEMPLATE-GAS AVAILABILITY'!Q649+'RAP TEMPLATE-GAS AVAILABILITY'!R649)</f>
        <v>31.586738129496403</v>
      </c>
    </row>
    <row r="651" spans="1:29" ht="15.75" x14ac:dyDescent="0.25">
      <c r="A651" s="13">
        <v>60722</v>
      </c>
      <c r="B651" s="10">
        <f>CHOOSE(CONTROL!$C$42, 30.9567, 30.9567) * CHOOSE(CONTROL!$C$21, $C$9, 100%, $E$9)</f>
        <v>30.956700000000001</v>
      </c>
      <c r="C651" s="10">
        <f>CHOOSE(CONTROL!$C$42, 30.9616, 30.9616) * CHOOSE(CONTROL!$C$21, $C$9, 100%, $E$9)</f>
        <v>30.961600000000001</v>
      </c>
      <c r="D651" s="10">
        <f>CHOOSE(CONTROL!$C$42, 31.0221, 31.0221) * CHOOSE(CONTROL!$C$21, $C$9, 100%, $E$9)</f>
        <v>31.022099999999998</v>
      </c>
      <c r="E651" s="10">
        <f>CHOOSE(CONTROL!$C$42, 31.0559, 31.0559) * CHOOSE(CONTROL!$C$21, $C$9, 100%, $E$9)</f>
        <v>31.055900000000001</v>
      </c>
      <c r="F651" s="10">
        <f>CHOOSE(CONTROL!$C$42, 30.9444, 30.9444)*CHOOSE(CONTROL!$C$21, $C$9, 100%, $E$9)</f>
        <v>30.944400000000002</v>
      </c>
      <c r="G651" s="10">
        <f>CHOOSE(CONTROL!$C$42, 30.9616, 30.9616)*CHOOSE(CONTROL!$C$21, $C$9, 100%, $E$9)</f>
        <v>30.961600000000001</v>
      </c>
      <c r="H651" s="10">
        <f>CHOOSE(CONTROL!$C$42, 31.0451, 31.0451) * CHOOSE(CONTROL!$C$21, $C$9, 100%, $E$9)</f>
        <v>31.045100000000001</v>
      </c>
      <c r="I651" s="10">
        <f>CHOOSE(CONTROL!$C$42, 30.9306, 30.9306)* CHOOSE(CONTROL!$C$21, $C$9, 100%, $E$9)</f>
        <v>30.930599999999998</v>
      </c>
      <c r="J651" s="10">
        <f>CHOOSE(CONTROL!$C$42, 30.9374, 30.9374)* CHOOSE(CONTROL!$C$21, $C$9, 100%, $E$9)</f>
        <v>30.9374</v>
      </c>
      <c r="K651" s="54">
        <f>CHOOSE(CONTROL!$C$42, 30.9267, 30.9267) * CHOOSE(CONTROL!$C$21, $C$9, 100%, $E$9)</f>
        <v>30.9267</v>
      </c>
      <c r="L651" s="10">
        <f>CHOOSE(CONTROL!$C$42, 31.6321, 31.6321) * CHOOSE(CONTROL!$C$21, $C$9, 100%, $E$9)</f>
        <v>31.632100000000001</v>
      </c>
      <c r="M651" s="10">
        <f>CHOOSE(CONTROL!$C$42, 30.639, 30.639) * CHOOSE(CONTROL!$C$21, $C$9, 100%, $E$9)</f>
        <v>30.638999999999999</v>
      </c>
      <c r="N651" s="10">
        <f>CHOOSE(CONTROL!$C$42, 30.6561, 30.6561) * CHOOSE(CONTROL!$C$21, $C$9, 100%, $E$9)</f>
        <v>30.656099999999999</v>
      </c>
      <c r="O651" s="10">
        <f>CHOOSE(CONTROL!$C$42, 30.7456, 30.7456) * CHOOSE(CONTROL!$C$21, $C$9, 100%, $E$9)</f>
        <v>30.7456</v>
      </c>
      <c r="P651" s="10">
        <f>CHOOSE(CONTROL!$C$42, 30.6323, 30.6323) * CHOOSE(CONTROL!$C$21, $C$9, 100%, $E$9)</f>
        <v>30.632300000000001</v>
      </c>
      <c r="Q651" s="10">
        <f>CHOOSE(CONTROL!$C$42, 31.3409, 31.3409) * CHOOSE(CONTROL!$C$21, $C$9, 100%, $E$9)</f>
        <v>31.340900000000001</v>
      </c>
      <c r="R651" s="10">
        <f>CHOOSE(CONTROL!$C$42, 32.0063, 32.0063) * CHOOSE(CONTROL!$C$21, $C$9, 100%, $E$9)</f>
        <v>32.006300000000003</v>
      </c>
      <c r="S651" s="10">
        <f>CHOOSE(CONTROL!$C$42, 30.0599, 30.0599) * CHOOSE(CONTROL!$C$21, $C$9, 100%, $E$9)</f>
        <v>30.059899999999999</v>
      </c>
      <c r="T651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651" s="58">
        <f>(1000*CHOOSE(CONTROL!$C$42, 695, 695)*CHOOSE(CONTROL!$C$42, 0.5599, 0.5599)*CHOOSE(CONTROL!$C$42, 31, 31))/1000000</f>
        <v>12.063045499999998</v>
      </c>
      <c r="V651" s="58">
        <f>(1000*CHOOSE(CONTROL!$C$42, 500, 500)*CHOOSE(CONTROL!$C$42, 0.275, 0.275)*CHOOSE(CONTROL!$C$42, 31, 31))/1000000</f>
        <v>4.2625000000000002</v>
      </c>
      <c r="W651" s="58">
        <f>(1000*CHOOSE(CONTROL!$C$42, 0.1146, 0.1146)*CHOOSE(CONTROL!$C$42, 121.5, 121.5)*CHOOSE(CONTROL!$C$42, 31, 31))/1000000</f>
        <v>0.43164089999999994</v>
      </c>
      <c r="X651" s="58">
        <f>(31*0.1790888*100000/1000000)+(31*0.2374*100000/1000000)</f>
        <v>1.2911152800000001</v>
      </c>
      <c r="Y651" s="58"/>
      <c r="Z651" s="10"/>
      <c r="AA651" s="57"/>
      <c r="AB651" s="51">
        <f>(B651*122.58+C651*297.941+D651*89.177+E651*40.302+F651*40+G651*160+H651*0+I651*100+J651*300)/(122.58+297.941+89.177+40.302+0+40+160+100+300)</f>
        <v>30.959466995739135</v>
      </c>
      <c r="AC651" s="27">
        <f>(M651*'RAP TEMPLATE-GAS AVAILABILITY'!O650+N651*'RAP TEMPLATE-GAS AVAILABILITY'!P650+O651*'RAP TEMPLATE-GAS AVAILABILITY'!Q650+P651*'RAP TEMPLATE-GAS AVAILABILITY'!R650)/('RAP TEMPLATE-GAS AVAILABILITY'!O650+'RAP TEMPLATE-GAS AVAILABILITY'!P650+'RAP TEMPLATE-GAS AVAILABILITY'!Q650+'RAP TEMPLATE-GAS AVAILABILITY'!R650)</f>
        <v>30.687335251798562</v>
      </c>
    </row>
    <row r="652" spans="1:29" ht="15.75" x14ac:dyDescent="0.25">
      <c r="A652" s="13">
        <v>60752</v>
      </c>
      <c r="B652" s="10">
        <f>CHOOSE(CONTROL!$C$42, 30.8652, 30.8652) * CHOOSE(CONTROL!$C$21, $C$9, 100%, $E$9)</f>
        <v>30.865200000000002</v>
      </c>
      <c r="C652" s="10">
        <f>CHOOSE(CONTROL!$C$42, 30.8695, 30.8695) * CHOOSE(CONTROL!$C$21, $C$9, 100%, $E$9)</f>
        <v>30.869499999999999</v>
      </c>
      <c r="D652" s="10">
        <f>CHOOSE(CONTROL!$C$42, 31.0651, 31.0651) * CHOOSE(CONTROL!$C$21, $C$9, 100%, $E$9)</f>
        <v>31.065100000000001</v>
      </c>
      <c r="E652" s="10">
        <f>CHOOSE(CONTROL!$C$42, 31.0969, 31.0969) * CHOOSE(CONTROL!$C$21, $C$9, 100%, $E$9)</f>
        <v>31.096900000000002</v>
      </c>
      <c r="F652" s="10">
        <f>CHOOSE(CONTROL!$C$42, 30.833, 30.833)*CHOOSE(CONTROL!$C$21, $C$9, 100%, $E$9)</f>
        <v>30.832999999999998</v>
      </c>
      <c r="G652" s="10">
        <f>CHOOSE(CONTROL!$C$42, 30.8498, 30.8498)*CHOOSE(CONTROL!$C$21, $C$9, 100%, $E$9)</f>
        <v>30.849799999999998</v>
      </c>
      <c r="H652" s="10">
        <f>CHOOSE(CONTROL!$C$42, 31.0867, 31.0867) * CHOOSE(CONTROL!$C$21, $C$9, 100%, $E$9)</f>
        <v>31.0867</v>
      </c>
      <c r="I652" s="10">
        <f>CHOOSE(CONTROL!$C$42, 30.8331, 30.8331)* CHOOSE(CONTROL!$C$21, $C$9, 100%, $E$9)</f>
        <v>30.833100000000002</v>
      </c>
      <c r="J652" s="10">
        <f>CHOOSE(CONTROL!$C$42, 30.826, 30.826)* CHOOSE(CONTROL!$C$21, $C$9, 100%, $E$9)</f>
        <v>30.826000000000001</v>
      </c>
      <c r="K652" s="54">
        <f>CHOOSE(CONTROL!$C$42, 30.8292, 30.8292) * CHOOSE(CONTROL!$C$21, $C$9, 100%, $E$9)</f>
        <v>30.8292</v>
      </c>
      <c r="L652" s="10">
        <f>CHOOSE(CONTROL!$C$42, 31.6737, 31.6737) * CHOOSE(CONTROL!$C$21, $C$9, 100%, $E$9)</f>
        <v>31.6737</v>
      </c>
      <c r="M652" s="10">
        <f>CHOOSE(CONTROL!$C$42, 30.5287, 30.5287) * CHOOSE(CONTROL!$C$21, $C$9, 100%, $E$9)</f>
        <v>30.528700000000001</v>
      </c>
      <c r="N652" s="10">
        <f>CHOOSE(CONTROL!$C$42, 30.5453, 30.5453) * CHOOSE(CONTROL!$C$21, $C$9, 100%, $E$9)</f>
        <v>30.545300000000001</v>
      </c>
      <c r="O652" s="10">
        <f>CHOOSE(CONTROL!$C$42, 30.7868, 30.7868) * CHOOSE(CONTROL!$C$21, $C$9, 100%, $E$9)</f>
        <v>30.786799999999999</v>
      </c>
      <c r="P652" s="10">
        <f>CHOOSE(CONTROL!$C$42, 30.5358, 30.5358) * CHOOSE(CONTROL!$C$21, $C$9, 100%, $E$9)</f>
        <v>30.535799999999998</v>
      </c>
      <c r="Q652" s="10">
        <f>CHOOSE(CONTROL!$C$42, 31.3821, 31.3821) * CHOOSE(CONTROL!$C$21, $C$9, 100%, $E$9)</f>
        <v>31.382100000000001</v>
      </c>
      <c r="R652" s="10">
        <f>CHOOSE(CONTROL!$C$42, 32.0476, 32.0476) * CHOOSE(CONTROL!$C$21, $C$9, 100%, $E$9)</f>
        <v>32.047600000000003</v>
      </c>
      <c r="S652" s="10">
        <f>CHOOSE(CONTROL!$C$42, 29.9703, 29.9703) * CHOOSE(CONTROL!$C$21, $C$9, 100%, $E$9)</f>
        <v>29.970300000000002</v>
      </c>
      <c r="T652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652" s="58">
        <f>(1000*CHOOSE(CONTROL!$C$42, 695, 695)*CHOOSE(CONTROL!$C$42, 0.5599, 0.5599)*CHOOSE(CONTROL!$C$42, 30, 30))/1000000</f>
        <v>11.673914999999997</v>
      </c>
      <c r="V652" s="58">
        <f>(1000*CHOOSE(CONTROL!$C$42, 500, 500)*CHOOSE(CONTROL!$C$42, 0.275, 0.275)*CHOOSE(CONTROL!$C$42, 30, 30))/1000000</f>
        <v>4.125</v>
      </c>
      <c r="W652" s="58">
        <f>(1000*CHOOSE(CONTROL!$C$42, 0.1146, 0.1146)*CHOOSE(CONTROL!$C$42, 121.5, 121.5)*CHOOSE(CONTROL!$C$42, 30, 30))/1000000</f>
        <v>0.417717</v>
      </c>
      <c r="X652" s="58">
        <f>(30*0.1790888*245000/1000000)+(30*0.2374*100000/1000000)</f>
        <v>2.0285026799999999</v>
      </c>
      <c r="Y652" s="58"/>
      <c r="Z652" s="10"/>
      <c r="AA652" s="57"/>
      <c r="AB652" s="51">
        <f>(B652*141.293+C652*267.993+D652*115.016+E652*89.698+F652*40+G652*185+H652*0+I652*100+J652*300)/(141.293+267.993+115.016+89.698+0+40+185+100+300)</f>
        <v>30.886039463196127</v>
      </c>
      <c r="AC652" s="27">
        <f>(M652*'RAP TEMPLATE-GAS AVAILABILITY'!O651+N652*'RAP TEMPLATE-GAS AVAILABILITY'!P651+O652*'RAP TEMPLATE-GAS AVAILABILITY'!Q651+P652*'RAP TEMPLATE-GAS AVAILABILITY'!R651)/('RAP TEMPLATE-GAS AVAILABILITY'!O651+'RAP TEMPLATE-GAS AVAILABILITY'!P651+'RAP TEMPLATE-GAS AVAILABILITY'!Q651+'RAP TEMPLATE-GAS AVAILABILITY'!R651)</f>
        <v>30.64765755395684</v>
      </c>
    </row>
    <row r="653" spans="1:29" ht="15.75" x14ac:dyDescent="0.25">
      <c r="A653" s="13">
        <v>60783</v>
      </c>
      <c r="B653" s="10">
        <f>CHOOSE(CONTROL!$C$42, 31.139, 31.139) * CHOOSE(CONTROL!$C$21, $C$9, 100%, $E$9)</f>
        <v>31.138999999999999</v>
      </c>
      <c r="C653" s="10">
        <f>CHOOSE(CONTROL!$C$42, 31.1469, 31.1469) * CHOOSE(CONTROL!$C$21, $C$9, 100%, $E$9)</f>
        <v>31.146899999999999</v>
      </c>
      <c r="D653" s="10">
        <f>CHOOSE(CONTROL!$C$42, 31.3393, 31.3393) * CHOOSE(CONTROL!$C$21, $C$9, 100%, $E$9)</f>
        <v>31.339300000000001</v>
      </c>
      <c r="E653" s="10">
        <f>CHOOSE(CONTROL!$C$42, 31.3704, 31.3704) * CHOOSE(CONTROL!$C$21, $C$9, 100%, $E$9)</f>
        <v>31.3704</v>
      </c>
      <c r="F653" s="10">
        <f>CHOOSE(CONTROL!$C$42, 31.1052, 31.1052)*CHOOSE(CONTROL!$C$21, $C$9, 100%, $E$9)</f>
        <v>31.1052</v>
      </c>
      <c r="G653" s="10">
        <f>CHOOSE(CONTROL!$C$42, 31.1223, 31.1223)*CHOOSE(CONTROL!$C$21, $C$9, 100%, $E$9)</f>
        <v>31.122299999999999</v>
      </c>
      <c r="H653" s="10">
        <f>CHOOSE(CONTROL!$C$42, 31.3591, 31.3591) * CHOOSE(CONTROL!$C$21, $C$9, 100%, $E$9)</f>
        <v>31.359100000000002</v>
      </c>
      <c r="I653" s="10">
        <f>CHOOSE(CONTROL!$C$42, 31.1055, 31.1055)* CHOOSE(CONTROL!$C$21, $C$9, 100%, $E$9)</f>
        <v>31.105499999999999</v>
      </c>
      <c r="J653" s="10">
        <f>CHOOSE(CONTROL!$C$42, 31.0982, 31.0982)* CHOOSE(CONTROL!$C$21, $C$9, 100%, $E$9)</f>
        <v>31.098199999999999</v>
      </c>
      <c r="K653" s="54">
        <f>CHOOSE(CONTROL!$C$42, 31.1016, 31.1016) * CHOOSE(CONTROL!$C$21, $C$9, 100%, $E$9)</f>
        <v>31.101600000000001</v>
      </c>
      <c r="L653" s="10">
        <f>CHOOSE(CONTROL!$C$42, 31.9461, 31.9461) * CHOOSE(CONTROL!$C$21, $C$9, 100%, $E$9)</f>
        <v>31.946100000000001</v>
      </c>
      <c r="M653" s="10">
        <f>CHOOSE(CONTROL!$C$42, 30.7982, 30.7982) * CHOOSE(CONTROL!$C$21, $C$9, 100%, $E$9)</f>
        <v>30.798200000000001</v>
      </c>
      <c r="N653" s="10">
        <f>CHOOSE(CONTROL!$C$42, 30.8151, 30.8151) * CHOOSE(CONTROL!$C$21, $C$9, 100%, $E$9)</f>
        <v>30.815100000000001</v>
      </c>
      <c r="O653" s="10">
        <f>CHOOSE(CONTROL!$C$42, 31.0564, 31.0564) * CHOOSE(CONTROL!$C$21, $C$9, 100%, $E$9)</f>
        <v>31.0564</v>
      </c>
      <c r="P653" s="10">
        <f>CHOOSE(CONTROL!$C$42, 30.8055, 30.8055) * CHOOSE(CONTROL!$C$21, $C$9, 100%, $E$9)</f>
        <v>30.805499999999999</v>
      </c>
      <c r="Q653" s="10">
        <f>CHOOSE(CONTROL!$C$42, 31.6517, 31.6517) * CHOOSE(CONTROL!$C$21, $C$9, 100%, $E$9)</f>
        <v>31.651700000000002</v>
      </c>
      <c r="R653" s="10">
        <f>CHOOSE(CONTROL!$C$42, 32.3179, 32.3179) * CHOOSE(CONTROL!$C$21, $C$9, 100%, $E$9)</f>
        <v>32.317900000000002</v>
      </c>
      <c r="S653" s="10">
        <f>CHOOSE(CONTROL!$C$42, 30.2348, 30.2348) * CHOOSE(CONTROL!$C$21, $C$9, 100%, $E$9)</f>
        <v>30.2348</v>
      </c>
      <c r="T653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653" s="58">
        <f>(1000*CHOOSE(CONTROL!$C$42, 695, 695)*CHOOSE(CONTROL!$C$42, 0.5599, 0.5599)*CHOOSE(CONTROL!$C$42, 31, 31))/1000000</f>
        <v>12.063045499999998</v>
      </c>
      <c r="V653" s="58">
        <f>(1000*CHOOSE(CONTROL!$C$42, 500, 500)*CHOOSE(CONTROL!$C$42, 0.275, 0.275)*CHOOSE(CONTROL!$C$42, 31, 31))/1000000</f>
        <v>4.2625000000000002</v>
      </c>
      <c r="W653" s="58">
        <f>(1000*CHOOSE(CONTROL!$C$42, 0.1146, 0.1146)*CHOOSE(CONTROL!$C$42, 121.5, 121.5)*CHOOSE(CONTROL!$C$42, 31, 31))/1000000</f>
        <v>0.43164089999999994</v>
      </c>
      <c r="X653" s="58">
        <f>(31*0.1790888*245000/1000000)+(31*0.2374*100000/1000000)</f>
        <v>2.0961194359999999</v>
      </c>
      <c r="Y653" s="58"/>
      <c r="Z653" s="10"/>
      <c r="AA653" s="57"/>
      <c r="AB653" s="51">
        <f>(B653*194.205+C653*267.466+D653*133.845+E653*53.484+F653*40+G653*185+H653*0+I653*100+J653*300)/(194.205+267.466+133.845+53.484+0+40+185+100+300)</f>
        <v>31.155692961145991</v>
      </c>
      <c r="AC653" s="27">
        <f>(M653*'RAP TEMPLATE-GAS AVAILABILITY'!O652+N653*'RAP TEMPLATE-GAS AVAILABILITY'!P652+O653*'RAP TEMPLATE-GAS AVAILABILITY'!Q652+P653*'RAP TEMPLATE-GAS AVAILABILITY'!R652)/('RAP TEMPLATE-GAS AVAILABILITY'!O652+'RAP TEMPLATE-GAS AVAILABILITY'!P652+'RAP TEMPLATE-GAS AVAILABILITY'!Q652+'RAP TEMPLATE-GAS AVAILABILITY'!R652)</f>
        <v>30.917248920863312</v>
      </c>
    </row>
    <row r="654" spans="1:29" ht="15.75" x14ac:dyDescent="0.25">
      <c r="A654" s="13">
        <v>60813</v>
      </c>
      <c r="B654" s="10">
        <f>CHOOSE(CONTROL!$C$42, 32.0221, 32.0221) * CHOOSE(CONTROL!$C$21, $C$9, 100%, $E$9)</f>
        <v>32.022100000000002</v>
      </c>
      <c r="C654" s="10">
        <f>CHOOSE(CONTROL!$C$42, 32.03, 32.03) * CHOOSE(CONTROL!$C$21, $C$9, 100%, $E$9)</f>
        <v>32.03</v>
      </c>
      <c r="D654" s="10">
        <f>CHOOSE(CONTROL!$C$42, 32.2224, 32.2224) * CHOOSE(CONTROL!$C$21, $C$9, 100%, $E$9)</f>
        <v>32.2224</v>
      </c>
      <c r="E654" s="10">
        <f>CHOOSE(CONTROL!$C$42, 32.2536, 32.2536) * CHOOSE(CONTROL!$C$21, $C$9, 100%, $E$9)</f>
        <v>32.253599999999999</v>
      </c>
      <c r="F654" s="10">
        <f>CHOOSE(CONTROL!$C$42, 31.9886, 31.9886)*CHOOSE(CONTROL!$C$21, $C$9, 100%, $E$9)</f>
        <v>31.988600000000002</v>
      </c>
      <c r="G654" s="10">
        <f>CHOOSE(CONTROL!$C$42, 32.0058, 32.0058)*CHOOSE(CONTROL!$C$21, $C$9, 100%, $E$9)</f>
        <v>32.005800000000001</v>
      </c>
      <c r="H654" s="10">
        <f>CHOOSE(CONTROL!$C$42, 32.2422, 32.2422) * CHOOSE(CONTROL!$C$21, $C$9, 100%, $E$9)</f>
        <v>32.242199999999997</v>
      </c>
      <c r="I654" s="10">
        <f>CHOOSE(CONTROL!$C$42, 31.9887, 31.9887)* CHOOSE(CONTROL!$C$21, $C$9, 100%, $E$9)</f>
        <v>31.988700000000001</v>
      </c>
      <c r="J654" s="10">
        <f>CHOOSE(CONTROL!$C$42, 31.9816, 31.9816)* CHOOSE(CONTROL!$C$21, $C$9, 100%, $E$9)</f>
        <v>31.9816</v>
      </c>
      <c r="K654" s="54">
        <f>CHOOSE(CONTROL!$C$42, 31.9848, 31.9848) * CHOOSE(CONTROL!$C$21, $C$9, 100%, $E$9)</f>
        <v>31.9848</v>
      </c>
      <c r="L654" s="10">
        <f>CHOOSE(CONTROL!$C$42, 32.8292, 32.8292) * CHOOSE(CONTROL!$C$21, $C$9, 100%, $E$9)</f>
        <v>32.8292</v>
      </c>
      <c r="M654" s="10">
        <f>CHOOSE(CONTROL!$C$42, 31.6727, 31.6727) * CHOOSE(CONTROL!$C$21, $C$9, 100%, $E$9)</f>
        <v>31.672699999999999</v>
      </c>
      <c r="N654" s="10">
        <f>CHOOSE(CONTROL!$C$42, 31.6897, 31.6897) * CHOOSE(CONTROL!$C$21, $C$9, 100%, $E$9)</f>
        <v>31.689699999999998</v>
      </c>
      <c r="O654" s="10">
        <f>CHOOSE(CONTROL!$C$42, 31.9307, 31.9307) * CHOOSE(CONTROL!$C$21, $C$9, 100%, $E$9)</f>
        <v>31.930700000000002</v>
      </c>
      <c r="P654" s="10">
        <f>CHOOSE(CONTROL!$C$42, 31.6797, 31.6797) * CHOOSE(CONTROL!$C$21, $C$9, 100%, $E$9)</f>
        <v>31.6797</v>
      </c>
      <c r="Q654" s="10">
        <f>CHOOSE(CONTROL!$C$42, 32.526, 32.526) * CHOOSE(CONTROL!$C$21, $C$9, 100%, $E$9)</f>
        <v>32.526000000000003</v>
      </c>
      <c r="R654" s="10">
        <f>CHOOSE(CONTROL!$C$42, 33.1943, 33.1943) * CHOOSE(CONTROL!$C$21, $C$9, 100%, $E$9)</f>
        <v>33.194299999999998</v>
      </c>
      <c r="S654" s="10">
        <f>CHOOSE(CONTROL!$C$42, 31.0924, 31.0924) * CHOOSE(CONTROL!$C$21, $C$9, 100%, $E$9)</f>
        <v>31.092400000000001</v>
      </c>
      <c r="T654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654" s="58">
        <f>(1000*CHOOSE(CONTROL!$C$42, 695, 695)*CHOOSE(CONTROL!$C$42, 0.5599, 0.5599)*CHOOSE(CONTROL!$C$42, 30, 30))/1000000</f>
        <v>11.673914999999997</v>
      </c>
      <c r="V654" s="58">
        <f>(1000*CHOOSE(CONTROL!$C$42, 500, 500)*CHOOSE(CONTROL!$C$42, 0.275, 0.275)*CHOOSE(CONTROL!$C$42, 30, 30))/1000000</f>
        <v>4.125</v>
      </c>
      <c r="W654" s="58">
        <f>(1000*CHOOSE(CONTROL!$C$42, 0.1146, 0.1146)*CHOOSE(CONTROL!$C$42, 121.5, 121.5)*CHOOSE(CONTROL!$C$42, 30, 30))/1000000</f>
        <v>0.417717</v>
      </c>
      <c r="X654" s="58">
        <f>(30*0.1790888*245000/1000000)+(30*0.2374*100000/1000000)</f>
        <v>2.0285026799999999</v>
      </c>
      <c r="Y654" s="58"/>
      <c r="Z654" s="10"/>
      <c r="AA654" s="57"/>
      <c r="AB654" s="51">
        <f>(B654*194.205+C654*267.466+D654*133.845+E654*53.484+F654*40+G654*185+H654*0+I654*100+J654*300)/(194.205+267.466+133.845+53.484+0+40+185+100+300)</f>
        <v>32.03894315612245</v>
      </c>
      <c r="AC654" s="27">
        <f>(M654*'RAP TEMPLATE-GAS AVAILABILITY'!O653+N654*'RAP TEMPLATE-GAS AVAILABILITY'!P653+O654*'RAP TEMPLATE-GAS AVAILABILITY'!Q653+P654*'RAP TEMPLATE-GAS AVAILABILITY'!R653)/('RAP TEMPLATE-GAS AVAILABILITY'!O653+'RAP TEMPLATE-GAS AVAILABILITY'!P653+'RAP TEMPLATE-GAS AVAILABILITY'!Q653+'RAP TEMPLATE-GAS AVAILABILITY'!R653)</f>
        <v>31.791620863309355</v>
      </c>
    </row>
    <row r="655" spans="1:29" ht="15.75" x14ac:dyDescent="0.25">
      <c r="A655" s="13">
        <v>60844</v>
      </c>
      <c r="B655" s="10">
        <f>CHOOSE(CONTROL!$C$42, 31.4079, 31.4079) * CHOOSE(CONTROL!$C$21, $C$9, 100%, $E$9)</f>
        <v>31.407900000000001</v>
      </c>
      <c r="C655" s="10">
        <f>CHOOSE(CONTROL!$C$42, 31.4158, 31.4158) * CHOOSE(CONTROL!$C$21, $C$9, 100%, $E$9)</f>
        <v>31.415800000000001</v>
      </c>
      <c r="D655" s="10">
        <f>CHOOSE(CONTROL!$C$42, 31.6082, 31.6082) * CHOOSE(CONTROL!$C$21, $C$9, 100%, $E$9)</f>
        <v>31.6082</v>
      </c>
      <c r="E655" s="10">
        <f>CHOOSE(CONTROL!$C$42, 31.6394, 31.6394) * CHOOSE(CONTROL!$C$21, $C$9, 100%, $E$9)</f>
        <v>31.639399999999998</v>
      </c>
      <c r="F655" s="10">
        <f>CHOOSE(CONTROL!$C$42, 31.3747, 31.3747)*CHOOSE(CONTROL!$C$21, $C$9, 100%, $E$9)</f>
        <v>31.374700000000001</v>
      </c>
      <c r="G655" s="10">
        <f>CHOOSE(CONTROL!$C$42, 31.392, 31.392)*CHOOSE(CONTROL!$C$21, $C$9, 100%, $E$9)</f>
        <v>31.391999999999999</v>
      </c>
      <c r="H655" s="10">
        <f>CHOOSE(CONTROL!$C$42, 31.628, 31.628) * CHOOSE(CONTROL!$C$21, $C$9, 100%, $E$9)</f>
        <v>31.628</v>
      </c>
      <c r="I655" s="10">
        <f>CHOOSE(CONTROL!$C$42, 31.3744, 31.3744)* CHOOSE(CONTROL!$C$21, $C$9, 100%, $E$9)</f>
        <v>31.374400000000001</v>
      </c>
      <c r="J655" s="10">
        <f>CHOOSE(CONTROL!$C$42, 31.3677, 31.3677)* CHOOSE(CONTROL!$C$21, $C$9, 100%, $E$9)</f>
        <v>31.367699999999999</v>
      </c>
      <c r="K655" s="54">
        <f>CHOOSE(CONTROL!$C$42, 31.3705, 31.3705) * CHOOSE(CONTROL!$C$21, $C$9, 100%, $E$9)</f>
        <v>31.3705</v>
      </c>
      <c r="L655" s="10">
        <f>CHOOSE(CONTROL!$C$42, 32.215, 32.215) * CHOOSE(CONTROL!$C$21, $C$9, 100%, $E$9)</f>
        <v>32.215000000000003</v>
      </c>
      <c r="M655" s="10">
        <f>CHOOSE(CONTROL!$C$42, 31.065, 31.065) * CHOOSE(CONTROL!$C$21, $C$9, 100%, $E$9)</f>
        <v>31.065000000000001</v>
      </c>
      <c r="N655" s="10">
        <f>CHOOSE(CONTROL!$C$42, 31.0821, 31.0821) * CHOOSE(CONTROL!$C$21, $C$9, 100%, $E$9)</f>
        <v>31.082100000000001</v>
      </c>
      <c r="O655" s="10">
        <f>CHOOSE(CONTROL!$C$42, 31.3226, 31.3226) * CHOOSE(CONTROL!$C$21, $C$9, 100%, $E$9)</f>
        <v>31.322600000000001</v>
      </c>
      <c r="P655" s="10">
        <f>CHOOSE(CONTROL!$C$42, 31.0717, 31.0717) * CHOOSE(CONTROL!$C$21, $C$9, 100%, $E$9)</f>
        <v>31.0717</v>
      </c>
      <c r="Q655" s="10">
        <f>CHOOSE(CONTROL!$C$42, 31.9179, 31.9179) * CHOOSE(CONTROL!$C$21, $C$9, 100%, $E$9)</f>
        <v>31.917899999999999</v>
      </c>
      <c r="R655" s="10">
        <f>CHOOSE(CONTROL!$C$42, 32.5847, 32.5847) * CHOOSE(CONTROL!$C$21, $C$9, 100%, $E$9)</f>
        <v>32.584699999999998</v>
      </c>
      <c r="S655" s="10">
        <f>CHOOSE(CONTROL!$C$42, 30.4959, 30.4959) * CHOOSE(CONTROL!$C$21, $C$9, 100%, $E$9)</f>
        <v>30.495899999999999</v>
      </c>
      <c r="T655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655" s="58">
        <f>(1000*CHOOSE(CONTROL!$C$42, 695, 695)*CHOOSE(CONTROL!$C$42, 0.5599, 0.5599)*CHOOSE(CONTROL!$C$42, 31, 31))/1000000</f>
        <v>12.063045499999998</v>
      </c>
      <c r="V655" s="58">
        <f>(1000*CHOOSE(CONTROL!$C$42, 500, 500)*CHOOSE(CONTROL!$C$42, 0.275, 0.275)*CHOOSE(CONTROL!$C$42, 31, 31))/1000000</f>
        <v>4.2625000000000002</v>
      </c>
      <c r="W655" s="58">
        <f>(1000*CHOOSE(CONTROL!$C$42, 0.1146, 0.1146)*CHOOSE(CONTROL!$C$42, 121.5, 121.5)*CHOOSE(CONTROL!$C$42, 31, 31))/1000000</f>
        <v>0.43164089999999994</v>
      </c>
      <c r="X655" s="58">
        <f>(31*0.1790888*245000/1000000)+(31*0.2374*100000/1000000)</f>
        <v>2.0961194359999999</v>
      </c>
      <c r="Y655" s="58"/>
      <c r="Z655" s="10"/>
      <c r="AA655" s="57"/>
      <c r="AB655" s="51">
        <f>(B655*194.205+C655*267.466+D655*133.845+E655*53.484+F655*40+G655*185+H655*0+I655*100+J655*300)/(194.205+267.466+133.845+53.484+0+40+185+100+300)</f>
        <v>31.424873454395605</v>
      </c>
      <c r="AC655" s="27">
        <f>(M655*'RAP TEMPLATE-GAS AVAILABILITY'!O654+N655*'RAP TEMPLATE-GAS AVAILABILITY'!P654+O655*'RAP TEMPLATE-GAS AVAILABILITY'!Q654+P655*'RAP TEMPLATE-GAS AVAILABILITY'!R654)/('RAP TEMPLATE-GAS AVAILABILITY'!O654+'RAP TEMPLATE-GAS AVAILABILITY'!P654+'RAP TEMPLATE-GAS AVAILABILITY'!Q654+'RAP TEMPLATE-GAS AVAILABILITY'!R654)</f>
        <v>31.183702158273384</v>
      </c>
    </row>
    <row r="656" spans="1:29" ht="15.75" x14ac:dyDescent="0.25">
      <c r="A656" s="13">
        <v>60875</v>
      </c>
      <c r="B656" s="10">
        <f>CHOOSE(CONTROL!$C$42, 29.8567, 29.8567) * CHOOSE(CONTROL!$C$21, $C$9, 100%, $E$9)</f>
        <v>29.8567</v>
      </c>
      <c r="C656" s="10">
        <f>CHOOSE(CONTROL!$C$42, 29.8647, 29.8647) * CHOOSE(CONTROL!$C$21, $C$9, 100%, $E$9)</f>
        <v>29.864699999999999</v>
      </c>
      <c r="D656" s="10">
        <f>CHOOSE(CONTROL!$C$42, 30.0571, 30.0571) * CHOOSE(CONTROL!$C$21, $C$9, 100%, $E$9)</f>
        <v>30.057099999999998</v>
      </c>
      <c r="E656" s="10">
        <f>CHOOSE(CONTROL!$C$42, 30.0882, 30.0882) * CHOOSE(CONTROL!$C$21, $C$9, 100%, $E$9)</f>
        <v>30.088200000000001</v>
      </c>
      <c r="F656" s="10">
        <f>CHOOSE(CONTROL!$C$42, 29.8238, 29.8238)*CHOOSE(CONTROL!$C$21, $C$9, 100%, $E$9)</f>
        <v>29.823799999999999</v>
      </c>
      <c r="G656" s="10">
        <f>CHOOSE(CONTROL!$C$42, 29.8411, 29.8411)*CHOOSE(CONTROL!$C$21, $C$9, 100%, $E$9)</f>
        <v>29.841100000000001</v>
      </c>
      <c r="H656" s="10">
        <f>CHOOSE(CONTROL!$C$42, 30.0769, 30.0769) * CHOOSE(CONTROL!$C$21, $C$9, 100%, $E$9)</f>
        <v>30.076899999999998</v>
      </c>
      <c r="I656" s="10">
        <f>CHOOSE(CONTROL!$C$42, 29.8233, 29.8233)* CHOOSE(CONTROL!$C$21, $C$9, 100%, $E$9)</f>
        <v>29.8233</v>
      </c>
      <c r="J656" s="10">
        <f>CHOOSE(CONTROL!$C$42, 29.8168, 29.8168)* CHOOSE(CONTROL!$C$21, $C$9, 100%, $E$9)</f>
        <v>29.816800000000001</v>
      </c>
      <c r="K656" s="54">
        <f>CHOOSE(CONTROL!$C$42, 29.8194, 29.8194) * CHOOSE(CONTROL!$C$21, $C$9, 100%, $E$9)</f>
        <v>29.819400000000002</v>
      </c>
      <c r="L656" s="10">
        <f>CHOOSE(CONTROL!$C$42, 30.6639, 30.6639) * CHOOSE(CONTROL!$C$21, $C$9, 100%, $E$9)</f>
        <v>30.663900000000002</v>
      </c>
      <c r="M656" s="10">
        <f>CHOOSE(CONTROL!$C$42, 29.5297, 29.5297) * CHOOSE(CONTROL!$C$21, $C$9, 100%, $E$9)</f>
        <v>29.529699999999998</v>
      </c>
      <c r="N656" s="10">
        <f>CHOOSE(CONTROL!$C$42, 29.5469, 29.5469) * CHOOSE(CONTROL!$C$21, $C$9, 100%, $E$9)</f>
        <v>29.546900000000001</v>
      </c>
      <c r="O656" s="10">
        <f>CHOOSE(CONTROL!$C$42, 29.7872, 29.7872) * CHOOSE(CONTROL!$C$21, $C$9, 100%, $E$9)</f>
        <v>29.787199999999999</v>
      </c>
      <c r="P656" s="10">
        <f>CHOOSE(CONTROL!$C$42, 29.5362, 29.5362) * CHOOSE(CONTROL!$C$21, $C$9, 100%, $E$9)</f>
        <v>29.536200000000001</v>
      </c>
      <c r="Q656" s="10">
        <f>CHOOSE(CONTROL!$C$42, 30.3825, 30.3825) * CHOOSE(CONTROL!$C$21, $C$9, 100%, $E$9)</f>
        <v>30.3825</v>
      </c>
      <c r="R656" s="10">
        <f>CHOOSE(CONTROL!$C$42, 31.0454, 31.0454) * CHOOSE(CONTROL!$C$21, $C$9, 100%, $E$9)</f>
        <v>31.045400000000001</v>
      </c>
      <c r="S656" s="10">
        <f>CHOOSE(CONTROL!$C$42, 28.9896, 28.9896) * CHOOSE(CONTROL!$C$21, $C$9, 100%, $E$9)</f>
        <v>28.989599999999999</v>
      </c>
      <c r="T656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656" s="58">
        <f>(1000*CHOOSE(CONTROL!$C$42, 695, 695)*CHOOSE(CONTROL!$C$42, 0.5599, 0.5599)*CHOOSE(CONTROL!$C$42, 31, 31))/1000000</f>
        <v>12.063045499999998</v>
      </c>
      <c r="V656" s="58">
        <f>(1000*CHOOSE(CONTROL!$C$42, 500, 500)*CHOOSE(CONTROL!$C$42, 0.275, 0.275)*CHOOSE(CONTROL!$C$42, 31, 31))/1000000</f>
        <v>4.2625000000000002</v>
      </c>
      <c r="W656" s="58">
        <f>(1000*CHOOSE(CONTROL!$C$42, 0.1146, 0.1146)*CHOOSE(CONTROL!$C$42, 121.5, 121.5)*CHOOSE(CONTROL!$C$42, 31, 31))/1000000</f>
        <v>0.43164089999999994</v>
      </c>
      <c r="X656" s="58">
        <f>(31*0.1790888*245000/1000000)+(31*0.2374*100000/1000000)</f>
        <v>2.0961194359999999</v>
      </c>
      <c r="Y656" s="58"/>
      <c r="Z656" s="10"/>
      <c r="AA656" s="57"/>
      <c r="AB656" s="51">
        <f>(B656*194.205+C656*267.466+D656*133.845+E656*53.484+F656*40+G656*185+H656*0+I656*100+J656*300)/(194.205+267.466+133.845+53.484+0+40+185+100+300)</f>
        <v>29.873836430141289</v>
      </c>
      <c r="AC656" s="27">
        <f>(M656*'RAP TEMPLATE-GAS AVAILABILITY'!O655+N656*'RAP TEMPLATE-GAS AVAILABILITY'!P655+O656*'RAP TEMPLATE-GAS AVAILABILITY'!Q655+P656*'RAP TEMPLATE-GAS AVAILABILITY'!R655)/('RAP TEMPLATE-GAS AVAILABILITY'!O655+'RAP TEMPLATE-GAS AVAILABILITY'!P655+'RAP TEMPLATE-GAS AVAILABILITY'!Q655+'RAP TEMPLATE-GAS AVAILABILITY'!R655)</f>
        <v>29.648333812949637</v>
      </c>
    </row>
    <row r="657" spans="1:29" ht="15.75" x14ac:dyDescent="0.25">
      <c r="A657" s="13">
        <v>60905</v>
      </c>
      <c r="B657" s="10">
        <f>CHOOSE(CONTROL!$C$42, 27.9612, 27.9612) * CHOOSE(CONTROL!$C$21, $C$9, 100%, $E$9)</f>
        <v>27.961200000000002</v>
      </c>
      <c r="C657" s="10">
        <f>CHOOSE(CONTROL!$C$42, 27.9691, 27.9691) * CHOOSE(CONTROL!$C$21, $C$9, 100%, $E$9)</f>
        <v>27.969100000000001</v>
      </c>
      <c r="D657" s="10">
        <f>CHOOSE(CONTROL!$C$42, 28.1615, 28.1615) * CHOOSE(CONTROL!$C$21, $C$9, 100%, $E$9)</f>
        <v>28.1615</v>
      </c>
      <c r="E657" s="10">
        <f>CHOOSE(CONTROL!$C$42, 28.1926, 28.1926) * CHOOSE(CONTROL!$C$21, $C$9, 100%, $E$9)</f>
        <v>28.192599999999999</v>
      </c>
      <c r="F657" s="10">
        <f>CHOOSE(CONTROL!$C$42, 27.9281, 27.9281)*CHOOSE(CONTROL!$C$21, $C$9, 100%, $E$9)</f>
        <v>27.928100000000001</v>
      </c>
      <c r="G657" s="10">
        <f>CHOOSE(CONTROL!$C$42, 27.9454, 27.9454)*CHOOSE(CONTROL!$C$21, $C$9, 100%, $E$9)</f>
        <v>27.945399999999999</v>
      </c>
      <c r="H657" s="10">
        <f>CHOOSE(CONTROL!$C$42, 28.1813, 28.1813) * CHOOSE(CONTROL!$C$21, $C$9, 100%, $E$9)</f>
        <v>28.1813</v>
      </c>
      <c r="I657" s="10">
        <f>CHOOSE(CONTROL!$C$42, 27.9277, 27.9277)* CHOOSE(CONTROL!$C$21, $C$9, 100%, $E$9)</f>
        <v>27.927700000000002</v>
      </c>
      <c r="J657" s="10">
        <f>CHOOSE(CONTROL!$C$42, 27.9211, 27.9211)* CHOOSE(CONTROL!$C$21, $C$9, 100%, $E$9)</f>
        <v>27.921099999999999</v>
      </c>
      <c r="K657" s="54">
        <f>CHOOSE(CONTROL!$C$42, 27.9238, 27.9238) * CHOOSE(CONTROL!$C$21, $C$9, 100%, $E$9)</f>
        <v>27.9238</v>
      </c>
      <c r="L657" s="10">
        <f>CHOOSE(CONTROL!$C$42, 28.7683, 28.7683) * CHOOSE(CONTROL!$C$21, $C$9, 100%, $E$9)</f>
        <v>28.7683</v>
      </c>
      <c r="M657" s="10">
        <f>CHOOSE(CONTROL!$C$42, 27.6531, 27.6531) * CHOOSE(CONTROL!$C$21, $C$9, 100%, $E$9)</f>
        <v>27.653099999999998</v>
      </c>
      <c r="N657" s="10">
        <f>CHOOSE(CONTROL!$C$42, 27.6702, 27.6702) * CHOOSE(CONTROL!$C$21, $C$9, 100%, $E$9)</f>
        <v>27.670200000000001</v>
      </c>
      <c r="O657" s="10">
        <f>CHOOSE(CONTROL!$C$42, 27.9107, 27.9107) * CHOOSE(CONTROL!$C$21, $C$9, 100%, $E$9)</f>
        <v>27.910699999999999</v>
      </c>
      <c r="P657" s="10">
        <f>CHOOSE(CONTROL!$C$42, 27.6598, 27.6598) * CHOOSE(CONTROL!$C$21, $C$9, 100%, $E$9)</f>
        <v>27.659800000000001</v>
      </c>
      <c r="Q657" s="10">
        <f>CHOOSE(CONTROL!$C$42, 28.506, 28.506) * CHOOSE(CONTROL!$C$21, $C$9, 100%, $E$9)</f>
        <v>28.506</v>
      </c>
      <c r="R657" s="10">
        <f>CHOOSE(CONTROL!$C$42, 29.1643, 29.1643) * CHOOSE(CONTROL!$C$21, $C$9, 100%, $E$9)</f>
        <v>29.164300000000001</v>
      </c>
      <c r="S657" s="10">
        <f>CHOOSE(CONTROL!$C$42, 27.1488, 27.1488) * CHOOSE(CONTROL!$C$21, $C$9, 100%, $E$9)</f>
        <v>27.148800000000001</v>
      </c>
      <c r="T657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657" s="58">
        <f>(1000*CHOOSE(CONTROL!$C$42, 695, 695)*CHOOSE(CONTROL!$C$42, 0.5599, 0.5599)*CHOOSE(CONTROL!$C$42, 30, 30))/1000000</f>
        <v>11.673914999999997</v>
      </c>
      <c r="V657" s="58">
        <f>(1000*CHOOSE(CONTROL!$C$42, 500, 500)*CHOOSE(CONTROL!$C$42, 0.275, 0.275)*CHOOSE(CONTROL!$C$42, 30, 30))/1000000</f>
        <v>4.125</v>
      </c>
      <c r="W657" s="58">
        <f>(1000*CHOOSE(CONTROL!$C$42, 0.1146, 0.1146)*CHOOSE(CONTROL!$C$42, 121.5, 121.5)*CHOOSE(CONTROL!$C$42, 30, 30))/1000000</f>
        <v>0.417717</v>
      </c>
      <c r="X657" s="58">
        <f>(30*0.1790888*245000/1000000)+(30*0.2374*100000/1000000)</f>
        <v>2.0285026799999999</v>
      </c>
      <c r="Y657" s="58"/>
      <c r="Z657" s="10"/>
      <c r="AA657" s="57"/>
      <c r="AB657" s="51">
        <f>(B657*194.205+C657*267.466+D657*133.845+E657*53.484+F657*40+G657*185+H657*0+I657*100+J657*300)/(194.205+267.466+133.845+53.484+0+40+185+100+300)</f>
        <v>27.978210465070646</v>
      </c>
      <c r="AC657" s="27">
        <f>(M657*'RAP TEMPLATE-GAS AVAILABILITY'!O656+N657*'RAP TEMPLATE-GAS AVAILABILITY'!P656+O657*'RAP TEMPLATE-GAS AVAILABILITY'!Q656+P657*'RAP TEMPLATE-GAS AVAILABILITY'!R656)/('RAP TEMPLATE-GAS AVAILABILITY'!O656+'RAP TEMPLATE-GAS AVAILABILITY'!P656+'RAP TEMPLATE-GAS AVAILABILITY'!Q656+'RAP TEMPLATE-GAS AVAILABILITY'!R656)</f>
        <v>27.771802158273381</v>
      </c>
    </row>
    <row r="658" spans="1:29" ht="15.75" x14ac:dyDescent="0.25">
      <c r="A658" s="13">
        <v>60936</v>
      </c>
      <c r="B658" s="10">
        <f>CHOOSE(CONTROL!$C$42, 27.3918, 27.3918) * CHOOSE(CONTROL!$C$21, $C$9, 100%, $E$9)</f>
        <v>27.3918</v>
      </c>
      <c r="C658" s="10">
        <f>CHOOSE(CONTROL!$C$42, 27.397, 27.397) * CHOOSE(CONTROL!$C$21, $C$9, 100%, $E$9)</f>
        <v>27.396999999999998</v>
      </c>
      <c r="D658" s="10">
        <f>CHOOSE(CONTROL!$C$42, 27.5944, 27.5944) * CHOOSE(CONTROL!$C$21, $C$9, 100%, $E$9)</f>
        <v>27.5944</v>
      </c>
      <c r="E658" s="10">
        <f>CHOOSE(CONTROL!$C$42, 27.6232, 27.6232) * CHOOSE(CONTROL!$C$21, $C$9, 100%, $E$9)</f>
        <v>27.623200000000001</v>
      </c>
      <c r="F658" s="10">
        <f>CHOOSE(CONTROL!$C$42, 27.3607, 27.3607)*CHOOSE(CONTROL!$C$21, $C$9, 100%, $E$9)</f>
        <v>27.360700000000001</v>
      </c>
      <c r="G658" s="10">
        <f>CHOOSE(CONTROL!$C$42, 27.3776, 27.3776)*CHOOSE(CONTROL!$C$21, $C$9, 100%, $E$9)</f>
        <v>27.377600000000001</v>
      </c>
      <c r="H658" s="10">
        <f>CHOOSE(CONTROL!$C$42, 27.6137, 27.6137) * CHOOSE(CONTROL!$C$21, $C$9, 100%, $E$9)</f>
        <v>27.613700000000001</v>
      </c>
      <c r="I658" s="10">
        <f>CHOOSE(CONTROL!$C$42, 27.3601, 27.3601)* CHOOSE(CONTROL!$C$21, $C$9, 100%, $E$9)</f>
        <v>27.360099999999999</v>
      </c>
      <c r="J658" s="10">
        <f>CHOOSE(CONTROL!$C$42, 27.3537, 27.3537)* CHOOSE(CONTROL!$C$21, $C$9, 100%, $E$9)</f>
        <v>27.3537</v>
      </c>
      <c r="K658" s="54">
        <f>CHOOSE(CONTROL!$C$42, 27.3562, 27.3562) * CHOOSE(CONTROL!$C$21, $C$9, 100%, $E$9)</f>
        <v>27.356200000000001</v>
      </c>
      <c r="L658" s="10">
        <f>CHOOSE(CONTROL!$C$42, 28.2007, 28.2007) * CHOOSE(CONTROL!$C$21, $C$9, 100%, $E$9)</f>
        <v>28.200700000000001</v>
      </c>
      <c r="M658" s="10">
        <f>CHOOSE(CONTROL!$C$42, 27.0915, 27.0915) * CHOOSE(CONTROL!$C$21, $C$9, 100%, $E$9)</f>
        <v>27.0915</v>
      </c>
      <c r="N658" s="10">
        <f>CHOOSE(CONTROL!$C$42, 27.1083, 27.1083) * CHOOSE(CONTROL!$C$21, $C$9, 100%, $E$9)</f>
        <v>27.1083</v>
      </c>
      <c r="O658" s="10">
        <f>CHOOSE(CONTROL!$C$42, 27.3488, 27.3488) * CHOOSE(CONTROL!$C$21, $C$9, 100%, $E$9)</f>
        <v>27.348800000000001</v>
      </c>
      <c r="P658" s="10">
        <f>CHOOSE(CONTROL!$C$42, 27.0979, 27.0979) * CHOOSE(CONTROL!$C$21, $C$9, 100%, $E$9)</f>
        <v>27.097899999999999</v>
      </c>
      <c r="Q658" s="10">
        <f>CHOOSE(CONTROL!$C$42, 27.9441, 27.9441) * CHOOSE(CONTROL!$C$21, $C$9, 100%, $E$9)</f>
        <v>27.944099999999999</v>
      </c>
      <c r="R658" s="10">
        <f>CHOOSE(CONTROL!$C$42, 28.601, 28.601) * CHOOSE(CONTROL!$C$21, $C$9, 100%, $E$9)</f>
        <v>28.600999999999999</v>
      </c>
      <c r="S658" s="10">
        <f>CHOOSE(CONTROL!$C$42, 26.5976, 26.5976) * CHOOSE(CONTROL!$C$21, $C$9, 100%, $E$9)</f>
        <v>26.5976</v>
      </c>
      <c r="T658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658" s="58">
        <f>(1000*CHOOSE(CONTROL!$C$42, 695, 695)*CHOOSE(CONTROL!$C$42, 0.5599, 0.5599)*CHOOSE(CONTROL!$C$42, 31, 31))/1000000</f>
        <v>12.063045499999998</v>
      </c>
      <c r="V658" s="58">
        <f>(1000*CHOOSE(CONTROL!$C$42, 500, 500)*CHOOSE(CONTROL!$C$42, 0.275, 0.275)*CHOOSE(CONTROL!$C$42, 31, 31))/1000000</f>
        <v>4.2625000000000002</v>
      </c>
      <c r="W658" s="58">
        <f>(1000*CHOOSE(CONTROL!$C$42, 0.1146, 0.1146)*CHOOSE(CONTROL!$C$42, 121.5, 121.5)*CHOOSE(CONTROL!$C$42, 31, 31))/1000000</f>
        <v>0.43164089999999994</v>
      </c>
      <c r="X658" s="58">
        <f>(31*0.1790888*245000/1000000)+(31*0.2374*100000/1000000)</f>
        <v>2.0961194359999999</v>
      </c>
      <c r="Y658" s="58"/>
      <c r="Z658" s="10"/>
      <c r="AA658" s="57"/>
      <c r="AB658" s="51">
        <f>(B658*131.881+C658*277.167+D658*79.08+E658*125.872+F658*40+G658*185+H658*0+I658*100+J658*300)/(131.881+277.167+79.08+125.872+0+40+185+100+300)</f>
        <v>27.414494638579498</v>
      </c>
      <c r="AC658" s="27">
        <f>(M658*'RAP TEMPLATE-GAS AVAILABILITY'!O657+N658*'RAP TEMPLATE-GAS AVAILABILITY'!P657+O658*'RAP TEMPLATE-GAS AVAILABILITY'!Q657+P658*'RAP TEMPLATE-GAS AVAILABILITY'!R657)/('RAP TEMPLATE-GAS AVAILABILITY'!O657+'RAP TEMPLATE-GAS AVAILABILITY'!P657+'RAP TEMPLATE-GAS AVAILABILITY'!Q657+'RAP TEMPLATE-GAS AVAILABILITY'!R657)</f>
        <v>27.210005755395681</v>
      </c>
    </row>
    <row r="659" spans="1:29" ht="15.75" x14ac:dyDescent="0.25">
      <c r="A659" s="13">
        <v>60966</v>
      </c>
      <c r="B659" s="10">
        <f>CHOOSE(CONTROL!$C$42, 28.1129, 28.1129) * CHOOSE(CONTROL!$C$21, $C$9, 100%, $E$9)</f>
        <v>28.1129</v>
      </c>
      <c r="C659" s="10">
        <f>CHOOSE(CONTROL!$C$42, 28.1179, 28.1179) * CHOOSE(CONTROL!$C$21, $C$9, 100%, $E$9)</f>
        <v>28.117899999999999</v>
      </c>
      <c r="D659" s="10">
        <f>CHOOSE(CONTROL!$C$42, 28.1475, 28.1475) * CHOOSE(CONTROL!$C$21, $C$9, 100%, $E$9)</f>
        <v>28.147500000000001</v>
      </c>
      <c r="E659" s="10">
        <f>CHOOSE(CONTROL!$C$42, 28.1812, 28.1812) * CHOOSE(CONTROL!$C$21, $C$9, 100%, $E$9)</f>
        <v>28.1812</v>
      </c>
      <c r="F659" s="10">
        <f>CHOOSE(CONTROL!$C$42, 28.0797, 28.0797)*CHOOSE(CONTROL!$C$21, $C$9, 100%, $E$9)</f>
        <v>28.079699999999999</v>
      </c>
      <c r="G659" s="10">
        <f>CHOOSE(CONTROL!$C$42, 28.0968, 28.0968)*CHOOSE(CONTROL!$C$21, $C$9, 100%, $E$9)</f>
        <v>28.096800000000002</v>
      </c>
      <c r="H659" s="10">
        <f>CHOOSE(CONTROL!$C$42, 28.1704, 28.1704) * CHOOSE(CONTROL!$C$21, $C$9, 100%, $E$9)</f>
        <v>28.170400000000001</v>
      </c>
      <c r="I659" s="10">
        <f>CHOOSE(CONTROL!$C$42, 28.0765, 28.0765)* CHOOSE(CONTROL!$C$21, $C$9, 100%, $E$9)</f>
        <v>28.076499999999999</v>
      </c>
      <c r="J659" s="10">
        <f>CHOOSE(CONTROL!$C$42, 28.0727, 28.0727)* CHOOSE(CONTROL!$C$21, $C$9, 100%, $E$9)</f>
        <v>28.072700000000001</v>
      </c>
      <c r="K659" s="54">
        <f>CHOOSE(CONTROL!$C$42, 28.0726, 28.0726) * CHOOSE(CONTROL!$C$21, $C$9, 100%, $E$9)</f>
        <v>28.072600000000001</v>
      </c>
      <c r="L659" s="10">
        <f>CHOOSE(CONTROL!$C$42, 28.7574, 28.7574) * CHOOSE(CONTROL!$C$21, $C$9, 100%, $E$9)</f>
        <v>28.757400000000001</v>
      </c>
      <c r="M659" s="10">
        <f>CHOOSE(CONTROL!$C$42, 27.8032, 27.8032) * CHOOSE(CONTROL!$C$21, $C$9, 100%, $E$9)</f>
        <v>27.8032</v>
      </c>
      <c r="N659" s="10">
        <f>CHOOSE(CONTROL!$C$42, 27.8202, 27.8202) * CHOOSE(CONTROL!$C$21, $C$9, 100%, $E$9)</f>
        <v>27.8202</v>
      </c>
      <c r="O659" s="10">
        <f>CHOOSE(CONTROL!$C$42, 27.9, 27.9) * CHOOSE(CONTROL!$C$21, $C$9, 100%, $E$9)</f>
        <v>27.9</v>
      </c>
      <c r="P659" s="10">
        <f>CHOOSE(CONTROL!$C$42, 27.807, 27.807) * CHOOSE(CONTROL!$C$21, $C$9, 100%, $E$9)</f>
        <v>27.806999999999999</v>
      </c>
      <c r="Q659" s="10">
        <f>CHOOSE(CONTROL!$C$42, 28.4953, 28.4953) * CHOOSE(CONTROL!$C$21, $C$9, 100%, $E$9)</f>
        <v>28.4953</v>
      </c>
      <c r="R659" s="10">
        <f>CHOOSE(CONTROL!$C$42, 29.1535, 29.1535) * CHOOSE(CONTROL!$C$21, $C$9, 100%, $E$9)</f>
        <v>29.153500000000001</v>
      </c>
      <c r="S659" s="10">
        <f>CHOOSE(CONTROL!$C$42, 27.2983, 27.2983) * CHOOSE(CONTROL!$C$21, $C$9, 100%, $E$9)</f>
        <v>27.298300000000001</v>
      </c>
      <c r="T659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659" s="58">
        <f>(1000*CHOOSE(CONTROL!$C$42, 695, 695)*CHOOSE(CONTROL!$C$42, 0.5599, 0.5599)*CHOOSE(CONTROL!$C$42, 30, 30))/1000000</f>
        <v>11.673914999999997</v>
      </c>
      <c r="V659" s="58">
        <f>(1000*CHOOSE(CONTROL!$C$42, 500, 500)*CHOOSE(CONTROL!$C$42, 0.275, 0.275)*CHOOSE(CONTROL!$C$42, 30, 30))/1000000</f>
        <v>4.125</v>
      </c>
      <c r="W659" s="58">
        <f>(1000*CHOOSE(CONTROL!$C$42, 0.1146, 0.1146)*CHOOSE(CONTROL!$C$42, 121.5, 121.5)*CHOOSE(CONTROL!$C$42, 30, 30))/1000000</f>
        <v>0.417717</v>
      </c>
      <c r="X659" s="58">
        <f>(30*0.1790888*100000/1000000)+(30*0.2374*100000/1000000)</f>
        <v>1.2494664</v>
      </c>
      <c r="Y659" s="58"/>
      <c r="Z659" s="10"/>
      <c r="AA659" s="57"/>
      <c r="AB659" s="51">
        <f>(B659*122.58+C659*297.941+D659*89.177+E659*40.302+F659*40+G659*160+H659*0+I659*100+J659*300)/(122.58+297.941+89.177+40.302+0+40+160+100+300)</f>
        <v>28.102225092000001</v>
      </c>
      <c r="AC659" s="27">
        <f>(M659*'RAP TEMPLATE-GAS AVAILABILITY'!O658+N659*'RAP TEMPLATE-GAS AVAILABILITY'!P658+O659*'RAP TEMPLATE-GAS AVAILABILITY'!Q658+P659*'RAP TEMPLATE-GAS AVAILABILITY'!R658)/('RAP TEMPLATE-GAS AVAILABILITY'!O658+'RAP TEMPLATE-GAS AVAILABILITY'!P658+'RAP TEMPLATE-GAS AVAILABILITY'!Q658+'RAP TEMPLATE-GAS AVAILABILITY'!R658)</f>
        <v>27.848598561151082</v>
      </c>
    </row>
    <row r="660" spans="1:29" ht="15.75" x14ac:dyDescent="0.25">
      <c r="A660" s="13">
        <v>60997</v>
      </c>
      <c r="B660" s="10">
        <f>CHOOSE(CONTROL!$C$42, 30.0294, 30.0294) * CHOOSE(CONTROL!$C$21, $C$9, 100%, $E$9)</f>
        <v>30.029399999999999</v>
      </c>
      <c r="C660" s="10">
        <f>CHOOSE(CONTROL!$C$42, 30.0344, 30.0344) * CHOOSE(CONTROL!$C$21, $C$9, 100%, $E$9)</f>
        <v>30.034400000000002</v>
      </c>
      <c r="D660" s="10">
        <f>CHOOSE(CONTROL!$C$42, 30.064, 30.064) * CHOOSE(CONTROL!$C$21, $C$9, 100%, $E$9)</f>
        <v>30.064</v>
      </c>
      <c r="E660" s="10">
        <f>CHOOSE(CONTROL!$C$42, 30.0978, 30.0978) * CHOOSE(CONTROL!$C$21, $C$9, 100%, $E$9)</f>
        <v>30.097799999999999</v>
      </c>
      <c r="F660" s="10">
        <f>CHOOSE(CONTROL!$C$42, 29.9976, 29.9976)*CHOOSE(CONTROL!$C$21, $C$9, 100%, $E$9)</f>
        <v>29.997599999999998</v>
      </c>
      <c r="G660" s="10">
        <f>CHOOSE(CONTROL!$C$42, 30.0151, 30.0151)*CHOOSE(CONTROL!$C$21, $C$9, 100%, $E$9)</f>
        <v>30.0151</v>
      </c>
      <c r="H660" s="10">
        <f>CHOOSE(CONTROL!$C$42, 30.087, 30.087) * CHOOSE(CONTROL!$C$21, $C$9, 100%, $E$9)</f>
        <v>30.087</v>
      </c>
      <c r="I660" s="10">
        <f>CHOOSE(CONTROL!$C$42, 29.993, 29.993)* CHOOSE(CONTROL!$C$21, $C$9, 100%, $E$9)</f>
        <v>29.992999999999999</v>
      </c>
      <c r="J660" s="10">
        <f>CHOOSE(CONTROL!$C$42, 29.9906, 29.9906)* CHOOSE(CONTROL!$C$21, $C$9, 100%, $E$9)</f>
        <v>29.990600000000001</v>
      </c>
      <c r="K660" s="54">
        <f>CHOOSE(CONTROL!$C$42, 29.9891, 29.9891) * CHOOSE(CONTROL!$C$21, $C$9, 100%, $E$9)</f>
        <v>29.989100000000001</v>
      </c>
      <c r="L660" s="10">
        <f>CHOOSE(CONTROL!$C$42, 30.674, 30.674) * CHOOSE(CONTROL!$C$21, $C$9, 100%, $E$9)</f>
        <v>30.673999999999999</v>
      </c>
      <c r="M660" s="10">
        <f>CHOOSE(CONTROL!$C$42, 29.7018, 29.7018) * CHOOSE(CONTROL!$C$21, $C$9, 100%, $E$9)</f>
        <v>29.701799999999999</v>
      </c>
      <c r="N660" s="10">
        <f>CHOOSE(CONTROL!$C$42, 29.7191, 29.7191) * CHOOSE(CONTROL!$C$21, $C$9, 100%, $E$9)</f>
        <v>29.719100000000001</v>
      </c>
      <c r="O660" s="10">
        <f>CHOOSE(CONTROL!$C$42, 29.7972, 29.7972) * CHOOSE(CONTROL!$C$21, $C$9, 100%, $E$9)</f>
        <v>29.7972</v>
      </c>
      <c r="P660" s="10">
        <f>CHOOSE(CONTROL!$C$42, 29.7042, 29.7042) * CHOOSE(CONTROL!$C$21, $C$9, 100%, $E$9)</f>
        <v>29.7042</v>
      </c>
      <c r="Q660" s="10">
        <f>CHOOSE(CONTROL!$C$42, 30.3925, 30.3925) * CHOOSE(CONTROL!$C$21, $C$9, 100%, $E$9)</f>
        <v>30.392499999999998</v>
      </c>
      <c r="R660" s="10">
        <f>CHOOSE(CONTROL!$C$42, 31.0554, 31.0554) * CHOOSE(CONTROL!$C$21, $C$9, 100%, $E$9)</f>
        <v>31.055399999999999</v>
      </c>
      <c r="S660" s="10">
        <f>CHOOSE(CONTROL!$C$42, 29.1594, 29.1594) * CHOOSE(CONTROL!$C$21, $C$9, 100%, $E$9)</f>
        <v>29.159400000000002</v>
      </c>
      <c r="T660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660" s="58">
        <f>(1000*CHOOSE(CONTROL!$C$42, 695, 695)*CHOOSE(CONTROL!$C$42, 0.5599, 0.5599)*CHOOSE(CONTROL!$C$42, 31, 31))/1000000</f>
        <v>12.063045499999998</v>
      </c>
      <c r="V660" s="58">
        <f>(1000*CHOOSE(CONTROL!$C$42, 500, 500)*CHOOSE(CONTROL!$C$42, 0.275, 0.275)*CHOOSE(CONTROL!$C$42, 31, 31))/1000000</f>
        <v>4.2625000000000002</v>
      </c>
      <c r="W660" s="58">
        <f>(1000*CHOOSE(CONTROL!$C$42, 0.1146, 0.1146)*CHOOSE(CONTROL!$C$42, 121.5, 121.5)*CHOOSE(CONTROL!$C$42, 31, 31))/1000000</f>
        <v>0.43164089999999994</v>
      </c>
      <c r="X660" s="58">
        <f>(31*0.1790888*100000/1000000)+(31*0.2374*100000/1000000)</f>
        <v>1.2911152800000001</v>
      </c>
      <c r="Y660" s="58"/>
      <c r="Z660" s="10"/>
      <c r="AA660" s="57"/>
      <c r="AB660" s="51">
        <f>(B660*122.58+C660*297.941+D660*89.177+E660*40.302+F660*40+G660*160+H660*0+I660*100+J660*300)/(122.58+297.941+89.177+40.302+0+40+160+100+300)</f>
        <v>30.019392944347828</v>
      </c>
      <c r="AC660" s="27">
        <f>(M660*'RAP TEMPLATE-GAS AVAILABILITY'!O659+N660*'RAP TEMPLATE-GAS AVAILABILITY'!P659+O660*'RAP TEMPLATE-GAS AVAILABILITY'!Q659+P660*'RAP TEMPLATE-GAS AVAILABILITY'!R659)/('RAP TEMPLATE-GAS AVAILABILITY'!O659+'RAP TEMPLATE-GAS AVAILABILITY'!P659+'RAP TEMPLATE-GAS AVAILABILITY'!Q659+'RAP TEMPLATE-GAS AVAILABILITY'!R659)</f>
        <v>29.746379856115102</v>
      </c>
    </row>
    <row r="661" spans="1:29" ht="15.75" x14ac:dyDescent="0.25">
      <c r="A661" s="13">
        <v>61028</v>
      </c>
      <c r="B661" s="10">
        <f>CHOOSE(CONTROL!$C$42, 32.4897, 32.4897) * CHOOSE(CONTROL!$C$21, $C$9, 100%, $E$9)</f>
        <v>32.489699999999999</v>
      </c>
      <c r="C661" s="10">
        <f>CHOOSE(CONTROL!$C$42, 32.4946, 32.4946) * CHOOSE(CONTROL!$C$21, $C$9, 100%, $E$9)</f>
        <v>32.494599999999998</v>
      </c>
      <c r="D661" s="10">
        <f>CHOOSE(CONTROL!$C$42, 32.5449, 32.5449) * CHOOSE(CONTROL!$C$21, $C$9, 100%, $E$9)</f>
        <v>32.544899999999998</v>
      </c>
      <c r="E661" s="10">
        <f>CHOOSE(CONTROL!$C$42, 32.5786, 32.5786) * CHOOSE(CONTROL!$C$21, $C$9, 100%, $E$9)</f>
        <v>32.578600000000002</v>
      </c>
      <c r="F661" s="10">
        <f>CHOOSE(CONTROL!$C$42, 32.4551, 32.4551)*CHOOSE(CONTROL!$C$21, $C$9, 100%, $E$9)</f>
        <v>32.455100000000002</v>
      </c>
      <c r="G661" s="10">
        <f>CHOOSE(CONTROL!$C$42, 32.4726, 32.4726)*CHOOSE(CONTROL!$C$21, $C$9, 100%, $E$9)</f>
        <v>32.4726</v>
      </c>
      <c r="H661" s="10">
        <f>CHOOSE(CONTROL!$C$42, 32.5678, 32.5678) * CHOOSE(CONTROL!$C$21, $C$9, 100%, $E$9)</f>
        <v>32.567799999999998</v>
      </c>
      <c r="I661" s="10">
        <f>CHOOSE(CONTROL!$C$42, 32.4636, 32.4636)* CHOOSE(CONTROL!$C$21, $C$9, 100%, $E$9)</f>
        <v>32.4636</v>
      </c>
      <c r="J661" s="10">
        <f>CHOOSE(CONTROL!$C$42, 32.4481, 32.4481)* CHOOSE(CONTROL!$C$21, $C$9, 100%, $E$9)</f>
        <v>32.448099999999997</v>
      </c>
      <c r="K661" s="54">
        <f>CHOOSE(CONTROL!$C$42, 32.4597, 32.4597) * CHOOSE(CONTROL!$C$21, $C$9, 100%, $E$9)</f>
        <v>32.459699999999998</v>
      </c>
      <c r="L661" s="10">
        <f>CHOOSE(CONTROL!$C$42, 33.1548, 33.1548) * CHOOSE(CONTROL!$C$21, $C$9, 100%, $E$9)</f>
        <v>33.154800000000002</v>
      </c>
      <c r="M661" s="10">
        <f>CHOOSE(CONTROL!$C$42, 32.1344, 32.1344) * CHOOSE(CONTROL!$C$21, $C$9, 100%, $E$9)</f>
        <v>32.134399999999999</v>
      </c>
      <c r="N661" s="10">
        <f>CHOOSE(CONTROL!$C$42, 32.1518, 32.1518) * CHOOSE(CONTROL!$C$21, $C$9, 100%, $E$9)</f>
        <v>32.151800000000001</v>
      </c>
      <c r="O661" s="10">
        <f>CHOOSE(CONTROL!$C$42, 32.253, 32.253) * CHOOSE(CONTROL!$C$21, $C$9, 100%, $E$9)</f>
        <v>32.253</v>
      </c>
      <c r="P661" s="10">
        <f>CHOOSE(CONTROL!$C$42, 32.1498, 32.1498) * CHOOSE(CONTROL!$C$21, $C$9, 100%, $E$9)</f>
        <v>32.149799999999999</v>
      </c>
      <c r="Q661" s="10">
        <f>CHOOSE(CONTROL!$C$42, 32.8483, 32.8483) * CHOOSE(CONTROL!$C$21, $C$9, 100%, $E$9)</f>
        <v>32.848300000000002</v>
      </c>
      <c r="R661" s="10">
        <f>CHOOSE(CONTROL!$C$42, 33.5174, 33.5174) * CHOOSE(CONTROL!$C$21, $C$9, 100%, $E$9)</f>
        <v>33.517400000000002</v>
      </c>
      <c r="S661" s="10">
        <f>CHOOSE(CONTROL!$C$42, 31.5486, 31.5486) * CHOOSE(CONTROL!$C$21, $C$9, 100%, $E$9)</f>
        <v>31.5486</v>
      </c>
      <c r="T661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661" s="58">
        <f>(1000*CHOOSE(CONTROL!$C$42, 695, 695)*CHOOSE(CONTROL!$C$42, 0.5599, 0.5599)*CHOOSE(CONTROL!$C$42, 31, 31))/1000000</f>
        <v>12.063045499999998</v>
      </c>
      <c r="V661" s="58">
        <f>(1000*CHOOSE(CONTROL!$C$42, 500, 500)*CHOOSE(CONTROL!$C$42, 0.275, 0.275)*CHOOSE(CONTROL!$C$42, 31, 31))/1000000</f>
        <v>4.2625000000000002</v>
      </c>
      <c r="W661" s="58">
        <f>(1000*CHOOSE(CONTROL!$C$42, 0.1146, 0.1146)*CHOOSE(CONTROL!$C$42, 121.5, 121.5)*CHOOSE(CONTROL!$C$42, 31, 31))/1000000</f>
        <v>0.43164089999999994</v>
      </c>
      <c r="X661" s="58">
        <f>(31*0.1790888*100000/1000000)+(31*0.2374*100000/1000000)</f>
        <v>1.2911152800000001</v>
      </c>
      <c r="Y661" s="58"/>
      <c r="Z661" s="10"/>
      <c r="AA661" s="57"/>
      <c r="AB661" s="51">
        <f>(B661*122.58+C661*297.941+D661*89.177+E661*40.302+F661*40+G661*160+H661*0+I661*100+J661*300)/(122.58+297.941+89.177+40.302+0+40+160+100+300)</f>
        <v>32.481661155739133</v>
      </c>
      <c r="AC661" s="27">
        <f>(M661*'RAP TEMPLATE-GAS AVAILABILITY'!O660+N661*'RAP TEMPLATE-GAS AVAILABILITY'!P660+O661*'RAP TEMPLATE-GAS AVAILABILITY'!Q660+P661*'RAP TEMPLATE-GAS AVAILABILITY'!R660)/('RAP TEMPLATE-GAS AVAILABILITY'!O660+'RAP TEMPLATE-GAS AVAILABILITY'!P660+'RAP TEMPLATE-GAS AVAILABILITY'!Q660+'RAP TEMPLATE-GAS AVAILABILITY'!R660)</f>
        <v>32.191371223021584</v>
      </c>
    </row>
    <row r="662" spans="1:29" ht="15.75" x14ac:dyDescent="0.25">
      <c r="A662" s="13">
        <v>61056</v>
      </c>
      <c r="B662" s="10">
        <f>CHOOSE(CONTROL!$C$42, 33.068, 33.068) * CHOOSE(CONTROL!$C$21, $C$9, 100%, $E$9)</f>
        <v>33.067999999999998</v>
      </c>
      <c r="C662" s="10">
        <f>CHOOSE(CONTROL!$C$42, 33.073, 33.073) * CHOOSE(CONTROL!$C$21, $C$9, 100%, $E$9)</f>
        <v>33.073</v>
      </c>
      <c r="D662" s="10">
        <f>CHOOSE(CONTROL!$C$42, 33.1335, 33.1335) * CHOOSE(CONTROL!$C$21, $C$9, 100%, $E$9)</f>
        <v>33.133499999999998</v>
      </c>
      <c r="E662" s="10">
        <f>CHOOSE(CONTROL!$C$42, 33.1672, 33.1672) * CHOOSE(CONTROL!$C$21, $C$9, 100%, $E$9)</f>
        <v>33.167200000000001</v>
      </c>
      <c r="F662" s="10">
        <f>CHOOSE(CONTROL!$C$42, 33.0612, 33.0612)*CHOOSE(CONTROL!$C$21, $C$9, 100%, $E$9)</f>
        <v>33.061199999999999</v>
      </c>
      <c r="G662" s="10">
        <f>CHOOSE(CONTROL!$C$42, 33.0785, 33.0785)*CHOOSE(CONTROL!$C$21, $C$9, 100%, $E$9)</f>
        <v>33.078499999999998</v>
      </c>
      <c r="H662" s="10">
        <f>CHOOSE(CONTROL!$C$42, 33.1564, 33.1564) * CHOOSE(CONTROL!$C$21, $C$9, 100%, $E$9)</f>
        <v>33.156399999999998</v>
      </c>
      <c r="I662" s="10">
        <f>CHOOSE(CONTROL!$C$42, 33.0548, 33.0548)* CHOOSE(CONTROL!$C$21, $C$9, 100%, $E$9)</f>
        <v>33.0548</v>
      </c>
      <c r="J662" s="10">
        <f>CHOOSE(CONTROL!$C$42, 33.0542, 33.0542)* CHOOSE(CONTROL!$C$21, $C$9, 100%, $E$9)</f>
        <v>33.054200000000002</v>
      </c>
      <c r="K662" s="54">
        <f>CHOOSE(CONTROL!$C$42, 33.0509, 33.0509) * CHOOSE(CONTROL!$C$21, $C$9, 100%, $E$9)</f>
        <v>33.050899999999999</v>
      </c>
      <c r="L662" s="10">
        <f>CHOOSE(CONTROL!$C$42, 33.7434, 33.7434) * CHOOSE(CONTROL!$C$21, $C$9, 100%, $E$9)</f>
        <v>33.743400000000001</v>
      </c>
      <c r="M662" s="10">
        <f>CHOOSE(CONTROL!$C$42, 32.7345, 32.7345) * CHOOSE(CONTROL!$C$21, $C$9, 100%, $E$9)</f>
        <v>32.734499999999997</v>
      </c>
      <c r="N662" s="10">
        <f>CHOOSE(CONTROL!$C$42, 32.7516, 32.7516) * CHOOSE(CONTROL!$C$21, $C$9, 100%, $E$9)</f>
        <v>32.751600000000003</v>
      </c>
      <c r="O662" s="10">
        <f>CHOOSE(CONTROL!$C$42, 32.8357, 32.8357) * CHOOSE(CONTROL!$C$21, $C$9, 100%, $E$9)</f>
        <v>32.835700000000003</v>
      </c>
      <c r="P662" s="10">
        <f>CHOOSE(CONTROL!$C$42, 32.7351, 32.7351) * CHOOSE(CONTROL!$C$21, $C$9, 100%, $E$9)</f>
        <v>32.735100000000003</v>
      </c>
      <c r="Q662" s="10">
        <f>CHOOSE(CONTROL!$C$42, 33.431, 33.431) * CHOOSE(CONTROL!$C$21, $C$9, 100%, $E$9)</f>
        <v>33.430999999999997</v>
      </c>
      <c r="R662" s="10">
        <f>CHOOSE(CONTROL!$C$42, 34.1015, 34.1015) * CHOOSE(CONTROL!$C$21, $C$9, 100%, $E$9)</f>
        <v>34.101500000000001</v>
      </c>
      <c r="S662" s="10">
        <f>CHOOSE(CONTROL!$C$42, 32.1102, 32.1102) * CHOOSE(CONTROL!$C$21, $C$9, 100%, $E$9)</f>
        <v>32.110199999999999</v>
      </c>
      <c r="T662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662" s="58">
        <f>(1000*CHOOSE(CONTROL!$C$42, 695, 695)*CHOOSE(CONTROL!$C$42, 0.5599, 0.5599)*CHOOSE(CONTROL!$C$42, 28, 28))/1000000</f>
        <v>10.895653999999999</v>
      </c>
      <c r="V662" s="58">
        <f>(1000*CHOOSE(CONTROL!$C$42, 500, 500)*CHOOSE(CONTROL!$C$42, 0.275, 0.275)*CHOOSE(CONTROL!$C$42, 28, 28))/1000000</f>
        <v>3.85</v>
      </c>
      <c r="W662" s="58">
        <f>(1000*CHOOSE(CONTROL!$C$42, 0.1146, 0.1146)*CHOOSE(CONTROL!$C$42, 121.5, 121.5)*CHOOSE(CONTROL!$C$42, 28, 28))/1000000</f>
        <v>0.38986920000000003</v>
      </c>
      <c r="X662" s="58">
        <f>(28*0.1790888*100000/1000000)+(28*0.2374*100000/1000000)</f>
        <v>1.16616864</v>
      </c>
      <c r="Y662" s="58"/>
      <c r="Z662" s="10"/>
      <c r="AA662" s="57"/>
      <c r="AB662" s="51">
        <f>(B662*122.58+C662*297.941+D662*89.177+E662*40.302+F662*40+G662*160+H662*0+I662*100+J662*300)/(122.58+297.941+89.177+40.302+0+40+160+100+300)</f>
        <v>33.074327614695648</v>
      </c>
      <c r="AC662" s="27">
        <f>(M662*'RAP TEMPLATE-GAS AVAILABILITY'!O661+N662*'RAP TEMPLATE-GAS AVAILABILITY'!P661+O662*'RAP TEMPLATE-GAS AVAILABILITY'!Q661+P662*'RAP TEMPLATE-GAS AVAILABILITY'!R661)/('RAP TEMPLATE-GAS AVAILABILITY'!O661+'RAP TEMPLATE-GAS AVAILABILITY'!P661+'RAP TEMPLATE-GAS AVAILABILITY'!Q661+'RAP TEMPLATE-GAS AVAILABILITY'!R661)</f>
        <v>32.781438129496408</v>
      </c>
    </row>
    <row r="663" spans="1:29" ht="15.75" x14ac:dyDescent="0.25">
      <c r="A663" s="13">
        <v>61087</v>
      </c>
      <c r="B663" s="10">
        <f>CHOOSE(CONTROL!$C$42, 32.1293, 32.1293) * CHOOSE(CONTROL!$C$21, $C$9, 100%, $E$9)</f>
        <v>32.129300000000001</v>
      </c>
      <c r="C663" s="10">
        <f>CHOOSE(CONTROL!$C$42, 32.1342, 32.1342) * CHOOSE(CONTROL!$C$21, $C$9, 100%, $E$9)</f>
        <v>32.1342</v>
      </c>
      <c r="D663" s="10">
        <f>CHOOSE(CONTROL!$C$42, 32.1947, 32.1947) * CHOOSE(CONTROL!$C$21, $C$9, 100%, $E$9)</f>
        <v>32.194699999999997</v>
      </c>
      <c r="E663" s="10">
        <f>CHOOSE(CONTROL!$C$42, 32.2285, 32.2285) * CHOOSE(CONTROL!$C$21, $C$9, 100%, $E$9)</f>
        <v>32.228499999999997</v>
      </c>
      <c r="F663" s="10">
        <f>CHOOSE(CONTROL!$C$42, 32.117, 32.117)*CHOOSE(CONTROL!$C$21, $C$9, 100%, $E$9)</f>
        <v>32.116999999999997</v>
      </c>
      <c r="G663" s="10">
        <f>CHOOSE(CONTROL!$C$42, 32.1342, 32.1342)*CHOOSE(CONTROL!$C$21, $C$9, 100%, $E$9)</f>
        <v>32.1342</v>
      </c>
      <c r="H663" s="10">
        <f>CHOOSE(CONTROL!$C$42, 32.2177, 32.2177) * CHOOSE(CONTROL!$C$21, $C$9, 100%, $E$9)</f>
        <v>32.217700000000001</v>
      </c>
      <c r="I663" s="10">
        <f>CHOOSE(CONTROL!$C$42, 32.1032, 32.1032)* CHOOSE(CONTROL!$C$21, $C$9, 100%, $E$9)</f>
        <v>32.103200000000001</v>
      </c>
      <c r="J663" s="10">
        <f>CHOOSE(CONTROL!$C$42, 32.11, 32.11)* CHOOSE(CONTROL!$C$21, $C$9, 100%, $E$9)</f>
        <v>32.11</v>
      </c>
      <c r="K663" s="54">
        <f>CHOOSE(CONTROL!$C$42, 32.0993, 32.0993) * CHOOSE(CONTROL!$C$21, $C$9, 100%, $E$9)</f>
        <v>32.099299999999999</v>
      </c>
      <c r="L663" s="10">
        <f>CHOOSE(CONTROL!$C$42, 32.8047, 32.8047) * CHOOSE(CONTROL!$C$21, $C$9, 100%, $E$9)</f>
        <v>32.804699999999997</v>
      </c>
      <c r="M663" s="10">
        <f>CHOOSE(CONTROL!$C$42, 31.7998, 31.7998) * CHOOSE(CONTROL!$C$21, $C$9, 100%, $E$9)</f>
        <v>31.799800000000001</v>
      </c>
      <c r="N663" s="10">
        <f>CHOOSE(CONTROL!$C$42, 31.8168, 31.8168) * CHOOSE(CONTROL!$C$21, $C$9, 100%, $E$9)</f>
        <v>31.816800000000001</v>
      </c>
      <c r="O663" s="10">
        <f>CHOOSE(CONTROL!$C$42, 31.9064, 31.9064) * CHOOSE(CONTROL!$C$21, $C$9, 100%, $E$9)</f>
        <v>31.906400000000001</v>
      </c>
      <c r="P663" s="10">
        <f>CHOOSE(CONTROL!$C$42, 31.7931, 31.7931) * CHOOSE(CONTROL!$C$21, $C$9, 100%, $E$9)</f>
        <v>31.793099999999999</v>
      </c>
      <c r="Q663" s="10">
        <f>CHOOSE(CONTROL!$C$42, 32.5017, 32.5017) * CHOOSE(CONTROL!$C$21, $C$9, 100%, $E$9)</f>
        <v>32.5017</v>
      </c>
      <c r="R663" s="10">
        <f>CHOOSE(CONTROL!$C$42, 33.1699, 33.1699) * CHOOSE(CONTROL!$C$21, $C$9, 100%, $E$9)</f>
        <v>33.169899999999998</v>
      </c>
      <c r="S663" s="10">
        <f>CHOOSE(CONTROL!$C$42, 31.1986, 31.1986) * CHOOSE(CONTROL!$C$21, $C$9, 100%, $E$9)</f>
        <v>31.198599999999999</v>
      </c>
      <c r="T663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663" s="58">
        <f>(1000*CHOOSE(CONTROL!$C$42, 695, 695)*CHOOSE(CONTROL!$C$42, 0.5599, 0.5599)*CHOOSE(CONTROL!$C$42, 31, 31))/1000000</f>
        <v>12.063045499999998</v>
      </c>
      <c r="V663" s="58">
        <f>(1000*CHOOSE(CONTROL!$C$42, 500, 500)*CHOOSE(CONTROL!$C$42, 0.275, 0.275)*CHOOSE(CONTROL!$C$42, 31, 31))/1000000</f>
        <v>4.2625000000000002</v>
      </c>
      <c r="W663" s="58">
        <f>(1000*CHOOSE(CONTROL!$C$42, 0.1146, 0.1146)*CHOOSE(CONTROL!$C$42, 121.5, 121.5)*CHOOSE(CONTROL!$C$42, 31, 31))/1000000</f>
        <v>0.43164089999999994</v>
      </c>
      <c r="X663" s="58">
        <f>(31*0.1790888*100000/1000000)+(31*0.2374*100000/1000000)</f>
        <v>1.2911152800000001</v>
      </c>
      <c r="Y663" s="58"/>
      <c r="Z663" s="10"/>
      <c r="AA663" s="57"/>
      <c r="AB663" s="51">
        <f>(B663*122.58+C663*297.941+D663*89.177+E663*40.302+F663*40+G663*160+H663*0+I663*100+J663*300)/(122.58+297.941+89.177+40.302+0+40+160+100+300)</f>
        <v>32.13206699573913</v>
      </c>
      <c r="AC663" s="27">
        <f>(M663*'RAP TEMPLATE-GAS AVAILABILITY'!O662+N663*'RAP TEMPLATE-GAS AVAILABILITY'!P662+O663*'RAP TEMPLATE-GAS AVAILABILITY'!Q662+P663*'RAP TEMPLATE-GAS AVAILABILITY'!R662)/('RAP TEMPLATE-GAS AVAILABILITY'!O662+'RAP TEMPLATE-GAS AVAILABILITY'!P662+'RAP TEMPLATE-GAS AVAILABILITY'!Q662+'RAP TEMPLATE-GAS AVAILABILITY'!R662)</f>
        <v>31.84812949640288</v>
      </c>
    </row>
    <row r="664" spans="1:29" ht="15.75" x14ac:dyDescent="0.25">
      <c r="A664" s="13">
        <v>61117</v>
      </c>
      <c r="B664" s="10">
        <f>CHOOSE(CONTROL!$C$42, 32.0342, 32.0342) * CHOOSE(CONTROL!$C$21, $C$9, 100%, $E$9)</f>
        <v>32.034199999999998</v>
      </c>
      <c r="C664" s="10">
        <f>CHOOSE(CONTROL!$C$42, 32.0386, 32.0386) * CHOOSE(CONTROL!$C$21, $C$9, 100%, $E$9)</f>
        <v>32.038600000000002</v>
      </c>
      <c r="D664" s="10">
        <f>CHOOSE(CONTROL!$C$42, 32.2342, 32.2342) * CHOOSE(CONTROL!$C$21, $C$9, 100%, $E$9)</f>
        <v>32.234200000000001</v>
      </c>
      <c r="E664" s="10">
        <f>CHOOSE(CONTROL!$C$42, 32.266, 32.266) * CHOOSE(CONTROL!$C$21, $C$9, 100%, $E$9)</f>
        <v>32.265999999999998</v>
      </c>
      <c r="F664" s="10">
        <f>CHOOSE(CONTROL!$C$42, 32.0021, 32.0021)*CHOOSE(CONTROL!$C$21, $C$9, 100%, $E$9)</f>
        <v>32.002099999999999</v>
      </c>
      <c r="G664" s="10">
        <f>CHOOSE(CONTROL!$C$42, 32.0188, 32.0188)*CHOOSE(CONTROL!$C$21, $C$9, 100%, $E$9)</f>
        <v>32.018799999999999</v>
      </c>
      <c r="H664" s="10">
        <f>CHOOSE(CONTROL!$C$42, 32.2558, 32.2558) * CHOOSE(CONTROL!$C$21, $C$9, 100%, $E$9)</f>
        <v>32.255800000000001</v>
      </c>
      <c r="I664" s="10">
        <f>CHOOSE(CONTROL!$C$42, 32.0022, 32.0022)* CHOOSE(CONTROL!$C$21, $C$9, 100%, $E$9)</f>
        <v>32.002200000000002</v>
      </c>
      <c r="J664" s="10">
        <f>CHOOSE(CONTROL!$C$42, 31.9951, 31.9951)* CHOOSE(CONTROL!$C$21, $C$9, 100%, $E$9)</f>
        <v>31.995100000000001</v>
      </c>
      <c r="K664" s="54">
        <f>CHOOSE(CONTROL!$C$42, 31.9983, 31.9983) * CHOOSE(CONTROL!$C$21, $C$9, 100%, $E$9)</f>
        <v>31.9983</v>
      </c>
      <c r="L664" s="10">
        <f>CHOOSE(CONTROL!$C$42, 32.8428, 32.8428) * CHOOSE(CONTROL!$C$21, $C$9, 100%, $E$9)</f>
        <v>32.842799999999997</v>
      </c>
      <c r="M664" s="10">
        <f>CHOOSE(CONTROL!$C$42, 31.686, 31.686) * CHOOSE(CONTROL!$C$21, $C$9, 100%, $E$9)</f>
        <v>31.686</v>
      </c>
      <c r="N664" s="10">
        <f>CHOOSE(CONTROL!$C$42, 31.7026, 31.7026) * CHOOSE(CONTROL!$C$21, $C$9, 100%, $E$9)</f>
        <v>31.7026</v>
      </c>
      <c r="O664" s="10">
        <f>CHOOSE(CONTROL!$C$42, 31.9441, 31.9441) * CHOOSE(CONTROL!$C$21, $C$9, 100%, $E$9)</f>
        <v>31.944099999999999</v>
      </c>
      <c r="P664" s="10">
        <f>CHOOSE(CONTROL!$C$42, 31.6931, 31.6931) * CHOOSE(CONTROL!$C$21, $C$9, 100%, $E$9)</f>
        <v>31.693100000000001</v>
      </c>
      <c r="Q664" s="10">
        <f>CHOOSE(CONTROL!$C$42, 32.5394, 32.5394) * CHOOSE(CONTROL!$C$21, $C$9, 100%, $E$9)</f>
        <v>32.539400000000001</v>
      </c>
      <c r="R664" s="10">
        <f>CHOOSE(CONTROL!$C$42, 33.2077, 33.2077) * CHOOSE(CONTROL!$C$21, $C$9, 100%, $E$9)</f>
        <v>33.207700000000003</v>
      </c>
      <c r="S664" s="10">
        <f>CHOOSE(CONTROL!$C$42, 31.1056, 31.1056) * CHOOSE(CONTROL!$C$21, $C$9, 100%, $E$9)</f>
        <v>31.105599999999999</v>
      </c>
      <c r="T664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664" s="58">
        <f>(1000*CHOOSE(CONTROL!$C$42, 695, 695)*CHOOSE(CONTROL!$C$42, 0.5599, 0.5599)*CHOOSE(CONTROL!$C$42, 30, 30))/1000000</f>
        <v>11.673914999999997</v>
      </c>
      <c r="V664" s="58">
        <f>(1000*CHOOSE(CONTROL!$C$42, 500, 500)*CHOOSE(CONTROL!$C$42, 0.275, 0.275)*CHOOSE(CONTROL!$C$42, 30, 30))/1000000</f>
        <v>4.125</v>
      </c>
      <c r="W664" s="58">
        <f>(1000*CHOOSE(CONTROL!$C$42, 0.1146, 0.1146)*CHOOSE(CONTROL!$C$42, 121.5, 121.5)*CHOOSE(CONTROL!$C$42, 30, 30))/1000000</f>
        <v>0.417717</v>
      </c>
      <c r="X664" s="58">
        <f>(30*0.1790888*245000/1000000)+(30*0.2374*100000/1000000)</f>
        <v>2.0285026799999999</v>
      </c>
      <c r="Y664" s="58"/>
      <c r="Z664" s="10"/>
      <c r="AA664" s="57"/>
      <c r="AB664" s="51">
        <f>(B664*141.293+C664*267.993+D664*115.016+E664*89.698+F664*40+G664*185+H664*0+I664*100+J664*300)/(141.293+267.993+115.016+89.698+0+40+185+100+300)</f>
        <v>32.055113128006454</v>
      </c>
      <c r="AC664" s="27">
        <f>(M664*'RAP TEMPLATE-GAS AVAILABILITY'!O663+N664*'RAP TEMPLATE-GAS AVAILABILITY'!P663+O664*'RAP TEMPLATE-GAS AVAILABILITY'!Q663+P664*'RAP TEMPLATE-GAS AVAILABILITY'!R663)/('RAP TEMPLATE-GAS AVAILABILITY'!O663+'RAP TEMPLATE-GAS AVAILABILITY'!P663+'RAP TEMPLATE-GAS AVAILABILITY'!Q663+'RAP TEMPLATE-GAS AVAILABILITY'!R663)</f>
        <v>31.804957553956836</v>
      </c>
    </row>
    <row r="665" spans="1:29" ht="15.75" x14ac:dyDescent="0.25">
      <c r="A665" s="13">
        <v>61148</v>
      </c>
      <c r="B665" s="10">
        <f>CHOOSE(CONTROL!$C$42, 32.3183, 32.3183) * CHOOSE(CONTROL!$C$21, $C$9, 100%, $E$9)</f>
        <v>32.318300000000001</v>
      </c>
      <c r="C665" s="10">
        <f>CHOOSE(CONTROL!$C$42, 32.3263, 32.3263) * CHOOSE(CONTROL!$C$21, $C$9, 100%, $E$9)</f>
        <v>32.326300000000003</v>
      </c>
      <c r="D665" s="10">
        <f>CHOOSE(CONTROL!$C$42, 32.5187, 32.5187) * CHOOSE(CONTROL!$C$21, $C$9, 100%, $E$9)</f>
        <v>32.518700000000003</v>
      </c>
      <c r="E665" s="10">
        <f>CHOOSE(CONTROL!$C$42, 32.5498, 32.5498) * CHOOSE(CONTROL!$C$21, $C$9, 100%, $E$9)</f>
        <v>32.549799999999998</v>
      </c>
      <c r="F665" s="10">
        <f>CHOOSE(CONTROL!$C$42, 32.2846, 32.2846)*CHOOSE(CONTROL!$C$21, $C$9, 100%, $E$9)</f>
        <v>32.284599999999998</v>
      </c>
      <c r="G665" s="10">
        <f>CHOOSE(CONTROL!$C$42, 32.3017, 32.3017)*CHOOSE(CONTROL!$C$21, $C$9, 100%, $E$9)</f>
        <v>32.301699999999997</v>
      </c>
      <c r="H665" s="10">
        <f>CHOOSE(CONTROL!$C$42, 32.5385, 32.5385) * CHOOSE(CONTROL!$C$21, $C$9, 100%, $E$9)</f>
        <v>32.538499999999999</v>
      </c>
      <c r="I665" s="10">
        <f>CHOOSE(CONTROL!$C$42, 32.2849, 32.2849)* CHOOSE(CONTROL!$C$21, $C$9, 100%, $E$9)</f>
        <v>32.2849</v>
      </c>
      <c r="J665" s="10">
        <f>CHOOSE(CONTROL!$C$42, 32.2776, 32.2776)* CHOOSE(CONTROL!$C$21, $C$9, 100%, $E$9)</f>
        <v>32.2776</v>
      </c>
      <c r="K665" s="54">
        <f>CHOOSE(CONTROL!$C$42, 32.281, 32.281) * CHOOSE(CONTROL!$C$21, $C$9, 100%, $E$9)</f>
        <v>32.280999999999999</v>
      </c>
      <c r="L665" s="10">
        <f>CHOOSE(CONTROL!$C$42, 33.1255, 33.1255) * CHOOSE(CONTROL!$C$21, $C$9, 100%, $E$9)</f>
        <v>33.125500000000002</v>
      </c>
      <c r="M665" s="10">
        <f>CHOOSE(CONTROL!$C$42, 31.9657, 31.9657) * CHOOSE(CONTROL!$C$21, $C$9, 100%, $E$9)</f>
        <v>31.965699999999998</v>
      </c>
      <c r="N665" s="10">
        <f>CHOOSE(CONTROL!$C$42, 31.9826, 31.9826) * CHOOSE(CONTROL!$C$21, $C$9, 100%, $E$9)</f>
        <v>31.982600000000001</v>
      </c>
      <c r="O665" s="10">
        <f>CHOOSE(CONTROL!$C$42, 32.2239, 32.2239) * CHOOSE(CONTROL!$C$21, $C$9, 100%, $E$9)</f>
        <v>32.2239</v>
      </c>
      <c r="P665" s="10">
        <f>CHOOSE(CONTROL!$C$42, 31.973, 31.973) * CHOOSE(CONTROL!$C$21, $C$9, 100%, $E$9)</f>
        <v>31.972999999999999</v>
      </c>
      <c r="Q665" s="10">
        <f>CHOOSE(CONTROL!$C$42, 32.8192, 32.8192) * CHOOSE(CONTROL!$C$21, $C$9, 100%, $E$9)</f>
        <v>32.819200000000002</v>
      </c>
      <c r="R665" s="10">
        <f>CHOOSE(CONTROL!$C$42, 33.4883, 33.4883) * CHOOSE(CONTROL!$C$21, $C$9, 100%, $E$9)</f>
        <v>33.488300000000002</v>
      </c>
      <c r="S665" s="10">
        <f>CHOOSE(CONTROL!$C$42, 31.3801, 31.3801) * CHOOSE(CONTROL!$C$21, $C$9, 100%, $E$9)</f>
        <v>31.380099999999999</v>
      </c>
      <c r="T665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665" s="58">
        <f>(1000*CHOOSE(CONTROL!$C$42, 695, 695)*CHOOSE(CONTROL!$C$42, 0.5599, 0.5599)*CHOOSE(CONTROL!$C$42, 31, 31))/1000000</f>
        <v>12.063045499999998</v>
      </c>
      <c r="V665" s="58">
        <f>(1000*CHOOSE(CONTROL!$C$42, 500, 500)*CHOOSE(CONTROL!$C$42, 0.275, 0.275)*CHOOSE(CONTROL!$C$42, 31, 31))/1000000</f>
        <v>4.2625000000000002</v>
      </c>
      <c r="W665" s="58">
        <f>(1000*CHOOSE(CONTROL!$C$42, 0.1146, 0.1146)*CHOOSE(CONTROL!$C$42, 121.5, 121.5)*CHOOSE(CONTROL!$C$42, 31, 31))/1000000</f>
        <v>0.43164089999999994</v>
      </c>
      <c r="X665" s="58">
        <f>(31*0.1790888*245000/1000000)+(31*0.2374*100000/1000000)</f>
        <v>2.0961194359999999</v>
      </c>
      <c r="Y665" s="58"/>
      <c r="Z665" s="10"/>
      <c r="AA665" s="57"/>
      <c r="AB665" s="51">
        <f>(B665*194.205+C665*267.466+D665*133.845+E665*53.484+F665*40+G665*185+H665*0+I665*100+J665*300)/(194.205+267.466+133.845+53.484+0+40+185+100+300)</f>
        <v>32.335077717425435</v>
      </c>
      <c r="AC665" s="27">
        <f>(M665*'RAP TEMPLATE-GAS AVAILABILITY'!O664+N665*'RAP TEMPLATE-GAS AVAILABILITY'!P664+O665*'RAP TEMPLATE-GAS AVAILABILITY'!Q664+P665*'RAP TEMPLATE-GAS AVAILABILITY'!R664)/('RAP TEMPLATE-GAS AVAILABILITY'!O664+'RAP TEMPLATE-GAS AVAILABILITY'!P664+'RAP TEMPLATE-GAS AVAILABILITY'!Q664+'RAP TEMPLATE-GAS AVAILABILITY'!R664)</f>
        <v>32.084748920863312</v>
      </c>
    </row>
    <row r="666" spans="1:29" ht="15.75" x14ac:dyDescent="0.25">
      <c r="A666" s="13">
        <v>61178</v>
      </c>
      <c r="B666" s="10">
        <f>CHOOSE(CONTROL!$C$42, 33.2349, 33.2349) * CHOOSE(CONTROL!$C$21, $C$9, 100%, $E$9)</f>
        <v>33.234900000000003</v>
      </c>
      <c r="C666" s="10">
        <f>CHOOSE(CONTROL!$C$42, 33.2429, 33.2429) * CHOOSE(CONTROL!$C$21, $C$9, 100%, $E$9)</f>
        <v>33.242899999999999</v>
      </c>
      <c r="D666" s="10">
        <f>CHOOSE(CONTROL!$C$42, 33.4353, 33.4353) * CHOOSE(CONTROL!$C$21, $C$9, 100%, $E$9)</f>
        <v>33.435299999999998</v>
      </c>
      <c r="E666" s="10">
        <f>CHOOSE(CONTROL!$C$42, 33.4664, 33.4664) * CHOOSE(CONTROL!$C$21, $C$9, 100%, $E$9)</f>
        <v>33.4664</v>
      </c>
      <c r="F666" s="10">
        <f>CHOOSE(CONTROL!$C$42, 33.2014, 33.2014)*CHOOSE(CONTROL!$C$21, $C$9, 100%, $E$9)</f>
        <v>33.2014</v>
      </c>
      <c r="G666" s="10">
        <f>CHOOSE(CONTROL!$C$42, 33.2186, 33.2186)*CHOOSE(CONTROL!$C$21, $C$9, 100%, $E$9)</f>
        <v>33.218600000000002</v>
      </c>
      <c r="H666" s="10">
        <f>CHOOSE(CONTROL!$C$42, 33.4551, 33.4551) * CHOOSE(CONTROL!$C$21, $C$9, 100%, $E$9)</f>
        <v>33.455100000000002</v>
      </c>
      <c r="I666" s="10">
        <f>CHOOSE(CONTROL!$C$42, 33.2015, 33.2015)* CHOOSE(CONTROL!$C$21, $C$9, 100%, $E$9)</f>
        <v>33.201500000000003</v>
      </c>
      <c r="J666" s="10">
        <f>CHOOSE(CONTROL!$C$42, 33.1944, 33.1944)* CHOOSE(CONTROL!$C$21, $C$9, 100%, $E$9)</f>
        <v>33.194400000000002</v>
      </c>
      <c r="K666" s="54">
        <f>CHOOSE(CONTROL!$C$42, 33.1976, 33.1976) * CHOOSE(CONTROL!$C$21, $C$9, 100%, $E$9)</f>
        <v>33.197600000000001</v>
      </c>
      <c r="L666" s="10">
        <f>CHOOSE(CONTROL!$C$42, 34.0421, 34.0421) * CHOOSE(CONTROL!$C$21, $C$9, 100%, $E$9)</f>
        <v>34.042099999999998</v>
      </c>
      <c r="M666" s="10">
        <f>CHOOSE(CONTROL!$C$42, 32.8733, 32.8733) * CHOOSE(CONTROL!$C$21, $C$9, 100%, $E$9)</f>
        <v>32.8733</v>
      </c>
      <c r="N666" s="10">
        <f>CHOOSE(CONTROL!$C$42, 32.8903, 32.8903) * CHOOSE(CONTROL!$C$21, $C$9, 100%, $E$9)</f>
        <v>32.890300000000003</v>
      </c>
      <c r="O666" s="10">
        <f>CHOOSE(CONTROL!$C$42, 33.1313, 33.1313) * CHOOSE(CONTROL!$C$21, $C$9, 100%, $E$9)</f>
        <v>33.131300000000003</v>
      </c>
      <c r="P666" s="10">
        <f>CHOOSE(CONTROL!$C$42, 32.8803, 32.8803) * CHOOSE(CONTROL!$C$21, $C$9, 100%, $E$9)</f>
        <v>32.880299999999998</v>
      </c>
      <c r="Q666" s="10">
        <f>CHOOSE(CONTROL!$C$42, 33.7266, 33.7266) * CHOOSE(CONTROL!$C$21, $C$9, 100%, $E$9)</f>
        <v>33.726599999999998</v>
      </c>
      <c r="R666" s="10">
        <f>CHOOSE(CONTROL!$C$42, 34.3979, 34.3979) * CHOOSE(CONTROL!$C$21, $C$9, 100%, $E$9)</f>
        <v>34.3979</v>
      </c>
      <c r="S666" s="10">
        <f>CHOOSE(CONTROL!$C$42, 32.2702, 32.2702) * CHOOSE(CONTROL!$C$21, $C$9, 100%, $E$9)</f>
        <v>32.270200000000003</v>
      </c>
      <c r="T666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666" s="58">
        <f>(1000*CHOOSE(CONTROL!$C$42, 695, 695)*CHOOSE(CONTROL!$C$42, 0.5599, 0.5599)*CHOOSE(CONTROL!$C$42, 30, 30))/1000000</f>
        <v>11.673914999999997</v>
      </c>
      <c r="V666" s="58">
        <f>(1000*CHOOSE(CONTROL!$C$42, 500, 500)*CHOOSE(CONTROL!$C$42, 0.275, 0.275)*CHOOSE(CONTROL!$C$42, 30, 30))/1000000</f>
        <v>4.125</v>
      </c>
      <c r="W666" s="58">
        <f>(1000*CHOOSE(CONTROL!$C$42, 0.1146, 0.1146)*CHOOSE(CONTROL!$C$42, 121.5, 121.5)*CHOOSE(CONTROL!$C$42, 30, 30))/1000000</f>
        <v>0.417717</v>
      </c>
      <c r="X666" s="58">
        <f>(30*0.1790888*245000/1000000)+(30*0.2374*100000/1000000)</f>
        <v>2.0285026799999999</v>
      </c>
      <c r="Y666" s="58"/>
      <c r="Z666" s="10"/>
      <c r="AA666" s="57"/>
      <c r="AB666" s="51">
        <f>(B666*194.205+C666*267.466+D666*133.845+E666*53.484+F666*40+G666*185+H666*0+I666*100+J666*300)/(194.205+267.466+133.845+53.484+0+40+185+100+300)</f>
        <v>33.251774656200944</v>
      </c>
      <c r="AC666" s="27">
        <f>(M666*'RAP TEMPLATE-GAS AVAILABILITY'!O665+N666*'RAP TEMPLATE-GAS AVAILABILITY'!P665+O666*'RAP TEMPLATE-GAS AVAILABILITY'!Q665+P666*'RAP TEMPLATE-GAS AVAILABILITY'!R665)/('RAP TEMPLATE-GAS AVAILABILITY'!O665+'RAP TEMPLATE-GAS AVAILABILITY'!P665+'RAP TEMPLATE-GAS AVAILABILITY'!Q665+'RAP TEMPLATE-GAS AVAILABILITY'!R665)</f>
        <v>32.992220863309356</v>
      </c>
    </row>
    <row r="667" spans="1:29" ht="15.75" x14ac:dyDescent="0.25">
      <c r="A667" s="13">
        <v>61209</v>
      </c>
      <c r="B667" s="10">
        <f>CHOOSE(CONTROL!$C$42, 32.5974, 32.5974) * CHOOSE(CONTROL!$C$21, $C$9, 100%, $E$9)</f>
        <v>32.5974</v>
      </c>
      <c r="C667" s="10">
        <f>CHOOSE(CONTROL!$C$42, 32.6054, 32.6054) * CHOOSE(CONTROL!$C$21, $C$9, 100%, $E$9)</f>
        <v>32.605400000000003</v>
      </c>
      <c r="D667" s="10">
        <f>CHOOSE(CONTROL!$C$42, 32.7978, 32.7978) * CHOOSE(CONTROL!$C$21, $C$9, 100%, $E$9)</f>
        <v>32.797800000000002</v>
      </c>
      <c r="E667" s="10">
        <f>CHOOSE(CONTROL!$C$42, 32.8289, 32.8289) * CHOOSE(CONTROL!$C$21, $C$9, 100%, $E$9)</f>
        <v>32.828899999999997</v>
      </c>
      <c r="F667" s="10">
        <f>CHOOSE(CONTROL!$C$42, 32.5643, 32.5643)*CHOOSE(CONTROL!$C$21, $C$9, 100%, $E$9)</f>
        <v>32.564300000000003</v>
      </c>
      <c r="G667" s="10">
        <f>CHOOSE(CONTROL!$C$42, 32.5816, 32.5816)*CHOOSE(CONTROL!$C$21, $C$9, 100%, $E$9)</f>
        <v>32.581600000000002</v>
      </c>
      <c r="H667" s="10">
        <f>CHOOSE(CONTROL!$C$42, 32.8176, 32.8176) * CHOOSE(CONTROL!$C$21, $C$9, 100%, $E$9)</f>
        <v>32.817599999999999</v>
      </c>
      <c r="I667" s="10">
        <f>CHOOSE(CONTROL!$C$42, 32.564, 32.564)* CHOOSE(CONTROL!$C$21, $C$9, 100%, $E$9)</f>
        <v>32.564</v>
      </c>
      <c r="J667" s="10">
        <f>CHOOSE(CONTROL!$C$42, 32.5573, 32.5573)* CHOOSE(CONTROL!$C$21, $C$9, 100%, $E$9)</f>
        <v>32.557299999999998</v>
      </c>
      <c r="K667" s="54">
        <f>CHOOSE(CONTROL!$C$42, 32.5601, 32.5601) * CHOOSE(CONTROL!$C$21, $C$9, 100%, $E$9)</f>
        <v>32.560099999999998</v>
      </c>
      <c r="L667" s="10">
        <f>CHOOSE(CONTROL!$C$42, 33.4046, 33.4046) * CHOOSE(CONTROL!$C$21, $C$9, 100%, $E$9)</f>
        <v>33.404600000000002</v>
      </c>
      <c r="M667" s="10">
        <f>CHOOSE(CONTROL!$C$42, 32.2426, 32.2426) * CHOOSE(CONTROL!$C$21, $C$9, 100%, $E$9)</f>
        <v>32.242600000000003</v>
      </c>
      <c r="N667" s="10">
        <f>CHOOSE(CONTROL!$C$42, 32.2597, 32.2597) * CHOOSE(CONTROL!$C$21, $C$9, 100%, $E$9)</f>
        <v>32.259700000000002</v>
      </c>
      <c r="O667" s="10">
        <f>CHOOSE(CONTROL!$C$42, 32.5002, 32.5002) * CHOOSE(CONTROL!$C$21, $C$9, 100%, $E$9)</f>
        <v>32.5002</v>
      </c>
      <c r="P667" s="10">
        <f>CHOOSE(CONTROL!$C$42, 32.2493, 32.2493) * CHOOSE(CONTROL!$C$21, $C$9, 100%, $E$9)</f>
        <v>32.249299999999998</v>
      </c>
      <c r="Q667" s="10">
        <f>CHOOSE(CONTROL!$C$42, 33.0955, 33.0955) * CHOOSE(CONTROL!$C$21, $C$9, 100%, $E$9)</f>
        <v>33.095500000000001</v>
      </c>
      <c r="R667" s="10">
        <f>CHOOSE(CONTROL!$C$42, 33.7652, 33.7652) * CHOOSE(CONTROL!$C$21, $C$9, 100%, $E$9)</f>
        <v>33.7652</v>
      </c>
      <c r="S667" s="10">
        <f>CHOOSE(CONTROL!$C$42, 31.6511, 31.6511) * CHOOSE(CONTROL!$C$21, $C$9, 100%, $E$9)</f>
        <v>31.6511</v>
      </c>
      <c r="T667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667" s="58">
        <f>(1000*CHOOSE(CONTROL!$C$42, 695, 695)*CHOOSE(CONTROL!$C$42, 0.5599, 0.5599)*CHOOSE(CONTROL!$C$42, 31, 31))/1000000</f>
        <v>12.063045499999998</v>
      </c>
      <c r="V667" s="58">
        <f>(1000*CHOOSE(CONTROL!$C$42, 500, 500)*CHOOSE(CONTROL!$C$42, 0.275, 0.275)*CHOOSE(CONTROL!$C$42, 31, 31))/1000000</f>
        <v>4.2625000000000002</v>
      </c>
      <c r="W667" s="58">
        <f>(1000*CHOOSE(CONTROL!$C$42, 0.1146, 0.1146)*CHOOSE(CONTROL!$C$42, 121.5, 121.5)*CHOOSE(CONTROL!$C$42, 31, 31))/1000000</f>
        <v>0.43164089999999994</v>
      </c>
      <c r="X667" s="58">
        <f>(31*0.1790888*245000/1000000)+(31*0.2374*100000/1000000)</f>
        <v>2.0961194359999999</v>
      </c>
      <c r="Y667" s="58"/>
      <c r="Z667" s="10"/>
      <c r="AA667" s="57"/>
      <c r="AB667" s="51">
        <f>(B667*194.205+C667*267.466+D667*133.845+E667*53.484+F667*40+G667*185+H667*0+I667*100+J667*300)/(194.205+267.466+133.845+53.484+0+40+185+100+300)</f>
        <v>32.614454012558873</v>
      </c>
      <c r="AC667" s="27">
        <f>(M667*'RAP TEMPLATE-GAS AVAILABILITY'!O666+N667*'RAP TEMPLATE-GAS AVAILABILITY'!P666+O667*'RAP TEMPLATE-GAS AVAILABILITY'!Q666+P667*'RAP TEMPLATE-GAS AVAILABILITY'!R666)/('RAP TEMPLATE-GAS AVAILABILITY'!O666+'RAP TEMPLATE-GAS AVAILABILITY'!P666+'RAP TEMPLATE-GAS AVAILABILITY'!Q666+'RAP TEMPLATE-GAS AVAILABILITY'!R666)</f>
        <v>32.361302158273389</v>
      </c>
    </row>
    <row r="668" spans="1:29" ht="15.75" x14ac:dyDescent="0.25">
      <c r="A668" s="13">
        <v>61240</v>
      </c>
      <c r="B668" s="10">
        <f>CHOOSE(CONTROL!$C$42, 30.9876, 30.9876) * CHOOSE(CONTROL!$C$21, $C$9, 100%, $E$9)</f>
        <v>30.9876</v>
      </c>
      <c r="C668" s="10">
        <f>CHOOSE(CONTROL!$C$42, 30.9955, 30.9955) * CHOOSE(CONTROL!$C$21, $C$9, 100%, $E$9)</f>
        <v>30.9955</v>
      </c>
      <c r="D668" s="10">
        <f>CHOOSE(CONTROL!$C$42, 31.1879, 31.1879) * CHOOSE(CONTROL!$C$21, $C$9, 100%, $E$9)</f>
        <v>31.187899999999999</v>
      </c>
      <c r="E668" s="10">
        <f>CHOOSE(CONTROL!$C$42, 31.219, 31.219) * CHOOSE(CONTROL!$C$21, $C$9, 100%, $E$9)</f>
        <v>31.219000000000001</v>
      </c>
      <c r="F668" s="10">
        <f>CHOOSE(CONTROL!$C$42, 30.9546, 30.9546)*CHOOSE(CONTROL!$C$21, $C$9, 100%, $E$9)</f>
        <v>30.954599999999999</v>
      </c>
      <c r="G668" s="10">
        <f>CHOOSE(CONTROL!$C$42, 30.972, 30.972)*CHOOSE(CONTROL!$C$21, $C$9, 100%, $E$9)</f>
        <v>30.972000000000001</v>
      </c>
      <c r="H668" s="10">
        <f>CHOOSE(CONTROL!$C$42, 31.2077, 31.2077) * CHOOSE(CONTROL!$C$21, $C$9, 100%, $E$9)</f>
        <v>31.207699999999999</v>
      </c>
      <c r="I668" s="10">
        <f>CHOOSE(CONTROL!$C$42, 30.9541, 30.9541)* CHOOSE(CONTROL!$C$21, $C$9, 100%, $E$9)</f>
        <v>30.9541</v>
      </c>
      <c r="J668" s="10">
        <f>CHOOSE(CONTROL!$C$42, 30.9476, 30.9476)* CHOOSE(CONTROL!$C$21, $C$9, 100%, $E$9)</f>
        <v>30.947600000000001</v>
      </c>
      <c r="K668" s="54">
        <f>CHOOSE(CONTROL!$C$42, 30.9502, 30.9502) * CHOOSE(CONTROL!$C$21, $C$9, 100%, $E$9)</f>
        <v>30.950199999999999</v>
      </c>
      <c r="L668" s="10">
        <f>CHOOSE(CONTROL!$C$42, 31.7947, 31.7947) * CHOOSE(CONTROL!$C$21, $C$9, 100%, $E$9)</f>
        <v>31.794699999999999</v>
      </c>
      <c r="M668" s="10">
        <f>CHOOSE(CONTROL!$C$42, 30.6491, 30.6491) * CHOOSE(CONTROL!$C$21, $C$9, 100%, $E$9)</f>
        <v>30.649100000000001</v>
      </c>
      <c r="N668" s="10">
        <f>CHOOSE(CONTROL!$C$42, 30.6663, 30.6663) * CHOOSE(CONTROL!$C$21, $C$9, 100%, $E$9)</f>
        <v>30.6663</v>
      </c>
      <c r="O668" s="10">
        <f>CHOOSE(CONTROL!$C$42, 30.9066, 30.9066) * CHOOSE(CONTROL!$C$21, $C$9, 100%, $E$9)</f>
        <v>30.906600000000001</v>
      </c>
      <c r="P668" s="10">
        <f>CHOOSE(CONTROL!$C$42, 30.6556, 30.6556) * CHOOSE(CONTROL!$C$21, $C$9, 100%, $E$9)</f>
        <v>30.6556</v>
      </c>
      <c r="Q668" s="10">
        <f>CHOOSE(CONTROL!$C$42, 31.5019, 31.5019) * CHOOSE(CONTROL!$C$21, $C$9, 100%, $E$9)</f>
        <v>31.501899999999999</v>
      </c>
      <c r="R668" s="10">
        <f>CHOOSE(CONTROL!$C$42, 32.1676, 32.1676) * CHOOSE(CONTROL!$C$21, $C$9, 100%, $E$9)</f>
        <v>32.1676</v>
      </c>
      <c r="S668" s="10">
        <f>CHOOSE(CONTROL!$C$42, 30.0878, 30.0878) * CHOOSE(CONTROL!$C$21, $C$9, 100%, $E$9)</f>
        <v>30.087800000000001</v>
      </c>
      <c r="T668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668" s="58">
        <f>(1000*CHOOSE(CONTROL!$C$42, 695, 695)*CHOOSE(CONTROL!$C$42, 0.5599, 0.5599)*CHOOSE(CONTROL!$C$42, 31, 31))/1000000</f>
        <v>12.063045499999998</v>
      </c>
      <c r="V668" s="58">
        <f>(1000*CHOOSE(CONTROL!$C$42, 500, 500)*CHOOSE(CONTROL!$C$42, 0.275, 0.275)*CHOOSE(CONTROL!$C$42, 31, 31))/1000000</f>
        <v>4.2625000000000002</v>
      </c>
      <c r="W668" s="58">
        <f>(1000*CHOOSE(CONTROL!$C$42, 0.1146, 0.1146)*CHOOSE(CONTROL!$C$42, 121.5, 121.5)*CHOOSE(CONTROL!$C$42, 31, 31))/1000000</f>
        <v>0.43164089999999994</v>
      </c>
      <c r="X668" s="58">
        <f>(31*0.1790888*245000/1000000)+(31*0.2374*100000/1000000)</f>
        <v>2.0961194359999999</v>
      </c>
      <c r="Y668" s="58"/>
      <c r="Z668" s="10"/>
      <c r="AA668" s="57"/>
      <c r="AB668" s="51">
        <f>(B668*194.205+C668*267.466+D668*133.845+E668*53.484+F668*40+G668*185+H668*0+I668*100+J668*300)/(194.205+267.466+133.845+53.484+0+40+185+100+300)</f>
        <v>31.004666195054945</v>
      </c>
      <c r="AC668" s="27">
        <f>(M668*'RAP TEMPLATE-GAS AVAILABILITY'!O667+N668*'RAP TEMPLATE-GAS AVAILABILITY'!P667+O668*'RAP TEMPLATE-GAS AVAILABILITY'!Q667+P668*'RAP TEMPLATE-GAS AVAILABILITY'!R667)/('RAP TEMPLATE-GAS AVAILABILITY'!O667+'RAP TEMPLATE-GAS AVAILABILITY'!P667+'RAP TEMPLATE-GAS AVAILABILITY'!Q667+'RAP TEMPLATE-GAS AVAILABILITY'!R667)</f>
        <v>30.76773381294964</v>
      </c>
    </row>
    <row r="669" spans="1:29" ht="15.75" x14ac:dyDescent="0.25">
      <c r="A669" s="13">
        <v>61270</v>
      </c>
      <c r="B669" s="10">
        <f>CHOOSE(CONTROL!$C$42, 29.0202, 29.0202) * CHOOSE(CONTROL!$C$21, $C$9, 100%, $E$9)</f>
        <v>29.020199999999999</v>
      </c>
      <c r="C669" s="10">
        <f>CHOOSE(CONTROL!$C$42, 29.0281, 29.0281) * CHOOSE(CONTROL!$C$21, $C$9, 100%, $E$9)</f>
        <v>29.028099999999998</v>
      </c>
      <c r="D669" s="10">
        <f>CHOOSE(CONTROL!$C$42, 29.2205, 29.2205) * CHOOSE(CONTROL!$C$21, $C$9, 100%, $E$9)</f>
        <v>29.220500000000001</v>
      </c>
      <c r="E669" s="10">
        <f>CHOOSE(CONTROL!$C$42, 29.2517, 29.2517) * CHOOSE(CONTROL!$C$21, $C$9, 100%, $E$9)</f>
        <v>29.2517</v>
      </c>
      <c r="F669" s="10">
        <f>CHOOSE(CONTROL!$C$42, 28.9871, 28.9871)*CHOOSE(CONTROL!$C$21, $C$9, 100%, $E$9)</f>
        <v>28.987100000000002</v>
      </c>
      <c r="G669" s="10">
        <f>CHOOSE(CONTROL!$C$42, 29.0044, 29.0044)*CHOOSE(CONTROL!$C$21, $C$9, 100%, $E$9)</f>
        <v>29.0044</v>
      </c>
      <c r="H669" s="10">
        <f>CHOOSE(CONTROL!$C$42, 29.2403, 29.2403) * CHOOSE(CONTROL!$C$21, $C$9, 100%, $E$9)</f>
        <v>29.240300000000001</v>
      </c>
      <c r="I669" s="10">
        <f>CHOOSE(CONTROL!$C$42, 28.9868, 28.9868)* CHOOSE(CONTROL!$C$21, $C$9, 100%, $E$9)</f>
        <v>28.986799999999999</v>
      </c>
      <c r="J669" s="10">
        <f>CHOOSE(CONTROL!$C$42, 28.9801, 28.9801)* CHOOSE(CONTROL!$C$21, $C$9, 100%, $E$9)</f>
        <v>28.9801</v>
      </c>
      <c r="K669" s="54">
        <f>CHOOSE(CONTROL!$C$42, 28.9829, 28.9829) * CHOOSE(CONTROL!$C$21, $C$9, 100%, $E$9)</f>
        <v>28.982900000000001</v>
      </c>
      <c r="L669" s="10">
        <f>CHOOSE(CONTROL!$C$42, 29.8273, 29.8273) * CHOOSE(CONTROL!$C$21, $C$9, 100%, $E$9)</f>
        <v>29.827300000000001</v>
      </c>
      <c r="M669" s="10">
        <f>CHOOSE(CONTROL!$C$42, 28.7014, 28.7014) * CHOOSE(CONTROL!$C$21, $C$9, 100%, $E$9)</f>
        <v>28.7014</v>
      </c>
      <c r="N669" s="10">
        <f>CHOOSE(CONTROL!$C$42, 28.7186, 28.7186) * CHOOSE(CONTROL!$C$21, $C$9, 100%, $E$9)</f>
        <v>28.718599999999999</v>
      </c>
      <c r="O669" s="10">
        <f>CHOOSE(CONTROL!$C$42, 28.959, 28.959) * CHOOSE(CONTROL!$C$21, $C$9, 100%, $E$9)</f>
        <v>28.959</v>
      </c>
      <c r="P669" s="10">
        <f>CHOOSE(CONTROL!$C$42, 28.7081, 28.7081) * CHOOSE(CONTROL!$C$21, $C$9, 100%, $E$9)</f>
        <v>28.708100000000002</v>
      </c>
      <c r="Q669" s="10">
        <f>CHOOSE(CONTROL!$C$42, 29.5543, 29.5543) * CHOOSE(CONTROL!$C$21, $C$9, 100%, $E$9)</f>
        <v>29.554300000000001</v>
      </c>
      <c r="R669" s="10">
        <f>CHOOSE(CONTROL!$C$42, 30.2152, 30.2152) * CHOOSE(CONTROL!$C$21, $C$9, 100%, $E$9)</f>
        <v>30.215199999999999</v>
      </c>
      <c r="S669" s="10">
        <f>CHOOSE(CONTROL!$C$42, 28.1772, 28.1772) * CHOOSE(CONTROL!$C$21, $C$9, 100%, $E$9)</f>
        <v>28.177199999999999</v>
      </c>
      <c r="T669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669" s="58">
        <f>(1000*CHOOSE(CONTROL!$C$42, 695, 695)*CHOOSE(CONTROL!$C$42, 0.5599, 0.5599)*CHOOSE(CONTROL!$C$42, 30, 30))/1000000</f>
        <v>11.673914999999997</v>
      </c>
      <c r="V669" s="58">
        <f>(1000*CHOOSE(CONTROL!$C$42, 500, 500)*CHOOSE(CONTROL!$C$42, 0.275, 0.275)*CHOOSE(CONTROL!$C$42, 30, 30))/1000000</f>
        <v>4.125</v>
      </c>
      <c r="W669" s="58">
        <f>(1000*CHOOSE(CONTROL!$C$42, 0.1146, 0.1146)*CHOOSE(CONTROL!$C$42, 121.5, 121.5)*CHOOSE(CONTROL!$C$42, 30, 30))/1000000</f>
        <v>0.417717</v>
      </c>
      <c r="X669" s="58">
        <f>(30*0.1790888*245000/1000000)+(30*0.2374*100000/1000000)</f>
        <v>2.0285026799999999</v>
      </c>
      <c r="Y669" s="58"/>
      <c r="Z669" s="10"/>
      <c r="AA669" s="57"/>
      <c r="AB669" s="51">
        <f>(B669*194.205+C669*267.466+D669*133.845+E669*53.484+F669*40+G669*185+H669*0+I669*100+J669*300)/(194.205+267.466+133.845+53.484+0+40+185+100+300)</f>
        <v>29.03722251248038</v>
      </c>
      <c r="AC669" s="27">
        <f>(M669*'RAP TEMPLATE-GAS AVAILABILITY'!O668+N669*'RAP TEMPLATE-GAS AVAILABILITY'!P668+O669*'RAP TEMPLATE-GAS AVAILABILITY'!Q668+P669*'RAP TEMPLATE-GAS AVAILABILITY'!R668)/('RAP TEMPLATE-GAS AVAILABILITY'!O668+'RAP TEMPLATE-GAS AVAILABILITY'!P668+'RAP TEMPLATE-GAS AVAILABILITY'!Q668+'RAP TEMPLATE-GAS AVAILABILITY'!R668)</f>
        <v>28.820107913669069</v>
      </c>
    </row>
    <row r="670" spans="1:29" ht="15.75" x14ac:dyDescent="0.25">
      <c r="A670" s="13">
        <v>61301</v>
      </c>
      <c r="B670" s="10">
        <f>CHOOSE(CONTROL!$C$42, 28.4293, 28.4293) * CHOOSE(CONTROL!$C$21, $C$9, 100%, $E$9)</f>
        <v>28.429300000000001</v>
      </c>
      <c r="C670" s="10">
        <f>CHOOSE(CONTROL!$C$42, 28.4345, 28.4345) * CHOOSE(CONTROL!$C$21, $C$9, 100%, $E$9)</f>
        <v>28.4345</v>
      </c>
      <c r="D670" s="10">
        <f>CHOOSE(CONTROL!$C$42, 28.6319, 28.6319) * CHOOSE(CONTROL!$C$21, $C$9, 100%, $E$9)</f>
        <v>28.631900000000002</v>
      </c>
      <c r="E670" s="10">
        <f>CHOOSE(CONTROL!$C$42, 28.6607, 28.6607) * CHOOSE(CONTROL!$C$21, $C$9, 100%, $E$9)</f>
        <v>28.660699999999999</v>
      </c>
      <c r="F670" s="10">
        <f>CHOOSE(CONTROL!$C$42, 28.3982, 28.3982)*CHOOSE(CONTROL!$C$21, $C$9, 100%, $E$9)</f>
        <v>28.398199999999999</v>
      </c>
      <c r="G670" s="10">
        <f>CHOOSE(CONTROL!$C$42, 28.4152, 28.4152)*CHOOSE(CONTROL!$C$21, $C$9, 100%, $E$9)</f>
        <v>28.415199999999999</v>
      </c>
      <c r="H670" s="10">
        <f>CHOOSE(CONTROL!$C$42, 28.6512, 28.6512) * CHOOSE(CONTROL!$C$21, $C$9, 100%, $E$9)</f>
        <v>28.651199999999999</v>
      </c>
      <c r="I670" s="10">
        <f>CHOOSE(CONTROL!$C$42, 28.3976, 28.3976)* CHOOSE(CONTROL!$C$21, $C$9, 100%, $E$9)</f>
        <v>28.397600000000001</v>
      </c>
      <c r="J670" s="10">
        <f>CHOOSE(CONTROL!$C$42, 28.3912, 28.3912)* CHOOSE(CONTROL!$C$21, $C$9, 100%, $E$9)</f>
        <v>28.391200000000001</v>
      </c>
      <c r="K670" s="54">
        <f>CHOOSE(CONTROL!$C$42, 28.3937, 28.3937) * CHOOSE(CONTROL!$C$21, $C$9, 100%, $E$9)</f>
        <v>28.393699999999999</v>
      </c>
      <c r="L670" s="10">
        <f>CHOOSE(CONTROL!$C$42, 29.2382, 29.2382) * CHOOSE(CONTROL!$C$21, $C$9, 100%, $E$9)</f>
        <v>29.238199999999999</v>
      </c>
      <c r="M670" s="10">
        <f>CHOOSE(CONTROL!$C$42, 28.1185, 28.1185) * CHOOSE(CONTROL!$C$21, $C$9, 100%, $E$9)</f>
        <v>28.118500000000001</v>
      </c>
      <c r="N670" s="10">
        <f>CHOOSE(CONTROL!$C$42, 28.1353, 28.1353) * CHOOSE(CONTROL!$C$21, $C$9, 100%, $E$9)</f>
        <v>28.135300000000001</v>
      </c>
      <c r="O670" s="10">
        <f>CHOOSE(CONTROL!$C$42, 28.3759, 28.3759) * CHOOSE(CONTROL!$C$21, $C$9, 100%, $E$9)</f>
        <v>28.375900000000001</v>
      </c>
      <c r="P670" s="10">
        <f>CHOOSE(CONTROL!$C$42, 28.1249, 28.1249) * CHOOSE(CONTROL!$C$21, $C$9, 100%, $E$9)</f>
        <v>28.1249</v>
      </c>
      <c r="Q670" s="10">
        <f>CHOOSE(CONTROL!$C$42, 28.9712, 28.9712) * CHOOSE(CONTROL!$C$21, $C$9, 100%, $E$9)</f>
        <v>28.9712</v>
      </c>
      <c r="R670" s="10">
        <f>CHOOSE(CONTROL!$C$42, 29.6306, 29.6306) * CHOOSE(CONTROL!$C$21, $C$9, 100%, $E$9)</f>
        <v>29.630600000000001</v>
      </c>
      <c r="S670" s="10">
        <f>CHOOSE(CONTROL!$C$42, 27.6052, 27.6052) * CHOOSE(CONTROL!$C$21, $C$9, 100%, $E$9)</f>
        <v>27.6052</v>
      </c>
      <c r="T670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670" s="58">
        <f>(1000*CHOOSE(CONTROL!$C$42, 695, 695)*CHOOSE(CONTROL!$C$42, 0.5599, 0.5599)*CHOOSE(CONTROL!$C$42, 31, 31))/1000000</f>
        <v>12.063045499999998</v>
      </c>
      <c r="V670" s="58">
        <f>(1000*CHOOSE(CONTROL!$C$42, 500, 500)*CHOOSE(CONTROL!$C$42, 0.275, 0.275)*CHOOSE(CONTROL!$C$42, 31, 31))/1000000</f>
        <v>4.2625000000000002</v>
      </c>
      <c r="W670" s="58">
        <f>(1000*CHOOSE(CONTROL!$C$42, 0.1146, 0.1146)*CHOOSE(CONTROL!$C$42, 121.5, 121.5)*CHOOSE(CONTROL!$C$42, 31, 31))/1000000</f>
        <v>0.43164089999999994</v>
      </c>
      <c r="X670" s="58">
        <f>(31*0.1790888*245000/1000000)+(31*0.2374*100000/1000000)</f>
        <v>2.0961194359999999</v>
      </c>
      <c r="Y670" s="58"/>
      <c r="Z670" s="10"/>
      <c r="AA670" s="57"/>
      <c r="AB670" s="51">
        <f>(B670*131.881+C670*277.167+D670*79.08+E670*125.872+F670*40+G670*185+H670*0+I670*100+J670*300)/(131.881+277.167+79.08+125.872+0+40+185+100+300)</f>
        <v>28.452009569975786</v>
      </c>
      <c r="AC670" s="27">
        <f>(M670*'RAP TEMPLATE-GAS AVAILABILITY'!O669+N670*'RAP TEMPLATE-GAS AVAILABILITY'!P669+O670*'RAP TEMPLATE-GAS AVAILABILITY'!Q669+P670*'RAP TEMPLATE-GAS AVAILABILITY'!R669)/('RAP TEMPLATE-GAS AVAILABILITY'!O669+'RAP TEMPLATE-GAS AVAILABILITY'!P669+'RAP TEMPLATE-GAS AVAILABILITY'!Q669+'RAP TEMPLATE-GAS AVAILABILITY'!R669)</f>
        <v>28.237051079136698</v>
      </c>
    </row>
    <row r="671" spans="1:29" ht="15.75" x14ac:dyDescent="0.25">
      <c r="A671" s="13">
        <v>61331</v>
      </c>
      <c r="B671" s="10">
        <f>CHOOSE(CONTROL!$C$42, 29.1778, 29.1778) * CHOOSE(CONTROL!$C$21, $C$9, 100%, $E$9)</f>
        <v>29.177800000000001</v>
      </c>
      <c r="C671" s="10">
        <f>CHOOSE(CONTROL!$C$42, 29.1827, 29.1827) * CHOOSE(CONTROL!$C$21, $C$9, 100%, $E$9)</f>
        <v>29.182700000000001</v>
      </c>
      <c r="D671" s="10">
        <f>CHOOSE(CONTROL!$C$42, 29.2123, 29.2123) * CHOOSE(CONTROL!$C$21, $C$9, 100%, $E$9)</f>
        <v>29.212299999999999</v>
      </c>
      <c r="E671" s="10">
        <f>CHOOSE(CONTROL!$C$42, 29.2461, 29.2461) * CHOOSE(CONTROL!$C$21, $C$9, 100%, $E$9)</f>
        <v>29.246099999999998</v>
      </c>
      <c r="F671" s="10">
        <f>CHOOSE(CONTROL!$C$42, 29.1446, 29.1446)*CHOOSE(CONTROL!$C$21, $C$9, 100%, $E$9)</f>
        <v>29.144600000000001</v>
      </c>
      <c r="G671" s="10">
        <f>CHOOSE(CONTROL!$C$42, 29.1617, 29.1617)*CHOOSE(CONTROL!$C$21, $C$9, 100%, $E$9)</f>
        <v>29.1617</v>
      </c>
      <c r="H671" s="10">
        <f>CHOOSE(CONTROL!$C$42, 29.2353, 29.2353) * CHOOSE(CONTROL!$C$21, $C$9, 100%, $E$9)</f>
        <v>29.235299999999999</v>
      </c>
      <c r="I671" s="10">
        <f>CHOOSE(CONTROL!$C$42, 29.1414, 29.1414)* CHOOSE(CONTROL!$C$21, $C$9, 100%, $E$9)</f>
        <v>29.141400000000001</v>
      </c>
      <c r="J671" s="10">
        <f>CHOOSE(CONTROL!$C$42, 29.1376, 29.1376)* CHOOSE(CONTROL!$C$21, $C$9, 100%, $E$9)</f>
        <v>29.137599999999999</v>
      </c>
      <c r="K671" s="54">
        <f>CHOOSE(CONTROL!$C$42, 29.1375, 29.1375) * CHOOSE(CONTROL!$C$21, $C$9, 100%, $E$9)</f>
        <v>29.137499999999999</v>
      </c>
      <c r="L671" s="10">
        <f>CHOOSE(CONTROL!$C$42, 29.8223, 29.8223) * CHOOSE(CONTROL!$C$21, $C$9, 100%, $E$9)</f>
        <v>29.822299999999998</v>
      </c>
      <c r="M671" s="10">
        <f>CHOOSE(CONTROL!$C$42, 28.8573, 28.8573) * CHOOSE(CONTROL!$C$21, $C$9, 100%, $E$9)</f>
        <v>28.857299999999999</v>
      </c>
      <c r="N671" s="10">
        <f>CHOOSE(CONTROL!$C$42, 28.8743, 28.8743) * CHOOSE(CONTROL!$C$21, $C$9, 100%, $E$9)</f>
        <v>28.874300000000002</v>
      </c>
      <c r="O671" s="10">
        <f>CHOOSE(CONTROL!$C$42, 28.9541, 28.9541) * CHOOSE(CONTROL!$C$21, $C$9, 100%, $E$9)</f>
        <v>28.9541</v>
      </c>
      <c r="P671" s="10">
        <f>CHOOSE(CONTROL!$C$42, 28.8611, 28.8611) * CHOOSE(CONTROL!$C$21, $C$9, 100%, $E$9)</f>
        <v>28.8611</v>
      </c>
      <c r="Q671" s="10">
        <f>CHOOSE(CONTROL!$C$42, 29.5494, 29.5494) * CHOOSE(CONTROL!$C$21, $C$9, 100%, $E$9)</f>
        <v>29.549399999999999</v>
      </c>
      <c r="R671" s="10">
        <f>CHOOSE(CONTROL!$C$42, 30.2103, 30.2103) * CHOOSE(CONTROL!$C$21, $C$9, 100%, $E$9)</f>
        <v>30.2103</v>
      </c>
      <c r="S671" s="10">
        <f>CHOOSE(CONTROL!$C$42, 28.3324, 28.3324) * CHOOSE(CONTROL!$C$21, $C$9, 100%, $E$9)</f>
        <v>28.3324</v>
      </c>
      <c r="T671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671" s="58">
        <f>(1000*CHOOSE(CONTROL!$C$42, 695, 695)*CHOOSE(CONTROL!$C$42, 0.5599, 0.5599)*CHOOSE(CONTROL!$C$42, 30, 30))/1000000</f>
        <v>11.673914999999997</v>
      </c>
      <c r="V671" s="58">
        <f>(1000*CHOOSE(CONTROL!$C$42, 500, 500)*CHOOSE(CONTROL!$C$42, 0.275, 0.275)*CHOOSE(CONTROL!$C$42, 30, 30))/1000000</f>
        <v>4.125</v>
      </c>
      <c r="W671" s="58">
        <f>(1000*CHOOSE(CONTROL!$C$42, 0.1146, 0.1146)*CHOOSE(CONTROL!$C$42, 121.5, 121.5)*CHOOSE(CONTROL!$C$42, 30, 30))/1000000</f>
        <v>0.417717</v>
      </c>
      <c r="X671" s="58">
        <f>(30*0.1790888*100000/1000000)+(30*0.2374*100000/1000000)</f>
        <v>1.2494664</v>
      </c>
      <c r="Y671" s="58"/>
      <c r="Z671" s="10"/>
      <c r="AA671" s="57"/>
      <c r="AB671" s="51">
        <f>(B671*122.58+C671*297.941+D671*89.177+E671*40.302+F671*40+G671*160+H671*0+I671*100+J671*300)/(122.58+297.941+89.177+40.302+0+40+160+100+300)</f>
        <v>29.167091429565215</v>
      </c>
      <c r="AC671" s="27">
        <f>(M671*'RAP TEMPLATE-GAS AVAILABILITY'!O670+N671*'RAP TEMPLATE-GAS AVAILABILITY'!P670+O671*'RAP TEMPLATE-GAS AVAILABILITY'!Q670+P671*'RAP TEMPLATE-GAS AVAILABILITY'!R670)/('RAP TEMPLATE-GAS AVAILABILITY'!O670+'RAP TEMPLATE-GAS AVAILABILITY'!P670+'RAP TEMPLATE-GAS AVAILABILITY'!Q670+'RAP TEMPLATE-GAS AVAILABILITY'!R670)</f>
        <v>28.902698561151077</v>
      </c>
    </row>
    <row r="672" spans="1:29" ht="15.75" x14ac:dyDescent="0.25">
      <c r="A672" s="13">
        <v>61362</v>
      </c>
      <c r="B672" s="10">
        <f>CHOOSE(CONTROL!$C$42, 31.1669, 31.1669) * CHOOSE(CONTROL!$C$21, $C$9, 100%, $E$9)</f>
        <v>31.166899999999998</v>
      </c>
      <c r="C672" s="10">
        <f>CHOOSE(CONTROL!$C$42, 31.1718, 31.1718) * CHOOSE(CONTROL!$C$21, $C$9, 100%, $E$9)</f>
        <v>31.171800000000001</v>
      </c>
      <c r="D672" s="10">
        <f>CHOOSE(CONTROL!$C$42, 31.2014, 31.2014) * CHOOSE(CONTROL!$C$21, $C$9, 100%, $E$9)</f>
        <v>31.2014</v>
      </c>
      <c r="E672" s="10">
        <f>CHOOSE(CONTROL!$C$42, 31.2352, 31.2352) * CHOOSE(CONTROL!$C$21, $C$9, 100%, $E$9)</f>
        <v>31.235199999999999</v>
      </c>
      <c r="F672" s="10">
        <f>CHOOSE(CONTROL!$C$42, 31.1351, 31.1351)*CHOOSE(CONTROL!$C$21, $C$9, 100%, $E$9)</f>
        <v>31.135100000000001</v>
      </c>
      <c r="G672" s="10">
        <f>CHOOSE(CONTROL!$C$42, 31.1526, 31.1526)*CHOOSE(CONTROL!$C$21, $C$9, 100%, $E$9)</f>
        <v>31.1526</v>
      </c>
      <c r="H672" s="10">
        <f>CHOOSE(CONTROL!$C$42, 31.2244, 31.2244) * CHOOSE(CONTROL!$C$21, $C$9, 100%, $E$9)</f>
        <v>31.224399999999999</v>
      </c>
      <c r="I672" s="10">
        <f>CHOOSE(CONTROL!$C$42, 31.1305, 31.1305)* CHOOSE(CONTROL!$C$21, $C$9, 100%, $E$9)</f>
        <v>31.130500000000001</v>
      </c>
      <c r="J672" s="10">
        <f>CHOOSE(CONTROL!$C$42, 31.1281, 31.1281)* CHOOSE(CONTROL!$C$21, $C$9, 100%, $E$9)</f>
        <v>31.1281</v>
      </c>
      <c r="K672" s="54">
        <f>CHOOSE(CONTROL!$C$42, 31.1266, 31.1266) * CHOOSE(CONTROL!$C$21, $C$9, 100%, $E$9)</f>
        <v>31.1266</v>
      </c>
      <c r="L672" s="10">
        <f>CHOOSE(CONTROL!$C$42, 31.8114, 31.8114) * CHOOSE(CONTROL!$C$21, $C$9, 100%, $E$9)</f>
        <v>31.811399999999999</v>
      </c>
      <c r="M672" s="10">
        <f>CHOOSE(CONTROL!$C$42, 30.8278, 30.8278) * CHOOSE(CONTROL!$C$21, $C$9, 100%, $E$9)</f>
        <v>30.8278</v>
      </c>
      <c r="N672" s="10">
        <f>CHOOSE(CONTROL!$C$42, 30.8451, 30.8451) * CHOOSE(CONTROL!$C$21, $C$9, 100%, $E$9)</f>
        <v>30.845099999999999</v>
      </c>
      <c r="O672" s="10">
        <f>CHOOSE(CONTROL!$C$42, 30.9231, 30.9231) * CHOOSE(CONTROL!$C$21, $C$9, 100%, $E$9)</f>
        <v>30.923100000000002</v>
      </c>
      <c r="P672" s="10">
        <f>CHOOSE(CONTROL!$C$42, 30.8302, 30.8302) * CHOOSE(CONTROL!$C$21, $C$9, 100%, $E$9)</f>
        <v>30.830200000000001</v>
      </c>
      <c r="Q672" s="10">
        <f>CHOOSE(CONTROL!$C$42, 31.5184, 31.5184) * CHOOSE(CONTROL!$C$21, $C$9, 100%, $E$9)</f>
        <v>31.5184</v>
      </c>
      <c r="R672" s="10">
        <f>CHOOSE(CONTROL!$C$42, 32.1842, 32.1842) * CHOOSE(CONTROL!$C$21, $C$9, 100%, $E$9)</f>
        <v>32.184199999999997</v>
      </c>
      <c r="S672" s="10">
        <f>CHOOSE(CONTROL!$C$42, 30.264, 30.264) * CHOOSE(CONTROL!$C$21, $C$9, 100%, $E$9)</f>
        <v>30.263999999999999</v>
      </c>
      <c r="T672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672" s="58">
        <f>(1000*CHOOSE(CONTROL!$C$42, 695, 695)*CHOOSE(CONTROL!$C$42, 0.5599, 0.5599)*CHOOSE(CONTROL!$C$42, 31, 31))/1000000</f>
        <v>12.063045499999998</v>
      </c>
      <c r="V672" s="58">
        <f>(1000*CHOOSE(CONTROL!$C$42, 500, 500)*CHOOSE(CONTROL!$C$42, 0.275, 0.275)*CHOOSE(CONTROL!$C$42, 31, 31))/1000000</f>
        <v>4.2625000000000002</v>
      </c>
      <c r="W672" s="58">
        <f>(1000*CHOOSE(CONTROL!$C$42, 0.1146, 0.1146)*CHOOSE(CONTROL!$C$42, 121.5, 121.5)*CHOOSE(CONTROL!$C$42, 31, 31))/1000000</f>
        <v>0.43164089999999994</v>
      </c>
      <c r="X672" s="58">
        <f>(31*0.1790888*100000/1000000)+(31*0.2374*100000/1000000)</f>
        <v>1.2911152800000001</v>
      </c>
      <c r="Y672" s="58"/>
      <c r="Z672" s="10"/>
      <c r="AA672" s="57"/>
      <c r="AB672" s="51">
        <f>(B672*122.58+C672*297.941+D672*89.177+E672*40.302+F672*40+G672*160+H672*0+I672*100+J672*300)/(122.58+297.941+89.177+40.302+0+40+160+100+300)</f>
        <v>31.1568557773913</v>
      </c>
      <c r="AC672" s="27">
        <f>(M672*'RAP TEMPLATE-GAS AVAILABILITY'!O671+N672*'RAP TEMPLATE-GAS AVAILABILITY'!P671+O672*'RAP TEMPLATE-GAS AVAILABILITY'!Q671+P672*'RAP TEMPLATE-GAS AVAILABILITY'!R671)/('RAP TEMPLATE-GAS AVAILABILITY'!O671+'RAP TEMPLATE-GAS AVAILABILITY'!P671+'RAP TEMPLATE-GAS AVAILABILITY'!Q671+'RAP TEMPLATE-GAS AVAILABILITY'!R671)</f>
        <v>30.872334532374101</v>
      </c>
    </row>
    <row r="673" spans="1:29" ht="15.75" x14ac:dyDescent="0.25">
      <c r="A673" s="13">
        <v>61393</v>
      </c>
      <c r="B673" s="10">
        <f>CHOOSE(CONTROL!$C$42, 33.7204, 33.7204) * CHOOSE(CONTROL!$C$21, $C$9, 100%, $E$9)</f>
        <v>33.720399999999998</v>
      </c>
      <c r="C673" s="10">
        <f>CHOOSE(CONTROL!$C$42, 33.7253, 33.7253) * CHOOSE(CONTROL!$C$21, $C$9, 100%, $E$9)</f>
        <v>33.725299999999997</v>
      </c>
      <c r="D673" s="10">
        <f>CHOOSE(CONTROL!$C$42, 33.7755, 33.7755) * CHOOSE(CONTROL!$C$21, $C$9, 100%, $E$9)</f>
        <v>33.775500000000001</v>
      </c>
      <c r="E673" s="10">
        <f>CHOOSE(CONTROL!$C$42, 33.8093, 33.8093) * CHOOSE(CONTROL!$C$21, $C$9, 100%, $E$9)</f>
        <v>33.8093</v>
      </c>
      <c r="F673" s="10">
        <f>CHOOSE(CONTROL!$C$42, 33.6857, 33.6857)*CHOOSE(CONTROL!$C$21, $C$9, 100%, $E$9)</f>
        <v>33.685699999999997</v>
      </c>
      <c r="G673" s="10">
        <f>CHOOSE(CONTROL!$C$42, 33.7033, 33.7033)*CHOOSE(CONTROL!$C$21, $C$9, 100%, $E$9)</f>
        <v>33.703299999999999</v>
      </c>
      <c r="H673" s="10">
        <f>CHOOSE(CONTROL!$C$42, 33.7985, 33.7985) * CHOOSE(CONTROL!$C$21, $C$9, 100%, $E$9)</f>
        <v>33.798499999999997</v>
      </c>
      <c r="I673" s="10">
        <f>CHOOSE(CONTROL!$C$42, 33.6942, 33.6942)* CHOOSE(CONTROL!$C$21, $C$9, 100%, $E$9)</f>
        <v>33.694200000000002</v>
      </c>
      <c r="J673" s="10">
        <f>CHOOSE(CONTROL!$C$42, 33.6787, 33.6787)* CHOOSE(CONTROL!$C$21, $C$9, 100%, $E$9)</f>
        <v>33.678699999999999</v>
      </c>
      <c r="K673" s="54">
        <f>CHOOSE(CONTROL!$C$42, 33.6904, 33.6904) * CHOOSE(CONTROL!$C$21, $C$9, 100%, $E$9)</f>
        <v>33.690399999999997</v>
      </c>
      <c r="L673" s="10">
        <f>CHOOSE(CONTROL!$C$42, 34.3855, 34.3855) * CHOOSE(CONTROL!$C$21, $C$9, 100%, $E$9)</f>
        <v>34.3855</v>
      </c>
      <c r="M673" s="10">
        <f>CHOOSE(CONTROL!$C$42, 33.3527, 33.3527) * CHOOSE(CONTROL!$C$21, $C$9, 100%, $E$9)</f>
        <v>33.352699999999999</v>
      </c>
      <c r="N673" s="10">
        <f>CHOOSE(CONTROL!$C$42, 33.37, 33.37) * CHOOSE(CONTROL!$C$21, $C$9, 100%, $E$9)</f>
        <v>33.369999999999997</v>
      </c>
      <c r="O673" s="10">
        <f>CHOOSE(CONTROL!$C$42, 33.4712, 33.4712) * CHOOSE(CONTROL!$C$21, $C$9, 100%, $E$9)</f>
        <v>33.471200000000003</v>
      </c>
      <c r="P673" s="10">
        <f>CHOOSE(CONTROL!$C$42, 33.3681, 33.3681) * CHOOSE(CONTROL!$C$21, $C$9, 100%, $E$9)</f>
        <v>33.368099999999998</v>
      </c>
      <c r="Q673" s="10">
        <f>CHOOSE(CONTROL!$C$42, 34.0665, 34.0665) * CHOOSE(CONTROL!$C$21, $C$9, 100%, $E$9)</f>
        <v>34.066499999999998</v>
      </c>
      <c r="R673" s="10">
        <f>CHOOSE(CONTROL!$C$42, 34.7387, 34.7387) * CHOOSE(CONTROL!$C$21, $C$9, 100%, $E$9)</f>
        <v>34.738700000000001</v>
      </c>
      <c r="S673" s="10">
        <f>CHOOSE(CONTROL!$C$42, 32.7437, 32.7437) * CHOOSE(CONTROL!$C$21, $C$9, 100%, $E$9)</f>
        <v>32.743699999999997</v>
      </c>
      <c r="T673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673" s="58">
        <f>(1000*CHOOSE(CONTROL!$C$42, 695, 695)*CHOOSE(CONTROL!$C$42, 0.5599, 0.5599)*CHOOSE(CONTROL!$C$42, 31, 31))/1000000</f>
        <v>12.063045499999998</v>
      </c>
      <c r="V673" s="58">
        <f>(1000*CHOOSE(CONTROL!$C$42, 500, 500)*CHOOSE(CONTROL!$C$42, 0.275, 0.275)*CHOOSE(CONTROL!$C$42, 31, 31))/1000000</f>
        <v>4.2625000000000002</v>
      </c>
      <c r="W673" s="58">
        <f>(1000*CHOOSE(CONTROL!$C$42, 0.1146, 0.1146)*CHOOSE(CONTROL!$C$42, 121.5, 121.5)*CHOOSE(CONTROL!$C$42, 31, 31))/1000000</f>
        <v>0.43164089999999994</v>
      </c>
      <c r="X673" s="58">
        <f>(31*0.1790888*100000/1000000)+(31*0.2374*100000/1000000)</f>
        <v>1.2911152800000001</v>
      </c>
      <c r="Y673" s="58"/>
      <c r="Z673" s="10"/>
      <c r="AA673" s="57"/>
      <c r="AB673" s="51">
        <f>(B673*122.58+C673*297.941+D673*89.177+E673*40.302+F673*40+G673*160+H673*0+I673*100+J673*300)/(122.58+297.941+89.177+40.302+0+40+160+100+300)</f>
        <v>33.712315140347819</v>
      </c>
      <c r="AC673" s="27">
        <f>(M673*'RAP TEMPLATE-GAS AVAILABILITY'!O672+N673*'RAP TEMPLATE-GAS AVAILABILITY'!P672+O673*'RAP TEMPLATE-GAS AVAILABILITY'!Q672+P673*'RAP TEMPLATE-GAS AVAILABILITY'!R672)/('RAP TEMPLATE-GAS AVAILABILITY'!O672+'RAP TEMPLATE-GAS AVAILABILITY'!P672+'RAP TEMPLATE-GAS AVAILABILITY'!Q672+'RAP TEMPLATE-GAS AVAILABILITY'!R672)</f>
        <v>33.409620143884894</v>
      </c>
    </row>
    <row r="674" spans="1:29" ht="15.75" x14ac:dyDescent="0.25">
      <c r="A674" s="13">
        <v>61422</v>
      </c>
      <c r="B674" s="10">
        <f>CHOOSE(CONTROL!$C$42, 34.3206, 34.3206) * CHOOSE(CONTROL!$C$21, $C$9, 100%, $E$9)</f>
        <v>34.320599999999999</v>
      </c>
      <c r="C674" s="10">
        <f>CHOOSE(CONTROL!$C$42, 34.3255, 34.3255) * CHOOSE(CONTROL!$C$21, $C$9, 100%, $E$9)</f>
        <v>34.325499999999998</v>
      </c>
      <c r="D674" s="10">
        <f>CHOOSE(CONTROL!$C$42, 34.386, 34.386) * CHOOSE(CONTROL!$C$21, $C$9, 100%, $E$9)</f>
        <v>34.386000000000003</v>
      </c>
      <c r="E674" s="10">
        <f>CHOOSE(CONTROL!$C$42, 34.4198, 34.4198) * CHOOSE(CONTROL!$C$21, $C$9, 100%, $E$9)</f>
        <v>34.419800000000002</v>
      </c>
      <c r="F674" s="10">
        <f>CHOOSE(CONTROL!$C$42, 34.3138, 34.3138)*CHOOSE(CONTROL!$C$21, $C$9, 100%, $E$9)</f>
        <v>34.313800000000001</v>
      </c>
      <c r="G674" s="10">
        <f>CHOOSE(CONTROL!$C$42, 34.3311, 34.3311)*CHOOSE(CONTROL!$C$21, $C$9, 100%, $E$9)</f>
        <v>34.331099999999999</v>
      </c>
      <c r="H674" s="10">
        <f>CHOOSE(CONTROL!$C$42, 34.409, 34.409) * CHOOSE(CONTROL!$C$21, $C$9, 100%, $E$9)</f>
        <v>34.408999999999999</v>
      </c>
      <c r="I674" s="10">
        <f>CHOOSE(CONTROL!$C$42, 34.3073, 34.3073)* CHOOSE(CONTROL!$C$21, $C$9, 100%, $E$9)</f>
        <v>34.307299999999998</v>
      </c>
      <c r="J674" s="10">
        <f>CHOOSE(CONTROL!$C$42, 34.3068, 34.3068)* CHOOSE(CONTROL!$C$21, $C$9, 100%, $E$9)</f>
        <v>34.306800000000003</v>
      </c>
      <c r="K674" s="54">
        <f>CHOOSE(CONTROL!$C$42, 34.3034, 34.3034) * CHOOSE(CONTROL!$C$21, $C$9, 100%, $E$9)</f>
        <v>34.303400000000003</v>
      </c>
      <c r="L674" s="10">
        <f>CHOOSE(CONTROL!$C$42, 34.996, 34.996) * CHOOSE(CONTROL!$C$21, $C$9, 100%, $E$9)</f>
        <v>34.996000000000002</v>
      </c>
      <c r="M674" s="10">
        <f>CHOOSE(CONTROL!$C$42, 33.9744, 33.9744) * CHOOSE(CONTROL!$C$21, $C$9, 100%, $E$9)</f>
        <v>33.974400000000003</v>
      </c>
      <c r="N674" s="10">
        <f>CHOOSE(CONTROL!$C$42, 33.9915, 33.9915) * CHOOSE(CONTROL!$C$21, $C$9, 100%, $E$9)</f>
        <v>33.991500000000002</v>
      </c>
      <c r="O674" s="10">
        <f>CHOOSE(CONTROL!$C$42, 34.0756, 34.0756) * CHOOSE(CONTROL!$C$21, $C$9, 100%, $E$9)</f>
        <v>34.075600000000001</v>
      </c>
      <c r="P674" s="10">
        <f>CHOOSE(CONTROL!$C$42, 33.975, 33.975) * CHOOSE(CONTROL!$C$21, $C$9, 100%, $E$9)</f>
        <v>33.975000000000001</v>
      </c>
      <c r="Q674" s="10">
        <f>CHOOSE(CONTROL!$C$42, 34.6709, 34.6709) * CHOOSE(CONTROL!$C$21, $C$9, 100%, $E$9)</f>
        <v>34.670900000000003</v>
      </c>
      <c r="R674" s="10">
        <f>CHOOSE(CONTROL!$C$42, 35.3446, 35.3446) * CHOOSE(CONTROL!$C$21, $C$9, 100%, $E$9)</f>
        <v>35.3446</v>
      </c>
      <c r="S674" s="10">
        <f>CHOOSE(CONTROL!$C$42, 33.3266, 33.3266) * CHOOSE(CONTROL!$C$21, $C$9, 100%, $E$9)</f>
        <v>33.326599999999999</v>
      </c>
      <c r="T674" s="5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674" s="58">
        <f>(1000*CHOOSE(CONTROL!$C$42, 695, 695)*CHOOSE(CONTROL!$C$42, 0.5599, 0.5599)*CHOOSE(CONTROL!$C$42, 29, 29))/1000000</f>
        <v>11.284784499999999</v>
      </c>
      <c r="V674" s="58">
        <f>(1000*CHOOSE(CONTROL!$C$42, 500, 500)*CHOOSE(CONTROL!$C$42, 0.275, 0.275)*CHOOSE(CONTROL!$C$42, 29, 29))/1000000</f>
        <v>3.9874999999999998</v>
      </c>
      <c r="W674" s="58">
        <f>(1000*CHOOSE(CONTROL!$C$42, 0.1146, 0.1146)*CHOOSE(CONTROL!$C$42, 121.5, 121.5)*CHOOSE(CONTROL!$C$42, 29, 29))/1000000</f>
        <v>0.40379309999999996</v>
      </c>
      <c r="X674" s="58">
        <f>(29*0.1790888*100000/1000000)+(29*0.2374*100000/1000000)</f>
        <v>1.2078175199999999</v>
      </c>
      <c r="Y674" s="58"/>
      <c r="Z674" s="10"/>
      <c r="AA674" s="57"/>
      <c r="AB674" s="51">
        <f>(B674*122.58+C674*297.941+D674*89.177+E674*40.302+F674*40+G674*160+H674*0+I674*100+J674*300)/(122.58+297.941+89.177+40.302+0+40+160+100+300)</f>
        <v>34.326885256608698</v>
      </c>
      <c r="AC674" s="27">
        <f>(M674*'RAP TEMPLATE-GAS AVAILABILITY'!O673+N674*'RAP TEMPLATE-GAS AVAILABILITY'!P673+O674*'RAP TEMPLATE-GAS AVAILABILITY'!Q673+P674*'RAP TEMPLATE-GAS AVAILABILITY'!R673)/('RAP TEMPLATE-GAS AVAILABILITY'!O673+'RAP TEMPLATE-GAS AVAILABILITY'!P673+'RAP TEMPLATE-GAS AVAILABILITY'!Q673+'RAP TEMPLATE-GAS AVAILABILITY'!R673)</f>
        <v>34.021338129496407</v>
      </c>
    </row>
    <row r="675" spans="1:29" ht="15.75" x14ac:dyDescent="0.25">
      <c r="A675" s="13">
        <v>61453</v>
      </c>
      <c r="B675" s="10">
        <f>CHOOSE(CONTROL!$C$42, 33.3463, 33.3463) * CHOOSE(CONTROL!$C$21, $C$9, 100%, $E$9)</f>
        <v>33.346299999999999</v>
      </c>
      <c r="C675" s="10">
        <f>CHOOSE(CONTROL!$C$42, 33.3512, 33.3512) * CHOOSE(CONTROL!$C$21, $C$9, 100%, $E$9)</f>
        <v>33.351199999999999</v>
      </c>
      <c r="D675" s="10">
        <f>CHOOSE(CONTROL!$C$42, 33.4117, 33.4117) * CHOOSE(CONTROL!$C$21, $C$9, 100%, $E$9)</f>
        <v>33.411700000000003</v>
      </c>
      <c r="E675" s="10">
        <f>CHOOSE(CONTROL!$C$42, 33.4455, 33.4455) * CHOOSE(CONTROL!$C$21, $C$9, 100%, $E$9)</f>
        <v>33.445500000000003</v>
      </c>
      <c r="F675" s="10">
        <f>CHOOSE(CONTROL!$C$42, 33.334, 33.334)*CHOOSE(CONTROL!$C$21, $C$9, 100%, $E$9)</f>
        <v>33.334000000000003</v>
      </c>
      <c r="G675" s="10">
        <f>CHOOSE(CONTROL!$C$42, 33.3512, 33.3512)*CHOOSE(CONTROL!$C$21, $C$9, 100%, $E$9)</f>
        <v>33.351199999999999</v>
      </c>
      <c r="H675" s="10">
        <f>CHOOSE(CONTROL!$C$42, 33.4347, 33.4347) * CHOOSE(CONTROL!$C$21, $C$9, 100%, $E$9)</f>
        <v>33.434699999999999</v>
      </c>
      <c r="I675" s="10">
        <f>CHOOSE(CONTROL!$C$42, 33.3202, 33.3202)* CHOOSE(CONTROL!$C$21, $C$9, 100%, $E$9)</f>
        <v>33.3202</v>
      </c>
      <c r="J675" s="10">
        <f>CHOOSE(CONTROL!$C$42, 33.327, 33.327)* CHOOSE(CONTROL!$C$21, $C$9, 100%, $E$9)</f>
        <v>33.326999999999998</v>
      </c>
      <c r="K675" s="54">
        <f>CHOOSE(CONTROL!$C$42, 33.3163, 33.3163) * CHOOSE(CONTROL!$C$21, $C$9, 100%, $E$9)</f>
        <v>33.316299999999998</v>
      </c>
      <c r="L675" s="10">
        <f>CHOOSE(CONTROL!$C$42, 34.0217, 34.0217) * CHOOSE(CONTROL!$C$21, $C$9, 100%, $E$9)</f>
        <v>34.021700000000003</v>
      </c>
      <c r="M675" s="10">
        <f>CHOOSE(CONTROL!$C$42, 33.0045, 33.0045) * CHOOSE(CONTROL!$C$21, $C$9, 100%, $E$9)</f>
        <v>33.0045</v>
      </c>
      <c r="N675" s="10">
        <f>CHOOSE(CONTROL!$C$42, 33.0215, 33.0215) * CHOOSE(CONTROL!$C$21, $C$9, 100%, $E$9)</f>
        <v>33.021500000000003</v>
      </c>
      <c r="O675" s="10">
        <f>CHOOSE(CONTROL!$C$42, 33.1111, 33.1111) * CHOOSE(CONTROL!$C$21, $C$9, 100%, $E$9)</f>
        <v>33.1111</v>
      </c>
      <c r="P675" s="10">
        <f>CHOOSE(CONTROL!$C$42, 32.9978, 32.9978) * CHOOSE(CONTROL!$C$21, $C$9, 100%, $E$9)</f>
        <v>32.997799999999998</v>
      </c>
      <c r="Q675" s="10">
        <f>CHOOSE(CONTROL!$C$42, 33.7064, 33.7064) * CHOOSE(CONTROL!$C$21, $C$9, 100%, $E$9)</f>
        <v>33.706400000000002</v>
      </c>
      <c r="R675" s="10">
        <f>CHOOSE(CONTROL!$C$42, 34.3777, 34.3777) * CHOOSE(CONTROL!$C$21, $C$9, 100%, $E$9)</f>
        <v>34.377699999999997</v>
      </c>
      <c r="S675" s="10">
        <f>CHOOSE(CONTROL!$C$42, 32.3804, 32.3804) * CHOOSE(CONTROL!$C$21, $C$9, 100%, $E$9)</f>
        <v>32.380400000000002</v>
      </c>
      <c r="T675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675" s="58">
        <f>(1000*CHOOSE(CONTROL!$C$42, 695, 695)*CHOOSE(CONTROL!$C$42, 0.5599, 0.5599)*CHOOSE(CONTROL!$C$42, 31, 31))/1000000</f>
        <v>12.063045499999998</v>
      </c>
      <c r="V675" s="58">
        <f>(1000*CHOOSE(CONTROL!$C$42, 500, 500)*CHOOSE(CONTROL!$C$42, 0.275, 0.275)*CHOOSE(CONTROL!$C$42, 31, 31))/1000000</f>
        <v>4.2625000000000002</v>
      </c>
      <c r="W675" s="58">
        <f>(1000*CHOOSE(CONTROL!$C$42, 0.1146, 0.1146)*CHOOSE(CONTROL!$C$42, 121.5, 121.5)*CHOOSE(CONTROL!$C$42, 31, 31))/1000000</f>
        <v>0.43164089999999994</v>
      </c>
      <c r="X675" s="58">
        <f>(31*0.1790888*100000/1000000)+(31*0.2374*100000/1000000)</f>
        <v>1.2911152800000001</v>
      </c>
      <c r="Y675" s="58"/>
      <c r="Z675" s="10"/>
      <c r="AA675" s="57"/>
      <c r="AB675" s="51">
        <f>(B675*122.58+C675*297.941+D675*89.177+E675*40.302+F675*40+G675*160+H675*0+I675*100+J675*300)/(122.58+297.941+89.177+40.302+0+40+160+100+300)</f>
        <v>33.349066995739129</v>
      </c>
      <c r="AC675" s="27">
        <f>(M675*'RAP TEMPLATE-GAS AVAILABILITY'!O674+N675*'RAP TEMPLATE-GAS AVAILABILITY'!P674+O675*'RAP TEMPLATE-GAS AVAILABILITY'!Q674+P675*'RAP TEMPLATE-GAS AVAILABILITY'!R674)/('RAP TEMPLATE-GAS AVAILABILITY'!O674+'RAP TEMPLATE-GAS AVAILABILITY'!P674+'RAP TEMPLATE-GAS AVAILABILITY'!Q674+'RAP TEMPLATE-GAS AVAILABILITY'!R674)</f>
        <v>33.052829496402879</v>
      </c>
    </row>
    <row r="676" spans="1:29" ht="15.75" x14ac:dyDescent="0.25">
      <c r="A676" s="13">
        <v>61483</v>
      </c>
      <c r="B676" s="10">
        <f>CHOOSE(CONTROL!$C$42, 33.2476, 33.2476) * CHOOSE(CONTROL!$C$21, $C$9, 100%, $E$9)</f>
        <v>33.247599999999998</v>
      </c>
      <c r="C676" s="10">
        <f>CHOOSE(CONTROL!$C$42, 33.252, 33.252) * CHOOSE(CONTROL!$C$21, $C$9, 100%, $E$9)</f>
        <v>33.252000000000002</v>
      </c>
      <c r="D676" s="10">
        <f>CHOOSE(CONTROL!$C$42, 33.4476, 33.4476) * CHOOSE(CONTROL!$C$21, $C$9, 100%, $E$9)</f>
        <v>33.447600000000001</v>
      </c>
      <c r="E676" s="10">
        <f>CHOOSE(CONTROL!$C$42, 33.4793, 33.4793) * CHOOSE(CONTROL!$C$21, $C$9, 100%, $E$9)</f>
        <v>33.479300000000002</v>
      </c>
      <c r="F676" s="10">
        <f>CHOOSE(CONTROL!$C$42, 33.2154, 33.2154)*CHOOSE(CONTROL!$C$21, $C$9, 100%, $E$9)</f>
        <v>33.215400000000002</v>
      </c>
      <c r="G676" s="10">
        <f>CHOOSE(CONTROL!$C$42, 33.2322, 33.2322)*CHOOSE(CONTROL!$C$21, $C$9, 100%, $E$9)</f>
        <v>33.232199999999999</v>
      </c>
      <c r="H676" s="10">
        <f>CHOOSE(CONTROL!$C$42, 33.4691, 33.4691) * CHOOSE(CONTROL!$C$21, $C$9, 100%, $E$9)</f>
        <v>33.469099999999997</v>
      </c>
      <c r="I676" s="10">
        <f>CHOOSE(CONTROL!$C$42, 33.2156, 33.2156)* CHOOSE(CONTROL!$C$21, $C$9, 100%, $E$9)</f>
        <v>33.215600000000002</v>
      </c>
      <c r="J676" s="10">
        <f>CHOOSE(CONTROL!$C$42, 33.2084, 33.2084)* CHOOSE(CONTROL!$C$21, $C$9, 100%, $E$9)</f>
        <v>33.208399999999997</v>
      </c>
      <c r="K676" s="54">
        <f>CHOOSE(CONTROL!$C$42, 33.2117, 33.2117) * CHOOSE(CONTROL!$C$21, $C$9, 100%, $E$9)</f>
        <v>33.2117</v>
      </c>
      <c r="L676" s="10">
        <f>CHOOSE(CONTROL!$C$42, 34.0561, 34.0561) * CHOOSE(CONTROL!$C$21, $C$9, 100%, $E$9)</f>
        <v>34.056100000000001</v>
      </c>
      <c r="M676" s="10">
        <f>CHOOSE(CONTROL!$C$42, 32.8871, 32.8871) * CHOOSE(CONTROL!$C$21, $C$9, 100%, $E$9)</f>
        <v>32.887099999999997</v>
      </c>
      <c r="N676" s="10">
        <f>CHOOSE(CONTROL!$C$42, 32.9037, 32.9037) * CHOOSE(CONTROL!$C$21, $C$9, 100%, $E$9)</f>
        <v>32.903700000000001</v>
      </c>
      <c r="O676" s="10">
        <f>CHOOSE(CONTROL!$C$42, 33.1452, 33.1452) * CHOOSE(CONTROL!$C$21, $C$9, 100%, $E$9)</f>
        <v>33.145200000000003</v>
      </c>
      <c r="P676" s="10">
        <f>CHOOSE(CONTROL!$C$42, 32.8942, 32.8942) * CHOOSE(CONTROL!$C$21, $C$9, 100%, $E$9)</f>
        <v>32.894199999999998</v>
      </c>
      <c r="Q676" s="10">
        <f>CHOOSE(CONTROL!$C$42, 33.7405, 33.7405) * CHOOSE(CONTROL!$C$21, $C$9, 100%, $E$9)</f>
        <v>33.740499999999997</v>
      </c>
      <c r="R676" s="10">
        <f>CHOOSE(CONTROL!$C$42, 34.4118, 34.4118) * CHOOSE(CONTROL!$C$21, $C$9, 100%, $E$9)</f>
        <v>34.411799999999999</v>
      </c>
      <c r="S676" s="10">
        <f>CHOOSE(CONTROL!$C$42, 32.2839, 32.2839) * CHOOSE(CONTROL!$C$21, $C$9, 100%, $E$9)</f>
        <v>32.283900000000003</v>
      </c>
      <c r="T676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676" s="58">
        <f>(1000*CHOOSE(CONTROL!$C$42, 695, 695)*CHOOSE(CONTROL!$C$42, 0.5599, 0.5599)*CHOOSE(CONTROL!$C$42, 30, 30))/1000000</f>
        <v>11.673914999999997</v>
      </c>
      <c r="V676" s="58">
        <f>(1000*CHOOSE(CONTROL!$C$42, 500, 500)*CHOOSE(CONTROL!$C$42, 0.275, 0.275)*CHOOSE(CONTROL!$C$42, 30, 30))/1000000</f>
        <v>4.125</v>
      </c>
      <c r="W676" s="58">
        <f>(1000*CHOOSE(CONTROL!$C$42, 0.1146, 0.1146)*CHOOSE(CONTROL!$C$42, 121.5, 121.5)*CHOOSE(CONTROL!$C$42, 30, 30))/1000000</f>
        <v>0.417717</v>
      </c>
      <c r="X676" s="58">
        <f>(30*0.1790888*245000/1000000)+(30*0.2374*100000/1000000)</f>
        <v>2.0285026799999999</v>
      </c>
      <c r="Y676" s="58"/>
      <c r="Z676" s="10"/>
      <c r="AA676" s="57"/>
      <c r="AB676" s="51">
        <f>(B676*141.293+C676*267.993+D676*115.016+E676*89.698+F676*40+G676*185+H676*0+I676*100+J676*300)/(141.293+267.993+115.016+89.698+0+40+185+100+300)</f>
        <v>33.268478446973361</v>
      </c>
      <c r="AC676" s="27">
        <f>(M676*'RAP TEMPLATE-GAS AVAILABILITY'!O675+N676*'RAP TEMPLATE-GAS AVAILABILITY'!P675+O676*'RAP TEMPLATE-GAS AVAILABILITY'!Q675+P676*'RAP TEMPLATE-GAS AVAILABILITY'!R675)/('RAP TEMPLATE-GAS AVAILABILITY'!O675+'RAP TEMPLATE-GAS AVAILABILITY'!P675+'RAP TEMPLATE-GAS AVAILABILITY'!Q675+'RAP TEMPLATE-GAS AVAILABILITY'!R675)</f>
        <v>33.006057553956836</v>
      </c>
    </row>
    <row r="677" spans="1:29" ht="15.75" x14ac:dyDescent="0.25">
      <c r="A677" s="13">
        <v>61514</v>
      </c>
      <c r="B677" s="10">
        <f>CHOOSE(CONTROL!$C$42, 33.5424, 33.5424) * CHOOSE(CONTROL!$C$21, $C$9, 100%, $E$9)</f>
        <v>33.542400000000001</v>
      </c>
      <c r="C677" s="10">
        <f>CHOOSE(CONTROL!$C$42, 33.5503, 33.5503) * CHOOSE(CONTROL!$C$21, $C$9, 100%, $E$9)</f>
        <v>33.5503</v>
      </c>
      <c r="D677" s="10">
        <f>CHOOSE(CONTROL!$C$42, 33.7428, 33.7428) * CHOOSE(CONTROL!$C$21, $C$9, 100%, $E$9)</f>
        <v>33.742800000000003</v>
      </c>
      <c r="E677" s="10">
        <f>CHOOSE(CONTROL!$C$42, 33.7739, 33.7739) * CHOOSE(CONTROL!$C$21, $C$9, 100%, $E$9)</f>
        <v>33.773899999999998</v>
      </c>
      <c r="F677" s="10">
        <f>CHOOSE(CONTROL!$C$42, 33.5087, 33.5087)*CHOOSE(CONTROL!$C$21, $C$9, 100%, $E$9)</f>
        <v>33.508699999999997</v>
      </c>
      <c r="G677" s="10">
        <f>CHOOSE(CONTROL!$C$42, 33.5258, 33.5258)*CHOOSE(CONTROL!$C$21, $C$9, 100%, $E$9)</f>
        <v>33.525799999999997</v>
      </c>
      <c r="H677" s="10">
        <f>CHOOSE(CONTROL!$C$42, 33.7625, 33.7625) * CHOOSE(CONTROL!$C$21, $C$9, 100%, $E$9)</f>
        <v>33.762500000000003</v>
      </c>
      <c r="I677" s="10">
        <f>CHOOSE(CONTROL!$C$42, 33.509, 33.509)* CHOOSE(CONTROL!$C$21, $C$9, 100%, $E$9)</f>
        <v>33.509</v>
      </c>
      <c r="J677" s="10">
        <f>CHOOSE(CONTROL!$C$42, 33.5017, 33.5017)* CHOOSE(CONTROL!$C$21, $C$9, 100%, $E$9)</f>
        <v>33.5017</v>
      </c>
      <c r="K677" s="54">
        <f>CHOOSE(CONTROL!$C$42, 33.5051, 33.5051) * CHOOSE(CONTROL!$C$21, $C$9, 100%, $E$9)</f>
        <v>33.505099999999999</v>
      </c>
      <c r="L677" s="10">
        <f>CHOOSE(CONTROL!$C$42, 34.3495, 34.3495) * CHOOSE(CONTROL!$C$21, $C$9, 100%, $E$9)</f>
        <v>34.349499999999999</v>
      </c>
      <c r="M677" s="10">
        <f>CHOOSE(CONTROL!$C$42, 33.1774, 33.1774) * CHOOSE(CONTROL!$C$21, $C$9, 100%, $E$9)</f>
        <v>33.177399999999999</v>
      </c>
      <c r="N677" s="10">
        <f>CHOOSE(CONTROL!$C$42, 33.1944, 33.1944) * CHOOSE(CONTROL!$C$21, $C$9, 100%, $E$9)</f>
        <v>33.194400000000002</v>
      </c>
      <c r="O677" s="10">
        <f>CHOOSE(CONTROL!$C$42, 33.4356, 33.4356) * CHOOSE(CONTROL!$C$21, $C$9, 100%, $E$9)</f>
        <v>33.435600000000001</v>
      </c>
      <c r="P677" s="10">
        <f>CHOOSE(CONTROL!$C$42, 33.1847, 33.1847) * CHOOSE(CONTROL!$C$21, $C$9, 100%, $E$9)</f>
        <v>33.184699999999999</v>
      </c>
      <c r="Q677" s="10">
        <f>CHOOSE(CONTROL!$C$42, 34.0309, 34.0309) * CHOOSE(CONTROL!$C$21, $C$9, 100%, $E$9)</f>
        <v>34.030900000000003</v>
      </c>
      <c r="R677" s="10">
        <f>CHOOSE(CONTROL!$C$42, 34.703, 34.703) * CHOOSE(CONTROL!$C$21, $C$9, 100%, $E$9)</f>
        <v>34.703000000000003</v>
      </c>
      <c r="S677" s="10">
        <f>CHOOSE(CONTROL!$C$42, 32.5688, 32.5688) * CHOOSE(CONTROL!$C$21, $C$9, 100%, $E$9)</f>
        <v>32.568800000000003</v>
      </c>
      <c r="T677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677" s="58">
        <f>(1000*CHOOSE(CONTROL!$C$42, 695, 695)*CHOOSE(CONTROL!$C$42, 0.5599, 0.5599)*CHOOSE(CONTROL!$C$42, 31, 31))/1000000</f>
        <v>12.063045499999998</v>
      </c>
      <c r="V677" s="58">
        <f>(1000*CHOOSE(CONTROL!$C$42, 500, 500)*CHOOSE(CONTROL!$C$42, 0.275, 0.275)*CHOOSE(CONTROL!$C$42, 31, 31))/1000000</f>
        <v>4.2625000000000002</v>
      </c>
      <c r="W677" s="58">
        <f>(1000*CHOOSE(CONTROL!$C$42, 0.1146, 0.1146)*CHOOSE(CONTROL!$C$42, 121.5, 121.5)*CHOOSE(CONTROL!$C$42, 31, 31))/1000000</f>
        <v>0.43164089999999994</v>
      </c>
      <c r="X677" s="58">
        <f>(31*0.1790888*245000/1000000)+(31*0.2374*100000/1000000)</f>
        <v>2.0961194359999999</v>
      </c>
      <c r="Y677" s="58"/>
      <c r="Z677" s="10"/>
      <c r="AA677" s="57"/>
      <c r="AB677" s="51">
        <f>(B677*194.205+C677*267.466+D677*133.845+E677*53.484+F677*40+G677*185+H677*0+I677*100+J677*300)/(194.205+267.466+133.845+53.484+0+40+185+100+300)</f>
        <v>33.559156723233912</v>
      </c>
      <c r="AC677" s="27">
        <f>(M677*'RAP TEMPLATE-GAS AVAILABILITY'!O676+N677*'RAP TEMPLATE-GAS AVAILABILITY'!P676+O677*'RAP TEMPLATE-GAS AVAILABILITY'!Q676+P677*'RAP TEMPLATE-GAS AVAILABILITY'!R676)/('RAP TEMPLATE-GAS AVAILABILITY'!O676+'RAP TEMPLATE-GAS AVAILABILITY'!P676+'RAP TEMPLATE-GAS AVAILABILITY'!Q676+'RAP TEMPLATE-GAS AVAILABILITY'!R676)</f>
        <v>33.296454676258996</v>
      </c>
    </row>
    <row r="678" spans="1:29" ht="15.75" x14ac:dyDescent="0.25">
      <c r="A678" s="13">
        <v>61544</v>
      </c>
      <c r="B678" s="10">
        <f>CHOOSE(CONTROL!$C$42, 34.4937, 34.4937) * CHOOSE(CONTROL!$C$21, $C$9, 100%, $E$9)</f>
        <v>34.493699999999997</v>
      </c>
      <c r="C678" s="10">
        <f>CHOOSE(CONTROL!$C$42, 34.5017, 34.5017) * CHOOSE(CONTROL!$C$21, $C$9, 100%, $E$9)</f>
        <v>34.5017</v>
      </c>
      <c r="D678" s="10">
        <f>CHOOSE(CONTROL!$C$42, 34.6941, 34.6941) * CHOOSE(CONTROL!$C$21, $C$9, 100%, $E$9)</f>
        <v>34.694099999999999</v>
      </c>
      <c r="E678" s="10">
        <f>CHOOSE(CONTROL!$C$42, 34.7252, 34.7252) * CHOOSE(CONTROL!$C$21, $C$9, 100%, $E$9)</f>
        <v>34.725200000000001</v>
      </c>
      <c r="F678" s="10">
        <f>CHOOSE(CONTROL!$C$42, 34.4602, 34.4602)*CHOOSE(CONTROL!$C$21, $C$9, 100%, $E$9)</f>
        <v>34.4602</v>
      </c>
      <c r="G678" s="10">
        <f>CHOOSE(CONTROL!$C$42, 34.4774, 34.4774)*CHOOSE(CONTROL!$C$21, $C$9, 100%, $E$9)</f>
        <v>34.477400000000003</v>
      </c>
      <c r="H678" s="10">
        <f>CHOOSE(CONTROL!$C$42, 34.7139, 34.7139) * CHOOSE(CONTROL!$C$21, $C$9, 100%, $E$9)</f>
        <v>34.713900000000002</v>
      </c>
      <c r="I678" s="10">
        <f>CHOOSE(CONTROL!$C$42, 34.4603, 34.4603)* CHOOSE(CONTROL!$C$21, $C$9, 100%, $E$9)</f>
        <v>34.460299999999997</v>
      </c>
      <c r="J678" s="10">
        <f>CHOOSE(CONTROL!$C$42, 34.4532, 34.4532)* CHOOSE(CONTROL!$C$21, $C$9, 100%, $E$9)</f>
        <v>34.453200000000002</v>
      </c>
      <c r="K678" s="54">
        <f>CHOOSE(CONTROL!$C$42, 34.4564, 34.4564) * CHOOSE(CONTROL!$C$21, $C$9, 100%, $E$9)</f>
        <v>34.456400000000002</v>
      </c>
      <c r="L678" s="10">
        <f>CHOOSE(CONTROL!$C$42, 35.3009, 35.3009) * CHOOSE(CONTROL!$C$21, $C$9, 100%, $E$9)</f>
        <v>35.300899999999999</v>
      </c>
      <c r="M678" s="10">
        <f>CHOOSE(CONTROL!$C$42, 34.1194, 34.1194) * CHOOSE(CONTROL!$C$21, $C$9, 100%, $E$9)</f>
        <v>34.119399999999999</v>
      </c>
      <c r="N678" s="10">
        <f>CHOOSE(CONTROL!$C$42, 34.1364, 34.1364) * CHOOSE(CONTROL!$C$21, $C$9, 100%, $E$9)</f>
        <v>34.136400000000002</v>
      </c>
      <c r="O678" s="10">
        <f>CHOOSE(CONTROL!$C$42, 34.3774, 34.3774) * CHOOSE(CONTROL!$C$21, $C$9, 100%, $E$9)</f>
        <v>34.377400000000002</v>
      </c>
      <c r="P678" s="10">
        <f>CHOOSE(CONTROL!$C$42, 34.1264, 34.1264) * CHOOSE(CONTROL!$C$21, $C$9, 100%, $E$9)</f>
        <v>34.126399999999997</v>
      </c>
      <c r="Q678" s="10">
        <f>CHOOSE(CONTROL!$C$42, 34.9727, 34.9727) * CHOOSE(CONTROL!$C$21, $C$9, 100%, $E$9)</f>
        <v>34.972700000000003</v>
      </c>
      <c r="R678" s="10">
        <f>CHOOSE(CONTROL!$C$42, 35.6471, 35.6471) * CHOOSE(CONTROL!$C$21, $C$9, 100%, $E$9)</f>
        <v>35.647100000000002</v>
      </c>
      <c r="S678" s="10">
        <f>CHOOSE(CONTROL!$C$42, 33.4926, 33.4926) * CHOOSE(CONTROL!$C$21, $C$9, 100%, $E$9)</f>
        <v>33.492600000000003</v>
      </c>
      <c r="T678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678" s="58">
        <f>(1000*CHOOSE(CONTROL!$C$42, 695, 695)*CHOOSE(CONTROL!$C$42, 0.5599, 0.5599)*CHOOSE(CONTROL!$C$42, 30, 30))/1000000</f>
        <v>11.673914999999997</v>
      </c>
      <c r="V678" s="58">
        <f>(1000*CHOOSE(CONTROL!$C$42, 500, 500)*CHOOSE(CONTROL!$C$42, 0.275, 0.275)*CHOOSE(CONTROL!$C$42, 30, 30))/1000000</f>
        <v>4.125</v>
      </c>
      <c r="W678" s="58">
        <f>(1000*CHOOSE(CONTROL!$C$42, 0.1146, 0.1146)*CHOOSE(CONTROL!$C$42, 121.5, 121.5)*CHOOSE(CONTROL!$C$42, 30, 30))/1000000</f>
        <v>0.417717</v>
      </c>
      <c r="X678" s="58">
        <f>(30*0.1790888*245000/1000000)+(30*0.2374*100000/1000000)</f>
        <v>2.0285026799999999</v>
      </c>
      <c r="Y678" s="58"/>
      <c r="Z678" s="10"/>
      <c r="AA678" s="57"/>
      <c r="AB678" s="51">
        <f>(B678*194.205+C678*267.466+D678*133.845+E678*53.484+F678*40+G678*185+H678*0+I678*100+J678*300)/(194.205+267.466+133.845+53.484+0+40+185+100+300)</f>
        <v>34.510574656200937</v>
      </c>
      <c r="AC678" s="27">
        <f>(M678*'RAP TEMPLATE-GAS AVAILABILITY'!O677+N678*'RAP TEMPLATE-GAS AVAILABILITY'!P677+O678*'RAP TEMPLATE-GAS AVAILABILITY'!Q677+P678*'RAP TEMPLATE-GAS AVAILABILITY'!R677)/('RAP TEMPLATE-GAS AVAILABILITY'!O677+'RAP TEMPLATE-GAS AVAILABILITY'!P677+'RAP TEMPLATE-GAS AVAILABILITY'!Q677+'RAP TEMPLATE-GAS AVAILABILITY'!R677)</f>
        <v>34.238320863309355</v>
      </c>
    </row>
    <row r="679" spans="1:29" ht="15.75" x14ac:dyDescent="0.25">
      <c r="A679" s="13">
        <v>61575</v>
      </c>
      <c r="B679" s="10">
        <f>CHOOSE(CONTROL!$C$42, 33.8321, 33.8321) * CHOOSE(CONTROL!$C$21, $C$9, 100%, $E$9)</f>
        <v>33.832099999999997</v>
      </c>
      <c r="C679" s="10">
        <f>CHOOSE(CONTROL!$C$42, 33.84, 33.84) * CHOOSE(CONTROL!$C$21, $C$9, 100%, $E$9)</f>
        <v>33.840000000000003</v>
      </c>
      <c r="D679" s="10">
        <f>CHOOSE(CONTROL!$C$42, 34.0324, 34.0324) * CHOOSE(CONTROL!$C$21, $C$9, 100%, $E$9)</f>
        <v>34.032400000000003</v>
      </c>
      <c r="E679" s="10">
        <f>CHOOSE(CONTROL!$C$42, 34.0636, 34.0636) * CHOOSE(CONTROL!$C$21, $C$9, 100%, $E$9)</f>
        <v>34.063600000000001</v>
      </c>
      <c r="F679" s="10">
        <f>CHOOSE(CONTROL!$C$42, 33.799, 33.799)*CHOOSE(CONTROL!$C$21, $C$9, 100%, $E$9)</f>
        <v>33.798999999999999</v>
      </c>
      <c r="G679" s="10">
        <f>CHOOSE(CONTROL!$C$42, 33.8163, 33.8163)*CHOOSE(CONTROL!$C$21, $C$9, 100%, $E$9)</f>
        <v>33.816299999999998</v>
      </c>
      <c r="H679" s="10">
        <f>CHOOSE(CONTROL!$C$42, 34.0522, 34.0522) * CHOOSE(CONTROL!$C$21, $C$9, 100%, $E$9)</f>
        <v>34.052199999999999</v>
      </c>
      <c r="I679" s="10">
        <f>CHOOSE(CONTROL!$C$42, 33.7987, 33.7987)* CHOOSE(CONTROL!$C$21, $C$9, 100%, $E$9)</f>
        <v>33.798699999999997</v>
      </c>
      <c r="J679" s="10">
        <f>CHOOSE(CONTROL!$C$42, 33.792, 33.792)* CHOOSE(CONTROL!$C$21, $C$9, 100%, $E$9)</f>
        <v>33.792000000000002</v>
      </c>
      <c r="K679" s="54">
        <f>CHOOSE(CONTROL!$C$42, 33.7948, 33.7948) * CHOOSE(CONTROL!$C$21, $C$9, 100%, $E$9)</f>
        <v>33.794800000000002</v>
      </c>
      <c r="L679" s="10">
        <f>CHOOSE(CONTROL!$C$42, 34.6392, 34.6392) * CHOOSE(CONTROL!$C$21, $C$9, 100%, $E$9)</f>
        <v>34.639200000000002</v>
      </c>
      <c r="M679" s="10">
        <f>CHOOSE(CONTROL!$C$42, 33.4648, 33.4648) * CHOOSE(CONTROL!$C$21, $C$9, 100%, $E$9)</f>
        <v>33.464799999999997</v>
      </c>
      <c r="N679" s="10">
        <f>CHOOSE(CONTROL!$C$42, 33.4819, 33.4819) * CHOOSE(CONTROL!$C$21, $C$9, 100%, $E$9)</f>
        <v>33.481900000000003</v>
      </c>
      <c r="O679" s="10">
        <f>CHOOSE(CONTROL!$C$42, 33.7224, 33.7224) * CHOOSE(CONTROL!$C$21, $C$9, 100%, $E$9)</f>
        <v>33.7224</v>
      </c>
      <c r="P679" s="10">
        <f>CHOOSE(CONTROL!$C$42, 33.4714, 33.4714) * CHOOSE(CONTROL!$C$21, $C$9, 100%, $E$9)</f>
        <v>33.471400000000003</v>
      </c>
      <c r="Q679" s="10">
        <f>CHOOSE(CONTROL!$C$42, 34.3177, 34.3177) * CHOOSE(CONTROL!$C$21, $C$9, 100%, $E$9)</f>
        <v>34.317700000000002</v>
      </c>
      <c r="R679" s="10">
        <f>CHOOSE(CONTROL!$C$42, 34.9905, 34.9905) * CHOOSE(CONTROL!$C$21, $C$9, 100%, $E$9)</f>
        <v>34.990499999999997</v>
      </c>
      <c r="S679" s="10">
        <f>CHOOSE(CONTROL!$C$42, 32.8501, 32.8501) * CHOOSE(CONTROL!$C$21, $C$9, 100%, $E$9)</f>
        <v>32.850099999999998</v>
      </c>
      <c r="T679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679" s="58">
        <f>(1000*CHOOSE(CONTROL!$C$42, 695, 695)*CHOOSE(CONTROL!$C$42, 0.5599, 0.5599)*CHOOSE(CONTROL!$C$42, 31, 31))/1000000</f>
        <v>12.063045499999998</v>
      </c>
      <c r="V679" s="58">
        <f>(1000*CHOOSE(CONTROL!$C$42, 500, 500)*CHOOSE(CONTROL!$C$42, 0.275, 0.275)*CHOOSE(CONTROL!$C$42, 31, 31))/1000000</f>
        <v>4.2625000000000002</v>
      </c>
      <c r="W679" s="58">
        <f>(1000*CHOOSE(CONTROL!$C$42, 0.1146, 0.1146)*CHOOSE(CONTROL!$C$42, 121.5, 121.5)*CHOOSE(CONTROL!$C$42, 31, 31))/1000000</f>
        <v>0.43164089999999994</v>
      </c>
      <c r="X679" s="58">
        <f>(31*0.1790888*245000/1000000)+(31*0.2374*100000/1000000)</f>
        <v>2.0961194359999999</v>
      </c>
      <c r="Y679" s="58"/>
      <c r="Z679" s="10"/>
      <c r="AA679" s="57"/>
      <c r="AB679" s="51">
        <f>(B679*194.205+C679*267.466+D679*133.845+E679*53.484+F679*40+G679*185+H679*0+I679*100+J679*300)/(194.205+267.466+133.845+53.484+0+40+185+100+300)</f>
        <v>33.849122512480378</v>
      </c>
      <c r="AC679" s="27">
        <f>(M679*'RAP TEMPLATE-GAS AVAILABILITY'!O678+N679*'RAP TEMPLATE-GAS AVAILABILITY'!P678+O679*'RAP TEMPLATE-GAS AVAILABILITY'!Q678+P679*'RAP TEMPLATE-GAS AVAILABILITY'!R678)/('RAP TEMPLATE-GAS AVAILABILITY'!O678+'RAP TEMPLATE-GAS AVAILABILITY'!P678+'RAP TEMPLATE-GAS AVAILABILITY'!Q678+'RAP TEMPLATE-GAS AVAILABILITY'!R678)</f>
        <v>33.58348776978417</v>
      </c>
    </row>
    <row r="680" spans="1:29" ht="15.75" x14ac:dyDescent="0.25">
      <c r="A680" s="13">
        <v>61606</v>
      </c>
      <c r="B680" s="10">
        <f>CHOOSE(CONTROL!$C$42, 32.1612, 32.1612) * CHOOSE(CONTROL!$C$21, $C$9, 100%, $E$9)</f>
        <v>32.161200000000001</v>
      </c>
      <c r="C680" s="10">
        <f>CHOOSE(CONTROL!$C$42, 32.1691, 32.1691) * CHOOSE(CONTROL!$C$21, $C$9, 100%, $E$9)</f>
        <v>32.1691</v>
      </c>
      <c r="D680" s="10">
        <f>CHOOSE(CONTROL!$C$42, 32.3616, 32.3616) * CHOOSE(CONTROL!$C$21, $C$9, 100%, $E$9)</f>
        <v>32.361600000000003</v>
      </c>
      <c r="E680" s="10">
        <f>CHOOSE(CONTROL!$C$42, 32.3927, 32.3927) * CHOOSE(CONTROL!$C$21, $C$9, 100%, $E$9)</f>
        <v>32.392699999999998</v>
      </c>
      <c r="F680" s="10">
        <f>CHOOSE(CONTROL!$C$42, 32.1283, 32.1283)*CHOOSE(CONTROL!$C$21, $C$9, 100%, $E$9)</f>
        <v>32.128300000000003</v>
      </c>
      <c r="G680" s="10">
        <f>CHOOSE(CONTROL!$C$42, 32.1456, 32.1456)*CHOOSE(CONTROL!$C$21, $C$9, 100%, $E$9)</f>
        <v>32.145600000000002</v>
      </c>
      <c r="H680" s="10">
        <f>CHOOSE(CONTROL!$C$42, 32.3813, 32.3813) * CHOOSE(CONTROL!$C$21, $C$9, 100%, $E$9)</f>
        <v>32.381300000000003</v>
      </c>
      <c r="I680" s="10">
        <f>CHOOSE(CONTROL!$C$42, 32.1278, 32.1278)* CHOOSE(CONTROL!$C$21, $C$9, 100%, $E$9)</f>
        <v>32.127800000000001</v>
      </c>
      <c r="J680" s="10">
        <f>CHOOSE(CONTROL!$C$42, 32.1213, 32.1213)* CHOOSE(CONTROL!$C$21, $C$9, 100%, $E$9)</f>
        <v>32.121299999999998</v>
      </c>
      <c r="K680" s="54">
        <f>CHOOSE(CONTROL!$C$42, 32.1239, 32.1239) * CHOOSE(CONTROL!$C$21, $C$9, 100%, $E$9)</f>
        <v>32.123899999999999</v>
      </c>
      <c r="L680" s="10">
        <f>CHOOSE(CONTROL!$C$42, 32.9683, 32.9683) * CHOOSE(CONTROL!$C$21, $C$9, 100%, $E$9)</f>
        <v>32.968299999999999</v>
      </c>
      <c r="M680" s="10">
        <f>CHOOSE(CONTROL!$C$42, 31.8109, 31.8109) * CHOOSE(CONTROL!$C$21, $C$9, 100%, $E$9)</f>
        <v>31.8109</v>
      </c>
      <c r="N680" s="10">
        <f>CHOOSE(CONTROL!$C$42, 31.8281, 31.8281) * CHOOSE(CONTROL!$C$21, $C$9, 100%, $E$9)</f>
        <v>31.828099999999999</v>
      </c>
      <c r="O680" s="10">
        <f>CHOOSE(CONTROL!$C$42, 32.0684, 32.0684) * CHOOSE(CONTROL!$C$21, $C$9, 100%, $E$9)</f>
        <v>32.068399999999997</v>
      </c>
      <c r="P680" s="10">
        <f>CHOOSE(CONTROL!$C$42, 31.8174, 31.8174) * CHOOSE(CONTROL!$C$21, $C$9, 100%, $E$9)</f>
        <v>31.817399999999999</v>
      </c>
      <c r="Q680" s="10">
        <f>CHOOSE(CONTROL!$C$42, 32.6637, 32.6637) * CHOOSE(CONTROL!$C$21, $C$9, 100%, $E$9)</f>
        <v>32.663699999999999</v>
      </c>
      <c r="R680" s="10">
        <f>CHOOSE(CONTROL!$C$42, 33.3323, 33.3323) * CHOOSE(CONTROL!$C$21, $C$9, 100%, $E$9)</f>
        <v>33.332299999999996</v>
      </c>
      <c r="S680" s="10">
        <f>CHOOSE(CONTROL!$C$42, 31.2275, 31.2275) * CHOOSE(CONTROL!$C$21, $C$9, 100%, $E$9)</f>
        <v>31.227499999999999</v>
      </c>
      <c r="T680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680" s="58">
        <f>(1000*CHOOSE(CONTROL!$C$42, 695, 695)*CHOOSE(CONTROL!$C$42, 0.5599, 0.5599)*CHOOSE(CONTROL!$C$42, 31, 31))/1000000</f>
        <v>12.063045499999998</v>
      </c>
      <c r="V680" s="58">
        <f>(1000*CHOOSE(CONTROL!$C$42, 500, 500)*CHOOSE(CONTROL!$C$42, 0.275, 0.275)*CHOOSE(CONTROL!$C$42, 31, 31))/1000000</f>
        <v>4.2625000000000002</v>
      </c>
      <c r="W680" s="58">
        <f>(1000*CHOOSE(CONTROL!$C$42, 0.1146, 0.1146)*CHOOSE(CONTROL!$C$42, 121.5, 121.5)*CHOOSE(CONTROL!$C$42, 31, 31))/1000000</f>
        <v>0.43164089999999994</v>
      </c>
      <c r="X680" s="58">
        <f>(31*0.1790888*245000/1000000)+(31*0.2374*100000/1000000)</f>
        <v>2.0961194359999999</v>
      </c>
      <c r="Y680" s="58"/>
      <c r="Z680" s="10"/>
      <c r="AA680" s="57"/>
      <c r="AB680" s="51">
        <f>(B680*194.205+C680*267.466+D680*133.845+E680*53.484+F680*40+G680*185+H680*0+I680*100+J680*300)/(194.205+267.466+133.845+53.484+0+40+185+100+300)</f>
        <v>32.178315435949763</v>
      </c>
      <c r="AC680" s="27">
        <f>(M680*'RAP TEMPLATE-GAS AVAILABILITY'!O679+N680*'RAP TEMPLATE-GAS AVAILABILITY'!P679+O680*'RAP TEMPLATE-GAS AVAILABILITY'!Q679+P680*'RAP TEMPLATE-GAS AVAILABILITY'!R679)/('RAP TEMPLATE-GAS AVAILABILITY'!O679+'RAP TEMPLATE-GAS AVAILABILITY'!P679+'RAP TEMPLATE-GAS AVAILABILITY'!Q679+'RAP TEMPLATE-GAS AVAILABILITY'!R679)</f>
        <v>31.929533812949636</v>
      </c>
    </row>
    <row r="681" spans="1:29" ht="15.75" x14ac:dyDescent="0.25">
      <c r="A681" s="13">
        <v>61636</v>
      </c>
      <c r="B681" s="10">
        <f>CHOOSE(CONTROL!$C$42, 30.1193, 30.1193) * CHOOSE(CONTROL!$C$21, $C$9, 100%, $E$9)</f>
        <v>30.119299999999999</v>
      </c>
      <c r="C681" s="10">
        <f>CHOOSE(CONTROL!$C$42, 30.1272, 30.1272) * CHOOSE(CONTROL!$C$21, $C$9, 100%, $E$9)</f>
        <v>30.127199999999998</v>
      </c>
      <c r="D681" s="10">
        <f>CHOOSE(CONTROL!$C$42, 30.3197, 30.3197) * CHOOSE(CONTROL!$C$21, $C$9, 100%, $E$9)</f>
        <v>30.319700000000001</v>
      </c>
      <c r="E681" s="10">
        <f>CHOOSE(CONTROL!$C$42, 30.3508, 30.3508) * CHOOSE(CONTROL!$C$21, $C$9, 100%, $E$9)</f>
        <v>30.3508</v>
      </c>
      <c r="F681" s="10">
        <f>CHOOSE(CONTROL!$C$42, 30.0862, 30.0862)*CHOOSE(CONTROL!$C$21, $C$9, 100%, $E$9)</f>
        <v>30.086200000000002</v>
      </c>
      <c r="G681" s="10">
        <f>CHOOSE(CONTROL!$C$42, 30.1035, 30.1035)*CHOOSE(CONTROL!$C$21, $C$9, 100%, $E$9)</f>
        <v>30.1035</v>
      </c>
      <c r="H681" s="10">
        <f>CHOOSE(CONTROL!$C$42, 30.3394, 30.3394) * CHOOSE(CONTROL!$C$21, $C$9, 100%, $E$9)</f>
        <v>30.339400000000001</v>
      </c>
      <c r="I681" s="10">
        <f>CHOOSE(CONTROL!$C$42, 30.0859, 30.0859)* CHOOSE(CONTROL!$C$21, $C$9, 100%, $E$9)</f>
        <v>30.085899999999999</v>
      </c>
      <c r="J681" s="10">
        <f>CHOOSE(CONTROL!$C$42, 30.0792, 30.0792)* CHOOSE(CONTROL!$C$21, $C$9, 100%, $E$9)</f>
        <v>30.0792</v>
      </c>
      <c r="K681" s="54">
        <f>CHOOSE(CONTROL!$C$42, 30.082, 30.082) * CHOOSE(CONTROL!$C$21, $C$9, 100%, $E$9)</f>
        <v>30.082000000000001</v>
      </c>
      <c r="L681" s="10">
        <f>CHOOSE(CONTROL!$C$42, 30.9264, 30.9264) * CHOOSE(CONTROL!$C$21, $C$9, 100%, $E$9)</f>
        <v>30.926400000000001</v>
      </c>
      <c r="M681" s="10">
        <f>CHOOSE(CONTROL!$C$42, 29.7895, 29.7895) * CHOOSE(CONTROL!$C$21, $C$9, 100%, $E$9)</f>
        <v>29.7895</v>
      </c>
      <c r="N681" s="10">
        <f>CHOOSE(CONTROL!$C$42, 29.8066, 29.8066) * CHOOSE(CONTROL!$C$21, $C$9, 100%, $E$9)</f>
        <v>29.8066</v>
      </c>
      <c r="O681" s="10">
        <f>CHOOSE(CONTROL!$C$42, 30.0471, 30.0471) * CHOOSE(CONTROL!$C$21, $C$9, 100%, $E$9)</f>
        <v>30.0471</v>
      </c>
      <c r="P681" s="10">
        <f>CHOOSE(CONTROL!$C$42, 29.7961, 29.7961) * CHOOSE(CONTROL!$C$21, $C$9, 100%, $E$9)</f>
        <v>29.796099999999999</v>
      </c>
      <c r="Q681" s="10">
        <f>CHOOSE(CONTROL!$C$42, 30.6424, 30.6424) * CHOOSE(CONTROL!$C$21, $C$9, 100%, $E$9)</f>
        <v>30.642399999999999</v>
      </c>
      <c r="R681" s="10">
        <f>CHOOSE(CONTROL!$C$42, 31.306, 31.306) * CHOOSE(CONTROL!$C$21, $C$9, 100%, $E$9)</f>
        <v>31.306000000000001</v>
      </c>
      <c r="S681" s="10">
        <f>CHOOSE(CONTROL!$C$42, 29.2446, 29.2446) * CHOOSE(CONTROL!$C$21, $C$9, 100%, $E$9)</f>
        <v>29.244599999999998</v>
      </c>
      <c r="T681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681" s="58">
        <f>(1000*CHOOSE(CONTROL!$C$42, 695, 695)*CHOOSE(CONTROL!$C$42, 0.5599, 0.5599)*CHOOSE(CONTROL!$C$42, 30, 30))/1000000</f>
        <v>11.673914999999997</v>
      </c>
      <c r="V681" s="58">
        <f>(1000*CHOOSE(CONTROL!$C$42, 500, 500)*CHOOSE(CONTROL!$C$42, 0.275, 0.275)*CHOOSE(CONTROL!$C$42, 30, 30))/1000000</f>
        <v>4.125</v>
      </c>
      <c r="W681" s="58">
        <f>(1000*CHOOSE(CONTROL!$C$42, 0.1146, 0.1146)*CHOOSE(CONTROL!$C$42, 121.5, 121.5)*CHOOSE(CONTROL!$C$42, 30, 30))/1000000</f>
        <v>0.417717</v>
      </c>
      <c r="X681" s="58">
        <f>(30*0.1790888*245000/1000000)+(30*0.2374*100000/1000000)</f>
        <v>2.0285026799999999</v>
      </c>
      <c r="Y681" s="58"/>
      <c r="Z681" s="10"/>
      <c r="AA681" s="57"/>
      <c r="AB681" s="51">
        <f>(B681*194.205+C681*267.466+D681*133.845+E681*53.484+F681*40+G681*185+H681*0+I681*100+J681*300)/(194.205+267.466+133.845+53.484+0+40+185+100+300)</f>
        <v>30.136333018367345</v>
      </c>
      <c r="AC681" s="27">
        <f>(M681*'RAP TEMPLATE-GAS AVAILABILITY'!O680+N681*'RAP TEMPLATE-GAS AVAILABILITY'!P680+O681*'RAP TEMPLATE-GAS AVAILABILITY'!Q680+P681*'RAP TEMPLATE-GAS AVAILABILITY'!R680)/('RAP TEMPLATE-GAS AVAILABILITY'!O680+'RAP TEMPLATE-GAS AVAILABILITY'!P680+'RAP TEMPLATE-GAS AVAILABILITY'!Q680+'RAP TEMPLATE-GAS AVAILABILITY'!R680)</f>
        <v>29.908187769784174</v>
      </c>
    </row>
    <row r="682" spans="1:29" ht="15.75" x14ac:dyDescent="0.25">
      <c r="A682" s="13">
        <v>61667</v>
      </c>
      <c r="B682" s="10">
        <f>CHOOSE(CONTROL!$C$42, 29.5061, 29.5061) * CHOOSE(CONTROL!$C$21, $C$9, 100%, $E$9)</f>
        <v>29.5061</v>
      </c>
      <c r="C682" s="10">
        <f>CHOOSE(CONTROL!$C$42, 29.5113, 29.5113) * CHOOSE(CONTROL!$C$21, $C$9, 100%, $E$9)</f>
        <v>29.511299999999999</v>
      </c>
      <c r="D682" s="10">
        <f>CHOOSE(CONTROL!$C$42, 29.7087, 29.7087) * CHOOSE(CONTROL!$C$21, $C$9, 100%, $E$9)</f>
        <v>29.7087</v>
      </c>
      <c r="E682" s="10">
        <f>CHOOSE(CONTROL!$C$42, 29.7375, 29.7375) * CHOOSE(CONTROL!$C$21, $C$9, 100%, $E$9)</f>
        <v>29.737500000000001</v>
      </c>
      <c r="F682" s="10">
        <f>CHOOSE(CONTROL!$C$42, 29.475, 29.475)*CHOOSE(CONTROL!$C$21, $C$9, 100%, $E$9)</f>
        <v>29.475000000000001</v>
      </c>
      <c r="G682" s="10">
        <f>CHOOSE(CONTROL!$C$42, 29.492, 29.492)*CHOOSE(CONTROL!$C$21, $C$9, 100%, $E$9)</f>
        <v>29.492000000000001</v>
      </c>
      <c r="H682" s="10">
        <f>CHOOSE(CONTROL!$C$42, 29.728, 29.728) * CHOOSE(CONTROL!$C$21, $C$9, 100%, $E$9)</f>
        <v>29.728000000000002</v>
      </c>
      <c r="I682" s="10">
        <f>CHOOSE(CONTROL!$C$42, 29.4745, 29.4745)* CHOOSE(CONTROL!$C$21, $C$9, 100%, $E$9)</f>
        <v>29.474499999999999</v>
      </c>
      <c r="J682" s="10">
        <f>CHOOSE(CONTROL!$C$42, 29.468, 29.468)* CHOOSE(CONTROL!$C$21, $C$9, 100%, $E$9)</f>
        <v>29.468</v>
      </c>
      <c r="K682" s="54">
        <f>CHOOSE(CONTROL!$C$42, 29.4706, 29.4706) * CHOOSE(CONTROL!$C$21, $C$9, 100%, $E$9)</f>
        <v>29.470600000000001</v>
      </c>
      <c r="L682" s="10">
        <f>CHOOSE(CONTROL!$C$42, 30.315, 30.315) * CHOOSE(CONTROL!$C$21, $C$9, 100%, $E$9)</f>
        <v>30.315000000000001</v>
      </c>
      <c r="M682" s="10">
        <f>CHOOSE(CONTROL!$C$42, 29.1845, 29.1845) * CHOOSE(CONTROL!$C$21, $C$9, 100%, $E$9)</f>
        <v>29.1845</v>
      </c>
      <c r="N682" s="10">
        <f>CHOOSE(CONTROL!$C$42, 29.2013, 29.2013) * CHOOSE(CONTROL!$C$21, $C$9, 100%, $E$9)</f>
        <v>29.2013</v>
      </c>
      <c r="O682" s="10">
        <f>CHOOSE(CONTROL!$C$42, 29.4418, 29.4418) * CHOOSE(CONTROL!$C$21, $C$9, 100%, $E$9)</f>
        <v>29.441800000000001</v>
      </c>
      <c r="P682" s="10">
        <f>CHOOSE(CONTROL!$C$42, 29.1909, 29.1909) * CHOOSE(CONTROL!$C$21, $C$9, 100%, $E$9)</f>
        <v>29.190899999999999</v>
      </c>
      <c r="Q682" s="10">
        <f>CHOOSE(CONTROL!$C$42, 30.0371, 30.0371) * CHOOSE(CONTROL!$C$21, $C$9, 100%, $E$9)</f>
        <v>30.037099999999999</v>
      </c>
      <c r="R682" s="10">
        <f>CHOOSE(CONTROL!$C$42, 30.6992, 30.6992) * CHOOSE(CONTROL!$C$21, $C$9, 100%, $E$9)</f>
        <v>30.699200000000001</v>
      </c>
      <c r="S682" s="10">
        <f>CHOOSE(CONTROL!$C$42, 28.6509, 28.6509) * CHOOSE(CONTROL!$C$21, $C$9, 100%, $E$9)</f>
        <v>28.6509</v>
      </c>
      <c r="T682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682" s="58">
        <f>(1000*CHOOSE(CONTROL!$C$42, 695, 695)*CHOOSE(CONTROL!$C$42, 0.5599, 0.5599)*CHOOSE(CONTROL!$C$42, 31, 31))/1000000</f>
        <v>12.063045499999998</v>
      </c>
      <c r="V682" s="58">
        <f>(1000*CHOOSE(CONTROL!$C$42, 500, 500)*CHOOSE(CONTROL!$C$42, 0.275, 0.275)*CHOOSE(CONTROL!$C$42, 31, 31))/1000000</f>
        <v>4.2625000000000002</v>
      </c>
      <c r="W682" s="58">
        <f>(1000*CHOOSE(CONTROL!$C$42, 0.1146, 0.1146)*CHOOSE(CONTROL!$C$42, 121.5, 121.5)*CHOOSE(CONTROL!$C$42, 31, 31))/1000000</f>
        <v>0.43164089999999994</v>
      </c>
      <c r="X682" s="58">
        <f>(31*0.1790888*245000/1000000)+(31*0.2374*100000/1000000)</f>
        <v>2.0961194359999999</v>
      </c>
      <c r="Y682" s="58"/>
      <c r="Z682" s="10"/>
      <c r="AA682" s="57"/>
      <c r="AB682" s="51">
        <f>(B682*131.881+C682*277.167+D682*79.08+E682*125.872+F682*40+G682*185+H682*0+I682*100+J682*300)/(131.881+277.167+79.08+125.872+0+40+185+100+300)</f>
        <v>29.528817641000806</v>
      </c>
      <c r="AC682" s="27">
        <f>(M682*'RAP TEMPLATE-GAS AVAILABILITY'!O681+N682*'RAP TEMPLATE-GAS AVAILABILITY'!P681+O682*'RAP TEMPLATE-GAS AVAILABILITY'!Q681+P682*'RAP TEMPLATE-GAS AVAILABILITY'!R681)/('RAP TEMPLATE-GAS AVAILABILITY'!O681+'RAP TEMPLATE-GAS AVAILABILITY'!P681+'RAP TEMPLATE-GAS AVAILABILITY'!Q681+'RAP TEMPLATE-GAS AVAILABILITY'!R681)</f>
        <v>29.303005755395684</v>
      </c>
    </row>
    <row r="683" spans="1:29" ht="15.75" x14ac:dyDescent="0.25">
      <c r="A683" s="13">
        <v>61697</v>
      </c>
      <c r="B683" s="10">
        <f>CHOOSE(CONTROL!$C$42, 30.283, 30.283) * CHOOSE(CONTROL!$C$21, $C$9, 100%, $E$9)</f>
        <v>30.283000000000001</v>
      </c>
      <c r="C683" s="10">
        <f>CHOOSE(CONTROL!$C$42, 30.2879, 30.2879) * CHOOSE(CONTROL!$C$21, $C$9, 100%, $E$9)</f>
        <v>30.2879</v>
      </c>
      <c r="D683" s="10">
        <f>CHOOSE(CONTROL!$C$42, 30.3175, 30.3175) * CHOOSE(CONTROL!$C$21, $C$9, 100%, $E$9)</f>
        <v>30.317499999999999</v>
      </c>
      <c r="E683" s="10">
        <f>CHOOSE(CONTROL!$C$42, 30.3513, 30.3513) * CHOOSE(CONTROL!$C$21, $C$9, 100%, $E$9)</f>
        <v>30.351299999999998</v>
      </c>
      <c r="F683" s="10">
        <f>CHOOSE(CONTROL!$C$42, 30.2497, 30.2497)*CHOOSE(CONTROL!$C$21, $C$9, 100%, $E$9)</f>
        <v>30.249700000000001</v>
      </c>
      <c r="G683" s="10">
        <f>CHOOSE(CONTROL!$C$42, 30.2669, 30.2669)*CHOOSE(CONTROL!$C$21, $C$9, 100%, $E$9)</f>
        <v>30.2669</v>
      </c>
      <c r="H683" s="10">
        <f>CHOOSE(CONTROL!$C$42, 30.3405, 30.3405) * CHOOSE(CONTROL!$C$21, $C$9, 100%, $E$9)</f>
        <v>30.340499999999999</v>
      </c>
      <c r="I683" s="10">
        <f>CHOOSE(CONTROL!$C$42, 30.2466, 30.2466)* CHOOSE(CONTROL!$C$21, $C$9, 100%, $E$9)</f>
        <v>30.246600000000001</v>
      </c>
      <c r="J683" s="10">
        <f>CHOOSE(CONTROL!$C$42, 30.2427, 30.2427)* CHOOSE(CONTROL!$C$21, $C$9, 100%, $E$9)</f>
        <v>30.242699999999999</v>
      </c>
      <c r="K683" s="54">
        <f>CHOOSE(CONTROL!$C$42, 30.2427, 30.2427) * CHOOSE(CONTROL!$C$21, $C$9, 100%, $E$9)</f>
        <v>30.242699999999999</v>
      </c>
      <c r="L683" s="10">
        <f>CHOOSE(CONTROL!$C$42, 30.9275, 30.9275) * CHOOSE(CONTROL!$C$21, $C$9, 100%, $E$9)</f>
        <v>30.927499999999998</v>
      </c>
      <c r="M683" s="10">
        <f>CHOOSE(CONTROL!$C$42, 29.9514, 29.9514) * CHOOSE(CONTROL!$C$21, $C$9, 100%, $E$9)</f>
        <v>29.9514</v>
      </c>
      <c r="N683" s="10">
        <f>CHOOSE(CONTROL!$C$42, 29.9683, 29.9683) * CHOOSE(CONTROL!$C$21, $C$9, 100%, $E$9)</f>
        <v>29.968299999999999</v>
      </c>
      <c r="O683" s="10">
        <f>CHOOSE(CONTROL!$C$42, 30.0481, 30.0481) * CHOOSE(CONTROL!$C$21, $C$9, 100%, $E$9)</f>
        <v>30.048100000000002</v>
      </c>
      <c r="P683" s="10">
        <f>CHOOSE(CONTROL!$C$42, 29.9552, 29.9552) * CHOOSE(CONTROL!$C$21, $C$9, 100%, $E$9)</f>
        <v>29.955200000000001</v>
      </c>
      <c r="Q683" s="10">
        <f>CHOOSE(CONTROL!$C$42, 30.6434, 30.6434) * CHOOSE(CONTROL!$C$21, $C$9, 100%, $E$9)</f>
        <v>30.6434</v>
      </c>
      <c r="R683" s="10">
        <f>CHOOSE(CONTROL!$C$42, 31.307, 31.307) * CHOOSE(CONTROL!$C$21, $C$9, 100%, $E$9)</f>
        <v>31.306999999999999</v>
      </c>
      <c r="S683" s="10">
        <f>CHOOSE(CONTROL!$C$42, 29.4056, 29.4056) * CHOOSE(CONTROL!$C$21, $C$9, 100%, $E$9)</f>
        <v>29.4056</v>
      </c>
      <c r="T683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683" s="58">
        <f>(1000*CHOOSE(CONTROL!$C$42, 695, 695)*CHOOSE(CONTROL!$C$42, 0.5599, 0.5599)*CHOOSE(CONTROL!$C$42, 30, 30))/1000000</f>
        <v>11.673914999999997</v>
      </c>
      <c r="V683" s="58">
        <f>(1000*CHOOSE(CONTROL!$C$42, 500, 500)*CHOOSE(CONTROL!$C$42, 0.275, 0.275)*CHOOSE(CONTROL!$C$42, 30, 30))/1000000</f>
        <v>4.125</v>
      </c>
      <c r="W683" s="58">
        <f>(1000*CHOOSE(CONTROL!$C$42, 0.1146, 0.1146)*CHOOSE(CONTROL!$C$42, 121.5, 121.5)*CHOOSE(CONTROL!$C$42, 30, 30))/1000000</f>
        <v>0.417717</v>
      </c>
      <c r="X683" s="58">
        <f>(30*0.1790888*100000/1000000)+(30*0.2374*100000/1000000)</f>
        <v>1.2494664</v>
      </c>
      <c r="Y683" s="58"/>
      <c r="Z683" s="10"/>
      <c r="AA683" s="57"/>
      <c r="AB683" s="51">
        <f>(B683*122.58+C683*297.941+D683*89.177+E683*40.302+F683*40+G683*160+H683*0+I683*100+J683*300)/(122.58+297.941+89.177+40.302+0+40+160+100+300)</f>
        <v>30.272261864347826</v>
      </c>
      <c r="AC683" s="27">
        <f>(M683*'RAP TEMPLATE-GAS AVAILABILITY'!O682+N683*'RAP TEMPLATE-GAS AVAILABILITY'!P682+O683*'RAP TEMPLATE-GAS AVAILABILITY'!Q682+P683*'RAP TEMPLATE-GAS AVAILABILITY'!R682)/('RAP TEMPLATE-GAS AVAILABILITY'!O682+'RAP TEMPLATE-GAS AVAILABILITY'!P682+'RAP TEMPLATE-GAS AVAILABILITY'!Q682+'RAP TEMPLATE-GAS AVAILABILITY'!R682)</f>
        <v>29.996747482014388</v>
      </c>
    </row>
    <row r="684" spans="1:29" ht="15.75" x14ac:dyDescent="0.25">
      <c r="A684" s="13">
        <v>61728</v>
      </c>
      <c r="B684" s="10">
        <f>CHOOSE(CONTROL!$C$42, 32.3474, 32.3474) * CHOOSE(CONTROL!$C$21, $C$9, 100%, $E$9)</f>
        <v>32.3474</v>
      </c>
      <c r="C684" s="10">
        <f>CHOOSE(CONTROL!$C$42, 32.3524, 32.3524) * CHOOSE(CONTROL!$C$21, $C$9, 100%, $E$9)</f>
        <v>32.352400000000003</v>
      </c>
      <c r="D684" s="10">
        <f>CHOOSE(CONTROL!$C$42, 32.382, 32.382) * CHOOSE(CONTROL!$C$21, $C$9, 100%, $E$9)</f>
        <v>32.381999999999998</v>
      </c>
      <c r="E684" s="10">
        <f>CHOOSE(CONTROL!$C$42, 32.4158, 32.4158) * CHOOSE(CONTROL!$C$21, $C$9, 100%, $E$9)</f>
        <v>32.415799999999997</v>
      </c>
      <c r="F684" s="10">
        <f>CHOOSE(CONTROL!$C$42, 32.3156, 32.3156)*CHOOSE(CONTROL!$C$21, $C$9, 100%, $E$9)</f>
        <v>32.315600000000003</v>
      </c>
      <c r="G684" s="10">
        <f>CHOOSE(CONTROL!$C$42, 32.3331, 32.3331)*CHOOSE(CONTROL!$C$21, $C$9, 100%, $E$9)</f>
        <v>32.333100000000002</v>
      </c>
      <c r="H684" s="10">
        <f>CHOOSE(CONTROL!$C$42, 32.405, 32.405) * CHOOSE(CONTROL!$C$21, $C$9, 100%, $E$9)</f>
        <v>32.405000000000001</v>
      </c>
      <c r="I684" s="10">
        <f>CHOOSE(CONTROL!$C$42, 32.311, 32.311)* CHOOSE(CONTROL!$C$21, $C$9, 100%, $E$9)</f>
        <v>32.311</v>
      </c>
      <c r="J684" s="10">
        <f>CHOOSE(CONTROL!$C$42, 32.3086, 32.3086)* CHOOSE(CONTROL!$C$21, $C$9, 100%, $E$9)</f>
        <v>32.308599999999998</v>
      </c>
      <c r="K684" s="54">
        <f>CHOOSE(CONTROL!$C$42, 32.3071, 32.3071) * CHOOSE(CONTROL!$C$21, $C$9, 100%, $E$9)</f>
        <v>32.307099999999998</v>
      </c>
      <c r="L684" s="10">
        <f>CHOOSE(CONTROL!$C$42, 32.992, 32.992) * CHOOSE(CONTROL!$C$21, $C$9, 100%, $E$9)</f>
        <v>32.991999999999997</v>
      </c>
      <c r="M684" s="10">
        <f>CHOOSE(CONTROL!$C$42, 31.9964, 31.9964) * CHOOSE(CONTROL!$C$21, $C$9, 100%, $E$9)</f>
        <v>31.996400000000001</v>
      </c>
      <c r="N684" s="10">
        <f>CHOOSE(CONTROL!$C$42, 32.0137, 32.0137) * CHOOSE(CONTROL!$C$21, $C$9, 100%, $E$9)</f>
        <v>32.0137</v>
      </c>
      <c r="O684" s="10">
        <f>CHOOSE(CONTROL!$C$42, 32.0918, 32.0918) * CHOOSE(CONTROL!$C$21, $C$9, 100%, $E$9)</f>
        <v>32.091799999999999</v>
      </c>
      <c r="P684" s="10">
        <f>CHOOSE(CONTROL!$C$42, 31.9988, 31.9988) * CHOOSE(CONTROL!$C$21, $C$9, 100%, $E$9)</f>
        <v>31.998799999999999</v>
      </c>
      <c r="Q684" s="10">
        <f>CHOOSE(CONTROL!$C$42, 32.6871, 32.6871) * CHOOSE(CONTROL!$C$21, $C$9, 100%, $E$9)</f>
        <v>32.687100000000001</v>
      </c>
      <c r="R684" s="10">
        <f>CHOOSE(CONTROL!$C$42, 33.3558, 33.3558) * CHOOSE(CONTROL!$C$21, $C$9, 100%, $E$9)</f>
        <v>33.355800000000002</v>
      </c>
      <c r="S684" s="10">
        <f>CHOOSE(CONTROL!$C$42, 31.4105, 31.4105) * CHOOSE(CONTROL!$C$21, $C$9, 100%, $E$9)</f>
        <v>31.410499999999999</v>
      </c>
      <c r="T684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684" s="58">
        <f>(1000*CHOOSE(CONTROL!$C$42, 695, 695)*CHOOSE(CONTROL!$C$42, 0.5599, 0.5599)*CHOOSE(CONTROL!$C$42, 31, 31))/1000000</f>
        <v>12.063045499999998</v>
      </c>
      <c r="V684" s="58">
        <f>(1000*CHOOSE(CONTROL!$C$42, 500, 500)*CHOOSE(CONTROL!$C$42, 0.275, 0.275)*CHOOSE(CONTROL!$C$42, 31, 31))/1000000</f>
        <v>4.2625000000000002</v>
      </c>
      <c r="W684" s="58">
        <f>(1000*CHOOSE(CONTROL!$C$42, 0.1146, 0.1146)*CHOOSE(CONTROL!$C$42, 121.5, 121.5)*CHOOSE(CONTROL!$C$42, 31, 31))/1000000</f>
        <v>0.43164089999999994</v>
      </c>
      <c r="X684" s="58">
        <f>(31*0.1790888*100000/1000000)+(31*0.2374*100000/1000000)</f>
        <v>1.2911152800000001</v>
      </c>
      <c r="Y684" s="58"/>
      <c r="Z684" s="10"/>
      <c r="AA684" s="57"/>
      <c r="AB684" s="51">
        <f>(B684*122.58+C684*297.941+D684*89.177+E684*40.302+F684*40+G684*160+H684*0+I684*100+J684*300)/(122.58+297.941+89.177+40.302+0+40+160+100+300)</f>
        <v>32.337392944347826</v>
      </c>
      <c r="AC684" s="27">
        <f>(M684*'RAP TEMPLATE-GAS AVAILABILITY'!O683+N684*'RAP TEMPLATE-GAS AVAILABILITY'!P683+O684*'RAP TEMPLATE-GAS AVAILABILITY'!Q683+P684*'RAP TEMPLATE-GAS AVAILABILITY'!R683)/('RAP TEMPLATE-GAS AVAILABILITY'!O683+'RAP TEMPLATE-GAS AVAILABILITY'!P683+'RAP TEMPLATE-GAS AVAILABILITY'!Q683+'RAP TEMPLATE-GAS AVAILABILITY'!R683)</f>
        <v>32.040979856115115</v>
      </c>
    </row>
    <row r="685" spans="1:29" ht="15.75" x14ac:dyDescent="0.25">
      <c r="A685" s="13">
        <v>61759</v>
      </c>
      <c r="B685" s="10">
        <f>CHOOSE(CONTROL!$C$42, 34.9976, 34.9976) * CHOOSE(CONTROL!$C$21, $C$9, 100%, $E$9)</f>
        <v>34.997599999999998</v>
      </c>
      <c r="C685" s="10">
        <f>CHOOSE(CONTROL!$C$42, 35.0026, 35.0026) * CHOOSE(CONTROL!$C$21, $C$9, 100%, $E$9)</f>
        <v>35.002600000000001</v>
      </c>
      <c r="D685" s="10">
        <f>CHOOSE(CONTROL!$C$42, 35.0528, 35.0528) * CHOOSE(CONTROL!$C$21, $C$9, 100%, $E$9)</f>
        <v>35.052799999999998</v>
      </c>
      <c r="E685" s="10">
        <f>CHOOSE(CONTROL!$C$42, 35.0866, 35.0866) * CHOOSE(CONTROL!$C$21, $C$9, 100%, $E$9)</f>
        <v>35.086599999999997</v>
      </c>
      <c r="F685" s="10">
        <f>CHOOSE(CONTROL!$C$42, 34.963, 34.963)*CHOOSE(CONTROL!$C$21, $C$9, 100%, $E$9)</f>
        <v>34.963000000000001</v>
      </c>
      <c r="G685" s="10">
        <f>CHOOSE(CONTROL!$C$42, 34.9805, 34.9805)*CHOOSE(CONTROL!$C$21, $C$9, 100%, $E$9)</f>
        <v>34.980499999999999</v>
      </c>
      <c r="H685" s="10">
        <f>CHOOSE(CONTROL!$C$42, 35.0758, 35.0758) * CHOOSE(CONTROL!$C$21, $C$9, 100%, $E$9)</f>
        <v>35.075800000000001</v>
      </c>
      <c r="I685" s="10">
        <f>CHOOSE(CONTROL!$C$42, 34.9715, 34.9715)* CHOOSE(CONTROL!$C$21, $C$9, 100%, $E$9)</f>
        <v>34.971499999999999</v>
      </c>
      <c r="J685" s="10">
        <f>CHOOSE(CONTROL!$C$42, 34.956, 34.956)* CHOOSE(CONTROL!$C$21, $C$9, 100%, $E$9)</f>
        <v>34.956000000000003</v>
      </c>
      <c r="K685" s="54">
        <f>CHOOSE(CONTROL!$C$42, 34.9676, 34.9676) * CHOOSE(CONTROL!$C$21, $C$9, 100%, $E$9)</f>
        <v>34.967599999999997</v>
      </c>
      <c r="L685" s="10">
        <f>CHOOSE(CONTROL!$C$42, 35.6628, 35.6628) * CHOOSE(CONTROL!$C$21, $C$9, 100%, $E$9)</f>
        <v>35.662799999999997</v>
      </c>
      <c r="M685" s="10">
        <f>CHOOSE(CONTROL!$C$42, 34.6171, 34.6171) * CHOOSE(CONTROL!$C$21, $C$9, 100%, $E$9)</f>
        <v>34.617100000000001</v>
      </c>
      <c r="N685" s="10">
        <f>CHOOSE(CONTROL!$C$42, 34.6344, 34.6344) * CHOOSE(CONTROL!$C$21, $C$9, 100%, $E$9)</f>
        <v>34.634399999999999</v>
      </c>
      <c r="O685" s="10">
        <f>CHOOSE(CONTROL!$C$42, 34.7356, 34.7356) * CHOOSE(CONTROL!$C$21, $C$9, 100%, $E$9)</f>
        <v>34.735599999999998</v>
      </c>
      <c r="P685" s="10">
        <f>CHOOSE(CONTROL!$C$42, 34.6325, 34.6325) * CHOOSE(CONTROL!$C$21, $C$9, 100%, $E$9)</f>
        <v>34.6325</v>
      </c>
      <c r="Q685" s="10">
        <f>CHOOSE(CONTROL!$C$42, 35.3309, 35.3309) * CHOOSE(CONTROL!$C$21, $C$9, 100%, $E$9)</f>
        <v>35.3309</v>
      </c>
      <c r="R685" s="10">
        <f>CHOOSE(CONTROL!$C$42, 36.0062, 36.0062) * CHOOSE(CONTROL!$C$21, $C$9, 100%, $E$9)</f>
        <v>36.0062</v>
      </c>
      <c r="S685" s="10">
        <f>CHOOSE(CONTROL!$C$42, 33.9841, 33.9841) * CHOOSE(CONTROL!$C$21, $C$9, 100%, $E$9)</f>
        <v>33.984099999999998</v>
      </c>
      <c r="T685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685" s="58">
        <f>(1000*CHOOSE(CONTROL!$C$42, 695, 695)*CHOOSE(CONTROL!$C$42, 0.5599, 0.5599)*CHOOSE(CONTROL!$C$42, 31, 31))/1000000</f>
        <v>12.063045499999998</v>
      </c>
      <c r="V685" s="58">
        <f>(1000*CHOOSE(CONTROL!$C$42, 500, 500)*CHOOSE(CONTROL!$C$42, 0.275, 0.275)*CHOOSE(CONTROL!$C$42, 31, 31))/1000000</f>
        <v>4.2625000000000002</v>
      </c>
      <c r="W685" s="58">
        <f>(1000*CHOOSE(CONTROL!$C$42, 0.1146, 0.1146)*CHOOSE(CONTROL!$C$42, 121.5, 121.5)*CHOOSE(CONTROL!$C$42, 31, 31))/1000000</f>
        <v>0.43164089999999994</v>
      </c>
      <c r="X685" s="58">
        <f>(31*0.1790888*100000/1000000)+(31*0.2374*100000/1000000)</f>
        <v>1.2911152800000001</v>
      </c>
      <c r="Y685" s="58"/>
      <c r="Z685" s="10"/>
      <c r="AA685" s="57"/>
      <c r="AB685" s="51">
        <f>(B685*122.58+C685*297.941+D685*89.177+E685*40.302+F685*40+G685*160+H685*0+I685*100+J685*300)/(122.58+297.941+89.177+40.302+0+40+160+100+300)</f>
        <v>34.989590568173917</v>
      </c>
      <c r="AC685" s="27">
        <f>(M685*'RAP TEMPLATE-GAS AVAILABILITY'!O684+N685*'RAP TEMPLATE-GAS AVAILABILITY'!P684+O685*'RAP TEMPLATE-GAS AVAILABILITY'!Q684+P685*'RAP TEMPLATE-GAS AVAILABILITY'!R684)/('RAP TEMPLATE-GAS AVAILABILITY'!O684+'RAP TEMPLATE-GAS AVAILABILITY'!P684+'RAP TEMPLATE-GAS AVAILABILITY'!Q684+'RAP TEMPLATE-GAS AVAILABILITY'!R684)</f>
        <v>34.674020143884889</v>
      </c>
    </row>
    <row r="686" spans="1:29" ht="15.75" x14ac:dyDescent="0.25">
      <c r="A686" s="13">
        <v>61787</v>
      </c>
      <c r="B686" s="10">
        <f>CHOOSE(CONTROL!$C$42, 35.6206, 35.6206) * CHOOSE(CONTROL!$C$21, $C$9, 100%, $E$9)</f>
        <v>35.620600000000003</v>
      </c>
      <c r="C686" s="10">
        <f>CHOOSE(CONTROL!$C$42, 35.6255, 35.6255) * CHOOSE(CONTROL!$C$21, $C$9, 100%, $E$9)</f>
        <v>35.625500000000002</v>
      </c>
      <c r="D686" s="10">
        <f>CHOOSE(CONTROL!$C$42, 35.686, 35.686) * CHOOSE(CONTROL!$C$21, $C$9, 100%, $E$9)</f>
        <v>35.686</v>
      </c>
      <c r="E686" s="10">
        <f>CHOOSE(CONTROL!$C$42, 35.7198, 35.7198) * CHOOSE(CONTROL!$C$21, $C$9, 100%, $E$9)</f>
        <v>35.719799999999999</v>
      </c>
      <c r="F686" s="10">
        <f>CHOOSE(CONTROL!$C$42, 35.6138, 35.6138)*CHOOSE(CONTROL!$C$21, $C$9, 100%, $E$9)</f>
        <v>35.613799999999998</v>
      </c>
      <c r="G686" s="10">
        <f>CHOOSE(CONTROL!$C$42, 35.6311, 35.6311)*CHOOSE(CONTROL!$C$21, $C$9, 100%, $E$9)</f>
        <v>35.631100000000004</v>
      </c>
      <c r="H686" s="10">
        <f>CHOOSE(CONTROL!$C$42, 35.709, 35.709) * CHOOSE(CONTROL!$C$21, $C$9, 100%, $E$9)</f>
        <v>35.709000000000003</v>
      </c>
      <c r="I686" s="10">
        <f>CHOOSE(CONTROL!$C$42, 35.6074, 35.6074)* CHOOSE(CONTROL!$C$21, $C$9, 100%, $E$9)</f>
        <v>35.607399999999998</v>
      </c>
      <c r="J686" s="10">
        <f>CHOOSE(CONTROL!$C$42, 35.6068, 35.6068)* CHOOSE(CONTROL!$C$21, $C$9, 100%, $E$9)</f>
        <v>35.6068</v>
      </c>
      <c r="K686" s="54">
        <f>CHOOSE(CONTROL!$C$42, 35.6035, 35.6035) * CHOOSE(CONTROL!$C$21, $C$9, 100%, $E$9)</f>
        <v>35.603499999999997</v>
      </c>
      <c r="L686" s="10">
        <f>CHOOSE(CONTROL!$C$42, 36.296, 36.296) * CHOOSE(CONTROL!$C$21, $C$9, 100%, $E$9)</f>
        <v>36.295999999999999</v>
      </c>
      <c r="M686" s="10">
        <f>CHOOSE(CONTROL!$C$42, 35.2613, 35.2613) * CHOOSE(CONTROL!$C$21, $C$9, 100%, $E$9)</f>
        <v>35.261299999999999</v>
      </c>
      <c r="N686" s="10">
        <f>CHOOSE(CONTROL!$C$42, 35.2784, 35.2784) * CHOOSE(CONTROL!$C$21, $C$9, 100%, $E$9)</f>
        <v>35.278399999999998</v>
      </c>
      <c r="O686" s="10">
        <f>CHOOSE(CONTROL!$C$42, 35.3625, 35.3625) * CHOOSE(CONTROL!$C$21, $C$9, 100%, $E$9)</f>
        <v>35.362499999999997</v>
      </c>
      <c r="P686" s="10">
        <f>CHOOSE(CONTROL!$C$42, 35.2619, 35.2619) * CHOOSE(CONTROL!$C$21, $C$9, 100%, $E$9)</f>
        <v>35.261899999999997</v>
      </c>
      <c r="Q686" s="10">
        <f>CHOOSE(CONTROL!$C$42, 35.9578, 35.9578) * CHOOSE(CONTROL!$C$21, $C$9, 100%, $E$9)</f>
        <v>35.957799999999999</v>
      </c>
      <c r="R686" s="10">
        <f>CHOOSE(CONTROL!$C$42, 36.6347, 36.6347) * CHOOSE(CONTROL!$C$21, $C$9, 100%, $E$9)</f>
        <v>36.634700000000002</v>
      </c>
      <c r="S686" s="10">
        <f>CHOOSE(CONTROL!$C$42, 34.589, 34.589) * CHOOSE(CONTROL!$C$21, $C$9, 100%, $E$9)</f>
        <v>34.588999999999999</v>
      </c>
      <c r="T686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686" s="58">
        <f>(1000*CHOOSE(CONTROL!$C$42, 695, 695)*CHOOSE(CONTROL!$C$42, 0.5599, 0.5599)*CHOOSE(CONTROL!$C$42, 28, 28))/1000000</f>
        <v>10.895653999999999</v>
      </c>
      <c r="V686" s="58">
        <f>(1000*CHOOSE(CONTROL!$C$42, 500, 500)*CHOOSE(CONTROL!$C$42, 0.275, 0.275)*CHOOSE(CONTROL!$C$42, 28, 28))/1000000</f>
        <v>3.85</v>
      </c>
      <c r="W686" s="58">
        <f>(1000*CHOOSE(CONTROL!$C$42, 0.1146, 0.1146)*CHOOSE(CONTROL!$C$42, 121.5, 121.5)*CHOOSE(CONTROL!$C$42, 28, 28))/1000000</f>
        <v>0.38986920000000003</v>
      </c>
      <c r="X686" s="58">
        <f>(28*0.1790888*100000/1000000)+(28*0.2374*100000/1000000)</f>
        <v>1.16616864</v>
      </c>
      <c r="Y686" s="58"/>
      <c r="Z686" s="10"/>
      <c r="AA686" s="57"/>
      <c r="AB686" s="51">
        <f>(B686*122.58+C686*297.941+D686*89.177+E686*40.302+F686*40+G686*160+H686*0+I686*100+J686*300)/(122.58+297.941+89.177+40.302+0+40+160+100+300)</f>
        <v>35.626893952260872</v>
      </c>
      <c r="AC686" s="27">
        <f>(M686*'RAP TEMPLATE-GAS AVAILABILITY'!O685+N686*'RAP TEMPLATE-GAS AVAILABILITY'!P685+O686*'RAP TEMPLATE-GAS AVAILABILITY'!Q685+P686*'RAP TEMPLATE-GAS AVAILABILITY'!R685)/('RAP TEMPLATE-GAS AVAILABILITY'!O685+'RAP TEMPLATE-GAS AVAILABILITY'!P685+'RAP TEMPLATE-GAS AVAILABILITY'!Q685+'RAP TEMPLATE-GAS AVAILABILITY'!R685)</f>
        <v>35.308238129496395</v>
      </c>
    </row>
    <row r="687" spans="1:29" ht="15.75" x14ac:dyDescent="0.25">
      <c r="A687" s="13">
        <v>61818</v>
      </c>
      <c r="B687" s="10">
        <f>CHOOSE(CONTROL!$C$42, 34.6094, 34.6094) * CHOOSE(CONTROL!$C$21, $C$9, 100%, $E$9)</f>
        <v>34.609400000000001</v>
      </c>
      <c r="C687" s="10">
        <f>CHOOSE(CONTROL!$C$42, 34.6143, 34.6143) * CHOOSE(CONTROL!$C$21, $C$9, 100%, $E$9)</f>
        <v>34.6143</v>
      </c>
      <c r="D687" s="10">
        <f>CHOOSE(CONTROL!$C$42, 34.6748, 34.6748) * CHOOSE(CONTROL!$C$21, $C$9, 100%, $E$9)</f>
        <v>34.674799999999998</v>
      </c>
      <c r="E687" s="10">
        <f>CHOOSE(CONTROL!$C$42, 34.7086, 34.7086) * CHOOSE(CONTROL!$C$21, $C$9, 100%, $E$9)</f>
        <v>34.708599999999997</v>
      </c>
      <c r="F687" s="10">
        <f>CHOOSE(CONTROL!$C$42, 34.5971, 34.5971)*CHOOSE(CONTROL!$C$21, $C$9, 100%, $E$9)</f>
        <v>34.597099999999998</v>
      </c>
      <c r="G687" s="10">
        <f>CHOOSE(CONTROL!$C$42, 34.6143, 34.6143)*CHOOSE(CONTROL!$C$21, $C$9, 100%, $E$9)</f>
        <v>34.6143</v>
      </c>
      <c r="H687" s="10">
        <f>CHOOSE(CONTROL!$C$42, 34.6978, 34.6978) * CHOOSE(CONTROL!$C$21, $C$9, 100%, $E$9)</f>
        <v>34.697800000000001</v>
      </c>
      <c r="I687" s="10">
        <f>CHOOSE(CONTROL!$C$42, 34.5833, 34.5833)* CHOOSE(CONTROL!$C$21, $C$9, 100%, $E$9)</f>
        <v>34.583300000000001</v>
      </c>
      <c r="J687" s="10">
        <f>CHOOSE(CONTROL!$C$42, 34.5901, 34.5901)* CHOOSE(CONTROL!$C$21, $C$9, 100%, $E$9)</f>
        <v>34.5901</v>
      </c>
      <c r="K687" s="54">
        <f>CHOOSE(CONTROL!$C$42, 34.5794, 34.5794) * CHOOSE(CONTROL!$C$21, $C$9, 100%, $E$9)</f>
        <v>34.5794</v>
      </c>
      <c r="L687" s="10">
        <f>CHOOSE(CONTROL!$C$42, 35.2848, 35.2848) * CHOOSE(CONTROL!$C$21, $C$9, 100%, $E$9)</f>
        <v>35.284799999999997</v>
      </c>
      <c r="M687" s="10">
        <f>CHOOSE(CONTROL!$C$42, 34.2549, 34.2549) * CHOOSE(CONTROL!$C$21, $C$9, 100%, $E$9)</f>
        <v>34.254899999999999</v>
      </c>
      <c r="N687" s="10">
        <f>CHOOSE(CONTROL!$C$42, 34.2719, 34.2719) * CHOOSE(CONTROL!$C$21, $C$9, 100%, $E$9)</f>
        <v>34.271900000000002</v>
      </c>
      <c r="O687" s="10">
        <f>CHOOSE(CONTROL!$C$42, 34.3615, 34.3615) * CHOOSE(CONTROL!$C$21, $C$9, 100%, $E$9)</f>
        <v>34.361499999999999</v>
      </c>
      <c r="P687" s="10">
        <f>CHOOSE(CONTROL!$C$42, 34.2481, 34.2481) * CHOOSE(CONTROL!$C$21, $C$9, 100%, $E$9)</f>
        <v>34.248100000000001</v>
      </c>
      <c r="Q687" s="10">
        <f>CHOOSE(CONTROL!$C$42, 34.9568, 34.9568) * CHOOSE(CONTROL!$C$21, $C$9, 100%, $E$9)</f>
        <v>34.956800000000001</v>
      </c>
      <c r="R687" s="10">
        <f>CHOOSE(CONTROL!$C$42, 35.6312, 35.6312) * CHOOSE(CONTROL!$C$21, $C$9, 100%, $E$9)</f>
        <v>35.6312</v>
      </c>
      <c r="S687" s="10">
        <f>CHOOSE(CONTROL!$C$42, 33.607, 33.607) * CHOOSE(CONTROL!$C$21, $C$9, 100%, $E$9)</f>
        <v>33.606999999999999</v>
      </c>
      <c r="T687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687" s="58">
        <f>(1000*CHOOSE(CONTROL!$C$42, 695, 695)*CHOOSE(CONTROL!$C$42, 0.5599, 0.5599)*CHOOSE(CONTROL!$C$42, 31, 31))/1000000</f>
        <v>12.063045499999998</v>
      </c>
      <c r="V687" s="58">
        <f>(1000*CHOOSE(CONTROL!$C$42, 500, 500)*CHOOSE(CONTROL!$C$42, 0.275, 0.275)*CHOOSE(CONTROL!$C$42, 31, 31))/1000000</f>
        <v>4.2625000000000002</v>
      </c>
      <c r="W687" s="58">
        <f>(1000*CHOOSE(CONTROL!$C$42, 0.1146, 0.1146)*CHOOSE(CONTROL!$C$42, 121.5, 121.5)*CHOOSE(CONTROL!$C$42, 31, 31))/1000000</f>
        <v>0.43164089999999994</v>
      </c>
      <c r="X687" s="58">
        <f>(31*0.1790888*100000/1000000)+(31*0.2374*100000/1000000)</f>
        <v>1.2911152800000001</v>
      </c>
      <c r="Y687" s="58"/>
      <c r="Z687" s="10"/>
      <c r="AA687" s="57"/>
      <c r="AB687" s="51">
        <f>(B687*122.58+C687*297.941+D687*89.177+E687*40.302+F687*40+G687*160+H687*0+I687*100+J687*300)/(122.58+297.941+89.177+40.302+0+40+160+100+300)</f>
        <v>34.61216699573913</v>
      </c>
      <c r="AC687" s="27">
        <f>(M687*'RAP TEMPLATE-GAS AVAILABILITY'!O686+N687*'RAP TEMPLATE-GAS AVAILABILITY'!P686+O687*'RAP TEMPLATE-GAS AVAILABILITY'!Q686+P687*'RAP TEMPLATE-GAS AVAILABILITY'!R686)/('RAP TEMPLATE-GAS AVAILABILITY'!O686+'RAP TEMPLATE-GAS AVAILABILITY'!P686+'RAP TEMPLATE-GAS AVAILABILITY'!Q686+'RAP TEMPLATE-GAS AVAILABILITY'!R686)</f>
        <v>34.303215107913672</v>
      </c>
    </row>
    <row r="688" spans="1:29" ht="15.75" x14ac:dyDescent="0.25">
      <c r="A688" s="13">
        <v>61848</v>
      </c>
      <c r="B688" s="10">
        <f>CHOOSE(CONTROL!$C$42, 34.5069, 34.5069) * CHOOSE(CONTROL!$C$21, $C$9, 100%, $E$9)</f>
        <v>34.506900000000002</v>
      </c>
      <c r="C688" s="10">
        <f>CHOOSE(CONTROL!$C$42, 34.5113, 34.5113) * CHOOSE(CONTROL!$C$21, $C$9, 100%, $E$9)</f>
        <v>34.511299999999999</v>
      </c>
      <c r="D688" s="10">
        <f>CHOOSE(CONTROL!$C$42, 34.7069, 34.7069) * CHOOSE(CONTROL!$C$21, $C$9, 100%, $E$9)</f>
        <v>34.706899999999997</v>
      </c>
      <c r="E688" s="10">
        <f>CHOOSE(CONTROL!$C$42, 34.7387, 34.7387) * CHOOSE(CONTROL!$C$21, $C$9, 100%, $E$9)</f>
        <v>34.738700000000001</v>
      </c>
      <c r="F688" s="10">
        <f>CHOOSE(CONTROL!$C$42, 34.4747, 34.4747)*CHOOSE(CONTROL!$C$21, $C$9, 100%, $E$9)</f>
        <v>34.474699999999999</v>
      </c>
      <c r="G688" s="10">
        <f>CHOOSE(CONTROL!$C$42, 34.4915, 34.4915)*CHOOSE(CONTROL!$C$21, $C$9, 100%, $E$9)</f>
        <v>34.491500000000002</v>
      </c>
      <c r="H688" s="10">
        <f>CHOOSE(CONTROL!$C$42, 34.7284, 34.7284) * CHOOSE(CONTROL!$C$21, $C$9, 100%, $E$9)</f>
        <v>34.728400000000001</v>
      </c>
      <c r="I688" s="10">
        <f>CHOOSE(CONTROL!$C$42, 34.4749, 34.4749)* CHOOSE(CONTROL!$C$21, $C$9, 100%, $E$9)</f>
        <v>34.474899999999998</v>
      </c>
      <c r="J688" s="10">
        <f>CHOOSE(CONTROL!$C$42, 34.4677, 34.4677)* CHOOSE(CONTROL!$C$21, $C$9, 100%, $E$9)</f>
        <v>34.467700000000001</v>
      </c>
      <c r="K688" s="54">
        <f>CHOOSE(CONTROL!$C$42, 34.471, 34.471) * CHOOSE(CONTROL!$C$21, $C$9, 100%, $E$9)</f>
        <v>34.470999999999997</v>
      </c>
      <c r="L688" s="10">
        <f>CHOOSE(CONTROL!$C$42, 35.3154, 35.3154) * CHOOSE(CONTROL!$C$21, $C$9, 100%, $E$9)</f>
        <v>35.315399999999997</v>
      </c>
      <c r="M688" s="10">
        <f>CHOOSE(CONTROL!$C$42, 34.1337, 34.1337) * CHOOSE(CONTROL!$C$21, $C$9, 100%, $E$9)</f>
        <v>34.133699999999997</v>
      </c>
      <c r="N688" s="10">
        <f>CHOOSE(CONTROL!$C$42, 34.1503, 34.1503) * CHOOSE(CONTROL!$C$21, $C$9, 100%, $E$9)</f>
        <v>34.150300000000001</v>
      </c>
      <c r="O688" s="10">
        <f>CHOOSE(CONTROL!$C$42, 34.3918, 34.3918) * CHOOSE(CONTROL!$C$21, $C$9, 100%, $E$9)</f>
        <v>34.391800000000003</v>
      </c>
      <c r="P688" s="10">
        <f>CHOOSE(CONTROL!$C$42, 34.1409, 34.1409) * CHOOSE(CONTROL!$C$21, $C$9, 100%, $E$9)</f>
        <v>34.140900000000002</v>
      </c>
      <c r="Q688" s="10">
        <f>CHOOSE(CONTROL!$C$42, 34.9871, 34.9871) * CHOOSE(CONTROL!$C$21, $C$9, 100%, $E$9)</f>
        <v>34.987099999999998</v>
      </c>
      <c r="R688" s="10">
        <f>CHOOSE(CONTROL!$C$42, 35.6616, 35.6616) * CHOOSE(CONTROL!$C$21, $C$9, 100%, $E$9)</f>
        <v>35.6616</v>
      </c>
      <c r="S688" s="10">
        <f>CHOOSE(CONTROL!$C$42, 33.5068, 33.5068) * CHOOSE(CONTROL!$C$21, $C$9, 100%, $E$9)</f>
        <v>33.506799999999998</v>
      </c>
      <c r="T688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688" s="58">
        <f>(1000*CHOOSE(CONTROL!$C$42, 695, 695)*CHOOSE(CONTROL!$C$42, 0.5599, 0.5599)*CHOOSE(CONTROL!$C$42, 30, 30))/1000000</f>
        <v>11.673914999999997</v>
      </c>
      <c r="V688" s="58">
        <f>(1000*CHOOSE(CONTROL!$C$42, 500, 500)*CHOOSE(CONTROL!$C$42, 0.275, 0.275)*CHOOSE(CONTROL!$C$42, 30, 30))/1000000</f>
        <v>4.125</v>
      </c>
      <c r="W688" s="58">
        <f>(1000*CHOOSE(CONTROL!$C$42, 0.1146, 0.1146)*CHOOSE(CONTROL!$C$42, 121.5, 121.5)*CHOOSE(CONTROL!$C$42, 30, 30))/1000000</f>
        <v>0.417717</v>
      </c>
      <c r="X688" s="58">
        <f>(30*0.1790888*245000/1000000)+(30*0.2374*100000/1000000)</f>
        <v>2.0285026799999999</v>
      </c>
      <c r="Y688" s="58"/>
      <c r="Z688" s="10"/>
      <c r="AA688" s="57"/>
      <c r="AB688" s="51">
        <f>(B688*141.293+C688*267.993+D688*115.016+E688*89.698+F688*40+G688*185+H688*0+I688*100+J688*300)/(141.293+267.993+115.016+89.698+0+40+185+100+300)</f>
        <v>34.527785686521383</v>
      </c>
      <c r="AC688" s="27">
        <f>(M688*'RAP TEMPLATE-GAS AVAILABILITY'!O687+N688*'RAP TEMPLATE-GAS AVAILABILITY'!P687+O688*'RAP TEMPLATE-GAS AVAILABILITY'!Q687+P688*'RAP TEMPLATE-GAS AVAILABILITY'!R687)/('RAP TEMPLATE-GAS AVAILABILITY'!O687+'RAP TEMPLATE-GAS AVAILABILITY'!P687+'RAP TEMPLATE-GAS AVAILABILITY'!Q687+'RAP TEMPLATE-GAS AVAILABILITY'!R687)</f>
        <v>34.252671942446042</v>
      </c>
    </row>
    <row r="689" spans="1:29" ht="15.75" x14ac:dyDescent="0.25">
      <c r="A689" s="13">
        <v>61879</v>
      </c>
      <c r="B689" s="10">
        <f>CHOOSE(CONTROL!$C$42, 34.8129, 34.8129) * CHOOSE(CONTROL!$C$21, $C$9, 100%, $E$9)</f>
        <v>34.812899999999999</v>
      </c>
      <c r="C689" s="10">
        <f>CHOOSE(CONTROL!$C$42, 34.8208, 34.8208) * CHOOSE(CONTROL!$C$21, $C$9, 100%, $E$9)</f>
        <v>34.820799999999998</v>
      </c>
      <c r="D689" s="10">
        <f>CHOOSE(CONTROL!$C$42, 35.0132, 35.0132) * CHOOSE(CONTROL!$C$21, $C$9, 100%, $E$9)</f>
        <v>35.013199999999998</v>
      </c>
      <c r="E689" s="10">
        <f>CHOOSE(CONTROL!$C$42, 35.0443, 35.0443) * CHOOSE(CONTROL!$C$21, $C$9, 100%, $E$9)</f>
        <v>35.0443</v>
      </c>
      <c r="F689" s="10">
        <f>CHOOSE(CONTROL!$C$42, 34.7791, 34.7791)*CHOOSE(CONTROL!$C$21, $C$9, 100%, $E$9)</f>
        <v>34.7791</v>
      </c>
      <c r="G689" s="10">
        <f>CHOOSE(CONTROL!$C$42, 34.7962, 34.7962)*CHOOSE(CONTROL!$C$21, $C$9, 100%, $E$9)</f>
        <v>34.796199999999999</v>
      </c>
      <c r="H689" s="10">
        <f>CHOOSE(CONTROL!$C$42, 35.033, 35.033) * CHOOSE(CONTROL!$C$21, $C$9, 100%, $E$9)</f>
        <v>35.033000000000001</v>
      </c>
      <c r="I689" s="10">
        <f>CHOOSE(CONTROL!$C$42, 34.7794, 34.7794)* CHOOSE(CONTROL!$C$21, $C$9, 100%, $E$9)</f>
        <v>34.779400000000003</v>
      </c>
      <c r="J689" s="10">
        <f>CHOOSE(CONTROL!$C$42, 34.7721, 34.7721)* CHOOSE(CONTROL!$C$21, $C$9, 100%, $E$9)</f>
        <v>34.772100000000002</v>
      </c>
      <c r="K689" s="54">
        <f>CHOOSE(CONTROL!$C$42, 34.7755, 34.7755) * CHOOSE(CONTROL!$C$21, $C$9, 100%, $E$9)</f>
        <v>34.775500000000001</v>
      </c>
      <c r="L689" s="10">
        <f>CHOOSE(CONTROL!$C$42, 35.62, 35.62) * CHOOSE(CONTROL!$C$21, $C$9, 100%, $E$9)</f>
        <v>35.619999999999997</v>
      </c>
      <c r="M689" s="10">
        <f>CHOOSE(CONTROL!$C$42, 34.435, 34.435) * CHOOSE(CONTROL!$C$21, $C$9, 100%, $E$9)</f>
        <v>34.435000000000002</v>
      </c>
      <c r="N689" s="10">
        <f>CHOOSE(CONTROL!$C$42, 34.452, 34.452) * CHOOSE(CONTROL!$C$21, $C$9, 100%, $E$9)</f>
        <v>34.451999999999998</v>
      </c>
      <c r="O689" s="10">
        <f>CHOOSE(CONTROL!$C$42, 34.6933, 34.6933) * CHOOSE(CONTROL!$C$21, $C$9, 100%, $E$9)</f>
        <v>34.693300000000001</v>
      </c>
      <c r="P689" s="10">
        <f>CHOOSE(CONTROL!$C$42, 34.4423, 34.4423) * CHOOSE(CONTROL!$C$21, $C$9, 100%, $E$9)</f>
        <v>34.442300000000003</v>
      </c>
      <c r="Q689" s="10">
        <f>CHOOSE(CONTROL!$C$42, 35.2886, 35.2886) * CHOOSE(CONTROL!$C$21, $C$9, 100%, $E$9)</f>
        <v>35.288600000000002</v>
      </c>
      <c r="R689" s="10">
        <f>CHOOSE(CONTROL!$C$42, 35.9638, 35.9638) * CHOOSE(CONTROL!$C$21, $C$9, 100%, $E$9)</f>
        <v>35.963799999999999</v>
      </c>
      <c r="S689" s="10">
        <f>CHOOSE(CONTROL!$C$42, 33.8025, 33.8025) * CHOOSE(CONTROL!$C$21, $C$9, 100%, $E$9)</f>
        <v>33.802500000000002</v>
      </c>
      <c r="T689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689" s="58">
        <f>(1000*CHOOSE(CONTROL!$C$42, 695, 695)*CHOOSE(CONTROL!$C$42, 0.5599, 0.5599)*CHOOSE(CONTROL!$C$42, 31, 31))/1000000</f>
        <v>12.063045499999998</v>
      </c>
      <c r="V689" s="58">
        <f>(1000*CHOOSE(CONTROL!$C$42, 500, 500)*CHOOSE(CONTROL!$C$42, 0.275, 0.275)*CHOOSE(CONTROL!$C$42, 31, 31))/1000000</f>
        <v>4.2625000000000002</v>
      </c>
      <c r="W689" s="58">
        <f>(1000*CHOOSE(CONTROL!$C$42, 0.1146, 0.1146)*CHOOSE(CONTROL!$C$42, 121.5, 121.5)*CHOOSE(CONTROL!$C$42, 31, 31))/1000000</f>
        <v>0.43164089999999994</v>
      </c>
      <c r="X689" s="58">
        <f>(31*0.1790888*245000/1000000)+(31*0.2374*100000/1000000)</f>
        <v>2.0961194359999999</v>
      </c>
      <c r="Y689" s="58"/>
      <c r="Z689" s="10"/>
      <c r="AA689" s="57"/>
      <c r="AB689" s="51">
        <f>(B689*194.205+C689*267.466+D689*133.845+E689*53.484+F689*40+G689*185+H689*0+I689*100+J689*300)/(194.205+267.466+133.845+53.484+0+40+185+100+300)</f>
        <v>34.829592961145998</v>
      </c>
      <c r="AC689" s="27">
        <f>(M689*'RAP TEMPLATE-GAS AVAILABILITY'!O688+N689*'RAP TEMPLATE-GAS AVAILABILITY'!P688+O689*'RAP TEMPLATE-GAS AVAILABILITY'!Q688+P689*'RAP TEMPLATE-GAS AVAILABILITY'!R688)/('RAP TEMPLATE-GAS AVAILABILITY'!O688+'RAP TEMPLATE-GAS AVAILABILITY'!P688+'RAP TEMPLATE-GAS AVAILABILITY'!Q688+'RAP TEMPLATE-GAS AVAILABILITY'!R688)</f>
        <v>34.554099999999998</v>
      </c>
    </row>
    <row r="690" spans="1:29" ht="15.75" x14ac:dyDescent="0.25">
      <c r="A690" s="13">
        <v>61909</v>
      </c>
      <c r="B690" s="10">
        <f>CHOOSE(CONTROL!$C$42, 35.8002, 35.8002) * CHOOSE(CONTROL!$C$21, $C$9, 100%, $E$9)</f>
        <v>35.800199999999997</v>
      </c>
      <c r="C690" s="10">
        <f>CHOOSE(CONTROL!$C$42, 35.8081, 35.8081) * CHOOSE(CONTROL!$C$21, $C$9, 100%, $E$9)</f>
        <v>35.808100000000003</v>
      </c>
      <c r="D690" s="10">
        <f>CHOOSE(CONTROL!$C$42, 36.0006, 36.0006) * CHOOSE(CONTROL!$C$21, $C$9, 100%, $E$9)</f>
        <v>36.000599999999999</v>
      </c>
      <c r="E690" s="10">
        <f>CHOOSE(CONTROL!$C$42, 36.0317, 36.0317) * CHOOSE(CONTROL!$C$21, $C$9, 100%, $E$9)</f>
        <v>36.031700000000001</v>
      </c>
      <c r="F690" s="10">
        <f>CHOOSE(CONTROL!$C$42, 35.7667, 35.7667)*CHOOSE(CONTROL!$C$21, $C$9, 100%, $E$9)</f>
        <v>35.7667</v>
      </c>
      <c r="G690" s="10">
        <f>CHOOSE(CONTROL!$C$42, 35.7839, 35.7839)*CHOOSE(CONTROL!$C$21, $C$9, 100%, $E$9)</f>
        <v>35.783900000000003</v>
      </c>
      <c r="H690" s="10">
        <f>CHOOSE(CONTROL!$C$42, 36.0203, 36.0203) * CHOOSE(CONTROL!$C$21, $C$9, 100%, $E$9)</f>
        <v>36.020299999999999</v>
      </c>
      <c r="I690" s="10">
        <f>CHOOSE(CONTROL!$C$42, 35.7668, 35.7668)* CHOOSE(CONTROL!$C$21, $C$9, 100%, $E$9)</f>
        <v>35.766800000000003</v>
      </c>
      <c r="J690" s="10">
        <f>CHOOSE(CONTROL!$C$42, 35.7597, 35.7597)* CHOOSE(CONTROL!$C$21, $C$9, 100%, $E$9)</f>
        <v>35.759700000000002</v>
      </c>
      <c r="K690" s="54">
        <f>CHOOSE(CONTROL!$C$42, 35.7629, 35.7629) * CHOOSE(CONTROL!$C$21, $C$9, 100%, $E$9)</f>
        <v>35.762900000000002</v>
      </c>
      <c r="L690" s="10">
        <f>CHOOSE(CONTROL!$C$42, 36.6073, 36.6073) * CHOOSE(CONTROL!$C$21, $C$9, 100%, $E$9)</f>
        <v>36.607300000000002</v>
      </c>
      <c r="M690" s="10">
        <f>CHOOSE(CONTROL!$C$42, 35.4127, 35.4127) * CHOOSE(CONTROL!$C$21, $C$9, 100%, $E$9)</f>
        <v>35.412700000000001</v>
      </c>
      <c r="N690" s="10">
        <f>CHOOSE(CONTROL!$C$42, 35.4297, 35.4297) * CHOOSE(CONTROL!$C$21, $C$9, 100%, $E$9)</f>
        <v>35.429699999999997</v>
      </c>
      <c r="O690" s="10">
        <f>CHOOSE(CONTROL!$C$42, 35.6707, 35.6707) * CHOOSE(CONTROL!$C$21, $C$9, 100%, $E$9)</f>
        <v>35.670699999999997</v>
      </c>
      <c r="P690" s="10">
        <f>CHOOSE(CONTROL!$C$42, 35.4197, 35.4197) * CHOOSE(CONTROL!$C$21, $C$9, 100%, $E$9)</f>
        <v>35.419699999999999</v>
      </c>
      <c r="Q690" s="10">
        <f>CHOOSE(CONTROL!$C$42, 36.266, 36.266) * CHOOSE(CONTROL!$C$21, $C$9, 100%, $E$9)</f>
        <v>36.265999999999998</v>
      </c>
      <c r="R690" s="10">
        <f>CHOOSE(CONTROL!$C$42, 36.9436, 36.9436) * CHOOSE(CONTROL!$C$21, $C$9, 100%, $E$9)</f>
        <v>36.943600000000004</v>
      </c>
      <c r="S690" s="10">
        <f>CHOOSE(CONTROL!$C$42, 34.7613, 34.7613) * CHOOSE(CONTROL!$C$21, $C$9, 100%, $E$9)</f>
        <v>34.761299999999999</v>
      </c>
      <c r="T690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690" s="58">
        <f>(1000*CHOOSE(CONTROL!$C$42, 695, 695)*CHOOSE(CONTROL!$C$42, 0.5599, 0.5599)*CHOOSE(CONTROL!$C$42, 30, 30))/1000000</f>
        <v>11.673914999999997</v>
      </c>
      <c r="V690" s="58">
        <f>(1000*CHOOSE(CONTROL!$C$42, 500, 500)*CHOOSE(CONTROL!$C$42, 0.275, 0.275)*CHOOSE(CONTROL!$C$42, 30, 30))/1000000</f>
        <v>4.125</v>
      </c>
      <c r="W690" s="58">
        <f>(1000*CHOOSE(CONTROL!$C$42, 0.1146, 0.1146)*CHOOSE(CONTROL!$C$42, 121.5, 121.5)*CHOOSE(CONTROL!$C$42, 30, 30))/1000000</f>
        <v>0.417717</v>
      </c>
      <c r="X690" s="58">
        <f>(30*0.1790888*245000/1000000)+(30*0.2374*100000/1000000)</f>
        <v>2.0285026799999999</v>
      </c>
      <c r="Y690" s="58"/>
      <c r="Z690" s="10"/>
      <c r="AA690" s="57"/>
      <c r="AB690" s="51">
        <f>(B690*194.205+C690*267.466+D690*133.845+E690*53.484+F690*40+G690*185+H690*0+I690*100+J690*300)/(194.205+267.466+133.845+53.484+0+40+185+100+300)</f>
        <v>35.817053662009428</v>
      </c>
      <c r="AC690" s="27">
        <f>(M690*'RAP TEMPLATE-GAS AVAILABILITY'!O689+N690*'RAP TEMPLATE-GAS AVAILABILITY'!P689+O690*'RAP TEMPLATE-GAS AVAILABILITY'!Q689+P690*'RAP TEMPLATE-GAS AVAILABILITY'!R689)/('RAP TEMPLATE-GAS AVAILABILITY'!O689+'RAP TEMPLATE-GAS AVAILABILITY'!P689+'RAP TEMPLATE-GAS AVAILABILITY'!Q689+'RAP TEMPLATE-GAS AVAILABILITY'!R689)</f>
        <v>35.531620863309357</v>
      </c>
    </row>
    <row r="691" spans="1:29" ht="15.75" x14ac:dyDescent="0.25">
      <c r="A691" s="13">
        <v>61940</v>
      </c>
      <c r="B691" s="10">
        <f>CHOOSE(CONTROL!$C$42, 35.1135, 35.1135) * CHOOSE(CONTROL!$C$21, $C$9, 100%, $E$9)</f>
        <v>35.113500000000002</v>
      </c>
      <c r="C691" s="10">
        <f>CHOOSE(CONTROL!$C$42, 35.1214, 35.1214) * CHOOSE(CONTROL!$C$21, $C$9, 100%, $E$9)</f>
        <v>35.121400000000001</v>
      </c>
      <c r="D691" s="10">
        <f>CHOOSE(CONTROL!$C$42, 35.3139, 35.3139) * CHOOSE(CONTROL!$C$21, $C$9, 100%, $E$9)</f>
        <v>35.313899999999997</v>
      </c>
      <c r="E691" s="10">
        <f>CHOOSE(CONTROL!$C$42, 35.345, 35.345) * CHOOSE(CONTROL!$C$21, $C$9, 100%, $E$9)</f>
        <v>35.344999999999999</v>
      </c>
      <c r="F691" s="10">
        <f>CHOOSE(CONTROL!$C$42, 35.0804, 35.0804)*CHOOSE(CONTROL!$C$21, $C$9, 100%, $E$9)</f>
        <v>35.080399999999997</v>
      </c>
      <c r="G691" s="10">
        <f>CHOOSE(CONTROL!$C$42, 35.0977, 35.0977)*CHOOSE(CONTROL!$C$21, $C$9, 100%, $E$9)</f>
        <v>35.097700000000003</v>
      </c>
      <c r="H691" s="10">
        <f>CHOOSE(CONTROL!$C$42, 35.3336, 35.3336) * CHOOSE(CONTROL!$C$21, $C$9, 100%, $E$9)</f>
        <v>35.333599999999997</v>
      </c>
      <c r="I691" s="10">
        <f>CHOOSE(CONTROL!$C$42, 35.0801, 35.0801)* CHOOSE(CONTROL!$C$21, $C$9, 100%, $E$9)</f>
        <v>35.080100000000002</v>
      </c>
      <c r="J691" s="10">
        <f>CHOOSE(CONTROL!$C$42, 35.0734, 35.0734)* CHOOSE(CONTROL!$C$21, $C$9, 100%, $E$9)</f>
        <v>35.073399999999999</v>
      </c>
      <c r="K691" s="54">
        <f>CHOOSE(CONTROL!$C$42, 35.0762, 35.0762) * CHOOSE(CONTROL!$C$21, $C$9, 100%, $E$9)</f>
        <v>35.0762</v>
      </c>
      <c r="L691" s="10">
        <f>CHOOSE(CONTROL!$C$42, 35.9206, 35.9206) * CHOOSE(CONTROL!$C$21, $C$9, 100%, $E$9)</f>
        <v>35.9206</v>
      </c>
      <c r="M691" s="10">
        <f>CHOOSE(CONTROL!$C$42, 34.7333, 34.7333) * CHOOSE(CONTROL!$C$21, $C$9, 100%, $E$9)</f>
        <v>34.7333</v>
      </c>
      <c r="N691" s="10">
        <f>CHOOSE(CONTROL!$C$42, 34.7504, 34.7504) * CHOOSE(CONTROL!$C$21, $C$9, 100%, $E$9)</f>
        <v>34.750399999999999</v>
      </c>
      <c r="O691" s="10">
        <f>CHOOSE(CONTROL!$C$42, 34.9909, 34.9909) * CHOOSE(CONTROL!$C$21, $C$9, 100%, $E$9)</f>
        <v>34.990900000000003</v>
      </c>
      <c r="P691" s="10">
        <f>CHOOSE(CONTROL!$C$42, 34.7399, 34.7399) * CHOOSE(CONTROL!$C$21, $C$9, 100%, $E$9)</f>
        <v>34.739899999999999</v>
      </c>
      <c r="Q691" s="10">
        <f>CHOOSE(CONTROL!$C$42, 35.5862, 35.5862) * CHOOSE(CONTROL!$C$21, $C$9, 100%, $E$9)</f>
        <v>35.586199999999998</v>
      </c>
      <c r="R691" s="10">
        <f>CHOOSE(CONTROL!$C$42, 36.2621, 36.2621) * CHOOSE(CONTROL!$C$21, $C$9, 100%, $E$9)</f>
        <v>36.262099999999997</v>
      </c>
      <c r="S691" s="10">
        <f>CHOOSE(CONTROL!$C$42, 34.0945, 34.0945) * CHOOSE(CONTROL!$C$21, $C$9, 100%, $E$9)</f>
        <v>34.094499999999996</v>
      </c>
      <c r="T691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691" s="58">
        <f>(1000*CHOOSE(CONTROL!$C$42, 695, 695)*CHOOSE(CONTROL!$C$42, 0.5599, 0.5599)*CHOOSE(CONTROL!$C$42, 31, 31))/1000000</f>
        <v>12.063045499999998</v>
      </c>
      <c r="V691" s="58">
        <f>(1000*CHOOSE(CONTROL!$C$42, 500, 500)*CHOOSE(CONTROL!$C$42, 0.275, 0.275)*CHOOSE(CONTROL!$C$42, 31, 31))/1000000</f>
        <v>4.2625000000000002</v>
      </c>
      <c r="W691" s="58">
        <f>(1000*CHOOSE(CONTROL!$C$42, 0.1146, 0.1146)*CHOOSE(CONTROL!$C$42, 121.5, 121.5)*CHOOSE(CONTROL!$C$42, 31, 31))/1000000</f>
        <v>0.43164089999999994</v>
      </c>
      <c r="X691" s="58">
        <f>(31*0.1790888*245000/1000000)+(31*0.2374*100000/1000000)</f>
        <v>2.0961194359999999</v>
      </c>
      <c r="Y691" s="58"/>
      <c r="Z691" s="10"/>
      <c r="AA691" s="57"/>
      <c r="AB691" s="51">
        <f>(B691*194.205+C691*267.466+D691*133.845+E691*53.484+F691*40+G691*185+H691*0+I691*100+J691*300)/(194.205+267.466+133.845+53.484+0+40+185+100+300)</f>
        <v>35.130533018367352</v>
      </c>
      <c r="AC691" s="27">
        <f>(M691*'RAP TEMPLATE-GAS AVAILABILITY'!O690+N691*'RAP TEMPLATE-GAS AVAILABILITY'!P690+O691*'RAP TEMPLATE-GAS AVAILABILITY'!Q690+P691*'RAP TEMPLATE-GAS AVAILABILITY'!R690)/('RAP TEMPLATE-GAS AVAILABILITY'!O690+'RAP TEMPLATE-GAS AVAILABILITY'!P690+'RAP TEMPLATE-GAS AVAILABILITY'!Q690+'RAP TEMPLATE-GAS AVAILABILITY'!R690)</f>
        <v>34.851987769784181</v>
      </c>
    </row>
    <row r="692" spans="1:29" ht="15.75" x14ac:dyDescent="0.25">
      <c r="A692" s="13">
        <v>61971</v>
      </c>
      <c r="B692" s="10">
        <f>CHOOSE(CONTROL!$C$42, 33.3793, 33.3793) * CHOOSE(CONTROL!$C$21, $C$9, 100%, $E$9)</f>
        <v>33.379300000000001</v>
      </c>
      <c r="C692" s="10">
        <f>CHOOSE(CONTROL!$C$42, 33.3872, 33.3872) * CHOOSE(CONTROL!$C$21, $C$9, 100%, $E$9)</f>
        <v>33.3872</v>
      </c>
      <c r="D692" s="10">
        <f>CHOOSE(CONTROL!$C$42, 33.5797, 33.5797) * CHOOSE(CONTROL!$C$21, $C$9, 100%, $E$9)</f>
        <v>33.579700000000003</v>
      </c>
      <c r="E692" s="10">
        <f>CHOOSE(CONTROL!$C$42, 33.6108, 33.6108) * CHOOSE(CONTROL!$C$21, $C$9, 100%, $E$9)</f>
        <v>33.610799999999998</v>
      </c>
      <c r="F692" s="10">
        <f>CHOOSE(CONTROL!$C$42, 33.3464, 33.3464)*CHOOSE(CONTROL!$C$21, $C$9, 100%, $E$9)</f>
        <v>33.346400000000003</v>
      </c>
      <c r="G692" s="10">
        <f>CHOOSE(CONTROL!$C$42, 33.3637, 33.3637)*CHOOSE(CONTROL!$C$21, $C$9, 100%, $E$9)</f>
        <v>33.363700000000001</v>
      </c>
      <c r="H692" s="10">
        <f>CHOOSE(CONTROL!$C$42, 33.5995, 33.5995) * CHOOSE(CONTROL!$C$21, $C$9, 100%, $E$9)</f>
        <v>33.599499999999999</v>
      </c>
      <c r="I692" s="10">
        <f>CHOOSE(CONTROL!$C$42, 33.3459, 33.3459)* CHOOSE(CONTROL!$C$21, $C$9, 100%, $E$9)</f>
        <v>33.3459</v>
      </c>
      <c r="J692" s="10">
        <f>CHOOSE(CONTROL!$C$42, 33.3394, 33.3394)* CHOOSE(CONTROL!$C$21, $C$9, 100%, $E$9)</f>
        <v>33.339399999999998</v>
      </c>
      <c r="K692" s="54">
        <f>CHOOSE(CONTROL!$C$42, 33.342, 33.342) * CHOOSE(CONTROL!$C$21, $C$9, 100%, $E$9)</f>
        <v>33.341999999999999</v>
      </c>
      <c r="L692" s="10">
        <f>CHOOSE(CONTROL!$C$42, 34.1865, 34.1865) * CHOOSE(CONTROL!$C$21, $C$9, 100%, $E$9)</f>
        <v>34.186500000000002</v>
      </c>
      <c r="M692" s="10">
        <f>CHOOSE(CONTROL!$C$42, 33.0168, 33.0168) * CHOOSE(CONTROL!$C$21, $C$9, 100%, $E$9)</f>
        <v>33.016800000000003</v>
      </c>
      <c r="N692" s="10">
        <f>CHOOSE(CONTROL!$C$42, 33.0339, 33.0339) * CHOOSE(CONTROL!$C$21, $C$9, 100%, $E$9)</f>
        <v>33.033900000000003</v>
      </c>
      <c r="O692" s="10">
        <f>CHOOSE(CONTROL!$C$42, 33.2742, 33.2742) * CHOOSE(CONTROL!$C$21, $C$9, 100%, $E$9)</f>
        <v>33.2742</v>
      </c>
      <c r="P692" s="10">
        <f>CHOOSE(CONTROL!$C$42, 33.0232, 33.0232) * CHOOSE(CONTROL!$C$21, $C$9, 100%, $E$9)</f>
        <v>33.023200000000003</v>
      </c>
      <c r="Q692" s="10">
        <f>CHOOSE(CONTROL!$C$42, 33.8695, 33.8695) * CHOOSE(CONTROL!$C$21, $C$9, 100%, $E$9)</f>
        <v>33.869500000000002</v>
      </c>
      <c r="R692" s="10">
        <f>CHOOSE(CONTROL!$C$42, 34.5412, 34.5412) * CHOOSE(CONTROL!$C$21, $C$9, 100%, $E$9)</f>
        <v>34.541200000000003</v>
      </c>
      <c r="S692" s="10">
        <f>CHOOSE(CONTROL!$C$42, 32.4104, 32.4104) * CHOOSE(CONTROL!$C$21, $C$9, 100%, $E$9)</f>
        <v>32.410400000000003</v>
      </c>
      <c r="T692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692" s="58">
        <f>(1000*CHOOSE(CONTROL!$C$42, 695, 695)*CHOOSE(CONTROL!$C$42, 0.5599, 0.5599)*CHOOSE(CONTROL!$C$42, 31, 31))/1000000</f>
        <v>12.063045499999998</v>
      </c>
      <c r="V692" s="58">
        <f>(1000*CHOOSE(CONTROL!$C$42, 500, 500)*CHOOSE(CONTROL!$C$42, 0.275, 0.275)*CHOOSE(CONTROL!$C$42, 31, 31))/1000000</f>
        <v>4.2625000000000002</v>
      </c>
      <c r="W692" s="58">
        <f>(1000*CHOOSE(CONTROL!$C$42, 0.1146, 0.1146)*CHOOSE(CONTROL!$C$42, 121.5, 121.5)*CHOOSE(CONTROL!$C$42, 31, 31))/1000000</f>
        <v>0.43164089999999994</v>
      </c>
      <c r="X692" s="58">
        <f>(31*0.1790888*245000/1000000)+(31*0.2374*100000/1000000)</f>
        <v>2.0961194359999999</v>
      </c>
      <c r="Y692" s="58"/>
      <c r="Z692" s="10"/>
      <c r="AA692" s="57"/>
      <c r="AB692" s="51">
        <f>(B692*194.205+C692*267.466+D692*133.845+E692*53.484+F692*40+G692*185+H692*0+I692*100+J692*300)/(194.205+267.466+133.845+53.484+0+40+185+100+300)</f>
        <v>33.396415435949763</v>
      </c>
      <c r="AC692" s="27">
        <f>(M692*'RAP TEMPLATE-GAS AVAILABILITY'!O691+N692*'RAP TEMPLATE-GAS AVAILABILITY'!P691+O692*'RAP TEMPLATE-GAS AVAILABILITY'!Q691+P692*'RAP TEMPLATE-GAS AVAILABILITY'!R691)/('RAP TEMPLATE-GAS AVAILABILITY'!O691+'RAP TEMPLATE-GAS AVAILABILITY'!P691+'RAP TEMPLATE-GAS AVAILABILITY'!Q691+'RAP TEMPLATE-GAS AVAILABILITY'!R691)</f>
        <v>33.135368345323741</v>
      </c>
    </row>
    <row r="693" spans="1:29" ht="15.75" x14ac:dyDescent="0.25">
      <c r="A693" s="13">
        <v>62001</v>
      </c>
      <c r="B693" s="10">
        <f>CHOOSE(CONTROL!$C$42, 31.2601, 31.2601) * CHOOSE(CONTROL!$C$21, $C$9, 100%, $E$9)</f>
        <v>31.260100000000001</v>
      </c>
      <c r="C693" s="10">
        <f>CHOOSE(CONTROL!$C$42, 31.268, 31.268) * CHOOSE(CONTROL!$C$21, $C$9, 100%, $E$9)</f>
        <v>31.268000000000001</v>
      </c>
      <c r="D693" s="10">
        <f>CHOOSE(CONTROL!$C$42, 31.4605, 31.4605) * CHOOSE(CONTROL!$C$21, $C$9, 100%, $E$9)</f>
        <v>31.4605</v>
      </c>
      <c r="E693" s="10">
        <f>CHOOSE(CONTROL!$C$42, 31.4916, 31.4916) * CHOOSE(CONTROL!$C$21, $C$9, 100%, $E$9)</f>
        <v>31.491599999999998</v>
      </c>
      <c r="F693" s="10">
        <f>CHOOSE(CONTROL!$C$42, 31.227, 31.227)*CHOOSE(CONTROL!$C$21, $C$9, 100%, $E$9)</f>
        <v>31.227</v>
      </c>
      <c r="G693" s="10">
        <f>CHOOSE(CONTROL!$C$42, 31.2443, 31.2443)*CHOOSE(CONTROL!$C$21, $C$9, 100%, $E$9)</f>
        <v>31.244299999999999</v>
      </c>
      <c r="H693" s="10">
        <f>CHOOSE(CONTROL!$C$42, 31.4802, 31.4802) * CHOOSE(CONTROL!$C$21, $C$9, 100%, $E$9)</f>
        <v>31.4802</v>
      </c>
      <c r="I693" s="10">
        <f>CHOOSE(CONTROL!$C$42, 31.2267, 31.2267)* CHOOSE(CONTROL!$C$21, $C$9, 100%, $E$9)</f>
        <v>31.226700000000001</v>
      </c>
      <c r="J693" s="10">
        <f>CHOOSE(CONTROL!$C$42, 31.22, 31.22)* CHOOSE(CONTROL!$C$21, $C$9, 100%, $E$9)</f>
        <v>31.22</v>
      </c>
      <c r="K693" s="54">
        <f>CHOOSE(CONTROL!$C$42, 31.2228, 31.2228) * CHOOSE(CONTROL!$C$21, $C$9, 100%, $E$9)</f>
        <v>31.222799999999999</v>
      </c>
      <c r="L693" s="10">
        <f>CHOOSE(CONTROL!$C$42, 32.0672, 32.0672) * CHOOSE(CONTROL!$C$21, $C$9, 100%, $E$9)</f>
        <v>32.0672</v>
      </c>
      <c r="M693" s="10">
        <f>CHOOSE(CONTROL!$C$42, 30.9188, 30.9188) * CHOOSE(CONTROL!$C$21, $C$9, 100%, $E$9)</f>
        <v>30.918800000000001</v>
      </c>
      <c r="N693" s="10">
        <f>CHOOSE(CONTROL!$C$42, 30.9359, 30.9359) * CHOOSE(CONTROL!$C$21, $C$9, 100%, $E$9)</f>
        <v>30.9359</v>
      </c>
      <c r="O693" s="10">
        <f>CHOOSE(CONTROL!$C$42, 31.1764, 31.1764) * CHOOSE(CONTROL!$C$21, $C$9, 100%, $E$9)</f>
        <v>31.176400000000001</v>
      </c>
      <c r="P693" s="10">
        <f>CHOOSE(CONTROL!$C$42, 30.9254, 30.9254) * CHOOSE(CONTROL!$C$21, $C$9, 100%, $E$9)</f>
        <v>30.9254</v>
      </c>
      <c r="Q693" s="10">
        <f>CHOOSE(CONTROL!$C$42, 31.7717, 31.7717) * CHOOSE(CONTROL!$C$21, $C$9, 100%, $E$9)</f>
        <v>31.771699999999999</v>
      </c>
      <c r="R693" s="10">
        <f>CHOOSE(CONTROL!$C$42, 32.4381, 32.4381) * CHOOSE(CONTROL!$C$21, $C$9, 100%, $E$9)</f>
        <v>32.438099999999999</v>
      </c>
      <c r="S693" s="10">
        <f>CHOOSE(CONTROL!$C$42, 30.3524, 30.3524) * CHOOSE(CONTROL!$C$21, $C$9, 100%, $E$9)</f>
        <v>30.352399999999999</v>
      </c>
      <c r="T693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693" s="58">
        <f>(1000*CHOOSE(CONTROL!$C$42, 695, 695)*CHOOSE(CONTROL!$C$42, 0.5599, 0.5599)*CHOOSE(CONTROL!$C$42, 30, 30))/1000000</f>
        <v>11.673914999999997</v>
      </c>
      <c r="V693" s="58">
        <f>(1000*CHOOSE(CONTROL!$C$42, 500, 500)*CHOOSE(CONTROL!$C$42, 0.275, 0.275)*CHOOSE(CONTROL!$C$42, 30, 30))/1000000</f>
        <v>4.125</v>
      </c>
      <c r="W693" s="58">
        <f>(1000*CHOOSE(CONTROL!$C$42, 0.1146, 0.1146)*CHOOSE(CONTROL!$C$42, 121.5, 121.5)*CHOOSE(CONTROL!$C$42, 30, 30))/1000000</f>
        <v>0.417717</v>
      </c>
      <c r="X693" s="58">
        <f>(30*0.1790888*245000/1000000)+(30*0.2374*100000/1000000)</f>
        <v>2.0285026799999999</v>
      </c>
      <c r="Y693" s="58"/>
      <c r="Z693" s="10"/>
      <c r="AA693" s="57"/>
      <c r="AB693" s="51">
        <f>(B693*194.205+C693*267.466+D693*133.845+E693*53.484+F693*40+G693*185+H693*0+I693*100+J693*300)/(194.205+267.466+133.845+53.484+0+40+185+100+300)</f>
        <v>31.277133018367348</v>
      </c>
      <c r="AC693" s="27">
        <f>(M693*'RAP TEMPLATE-GAS AVAILABILITY'!O692+N693*'RAP TEMPLATE-GAS AVAILABILITY'!P692+O693*'RAP TEMPLATE-GAS AVAILABILITY'!Q692+P693*'RAP TEMPLATE-GAS AVAILABILITY'!R692)/('RAP TEMPLATE-GAS AVAILABILITY'!O692+'RAP TEMPLATE-GAS AVAILABILITY'!P692+'RAP TEMPLATE-GAS AVAILABILITY'!Q692+'RAP TEMPLATE-GAS AVAILABILITY'!R692)</f>
        <v>31.037487769784178</v>
      </c>
    </row>
    <row r="694" spans="1:29" ht="15.75" x14ac:dyDescent="0.25">
      <c r="A694" s="13">
        <v>62032</v>
      </c>
      <c r="B694" s="10">
        <f>CHOOSE(CONTROL!$C$42, 30.6237, 30.6237) * CHOOSE(CONTROL!$C$21, $C$9, 100%, $E$9)</f>
        <v>30.623699999999999</v>
      </c>
      <c r="C694" s="10">
        <f>CHOOSE(CONTROL!$C$42, 30.629, 30.629) * CHOOSE(CONTROL!$C$21, $C$9, 100%, $E$9)</f>
        <v>30.629000000000001</v>
      </c>
      <c r="D694" s="10">
        <f>CHOOSE(CONTROL!$C$42, 30.8264, 30.8264) * CHOOSE(CONTROL!$C$21, $C$9, 100%, $E$9)</f>
        <v>30.8264</v>
      </c>
      <c r="E694" s="10">
        <f>CHOOSE(CONTROL!$C$42, 30.8552, 30.8552) * CHOOSE(CONTROL!$C$21, $C$9, 100%, $E$9)</f>
        <v>30.8552</v>
      </c>
      <c r="F694" s="10">
        <f>CHOOSE(CONTROL!$C$42, 30.5926, 30.5926)*CHOOSE(CONTROL!$C$21, $C$9, 100%, $E$9)</f>
        <v>30.592600000000001</v>
      </c>
      <c r="G694" s="10">
        <f>CHOOSE(CONTROL!$C$42, 30.6096, 30.6096)*CHOOSE(CONTROL!$C$21, $C$9, 100%, $E$9)</f>
        <v>30.6096</v>
      </c>
      <c r="H694" s="10">
        <f>CHOOSE(CONTROL!$C$42, 30.8456, 30.8456) * CHOOSE(CONTROL!$C$21, $C$9, 100%, $E$9)</f>
        <v>30.845600000000001</v>
      </c>
      <c r="I694" s="10">
        <f>CHOOSE(CONTROL!$C$42, 30.5921, 30.5921)* CHOOSE(CONTROL!$C$21, $C$9, 100%, $E$9)</f>
        <v>30.592099999999999</v>
      </c>
      <c r="J694" s="10">
        <f>CHOOSE(CONTROL!$C$42, 30.5856, 30.5856)* CHOOSE(CONTROL!$C$21, $C$9, 100%, $E$9)</f>
        <v>30.585599999999999</v>
      </c>
      <c r="K694" s="54">
        <f>CHOOSE(CONTROL!$C$42, 30.5882, 30.5882) * CHOOSE(CONTROL!$C$21, $C$9, 100%, $E$9)</f>
        <v>30.588200000000001</v>
      </c>
      <c r="L694" s="10">
        <f>CHOOSE(CONTROL!$C$42, 31.4326, 31.4326) * CHOOSE(CONTROL!$C$21, $C$9, 100%, $E$9)</f>
        <v>31.432600000000001</v>
      </c>
      <c r="M694" s="10">
        <f>CHOOSE(CONTROL!$C$42, 30.2908, 30.2908) * CHOOSE(CONTROL!$C$21, $C$9, 100%, $E$9)</f>
        <v>30.290800000000001</v>
      </c>
      <c r="N694" s="10">
        <f>CHOOSE(CONTROL!$C$42, 30.3076, 30.3076) * CHOOSE(CONTROL!$C$21, $C$9, 100%, $E$9)</f>
        <v>30.307600000000001</v>
      </c>
      <c r="O694" s="10">
        <f>CHOOSE(CONTROL!$C$42, 30.5482, 30.5482) * CHOOSE(CONTROL!$C$21, $C$9, 100%, $E$9)</f>
        <v>30.548200000000001</v>
      </c>
      <c r="P694" s="10">
        <f>CHOOSE(CONTROL!$C$42, 30.2972, 30.2972) * CHOOSE(CONTROL!$C$21, $C$9, 100%, $E$9)</f>
        <v>30.2972</v>
      </c>
      <c r="Q694" s="10">
        <f>CHOOSE(CONTROL!$C$42, 31.1435, 31.1435) * CHOOSE(CONTROL!$C$21, $C$9, 100%, $E$9)</f>
        <v>31.1435</v>
      </c>
      <c r="R694" s="10">
        <f>CHOOSE(CONTROL!$C$42, 31.8083, 31.8083) * CHOOSE(CONTROL!$C$21, $C$9, 100%, $E$9)</f>
        <v>31.808299999999999</v>
      </c>
      <c r="S694" s="10">
        <f>CHOOSE(CONTROL!$C$42, 29.7362, 29.7362) * CHOOSE(CONTROL!$C$21, $C$9, 100%, $E$9)</f>
        <v>29.7362</v>
      </c>
      <c r="T694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694" s="58">
        <f>(1000*CHOOSE(CONTROL!$C$42, 695, 695)*CHOOSE(CONTROL!$C$42, 0.5599, 0.5599)*CHOOSE(CONTROL!$C$42, 31, 31))/1000000</f>
        <v>12.063045499999998</v>
      </c>
      <c r="V694" s="58">
        <f>(1000*CHOOSE(CONTROL!$C$42, 500, 500)*CHOOSE(CONTROL!$C$42, 0.275, 0.275)*CHOOSE(CONTROL!$C$42, 31, 31))/1000000</f>
        <v>4.2625000000000002</v>
      </c>
      <c r="W694" s="58">
        <f>(1000*CHOOSE(CONTROL!$C$42, 0.1146, 0.1146)*CHOOSE(CONTROL!$C$42, 121.5, 121.5)*CHOOSE(CONTROL!$C$42, 31, 31))/1000000</f>
        <v>0.43164089999999994</v>
      </c>
      <c r="X694" s="58">
        <f>(31*0.1790888*245000/1000000)+(31*0.2374*100000/1000000)</f>
        <v>2.0961194359999999</v>
      </c>
      <c r="Y694" s="58"/>
      <c r="Z694" s="10"/>
      <c r="AA694" s="57"/>
      <c r="AB694" s="51">
        <f>(B694*131.881+C694*277.167+D694*79.08+E694*125.872+F694*40+G694*185+H694*0+I694*100+J694*300)/(131.881+277.167+79.08+125.872+0+40+185+100+300)</f>
        <v>30.646456552945921</v>
      </c>
      <c r="AC694" s="27">
        <f>(M694*'RAP TEMPLATE-GAS AVAILABILITY'!O693+N694*'RAP TEMPLATE-GAS AVAILABILITY'!P693+O694*'RAP TEMPLATE-GAS AVAILABILITY'!Q693+P694*'RAP TEMPLATE-GAS AVAILABILITY'!R693)/('RAP TEMPLATE-GAS AVAILABILITY'!O693+'RAP TEMPLATE-GAS AVAILABILITY'!P693+'RAP TEMPLATE-GAS AVAILABILITY'!Q693+'RAP TEMPLATE-GAS AVAILABILITY'!R693)</f>
        <v>30.409351079136695</v>
      </c>
    </row>
    <row r="695" spans="1:29" ht="15.75" x14ac:dyDescent="0.25">
      <c r="A695" s="13">
        <v>62062</v>
      </c>
      <c r="B695" s="10">
        <f>CHOOSE(CONTROL!$C$42, 31.43, 31.43) * CHOOSE(CONTROL!$C$21, $C$9, 100%, $E$9)</f>
        <v>31.43</v>
      </c>
      <c r="C695" s="10">
        <f>CHOOSE(CONTROL!$C$42, 31.435, 31.435) * CHOOSE(CONTROL!$C$21, $C$9, 100%, $E$9)</f>
        <v>31.434999999999999</v>
      </c>
      <c r="D695" s="10">
        <f>CHOOSE(CONTROL!$C$42, 31.4646, 31.4646) * CHOOSE(CONTROL!$C$21, $C$9, 100%, $E$9)</f>
        <v>31.464600000000001</v>
      </c>
      <c r="E695" s="10">
        <f>CHOOSE(CONTROL!$C$42, 31.4984, 31.4984) * CHOOSE(CONTROL!$C$21, $C$9, 100%, $E$9)</f>
        <v>31.4984</v>
      </c>
      <c r="F695" s="10">
        <f>CHOOSE(CONTROL!$C$42, 31.3968, 31.3968)*CHOOSE(CONTROL!$C$21, $C$9, 100%, $E$9)</f>
        <v>31.396799999999999</v>
      </c>
      <c r="G695" s="10">
        <f>CHOOSE(CONTROL!$C$42, 31.4139, 31.4139)*CHOOSE(CONTROL!$C$21, $C$9, 100%, $E$9)</f>
        <v>31.413900000000002</v>
      </c>
      <c r="H695" s="10">
        <f>CHOOSE(CONTROL!$C$42, 31.4876, 31.4876) * CHOOSE(CONTROL!$C$21, $C$9, 100%, $E$9)</f>
        <v>31.4876</v>
      </c>
      <c r="I695" s="10">
        <f>CHOOSE(CONTROL!$C$42, 31.3936, 31.3936)* CHOOSE(CONTROL!$C$21, $C$9, 100%, $E$9)</f>
        <v>31.393599999999999</v>
      </c>
      <c r="J695" s="10">
        <f>CHOOSE(CONTROL!$C$42, 31.3898, 31.3898)* CHOOSE(CONTROL!$C$21, $C$9, 100%, $E$9)</f>
        <v>31.389800000000001</v>
      </c>
      <c r="K695" s="54">
        <f>CHOOSE(CONTROL!$C$42, 31.3897, 31.3897) * CHOOSE(CONTROL!$C$21, $C$9, 100%, $E$9)</f>
        <v>31.389700000000001</v>
      </c>
      <c r="L695" s="10">
        <f>CHOOSE(CONTROL!$C$42, 32.0746, 32.0746) * CHOOSE(CONTROL!$C$21, $C$9, 100%, $E$9)</f>
        <v>32.074599999999997</v>
      </c>
      <c r="M695" s="10">
        <f>CHOOSE(CONTROL!$C$42, 31.0869, 31.0869) * CHOOSE(CONTROL!$C$21, $C$9, 100%, $E$9)</f>
        <v>31.0869</v>
      </c>
      <c r="N695" s="10">
        <f>CHOOSE(CONTROL!$C$42, 31.1038, 31.1038) * CHOOSE(CONTROL!$C$21, $C$9, 100%, $E$9)</f>
        <v>31.1038</v>
      </c>
      <c r="O695" s="10">
        <f>CHOOSE(CONTROL!$C$42, 31.1836, 31.1836) * CHOOSE(CONTROL!$C$21, $C$9, 100%, $E$9)</f>
        <v>31.183599999999998</v>
      </c>
      <c r="P695" s="10">
        <f>CHOOSE(CONTROL!$C$42, 31.0907, 31.0907) * CHOOSE(CONTROL!$C$21, $C$9, 100%, $E$9)</f>
        <v>31.090699999999998</v>
      </c>
      <c r="Q695" s="10">
        <f>CHOOSE(CONTROL!$C$42, 31.7789, 31.7789) * CHOOSE(CONTROL!$C$21, $C$9, 100%, $E$9)</f>
        <v>31.7789</v>
      </c>
      <c r="R695" s="10">
        <f>CHOOSE(CONTROL!$C$42, 32.4454, 32.4454) * CHOOSE(CONTROL!$C$21, $C$9, 100%, $E$9)</f>
        <v>32.445399999999999</v>
      </c>
      <c r="S695" s="10">
        <f>CHOOSE(CONTROL!$C$42, 30.5196, 30.5196) * CHOOSE(CONTROL!$C$21, $C$9, 100%, $E$9)</f>
        <v>30.519600000000001</v>
      </c>
      <c r="T695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695" s="58">
        <f>(1000*CHOOSE(CONTROL!$C$42, 695, 695)*CHOOSE(CONTROL!$C$42, 0.5599, 0.5599)*CHOOSE(CONTROL!$C$42, 30, 30))/1000000</f>
        <v>11.673914999999997</v>
      </c>
      <c r="V695" s="58">
        <f>(1000*CHOOSE(CONTROL!$C$42, 500, 500)*CHOOSE(CONTROL!$C$42, 0.275, 0.275)*CHOOSE(CONTROL!$C$42, 30, 30))/1000000</f>
        <v>4.125</v>
      </c>
      <c r="W695" s="58">
        <f>(1000*CHOOSE(CONTROL!$C$42, 0.1146, 0.1146)*CHOOSE(CONTROL!$C$42, 121.5, 121.5)*CHOOSE(CONTROL!$C$42, 30, 30))/1000000</f>
        <v>0.417717</v>
      </c>
      <c r="X695" s="58">
        <f>(30*0.1790888*100000/1000000)+(30*0.2374*100000/1000000)</f>
        <v>1.2494664</v>
      </c>
      <c r="Y695" s="58"/>
      <c r="Z695" s="10"/>
      <c r="AA695" s="57"/>
      <c r="AB695" s="51">
        <f>(B695*122.58+C695*297.941+D695*89.177+E695*40.302+F695*40+G695*160+H695*0+I695*100+J695*300)/(122.58+297.941+89.177+40.302+0+40+160+100+300)</f>
        <v>31.419328596521741</v>
      </c>
      <c r="AC695" s="27">
        <f>(M695*'RAP TEMPLATE-GAS AVAILABILITY'!O694+N695*'RAP TEMPLATE-GAS AVAILABILITY'!P694+O695*'RAP TEMPLATE-GAS AVAILABILITY'!Q694+P695*'RAP TEMPLATE-GAS AVAILABILITY'!R694)/('RAP TEMPLATE-GAS AVAILABILITY'!O694+'RAP TEMPLATE-GAS AVAILABILITY'!P694+'RAP TEMPLATE-GAS AVAILABILITY'!Q694+'RAP TEMPLATE-GAS AVAILABILITY'!R694)</f>
        <v>31.132247482014385</v>
      </c>
    </row>
    <row r="696" spans="1:29" ht="15.75" x14ac:dyDescent="0.25">
      <c r="A696" s="13">
        <v>62093</v>
      </c>
      <c r="B696" s="10">
        <f>CHOOSE(CONTROL!$C$42, 33.5727, 33.5727) * CHOOSE(CONTROL!$C$21, $C$9, 100%, $E$9)</f>
        <v>33.572699999999998</v>
      </c>
      <c r="C696" s="10">
        <f>CHOOSE(CONTROL!$C$42, 33.5776, 33.5776) * CHOOSE(CONTROL!$C$21, $C$9, 100%, $E$9)</f>
        <v>33.577599999999997</v>
      </c>
      <c r="D696" s="10">
        <f>CHOOSE(CONTROL!$C$42, 33.6073, 33.6073) * CHOOSE(CONTROL!$C$21, $C$9, 100%, $E$9)</f>
        <v>33.607300000000002</v>
      </c>
      <c r="E696" s="10">
        <f>CHOOSE(CONTROL!$C$42, 33.641, 33.641) * CHOOSE(CONTROL!$C$21, $C$9, 100%, $E$9)</f>
        <v>33.640999999999998</v>
      </c>
      <c r="F696" s="10">
        <f>CHOOSE(CONTROL!$C$42, 33.5409, 33.5409)*CHOOSE(CONTROL!$C$21, $C$9, 100%, $E$9)</f>
        <v>33.540900000000001</v>
      </c>
      <c r="G696" s="10">
        <f>CHOOSE(CONTROL!$C$42, 33.5584, 33.5584)*CHOOSE(CONTROL!$C$21, $C$9, 100%, $E$9)</f>
        <v>33.558399999999999</v>
      </c>
      <c r="H696" s="10">
        <f>CHOOSE(CONTROL!$C$42, 33.6302, 33.6302) * CHOOSE(CONTROL!$C$21, $C$9, 100%, $E$9)</f>
        <v>33.630200000000002</v>
      </c>
      <c r="I696" s="10">
        <f>CHOOSE(CONTROL!$C$42, 33.5363, 33.5363)* CHOOSE(CONTROL!$C$21, $C$9, 100%, $E$9)</f>
        <v>33.536299999999997</v>
      </c>
      <c r="J696" s="10">
        <f>CHOOSE(CONTROL!$C$42, 33.5339, 33.5339)* CHOOSE(CONTROL!$C$21, $C$9, 100%, $E$9)</f>
        <v>33.533900000000003</v>
      </c>
      <c r="K696" s="54">
        <f>CHOOSE(CONTROL!$C$42, 33.5324, 33.5324) * CHOOSE(CONTROL!$C$21, $C$9, 100%, $E$9)</f>
        <v>33.532400000000003</v>
      </c>
      <c r="L696" s="10">
        <f>CHOOSE(CONTROL!$C$42, 34.2172, 34.2172) * CHOOSE(CONTROL!$C$21, $C$9, 100%, $E$9)</f>
        <v>34.217199999999998</v>
      </c>
      <c r="M696" s="10">
        <f>CHOOSE(CONTROL!$C$42, 33.2093, 33.2093) * CHOOSE(CONTROL!$C$21, $C$9, 100%, $E$9)</f>
        <v>33.209299999999999</v>
      </c>
      <c r="N696" s="10">
        <f>CHOOSE(CONTROL!$C$42, 33.2266, 33.2266) * CHOOSE(CONTROL!$C$21, $C$9, 100%, $E$9)</f>
        <v>33.226599999999998</v>
      </c>
      <c r="O696" s="10">
        <f>CHOOSE(CONTROL!$C$42, 33.3047, 33.3047) * CHOOSE(CONTROL!$C$21, $C$9, 100%, $E$9)</f>
        <v>33.304699999999997</v>
      </c>
      <c r="P696" s="10">
        <f>CHOOSE(CONTROL!$C$42, 33.2117, 33.2117) * CHOOSE(CONTROL!$C$21, $C$9, 100%, $E$9)</f>
        <v>33.2117</v>
      </c>
      <c r="Q696" s="10">
        <f>CHOOSE(CONTROL!$C$42, 33.9, 33.9) * CHOOSE(CONTROL!$C$21, $C$9, 100%, $E$9)</f>
        <v>33.9</v>
      </c>
      <c r="R696" s="10">
        <f>CHOOSE(CONTROL!$C$42, 34.5717, 34.5717) * CHOOSE(CONTROL!$C$21, $C$9, 100%, $E$9)</f>
        <v>34.5717</v>
      </c>
      <c r="S696" s="10">
        <f>CHOOSE(CONTROL!$C$42, 32.6003, 32.6003) * CHOOSE(CONTROL!$C$21, $C$9, 100%, $E$9)</f>
        <v>32.600299999999997</v>
      </c>
      <c r="T696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696" s="58">
        <f>(1000*CHOOSE(CONTROL!$C$42, 695, 695)*CHOOSE(CONTROL!$C$42, 0.5599, 0.5599)*CHOOSE(CONTROL!$C$42, 31, 31))/1000000</f>
        <v>12.063045499999998</v>
      </c>
      <c r="V696" s="58">
        <f>(1000*CHOOSE(CONTROL!$C$42, 500, 500)*CHOOSE(CONTROL!$C$42, 0.275, 0.275)*CHOOSE(CONTROL!$C$42, 31, 31))/1000000</f>
        <v>4.2625000000000002</v>
      </c>
      <c r="W696" s="58">
        <f>(1000*CHOOSE(CONTROL!$C$42, 0.1146, 0.1146)*CHOOSE(CONTROL!$C$42, 121.5, 121.5)*CHOOSE(CONTROL!$C$42, 31, 31))/1000000</f>
        <v>0.43164089999999994</v>
      </c>
      <c r="X696" s="58">
        <f>(31*0.1790888*100000/1000000)+(31*0.2374*100000/1000000)</f>
        <v>1.2911152800000001</v>
      </c>
      <c r="Y696" s="58"/>
      <c r="Z696" s="10"/>
      <c r="AA696" s="57"/>
      <c r="AB696" s="51">
        <f>(B696*122.58+C696*297.941+D696*89.177+E696*40.302+F696*40+G696*160+H696*0+I696*100+J696*300)/(122.58+297.941+89.177+40.302+0+40+160+100+300)</f>
        <v>33.562663531913046</v>
      </c>
      <c r="AC696" s="27">
        <f>(M696*'RAP TEMPLATE-GAS AVAILABILITY'!O695+N696*'RAP TEMPLATE-GAS AVAILABILITY'!P695+O696*'RAP TEMPLATE-GAS AVAILABILITY'!Q695+P696*'RAP TEMPLATE-GAS AVAILABILITY'!R695)/('RAP TEMPLATE-GAS AVAILABILITY'!O695+'RAP TEMPLATE-GAS AVAILABILITY'!P695+'RAP TEMPLATE-GAS AVAILABILITY'!Q695+'RAP TEMPLATE-GAS AVAILABILITY'!R695)</f>
        <v>33.253879856115105</v>
      </c>
    </row>
    <row r="697" spans="1:29" ht="15.75" x14ac:dyDescent="0.25">
      <c r="A697" s="13">
        <v>62124</v>
      </c>
      <c r="B697" s="10">
        <f>CHOOSE(CONTROL!$C$42, 36.3233, 36.3233) * CHOOSE(CONTROL!$C$21, $C$9, 100%, $E$9)</f>
        <v>36.323300000000003</v>
      </c>
      <c r="C697" s="10">
        <f>CHOOSE(CONTROL!$C$42, 36.3282, 36.3282) * CHOOSE(CONTROL!$C$21, $C$9, 100%, $E$9)</f>
        <v>36.328200000000002</v>
      </c>
      <c r="D697" s="10">
        <f>CHOOSE(CONTROL!$C$42, 36.3785, 36.3785) * CHOOSE(CONTROL!$C$21, $C$9, 100%, $E$9)</f>
        <v>36.378500000000003</v>
      </c>
      <c r="E697" s="10">
        <f>CHOOSE(CONTROL!$C$42, 36.4122, 36.4122) * CHOOSE(CONTROL!$C$21, $C$9, 100%, $E$9)</f>
        <v>36.412199999999999</v>
      </c>
      <c r="F697" s="10">
        <f>CHOOSE(CONTROL!$C$42, 36.2887, 36.2887)*CHOOSE(CONTROL!$C$21, $C$9, 100%, $E$9)</f>
        <v>36.288699999999999</v>
      </c>
      <c r="G697" s="10">
        <f>CHOOSE(CONTROL!$C$42, 36.3062, 36.3062)*CHOOSE(CONTROL!$C$21, $C$9, 100%, $E$9)</f>
        <v>36.306199999999997</v>
      </c>
      <c r="H697" s="10">
        <f>CHOOSE(CONTROL!$C$42, 36.4014, 36.4014) * CHOOSE(CONTROL!$C$21, $C$9, 100%, $E$9)</f>
        <v>36.401400000000002</v>
      </c>
      <c r="I697" s="10">
        <f>CHOOSE(CONTROL!$C$42, 36.2972, 36.2972)* CHOOSE(CONTROL!$C$21, $C$9, 100%, $E$9)</f>
        <v>36.297199999999997</v>
      </c>
      <c r="J697" s="10">
        <f>CHOOSE(CONTROL!$C$42, 36.2817, 36.2817)* CHOOSE(CONTROL!$C$21, $C$9, 100%, $E$9)</f>
        <v>36.281700000000001</v>
      </c>
      <c r="K697" s="54">
        <f>CHOOSE(CONTROL!$C$42, 36.2933, 36.2933) * CHOOSE(CONTROL!$C$21, $C$9, 100%, $E$9)</f>
        <v>36.293300000000002</v>
      </c>
      <c r="L697" s="10">
        <f>CHOOSE(CONTROL!$C$42, 36.9884, 36.9884) * CHOOSE(CONTROL!$C$21, $C$9, 100%, $E$9)</f>
        <v>36.988399999999999</v>
      </c>
      <c r="M697" s="10">
        <f>CHOOSE(CONTROL!$C$42, 35.9293, 35.9293) * CHOOSE(CONTROL!$C$21, $C$9, 100%, $E$9)</f>
        <v>35.929299999999998</v>
      </c>
      <c r="N697" s="10">
        <f>CHOOSE(CONTROL!$C$42, 35.9467, 35.9467) * CHOOSE(CONTROL!$C$21, $C$9, 100%, $E$9)</f>
        <v>35.9467</v>
      </c>
      <c r="O697" s="10">
        <f>CHOOSE(CONTROL!$C$42, 36.0479, 36.0479) * CHOOSE(CONTROL!$C$21, $C$9, 100%, $E$9)</f>
        <v>36.047899999999998</v>
      </c>
      <c r="P697" s="10">
        <f>CHOOSE(CONTROL!$C$42, 35.9448, 35.9448) * CHOOSE(CONTROL!$C$21, $C$9, 100%, $E$9)</f>
        <v>35.944800000000001</v>
      </c>
      <c r="Q697" s="10">
        <f>CHOOSE(CONTROL!$C$42, 36.6432, 36.6432) * CHOOSE(CONTROL!$C$21, $C$9, 100%, $E$9)</f>
        <v>36.6432</v>
      </c>
      <c r="R697" s="10">
        <f>CHOOSE(CONTROL!$C$42, 37.3218, 37.3218) * CHOOSE(CONTROL!$C$21, $C$9, 100%, $E$9)</f>
        <v>37.321800000000003</v>
      </c>
      <c r="S697" s="10">
        <f>CHOOSE(CONTROL!$C$42, 35.2714, 35.2714) * CHOOSE(CONTROL!$C$21, $C$9, 100%, $E$9)</f>
        <v>35.2714</v>
      </c>
      <c r="T697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697" s="58">
        <f>(1000*CHOOSE(CONTROL!$C$42, 695, 695)*CHOOSE(CONTROL!$C$42, 0.5599, 0.5599)*CHOOSE(CONTROL!$C$42, 31, 31))/1000000</f>
        <v>12.063045499999998</v>
      </c>
      <c r="V697" s="58">
        <f>(1000*CHOOSE(CONTROL!$C$42, 500, 500)*CHOOSE(CONTROL!$C$42, 0.275, 0.275)*CHOOSE(CONTROL!$C$42, 31, 31))/1000000</f>
        <v>4.2625000000000002</v>
      </c>
      <c r="W697" s="58">
        <f>(1000*CHOOSE(CONTROL!$C$42, 0.1146, 0.1146)*CHOOSE(CONTROL!$C$42, 121.5, 121.5)*CHOOSE(CONTROL!$C$42, 31, 31))/1000000</f>
        <v>0.43164089999999994</v>
      </c>
      <c r="X697" s="58">
        <f>(31*0.1790888*100000/1000000)+(31*0.2374*100000/1000000)</f>
        <v>1.2911152800000001</v>
      </c>
      <c r="Y697" s="58"/>
      <c r="Z697" s="10"/>
      <c r="AA697" s="57"/>
      <c r="AB697" s="51">
        <f>(B697*122.58+C697*297.941+D697*89.177+E697*40.302+F697*40+G697*160+H697*0+I697*100+J697*300)/(122.58+297.941+89.177+40.302+0+40+160+100+300)</f>
        <v>36.31526115573913</v>
      </c>
      <c r="AC697" s="27">
        <f>(M697*'RAP TEMPLATE-GAS AVAILABILITY'!O696+N697*'RAP TEMPLATE-GAS AVAILABILITY'!P696+O697*'RAP TEMPLATE-GAS AVAILABILITY'!Q696+P697*'RAP TEMPLATE-GAS AVAILABILITY'!R696)/('RAP TEMPLATE-GAS AVAILABILITY'!O696+'RAP TEMPLATE-GAS AVAILABILITY'!P696+'RAP TEMPLATE-GAS AVAILABILITY'!Q696+'RAP TEMPLATE-GAS AVAILABILITY'!R696)</f>
        <v>35.986285611510787</v>
      </c>
    </row>
    <row r="698" spans="1:29" ht="15.75" x14ac:dyDescent="0.25">
      <c r="A698" s="13">
        <v>62152</v>
      </c>
      <c r="B698" s="10">
        <f>CHOOSE(CONTROL!$C$42, 36.9698, 36.9698) * CHOOSE(CONTROL!$C$21, $C$9, 100%, $E$9)</f>
        <v>36.969799999999999</v>
      </c>
      <c r="C698" s="10">
        <f>CHOOSE(CONTROL!$C$42, 36.9748, 36.9748) * CHOOSE(CONTROL!$C$21, $C$9, 100%, $E$9)</f>
        <v>36.974800000000002</v>
      </c>
      <c r="D698" s="10">
        <f>CHOOSE(CONTROL!$C$42, 37.0353, 37.0353) * CHOOSE(CONTROL!$C$21, $C$9, 100%, $E$9)</f>
        <v>37.035299999999999</v>
      </c>
      <c r="E698" s="10">
        <f>CHOOSE(CONTROL!$C$42, 37.0691, 37.0691) * CHOOSE(CONTROL!$C$21, $C$9, 100%, $E$9)</f>
        <v>37.069099999999999</v>
      </c>
      <c r="F698" s="10">
        <f>CHOOSE(CONTROL!$C$42, 36.9631, 36.9631)*CHOOSE(CONTROL!$C$21, $C$9, 100%, $E$9)</f>
        <v>36.963099999999997</v>
      </c>
      <c r="G698" s="10">
        <f>CHOOSE(CONTROL!$C$42, 36.9804, 36.9804)*CHOOSE(CONTROL!$C$21, $C$9, 100%, $E$9)</f>
        <v>36.980400000000003</v>
      </c>
      <c r="H698" s="10">
        <f>CHOOSE(CONTROL!$C$42, 37.0583, 37.0583) * CHOOSE(CONTROL!$C$21, $C$9, 100%, $E$9)</f>
        <v>37.058300000000003</v>
      </c>
      <c r="I698" s="10">
        <f>CHOOSE(CONTROL!$C$42, 36.9566, 36.9566)* CHOOSE(CONTROL!$C$21, $C$9, 100%, $E$9)</f>
        <v>36.956600000000002</v>
      </c>
      <c r="J698" s="10">
        <f>CHOOSE(CONTROL!$C$42, 36.9561, 36.9561)* CHOOSE(CONTROL!$C$21, $C$9, 100%, $E$9)</f>
        <v>36.956099999999999</v>
      </c>
      <c r="K698" s="54">
        <f>CHOOSE(CONTROL!$C$42, 36.9527, 36.9527) * CHOOSE(CONTROL!$C$21, $C$9, 100%, $E$9)</f>
        <v>36.9527</v>
      </c>
      <c r="L698" s="10">
        <f>CHOOSE(CONTROL!$C$42, 37.6453, 37.6453) * CHOOSE(CONTROL!$C$21, $C$9, 100%, $E$9)</f>
        <v>37.645299999999999</v>
      </c>
      <c r="M698" s="10">
        <f>CHOOSE(CONTROL!$C$42, 36.597, 36.597) * CHOOSE(CONTROL!$C$21, $C$9, 100%, $E$9)</f>
        <v>36.597000000000001</v>
      </c>
      <c r="N698" s="10">
        <f>CHOOSE(CONTROL!$C$42, 36.6141, 36.6141) * CHOOSE(CONTROL!$C$21, $C$9, 100%, $E$9)</f>
        <v>36.614100000000001</v>
      </c>
      <c r="O698" s="10">
        <f>CHOOSE(CONTROL!$C$42, 36.6981, 36.6981) * CHOOSE(CONTROL!$C$21, $C$9, 100%, $E$9)</f>
        <v>36.698099999999997</v>
      </c>
      <c r="P698" s="10">
        <f>CHOOSE(CONTROL!$C$42, 36.5975, 36.5975) * CHOOSE(CONTROL!$C$21, $C$9, 100%, $E$9)</f>
        <v>36.597499999999997</v>
      </c>
      <c r="Q698" s="10">
        <f>CHOOSE(CONTROL!$C$42, 37.2934, 37.2934) * CHOOSE(CONTROL!$C$21, $C$9, 100%, $E$9)</f>
        <v>37.293399999999998</v>
      </c>
      <c r="R698" s="10">
        <f>CHOOSE(CONTROL!$C$42, 37.9737, 37.9737) * CHOOSE(CONTROL!$C$21, $C$9, 100%, $E$9)</f>
        <v>37.973700000000001</v>
      </c>
      <c r="S698" s="10">
        <f>CHOOSE(CONTROL!$C$42, 35.8993, 35.8993) * CHOOSE(CONTROL!$C$21, $C$9, 100%, $E$9)</f>
        <v>35.899299999999997</v>
      </c>
      <c r="T698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698" s="58">
        <f>(1000*CHOOSE(CONTROL!$C$42, 695, 695)*CHOOSE(CONTROL!$C$42, 0.5599, 0.5599)*CHOOSE(CONTROL!$C$42, 28, 28))/1000000</f>
        <v>10.895653999999999</v>
      </c>
      <c r="V698" s="58">
        <f>(1000*CHOOSE(CONTROL!$C$42, 500, 500)*CHOOSE(CONTROL!$C$42, 0.275, 0.275)*CHOOSE(CONTROL!$C$42, 28, 28))/1000000</f>
        <v>3.85</v>
      </c>
      <c r="W698" s="58">
        <f>(1000*CHOOSE(CONTROL!$C$42, 0.1146, 0.1146)*CHOOSE(CONTROL!$C$42, 121.5, 121.5)*CHOOSE(CONTROL!$C$42, 28, 28))/1000000</f>
        <v>0.38986920000000003</v>
      </c>
      <c r="X698" s="58">
        <f>(28*0.1790888*100000/1000000)+(28*0.2374*100000/1000000)</f>
        <v>1.16616864</v>
      </c>
      <c r="Y698" s="58"/>
      <c r="Z698" s="10"/>
      <c r="AA698" s="57"/>
      <c r="AB698" s="51">
        <f>(B698*122.58+C698*297.941+D698*89.177+E698*40.302+F698*40+G698*160+H698*0+I698*100+J698*300)/(122.58+297.941+89.177+40.302+0+40+160+100+300)</f>
        <v>36.976174597478263</v>
      </c>
      <c r="AC698" s="27">
        <f>(M698*'RAP TEMPLATE-GAS AVAILABILITY'!O697+N698*'RAP TEMPLATE-GAS AVAILABILITY'!P697+O698*'RAP TEMPLATE-GAS AVAILABILITY'!Q697+P698*'RAP TEMPLATE-GAS AVAILABILITY'!R697)/('RAP TEMPLATE-GAS AVAILABILITY'!O697+'RAP TEMPLATE-GAS AVAILABILITY'!P697+'RAP TEMPLATE-GAS AVAILABILITY'!Q697+'RAP TEMPLATE-GAS AVAILABILITY'!R697)</f>
        <v>36.64387841726618</v>
      </c>
    </row>
    <row r="699" spans="1:29" ht="15.75" x14ac:dyDescent="0.25">
      <c r="A699" s="13">
        <v>62183</v>
      </c>
      <c r="B699" s="10">
        <f>CHOOSE(CONTROL!$C$42, 35.9203, 35.9203) * CHOOSE(CONTROL!$C$21, $C$9, 100%, $E$9)</f>
        <v>35.920299999999997</v>
      </c>
      <c r="C699" s="10">
        <f>CHOOSE(CONTROL!$C$42, 35.9253, 35.9253) * CHOOSE(CONTROL!$C$21, $C$9, 100%, $E$9)</f>
        <v>35.9253</v>
      </c>
      <c r="D699" s="10">
        <f>CHOOSE(CONTROL!$C$42, 35.9858, 35.9858) * CHOOSE(CONTROL!$C$21, $C$9, 100%, $E$9)</f>
        <v>35.985799999999998</v>
      </c>
      <c r="E699" s="10">
        <f>CHOOSE(CONTROL!$C$42, 36.0196, 36.0196) * CHOOSE(CONTROL!$C$21, $C$9, 100%, $E$9)</f>
        <v>36.019599999999997</v>
      </c>
      <c r="F699" s="10">
        <f>CHOOSE(CONTROL!$C$42, 35.9081, 35.9081)*CHOOSE(CONTROL!$C$21, $C$9, 100%, $E$9)</f>
        <v>35.908099999999997</v>
      </c>
      <c r="G699" s="10">
        <f>CHOOSE(CONTROL!$C$42, 35.9253, 35.9253)*CHOOSE(CONTROL!$C$21, $C$9, 100%, $E$9)</f>
        <v>35.9253</v>
      </c>
      <c r="H699" s="10">
        <f>CHOOSE(CONTROL!$C$42, 36.0088, 36.0088) * CHOOSE(CONTROL!$C$21, $C$9, 100%, $E$9)</f>
        <v>36.008800000000001</v>
      </c>
      <c r="I699" s="10">
        <f>CHOOSE(CONTROL!$C$42, 35.8942, 35.8942)* CHOOSE(CONTROL!$C$21, $C$9, 100%, $E$9)</f>
        <v>35.894199999999998</v>
      </c>
      <c r="J699" s="10">
        <f>CHOOSE(CONTROL!$C$42, 35.9011, 35.9011)* CHOOSE(CONTROL!$C$21, $C$9, 100%, $E$9)</f>
        <v>35.9011</v>
      </c>
      <c r="K699" s="54">
        <f>CHOOSE(CONTROL!$C$42, 35.8903, 35.8903) * CHOOSE(CONTROL!$C$21, $C$9, 100%, $E$9)</f>
        <v>35.890300000000003</v>
      </c>
      <c r="L699" s="10">
        <f>CHOOSE(CONTROL!$C$42, 36.5958, 36.5958) * CHOOSE(CONTROL!$C$21, $C$9, 100%, $E$9)</f>
        <v>36.595799999999997</v>
      </c>
      <c r="M699" s="10">
        <f>CHOOSE(CONTROL!$C$42, 35.5526, 35.5526) * CHOOSE(CONTROL!$C$21, $C$9, 100%, $E$9)</f>
        <v>35.552599999999998</v>
      </c>
      <c r="N699" s="10">
        <f>CHOOSE(CONTROL!$C$42, 35.5696, 35.5696) * CHOOSE(CONTROL!$C$21, $C$9, 100%, $E$9)</f>
        <v>35.569600000000001</v>
      </c>
      <c r="O699" s="10">
        <f>CHOOSE(CONTROL!$C$42, 35.6592, 35.6592) * CHOOSE(CONTROL!$C$21, $C$9, 100%, $E$9)</f>
        <v>35.659199999999998</v>
      </c>
      <c r="P699" s="10">
        <f>CHOOSE(CONTROL!$C$42, 35.5459, 35.5459) * CHOOSE(CONTROL!$C$21, $C$9, 100%, $E$9)</f>
        <v>35.545900000000003</v>
      </c>
      <c r="Q699" s="10">
        <f>CHOOSE(CONTROL!$C$42, 36.2545, 36.2545) * CHOOSE(CONTROL!$C$21, $C$9, 100%, $E$9)</f>
        <v>36.2545</v>
      </c>
      <c r="R699" s="10">
        <f>CHOOSE(CONTROL!$C$42, 36.9321, 36.9321) * CHOOSE(CONTROL!$C$21, $C$9, 100%, $E$9)</f>
        <v>36.932099999999998</v>
      </c>
      <c r="S699" s="10">
        <f>CHOOSE(CONTROL!$C$42, 34.8801, 34.8801) * CHOOSE(CONTROL!$C$21, $C$9, 100%, $E$9)</f>
        <v>34.880099999999999</v>
      </c>
      <c r="T699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699" s="58">
        <f>(1000*CHOOSE(CONTROL!$C$42, 695, 695)*CHOOSE(CONTROL!$C$42, 0.5599, 0.5599)*CHOOSE(CONTROL!$C$42, 31, 31))/1000000</f>
        <v>12.063045499999998</v>
      </c>
      <c r="V699" s="58">
        <f>(1000*CHOOSE(CONTROL!$C$42, 500, 500)*CHOOSE(CONTROL!$C$42, 0.275, 0.275)*CHOOSE(CONTROL!$C$42, 31, 31))/1000000</f>
        <v>4.2625000000000002</v>
      </c>
      <c r="W699" s="58">
        <f>(1000*CHOOSE(CONTROL!$C$42, 0.1146, 0.1146)*CHOOSE(CONTROL!$C$42, 121.5, 121.5)*CHOOSE(CONTROL!$C$42, 31, 31))/1000000</f>
        <v>0.43164089999999994</v>
      </c>
      <c r="X699" s="58">
        <f>(31*0.1790888*100000/1000000)+(31*0.2374*100000/1000000)</f>
        <v>1.2911152800000001</v>
      </c>
      <c r="Y699" s="58"/>
      <c r="Z699" s="10"/>
      <c r="AA699" s="57"/>
      <c r="AB699" s="51">
        <f>(B699*122.58+C699*297.941+D699*89.177+E699*40.302+F699*40+G699*160+H699*0+I699*100+J699*300)/(122.58+297.941+89.177+40.302+0+40+160+100+300)</f>
        <v>35.923147640956522</v>
      </c>
      <c r="AC699" s="27">
        <f>(M699*'RAP TEMPLATE-GAS AVAILABILITY'!O698+N699*'RAP TEMPLATE-GAS AVAILABILITY'!P698+O699*'RAP TEMPLATE-GAS AVAILABILITY'!Q698+P699*'RAP TEMPLATE-GAS AVAILABILITY'!R698)/('RAP TEMPLATE-GAS AVAILABILITY'!O698+'RAP TEMPLATE-GAS AVAILABILITY'!P698+'RAP TEMPLATE-GAS AVAILABILITY'!Q698+'RAP TEMPLATE-GAS AVAILABILITY'!R698)</f>
        <v>35.600929496402877</v>
      </c>
    </row>
    <row r="700" spans="1:29" ht="15.75" x14ac:dyDescent="0.25">
      <c r="A700" s="13">
        <v>62213</v>
      </c>
      <c r="B700" s="10">
        <f>CHOOSE(CONTROL!$C$42, 35.814, 35.814) * CHOOSE(CONTROL!$C$21, $C$9, 100%, $E$9)</f>
        <v>35.814</v>
      </c>
      <c r="C700" s="10">
        <f>CHOOSE(CONTROL!$C$42, 35.8183, 35.8183) * CHOOSE(CONTROL!$C$21, $C$9, 100%, $E$9)</f>
        <v>35.818300000000001</v>
      </c>
      <c r="D700" s="10">
        <f>CHOOSE(CONTROL!$C$42, 36.0139, 36.0139) * CHOOSE(CONTROL!$C$21, $C$9, 100%, $E$9)</f>
        <v>36.0139</v>
      </c>
      <c r="E700" s="10">
        <f>CHOOSE(CONTROL!$C$42, 36.0457, 36.0457) * CHOOSE(CONTROL!$C$21, $C$9, 100%, $E$9)</f>
        <v>36.045699999999997</v>
      </c>
      <c r="F700" s="10">
        <f>CHOOSE(CONTROL!$C$42, 35.7818, 35.7818)*CHOOSE(CONTROL!$C$21, $C$9, 100%, $E$9)</f>
        <v>35.781799999999997</v>
      </c>
      <c r="G700" s="10">
        <f>CHOOSE(CONTROL!$C$42, 35.7985, 35.7985)*CHOOSE(CONTROL!$C$21, $C$9, 100%, $E$9)</f>
        <v>35.798499999999997</v>
      </c>
      <c r="H700" s="10">
        <f>CHOOSE(CONTROL!$C$42, 36.0355, 36.0355) * CHOOSE(CONTROL!$C$21, $C$9, 100%, $E$9)</f>
        <v>36.035499999999999</v>
      </c>
      <c r="I700" s="10">
        <f>CHOOSE(CONTROL!$C$42, 35.7819, 35.7819)* CHOOSE(CONTROL!$C$21, $C$9, 100%, $E$9)</f>
        <v>35.7819</v>
      </c>
      <c r="J700" s="10">
        <f>CHOOSE(CONTROL!$C$42, 35.7748, 35.7748)* CHOOSE(CONTROL!$C$21, $C$9, 100%, $E$9)</f>
        <v>35.774799999999999</v>
      </c>
      <c r="K700" s="54">
        <f>CHOOSE(CONTROL!$C$42, 35.778, 35.778) * CHOOSE(CONTROL!$C$21, $C$9, 100%, $E$9)</f>
        <v>35.777999999999999</v>
      </c>
      <c r="L700" s="10">
        <f>CHOOSE(CONTROL!$C$42, 36.6225, 36.6225) * CHOOSE(CONTROL!$C$21, $C$9, 100%, $E$9)</f>
        <v>36.622500000000002</v>
      </c>
      <c r="M700" s="10">
        <f>CHOOSE(CONTROL!$C$42, 35.4276, 35.4276) * CHOOSE(CONTROL!$C$21, $C$9, 100%, $E$9)</f>
        <v>35.427599999999998</v>
      </c>
      <c r="N700" s="10">
        <f>CHOOSE(CONTROL!$C$42, 35.4442, 35.4442) * CHOOSE(CONTROL!$C$21, $C$9, 100%, $E$9)</f>
        <v>35.444200000000002</v>
      </c>
      <c r="O700" s="10">
        <f>CHOOSE(CONTROL!$C$42, 35.6856, 35.6856) * CHOOSE(CONTROL!$C$21, $C$9, 100%, $E$9)</f>
        <v>35.685600000000001</v>
      </c>
      <c r="P700" s="10">
        <f>CHOOSE(CONTROL!$C$42, 35.4347, 35.4347) * CHOOSE(CONTROL!$C$21, $C$9, 100%, $E$9)</f>
        <v>35.434699999999999</v>
      </c>
      <c r="Q700" s="10">
        <f>CHOOSE(CONTROL!$C$42, 36.2809, 36.2809) * CHOOSE(CONTROL!$C$21, $C$9, 100%, $E$9)</f>
        <v>36.280900000000003</v>
      </c>
      <c r="R700" s="10">
        <f>CHOOSE(CONTROL!$C$42, 36.9586, 36.9586) * CHOOSE(CONTROL!$C$21, $C$9, 100%, $E$9)</f>
        <v>36.958599999999997</v>
      </c>
      <c r="S700" s="10">
        <f>CHOOSE(CONTROL!$C$42, 34.776, 34.776) * CHOOSE(CONTROL!$C$21, $C$9, 100%, $E$9)</f>
        <v>34.776000000000003</v>
      </c>
      <c r="T700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700" s="58">
        <f>(1000*CHOOSE(CONTROL!$C$42, 695, 695)*CHOOSE(CONTROL!$C$42, 0.5599, 0.5599)*CHOOSE(CONTROL!$C$42, 30, 30))/1000000</f>
        <v>11.673914999999997</v>
      </c>
      <c r="V700" s="58">
        <f>(1000*CHOOSE(CONTROL!$C$42, 500, 500)*CHOOSE(CONTROL!$C$42, 0.275, 0.275)*CHOOSE(CONTROL!$C$42, 30, 30))/1000000</f>
        <v>4.125</v>
      </c>
      <c r="W700" s="58">
        <f>(1000*CHOOSE(CONTROL!$C$42, 0.1146, 0.1146)*CHOOSE(CONTROL!$C$42, 121.5, 121.5)*CHOOSE(CONTROL!$C$42, 30, 30))/1000000</f>
        <v>0.417717</v>
      </c>
      <c r="X700" s="58">
        <f>(30*0.1790888*245000/1000000)+(30*0.2374*100000/1000000)</f>
        <v>2.0285026799999999</v>
      </c>
      <c r="Y700" s="58"/>
      <c r="Z700" s="10"/>
      <c r="AA700" s="57"/>
      <c r="AB700" s="51">
        <f>(B700*141.293+C700*267.993+D700*115.016+E700*89.698+F700*40+G700*185+H700*0+I700*100+J700*300)/(141.293+267.993+115.016+89.698+0+40+185+100+300)</f>
        <v>35.834824531799846</v>
      </c>
      <c r="AC700" s="27">
        <f>(M700*'RAP TEMPLATE-GAS AVAILABILITY'!O699+N700*'RAP TEMPLATE-GAS AVAILABILITY'!P699+O700*'RAP TEMPLATE-GAS AVAILABILITY'!Q699+P700*'RAP TEMPLATE-GAS AVAILABILITY'!R699)/('RAP TEMPLATE-GAS AVAILABILITY'!O699+'RAP TEMPLATE-GAS AVAILABILITY'!P699+'RAP TEMPLATE-GAS AVAILABILITY'!Q699+'RAP TEMPLATE-GAS AVAILABILITY'!R699)</f>
        <v>35.546512230215832</v>
      </c>
    </row>
    <row r="701" spans="1:29" ht="15.75" x14ac:dyDescent="0.25">
      <c r="A701" s="13">
        <v>62244</v>
      </c>
      <c r="B701" s="10">
        <f>CHOOSE(CONTROL!$C$42, 36.1314, 36.1314) * CHOOSE(CONTROL!$C$21, $C$9, 100%, $E$9)</f>
        <v>36.131399999999999</v>
      </c>
      <c r="C701" s="10">
        <f>CHOOSE(CONTROL!$C$42, 36.1393, 36.1393) * CHOOSE(CONTROL!$C$21, $C$9, 100%, $E$9)</f>
        <v>36.139299999999999</v>
      </c>
      <c r="D701" s="10">
        <f>CHOOSE(CONTROL!$C$42, 36.3318, 36.3318) * CHOOSE(CONTROL!$C$21, $C$9, 100%, $E$9)</f>
        <v>36.331800000000001</v>
      </c>
      <c r="E701" s="10">
        <f>CHOOSE(CONTROL!$C$42, 36.3629, 36.3629) * CHOOSE(CONTROL!$C$21, $C$9, 100%, $E$9)</f>
        <v>36.362900000000003</v>
      </c>
      <c r="F701" s="10">
        <f>CHOOSE(CONTROL!$C$42, 36.0977, 36.0977)*CHOOSE(CONTROL!$C$21, $C$9, 100%, $E$9)</f>
        <v>36.097700000000003</v>
      </c>
      <c r="G701" s="10">
        <f>CHOOSE(CONTROL!$C$42, 36.1148, 36.1148)*CHOOSE(CONTROL!$C$21, $C$9, 100%, $E$9)</f>
        <v>36.114800000000002</v>
      </c>
      <c r="H701" s="10">
        <f>CHOOSE(CONTROL!$C$42, 36.3515, 36.3515) * CHOOSE(CONTROL!$C$21, $C$9, 100%, $E$9)</f>
        <v>36.351500000000001</v>
      </c>
      <c r="I701" s="10">
        <f>CHOOSE(CONTROL!$C$42, 36.098, 36.098)* CHOOSE(CONTROL!$C$21, $C$9, 100%, $E$9)</f>
        <v>36.097999999999999</v>
      </c>
      <c r="J701" s="10">
        <f>CHOOSE(CONTROL!$C$42, 36.0907, 36.0907)* CHOOSE(CONTROL!$C$21, $C$9, 100%, $E$9)</f>
        <v>36.090699999999998</v>
      </c>
      <c r="K701" s="54">
        <f>CHOOSE(CONTROL!$C$42, 36.0941, 36.0941) * CHOOSE(CONTROL!$C$21, $C$9, 100%, $E$9)</f>
        <v>36.094099999999997</v>
      </c>
      <c r="L701" s="10">
        <f>CHOOSE(CONTROL!$C$42, 36.9385, 36.9385) * CHOOSE(CONTROL!$C$21, $C$9, 100%, $E$9)</f>
        <v>36.938499999999998</v>
      </c>
      <c r="M701" s="10">
        <f>CHOOSE(CONTROL!$C$42, 35.7403, 35.7403) * CHOOSE(CONTROL!$C$21, $C$9, 100%, $E$9)</f>
        <v>35.740299999999998</v>
      </c>
      <c r="N701" s="10">
        <f>CHOOSE(CONTROL!$C$42, 35.7572, 35.7572) * CHOOSE(CONTROL!$C$21, $C$9, 100%, $E$9)</f>
        <v>35.757199999999997</v>
      </c>
      <c r="O701" s="10">
        <f>CHOOSE(CONTROL!$C$42, 35.9985, 35.9985) * CHOOSE(CONTROL!$C$21, $C$9, 100%, $E$9)</f>
        <v>35.9985</v>
      </c>
      <c r="P701" s="10">
        <f>CHOOSE(CONTROL!$C$42, 35.7476, 35.7476) * CHOOSE(CONTROL!$C$21, $C$9, 100%, $E$9)</f>
        <v>35.747599999999998</v>
      </c>
      <c r="Q701" s="10">
        <f>CHOOSE(CONTROL!$C$42, 36.5938, 36.5938) * CHOOSE(CONTROL!$C$21, $C$9, 100%, $E$9)</f>
        <v>36.593800000000002</v>
      </c>
      <c r="R701" s="10">
        <f>CHOOSE(CONTROL!$C$42, 37.2723, 37.2723) * CHOOSE(CONTROL!$C$21, $C$9, 100%, $E$9)</f>
        <v>37.272300000000001</v>
      </c>
      <c r="S701" s="10">
        <f>CHOOSE(CONTROL!$C$42, 35.083, 35.083) * CHOOSE(CONTROL!$C$21, $C$9, 100%, $E$9)</f>
        <v>35.082999999999998</v>
      </c>
      <c r="T701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701" s="58">
        <f>(1000*CHOOSE(CONTROL!$C$42, 695, 695)*CHOOSE(CONTROL!$C$42, 0.5599, 0.5599)*CHOOSE(CONTROL!$C$42, 31, 31))/1000000</f>
        <v>12.063045499999998</v>
      </c>
      <c r="V701" s="58">
        <f>(1000*CHOOSE(CONTROL!$C$42, 500, 500)*CHOOSE(CONTROL!$C$42, 0.275, 0.275)*CHOOSE(CONTROL!$C$42, 31, 31))/1000000</f>
        <v>4.2625000000000002</v>
      </c>
      <c r="W701" s="58">
        <f>(1000*CHOOSE(CONTROL!$C$42, 0.1146, 0.1146)*CHOOSE(CONTROL!$C$42, 121.5, 121.5)*CHOOSE(CONTROL!$C$42, 31, 31))/1000000</f>
        <v>0.43164089999999994</v>
      </c>
      <c r="X701" s="58">
        <f>(31*0.1790888*245000/1000000)+(31*0.2374*100000/1000000)</f>
        <v>2.0961194359999999</v>
      </c>
      <c r="Y701" s="58"/>
      <c r="Z701" s="10"/>
      <c r="AA701" s="57"/>
      <c r="AB701" s="51">
        <f>(B701*194.205+C701*267.466+D701*133.845+E701*53.484+F701*40+G701*185+H701*0+I701*100+J701*300)/(194.205+267.466+133.845+53.484+0+40+185+100+300)</f>
        <v>36.14815672323391</v>
      </c>
      <c r="AC701" s="27">
        <f>(M701*'RAP TEMPLATE-GAS AVAILABILITY'!O700+N701*'RAP TEMPLATE-GAS AVAILABILITY'!P700+O701*'RAP TEMPLATE-GAS AVAILABILITY'!Q700+P701*'RAP TEMPLATE-GAS AVAILABILITY'!R700)/('RAP TEMPLATE-GAS AVAILABILITY'!O700+'RAP TEMPLATE-GAS AVAILABILITY'!P700+'RAP TEMPLATE-GAS AVAILABILITY'!Q700+'RAP TEMPLATE-GAS AVAILABILITY'!R700)</f>
        <v>35.859348920863304</v>
      </c>
    </row>
    <row r="702" spans="1:29" ht="15.75" x14ac:dyDescent="0.25">
      <c r="A702" s="13">
        <v>62274</v>
      </c>
      <c r="B702" s="10">
        <f>CHOOSE(CONTROL!$C$42, 37.1562, 37.1562) * CHOOSE(CONTROL!$C$21, $C$9, 100%, $E$9)</f>
        <v>37.156199999999998</v>
      </c>
      <c r="C702" s="10">
        <f>CHOOSE(CONTROL!$C$42, 37.1641, 37.1641) * CHOOSE(CONTROL!$C$21, $C$9, 100%, $E$9)</f>
        <v>37.164099999999998</v>
      </c>
      <c r="D702" s="10">
        <f>CHOOSE(CONTROL!$C$42, 37.3565, 37.3565) * CHOOSE(CONTROL!$C$21, $C$9, 100%, $E$9)</f>
        <v>37.356499999999997</v>
      </c>
      <c r="E702" s="10">
        <f>CHOOSE(CONTROL!$C$42, 37.3877, 37.3877) * CHOOSE(CONTROL!$C$21, $C$9, 100%, $E$9)</f>
        <v>37.387700000000002</v>
      </c>
      <c r="F702" s="10">
        <f>CHOOSE(CONTROL!$C$42, 37.1227, 37.1227)*CHOOSE(CONTROL!$C$21, $C$9, 100%, $E$9)</f>
        <v>37.122700000000002</v>
      </c>
      <c r="G702" s="10">
        <f>CHOOSE(CONTROL!$C$42, 37.1399, 37.1399)*CHOOSE(CONTROL!$C$21, $C$9, 100%, $E$9)</f>
        <v>37.139899999999997</v>
      </c>
      <c r="H702" s="10">
        <f>CHOOSE(CONTROL!$C$42, 37.3763, 37.3763) * CHOOSE(CONTROL!$C$21, $C$9, 100%, $E$9)</f>
        <v>37.376300000000001</v>
      </c>
      <c r="I702" s="10">
        <f>CHOOSE(CONTROL!$C$42, 37.1228, 37.1228)* CHOOSE(CONTROL!$C$21, $C$9, 100%, $E$9)</f>
        <v>37.122799999999998</v>
      </c>
      <c r="J702" s="10">
        <f>CHOOSE(CONTROL!$C$42, 37.1157, 37.1157)* CHOOSE(CONTROL!$C$21, $C$9, 100%, $E$9)</f>
        <v>37.115699999999997</v>
      </c>
      <c r="K702" s="54">
        <f>CHOOSE(CONTROL!$C$42, 37.1189, 37.1189) * CHOOSE(CONTROL!$C$21, $C$9, 100%, $E$9)</f>
        <v>37.118899999999996</v>
      </c>
      <c r="L702" s="10">
        <f>CHOOSE(CONTROL!$C$42, 37.9633, 37.9633) * CHOOSE(CONTROL!$C$21, $C$9, 100%, $E$9)</f>
        <v>37.963299999999997</v>
      </c>
      <c r="M702" s="10">
        <f>CHOOSE(CONTROL!$C$42, 36.7549, 36.7549) * CHOOSE(CONTROL!$C$21, $C$9, 100%, $E$9)</f>
        <v>36.754899999999999</v>
      </c>
      <c r="N702" s="10">
        <f>CHOOSE(CONTROL!$C$42, 36.772, 36.772) * CHOOSE(CONTROL!$C$21, $C$9, 100%, $E$9)</f>
        <v>36.771999999999998</v>
      </c>
      <c r="O702" s="10">
        <f>CHOOSE(CONTROL!$C$42, 37.0129, 37.0129) * CHOOSE(CONTROL!$C$21, $C$9, 100%, $E$9)</f>
        <v>37.012900000000002</v>
      </c>
      <c r="P702" s="10">
        <f>CHOOSE(CONTROL!$C$42, 36.762, 36.762) * CHOOSE(CONTROL!$C$21, $C$9, 100%, $E$9)</f>
        <v>36.762</v>
      </c>
      <c r="Q702" s="10">
        <f>CHOOSE(CONTROL!$C$42, 37.6082, 37.6082) * CHOOSE(CONTROL!$C$21, $C$9, 100%, $E$9)</f>
        <v>37.608199999999997</v>
      </c>
      <c r="R702" s="10">
        <f>CHOOSE(CONTROL!$C$42, 38.2893, 38.2893) * CHOOSE(CONTROL!$C$21, $C$9, 100%, $E$9)</f>
        <v>38.289299999999997</v>
      </c>
      <c r="S702" s="10">
        <f>CHOOSE(CONTROL!$C$42, 36.0781, 36.0781) * CHOOSE(CONTROL!$C$21, $C$9, 100%, $E$9)</f>
        <v>36.078099999999999</v>
      </c>
      <c r="T702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702" s="58">
        <f>(1000*CHOOSE(CONTROL!$C$42, 695, 695)*CHOOSE(CONTROL!$C$42, 0.5599, 0.5599)*CHOOSE(CONTROL!$C$42, 30, 30))/1000000</f>
        <v>11.673914999999997</v>
      </c>
      <c r="V702" s="58">
        <f>(1000*CHOOSE(CONTROL!$C$42, 500, 500)*CHOOSE(CONTROL!$C$42, 0.275, 0.275)*CHOOSE(CONTROL!$C$42, 30, 30))/1000000</f>
        <v>4.125</v>
      </c>
      <c r="W702" s="58">
        <f>(1000*CHOOSE(CONTROL!$C$42, 0.1146, 0.1146)*CHOOSE(CONTROL!$C$42, 121.5, 121.5)*CHOOSE(CONTROL!$C$42, 30, 30))/1000000</f>
        <v>0.417717</v>
      </c>
      <c r="X702" s="58">
        <f>(30*0.1790888*245000/1000000)+(30*0.2374*100000/1000000)</f>
        <v>2.0285026799999999</v>
      </c>
      <c r="Y702" s="58"/>
      <c r="Z702" s="10"/>
      <c r="AA702" s="57"/>
      <c r="AB702" s="51">
        <f>(B702*194.205+C702*267.466+D702*133.845+E702*53.484+F702*40+G702*185+H702*0+I702*100+J702*300)/(194.205+267.466+133.845+53.484+0+40+185+100+300)</f>
        <v>37.173043156122453</v>
      </c>
      <c r="AC702" s="27">
        <f>(M702*'RAP TEMPLATE-GAS AVAILABILITY'!O701+N702*'RAP TEMPLATE-GAS AVAILABILITY'!P701+O702*'RAP TEMPLATE-GAS AVAILABILITY'!Q701+P702*'RAP TEMPLATE-GAS AVAILABILITY'!R701)/('RAP TEMPLATE-GAS AVAILABILITY'!O701+'RAP TEMPLATE-GAS AVAILABILITY'!P701+'RAP TEMPLATE-GAS AVAILABILITY'!Q701+'RAP TEMPLATE-GAS AVAILABILITY'!R701)</f>
        <v>36.873841007194244</v>
      </c>
    </row>
    <row r="703" spans="1:29" ht="15.75" x14ac:dyDescent="0.25">
      <c r="A703" s="13">
        <v>62305</v>
      </c>
      <c r="B703" s="10">
        <f>CHOOSE(CONTROL!$C$42, 36.4435, 36.4435) * CHOOSE(CONTROL!$C$21, $C$9, 100%, $E$9)</f>
        <v>36.4435</v>
      </c>
      <c r="C703" s="10">
        <f>CHOOSE(CONTROL!$C$42, 36.4514, 36.4514) * CHOOSE(CONTROL!$C$21, $C$9, 100%, $E$9)</f>
        <v>36.4514</v>
      </c>
      <c r="D703" s="10">
        <f>CHOOSE(CONTROL!$C$42, 36.6438, 36.6438) * CHOOSE(CONTROL!$C$21, $C$9, 100%, $E$9)</f>
        <v>36.643799999999999</v>
      </c>
      <c r="E703" s="10">
        <f>CHOOSE(CONTROL!$C$42, 36.6749, 36.6749) * CHOOSE(CONTROL!$C$21, $C$9, 100%, $E$9)</f>
        <v>36.674900000000001</v>
      </c>
      <c r="F703" s="10">
        <f>CHOOSE(CONTROL!$C$42, 36.4103, 36.4103)*CHOOSE(CONTROL!$C$21, $C$9, 100%, $E$9)</f>
        <v>36.410299999999999</v>
      </c>
      <c r="G703" s="10">
        <f>CHOOSE(CONTROL!$C$42, 36.4276, 36.4276)*CHOOSE(CONTROL!$C$21, $C$9, 100%, $E$9)</f>
        <v>36.427599999999998</v>
      </c>
      <c r="H703" s="10">
        <f>CHOOSE(CONTROL!$C$42, 36.6636, 36.6636) * CHOOSE(CONTROL!$C$21, $C$9, 100%, $E$9)</f>
        <v>36.663600000000002</v>
      </c>
      <c r="I703" s="10">
        <f>CHOOSE(CONTROL!$C$42, 36.41, 36.41)* CHOOSE(CONTROL!$C$21, $C$9, 100%, $E$9)</f>
        <v>36.409999999999997</v>
      </c>
      <c r="J703" s="10">
        <f>CHOOSE(CONTROL!$C$42, 36.4033, 36.4033)* CHOOSE(CONTROL!$C$21, $C$9, 100%, $E$9)</f>
        <v>36.403300000000002</v>
      </c>
      <c r="K703" s="54">
        <f>CHOOSE(CONTROL!$C$42, 36.4061, 36.4061) * CHOOSE(CONTROL!$C$21, $C$9, 100%, $E$9)</f>
        <v>36.406100000000002</v>
      </c>
      <c r="L703" s="10">
        <f>CHOOSE(CONTROL!$C$42, 37.2506, 37.2506) * CHOOSE(CONTROL!$C$21, $C$9, 100%, $E$9)</f>
        <v>37.250599999999999</v>
      </c>
      <c r="M703" s="10">
        <f>CHOOSE(CONTROL!$C$42, 36.0498, 36.0498) * CHOOSE(CONTROL!$C$21, $C$9, 100%, $E$9)</f>
        <v>36.049799999999998</v>
      </c>
      <c r="N703" s="10">
        <f>CHOOSE(CONTROL!$C$42, 36.0669, 36.0669) * CHOOSE(CONTROL!$C$21, $C$9, 100%, $E$9)</f>
        <v>36.066899999999997</v>
      </c>
      <c r="O703" s="10">
        <f>CHOOSE(CONTROL!$C$42, 36.3074, 36.3074) * CHOOSE(CONTROL!$C$21, $C$9, 100%, $E$9)</f>
        <v>36.307400000000001</v>
      </c>
      <c r="P703" s="10">
        <f>CHOOSE(CONTROL!$C$42, 36.0565, 36.0565) * CHOOSE(CONTROL!$C$21, $C$9, 100%, $E$9)</f>
        <v>36.0565</v>
      </c>
      <c r="Q703" s="10">
        <f>CHOOSE(CONTROL!$C$42, 36.9027, 36.9027) * CHOOSE(CONTROL!$C$21, $C$9, 100%, $E$9)</f>
        <v>36.902700000000003</v>
      </c>
      <c r="R703" s="10">
        <f>CHOOSE(CONTROL!$C$42, 37.582, 37.582) * CHOOSE(CONTROL!$C$21, $C$9, 100%, $E$9)</f>
        <v>37.582000000000001</v>
      </c>
      <c r="S703" s="10">
        <f>CHOOSE(CONTROL!$C$42, 35.386, 35.386) * CHOOSE(CONTROL!$C$21, $C$9, 100%, $E$9)</f>
        <v>35.386000000000003</v>
      </c>
      <c r="T703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703" s="58">
        <f>(1000*CHOOSE(CONTROL!$C$42, 695, 695)*CHOOSE(CONTROL!$C$42, 0.5599, 0.5599)*CHOOSE(CONTROL!$C$42, 31, 31))/1000000</f>
        <v>12.063045499999998</v>
      </c>
      <c r="V703" s="58">
        <f>(1000*CHOOSE(CONTROL!$C$42, 500, 500)*CHOOSE(CONTROL!$C$42, 0.275, 0.275)*CHOOSE(CONTROL!$C$42, 31, 31))/1000000</f>
        <v>4.2625000000000002</v>
      </c>
      <c r="W703" s="58">
        <f>(1000*CHOOSE(CONTROL!$C$42, 0.1146, 0.1146)*CHOOSE(CONTROL!$C$42, 121.5, 121.5)*CHOOSE(CONTROL!$C$42, 31, 31))/1000000</f>
        <v>0.43164089999999994</v>
      </c>
      <c r="X703" s="58">
        <f>(31*0.1790888*245000/1000000)+(31*0.2374*100000/1000000)</f>
        <v>2.0961194359999999</v>
      </c>
      <c r="Y703" s="58"/>
      <c r="Z703" s="10"/>
      <c r="AA703" s="57"/>
      <c r="AB703" s="51">
        <f>(B703*194.205+C703*267.466+D703*133.845+E703*53.484+F703*40+G703*185+H703*0+I703*100+J703*300)/(194.205+267.466+133.845+53.484+0+40+185+100+300)</f>
        <v>36.460469256279431</v>
      </c>
      <c r="AC703" s="27">
        <f>(M703*'RAP TEMPLATE-GAS AVAILABILITY'!O702+N703*'RAP TEMPLATE-GAS AVAILABILITY'!P702+O703*'RAP TEMPLATE-GAS AVAILABILITY'!Q702+P703*'RAP TEMPLATE-GAS AVAILABILITY'!R702)/('RAP TEMPLATE-GAS AVAILABILITY'!O702+'RAP TEMPLATE-GAS AVAILABILITY'!P702+'RAP TEMPLATE-GAS AVAILABILITY'!Q702+'RAP TEMPLATE-GAS AVAILABILITY'!R702)</f>
        <v>36.168502158273384</v>
      </c>
    </row>
    <row r="704" spans="1:29" ht="15.75" x14ac:dyDescent="0.25">
      <c r="A704" s="13">
        <v>62336</v>
      </c>
      <c r="B704" s="10">
        <f>CHOOSE(CONTROL!$C$42, 34.6436, 34.6436) * CHOOSE(CONTROL!$C$21, $C$9, 100%, $E$9)</f>
        <v>34.643599999999999</v>
      </c>
      <c r="C704" s="10">
        <f>CHOOSE(CONTROL!$C$42, 34.6515, 34.6515) * CHOOSE(CONTROL!$C$21, $C$9, 100%, $E$9)</f>
        <v>34.651499999999999</v>
      </c>
      <c r="D704" s="10">
        <f>CHOOSE(CONTROL!$C$42, 34.8439, 34.8439) * CHOOSE(CONTROL!$C$21, $C$9, 100%, $E$9)</f>
        <v>34.843899999999998</v>
      </c>
      <c r="E704" s="10">
        <f>CHOOSE(CONTROL!$C$42, 34.8751, 34.8751) * CHOOSE(CONTROL!$C$21, $C$9, 100%, $E$9)</f>
        <v>34.875100000000003</v>
      </c>
      <c r="F704" s="10">
        <f>CHOOSE(CONTROL!$C$42, 34.6107, 34.6107)*CHOOSE(CONTROL!$C$21, $C$9, 100%, $E$9)</f>
        <v>34.610700000000001</v>
      </c>
      <c r="G704" s="10">
        <f>CHOOSE(CONTROL!$C$42, 34.628, 34.628)*CHOOSE(CONTROL!$C$21, $C$9, 100%, $E$9)</f>
        <v>34.628</v>
      </c>
      <c r="H704" s="10">
        <f>CHOOSE(CONTROL!$C$42, 34.8637, 34.8637) * CHOOSE(CONTROL!$C$21, $C$9, 100%, $E$9)</f>
        <v>34.863700000000001</v>
      </c>
      <c r="I704" s="10">
        <f>CHOOSE(CONTROL!$C$42, 34.6102, 34.6102)* CHOOSE(CONTROL!$C$21, $C$9, 100%, $E$9)</f>
        <v>34.610199999999999</v>
      </c>
      <c r="J704" s="10">
        <f>CHOOSE(CONTROL!$C$42, 34.6037, 34.6037)* CHOOSE(CONTROL!$C$21, $C$9, 100%, $E$9)</f>
        <v>34.603700000000003</v>
      </c>
      <c r="K704" s="54">
        <f>CHOOSE(CONTROL!$C$42, 34.6063, 34.6063) * CHOOSE(CONTROL!$C$21, $C$9, 100%, $E$9)</f>
        <v>34.606299999999997</v>
      </c>
      <c r="L704" s="10">
        <f>CHOOSE(CONTROL!$C$42, 35.4507, 35.4507) * CHOOSE(CONTROL!$C$21, $C$9, 100%, $E$9)</f>
        <v>35.450699999999998</v>
      </c>
      <c r="M704" s="10">
        <f>CHOOSE(CONTROL!$C$42, 34.2683, 34.2683) * CHOOSE(CONTROL!$C$21, $C$9, 100%, $E$9)</f>
        <v>34.268300000000004</v>
      </c>
      <c r="N704" s="10">
        <f>CHOOSE(CONTROL!$C$42, 34.2854, 34.2854) * CHOOSE(CONTROL!$C$21, $C$9, 100%, $E$9)</f>
        <v>34.285400000000003</v>
      </c>
      <c r="O704" s="10">
        <f>CHOOSE(CONTROL!$C$42, 34.5257, 34.5257) * CHOOSE(CONTROL!$C$21, $C$9, 100%, $E$9)</f>
        <v>34.525700000000001</v>
      </c>
      <c r="P704" s="10">
        <f>CHOOSE(CONTROL!$C$42, 34.2748, 34.2748) * CHOOSE(CONTROL!$C$21, $C$9, 100%, $E$9)</f>
        <v>34.274799999999999</v>
      </c>
      <c r="Q704" s="10">
        <f>CHOOSE(CONTROL!$C$42, 35.121, 35.121) * CHOOSE(CONTROL!$C$21, $C$9, 100%, $E$9)</f>
        <v>35.121000000000002</v>
      </c>
      <c r="R704" s="10">
        <f>CHOOSE(CONTROL!$C$42, 35.7958, 35.7958) * CHOOSE(CONTROL!$C$21, $C$9, 100%, $E$9)</f>
        <v>35.7958</v>
      </c>
      <c r="S704" s="10">
        <f>CHOOSE(CONTROL!$C$42, 33.6381, 33.6381) * CHOOSE(CONTROL!$C$21, $C$9, 100%, $E$9)</f>
        <v>33.638100000000001</v>
      </c>
      <c r="T704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704" s="58">
        <f>(1000*CHOOSE(CONTROL!$C$42, 695, 695)*CHOOSE(CONTROL!$C$42, 0.5599, 0.5599)*CHOOSE(CONTROL!$C$42, 31, 31))/1000000</f>
        <v>12.063045499999998</v>
      </c>
      <c r="V704" s="58">
        <f>(1000*CHOOSE(CONTROL!$C$42, 500, 500)*CHOOSE(CONTROL!$C$42, 0.275, 0.275)*CHOOSE(CONTROL!$C$42, 31, 31))/1000000</f>
        <v>4.2625000000000002</v>
      </c>
      <c r="W704" s="58">
        <f>(1000*CHOOSE(CONTROL!$C$42, 0.1146, 0.1146)*CHOOSE(CONTROL!$C$42, 121.5, 121.5)*CHOOSE(CONTROL!$C$42, 31, 31))/1000000</f>
        <v>0.43164089999999994</v>
      </c>
      <c r="X704" s="58">
        <f>(31*0.1790888*245000/1000000)+(31*0.2374*100000/1000000)</f>
        <v>2.0961194359999999</v>
      </c>
      <c r="Y704" s="58"/>
      <c r="Z704" s="10"/>
      <c r="AA704" s="57"/>
      <c r="AB704" s="51">
        <f>(B704*194.205+C704*267.466+D704*133.845+E704*53.484+F704*40+G704*185+H704*0+I704*100+J704*300)/(194.205+267.466+133.845+53.484+0+40+185+100+300)</f>
        <v>34.660704930062799</v>
      </c>
      <c r="AC704" s="27">
        <f>(M704*'RAP TEMPLATE-GAS AVAILABILITY'!O703+N704*'RAP TEMPLATE-GAS AVAILABILITY'!P703+O704*'RAP TEMPLATE-GAS AVAILABILITY'!Q703+P704*'RAP TEMPLATE-GAS AVAILABILITY'!R703)/('RAP TEMPLATE-GAS AVAILABILITY'!O703+'RAP TEMPLATE-GAS AVAILABILITY'!P703+'RAP TEMPLATE-GAS AVAILABILITY'!Q703+'RAP TEMPLATE-GAS AVAILABILITY'!R703)</f>
        <v>34.386882733812946</v>
      </c>
    </row>
    <row r="705" spans="1:29" ht="15.75" x14ac:dyDescent="0.25">
      <c r="A705" s="13">
        <v>62366</v>
      </c>
      <c r="B705" s="10">
        <f>CHOOSE(CONTROL!$C$42, 32.4441, 32.4441) * CHOOSE(CONTROL!$C$21, $C$9, 100%, $E$9)</f>
        <v>32.444099999999999</v>
      </c>
      <c r="C705" s="10">
        <f>CHOOSE(CONTROL!$C$42, 32.452, 32.452) * CHOOSE(CONTROL!$C$21, $C$9, 100%, $E$9)</f>
        <v>32.451999999999998</v>
      </c>
      <c r="D705" s="10">
        <f>CHOOSE(CONTROL!$C$42, 32.6445, 32.6445) * CHOOSE(CONTROL!$C$21, $C$9, 100%, $E$9)</f>
        <v>32.644500000000001</v>
      </c>
      <c r="E705" s="10">
        <f>CHOOSE(CONTROL!$C$42, 32.6756, 32.6756) * CHOOSE(CONTROL!$C$21, $C$9, 100%, $E$9)</f>
        <v>32.675600000000003</v>
      </c>
      <c r="F705" s="10">
        <f>CHOOSE(CONTROL!$C$42, 32.411, 32.411)*CHOOSE(CONTROL!$C$21, $C$9, 100%, $E$9)</f>
        <v>32.411000000000001</v>
      </c>
      <c r="G705" s="10">
        <f>CHOOSE(CONTROL!$C$42, 32.4283, 32.4283)*CHOOSE(CONTROL!$C$21, $C$9, 100%, $E$9)</f>
        <v>32.4283</v>
      </c>
      <c r="H705" s="10">
        <f>CHOOSE(CONTROL!$C$42, 32.6642, 32.6642) * CHOOSE(CONTROL!$C$21, $C$9, 100%, $E$9)</f>
        <v>32.664200000000001</v>
      </c>
      <c r="I705" s="10">
        <f>CHOOSE(CONTROL!$C$42, 32.4107, 32.4107)* CHOOSE(CONTROL!$C$21, $C$9, 100%, $E$9)</f>
        <v>32.410699999999999</v>
      </c>
      <c r="J705" s="10">
        <f>CHOOSE(CONTROL!$C$42, 32.404, 32.404)* CHOOSE(CONTROL!$C$21, $C$9, 100%, $E$9)</f>
        <v>32.404000000000003</v>
      </c>
      <c r="K705" s="54">
        <f>CHOOSE(CONTROL!$C$42, 32.4068, 32.4068) * CHOOSE(CONTROL!$C$21, $C$9, 100%, $E$9)</f>
        <v>32.406799999999997</v>
      </c>
      <c r="L705" s="10">
        <f>CHOOSE(CONTROL!$C$42, 33.2512, 33.2512) * CHOOSE(CONTROL!$C$21, $C$9, 100%, $E$9)</f>
        <v>33.251199999999997</v>
      </c>
      <c r="M705" s="10">
        <f>CHOOSE(CONTROL!$C$42, 32.0908, 32.0908) * CHOOSE(CONTROL!$C$21, $C$9, 100%, $E$9)</f>
        <v>32.090800000000002</v>
      </c>
      <c r="N705" s="10">
        <f>CHOOSE(CONTROL!$C$42, 32.1079, 32.1079) * CHOOSE(CONTROL!$C$21, $C$9, 100%, $E$9)</f>
        <v>32.107900000000001</v>
      </c>
      <c r="O705" s="10">
        <f>CHOOSE(CONTROL!$C$42, 32.3484, 32.3484) * CHOOSE(CONTROL!$C$21, $C$9, 100%, $E$9)</f>
        <v>32.348399999999998</v>
      </c>
      <c r="P705" s="10">
        <f>CHOOSE(CONTROL!$C$42, 32.0975, 32.0975) * CHOOSE(CONTROL!$C$21, $C$9, 100%, $E$9)</f>
        <v>32.097499999999997</v>
      </c>
      <c r="Q705" s="10">
        <f>CHOOSE(CONTROL!$C$42, 32.9437, 32.9437) * CHOOSE(CONTROL!$C$21, $C$9, 100%, $E$9)</f>
        <v>32.9437</v>
      </c>
      <c r="R705" s="10">
        <f>CHOOSE(CONTROL!$C$42, 33.6131, 33.6131) * CHOOSE(CONTROL!$C$21, $C$9, 100%, $E$9)</f>
        <v>33.613100000000003</v>
      </c>
      <c r="S705" s="10">
        <f>CHOOSE(CONTROL!$C$42, 31.5022, 31.5022) * CHOOSE(CONTROL!$C$21, $C$9, 100%, $E$9)</f>
        <v>31.502199999999998</v>
      </c>
      <c r="T705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705" s="58">
        <f>(1000*CHOOSE(CONTROL!$C$42, 695, 695)*CHOOSE(CONTROL!$C$42, 0.5599, 0.5599)*CHOOSE(CONTROL!$C$42, 30, 30))/1000000</f>
        <v>11.673914999999997</v>
      </c>
      <c r="V705" s="58">
        <f>(1000*CHOOSE(CONTROL!$C$42, 500, 500)*CHOOSE(CONTROL!$C$42, 0.275, 0.275)*CHOOSE(CONTROL!$C$42, 30, 30))/1000000</f>
        <v>4.125</v>
      </c>
      <c r="W705" s="58">
        <f>(1000*CHOOSE(CONTROL!$C$42, 0.1146, 0.1146)*CHOOSE(CONTROL!$C$42, 121.5, 121.5)*CHOOSE(CONTROL!$C$42, 30, 30))/1000000</f>
        <v>0.417717</v>
      </c>
      <c r="X705" s="58">
        <f>(30*0.1790888*245000/1000000)+(30*0.2374*100000/1000000)</f>
        <v>2.0285026799999999</v>
      </c>
      <c r="Y705" s="58"/>
      <c r="Z705" s="10"/>
      <c r="AA705" s="57"/>
      <c r="AB705" s="51">
        <f>(B705*194.205+C705*267.466+D705*133.845+E705*53.484+F705*40+G705*185+H705*0+I705*100+J705*300)/(194.205+267.466+133.845+53.484+0+40+185+100+300)</f>
        <v>32.461133018367349</v>
      </c>
      <c r="AC705" s="27">
        <f>(M705*'RAP TEMPLATE-GAS AVAILABILITY'!O704+N705*'RAP TEMPLATE-GAS AVAILABILITY'!P704+O705*'RAP TEMPLATE-GAS AVAILABILITY'!Q704+P705*'RAP TEMPLATE-GAS AVAILABILITY'!R704)/('RAP TEMPLATE-GAS AVAILABILITY'!O704+'RAP TEMPLATE-GAS AVAILABILITY'!P704+'RAP TEMPLATE-GAS AVAILABILITY'!Q704+'RAP TEMPLATE-GAS AVAILABILITY'!R704)</f>
        <v>32.209502158273381</v>
      </c>
    </row>
    <row r="706" spans="1:29" ht="15.75" x14ac:dyDescent="0.25">
      <c r="A706" s="13">
        <v>62397</v>
      </c>
      <c r="B706" s="10">
        <f>CHOOSE(CONTROL!$C$42, 31.7837, 31.7837) * CHOOSE(CONTROL!$C$21, $C$9, 100%, $E$9)</f>
        <v>31.7837</v>
      </c>
      <c r="C706" s="10">
        <f>CHOOSE(CONTROL!$C$42, 31.7889, 31.7889) * CHOOSE(CONTROL!$C$21, $C$9, 100%, $E$9)</f>
        <v>31.788900000000002</v>
      </c>
      <c r="D706" s="10">
        <f>CHOOSE(CONTROL!$C$42, 31.9863, 31.9863) * CHOOSE(CONTROL!$C$21, $C$9, 100%, $E$9)</f>
        <v>31.9863</v>
      </c>
      <c r="E706" s="10">
        <f>CHOOSE(CONTROL!$C$42, 32.0151, 32.0151) * CHOOSE(CONTROL!$C$21, $C$9, 100%, $E$9)</f>
        <v>32.015099999999997</v>
      </c>
      <c r="F706" s="10">
        <f>CHOOSE(CONTROL!$C$42, 31.7526, 31.7526)*CHOOSE(CONTROL!$C$21, $C$9, 100%, $E$9)</f>
        <v>31.752600000000001</v>
      </c>
      <c r="G706" s="10">
        <f>CHOOSE(CONTROL!$C$42, 31.7696, 31.7696)*CHOOSE(CONTROL!$C$21, $C$9, 100%, $E$9)</f>
        <v>31.769600000000001</v>
      </c>
      <c r="H706" s="10">
        <f>CHOOSE(CONTROL!$C$42, 32.0056, 32.0056) * CHOOSE(CONTROL!$C$21, $C$9, 100%, $E$9)</f>
        <v>32.005600000000001</v>
      </c>
      <c r="I706" s="10">
        <f>CHOOSE(CONTROL!$C$42, 31.752, 31.752)* CHOOSE(CONTROL!$C$21, $C$9, 100%, $E$9)</f>
        <v>31.751999999999999</v>
      </c>
      <c r="J706" s="10">
        <f>CHOOSE(CONTROL!$C$42, 31.7456, 31.7456)* CHOOSE(CONTROL!$C$21, $C$9, 100%, $E$9)</f>
        <v>31.7456</v>
      </c>
      <c r="K706" s="54">
        <f>CHOOSE(CONTROL!$C$42, 31.7481, 31.7481) * CHOOSE(CONTROL!$C$21, $C$9, 100%, $E$9)</f>
        <v>31.748100000000001</v>
      </c>
      <c r="L706" s="10">
        <f>CHOOSE(CONTROL!$C$42, 32.5926, 32.5926) * CHOOSE(CONTROL!$C$21, $C$9, 100%, $E$9)</f>
        <v>32.592599999999997</v>
      </c>
      <c r="M706" s="10">
        <f>CHOOSE(CONTROL!$C$42, 31.4391, 31.4391) * CHOOSE(CONTROL!$C$21, $C$9, 100%, $E$9)</f>
        <v>31.4391</v>
      </c>
      <c r="N706" s="10">
        <f>CHOOSE(CONTROL!$C$42, 31.4559, 31.4559) * CHOOSE(CONTROL!$C$21, $C$9, 100%, $E$9)</f>
        <v>31.4559</v>
      </c>
      <c r="O706" s="10">
        <f>CHOOSE(CONTROL!$C$42, 31.6964, 31.6964) * CHOOSE(CONTROL!$C$21, $C$9, 100%, $E$9)</f>
        <v>31.696400000000001</v>
      </c>
      <c r="P706" s="10">
        <f>CHOOSE(CONTROL!$C$42, 31.4455, 31.4455) * CHOOSE(CONTROL!$C$21, $C$9, 100%, $E$9)</f>
        <v>31.445499999999999</v>
      </c>
      <c r="Q706" s="10">
        <f>CHOOSE(CONTROL!$C$42, 32.2917, 32.2917) * CHOOSE(CONTROL!$C$21, $C$9, 100%, $E$9)</f>
        <v>32.291699999999999</v>
      </c>
      <c r="R706" s="10">
        <f>CHOOSE(CONTROL!$C$42, 32.9594, 32.9594) * CHOOSE(CONTROL!$C$21, $C$9, 100%, $E$9)</f>
        <v>32.959400000000002</v>
      </c>
      <c r="S706" s="10">
        <f>CHOOSE(CONTROL!$C$42, 30.8626, 30.8626) * CHOOSE(CONTROL!$C$21, $C$9, 100%, $E$9)</f>
        <v>30.8626</v>
      </c>
      <c r="T706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706" s="58">
        <f>(1000*CHOOSE(CONTROL!$C$42, 695, 695)*CHOOSE(CONTROL!$C$42, 0.5599, 0.5599)*CHOOSE(CONTROL!$C$42, 31, 31))/1000000</f>
        <v>12.063045499999998</v>
      </c>
      <c r="V706" s="58">
        <f>(1000*CHOOSE(CONTROL!$C$42, 500, 500)*CHOOSE(CONTROL!$C$42, 0.275, 0.275)*CHOOSE(CONTROL!$C$42, 31, 31))/1000000</f>
        <v>4.2625000000000002</v>
      </c>
      <c r="W706" s="58">
        <f>(1000*CHOOSE(CONTROL!$C$42, 0.1146, 0.1146)*CHOOSE(CONTROL!$C$42, 121.5, 121.5)*CHOOSE(CONTROL!$C$42, 31, 31))/1000000</f>
        <v>0.43164089999999994</v>
      </c>
      <c r="X706" s="58">
        <f>(31*0.1790888*245000/1000000)+(31*0.2374*100000/1000000)</f>
        <v>2.0961194359999999</v>
      </c>
      <c r="Y706" s="58"/>
      <c r="Z706" s="10"/>
      <c r="AA706" s="57"/>
      <c r="AB706" s="51">
        <f>(B706*131.881+C706*277.167+D706*79.08+E706*125.872+F706*40+G706*185+H706*0+I706*100+J706*300)/(131.881+277.167+79.08+125.872+0+40+185+100+300)</f>
        <v>31.806409569975788</v>
      </c>
      <c r="AC706" s="27">
        <f>(M706*'RAP TEMPLATE-GAS AVAILABILITY'!O705+N706*'RAP TEMPLATE-GAS AVAILABILITY'!P705+O706*'RAP TEMPLATE-GAS AVAILABILITY'!Q705+P706*'RAP TEMPLATE-GAS AVAILABILITY'!R705)/('RAP TEMPLATE-GAS AVAILABILITY'!O705+'RAP TEMPLATE-GAS AVAILABILITY'!P705+'RAP TEMPLATE-GAS AVAILABILITY'!Q705+'RAP TEMPLATE-GAS AVAILABILITY'!R705)</f>
        <v>31.557605755395677</v>
      </c>
    </row>
    <row r="707" spans="1:29" ht="15.75" x14ac:dyDescent="0.25">
      <c r="A707" s="13">
        <v>62427</v>
      </c>
      <c r="B707" s="10">
        <f>CHOOSE(CONTROL!$C$42, 32.6205, 32.6205) * CHOOSE(CONTROL!$C$21, $C$9, 100%, $E$9)</f>
        <v>32.6205</v>
      </c>
      <c r="C707" s="10">
        <f>CHOOSE(CONTROL!$C$42, 32.6255, 32.6255) * CHOOSE(CONTROL!$C$21, $C$9, 100%, $E$9)</f>
        <v>32.625500000000002</v>
      </c>
      <c r="D707" s="10">
        <f>CHOOSE(CONTROL!$C$42, 32.6551, 32.6551) * CHOOSE(CONTROL!$C$21, $C$9, 100%, $E$9)</f>
        <v>32.655099999999997</v>
      </c>
      <c r="E707" s="10">
        <f>CHOOSE(CONTROL!$C$42, 32.6889, 32.6889) * CHOOSE(CONTROL!$C$21, $C$9, 100%, $E$9)</f>
        <v>32.688899999999997</v>
      </c>
      <c r="F707" s="10">
        <f>CHOOSE(CONTROL!$C$42, 32.5873, 32.5873)*CHOOSE(CONTROL!$C$21, $C$9, 100%, $E$9)</f>
        <v>32.587299999999999</v>
      </c>
      <c r="G707" s="10">
        <f>CHOOSE(CONTROL!$C$42, 32.6044, 32.6044)*CHOOSE(CONTROL!$C$21, $C$9, 100%, $E$9)</f>
        <v>32.604399999999998</v>
      </c>
      <c r="H707" s="10">
        <f>CHOOSE(CONTROL!$C$42, 32.6781, 32.6781) * CHOOSE(CONTROL!$C$21, $C$9, 100%, $E$9)</f>
        <v>32.678100000000001</v>
      </c>
      <c r="I707" s="10">
        <f>CHOOSE(CONTROL!$C$42, 32.5841, 32.5841)* CHOOSE(CONTROL!$C$21, $C$9, 100%, $E$9)</f>
        <v>32.584099999999999</v>
      </c>
      <c r="J707" s="10">
        <f>CHOOSE(CONTROL!$C$42, 32.5803, 32.5803)* CHOOSE(CONTROL!$C$21, $C$9, 100%, $E$9)</f>
        <v>32.580300000000001</v>
      </c>
      <c r="K707" s="54">
        <f>CHOOSE(CONTROL!$C$42, 32.5802, 32.5802) * CHOOSE(CONTROL!$C$21, $C$9, 100%, $E$9)</f>
        <v>32.580199999999998</v>
      </c>
      <c r="L707" s="10">
        <f>CHOOSE(CONTROL!$C$42, 33.2651, 33.2651) * CHOOSE(CONTROL!$C$21, $C$9, 100%, $E$9)</f>
        <v>33.265099999999997</v>
      </c>
      <c r="M707" s="10">
        <f>CHOOSE(CONTROL!$C$42, 32.2654, 32.2654) * CHOOSE(CONTROL!$C$21, $C$9, 100%, $E$9)</f>
        <v>32.2654</v>
      </c>
      <c r="N707" s="10">
        <f>CHOOSE(CONTROL!$C$42, 32.2823, 32.2823) * CHOOSE(CONTROL!$C$21, $C$9, 100%, $E$9)</f>
        <v>32.282299999999999</v>
      </c>
      <c r="O707" s="10">
        <f>CHOOSE(CONTROL!$C$42, 32.3621, 32.3621) * CHOOSE(CONTROL!$C$21, $C$9, 100%, $E$9)</f>
        <v>32.362099999999998</v>
      </c>
      <c r="P707" s="10">
        <f>CHOOSE(CONTROL!$C$42, 32.2692, 32.2692) * CHOOSE(CONTROL!$C$21, $C$9, 100%, $E$9)</f>
        <v>32.269199999999998</v>
      </c>
      <c r="Q707" s="10">
        <f>CHOOSE(CONTROL!$C$42, 32.9574, 32.9574) * CHOOSE(CONTROL!$C$21, $C$9, 100%, $E$9)</f>
        <v>32.9574</v>
      </c>
      <c r="R707" s="10">
        <f>CHOOSE(CONTROL!$C$42, 33.6268, 33.6268) * CHOOSE(CONTROL!$C$21, $C$9, 100%, $E$9)</f>
        <v>33.626800000000003</v>
      </c>
      <c r="S707" s="10">
        <f>CHOOSE(CONTROL!$C$42, 31.6757, 31.6757) * CHOOSE(CONTROL!$C$21, $C$9, 100%, $E$9)</f>
        <v>31.675699999999999</v>
      </c>
      <c r="T707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707" s="58">
        <f>(1000*CHOOSE(CONTROL!$C$42, 695, 695)*CHOOSE(CONTROL!$C$42, 0.5599, 0.5599)*CHOOSE(CONTROL!$C$42, 30, 30))/1000000</f>
        <v>11.673914999999997</v>
      </c>
      <c r="V707" s="58">
        <f>(1000*CHOOSE(CONTROL!$C$42, 500, 500)*CHOOSE(CONTROL!$C$42, 0.275, 0.275)*CHOOSE(CONTROL!$C$42, 30, 30))/1000000</f>
        <v>4.125</v>
      </c>
      <c r="W707" s="58">
        <f>(1000*CHOOSE(CONTROL!$C$42, 0.1146, 0.1146)*CHOOSE(CONTROL!$C$42, 121.5, 121.5)*CHOOSE(CONTROL!$C$42, 30, 30))/1000000</f>
        <v>0.417717</v>
      </c>
      <c r="X707" s="58">
        <f>(30*0.1790888*100000/1000000)+(30*0.2374*100000/1000000)</f>
        <v>1.2494664</v>
      </c>
      <c r="Y707" s="58"/>
      <c r="Z707" s="10"/>
      <c r="AA707" s="57"/>
      <c r="AB707" s="51">
        <f>(B707*122.58+C707*297.941+D707*89.177+E707*40.302+F707*40+G707*160+H707*0+I707*100+J707*300)/(122.58+297.941+89.177+40.302+0+40+160+100+300)</f>
        <v>32.609828596521737</v>
      </c>
      <c r="AC707" s="27">
        <f>(M707*'RAP TEMPLATE-GAS AVAILABILITY'!O706+N707*'RAP TEMPLATE-GAS AVAILABILITY'!P706+O707*'RAP TEMPLATE-GAS AVAILABILITY'!Q706+P707*'RAP TEMPLATE-GAS AVAILABILITY'!R706)/('RAP TEMPLATE-GAS AVAILABILITY'!O706+'RAP TEMPLATE-GAS AVAILABILITY'!P706+'RAP TEMPLATE-GAS AVAILABILITY'!Q706+'RAP TEMPLATE-GAS AVAILABILITY'!R706)</f>
        <v>32.310747482014385</v>
      </c>
    </row>
    <row r="708" spans="1:29" ht="15.75" x14ac:dyDescent="0.25">
      <c r="A708" s="13">
        <v>62458</v>
      </c>
      <c r="B708" s="10">
        <f>CHOOSE(CONTROL!$C$42, 34.8444, 34.8444) * CHOOSE(CONTROL!$C$21, $C$9, 100%, $E$9)</f>
        <v>34.8444</v>
      </c>
      <c r="C708" s="10">
        <f>CHOOSE(CONTROL!$C$42, 34.8493, 34.8493) * CHOOSE(CONTROL!$C$21, $C$9, 100%, $E$9)</f>
        <v>34.849299999999999</v>
      </c>
      <c r="D708" s="10">
        <f>CHOOSE(CONTROL!$C$42, 34.8789, 34.8789) * CHOOSE(CONTROL!$C$21, $C$9, 100%, $E$9)</f>
        <v>34.878900000000002</v>
      </c>
      <c r="E708" s="10">
        <f>CHOOSE(CONTROL!$C$42, 34.9127, 34.9127) * CHOOSE(CONTROL!$C$21, $C$9, 100%, $E$9)</f>
        <v>34.912700000000001</v>
      </c>
      <c r="F708" s="10">
        <f>CHOOSE(CONTROL!$C$42, 34.8126, 34.8126)*CHOOSE(CONTROL!$C$21, $C$9, 100%, $E$9)</f>
        <v>34.812600000000003</v>
      </c>
      <c r="G708" s="10">
        <f>CHOOSE(CONTROL!$C$42, 34.8301, 34.8301)*CHOOSE(CONTROL!$C$21, $C$9, 100%, $E$9)</f>
        <v>34.830100000000002</v>
      </c>
      <c r="H708" s="10">
        <f>CHOOSE(CONTROL!$C$42, 34.9019, 34.9019) * CHOOSE(CONTROL!$C$21, $C$9, 100%, $E$9)</f>
        <v>34.901899999999998</v>
      </c>
      <c r="I708" s="10">
        <f>CHOOSE(CONTROL!$C$42, 34.808, 34.808)* CHOOSE(CONTROL!$C$21, $C$9, 100%, $E$9)</f>
        <v>34.808</v>
      </c>
      <c r="J708" s="10">
        <f>CHOOSE(CONTROL!$C$42, 34.8056, 34.8056)* CHOOSE(CONTROL!$C$21, $C$9, 100%, $E$9)</f>
        <v>34.805599999999998</v>
      </c>
      <c r="K708" s="54">
        <f>CHOOSE(CONTROL!$C$42, 34.8041, 34.8041) * CHOOSE(CONTROL!$C$21, $C$9, 100%, $E$9)</f>
        <v>34.804099999999998</v>
      </c>
      <c r="L708" s="10">
        <f>CHOOSE(CONTROL!$C$42, 35.4889, 35.4889) * CHOOSE(CONTROL!$C$21, $C$9, 100%, $E$9)</f>
        <v>35.488900000000001</v>
      </c>
      <c r="M708" s="10">
        <f>CHOOSE(CONTROL!$C$42, 34.4682, 34.4682) * CHOOSE(CONTROL!$C$21, $C$9, 100%, $E$9)</f>
        <v>34.468200000000003</v>
      </c>
      <c r="N708" s="10">
        <f>CHOOSE(CONTROL!$C$42, 34.4855, 34.4855) * CHOOSE(CONTROL!$C$21, $C$9, 100%, $E$9)</f>
        <v>34.485500000000002</v>
      </c>
      <c r="O708" s="10">
        <f>CHOOSE(CONTROL!$C$42, 34.5635, 34.5635) * CHOOSE(CONTROL!$C$21, $C$9, 100%, $E$9)</f>
        <v>34.563499999999998</v>
      </c>
      <c r="P708" s="10">
        <f>CHOOSE(CONTROL!$C$42, 34.4706, 34.4706) * CHOOSE(CONTROL!$C$21, $C$9, 100%, $E$9)</f>
        <v>34.470599999999997</v>
      </c>
      <c r="Q708" s="10">
        <f>CHOOSE(CONTROL!$C$42, 35.1588, 35.1588) * CHOOSE(CONTROL!$C$21, $C$9, 100%, $E$9)</f>
        <v>35.158799999999999</v>
      </c>
      <c r="R708" s="10">
        <f>CHOOSE(CONTROL!$C$42, 35.8337, 35.8337) * CHOOSE(CONTROL!$C$21, $C$9, 100%, $E$9)</f>
        <v>35.8337</v>
      </c>
      <c r="S708" s="10">
        <f>CHOOSE(CONTROL!$C$42, 33.8352, 33.8352) * CHOOSE(CONTROL!$C$21, $C$9, 100%, $E$9)</f>
        <v>33.8352</v>
      </c>
      <c r="T708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708" s="58">
        <f>(1000*CHOOSE(CONTROL!$C$42, 695, 695)*CHOOSE(CONTROL!$C$42, 0.5599, 0.5599)*CHOOSE(CONTROL!$C$42, 31, 31))/1000000</f>
        <v>12.063045499999998</v>
      </c>
      <c r="V708" s="58">
        <f>(1000*CHOOSE(CONTROL!$C$42, 500, 500)*CHOOSE(CONTROL!$C$42, 0.275, 0.275)*CHOOSE(CONTROL!$C$42, 31, 31))/1000000</f>
        <v>4.2625000000000002</v>
      </c>
      <c r="W708" s="58">
        <f>(1000*CHOOSE(CONTROL!$C$42, 0.1146, 0.1146)*CHOOSE(CONTROL!$C$42, 121.5, 121.5)*CHOOSE(CONTROL!$C$42, 31, 31))/1000000</f>
        <v>0.43164089999999994</v>
      </c>
      <c r="X708" s="58">
        <f>(31*0.1790888*100000/1000000)+(31*0.2374*100000/1000000)</f>
        <v>1.2911152800000001</v>
      </c>
      <c r="Y708" s="58"/>
      <c r="Z708" s="10"/>
      <c r="AA708" s="57"/>
      <c r="AB708" s="51">
        <f>(B708*122.58+C708*297.941+D708*89.177+E708*40.302+F708*40+G708*160+H708*0+I708*100+J708*300)/(122.58+297.941+89.177+40.302+0+40+160+100+300)</f>
        <v>34.834355777391302</v>
      </c>
      <c r="AC708" s="27">
        <f>(M708*'RAP TEMPLATE-GAS AVAILABILITY'!O707+N708*'RAP TEMPLATE-GAS AVAILABILITY'!P707+O708*'RAP TEMPLATE-GAS AVAILABILITY'!Q707+P708*'RAP TEMPLATE-GAS AVAILABILITY'!R707)/('RAP TEMPLATE-GAS AVAILABILITY'!O707+'RAP TEMPLATE-GAS AVAILABILITY'!P707+'RAP TEMPLATE-GAS AVAILABILITY'!Q707+'RAP TEMPLATE-GAS AVAILABILITY'!R707)</f>
        <v>34.512734532374104</v>
      </c>
    </row>
    <row r="709" spans="1:29" ht="15.75" x14ac:dyDescent="0.25">
      <c r="A709" s="13">
        <v>62489</v>
      </c>
      <c r="B709" s="10">
        <f>CHOOSE(CONTROL!$C$42, 37.6992, 37.6992) * CHOOSE(CONTROL!$C$21, $C$9, 100%, $E$9)</f>
        <v>37.699199999999998</v>
      </c>
      <c r="C709" s="10">
        <f>CHOOSE(CONTROL!$C$42, 37.7041, 37.7041) * CHOOSE(CONTROL!$C$21, $C$9, 100%, $E$9)</f>
        <v>37.704099999999997</v>
      </c>
      <c r="D709" s="10">
        <f>CHOOSE(CONTROL!$C$42, 37.7543, 37.7543) * CHOOSE(CONTROL!$C$21, $C$9, 100%, $E$9)</f>
        <v>37.754300000000001</v>
      </c>
      <c r="E709" s="10">
        <f>CHOOSE(CONTROL!$C$42, 37.7881, 37.7881) * CHOOSE(CONTROL!$C$21, $C$9, 100%, $E$9)</f>
        <v>37.7881</v>
      </c>
      <c r="F709" s="10">
        <f>CHOOSE(CONTROL!$C$42, 37.6645, 37.6645)*CHOOSE(CONTROL!$C$21, $C$9, 100%, $E$9)</f>
        <v>37.664499999999997</v>
      </c>
      <c r="G709" s="10">
        <f>CHOOSE(CONTROL!$C$42, 37.6821, 37.6821)*CHOOSE(CONTROL!$C$21, $C$9, 100%, $E$9)</f>
        <v>37.682099999999998</v>
      </c>
      <c r="H709" s="10">
        <f>CHOOSE(CONTROL!$C$42, 37.7773, 37.7773) * CHOOSE(CONTROL!$C$21, $C$9, 100%, $E$9)</f>
        <v>37.777299999999997</v>
      </c>
      <c r="I709" s="10">
        <f>CHOOSE(CONTROL!$C$42, 37.6731, 37.6731)* CHOOSE(CONTROL!$C$21, $C$9, 100%, $E$9)</f>
        <v>37.673099999999998</v>
      </c>
      <c r="J709" s="10">
        <f>CHOOSE(CONTROL!$C$42, 37.6575, 37.6575)* CHOOSE(CONTROL!$C$21, $C$9, 100%, $E$9)</f>
        <v>37.657499999999999</v>
      </c>
      <c r="K709" s="54">
        <f>CHOOSE(CONTROL!$C$42, 37.6692, 37.6692) * CHOOSE(CONTROL!$C$21, $C$9, 100%, $E$9)</f>
        <v>37.669199999999996</v>
      </c>
      <c r="L709" s="10">
        <f>CHOOSE(CONTROL!$C$42, 38.3643, 38.3643) * CHOOSE(CONTROL!$C$21, $C$9, 100%, $E$9)</f>
        <v>38.3643</v>
      </c>
      <c r="M709" s="10">
        <f>CHOOSE(CONTROL!$C$42, 37.2913, 37.2913) * CHOOSE(CONTROL!$C$21, $C$9, 100%, $E$9)</f>
        <v>37.2913</v>
      </c>
      <c r="N709" s="10">
        <f>CHOOSE(CONTROL!$C$42, 37.3087, 37.3087) * CHOOSE(CONTROL!$C$21, $C$9, 100%, $E$9)</f>
        <v>37.308700000000002</v>
      </c>
      <c r="O709" s="10">
        <f>CHOOSE(CONTROL!$C$42, 37.4099, 37.4099) * CHOOSE(CONTROL!$C$21, $C$9, 100%, $E$9)</f>
        <v>37.4099</v>
      </c>
      <c r="P709" s="10">
        <f>CHOOSE(CONTROL!$C$42, 37.3068, 37.3068) * CHOOSE(CONTROL!$C$21, $C$9, 100%, $E$9)</f>
        <v>37.306800000000003</v>
      </c>
      <c r="Q709" s="10">
        <f>CHOOSE(CONTROL!$C$42, 38.0052, 38.0052) * CHOOSE(CONTROL!$C$21, $C$9, 100%, $E$9)</f>
        <v>38.005200000000002</v>
      </c>
      <c r="R709" s="10">
        <f>CHOOSE(CONTROL!$C$42, 38.6872, 38.6872) * CHOOSE(CONTROL!$C$21, $C$9, 100%, $E$9)</f>
        <v>38.687199999999997</v>
      </c>
      <c r="S709" s="10">
        <f>CHOOSE(CONTROL!$C$42, 36.6075, 36.6075) * CHOOSE(CONTROL!$C$21, $C$9, 100%, $E$9)</f>
        <v>36.607500000000002</v>
      </c>
      <c r="T709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709" s="58">
        <f>(1000*CHOOSE(CONTROL!$C$42, 695, 695)*CHOOSE(CONTROL!$C$42, 0.5599, 0.5599)*CHOOSE(CONTROL!$C$42, 31, 31))/1000000</f>
        <v>12.063045499999998</v>
      </c>
      <c r="V709" s="58">
        <f>(1000*CHOOSE(CONTROL!$C$42, 500, 500)*CHOOSE(CONTROL!$C$42, 0.275, 0.275)*CHOOSE(CONTROL!$C$42, 31, 31))/1000000</f>
        <v>4.2625000000000002</v>
      </c>
      <c r="W709" s="58">
        <f>(1000*CHOOSE(CONTROL!$C$42, 0.1146, 0.1146)*CHOOSE(CONTROL!$C$42, 121.5, 121.5)*CHOOSE(CONTROL!$C$42, 31, 31))/1000000</f>
        <v>0.43164089999999994</v>
      </c>
      <c r="X709" s="58">
        <f>(31*0.1790888*100000/1000000)+(31*0.2374*100000/1000000)</f>
        <v>1.2911152800000001</v>
      </c>
      <c r="Y709" s="58"/>
      <c r="Z709" s="10"/>
      <c r="AA709" s="57"/>
      <c r="AB709" s="51">
        <f>(B709*122.58+C709*297.941+D709*89.177+E709*40.302+F709*40+G709*160+H709*0+I709*100+J709*300)/(122.58+297.941+89.177+40.302+0+40+160+100+300)</f>
        <v>37.691123836000003</v>
      </c>
      <c r="AC709" s="27">
        <f>(M709*'RAP TEMPLATE-GAS AVAILABILITY'!O708+N709*'RAP TEMPLATE-GAS AVAILABILITY'!P708+O709*'RAP TEMPLATE-GAS AVAILABILITY'!Q708+P709*'RAP TEMPLATE-GAS AVAILABILITY'!R708)/('RAP TEMPLATE-GAS AVAILABILITY'!O708+'RAP TEMPLATE-GAS AVAILABILITY'!P708+'RAP TEMPLATE-GAS AVAILABILITY'!Q708+'RAP TEMPLATE-GAS AVAILABILITY'!R708)</f>
        <v>37.348285611510789</v>
      </c>
    </row>
    <row r="710" spans="1:29" ht="15.75" x14ac:dyDescent="0.25">
      <c r="A710" s="13">
        <v>62517</v>
      </c>
      <c r="B710" s="10">
        <f>CHOOSE(CONTROL!$C$42, 38.3702, 38.3702) * CHOOSE(CONTROL!$C$21, $C$9, 100%, $E$9)</f>
        <v>38.370199999999997</v>
      </c>
      <c r="C710" s="10">
        <f>CHOOSE(CONTROL!$C$42, 38.3752, 38.3752) * CHOOSE(CONTROL!$C$21, $C$9, 100%, $E$9)</f>
        <v>38.3752</v>
      </c>
      <c r="D710" s="10">
        <f>CHOOSE(CONTROL!$C$42, 38.4357, 38.4357) * CHOOSE(CONTROL!$C$21, $C$9, 100%, $E$9)</f>
        <v>38.435699999999997</v>
      </c>
      <c r="E710" s="10">
        <f>CHOOSE(CONTROL!$C$42, 38.4695, 38.4695) * CHOOSE(CONTROL!$C$21, $C$9, 100%, $E$9)</f>
        <v>38.469499999999996</v>
      </c>
      <c r="F710" s="10">
        <f>CHOOSE(CONTROL!$C$42, 38.3635, 38.3635)*CHOOSE(CONTROL!$C$21, $C$9, 100%, $E$9)</f>
        <v>38.363500000000002</v>
      </c>
      <c r="G710" s="10">
        <f>CHOOSE(CONTROL!$C$42, 38.3808, 38.3808)*CHOOSE(CONTROL!$C$21, $C$9, 100%, $E$9)</f>
        <v>38.380800000000001</v>
      </c>
      <c r="H710" s="10">
        <f>CHOOSE(CONTROL!$C$42, 38.4587, 38.4587) * CHOOSE(CONTROL!$C$21, $C$9, 100%, $E$9)</f>
        <v>38.4587</v>
      </c>
      <c r="I710" s="10">
        <f>CHOOSE(CONTROL!$C$42, 38.357, 38.357)* CHOOSE(CONTROL!$C$21, $C$9, 100%, $E$9)</f>
        <v>38.356999999999999</v>
      </c>
      <c r="J710" s="10">
        <f>CHOOSE(CONTROL!$C$42, 38.3565, 38.3565)* CHOOSE(CONTROL!$C$21, $C$9, 100%, $E$9)</f>
        <v>38.356499999999997</v>
      </c>
      <c r="K710" s="54">
        <f>CHOOSE(CONTROL!$C$42, 38.3531, 38.3531) * CHOOSE(CONTROL!$C$21, $C$9, 100%, $E$9)</f>
        <v>38.353099999999998</v>
      </c>
      <c r="L710" s="10">
        <f>CHOOSE(CONTROL!$C$42, 39.0457, 39.0457) * CHOOSE(CONTROL!$C$21, $C$9, 100%, $E$9)</f>
        <v>39.045699999999997</v>
      </c>
      <c r="M710" s="10">
        <f>CHOOSE(CONTROL!$C$42, 37.9832, 37.9832) * CHOOSE(CONTROL!$C$21, $C$9, 100%, $E$9)</f>
        <v>37.983199999999997</v>
      </c>
      <c r="N710" s="10">
        <f>CHOOSE(CONTROL!$C$42, 38.0003, 38.0003) * CHOOSE(CONTROL!$C$21, $C$9, 100%, $E$9)</f>
        <v>38.000300000000003</v>
      </c>
      <c r="O710" s="10">
        <f>CHOOSE(CONTROL!$C$42, 38.0844, 38.0844) * CHOOSE(CONTROL!$C$21, $C$9, 100%, $E$9)</f>
        <v>38.084400000000002</v>
      </c>
      <c r="P710" s="10">
        <f>CHOOSE(CONTROL!$C$42, 37.9838, 37.9838) * CHOOSE(CONTROL!$C$21, $C$9, 100%, $E$9)</f>
        <v>37.983800000000002</v>
      </c>
      <c r="Q710" s="10">
        <f>CHOOSE(CONTROL!$C$42, 38.6797, 38.6797) * CHOOSE(CONTROL!$C$21, $C$9, 100%, $E$9)</f>
        <v>38.679699999999997</v>
      </c>
      <c r="R710" s="10">
        <f>CHOOSE(CONTROL!$C$42, 39.3634, 39.3634) * CHOOSE(CONTROL!$C$21, $C$9, 100%, $E$9)</f>
        <v>39.363399999999999</v>
      </c>
      <c r="S710" s="10">
        <f>CHOOSE(CONTROL!$C$42, 37.2592, 37.2592) * CHOOSE(CONTROL!$C$21, $C$9, 100%, $E$9)</f>
        <v>37.2592</v>
      </c>
      <c r="T710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710" s="58">
        <f>(1000*CHOOSE(CONTROL!$C$42, 695, 695)*CHOOSE(CONTROL!$C$42, 0.5599, 0.5599)*CHOOSE(CONTROL!$C$42, 28, 28))/1000000</f>
        <v>10.895653999999999</v>
      </c>
      <c r="V710" s="58">
        <f>(1000*CHOOSE(CONTROL!$C$42, 500, 500)*CHOOSE(CONTROL!$C$42, 0.275, 0.275)*CHOOSE(CONTROL!$C$42, 28, 28))/1000000</f>
        <v>3.85</v>
      </c>
      <c r="W710" s="58">
        <f>(1000*CHOOSE(CONTROL!$C$42, 0.1146, 0.1146)*CHOOSE(CONTROL!$C$42, 121.5, 121.5)*CHOOSE(CONTROL!$C$42, 28, 28))/1000000</f>
        <v>0.38986920000000003</v>
      </c>
      <c r="X710" s="58">
        <f>(28*0.1790888*100000/1000000)+(28*0.2374*100000/1000000)</f>
        <v>1.16616864</v>
      </c>
      <c r="Y710" s="58"/>
      <c r="Z710" s="10"/>
      <c r="AA710" s="57"/>
      <c r="AB710" s="51">
        <f>(B710*122.58+C710*297.941+D710*89.177+E710*40.302+F710*40+G710*160+H710*0+I710*100+J710*300)/(122.58+297.941+89.177+40.302+0+40+160+100+300)</f>
        <v>38.37657459747826</v>
      </c>
      <c r="AC710" s="27">
        <f>(M710*'RAP TEMPLATE-GAS AVAILABILITY'!O709+N710*'RAP TEMPLATE-GAS AVAILABILITY'!P709+O710*'RAP TEMPLATE-GAS AVAILABILITY'!Q709+P710*'RAP TEMPLATE-GAS AVAILABILITY'!R709)/('RAP TEMPLATE-GAS AVAILABILITY'!O709+'RAP TEMPLATE-GAS AVAILABILITY'!P709+'RAP TEMPLATE-GAS AVAILABILITY'!Q709+'RAP TEMPLATE-GAS AVAILABILITY'!R709)</f>
        <v>38.0301381294964</v>
      </c>
    </row>
    <row r="711" spans="1:29" ht="15.75" x14ac:dyDescent="0.25">
      <c r="A711" s="13">
        <v>62548</v>
      </c>
      <c r="B711" s="10">
        <f>CHOOSE(CONTROL!$C$42, 37.281, 37.281) * CHOOSE(CONTROL!$C$21, $C$9, 100%, $E$9)</f>
        <v>37.280999999999999</v>
      </c>
      <c r="C711" s="10">
        <f>CHOOSE(CONTROL!$C$42, 37.2859, 37.2859) * CHOOSE(CONTROL!$C$21, $C$9, 100%, $E$9)</f>
        <v>37.285899999999998</v>
      </c>
      <c r="D711" s="10">
        <f>CHOOSE(CONTROL!$C$42, 37.3464, 37.3464) * CHOOSE(CONTROL!$C$21, $C$9, 100%, $E$9)</f>
        <v>37.346400000000003</v>
      </c>
      <c r="E711" s="10">
        <f>CHOOSE(CONTROL!$C$42, 37.3802, 37.3802) * CHOOSE(CONTROL!$C$21, $C$9, 100%, $E$9)</f>
        <v>37.380200000000002</v>
      </c>
      <c r="F711" s="10">
        <f>CHOOSE(CONTROL!$C$42, 37.2687, 37.2687)*CHOOSE(CONTROL!$C$21, $C$9, 100%, $E$9)</f>
        <v>37.268700000000003</v>
      </c>
      <c r="G711" s="10">
        <f>CHOOSE(CONTROL!$C$42, 37.2859, 37.2859)*CHOOSE(CONTROL!$C$21, $C$9, 100%, $E$9)</f>
        <v>37.285899999999998</v>
      </c>
      <c r="H711" s="10">
        <f>CHOOSE(CONTROL!$C$42, 37.3694, 37.3694) * CHOOSE(CONTROL!$C$21, $C$9, 100%, $E$9)</f>
        <v>37.369399999999999</v>
      </c>
      <c r="I711" s="10">
        <f>CHOOSE(CONTROL!$C$42, 37.2548, 37.2548)* CHOOSE(CONTROL!$C$21, $C$9, 100%, $E$9)</f>
        <v>37.254800000000003</v>
      </c>
      <c r="J711" s="10">
        <f>CHOOSE(CONTROL!$C$42, 37.2617, 37.2617)* CHOOSE(CONTROL!$C$21, $C$9, 100%, $E$9)</f>
        <v>37.261699999999998</v>
      </c>
      <c r="K711" s="54">
        <f>CHOOSE(CONTROL!$C$42, 37.251, 37.251) * CHOOSE(CONTROL!$C$21, $C$9, 100%, $E$9)</f>
        <v>37.250999999999998</v>
      </c>
      <c r="L711" s="10">
        <f>CHOOSE(CONTROL!$C$42, 37.9564, 37.9564) * CHOOSE(CONTROL!$C$21, $C$9, 100%, $E$9)</f>
        <v>37.956400000000002</v>
      </c>
      <c r="M711" s="10">
        <f>CHOOSE(CONTROL!$C$42, 36.8995, 36.8995) * CHOOSE(CONTROL!$C$21, $C$9, 100%, $E$9)</f>
        <v>36.899500000000003</v>
      </c>
      <c r="N711" s="10">
        <f>CHOOSE(CONTROL!$C$42, 36.9165, 36.9165) * CHOOSE(CONTROL!$C$21, $C$9, 100%, $E$9)</f>
        <v>36.916499999999999</v>
      </c>
      <c r="O711" s="10">
        <f>CHOOSE(CONTROL!$C$42, 37.0061, 37.0061) * CHOOSE(CONTROL!$C$21, $C$9, 100%, $E$9)</f>
        <v>37.006100000000004</v>
      </c>
      <c r="P711" s="10">
        <f>CHOOSE(CONTROL!$C$42, 36.8927, 36.8927) * CHOOSE(CONTROL!$C$21, $C$9, 100%, $E$9)</f>
        <v>36.892699999999998</v>
      </c>
      <c r="Q711" s="10">
        <f>CHOOSE(CONTROL!$C$42, 37.6014, 37.6014) * CHOOSE(CONTROL!$C$21, $C$9, 100%, $E$9)</f>
        <v>37.601399999999998</v>
      </c>
      <c r="R711" s="10">
        <f>CHOOSE(CONTROL!$C$42, 38.2824, 38.2824) * CHOOSE(CONTROL!$C$21, $C$9, 100%, $E$9)</f>
        <v>38.282400000000003</v>
      </c>
      <c r="S711" s="10">
        <f>CHOOSE(CONTROL!$C$42, 36.2014, 36.2014) * CHOOSE(CONTROL!$C$21, $C$9, 100%, $E$9)</f>
        <v>36.2014</v>
      </c>
      <c r="T711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711" s="58">
        <f>(1000*CHOOSE(CONTROL!$C$42, 695, 695)*CHOOSE(CONTROL!$C$42, 0.5599, 0.5599)*CHOOSE(CONTROL!$C$42, 31, 31))/1000000</f>
        <v>12.063045499999998</v>
      </c>
      <c r="V711" s="58">
        <f>(1000*CHOOSE(CONTROL!$C$42, 500, 500)*CHOOSE(CONTROL!$C$42, 0.275, 0.275)*CHOOSE(CONTROL!$C$42, 31, 31))/1000000</f>
        <v>4.2625000000000002</v>
      </c>
      <c r="W711" s="58">
        <f>(1000*CHOOSE(CONTROL!$C$42, 0.1146, 0.1146)*CHOOSE(CONTROL!$C$42, 121.5, 121.5)*CHOOSE(CONTROL!$C$42, 31, 31))/1000000</f>
        <v>0.43164089999999994</v>
      </c>
      <c r="X711" s="58">
        <f>(31*0.1790888*100000/1000000)+(31*0.2374*100000/1000000)</f>
        <v>1.2911152800000001</v>
      </c>
      <c r="Y711" s="58"/>
      <c r="Z711" s="10"/>
      <c r="AA711" s="57"/>
      <c r="AB711" s="51">
        <f>(B711*122.58+C711*297.941+D711*89.177+E711*40.302+F711*40+G711*160+H711*0+I711*100+J711*300)/(122.58+297.941+89.177+40.302+0+40+160+100+300)</f>
        <v>37.283758300086951</v>
      </c>
      <c r="AC711" s="27">
        <f>(M711*'RAP TEMPLATE-GAS AVAILABILITY'!O710+N711*'RAP TEMPLATE-GAS AVAILABILITY'!P710+O711*'RAP TEMPLATE-GAS AVAILABILITY'!Q710+P711*'RAP TEMPLATE-GAS AVAILABILITY'!R710)/('RAP TEMPLATE-GAS AVAILABILITY'!O710+'RAP TEMPLATE-GAS AVAILABILITY'!P710+'RAP TEMPLATE-GAS AVAILABILITY'!Q710+'RAP TEMPLATE-GAS AVAILABILITY'!R710)</f>
        <v>36.947815107913669</v>
      </c>
    </row>
    <row r="712" spans="1:29" ht="15.75" x14ac:dyDescent="0.25">
      <c r="A712" s="13">
        <v>62578</v>
      </c>
      <c r="B712" s="10">
        <f>CHOOSE(CONTROL!$C$42, 37.1705, 37.1705) * CHOOSE(CONTROL!$C$21, $C$9, 100%, $E$9)</f>
        <v>37.170499999999997</v>
      </c>
      <c r="C712" s="10">
        <f>CHOOSE(CONTROL!$C$42, 37.1749, 37.1749) * CHOOSE(CONTROL!$C$21, $C$9, 100%, $E$9)</f>
        <v>37.174900000000001</v>
      </c>
      <c r="D712" s="10">
        <f>CHOOSE(CONTROL!$C$42, 37.3705, 37.3705) * CHOOSE(CONTROL!$C$21, $C$9, 100%, $E$9)</f>
        <v>37.3705</v>
      </c>
      <c r="E712" s="10">
        <f>CHOOSE(CONTROL!$C$42, 37.4022, 37.4022) * CHOOSE(CONTROL!$C$21, $C$9, 100%, $E$9)</f>
        <v>37.402200000000001</v>
      </c>
      <c r="F712" s="10">
        <f>CHOOSE(CONTROL!$C$42, 37.1383, 37.1383)*CHOOSE(CONTROL!$C$21, $C$9, 100%, $E$9)</f>
        <v>37.138300000000001</v>
      </c>
      <c r="G712" s="10">
        <f>CHOOSE(CONTROL!$C$42, 37.1551, 37.1551)*CHOOSE(CONTROL!$C$21, $C$9, 100%, $E$9)</f>
        <v>37.155099999999997</v>
      </c>
      <c r="H712" s="10">
        <f>CHOOSE(CONTROL!$C$42, 37.392, 37.392) * CHOOSE(CONTROL!$C$21, $C$9, 100%, $E$9)</f>
        <v>37.392000000000003</v>
      </c>
      <c r="I712" s="10">
        <f>CHOOSE(CONTROL!$C$42, 37.1385, 37.1385)* CHOOSE(CONTROL!$C$21, $C$9, 100%, $E$9)</f>
        <v>37.138500000000001</v>
      </c>
      <c r="J712" s="10">
        <f>CHOOSE(CONTROL!$C$42, 37.1313, 37.1313)* CHOOSE(CONTROL!$C$21, $C$9, 100%, $E$9)</f>
        <v>37.131300000000003</v>
      </c>
      <c r="K712" s="54">
        <f>CHOOSE(CONTROL!$C$42, 37.1346, 37.1346) * CHOOSE(CONTROL!$C$21, $C$9, 100%, $E$9)</f>
        <v>37.134599999999999</v>
      </c>
      <c r="L712" s="10">
        <f>CHOOSE(CONTROL!$C$42, 37.979, 37.979) * CHOOSE(CONTROL!$C$21, $C$9, 100%, $E$9)</f>
        <v>37.978999999999999</v>
      </c>
      <c r="M712" s="10">
        <f>CHOOSE(CONTROL!$C$42, 36.7704, 36.7704) * CHOOSE(CONTROL!$C$21, $C$9, 100%, $E$9)</f>
        <v>36.770400000000002</v>
      </c>
      <c r="N712" s="10">
        <f>CHOOSE(CONTROL!$C$42, 36.787, 36.787) * CHOOSE(CONTROL!$C$21, $C$9, 100%, $E$9)</f>
        <v>36.786999999999999</v>
      </c>
      <c r="O712" s="10">
        <f>CHOOSE(CONTROL!$C$42, 37.0285, 37.0285) * CHOOSE(CONTROL!$C$21, $C$9, 100%, $E$9)</f>
        <v>37.028500000000001</v>
      </c>
      <c r="P712" s="10">
        <f>CHOOSE(CONTROL!$C$42, 36.7775, 36.7775) * CHOOSE(CONTROL!$C$21, $C$9, 100%, $E$9)</f>
        <v>36.777500000000003</v>
      </c>
      <c r="Q712" s="10">
        <f>CHOOSE(CONTROL!$C$42, 37.6238, 37.6238) * CHOOSE(CONTROL!$C$21, $C$9, 100%, $E$9)</f>
        <v>37.623800000000003</v>
      </c>
      <c r="R712" s="10">
        <f>CHOOSE(CONTROL!$C$42, 38.3049, 38.3049) * CHOOSE(CONTROL!$C$21, $C$9, 100%, $E$9)</f>
        <v>38.304900000000004</v>
      </c>
      <c r="S712" s="10">
        <f>CHOOSE(CONTROL!$C$42, 36.0934, 36.0934) * CHOOSE(CONTROL!$C$21, $C$9, 100%, $E$9)</f>
        <v>36.093400000000003</v>
      </c>
      <c r="T712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712" s="58">
        <f>(1000*CHOOSE(CONTROL!$C$42, 695, 695)*CHOOSE(CONTROL!$C$42, 0.5599, 0.5599)*CHOOSE(CONTROL!$C$42, 30, 30))/1000000</f>
        <v>11.673914999999997</v>
      </c>
      <c r="V712" s="58">
        <f>(1000*CHOOSE(CONTROL!$C$42, 500, 500)*CHOOSE(CONTROL!$C$42, 0.275, 0.275)*CHOOSE(CONTROL!$C$42, 30, 30))/1000000</f>
        <v>4.125</v>
      </c>
      <c r="W712" s="58">
        <f>(1000*CHOOSE(CONTROL!$C$42, 0.1146, 0.1146)*CHOOSE(CONTROL!$C$42, 121.5, 121.5)*CHOOSE(CONTROL!$C$42, 30, 30))/1000000</f>
        <v>0.417717</v>
      </c>
      <c r="X712" s="58">
        <f>(30*0.1790888*245000/1000000)+(30*0.2374*100000/1000000)</f>
        <v>2.0285026799999999</v>
      </c>
      <c r="Y712" s="58"/>
      <c r="Z712" s="10"/>
      <c r="AA712" s="57"/>
      <c r="AB712" s="51">
        <f>(B712*141.293+C712*267.993+D712*115.016+E712*89.698+F712*40+G712*185+H712*0+I712*100+J712*300)/(141.293+267.993+115.016+89.698+0+40+185+100+300)</f>
        <v>37.19137844697336</v>
      </c>
      <c r="AC712" s="27">
        <f>(M712*'RAP TEMPLATE-GAS AVAILABILITY'!O711+N712*'RAP TEMPLATE-GAS AVAILABILITY'!P711+O712*'RAP TEMPLATE-GAS AVAILABILITY'!Q711+P712*'RAP TEMPLATE-GAS AVAILABILITY'!R711)/('RAP TEMPLATE-GAS AVAILABILITY'!O711+'RAP TEMPLATE-GAS AVAILABILITY'!P711+'RAP TEMPLATE-GAS AVAILABILITY'!Q711+'RAP TEMPLATE-GAS AVAILABILITY'!R711)</f>
        <v>36.889357553956835</v>
      </c>
    </row>
    <row r="713" spans="1:29" ht="15.75" x14ac:dyDescent="0.25">
      <c r="A713" s="13">
        <v>62609</v>
      </c>
      <c r="B713" s="10">
        <f>CHOOSE(CONTROL!$C$42, 37.4999, 37.4999) * CHOOSE(CONTROL!$C$21, $C$9, 100%, $E$9)</f>
        <v>37.499899999999997</v>
      </c>
      <c r="C713" s="10">
        <f>CHOOSE(CONTROL!$C$42, 37.5079, 37.5079) * CHOOSE(CONTROL!$C$21, $C$9, 100%, $E$9)</f>
        <v>37.507899999999999</v>
      </c>
      <c r="D713" s="10">
        <f>CHOOSE(CONTROL!$C$42, 37.7003, 37.7003) * CHOOSE(CONTROL!$C$21, $C$9, 100%, $E$9)</f>
        <v>37.700299999999999</v>
      </c>
      <c r="E713" s="10">
        <f>CHOOSE(CONTROL!$C$42, 37.7314, 37.7314) * CHOOSE(CONTROL!$C$21, $C$9, 100%, $E$9)</f>
        <v>37.731400000000001</v>
      </c>
      <c r="F713" s="10">
        <f>CHOOSE(CONTROL!$C$42, 37.4662, 37.4662)*CHOOSE(CONTROL!$C$21, $C$9, 100%, $E$9)</f>
        <v>37.466200000000001</v>
      </c>
      <c r="G713" s="10">
        <f>CHOOSE(CONTROL!$C$42, 37.4833, 37.4833)*CHOOSE(CONTROL!$C$21, $C$9, 100%, $E$9)</f>
        <v>37.4833</v>
      </c>
      <c r="H713" s="10">
        <f>CHOOSE(CONTROL!$C$42, 37.7201, 37.7201) * CHOOSE(CONTROL!$C$21, $C$9, 100%, $E$9)</f>
        <v>37.720100000000002</v>
      </c>
      <c r="I713" s="10">
        <f>CHOOSE(CONTROL!$C$42, 37.4665, 37.4665)* CHOOSE(CONTROL!$C$21, $C$9, 100%, $E$9)</f>
        <v>37.466500000000003</v>
      </c>
      <c r="J713" s="10">
        <f>CHOOSE(CONTROL!$C$42, 37.4592, 37.4592)* CHOOSE(CONTROL!$C$21, $C$9, 100%, $E$9)</f>
        <v>37.459200000000003</v>
      </c>
      <c r="K713" s="54">
        <f>CHOOSE(CONTROL!$C$42, 37.4626, 37.4626) * CHOOSE(CONTROL!$C$21, $C$9, 100%, $E$9)</f>
        <v>37.462600000000002</v>
      </c>
      <c r="L713" s="10">
        <f>CHOOSE(CONTROL!$C$42, 38.3071, 38.3071) * CHOOSE(CONTROL!$C$21, $C$9, 100%, $E$9)</f>
        <v>38.307099999999998</v>
      </c>
      <c r="M713" s="10">
        <f>CHOOSE(CONTROL!$C$42, 37.095, 37.095) * CHOOSE(CONTROL!$C$21, $C$9, 100%, $E$9)</f>
        <v>37.094999999999999</v>
      </c>
      <c r="N713" s="10">
        <f>CHOOSE(CONTROL!$C$42, 37.1119, 37.1119) * CHOOSE(CONTROL!$C$21, $C$9, 100%, $E$9)</f>
        <v>37.111899999999999</v>
      </c>
      <c r="O713" s="10">
        <f>CHOOSE(CONTROL!$C$42, 37.3532, 37.3532) * CHOOSE(CONTROL!$C$21, $C$9, 100%, $E$9)</f>
        <v>37.353200000000001</v>
      </c>
      <c r="P713" s="10">
        <f>CHOOSE(CONTROL!$C$42, 37.1023, 37.1023) * CHOOSE(CONTROL!$C$21, $C$9, 100%, $E$9)</f>
        <v>37.1023</v>
      </c>
      <c r="Q713" s="10">
        <f>CHOOSE(CONTROL!$C$42, 37.9485, 37.9485) * CHOOSE(CONTROL!$C$21, $C$9, 100%, $E$9)</f>
        <v>37.948500000000003</v>
      </c>
      <c r="R713" s="10">
        <f>CHOOSE(CONTROL!$C$42, 38.6304, 38.6304) * CHOOSE(CONTROL!$C$21, $C$9, 100%, $E$9)</f>
        <v>38.630400000000002</v>
      </c>
      <c r="S713" s="10">
        <f>CHOOSE(CONTROL!$C$42, 36.4119, 36.4119) * CHOOSE(CONTROL!$C$21, $C$9, 100%, $E$9)</f>
        <v>36.411900000000003</v>
      </c>
      <c r="T713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713" s="58">
        <f>(1000*CHOOSE(CONTROL!$C$42, 695, 695)*CHOOSE(CONTROL!$C$42, 0.5599, 0.5599)*CHOOSE(CONTROL!$C$42, 31, 31))/1000000</f>
        <v>12.063045499999998</v>
      </c>
      <c r="V713" s="58">
        <f>(1000*CHOOSE(CONTROL!$C$42, 500, 500)*CHOOSE(CONTROL!$C$42, 0.275, 0.275)*CHOOSE(CONTROL!$C$42, 31, 31))/1000000</f>
        <v>4.2625000000000002</v>
      </c>
      <c r="W713" s="58">
        <f>(1000*CHOOSE(CONTROL!$C$42, 0.1146, 0.1146)*CHOOSE(CONTROL!$C$42, 121.5, 121.5)*CHOOSE(CONTROL!$C$42, 31, 31))/1000000</f>
        <v>0.43164089999999994</v>
      </c>
      <c r="X713" s="58">
        <f>(31*0.1790888*245000/1000000)+(31*0.2374*100000/1000000)</f>
        <v>2.0961194359999999</v>
      </c>
      <c r="Y713" s="58"/>
      <c r="Z713" s="10"/>
      <c r="AA713" s="57"/>
      <c r="AB713" s="51">
        <f>(B713*194.205+C713*267.466+D713*133.845+E713*53.484+F713*40+G713*185+H713*0+I713*100+J713*300)/(194.205+267.466+133.845+53.484+0+40+185+100+300)</f>
        <v>37.516677717425438</v>
      </c>
      <c r="AC713" s="27">
        <f>(M713*'RAP TEMPLATE-GAS AVAILABILITY'!O712+N713*'RAP TEMPLATE-GAS AVAILABILITY'!P712+O713*'RAP TEMPLATE-GAS AVAILABILITY'!Q712+P713*'RAP TEMPLATE-GAS AVAILABILITY'!R712)/('RAP TEMPLATE-GAS AVAILABILITY'!O712+'RAP TEMPLATE-GAS AVAILABILITY'!P712+'RAP TEMPLATE-GAS AVAILABILITY'!Q712+'RAP TEMPLATE-GAS AVAILABILITY'!R712)</f>
        <v>37.214048920863306</v>
      </c>
    </row>
    <row r="714" spans="1:29" ht="15.75" x14ac:dyDescent="0.25">
      <c r="A714" s="13">
        <v>62639</v>
      </c>
      <c r="B714" s="10">
        <f>CHOOSE(CONTROL!$C$42, 38.5635, 38.5635) * CHOOSE(CONTROL!$C$21, $C$9, 100%, $E$9)</f>
        <v>38.563499999999998</v>
      </c>
      <c r="C714" s="10">
        <f>CHOOSE(CONTROL!$C$42, 38.5714, 38.5714) * CHOOSE(CONTROL!$C$21, $C$9, 100%, $E$9)</f>
        <v>38.571399999999997</v>
      </c>
      <c r="D714" s="10">
        <f>CHOOSE(CONTROL!$C$42, 38.7639, 38.7639) * CHOOSE(CONTROL!$C$21, $C$9, 100%, $E$9)</f>
        <v>38.7639</v>
      </c>
      <c r="E714" s="10">
        <f>CHOOSE(CONTROL!$C$42, 38.795, 38.795) * CHOOSE(CONTROL!$C$21, $C$9, 100%, $E$9)</f>
        <v>38.795000000000002</v>
      </c>
      <c r="F714" s="10">
        <f>CHOOSE(CONTROL!$C$42, 38.53, 38.53)*CHOOSE(CONTROL!$C$21, $C$9, 100%, $E$9)</f>
        <v>38.53</v>
      </c>
      <c r="G714" s="10">
        <f>CHOOSE(CONTROL!$C$42, 38.5472, 38.5472)*CHOOSE(CONTROL!$C$21, $C$9, 100%, $E$9)</f>
        <v>38.547199999999997</v>
      </c>
      <c r="H714" s="10">
        <f>CHOOSE(CONTROL!$C$42, 38.7836, 38.7836) * CHOOSE(CONTROL!$C$21, $C$9, 100%, $E$9)</f>
        <v>38.7836</v>
      </c>
      <c r="I714" s="10">
        <f>CHOOSE(CONTROL!$C$42, 38.5301, 38.5301)* CHOOSE(CONTROL!$C$21, $C$9, 100%, $E$9)</f>
        <v>38.530099999999997</v>
      </c>
      <c r="J714" s="10">
        <f>CHOOSE(CONTROL!$C$42, 38.523, 38.523)* CHOOSE(CONTROL!$C$21, $C$9, 100%, $E$9)</f>
        <v>38.523000000000003</v>
      </c>
      <c r="K714" s="54">
        <f>CHOOSE(CONTROL!$C$42, 38.5262, 38.5262) * CHOOSE(CONTROL!$C$21, $C$9, 100%, $E$9)</f>
        <v>38.526200000000003</v>
      </c>
      <c r="L714" s="10">
        <f>CHOOSE(CONTROL!$C$42, 39.3706, 39.3706) * CHOOSE(CONTROL!$C$21, $C$9, 100%, $E$9)</f>
        <v>39.370600000000003</v>
      </c>
      <c r="M714" s="10">
        <f>CHOOSE(CONTROL!$C$42, 38.1481, 38.1481) * CHOOSE(CONTROL!$C$21, $C$9, 100%, $E$9)</f>
        <v>38.148099999999999</v>
      </c>
      <c r="N714" s="10">
        <f>CHOOSE(CONTROL!$C$42, 38.1651, 38.1651) * CHOOSE(CONTROL!$C$21, $C$9, 100%, $E$9)</f>
        <v>38.165100000000002</v>
      </c>
      <c r="O714" s="10">
        <f>CHOOSE(CONTROL!$C$42, 38.4061, 38.4061) * CHOOSE(CONTROL!$C$21, $C$9, 100%, $E$9)</f>
        <v>38.406100000000002</v>
      </c>
      <c r="P714" s="10">
        <f>CHOOSE(CONTROL!$C$42, 38.1551, 38.1551) * CHOOSE(CONTROL!$C$21, $C$9, 100%, $E$9)</f>
        <v>38.155099999999997</v>
      </c>
      <c r="Q714" s="10">
        <f>CHOOSE(CONTROL!$C$42, 39.0014, 39.0014) * CHOOSE(CONTROL!$C$21, $C$9, 100%, $E$9)</f>
        <v>39.001399999999997</v>
      </c>
      <c r="R714" s="10">
        <f>CHOOSE(CONTROL!$C$42, 39.6859, 39.6859) * CHOOSE(CONTROL!$C$21, $C$9, 100%, $E$9)</f>
        <v>39.685899999999997</v>
      </c>
      <c r="S714" s="10">
        <f>CHOOSE(CONTROL!$C$42, 37.4448, 37.4448) * CHOOSE(CONTROL!$C$21, $C$9, 100%, $E$9)</f>
        <v>37.444800000000001</v>
      </c>
      <c r="T714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714" s="58">
        <f>(1000*CHOOSE(CONTROL!$C$42, 695, 695)*CHOOSE(CONTROL!$C$42, 0.5599, 0.5599)*CHOOSE(CONTROL!$C$42, 30, 30))/1000000</f>
        <v>11.673914999999997</v>
      </c>
      <c r="V714" s="58">
        <f>(1000*CHOOSE(CONTROL!$C$42, 500, 500)*CHOOSE(CONTROL!$C$42, 0.275, 0.275)*CHOOSE(CONTROL!$C$42, 30, 30))/1000000</f>
        <v>4.125</v>
      </c>
      <c r="W714" s="58">
        <f>(1000*CHOOSE(CONTROL!$C$42, 0.1146, 0.1146)*CHOOSE(CONTROL!$C$42, 121.5, 121.5)*CHOOSE(CONTROL!$C$42, 30, 30))/1000000</f>
        <v>0.417717</v>
      </c>
      <c r="X714" s="58">
        <f>(30*0.1790888*245000/1000000)+(30*0.2374*100000/1000000)</f>
        <v>2.0285026799999999</v>
      </c>
      <c r="Y714" s="58"/>
      <c r="Z714" s="10"/>
      <c r="AA714" s="57"/>
      <c r="AB714" s="51">
        <f>(B714*194.205+C714*267.466+D714*133.845+E714*53.484+F714*40+G714*185+H714*0+I714*100+J714*300)/(194.205+267.466+133.845+53.484+0+40+185+100+300)</f>
        <v>38.580353662009422</v>
      </c>
      <c r="AC714" s="27">
        <f>(M714*'RAP TEMPLATE-GAS AVAILABILITY'!O713+N714*'RAP TEMPLATE-GAS AVAILABILITY'!P713+O714*'RAP TEMPLATE-GAS AVAILABILITY'!Q713+P714*'RAP TEMPLATE-GAS AVAILABILITY'!R713)/('RAP TEMPLATE-GAS AVAILABILITY'!O713+'RAP TEMPLATE-GAS AVAILABILITY'!P713+'RAP TEMPLATE-GAS AVAILABILITY'!Q713+'RAP TEMPLATE-GAS AVAILABILITY'!R713)</f>
        <v>38.267020863309348</v>
      </c>
    </row>
    <row r="715" spans="1:29" ht="15.75" x14ac:dyDescent="0.25">
      <c r="A715" s="13">
        <v>62670</v>
      </c>
      <c r="B715" s="10">
        <f>CHOOSE(CONTROL!$C$42, 37.8238, 37.8238) * CHOOSE(CONTROL!$C$21, $C$9, 100%, $E$9)</f>
        <v>37.823799999999999</v>
      </c>
      <c r="C715" s="10">
        <f>CHOOSE(CONTROL!$C$42, 37.8317, 37.8317) * CHOOSE(CONTROL!$C$21, $C$9, 100%, $E$9)</f>
        <v>37.831699999999998</v>
      </c>
      <c r="D715" s="10">
        <f>CHOOSE(CONTROL!$C$42, 38.0241, 38.0241) * CHOOSE(CONTROL!$C$21, $C$9, 100%, $E$9)</f>
        <v>38.024099999999997</v>
      </c>
      <c r="E715" s="10">
        <f>CHOOSE(CONTROL!$C$42, 38.0553, 38.0553) * CHOOSE(CONTROL!$C$21, $C$9, 100%, $E$9)</f>
        <v>38.055300000000003</v>
      </c>
      <c r="F715" s="10">
        <f>CHOOSE(CONTROL!$C$42, 37.7907, 37.7907)*CHOOSE(CONTROL!$C$21, $C$9, 100%, $E$9)</f>
        <v>37.790700000000001</v>
      </c>
      <c r="G715" s="10">
        <f>CHOOSE(CONTROL!$C$42, 37.808, 37.808)*CHOOSE(CONTROL!$C$21, $C$9, 100%, $E$9)</f>
        <v>37.808</v>
      </c>
      <c r="H715" s="10">
        <f>CHOOSE(CONTROL!$C$42, 38.0439, 38.0439) * CHOOSE(CONTROL!$C$21, $C$9, 100%, $E$9)</f>
        <v>38.043900000000001</v>
      </c>
      <c r="I715" s="10">
        <f>CHOOSE(CONTROL!$C$42, 37.7904, 37.7904)* CHOOSE(CONTROL!$C$21, $C$9, 100%, $E$9)</f>
        <v>37.790399999999998</v>
      </c>
      <c r="J715" s="10">
        <f>CHOOSE(CONTROL!$C$42, 37.7837, 37.7837)* CHOOSE(CONTROL!$C$21, $C$9, 100%, $E$9)</f>
        <v>37.783700000000003</v>
      </c>
      <c r="K715" s="54">
        <f>CHOOSE(CONTROL!$C$42, 37.7865, 37.7865) * CHOOSE(CONTROL!$C$21, $C$9, 100%, $E$9)</f>
        <v>37.786499999999997</v>
      </c>
      <c r="L715" s="10">
        <f>CHOOSE(CONTROL!$C$42, 38.6309, 38.6309) * CHOOSE(CONTROL!$C$21, $C$9, 100%, $E$9)</f>
        <v>38.630899999999997</v>
      </c>
      <c r="M715" s="10">
        <f>CHOOSE(CONTROL!$C$42, 37.4162, 37.4162) * CHOOSE(CONTROL!$C$21, $C$9, 100%, $E$9)</f>
        <v>37.416200000000003</v>
      </c>
      <c r="N715" s="10">
        <f>CHOOSE(CONTROL!$C$42, 37.4333, 37.4333) * CHOOSE(CONTROL!$C$21, $C$9, 100%, $E$9)</f>
        <v>37.433300000000003</v>
      </c>
      <c r="O715" s="10">
        <f>CHOOSE(CONTROL!$C$42, 37.6738, 37.6738) * CHOOSE(CONTROL!$C$21, $C$9, 100%, $E$9)</f>
        <v>37.6738</v>
      </c>
      <c r="P715" s="10">
        <f>CHOOSE(CONTROL!$C$42, 37.4229, 37.4229) * CHOOSE(CONTROL!$C$21, $C$9, 100%, $E$9)</f>
        <v>37.422899999999998</v>
      </c>
      <c r="Q715" s="10">
        <f>CHOOSE(CONTROL!$C$42, 38.2691, 38.2691) * CHOOSE(CONTROL!$C$21, $C$9, 100%, $E$9)</f>
        <v>38.269100000000002</v>
      </c>
      <c r="R715" s="10">
        <f>CHOOSE(CONTROL!$C$42, 38.9518, 38.9518) * CHOOSE(CONTROL!$C$21, $C$9, 100%, $E$9)</f>
        <v>38.951799999999999</v>
      </c>
      <c r="S715" s="10">
        <f>CHOOSE(CONTROL!$C$42, 36.7264, 36.7264) * CHOOSE(CONTROL!$C$21, $C$9, 100%, $E$9)</f>
        <v>36.726399999999998</v>
      </c>
      <c r="T715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715" s="58">
        <f>(1000*CHOOSE(CONTROL!$C$42, 695, 695)*CHOOSE(CONTROL!$C$42, 0.5599, 0.5599)*CHOOSE(CONTROL!$C$42, 31, 31))/1000000</f>
        <v>12.063045499999998</v>
      </c>
      <c r="V715" s="58">
        <f>(1000*CHOOSE(CONTROL!$C$42, 500, 500)*CHOOSE(CONTROL!$C$42, 0.275, 0.275)*CHOOSE(CONTROL!$C$42, 31, 31))/1000000</f>
        <v>4.2625000000000002</v>
      </c>
      <c r="W715" s="58">
        <f>(1000*CHOOSE(CONTROL!$C$42, 0.1146, 0.1146)*CHOOSE(CONTROL!$C$42, 121.5, 121.5)*CHOOSE(CONTROL!$C$42, 31, 31))/1000000</f>
        <v>0.43164089999999994</v>
      </c>
      <c r="X715" s="58">
        <f>(31*0.1790888*245000/1000000)+(31*0.2374*100000/1000000)</f>
        <v>2.0961194359999999</v>
      </c>
      <c r="Y715" s="58"/>
      <c r="Z715" s="10"/>
      <c r="AA715" s="57"/>
      <c r="AB715" s="51">
        <f>(B715*194.205+C715*267.466+D715*133.845+E715*53.484+F715*40+G715*185+H715*0+I715*100+J715*300)/(194.205+267.466+133.845+53.484+0+40+185+100+300)</f>
        <v>37.840822512480379</v>
      </c>
      <c r="AC715" s="27">
        <f>(M715*'RAP TEMPLATE-GAS AVAILABILITY'!O714+N715*'RAP TEMPLATE-GAS AVAILABILITY'!P714+O715*'RAP TEMPLATE-GAS AVAILABILITY'!Q714+P715*'RAP TEMPLATE-GAS AVAILABILITY'!R714)/('RAP TEMPLATE-GAS AVAILABILITY'!O714+'RAP TEMPLATE-GAS AVAILABILITY'!P714+'RAP TEMPLATE-GAS AVAILABILITY'!Q714+'RAP TEMPLATE-GAS AVAILABILITY'!R714)</f>
        <v>37.534902158273383</v>
      </c>
    </row>
    <row r="716" spans="1:29" ht="15.75" x14ac:dyDescent="0.25">
      <c r="A716" s="13">
        <v>62701</v>
      </c>
      <c r="B716" s="10">
        <f>CHOOSE(CONTROL!$C$42, 35.9557, 35.9557) * CHOOSE(CONTROL!$C$21, $C$9, 100%, $E$9)</f>
        <v>35.9557</v>
      </c>
      <c r="C716" s="10">
        <f>CHOOSE(CONTROL!$C$42, 35.9637, 35.9637) * CHOOSE(CONTROL!$C$21, $C$9, 100%, $E$9)</f>
        <v>35.963700000000003</v>
      </c>
      <c r="D716" s="10">
        <f>CHOOSE(CONTROL!$C$42, 36.1561, 36.1561) * CHOOSE(CONTROL!$C$21, $C$9, 100%, $E$9)</f>
        <v>36.156100000000002</v>
      </c>
      <c r="E716" s="10">
        <f>CHOOSE(CONTROL!$C$42, 36.1872, 36.1872) * CHOOSE(CONTROL!$C$21, $C$9, 100%, $E$9)</f>
        <v>36.187199999999997</v>
      </c>
      <c r="F716" s="10">
        <f>CHOOSE(CONTROL!$C$42, 35.9228, 35.9228)*CHOOSE(CONTROL!$C$21, $C$9, 100%, $E$9)</f>
        <v>35.922800000000002</v>
      </c>
      <c r="G716" s="10">
        <f>CHOOSE(CONTROL!$C$42, 35.9401, 35.9401)*CHOOSE(CONTROL!$C$21, $C$9, 100%, $E$9)</f>
        <v>35.940100000000001</v>
      </c>
      <c r="H716" s="10">
        <f>CHOOSE(CONTROL!$C$42, 36.1759, 36.1759) * CHOOSE(CONTROL!$C$21, $C$9, 100%, $E$9)</f>
        <v>36.175899999999999</v>
      </c>
      <c r="I716" s="10">
        <f>CHOOSE(CONTROL!$C$42, 35.9223, 35.9223)* CHOOSE(CONTROL!$C$21, $C$9, 100%, $E$9)</f>
        <v>35.9223</v>
      </c>
      <c r="J716" s="10">
        <f>CHOOSE(CONTROL!$C$42, 35.9158, 35.9158)* CHOOSE(CONTROL!$C$21, $C$9, 100%, $E$9)</f>
        <v>35.915799999999997</v>
      </c>
      <c r="K716" s="54">
        <f>CHOOSE(CONTROL!$C$42, 35.9184, 35.9184) * CHOOSE(CONTROL!$C$21, $C$9, 100%, $E$9)</f>
        <v>35.918399999999998</v>
      </c>
      <c r="L716" s="10">
        <f>CHOOSE(CONTROL!$C$42, 36.7629, 36.7629) * CHOOSE(CONTROL!$C$21, $C$9, 100%, $E$9)</f>
        <v>36.762900000000002</v>
      </c>
      <c r="M716" s="10">
        <f>CHOOSE(CONTROL!$C$42, 35.5672, 35.5672) * CHOOSE(CONTROL!$C$21, $C$9, 100%, $E$9)</f>
        <v>35.5672</v>
      </c>
      <c r="N716" s="10">
        <f>CHOOSE(CONTROL!$C$42, 35.5843, 35.5843) * CHOOSE(CONTROL!$C$21, $C$9, 100%, $E$9)</f>
        <v>35.584299999999999</v>
      </c>
      <c r="O716" s="10">
        <f>CHOOSE(CONTROL!$C$42, 35.8246, 35.8246) * CHOOSE(CONTROL!$C$21, $C$9, 100%, $E$9)</f>
        <v>35.824599999999997</v>
      </c>
      <c r="P716" s="10">
        <f>CHOOSE(CONTROL!$C$42, 35.5737, 35.5737) * CHOOSE(CONTROL!$C$21, $C$9, 100%, $E$9)</f>
        <v>35.573700000000002</v>
      </c>
      <c r="Q716" s="10">
        <f>CHOOSE(CONTROL!$C$42, 36.4199, 36.4199) * CHOOSE(CONTROL!$C$21, $C$9, 100%, $E$9)</f>
        <v>36.419899999999998</v>
      </c>
      <c r="R716" s="10">
        <f>CHOOSE(CONTROL!$C$42, 37.098, 37.098) * CHOOSE(CONTROL!$C$21, $C$9, 100%, $E$9)</f>
        <v>37.097999999999999</v>
      </c>
      <c r="S716" s="10">
        <f>CHOOSE(CONTROL!$C$42, 34.9124, 34.9124) * CHOOSE(CONTROL!$C$21, $C$9, 100%, $E$9)</f>
        <v>34.912399999999998</v>
      </c>
      <c r="T716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716" s="58">
        <f>(1000*CHOOSE(CONTROL!$C$42, 695, 695)*CHOOSE(CONTROL!$C$42, 0.5599, 0.5599)*CHOOSE(CONTROL!$C$42, 31, 31))/1000000</f>
        <v>12.063045499999998</v>
      </c>
      <c r="V716" s="58">
        <f>(1000*CHOOSE(CONTROL!$C$42, 500, 500)*CHOOSE(CONTROL!$C$42, 0.275, 0.275)*CHOOSE(CONTROL!$C$42, 31, 31))/1000000</f>
        <v>4.2625000000000002</v>
      </c>
      <c r="W716" s="58">
        <f>(1000*CHOOSE(CONTROL!$C$42, 0.1146, 0.1146)*CHOOSE(CONTROL!$C$42, 121.5, 121.5)*CHOOSE(CONTROL!$C$42, 31, 31))/1000000</f>
        <v>0.43164089999999994</v>
      </c>
      <c r="X716" s="58">
        <f>(31*0.1790888*245000/1000000)+(31*0.2374*100000/1000000)</f>
        <v>2.0961194359999999</v>
      </c>
      <c r="Y716" s="58"/>
      <c r="Z716" s="10"/>
      <c r="AA716" s="57"/>
      <c r="AB716" s="51">
        <f>(B716*194.205+C716*267.466+D716*133.845+E716*53.484+F716*40+G716*185+H716*0+I716*100+J716*300)/(194.205+267.466+133.845+53.484+0+40+185+100+300)</f>
        <v>35.972836430141285</v>
      </c>
      <c r="AC716" s="27">
        <f>(M716*'RAP TEMPLATE-GAS AVAILABILITY'!O715+N716*'RAP TEMPLATE-GAS AVAILABILITY'!P715+O716*'RAP TEMPLATE-GAS AVAILABILITY'!Q715+P716*'RAP TEMPLATE-GAS AVAILABILITY'!R715)/('RAP TEMPLATE-GAS AVAILABILITY'!O715+'RAP TEMPLATE-GAS AVAILABILITY'!P715+'RAP TEMPLATE-GAS AVAILABILITY'!Q715+'RAP TEMPLATE-GAS AVAILABILITY'!R715)</f>
        <v>35.68578273381295</v>
      </c>
    </row>
    <row r="717" spans="1:29" ht="15.75" x14ac:dyDescent="0.25">
      <c r="A717" s="13">
        <v>62731</v>
      </c>
      <c r="B717" s="10">
        <f>CHOOSE(CONTROL!$C$42, 33.673, 33.673) * CHOOSE(CONTROL!$C$21, $C$9, 100%, $E$9)</f>
        <v>33.673000000000002</v>
      </c>
      <c r="C717" s="10">
        <f>CHOOSE(CONTROL!$C$42, 33.6809, 33.6809) * CHOOSE(CONTROL!$C$21, $C$9, 100%, $E$9)</f>
        <v>33.680900000000001</v>
      </c>
      <c r="D717" s="10">
        <f>CHOOSE(CONTROL!$C$42, 33.8733, 33.8733) * CHOOSE(CONTROL!$C$21, $C$9, 100%, $E$9)</f>
        <v>33.8733</v>
      </c>
      <c r="E717" s="10">
        <f>CHOOSE(CONTROL!$C$42, 33.9044, 33.9044) * CHOOSE(CONTROL!$C$21, $C$9, 100%, $E$9)</f>
        <v>33.904400000000003</v>
      </c>
      <c r="F717" s="10">
        <f>CHOOSE(CONTROL!$C$42, 33.6399, 33.6399)*CHOOSE(CONTROL!$C$21, $C$9, 100%, $E$9)</f>
        <v>33.639899999999997</v>
      </c>
      <c r="G717" s="10">
        <f>CHOOSE(CONTROL!$C$42, 33.6572, 33.6572)*CHOOSE(CONTROL!$C$21, $C$9, 100%, $E$9)</f>
        <v>33.657200000000003</v>
      </c>
      <c r="H717" s="10">
        <f>CHOOSE(CONTROL!$C$42, 33.8931, 33.8931) * CHOOSE(CONTROL!$C$21, $C$9, 100%, $E$9)</f>
        <v>33.893099999999997</v>
      </c>
      <c r="I717" s="10">
        <f>CHOOSE(CONTROL!$C$42, 33.6395, 33.6395)* CHOOSE(CONTROL!$C$21, $C$9, 100%, $E$9)</f>
        <v>33.639499999999998</v>
      </c>
      <c r="J717" s="10">
        <f>CHOOSE(CONTROL!$C$42, 33.6329, 33.6329)* CHOOSE(CONTROL!$C$21, $C$9, 100%, $E$9)</f>
        <v>33.632899999999999</v>
      </c>
      <c r="K717" s="54">
        <f>CHOOSE(CONTROL!$C$42, 33.6356, 33.6356) * CHOOSE(CONTROL!$C$21, $C$9, 100%, $E$9)</f>
        <v>33.635599999999997</v>
      </c>
      <c r="L717" s="10">
        <f>CHOOSE(CONTROL!$C$42, 34.4801, 34.4801) * CHOOSE(CONTROL!$C$21, $C$9, 100%, $E$9)</f>
        <v>34.4801</v>
      </c>
      <c r="M717" s="10">
        <f>CHOOSE(CONTROL!$C$42, 33.3073, 33.3073) * CHOOSE(CONTROL!$C$21, $C$9, 100%, $E$9)</f>
        <v>33.307299999999998</v>
      </c>
      <c r="N717" s="10">
        <f>CHOOSE(CONTROL!$C$42, 33.3244, 33.3244) * CHOOSE(CONTROL!$C$21, $C$9, 100%, $E$9)</f>
        <v>33.324399999999997</v>
      </c>
      <c r="O717" s="10">
        <f>CHOOSE(CONTROL!$C$42, 33.5649, 33.5649) * CHOOSE(CONTROL!$C$21, $C$9, 100%, $E$9)</f>
        <v>33.564900000000002</v>
      </c>
      <c r="P717" s="10">
        <f>CHOOSE(CONTROL!$C$42, 33.3139, 33.3139) * CHOOSE(CONTROL!$C$21, $C$9, 100%, $E$9)</f>
        <v>33.313899999999997</v>
      </c>
      <c r="Q717" s="10">
        <f>CHOOSE(CONTROL!$C$42, 34.1602, 34.1602) * CHOOSE(CONTROL!$C$21, $C$9, 100%, $E$9)</f>
        <v>34.160200000000003</v>
      </c>
      <c r="R717" s="10">
        <f>CHOOSE(CONTROL!$C$42, 34.8326, 34.8326) * CHOOSE(CONTROL!$C$21, $C$9, 100%, $E$9)</f>
        <v>34.832599999999999</v>
      </c>
      <c r="S717" s="10">
        <f>CHOOSE(CONTROL!$C$42, 32.6956, 32.6956) * CHOOSE(CONTROL!$C$21, $C$9, 100%, $E$9)</f>
        <v>32.695599999999999</v>
      </c>
      <c r="T717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717" s="58">
        <f>(1000*CHOOSE(CONTROL!$C$42, 695, 695)*CHOOSE(CONTROL!$C$42, 0.5599, 0.5599)*CHOOSE(CONTROL!$C$42, 30, 30))/1000000</f>
        <v>11.673914999999997</v>
      </c>
      <c r="V717" s="58">
        <f>(1000*CHOOSE(CONTROL!$C$42, 500, 500)*CHOOSE(CONTROL!$C$42, 0.275, 0.275)*CHOOSE(CONTROL!$C$42, 30, 30))/1000000</f>
        <v>4.125</v>
      </c>
      <c r="W717" s="58">
        <f>(1000*CHOOSE(CONTROL!$C$42, 0.1146, 0.1146)*CHOOSE(CONTROL!$C$42, 121.5, 121.5)*CHOOSE(CONTROL!$C$42, 30, 30))/1000000</f>
        <v>0.417717</v>
      </c>
      <c r="X717" s="58">
        <f>(30*0.1790888*245000/1000000)+(30*0.2374*100000/1000000)</f>
        <v>2.0285026799999999</v>
      </c>
      <c r="Y717" s="58"/>
      <c r="Z717" s="10"/>
      <c r="AA717" s="57"/>
      <c r="AB717" s="51">
        <f>(B717*194.205+C717*267.466+D717*133.845+E717*53.484+F717*40+G717*185+H717*0+I717*100+J717*300)/(194.205+267.466+133.845+53.484+0+40+185+100+300)</f>
        <v>33.69001046507065</v>
      </c>
      <c r="AC717" s="27">
        <f>(M717*'RAP TEMPLATE-GAS AVAILABILITY'!O716+N717*'RAP TEMPLATE-GAS AVAILABILITY'!P716+O717*'RAP TEMPLATE-GAS AVAILABILITY'!Q716+P717*'RAP TEMPLATE-GAS AVAILABILITY'!R716)/('RAP TEMPLATE-GAS AVAILABILITY'!O716+'RAP TEMPLATE-GAS AVAILABILITY'!P716+'RAP TEMPLATE-GAS AVAILABILITY'!Q716+'RAP TEMPLATE-GAS AVAILABILITY'!R716)</f>
        <v>33.425987769784172</v>
      </c>
    </row>
    <row r="718" spans="1:29" ht="15.75" x14ac:dyDescent="0.25">
      <c r="A718" s="13">
        <v>62762</v>
      </c>
      <c r="B718" s="10">
        <f>CHOOSE(CONTROL!$C$42, 32.9876, 32.9876) * CHOOSE(CONTROL!$C$21, $C$9, 100%, $E$9)</f>
        <v>32.9876</v>
      </c>
      <c r="C718" s="10">
        <f>CHOOSE(CONTROL!$C$42, 32.9928, 32.9928) * CHOOSE(CONTROL!$C$21, $C$9, 100%, $E$9)</f>
        <v>32.992800000000003</v>
      </c>
      <c r="D718" s="10">
        <f>CHOOSE(CONTROL!$C$42, 33.1902, 33.1902) * CHOOSE(CONTROL!$C$21, $C$9, 100%, $E$9)</f>
        <v>33.190199999999997</v>
      </c>
      <c r="E718" s="10">
        <f>CHOOSE(CONTROL!$C$42, 33.219, 33.219) * CHOOSE(CONTROL!$C$21, $C$9, 100%, $E$9)</f>
        <v>33.219000000000001</v>
      </c>
      <c r="F718" s="10">
        <f>CHOOSE(CONTROL!$C$42, 32.9565, 32.9565)*CHOOSE(CONTROL!$C$21, $C$9, 100%, $E$9)</f>
        <v>32.956499999999998</v>
      </c>
      <c r="G718" s="10">
        <f>CHOOSE(CONTROL!$C$42, 32.9735, 32.9735)*CHOOSE(CONTROL!$C$21, $C$9, 100%, $E$9)</f>
        <v>32.973500000000001</v>
      </c>
      <c r="H718" s="10">
        <f>CHOOSE(CONTROL!$C$42, 33.2095, 33.2095) * CHOOSE(CONTROL!$C$21, $C$9, 100%, $E$9)</f>
        <v>33.209499999999998</v>
      </c>
      <c r="I718" s="10">
        <f>CHOOSE(CONTROL!$C$42, 32.9559, 32.9559)* CHOOSE(CONTROL!$C$21, $C$9, 100%, $E$9)</f>
        <v>32.9559</v>
      </c>
      <c r="J718" s="10">
        <f>CHOOSE(CONTROL!$C$42, 32.9495, 32.9495)* CHOOSE(CONTROL!$C$21, $C$9, 100%, $E$9)</f>
        <v>32.9495</v>
      </c>
      <c r="K718" s="54">
        <f>CHOOSE(CONTROL!$C$42, 32.952, 32.952) * CHOOSE(CONTROL!$C$21, $C$9, 100%, $E$9)</f>
        <v>32.951999999999998</v>
      </c>
      <c r="L718" s="10">
        <f>CHOOSE(CONTROL!$C$42, 33.7965, 33.7965) * CHOOSE(CONTROL!$C$21, $C$9, 100%, $E$9)</f>
        <v>33.796500000000002</v>
      </c>
      <c r="M718" s="10">
        <f>CHOOSE(CONTROL!$C$42, 32.6308, 32.6308) * CHOOSE(CONTROL!$C$21, $C$9, 100%, $E$9)</f>
        <v>32.630800000000001</v>
      </c>
      <c r="N718" s="10">
        <f>CHOOSE(CONTROL!$C$42, 32.6476, 32.6476) * CHOOSE(CONTROL!$C$21, $C$9, 100%, $E$9)</f>
        <v>32.647599999999997</v>
      </c>
      <c r="O718" s="10">
        <f>CHOOSE(CONTROL!$C$42, 32.8882, 32.8882) * CHOOSE(CONTROL!$C$21, $C$9, 100%, $E$9)</f>
        <v>32.888199999999998</v>
      </c>
      <c r="P718" s="10">
        <f>CHOOSE(CONTROL!$C$42, 32.6372, 32.6372) * CHOOSE(CONTROL!$C$21, $C$9, 100%, $E$9)</f>
        <v>32.6372</v>
      </c>
      <c r="Q718" s="10">
        <f>CHOOSE(CONTROL!$C$42, 33.4835, 33.4835) * CHOOSE(CONTROL!$C$21, $C$9, 100%, $E$9)</f>
        <v>33.483499999999999</v>
      </c>
      <c r="R718" s="10">
        <f>CHOOSE(CONTROL!$C$42, 34.1542, 34.1542) * CHOOSE(CONTROL!$C$21, $C$9, 100%, $E$9)</f>
        <v>34.154200000000003</v>
      </c>
      <c r="S718" s="10">
        <f>CHOOSE(CONTROL!$C$42, 32.0317, 32.0317) * CHOOSE(CONTROL!$C$21, $C$9, 100%, $E$9)</f>
        <v>32.031700000000001</v>
      </c>
      <c r="T718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718" s="58">
        <f>(1000*CHOOSE(CONTROL!$C$42, 695, 695)*CHOOSE(CONTROL!$C$42, 0.5599, 0.5599)*CHOOSE(CONTROL!$C$42, 31, 31))/1000000</f>
        <v>12.063045499999998</v>
      </c>
      <c r="V718" s="58">
        <f>(1000*CHOOSE(CONTROL!$C$42, 500, 500)*CHOOSE(CONTROL!$C$42, 0.275, 0.275)*CHOOSE(CONTROL!$C$42, 31, 31))/1000000</f>
        <v>4.2625000000000002</v>
      </c>
      <c r="W718" s="58">
        <f>(1000*CHOOSE(CONTROL!$C$42, 0.1146, 0.1146)*CHOOSE(CONTROL!$C$42, 121.5, 121.5)*CHOOSE(CONTROL!$C$42, 31, 31))/1000000</f>
        <v>0.43164089999999994</v>
      </c>
      <c r="X718" s="58">
        <f>(31*0.1790888*245000/1000000)+(31*0.2374*100000/1000000)</f>
        <v>2.0961194359999999</v>
      </c>
      <c r="Y718" s="58"/>
      <c r="Z718" s="10"/>
      <c r="AA718" s="57"/>
      <c r="AB718" s="51">
        <f>(B718*131.881+C718*277.167+D718*79.08+E718*125.872+F718*40+G718*185+H718*0+I718*100+J718*300)/(131.881+277.167+79.08+125.872+0+40+185+100+300)</f>
        <v>33.010309569975789</v>
      </c>
      <c r="AC718" s="27">
        <f>(M718*'RAP TEMPLATE-GAS AVAILABILITY'!O717+N718*'RAP TEMPLATE-GAS AVAILABILITY'!P717+O718*'RAP TEMPLATE-GAS AVAILABILITY'!Q717+P718*'RAP TEMPLATE-GAS AVAILABILITY'!R717)/('RAP TEMPLATE-GAS AVAILABILITY'!O717+'RAP TEMPLATE-GAS AVAILABILITY'!P717+'RAP TEMPLATE-GAS AVAILABILITY'!Q717+'RAP TEMPLATE-GAS AVAILABILITY'!R717)</f>
        <v>32.749351079136687</v>
      </c>
    </row>
    <row r="719" spans="1:29" ht="15.75" x14ac:dyDescent="0.25">
      <c r="A719" s="13">
        <v>62792</v>
      </c>
      <c r="B719" s="10">
        <f>CHOOSE(CONTROL!$C$42, 33.8561, 33.8561) * CHOOSE(CONTROL!$C$21, $C$9, 100%, $E$9)</f>
        <v>33.856099999999998</v>
      </c>
      <c r="C719" s="10">
        <f>CHOOSE(CONTROL!$C$42, 33.8611, 33.8611) * CHOOSE(CONTROL!$C$21, $C$9, 100%, $E$9)</f>
        <v>33.8611</v>
      </c>
      <c r="D719" s="10">
        <f>CHOOSE(CONTROL!$C$42, 33.8907, 33.8907) * CHOOSE(CONTROL!$C$21, $C$9, 100%, $E$9)</f>
        <v>33.890700000000002</v>
      </c>
      <c r="E719" s="10">
        <f>CHOOSE(CONTROL!$C$42, 33.9245, 33.9245) * CHOOSE(CONTROL!$C$21, $C$9, 100%, $E$9)</f>
        <v>33.924500000000002</v>
      </c>
      <c r="F719" s="10">
        <f>CHOOSE(CONTROL!$C$42, 33.8229, 33.8229)*CHOOSE(CONTROL!$C$21, $C$9, 100%, $E$9)</f>
        <v>33.822899999999997</v>
      </c>
      <c r="G719" s="10">
        <f>CHOOSE(CONTROL!$C$42, 33.8401, 33.8401)*CHOOSE(CONTROL!$C$21, $C$9, 100%, $E$9)</f>
        <v>33.8401</v>
      </c>
      <c r="H719" s="10">
        <f>CHOOSE(CONTROL!$C$42, 33.9137, 33.9137) * CHOOSE(CONTROL!$C$21, $C$9, 100%, $E$9)</f>
        <v>33.913699999999999</v>
      </c>
      <c r="I719" s="10">
        <f>CHOOSE(CONTROL!$C$42, 33.8197, 33.8197)* CHOOSE(CONTROL!$C$21, $C$9, 100%, $E$9)</f>
        <v>33.819699999999997</v>
      </c>
      <c r="J719" s="10">
        <f>CHOOSE(CONTROL!$C$42, 33.8159, 33.8159)* CHOOSE(CONTROL!$C$21, $C$9, 100%, $E$9)</f>
        <v>33.815899999999999</v>
      </c>
      <c r="K719" s="54">
        <f>CHOOSE(CONTROL!$C$42, 33.8159, 33.8159) * CHOOSE(CONTROL!$C$21, $C$9, 100%, $E$9)</f>
        <v>33.815899999999999</v>
      </c>
      <c r="L719" s="10">
        <f>CHOOSE(CONTROL!$C$42, 34.5007, 34.5007) * CHOOSE(CONTROL!$C$21, $C$9, 100%, $E$9)</f>
        <v>34.500700000000002</v>
      </c>
      <c r="M719" s="10">
        <f>CHOOSE(CONTROL!$C$42, 33.4885, 33.4885) * CHOOSE(CONTROL!$C$21, $C$9, 100%, $E$9)</f>
        <v>33.488500000000002</v>
      </c>
      <c r="N719" s="10">
        <f>CHOOSE(CONTROL!$C$42, 33.5055, 33.5055) * CHOOSE(CONTROL!$C$21, $C$9, 100%, $E$9)</f>
        <v>33.505499999999998</v>
      </c>
      <c r="O719" s="10">
        <f>CHOOSE(CONTROL!$C$42, 33.5853, 33.5853) * CHOOSE(CONTROL!$C$21, $C$9, 100%, $E$9)</f>
        <v>33.585299999999997</v>
      </c>
      <c r="P719" s="10">
        <f>CHOOSE(CONTROL!$C$42, 33.4923, 33.4923) * CHOOSE(CONTROL!$C$21, $C$9, 100%, $E$9)</f>
        <v>33.4923</v>
      </c>
      <c r="Q719" s="10">
        <f>CHOOSE(CONTROL!$C$42, 34.1806, 34.1806) * CHOOSE(CONTROL!$C$21, $C$9, 100%, $E$9)</f>
        <v>34.180599999999998</v>
      </c>
      <c r="R719" s="10">
        <f>CHOOSE(CONTROL!$C$42, 34.853, 34.853) * CHOOSE(CONTROL!$C$21, $C$9, 100%, $E$9)</f>
        <v>34.853000000000002</v>
      </c>
      <c r="S719" s="10">
        <f>CHOOSE(CONTROL!$C$42, 32.8756, 32.8756) * CHOOSE(CONTROL!$C$21, $C$9, 100%, $E$9)</f>
        <v>32.875599999999999</v>
      </c>
      <c r="T719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719" s="58">
        <f>(1000*CHOOSE(CONTROL!$C$42, 695, 695)*CHOOSE(CONTROL!$C$42, 0.5599, 0.5599)*CHOOSE(CONTROL!$C$42, 30, 30))/1000000</f>
        <v>11.673914999999997</v>
      </c>
      <c r="V719" s="58">
        <f>(1000*CHOOSE(CONTROL!$C$42, 500, 500)*CHOOSE(CONTROL!$C$42, 0.275, 0.275)*CHOOSE(CONTROL!$C$42, 30, 30))/1000000</f>
        <v>4.125</v>
      </c>
      <c r="W719" s="58">
        <f>(1000*CHOOSE(CONTROL!$C$42, 0.1146, 0.1146)*CHOOSE(CONTROL!$C$42, 121.5, 121.5)*CHOOSE(CONTROL!$C$42, 30, 30))/1000000</f>
        <v>0.417717</v>
      </c>
      <c r="X719" s="58">
        <f>(30*0.1790888*100000/1000000)+(30*0.2374*100000/1000000)</f>
        <v>1.2494664</v>
      </c>
      <c r="Y719" s="58"/>
      <c r="Z719" s="10"/>
      <c r="AA719" s="57"/>
      <c r="AB719" s="51">
        <f>(B719*122.58+C719*297.941+D719*89.177+E719*40.302+F719*40+G719*160+H719*0+I719*100+J719*300)/(122.58+297.941+89.177+40.302+0+40+160+100+300)</f>
        <v>33.845442509565217</v>
      </c>
      <c r="AC719" s="27">
        <f>(M719*'RAP TEMPLATE-GAS AVAILABILITY'!O718+N719*'RAP TEMPLATE-GAS AVAILABILITY'!P718+O719*'RAP TEMPLATE-GAS AVAILABILITY'!Q718+P719*'RAP TEMPLATE-GAS AVAILABILITY'!R718)/('RAP TEMPLATE-GAS AVAILABILITY'!O718+'RAP TEMPLATE-GAS AVAILABILITY'!P718+'RAP TEMPLATE-GAS AVAILABILITY'!Q718+'RAP TEMPLATE-GAS AVAILABILITY'!R718)</f>
        <v>33.533898561151076</v>
      </c>
    </row>
    <row r="720" spans="1:29" ht="15.75" x14ac:dyDescent="0.25">
      <c r="A720" s="13">
        <v>62823</v>
      </c>
      <c r="B720" s="10">
        <f>CHOOSE(CONTROL!$C$42, 36.1642, 36.1642) * CHOOSE(CONTROL!$C$21, $C$9, 100%, $E$9)</f>
        <v>36.164200000000001</v>
      </c>
      <c r="C720" s="10">
        <f>CHOOSE(CONTROL!$C$42, 36.1692, 36.1692) * CHOOSE(CONTROL!$C$21, $C$9, 100%, $E$9)</f>
        <v>36.169199999999996</v>
      </c>
      <c r="D720" s="10">
        <f>CHOOSE(CONTROL!$C$42, 36.1988, 36.1988) * CHOOSE(CONTROL!$C$21, $C$9, 100%, $E$9)</f>
        <v>36.198799999999999</v>
      </c>
      <c r="E720" s="10">
        <f>CHOOSE(CONTROL!$C$42, 36.2326, 36.2326) * CHOOSE(CONTROL!$C$21, $C$9, 100%, $E$9)</f>
        <v>36.232599999999998</v>
      </c>
      <c r="F720" s="10">
        <f>CHOOSE(CONTROL!$C$42, 36.1325, 36.1325)*CHOOSE(CONTROL!$C$21, $C$9, 100%, $E$9)</f>
        <v>36.1325</v>
      </c>
      <c r="G720" s="10">
        <f>CHOOSE(CONTROL!$C$42, 36.1499, 36.1499)*CHOOSE(CONTROL!$C$21, $C$9, 100%, $E$9)</f>
        <v>36.149900000000002</v>
      </c>
      <c r="H720" s="10">
        <f>CHOOSE(CONTROL!$C$42, 36.2218, 36.2218) * CHOOSE(CONTROL!$C$21, $C$9, 100%, $E$9)</f>
        <v>36.221800000000002</v>
      </c>
      <c r="I720" s="10">
        <f>CHOOSE(CONTROL!$C$42, 36.1278, 36.1278)* CHOOSE(CONTROL!$C$21, $C$9, 100%, $E$9)</f>
        <v>36.127800000000001</v>
      </c>
      <c r="J720" s="10">
        <f>CHOOSE(CONTROL!$C$42, 36.1255, 36.1255)* CHOOSE(CONTROL!$C$21, $C$9, 100%, $E$9)</f>
        <v>36.125500000000002</v>
      </c>
      <c r="K720" s="54">
        <f>CHOOSE(CONTROL!$C$42, 36.1239, 36.1239) * CHOOSE(CONTROL!$C$21, $C$9, 100%, $E$9)</f>
        <v>36.123899999999999</v>
      </c>
      <c r="L720" s="10">
        <f>CHOOSE(CONTROL!$C$42, 36.8088, 36.8088) * CHOOSE(CONTROL!$C$21, $C$9, 100%, $E$9)</f>
        <v>36.808799999999998</v>
      </c>
      <c r="M720" s="10">
        <f>CHOOSE(CONTROL!$C$42, 35.7747, 35.7747) * CHOOSE(CONTROL!$C$21, $C$9, 100%, $E$9)</f>
        <v>35.774700000000003</v>
      </c>
      <c r="N720" s="10">
        <f>CHOOSE(CONTROL!$C$42, 35.792, 35.792) * CHOOSE(CONTROL!$C$21, $C$9, 100%, $E$9)</f>
        <v>35.792000000000002</v>
      </c>
      <c r="O720" s="10">
        <f>CHOOSE(CONTROL!$C$42, 35.8701, 35.8701) * CHOOSE(CONTROL!$C$21, $C$9, 100%, $E$9)</f>
        <v>35.870100000000001</v>
      </c>
      <c r="P720" s="10">
        <f>CHOOSE(CONTROL!$C$42, 35.7771, 35.7771) * CHOOSE(CONTROL!$C$21, $C$9, 100%, $E$9)</f>
        <v>35.777099999999997</v>
      </c>
      <c r="Q720" s="10">
        <f>CHOOSE(CONTROL!$C$42, 36.4654, 36.4654) * CHOOSE(CONTROL!$C$21, $C$9, 100%, $E$9)</f>
        <v>36.465400000000002</v>
      </c>
      <c r="R720" s="10">
        <f>CHOOSE(CONTROL!$C$42, 37.1435, 37.1435) * CHOOSE(CONTROL!$C$21, $C$9, 100%, $E$9)</f>
        <v>37.143500000000003</v>
      </c>
      <c r="S720" s="10">
        <f>CHOOSE(CONTROL!$C$42, 35.117, 35.117) * CHOOSE(CONTROL!$C$21, $C$9, 100%, $E$9)</f>
        <v>35.116999999999997</v>
      </c>
      <c r="T720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720" s="58">
        <f>(1000*CHOOSE(CONTROL!$C$42, 695, 695)*CHOOSE(CONTROL!$C$42, 0.5599, 0.5599)*CHOOSE(CONTROL!$C$42, 31, 31))/1000000</f>
        <v>12.063045499999998</v>
      </c>
      <c r="V720" s="58">
        <f>(1000*CHOOSE(CONTROL!$C$42, 500, 500)*CHOOSE(CONTROL!$C$42, 0.275, 0.275)*CHOOSE(CONTROL!$C$42, 31, 31))/1000000</f>
        <v>4.2625000000000002</v>
      </c>
      <c r="W720" s="58">
        <f>(1000*CHOOSE(CONTROL!$C$42, 0.1146, 0.1146)*CHOOSE(CONTROL!$C$42, 121.5, 121.5)*CHOOSE(CONTROL!$C$42, 31, 31))/1000000</f>
        <v>0.43164089999999994</v>
      </c>
      <c r="X720" s="58">
        <f>(31*0.1790888*100000/1000000)+(31*0.2374*100000/1000000)</f>
        <v>1.2911152800000001</v>
      </c>
      <c r="Y720" s="58"/>
      <c r="Z720" s="10"/>
      <c r="AA720" s="57"/>
      <c r="AB720" s="51">
        <f>(B720*122.58+C720*297.941+D720*89.177+E720*40.302+F720*40+G720*160+H720*0+I720*100+J720*300)/(122.58+297.941+89.177+40.302+0+40+160+100+300)</f>
        <v>36.154222509565216</v>
      </c>
      <c r="AC720" s="27">
        <f>(M720*'RAP TEMPLATE-GAS AVAILABILITY'!O719+N720*'RAP TEMPLATE-GAS AVAILABILITY'!P719+O720*'RAP TEMPLATE-GAS AVAILABILITY'!Q719+P720*'RAP TEMPLATE-GAS AVAILABILITY'!R719)/('RAP TEMPLATE-GAS AVAILABILITY'!O719+'RAP TEMPLATE-GAS AVAILABILITY'!P719+'RAP TEMPLATE-GAS AVAILABILITY'!Q719+'RAP TEMPLATE-GAS AVAILABILITY'!R719)</f>
        <v>35.819279856115109</v>
      </c>
    </row>
    <row r="721" spans="1:29" ht="15.75" x14ac:dyDescent="0.25">
      <c r="A721" s="13">
        <v>62854</v>
      </c>
      <c r="B721" s="10">
        <f>CHOOSE(CONTROL!$C$42, 39.1272, 39.1272) * CHOOSE(CONTROL!$C$21, $C$9, 100%, $E$9)</f>
        <v>39.127200000000002</v>
      </c>
      <c r="C721" s="10">
        <f>CHOOSE(CONTROL!$C$42, 39.1321, 39.1321) * CHOOSE(CONTROL!$C$21, $C$9, 100%, $E$9)</f>
        <v>39.132100000000001</v>
      </c>
      <c r="D721" s="10">
        <f>CHOOSE(CONTROL!$C$42, 39.1823, 39.1823) * CHOOSE(CONTROL!$C$21, $C$9, 100%, $E$9)</f>
        <v>39.182299999999998</v>
      </c>
      <c r="E721" s="10">
        <f>CHOOSE(CONTROL!$C$42, 39.2161, 39.2161) * CHOOSE(CONTROL!$C$21, $C$9, 100%, $E$9)</f>
        <v>39.216099999999997</v>
      </c>
      <c r="F721" s="10">
        <f>CHOOSE(CONTROL!$C$42, 39.0925, 39.0925)*CHOOSE(CONTROL!$C$21, $C$9, 100%, $E$9)</f>
        <v>39.092500000000001</v>
      </c>
      <c r="G721" s="10">
        <f>CHOOSE(CONTROL!$C$42, 39.1101, 39.1101)*CHOOSE(CONTROL!$C$21, $C$9, 100%, $E$9)</f>
        <v>39.110100000000003</v>
      </c>
      <c r="H721" s="10">
        <f>CHOOSE(CONTROL!$C$42, 39.2053, 39.2053) * CHOOSE(CONTROL!$C$21, $C$9, 100%, $E$9)</f>
        <v>39.205300000000001</v>
      </c>
      <c r="I721" s="10">
        <f>CHOOSE(CONTROL!$C$42, 39.1011, 39.1011)* CHOOSE(CONTROL!$C$21, $C$9, 100%, $E$9)</f>
        <v>39.101100000000002</v>
      </c>
      <c r="J721" s="10">
        <f>CHOOSE(CONTROL!$C$42, 39.0855, 39.0855)* CHOOSE(CONTROL!$C$21, $C$9, 100%, $E$9)</f>
        <v>39.085500000000003</v>
      </c>
      <c r="K721" s="54">
        <f>CHOOSE(CONTROL!$C$42, 39.0972, 39.0972) * CHOOSE(CONTROL!$C$21, $C$9, 100%, $E$9)</f>
        <v>39.097200000000001</v>
      </c>
      <c r="L721" s="10">
        <f>CHOOSE(CONTROL!$C$42, 39.7923, 39.7923) * CHOOSE(CONTROL!$C$21, $C$9, 100%, $E$9)</f>
        <v>39.792299999999997</v>
      </c>
      <c r="M721" s="10">
        <f>CHOOSE(CONTROL!$C$42, 38.7049, 38.7049) * CHOOSE(CONTROL!$C$21, $C$9, 100%, $E$9)</f>
        <v>38.704900000000002</v>
      </c>
      <c r="N721" s="10">
        <f>CHOOSE(CONTROL!$C$42, 38.7223, 38.7223) * CHOOSE(CONTROL!$C$21, $C$9, 100%, $E$9)</f>
        <v>38.722299999999997</v>
      </c>
      <c r="O721" s="10">
        <f>CHOOSE(CONTROL!$C$42, 38.8235, 38.8235) * CHOOSE(CONTROL!$C$21, $C$9, 100%, $E$9)</f>
        <v>38.823500000000003</v>
      </c>
      <c r="P721" s="10">
        <f>CHOOSE(CONTROL!$C$42, 38.7203, 38.7203) * CHOOSE(CONTROL!$C$21, $C$9, 100%, $E$9)</f>
        <v>38.720300000000002</v>
      </c>
      <c r="Q721" s="10">
        <f>CHOOSE(CONTROL!$C$42, 39.4188, 39.4188) * CHOOSE(CONTROL!$C$21, $C$9, 100%, $E$9)</f>
        <v>39.418799999999997</v>
      </c>
      <c r="R721" s="10">
        <f>CHOOSE(CONTROL!$C$42, 40.1043, 40.1043) * CHOOSE(CONTROL!$C$21, $C$9, 100%, $E$9)</f>
        <v>40.104300000000002</v>
      </c>
      <c r="S721" s="10">
        <f>CHOOSE(CONTROL!$C$42, 37.9943, 37.9943) * CHOOSE(CONTROL!$C$21, $C$9, 100%, $E$9)</f>
        <v>37.994300000000003</v>
      </c>
      <c r="T721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721" s="58">
        <f>(1000*CHOOSE(CONTROL!$C$42, 695, 695)*CHOOSE(CONTROL!$C$42, 0.5599, 0.5599)*CHOOSE(CONTROL!$C$42, 31, 31))/1000000</f>
        <v>12.063045499999998</v>
      </c>
      <c r="V721" s="58">
        <f>(1000*CHOOSE(CONTROL!$C$42, 500, 500)*CHOOSE(CONTROL!$C$42, 0.275, 0.275)*CHOOSE(CONTROL!$C$42, 31, 31))/1000000</f>
        <v>4.2625000000000002</v>
      </c>
      <c r="W721" s="58">
        <f>(1000*CHOOSE(CONTROL!$C$42, 0.1146, 0.1146)*CHOOSE(CONTROL!$C$42, 121.5, 121.5)*CHOOSE(CONTROL!$C$42, 31, 31))/1000000</f>
        <v>0.43164089999999994</v>
      </c>
      <c r="X721" s="58">
        <f>(31*0.1790888*100000/1000000)+(31*0.2374*100000/1000000)</f>
        <v>1.2911152800000001</v>
      </c>
      <c r="Y721" s="58"/>
      <c r="Z721" s="10"/>
      <c r="AA721" s="57"/>
      <c r="AB721" s="51">
        <f>(B721*122.58+C721*297.941+D721*89.177+E721*40.302+F721*40+G721*160+H721*0+I721*100+J721*300)/(122.58+297.941+89.177+40.302+0+40+160+100+300)</f>
        <v>39.119123836</v>
      </c>
      <c r="AC721" s="27">
        <f>(M721*'RAP TEMPLATE-GAS AVAILABILITY'!O720+N721*'RAP TEMPLATE-GAS AVAILABILITY'!P720+O721*'RAP TEMPLATE-GAS AVAILABILITY'!Q720+P721*'RAP TEMPLATE-GAS AVAILABILITY'!R720)/('RAP TEMPLATE-GAS AVAILABILITY'!O720+'RAP TEMPLATE-GAS AVAILABILITY'!P720+'RAP TEMPLATE-GAS AVAILABILITY'!Q720+'RAP TEMPLATE-GAS AVAILABILITY'!R720)</f>
        <v>38.761871223021586</v>
      </c>
    </row>
    <row r="722" spans="1:29" ht="15.75" x14ac:dyDescent="0.25">
      <c r="A722" s="13">
        <v>62883</v>
      </c>
      <c r="B722" s="10">
        <f>CHOOSE(CONTROL!$C$42, 39.8237, 39.8237) * CHOOSE(CONTROL!$C$21, $C$9, 100%, $E$9)</f>
        <v>39.823700000000002</v>
      </c>
      <c r="C722" s="10">
        <f>CHOOSE(CONTROL!$C$42, 39.8286, 39.8286) * CHOOSE(CONTROL!$C$21, $C$9, 100%, $E$9)</f>
        <v>39.828600000000002</v>
      </c>
      <c r="D722" s="10">
        <f>CHOOSE(CONTROL!$C$42, 39.8891, 39.8891) * CHOOSE(CONTROL!$C$21, $C$9, 100%, $E$9)</f>
        <v>39.889099999999999</v>
      </c>
      <c r="E722" s="10">
        <f>CHOOSE(CONTROL!$C$42, 39.9229, 39.9229) * CHOOSE(CONTROL!$C$21, $C$9, 100%, $E$9)</f>
        <v>39.922899999999998</v>
      </c>
      <c r="F722" s="10">
        <f>CHOOSE(CONTROL!$C$42, 39.8169, 39.8169)*CHOOSE(CONTROL!$C$21, $C$9, 100%, $E$9)</f>
        <v>39.816899999999997</v>
      </c>
      <c r="G722" s="10">
        <f>CHOOSE(CONTROL!$C$42, 39.8342, 39.8342)*CHOOSE(CONTROL!$C$21, $C$9, 100%, $E$9)</f>
        <v>39.834200000000003</v>
      </c>
      <c r="H722" s="10">
        <f>CHOOSE(CONTROL!$C$42, 39.9121, 39.9121) * CHOOSE(CONTROL!$C$21, $C$9, 100%, $E$9)</f>
        <v>39.912100000000002</v>
      </c>
      <c r="I722" s="10">
        <f>CHOOSE(CONTROL!$C$42, 39.8104, 39.8104)* CHOOSE(CONTROL!$C$21, $C$9, 100%, $E$9)</f>
        <v>39.810400000000001</v>
      </c>
      <c r="J722" s="10">
        <f>CHOOSE(CONTROL!$C$42, 39.8099, 39.8099)* CHOOSE(CONTROL!$C$21, $C$9, 100%, $E$9)</f>
        <v>39.809899999999999</v>
      </c>
      <c r="K722" s="54">
        <f>CHOOSE(CONTROL!$C$42, 39.8065, 39.8065) * CHOOSE(CONTROL!$C$21, $C$9, 100%, $E$9)</f>
        <v>39.8065</v>
      </c>
      <c r="L722" s="10">
        <f>CHOOSE(CONTROL!$C$42, 40.4991, 40.4991) * CHOOSE(CONTROL!$C$21, $C$9, 100%, $E$9)</f>
        <v>40.499099999999999</v>
      </c>
      <c r="M722" s="10">
        <f>CHOOSE(CONTROL!$C$42, 39.422, 39.422) * CHOOSE(CONTROL!$C$21, $C$9, 100%, $E$9)</f>
        <v>39.421999999999997</v>
      </c>
      <c r="N722" s="10">
        <f>CHOOSE(CONTROL!$C$42, 39.4391, 39.4391) * CHOOSE(CONTROL!$C$21, $C$9, 100%, $E$9)</f>
        <v>39.439100000000003</v>
      </c>
      <c r="O722" s="10">
        <f>CHOOSE(CONTROL!$C$42, 39.5231, 39.5231) * CHOOSE(CONTROL!$C$21, $C$9, 100%, $E$9)</f>
        <v>39.523099999999999</v>
      </c>
      <c r="P722" s="10">
        <f>CHOOSE(CONTROL!$C$42, 39.4225, 39.4225) * CHOOSE(CONTROL!$C$21, $C$9, 100%, $E$9)</f>
        <v>39.422499999999999</v>
      </c>
      <c r="Q722" s="10">
        <f>CHOOSE(CONTROL!$C$42, 40.1184, 40.1184) * CHOOSE(CONTROL!$C$21, $C$9, 100%, $E$9)</f>
        <v>40.118400000000001</v>
      </c>
      <c r="R722" s="10">
        <f>CHOOSE(CONTROL!$C$42, 40.8057, 40.8057) * CHOOSE(CONTROL!$C$21, $C$9, 100%, $E$9)</f>
        <v>40.805700000000002</v>
      </c>
      <c r="S722" s="10">
        <f>CHOOSE(CONTROL!$C$42, 38.6706, 38.6706) * CHOOSE(CONTROL!$C$21, $C$9, 100%, $E$9)</f>
        <v>38.6706</v>
      </c>
      <c r="T722" s="5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722" s="58">
        <f>(1000*CHOOSE(CONTROL!$C$42, 695, 695)*CHOOSE(CONTROL!$C$42, 0.5599, 0.5599)*CHOOSE(CONTROL!$C$42, 29, 29))/1000000</f>
        <v>11.284784499999999</v>
      </c>
      <c r="V722" s="58">
        <f>(1000*CHOOSE(CONTROL!$C$42, 500, 500)*CHOOSE(CONTROL!$C$42, 0.275, 0.275)*CHOOSE(CONTROL!$C$42, 29, 29))/1000000</f>
        <v>3.9874999999999998</v>
      </c>
      <c r="W722" s="58">
        <f>(1000*CHOOSE(CONTROL!$C$42, 0.1146, 0.1146)*CHOOSE(CONTROL!$C$42, 121.5, 121.5)*CHOOSE(CONTROL!$C$42, 29, 29))/1000000</f>
        <v>0.40379309999999996</v>
      </c>
      <c r="X722" s="58">
        <f>(29*0.1790888*100000/1000000)+(29*0.2374*100000/1000000)</f>
        <v>1.2078175199999999</v>
      </c>
      <c r="Y722" s="58"/>
      <c r="Z722" s="10"/>
      <c r="AA722" s="57"/>
      <c r="AB722" s="51">
        <f>(B722*122.58+C722*297.941+D722*89.177+E722*40.302+F722*40+G722*160+H722*0+I722*100+J722*300)/(122.58+297.941+89.177+40.302+0+40+160+100+300)</f>
        <v>39.829985256608694</v>
      </c>
      <c r="AC722" s="27">
        <f>(M722*'RAP TEMPLATE-GAS AVAILABILITY'!O721+N722*'RAP TEMPLATE-GAS AVAILABILITY'!P721+O722*'RAP TEMPLATE-GAS AVAILABILITY'!Q721+P722*'RAP TEMPLATE-GAS AVAILABILITY'!R721)/('RAP TEMPLATE-GAS AVAILABILITY'!O721+'RAP TEMPLATE-GAS AVAILABILITY'!P721+'RAP TEMPLATE-GAS AVAILABILITY'!Q721+'RAP TEMPLATE-GAS AVAILABILITY'!R721)</f>
        <v>39.468878417266183</v>
      </c>
    </row>
    <row r="723" spans="1:29" ht="15.75" x14ac:dyDescent="0.25">
      <c r="A723" s="13">
        <v>62914</v>
      </c>
      <c r="B723" s="10">
        <f>CHOOSE(CONTROL!$C$42, 38.6931, 38.6931) * CHOOSE(CONTROL!$C$21, $C$9, 100%, $E$9)</f>
        <v>38.693100000000001</v>
      </c>
      <c r="C723" s="10">
        <f>CHOOSE(CONTROL!$C$42, 38.6981, 38.6981) * CHOOSE(CONTROL!$C$21, $C$9, 100%, $E$9)</f>
        <v>38.698099999999997</v>
      </c>
      <c r="D723" s="10">
        <f>CHOOSE(CONTROL!$C$42, 38.7586, 38.7586) * CHOOSE(CONTROL!$C$21, $C$9, 100%, $E$9)</f>
        <v>38.758600000000001</v>
      </c>
      <c r="E723" s="10">
        <f>CHOOSE(CONTROL!$C$42, 38.7923, 38.7923) * CHOOSE(CONTROL!$C$21, $C$9, 100%, $E$9)</f>
        <v>38.792299999999997</v>
      </c>
      <c r="F723" s="10">
        <f>CHOOSE(CONTROL!$C$42, 38.6808, 38.6808)*CHOOSE(CONTROL!$C$21, $C$9, 100%, $E$9)</f>
        <v>38.680799999999998</v>
      </c>
      <c r="G723" s="10">
        <f>CHOOSE(CONTROL!$C$42, 38.698, 38.698)*CHOOSE(CONTROL!$C$21, $C$9, 100%, $E$9)</f>
        <v>38.698</v>
      </c>
      <c r="H723" s="10">
        <f>CHOOSE(CONTROL!$C$42, 38.7815, 38.7815) * CHOOSE(CONTROL!$C$21, $C$9, 100%, $E$9)</f>
        <v>38.781500000000001</v>
      </c>
      <c r="I723" s="10">
        <f>CHOOSE(CONTROL!$C$42, 38.667, 38.667)* CHOOSE(CONTROL!$C$21, $C$9, 100%, $E$9)</f>
        <v>38.667000000000002</v>
      </c>
      <c r="J723" s="10">
        <f>CHOOSE(CONTROL!$C$42, 38.6738, 38.6738)* CHOOSE(CONTROL!$C$21, $C$9, 100%, $E$9)</f>
        <v>38.6738</v>
      </c>
      <c r="K723" s="54">
        <f>CHOOSE(CONTROL!$C$42, 38.6631, 38.6631) * CHOOSE(CONTROL!$C$21, $C$9, 100%, $E$9)</f>
        <v>38.6631</v>
      </c>
      <c r="L723" s="10">
        <f>CHOOSE(CONTROL!$C$42, 39.3685, 39.3685) * CHOOSE(CONTROL!$C$21, $C$9, 100%, $E$9)</f>
        <v>39.368499999999997</v>
      </c>
      <c r="M723" s="10">
        <f>CHOOSE(CONTROL!$C$42, 38.2974, 38.2974) * CHOOSE(CONTROL!$C$21, $C$9, 100%, $E$9)</f>
        <v>38.297400000000003</v>
      </c>
      <c r="N723" s="10">
        <f>CHOOSE(CONTROL!$C$42, 38.3144, 38.3144) * CHOOSE(CONTROL!$C$21, $C$9, 100%, $E$9)</f>
        <v>38.314399999999999</v>
      </c>
      <c r="O723" s="10">
        <f>CHOOSE(CONTROL!$C$42, 38.404, 38.404) * CHOOSE(CONTROL!$C$21, $C$9, 100%, $E$9)</f>
        <v>38.404000000000003</v>
      </c>
      <c r="P723" s="10">
        <f>CHOOSE(CONTROL!$C$42, 38.2907, 38.2907) * CHOOSE(CONTROL!$C$21, $C$9, 100%, $E$9)</f>
        <v>38.290700000000001</v>
      </c>
      <c r="Q723" s="10">
        <f>CHOOSE(CONTROL!$C$42, 38.9993, 38.9993) * CHOOSE(CONTROL!$C$21, $C$9, 100%, $E$9)</f>
        <v>38.999299999999998</v>
      </c>
      <c r="R723" s="10">
        <f>CHOOSE(CONTROL!$C$42, 39.6838, 39.6838) * CHOOSE(CONTROL!$C$21, $C$9, 100%, $E$9)</f>
        <v>39.683799999999998</v>
      </c>
      <c r="S723" s="10">
        <f>CHOOSE(CONTROL!$C$42, 37.5727, 37.5727) * CHOOSE(CONTROL!$C$21, $C$9, 100%, $E$9)</f>
        <v>37.572699999999998</v>
      </c>
      <c r="T723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723" s="58">
        <f>(1000*CHOOSE(CONTROL!$C$42, 695, 695)*CHOOSE(CONTROL!$C$42, 0.5599, 0.5599)*CHOOSE(CONTROL!$C$42, 31, 31))/1000000</f>
        <v>12.063045499999998</v>
      </c>
      <c r="V723" s="58">
        <f>(1000*CHOOSE(CONTROL!$C$42, 500, 500)*CHOOSE(CONTROL!$C$42, 0.275, 0.275)*CHOOSE(CONTROL!$C$42, 31, 31))/1000000</f>
        <v>4.2625000000000002</v>
      </c>
      <c r="W723" s="58">
        <f>(1000*CHOOSE(CONTROL!$C$42, 0.1146, 0.1146)*CHOOSE(CONTROL!$C$42, 121.5, 121.5)*CHOOSE(CONTROL!$C$42, 31, 31))/1000000</f>
        <v>0.43164089999999994</v>
      </c>
      <c r="X723" s="58">
        <f>(31*0.1790888*100000/1000000)+(31*0.2374*100000/1000000)</f>
        <v>1.2911152800000001</v>
      </c>
      <c r="Y723" s="58"/>
      <c r="Z723" s="10"/>
      <c r="AA723" s="57"/>
      <c r="AB723" s="51">
        <f>(B723*122.58+C723*297.941+D723*89.177+E723*40.302+F723*40+G723*160+H723*0+I723*100+J723*300)/(122.58+297.941+89.177+40.302+0+40+160+100+300)</f>
        <v>38.695900658173912</v>
      </c>
      <c r="AC723" s="27">
        <f>(M723*'RAP TEMPLATE-GAS AVAILABILITY'!O722+N723*'RAP TEMPLATE-GAS AVAILABILITY'!P722+O723*'RAP TEMPLATE-GAS AVAILABILITY'!Q722+P723*'RAP TEMPLATE-GAS AVAILABILITY'!R722)/('RAP TEMPLATE-GAS AVAILABILITY'!O722+'RAP TEMPLATE-GAS AVAILABILITY'!P722+'RAP TEMPLATE-GAS AVAILABILITY'!Q722+'RAP TEMPLATE-GAS AVAILABILITY'!R722)</f>
        <v>38.345729496402875</v>
      </c>
    </row>
    <row r="724" spans="1:29" ht="15.75" x14ac:dyDescent="0.25">
      <c r="A724" s="13">
        <v>62944</v>
      </c>
      <c r="B724" s="10">
        <f>CHOOSE(CONTROL!$C$42, 38.5784, 38.5784) * CHOOSE(CONTROL!$C$21, $C$9, 100%, $E$9)</f>
        <v>38.578400000000002</v>
      </c>
      <c r="C724" s="10">
        <f>CHOOSE(CONTROL!$C$42, 38.5828, 38.5828) * CHOOSE(CONTROL!$C$21, $C$9, 100%, $E$9)</f>
        <v>38.582799999999999</v>
      </c>
      <c r="D724" s="10">
        <f>CHOOSE(CONTROL!$C$42, 38.7784, 38.7784) * CHOOSE(CONTROL!$C$21, $C$9, 100%, $E$9)</f>
        <v>38.778399999999998</v>
      </c>
      <c r="E724" s="10">
        <f>CHOOSE(CONTROL!$C$42, 38.8102, 38.8102) * CHOOSE(CONTROL!$C$21, $C$9, 100%, $E$9)</f>
        <v>38.810200000000002</v>
      </c>
      <c r="F724" s="10">
        <f>CHOOSE(CONTROL!$C$42, 38.5462, 38.5462)*CHOOSE(CONTROL!$C$21, $C$9, 100%, $E$9)</f>
        <v>38.546199999999999</v>
      </c>
      <c r="G724" s="10">
        <f>CHOOSE(CONTROL!$C$42, 38.563, 38.563)*CHOOSE(CONTROL!$C$21, $C$9, 100%, $E$9)</f>
        <v>38.563000000000002</v>
      </c>
      <c r="H724" s="10">
        <f>CHOOSE(CONTROL!$C$42, 38.8, 38.8) * CHOOSE(CONTROL!$C$21, $C$9, 100%, $E$9)</f>
        <v>38.799999999999997</v>
      </c>
      <c r="I724" s="10">
        <f>CHOOSE(CONTROL!$C$42, 38.5464, 38.5464)* CHOOSE(CONTROL!$C$21, $C$9, 100%, $E$9)</f>
        <v>38.546399999999998</v>
      </c>
      <c r="J724" s="10">
        <f>CHOOSE(CONTROL!$C$42, 38.5392, 38.5392)* CHOOSE(CONTROL!$C$21, $C$9, 100%, $E$9)</f>
        <v>38.539200000000001</v>
      </c>
      <c r="K724" s="54">
        <f>CHOOSE(CONTROL!$C$42, 38.5425, 38.5425) * CHOOSE(CONTROL!$C$21, $C$9, 100%, $E$9)</f>
        <v>38.542499999999997</v>
      </c>
      <c r="L724" s="10">
        <f>CHOOSE(CONTROL!$C$42, 39.387, 39.387) * CHOOSE(CONTROL!$C$21, $C$9, 100%, $E$9)</f>
        <v>39.387</v>
      </c>
      <c r="M724" s="10">
        <f>CHOOSE(CONTROL!$C$42, 38.1641, 38.1641) * CHOOSE(CONTROL!$C$21, $C$9, 100%, $E$9)</f>
        <v>38.164099999999998</v>
      </c>
      <c r="N724" s="10">
        <f>CHOOSE(CONTROL!$C$42, 38.1808, 38.1808) * CHOOSE(CONTROL!$C$21, $C$9, 100%, $E$9)</f>
        <v>38.180799999999998</v>
      </c>
      <c r="O724" s="10">
        <f>CHOOSE(CONTROL!$C$42, 38.4222, 38.4222) * CHOOSE(CONTROL!$C$21, $C$9, 100%, $E$9)</f>
        <v>38.422199999999997</v>
      </c>
      <c r="P724" s="10">
        <f>CHOOSE(CONTROL!$C$42, 38.1713, 38.1713) * CHOOSE(CONTROL!$C$21, $C$9, 100%, $E$9)</f>
        <v>38.171300000000002</v>
      </c>
      <c r="Q724" s="10">
        <f>CHOOSE(CONTROL!$C$42, 39.0175, 39.0175) * CHOOSE(CONTROL!$C$21, $C$9, 100%, $E$9)</f>
        <v>39.017499999999998</v>
      </c>
      <c r="R724" s="10">
        <f>CHOOSE(CONTROL!$C$42, 39.7021, 39.7021) * CHOOSE(CONTROL!$C$21, $C$9, 100%, $E$9)</f>
        <v>39.702100000000002</v>
      </c>
      <c r="S724" s="10">
        <f>CHOOSE(CONTROL!$C$42, 37.4606, 37.4606) * CHOOSE(CONTROL!$C$21, $C$9, 100%, $E$9)</f>
        <v>37.460599999999999</v>
      </c>
      <c r="T724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724" s="58">
        <f>(1000*CHOOSE(CONTROL!$C$42, 695, 695)*CHOOSE(CONTROL!$C$42, 0.5599, 0.5599)*CHOOSE(CONTROL!$C$42, 30, 30))/1000000</f>
        <v>11.673914999999997</v>
      </c>
      <c r="V724" s="58">
        <f>(1000*CHOOSE(CONTROL!$C$42, 500, 500)*CHOOSE(CONTROL!$C$42, 0.275, 0.275)*CHOOSE(CONTROL!$C$42, 30, 30))/1000000</f>
        <v>4.125</v>
      </c>
      <c r="W724" s="58">
        <f>(1000*CHOOSE(CONTROL!$C$42, 0.1146, 0.1146)*CHOOSE(CONTROL!$C$42, 121.5, 121.5)*CHOOSE(CONTROL!$C$42, 30, 30))/1000000</f>
        <v>0.417717</v>
      </c>
      <c r="X724" s="58">
        <f>(30*0.1790888*245000/1000000)+(30*0.2374*100000/1000000)</f>
        <v>2.0285026799999999</v>
      </c>
      <c r="Y724" s="58"/>
      <c r="Z724" s="10"/>
      <c r="AA724" s="57"/>
      <c r="AB724" s="51">
        <f>(B724*141.293+C724*267.993+D724*115.016+E724*89.698+F724*40+G724*185+H724*0+I724*100+J724*300)/(141.293+267.993+115.016+89.698+0+40+185+100+300)</f>
        <v>38.599285686521391</v>
      </c>
      <c r="AC724" s="27">
        <f>(M724*'RAP TEMPLATE-GAS AVAILABILITY'!O723+N724*'RAP TEMPLATE-GAS AVAILABILITY'!P723+O724*'RAP TEMPLATE-GAS AVAILABILITY'!Q723+P724*'RAP TEMPLATE-GAS AVAILABILITY'!R723)/('RAP TEMPLATE-GAS AVAILABILITY'!O723+'RAP TEMPLATE-GAS AVAILABILITY'!P723+'RAP TEMPLATE-GAS AVAILABILITY'!Q723+'RAP TEMPLATE-GAS AVAILABILITY'!R723)</f>
        <v>38.283077697841726</v>
      </c>
    </row>
    <row r="725" spans="1:29" ht="15.75" x14ac:dyDescent="0.25">
      <c r="A725" s="13">
        <v>62975</v>
      </c>
      <c r="B725" s="10">
        <f>CHOOSE(CONTROL!$C$42, 38.9203, 38.9203) * CHOOSE(CONTROL!$C$21, $C$9, 100%, $E$9)</f>
        <v>38.920299999999997</v>
      </c>
      <c r="C725" s="10">
        <f>CHOOSE(CONTROL!$C$42, 38.9282, 38.9282) * CHOOSE(CONTROL!$C$21, $C$9, 100%, $E$9)</f>
        <v>38.928199999999997</v>
      </c>
      <c r="D725" s="10">
        <f>CHOOSE(CONTROL!$C$42, 39.1206, 39.1206) * CHOOSE(CONTROL!$C$21, $C$9, 100%, $E$9)</f>
        <v>39.120600000000003</v>
      </c>
      <c r="E725" s="10">
        <f>CHOOSE(CONTROL!$C$42, 39.1518, 39.1518) * CHOOSE(CONTROL!$C$21, $C$9, 100%, $E$9)</f>
        <v>39.151800000000001</v>
      </c>
      <c r="F725" s="10">
        <f>CHOOSE(CONTROL!$C$42, 38.8865, 38.8865)*CHOOSE(CONTROL!$C$21, $C$9, 100%, $E$9)</f>
        <v>38.886499999999998</v>
      </c>
      <c r="G725" s="10">
        <f>CHOOSE(CONTROL!$C$42, 38.9037, 38.9037)*CHOOSE(CONTROL!$C$21, $C$9, 100%, $E$9)</f>
        <v>38.903700000000001</v>
      </c>
      <c r="H725" s="10">
        <f>CHOOSE(CONTROL!$C$42, 39.1404, 39.1404) * CHOOSE(CONTROL!$C$21, $C$9, 100%, $E$9)</f>
        <v>39.1404</v>
      </c>
      <c r="I725" s="10">
        <f>CHOOSE(CONTROL!$C$42, 38.8869, 38.8869)* CHOOSE(CONTROL!$C$21, $C$9, 100%, $E$9)</f>
        <v>38.886899999999997</v>
      </c>
      <c r="J725" s="10">
        <f>CHOOSE(CONTROL!$C$42, 38.8795, 38.8795)* CHOOSE(CONTROL!$C$21, $C$9, 100%, $E$9)</f>
        <v>38.8795</v>
      </c>
      <c r="K725" s="54">
        <f>CHOOSE(CONTROL!$C$42, 38.883, 38.883) * CHOOSE(CONTROL!$C$21, $C$9, 100%, $E$9)</f>
        <v>38.883000000000003</v>
      </c>
      <c r="L725" s="10">
        <f>CHOOSE(CONTROL!$C$42, 39.7274, 39.7274) * CHOOSE(CONTROL!$C$21, $C$9, 100%, $E$9)</f>
        <v>39.727400000000003</v>
      </c>
      <c r="M725" s="10">
        <f>CHOOSE(CONTROL!$C$42, 38.501, 38.501) * CHOOSE(CONTROL!$C$21, $C$9, 100%, $E$9)</f>
        <v>38.500999999999998</v>
      </c>
      <c r="N725" s="10">
        <f>CHOOSE(CONTROL!$C$42, 38.518, 38.518) * CHOOSE(CONTROL!$C$21, $C$9, 100%, $E$9)</f>
        <v>38.518000000000001</v>
      </c>
      <c r="O725" s="10">
        <f>CHOOSE(CONTROL!$C$42, 38.7593, 38.7593) * CHOOSE(CONTROL!$C$21, $C$9, 100%, $E$9)</f>
        <v>38.759300000000003</v>
      </c>
      <c r="P725" s="10">
        <f>CHOOSE(CONTROL!$C$42, 38.5083, 38.5083) * CHOOSE(CONTROL!$C$21, $C$9, 100%, $E$9)</f>
        <v>38.508299999999998</v>
      </c>
      <c r="Q725" s="10">
        <f>CHOOSE(CONTROL!$C$42, 39.3546, 39.3546) * CHOOSE(CONTROL!$C$21, $C$9, 100%, $E$9)</f>
        <v>39.354599999999998</v>
      </c>
      <c r="R725" s="10">
        <f>CHOOSE(CONTROL!$C$42, 40.0399, 40.0399) * CHOOSE(CONTROL!$C$21, $C$9, 100%, $E$9)</f>
        <v>40.039900000000003</v>
      </c>
      <c r="S725" s="10">
        <f>CHOOSE(CONTROL!$C$42, 37.7913, 37.7913) * CHOOSE(CONTROL!$C$21, $C$9, 100%, $E$9)</f>
        <v>37.7913</v>
      </c>
      <c r="T725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725" s="58">
        <f>(1000*CHOOSE(CONTROL!$C$42, 695, 695)*CHOOSE(CONTROL!$C$42, 0.5599, 0.5599)*CHOOSE(CONTROL!$C$42, 31, 31))/1000000</f>
        <v>12.063045499999998</v>
      </c>
      <c r="V725" s="58">
        <f>(1000*CHOOSE(CONTROL!$C$42, 500, 500)*CHOOSE(CONTROL!$C$42, 0.275, 0.275)*CHOOSE(CONTROL!$C$42, 31, 31))/1000000</f>
        <v>4.2625000000000002</v>
      </c>
      <c r="W725" s="58">
        <f>(1000*CHOOSE(CONTROL!$C$42, 0.1146, 0.1146)*CHOOSE(CONTROL!$C$42, 121.5, 121.5)*CHOOSE(CONTROL!$C$42, 31, 31))/1000000</f>
        <v>0.43164089999999994</v>
      </c>
      <c r="X725" s="58">
        <f>(31*0.1790888*245000/1000000)+(31*0.2374*100000/1000000)</f>
        <v>2.0961194359999999</v>
      </c>
      <c r="Y725" s="58"/>
      <c r="Z725" s="10"/>
      <c r="AA725" s="57"/>
      <c r="AB725" s="51">
        <f>(B725*194.205+C725*267.466+D725*133.845+E725*53.484+F725*40+G725*185+H725*0+I725*100+J725*300)/(194.205+267.466+133.845+53.484+0+40+185+100+300)</f>
        <v>38.937019529748824</v>
      </c>
      <c r="AC725" s="27">
        <f>(M725*'RAP TEMPLATE-GAS AVAILABILITY'!O724+N725*'RAP TEMPLATE-GAS AVAILABILITY'!P724+O725*'RAP TEMPLATE-GAS AVAILABILITY'!Q724+P725*'RAP TEMPLATE-GAS AVAILABILITY'!R724)/('RAP TEMPLATE-GAS AVAILABILITY'!O724+'RAP TEMPLATE-GAS AVAILABILITY'!P724+'RAP TEMPLATE-GAS AVAILABILITY'!Q724+'RAP TEMPLATE-GAS AVAILABILITY'!R724)</f>
        <v>38.620100000000001</v>
      </c>
    </row>
    <row r="726" spans="1:29" ht="15.75" x14ac:dyDescent="0.25">
      <c r="A726" s="13">
        <v>63005</v>
      </c>
      <c r="B726" s="10">
        <f>CHOOSE(CONTROL!$C$42, 40.0242, 40.0242) * CHOOSE(CONTROL!$C$21, $C$9, 100%, $E$9)</f>
        <v>40.0242</v>
      </c>
      <c r="C726" s="10">
        <f>CHOOSE(CONTROL!$C$42, 40.0321, 40.0321) * CHOOSE(CONTROL!$C$21, $C$9, 100%, $E$9)</f>
        <v>40.0321</v>
      </c>
      <c r="D726" s="10">
        <f>CHOOSE(CONTROL!$C$42, 40.2245, 40.2245) * CHOOSE(CONTROL!$C$21, $C$9, 100%, $E$9)</f>
        <v>40.224499999999999</v>
      </c>
      <c r="E726" s="10">
        <f>CHOOSE(CONTROL!$C$42, 40.2557, 40.2557) * CHOOSE(CONTROL!$C$21, $C$9, 100%, $E$9)</f>
        <v>40.255699999999997</v>
      </c>
      <c r="F726" s="10">
        <f>CHOOSE(CONTROL!$C$42, 39.9907, 39.9907)*CHOOSE(CONTROL!$C$21, $C$9, 100%, $E$9)</f>
        <v>39.990699999999997</v>
      </c>
      <c r="G726" s="10">
        <f>CHOOSE(CONTROL!$C$42, 40.0078, 40.0078)*CHOOSE(CONTROL!$C$21, $C$9, 100%, $E$9)</f>
        <v>40.007800000000003</v>
      </c>
      <c r="H726" s="10">
        <f>CHOOSE(CONTROL!$C$42, 40.2443, 40.2443) * CHOOSE(CONTROL!$C$21, $C$9, 100%, $E$9)</f>
        <v>40.244300000000003</v>
      </c>
      <c r="I726" s="10">
        <f>CHOOSE(CONTROL!$C$42, 39.9907, 39.9907)* CHOOSE(CONTROL!$C$21, $C$9, 100%, $E$9)</f>
        <v>39.990699999999997</v>
      </c>
      <c r="J726" s="10">
        <f>CHOOSE(CONTROL!$C$42, 39.9837, 39.9837)* CHOOSE(CONTROL!$C$21, $C$9, 100%, $E$9)</f>
        <v>39.983699999999999</v>
      </c>
      <c r="K726" s="54">
        <f>CHOOSE(CONTROL!$C$42, 39.9869, 39.9869) * CHOOSE(CONTROL!$C$21, $C$9, 100%, $E$9)</f>
        <v>39.986899999999999</v>
      </c>
      <c r="L726" s="10">
        <f>CHOOSE(CONTROL!$C$42, 40.8313, 40.8313) * CHOOSE(CONTROL!$C$21, $C$9, 100%, $E$9)</f>
        <v>40.831299999999999</v>
      </c>
      <c r="M726" s="10">
        <f>CHOOSE(CONTROL!$C$42, 39.594, 39.594) * CHOOSE(CONTROL!$C$21, $C$9, 100%, $E$9)</f>
        <v>39.594000000000001</v>
      </c>
      <c r="N726" s="10">
        <f>CHOOSE(CONTROL!$C$42, 39.611, 39.611) * CHOOSE(CONTROL!$C$21, $C$9, 100%, $E$9)</f>
        <v>39.610999999999997</v>
      </c>
      <c r="O726" s="10">
        <f>CHOOSE(CONTROL!$C$42, 39.852, 39.852) * CHOOSE(CONTROL!$C$21, $C$9, 100%, $E$9)</f>
        <v>39.851999999999997</v>
      </c>
      <c r="P726" s="10">
        <f>CHOOSE(CONTROL!$C$42, 39.601, 39.601) * CHOOSE(CONTROL!$C$21, $C$9, 100%, $E$9)</f>
        <v>39.600999999999999</v>
      </c>
      <c r="Q726" s="10">
        <f>CHOOSE(CONTROL!$C$42, 40.4473, 40.4473) * CHOOSE(CONTROL!$C$21, $C$9, 100%, $E$9)</f>
        <v>40.447299999999998</v>
      </c>
      <c r="R726" s="10">
        <f>CHOOSE(CONTROL!$C$42, 41.1354, 41.1354) * CHOOSE(CONTROL!$C$21, $C$9, 100%, $E$9)</f>
        <v>41.135399999999997</v>
      </c>
      <c r="S726" s="10">
        <f>CHOOSE(CONTROL!$C$42, 38.8632, 38.8632) * CHOOSE(CONTROL!$C$21, $C$9, 100%, $E$9)</f>
        <v>38.863199999999999</v>
      </c>
      <c r="T726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726" s="58">
        <f>(1000*CHOOSE(CONTROL!$C$42, 695, 695)*CHOOSE(CONTROL!$C$42, 0.5599, 0.5599)*CHOOSE(CONTROL!$C$42, 30, 30))/1000000</f>
        <v>11.673914999999997</v>
      </c>
      <c r="V726" s="58">
        <f>(1000*CHOOSE(CONTROL!$C$42, 500, 500)*CHOOSE(CONTROL!$C$42, 0.275, 0.275)*CHOOSE(CONTROL!$C$42, 30, 30))/1000000</f>
        <v>4.125</v>
      </c>
      <c r="W726" s="58">
        <f>(1000*CHOOSE(CONTROL!$C$42, 0.1146, 0.1146)*CHOOSE(CONTROL!$C$42, 121.5, 121.5)*CHOOSE(CONTROL!$C$42, 30, 30))/1000000</f>
        <v>0.417717</v>
      </c>
      <c r="X726" s="58">
        <f>(30*0.1790888*245000/1000000)+(30*0.2374*100000/1000000)</f>
        <v>2.0285026799999999</v>
      </c>
      <c r="Y726" s="58"/>
      <c r="Z726" s="10"/>
      <c r="AA726" s="57"/>
      <c r="AB726" s="51">
        <f>(B726*194.205+C726*267.466+D726*133.845+E726*53.484+F726*40+G726*185+H726*0+I726*100+J726*300)/(194.205+267.466+133.845+53.484+0+40+185+100+300)</f>
        <v>40.041020785635794</v>
      </c>
      <c r="AC726" s="27">
        <f>(M726*'RAP TEMPLATE-GAS AVAILABILITY'!O725+N726*'RAP TEMPLATE-GAS AVAILABILITY'!P725+O726*'RAP TEMPLATE-GAS AVAILABILITY'!Q725+P726*'RAP TEMPLATE-GAS AVAILABILITY'!R725)/('RAP TEMPLATE-GAS AVAILABILITY'!O725+'RAP TEMPLATE-GAS AVAILABILITY'!P725+'RAP TEMPLATE-GAS AVAILABILITY'!Q725+'RAP TEMPLATE-GAS AVAILABILITY'!R725)</f>
        <v>39.71292086330935</v>
      </c>
    </row>
    <row r="727" spans="1:29" ht="15.75" x14ac:dyDescent="0.25">
      <c r="A727" s="13">
        <v>63036</v>
      </c>
      <c r="B727" s="10">
        <f>CHOOSE(CONTROL!$C$42, 39.2564, 39.2564) * CHOOSE(CONTROL!$C$21, $C$9, 100%, $E$9)</f>
        <v>39.256399999999999</v>
      </c>
      <c r="C727" s="10">
        <f>CHOOSE(CONTROL!$C$42, 39.2643, 39.2643) * CHOOSE(CONTROL!$C$21, $C$9, 100%, $E$9)</f>
        <v>39.264299999999999</v>
      </c>
      <c r="D727" s="10">
        <f>CHOOSE(CONTROL!$C$42, 39.4568, 39.4568) * CHOOSE(CONTROL!$C$21, $C$9, 100%, $E$9)</f>
        <v>39.456800000000001</v>
      </c>
      <c r="E727" s="10">
        <f>CHOOSE(CONTROL!$C$42, 39.4879, 39.4879) * CHOOSE(CONTROL!$C$21, $C$9, 100%, $E$9)</f>
        <v>39.487900000000003</v>
      </c>
      <c r="F727" s="10">
        <f>CHOOSE(CONTROL!$C$42, 39.2233, 39.2233)*CHOOSE(CONTROL!$C$21, $C$9, 100%, $E$9)</f>
        <v>39.223300000000002</v>
      </c>
      <c r="G727" s="10">
        <f>CHOOSE(CONTROL!$C$42, 39.2406, 39.2406)*CHOOSE(CONTROL!$C$21, $C$9, 100%, $E$9)</f>
        <v>39.240600000000001</v>
      </c>
      <c r="H727" s="10">
        <f>CHOOSE(CONTROL!$C$42, 39.4765, 39.4765) * CHOOSE(CONTROL!$C$21, $C$9, 100%, $E$9)</f>
        <v>39.476500000000001</v>
      </c>
      <c r="I727" s="10">
        <f>CHOOSE(CONTROL!$C$42, 39.223, 39.223)* CHOOSE(CONTROL!$C$21, $C$9, 100%, $E$9)</f>
        <v>39.222999999999999</v>
      </c>
      <c r="J727" s="10">
        <f>CHOOSE(CONTROL!$C$42, 39.2163, 39.2163)* CHOOSE(CONTROL!$C$21, $C$9, 100%, $E$9)</f>
        <v>39.216299999999997</v>
      </c>
      <c r="K727" s="54">
        <f>CHOOSE(CONTROL!$C$42, 39.2191, 39.2191) * CHOOSE(CONTROL!$C$21, $C$9, 100%, $E$9)</f>
        <v>39.219099999999997</v>
      </c>
      <c r="L727" s="10">
        <f>CHOOSE(CONTROL!$C$42, 40.0635, 40.0635) * CHOOSE(CONTROL!$C$21, $C$9, 100%, $E$9)</f>
        <v>40.063499999999998</v>
      </c>
      <c r="M727" s="10">
        <f>CHOOSE(CONTROL!$C$42, 38.8344, 38.8344) * CHOOSE(CONTROL!$C$21, $C$9, 100%, $E$9)</f>
        <v>38.834400000000002</v>
      </c>
      <c r="N727" s="10">
        <f>CHOOSE(CONTROL!$C$42, 38.8515, 38.8515) * CHOOSE(CONTROL!$C$21, $C$9, 100%, $E$9)</f>
        <v>38.851500000000001</v>
      </c>
      <c r="O727" s="10">
        <f>CHOOSE(CONTROL!$C$42, 39.092, 39.092) * CHOOSE(CONTROL!$C$21, $C$9, 100%, $E$9)</f>
        <v>39.091999999999999</v>
      </c>
      <c r="P727" s="10">
        <f>CHOOSE(CONTROL!$C$42, 38.841, 38.841) * CHOOSE(CONTROL!$C$21, $C$9, 100%, $E$9)</f>
        <v>38.841000000000001</v>
      </c>
      <c r="Q727" s="10">
        <f>CHOOSE(CONTROL!$C$42, 39.6873, 39.6873) * CHOOSE(CONTROL!$C$21, $C$9, 100%, $E$9)</f>
        <v>39.6873</v>
      </c>
      <c r="R727" s="10">
        <f>CHOOSE(CONTROL!$C$42, 40.3735, 40.3735) * CHOOSE(CONTROL!$C$21, $C$9, 100%, $E$9)</f>
        <v>40.3735</v>
      </c>
      <c r="S727" s="10">
        <f>CHOOSE(CONTROL!$C$42, 38.1177, 38.1177) * CHOOSE(CONTROL!$C$21, $C$9, 100%, $E$9)</f>
        <v>38.117699999999999</v>
      </c>
      <c r="T727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727" s="58">
        <f>(1000*CHOOSE(CONTROL!$C$42, 695, 695)*CHOOSE(CONTROL!$C$42, 0.5599, 0.5599)*CHOOSE(CONTROL!$C$42, 31, 31))/1000000</f>
        <v>12.063045499999998</v>
      </c>
      <c r="V727" s="58">
        <f>(1000*CHOOSE(CONTROL!$C$42, 500, 500)*CHOOSE(CONTROL!$C$42, 0.275, 0.275)*CHOOSE(CONTROL!$C$42, 31, 31))/1000000</f>
        <v>4.2625000000000002</v>
      </c>
      <c r="W727" s="58">
        <f>(1000*CHOOSE(CONTROL!$C$42, 0.1146, 0.1146)*CHOOSE(CONTROL!$C$42, 121.5, 121.5)*CHOOSE(CONTROL!$C$42, 31, 31))/1000000</f>
        <v>0.43164089999999994</v>
      </c>
      <c r="X727" s="58">
        <f>(31*0.1790888*245000/1000000)+(31*0.2374*100000/1000000)</f>
        <v>2.0961194359999999</v>
      </c>
      <c r="Y727" s="58"/>
      <c r="Z727" s="10"/>
      <c r="AA727" s="57"/>
      <c r="AB727" s="51">
        <f>(B727*194.205+C727*267.466+D727*133.845+E727*53.484+F727*40+G727*185+H727*0+I727*100+J727*300)/(194.205+267.466+133.845+53.484+0+40+185+100+300)</f>
        <v>39.273433018367349</v>
      </c>
      <c r="AC727" s="27">
        <f>(M727*'RAP TEMPLATE-GAS AVAILABILITY'!O726+N727*'RAP TEMPLATE-GAS AVAILABILITY'!P726+O727*'RAP TEMPLATE-GAS AVAILABILITY'!Q726+P727*'RAP TEMPLATE-GAS AVAILABILITY'!R726)/('RAP TEMPLATE-GAS AVAILABILITY'!O726+'RAP TEMPLATE-GAS AVAILABILITY'!P726+'RAP TEMPLATE-GAS AVAILABILITY'!Q726+'RAP TEMPLATE-GAS AVAILABILITY'!R726)</f>
        <v>38.953087769784176</v>
      </c>
    </row>
    <row r="728" spans="1:29" ht="15.75" x14ac:dyDescent="0.25">
      <c r="A728" s="13">
        <v>63067</v>
      </c>
      <c r="B728" s="10">
        <f>CHOOSE(CONTROL!$C$42, 37.3176, 37.3176) * CHOOSE(CONTROL!$C$21, $C$9, 100%, $E$9)</f>
        <v>37.317599999999999</v>
      </c>
      <c r="C728" s="10">
        <f>CHOOSE(CONTROL!$C$42, 37.3255, 37.3255) * CHOOSE(CONTROL!$C$21, $C$9, 100%, $E$9)</f>
        <v>37.325499999999998</v>
      </c>
      <c r="D728" s="10">
        <f>CHOOSE(CONTROL!$C$42, 37.518, 37.518) * CHOOSE(CONTROL!$C$21, $C$9, 100%, $E$9)</f>
        <v>37.518000000000001</v>
      </c>
      <c r="E728" s="10">
        <f>CHOOSE(CONTROL!$C$42, 37.5491, 37.5491) * CHOOSE(CONTROL!$C$21, $C$9, 100%, $E$9)</f>
        <v>37.549100000000003</v>
      </c>
      <c r="F728" s="10">
        <f>CHOOSE(CONTROL!$C$42, 37.2847, 37.2847)*CHOOSE(CONTROL!$C$21, $C$9, 100%, $E$9)</f>
        <v>37.284700000000001</v>
      </c>
      <c r="G728" s="10">
        <f>CHOOSE(CONTROL!$C$42, 37.302, 37.302)*CHOOSE(CONTROL!$C$21, $C$9, 100%, $E$9)</f>
        <v>37.302</v>
      </c>
      <c r="H728" s="10">
        <f>CHOOSE(CONTROL!$C$42, 37.5377, 37.5377) * CHOOSE(CONTROL!$C$21, $C$9, 100%, $E$9)</f>
        <v>37.537700000000001</v>
      </c>
      <c r="I728" s="10">
        <f>CHOOSE(CONTROL!$C$42, 37.2842, 37.2842)* CHOOSE(CONTROL!$C$21, $C$9, 100%, $E$9)</f>
        <v>37.284199999999998</v>
      </c>
      <c r="J728" s="10">
        <f>CHOOSE(CONTROL!$C$42, 37.2777, 37.2777)* CHOOSE(CONTROL!$C$21, $C$9, 100%, $E$9)</f>
        <v>37.277700000000003</v>
      </c>
      <c r="K728" s="54">
        <f>CHOOSE(CONTROL!$C$42, 37.2803, 37.2803) * CHOOSE(CONTROL!$C$21, $C$9, 100%, $E$9)</f>
        <v>37.280299999999997</v>
      </c>
      <c r="L728" s="10">
        <f>CHOOSE(CONTROL!$C$42, 38.1247, 38.1247) * CHOOSE(CONTROL!$C$21, $C$9, 100%, $E$9)</f>
        <v>38.124699999999997</v>
      </c>
      <c r="M728" s="10">
        <f>CHOOSE(CONTROL!$C$42, 36.9153, 36.9153) * CHOOSE(CONTROL!$C$21, $C$9, 100%, $E$9)</f>
        <v>36.915300000000002</v>
      </c>
      <c r="N728" s="10">
        <f>CHOOSE(CONTROL!$C$42, 36.9325, 36.9325) * CHOOSE(CONTROL!$C$21, $C$9, 100%, $E$9)</f>
        <v>36.932499999999997</v>
      </c>
      <c r="O728" s="10">
        <f>CHOOSE(CONTROL!$C$42, 37.1727, 37.1727) * CHOOSE(CONTROL!$C$21, $C$9, 100%, $E$9)</f>
        <v>37.172699999999999</v>
      </c>
      <c r="P728" s="10">
        <f>CHOOSE(CONTROL!$C$42, 36.9218, 36.9218) * CHOOSE(CONTROL!$C$21, $C$9, 100%, $E$9)</f>
        <v>36.921799999999998</v>
      </c>
      <c r="Q728" s="10">
        <f>CHOOSE(CONTROL!$C$42, 37.768, 37.768) * CHOOSE(CONTROL!$C$21, $C$9, 100%, $E$9)</f>
        <v>37.768000000000001</v>
      </c>
      <c r="R728" s="10">
        <f>CHOOSE(CONTROL!$C$42, 38.4495, 38.4495) * CHOOSE(CONTROL!$C$21, $C$9, 100%, $E$9)</f>
        <v>38.4495</v>
      </c>
      <c r="S728" s="10">
        <f>CHOOSE(CONTROL!$C$42, 36.2349, 36.2349) * CHOOSE(CONTROL!$C$21, $C$9, 100%, $E$9)</f>
        <v>36.234900000000003</v>
      </c>
      <c r="T728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728" s="58">
        <f>(1000*CHOOSE(CONTROL!$C$42, 695, 695)*CHOOSE(CONTROL!$C$42, 0.5599, 0.5599)*CHOOSE(CONTROL!$C$42, 31, 31))/1000000</f>
        <v>12.063045499999998</v>
      </c>
      <c r="V728" s="58">
        <f>(1000*CHOOSE(CONTROL!$C$42, 500, 500)*CHOOSE(CONTROL!$C$42, 0.275, 0.275)*CHOOSE(CONTROL!$C$42, 31, 31))/1000000</f>
        <v>4.2625000000000002</v>
      </c>
      <c r="W728" s="58">
        <f>(1000*CHOOSE(CONTROL!$C$42, 0.1146, 0.1146)*CHOOSE(CONTROL!$C$42, 121.5, 121.5)*CHOOSE(CONTROL!$C$42, 31, 31))/1000000</f>
        <v>0.43164089999999994</v>
      </c>
      <c r="X728" s="58">
        <f>(31*0.1790888*245000/1000000)+(31*0.2374*100000/1000000)</f>
        <v>2.0961194359999999</v>
      </c>
      <c r="Y728" s="58"/>
      <c r="Z728" s="10"/>
      <c r="AA728" s="57"/>
      <c r="AB728" s="51">
        <f>(B728*194.205+C728*267.466+D728*133.845+E728*53.484+F728*40+G728*185+H728*0+I728*100+J728*300)/(194.205+267.466+133.845+53.484+0+40+185+100+300)</f>
        <v>37.334715435949768</v>
      </c>
      <c r="AC728" s="27">
        <f>(M728*'RAP TEMPLATE-GAS AVAILABILITY'!O727+N728*'RAP TEMPLATE-GAS AVAILABILITY'!P727+O728*'RAP TEMPLATE-GAS AVAILABILITY'!Q727+P728*'RAP TEMPLATE-GAS AVAILABILITY'!R727)/('RAP TEMPLATE-GAS AVAILABILITY'!O727+'RAP TEMPLATE-GAS AVAILABILITY'!P727+'RAP TEMPLATE-GAS AVAILABILITY'!Q727+'RAP TEMPLATE-GAS AVAILABILITY'!R727)</f>
        <v>37.033888489208628</v>
      </c>
    </row>
    <row r="729" spans="1:29" ht="15.75" x14ac:dyDescent="0.25">
      <c r="A729" s="13">
        <v>63097</v>
      </c>
      <c r="B729" s="10">
        <f>CHOOSE(CONTROL!$C$42, 34.9484, 34.9484) * CHOOSE(CONTROL!$C$21, $C$9, 100%, $E$9)</f>
        <v>34.948399999999999</v>
      </c>
      <c r="C729" s="10">
        <f>CHOOSE(CONTROL!$C$42, 34.9563, 34.9563) * CHOOSE(CONTROL!$C$21, $C$9, 100%, $E$9)</f>
        <v>34.956299999999999</v>
      </c>
      <c r="D729" s="10">
        <f>CHOOSE(CONTROL!$C$42, 35.1487, 35.1487) * CHOOSE(CONTROL!$C$21, $C$9, 100%, $E$9)</f>
        <v>35.148699999999998</v>
      </c>
      <c r="E729" s="10">
        <f>CHOOSE(CONTROL!$C$42, 35.1798, 35.1798) * CHOOSE(CONTROL!$C$21, $C$9, 100%, $E$9)</f>
        <v>35.1798</v>
      </c>
      <c r="F729" s="10">
        <f>CHOOSE(CONTROL!$C$42, 34.9153, 34.9153)*CHOOSE(CONTROL!$C$21, $C$9, 100%, $E$9)</f>
        <v>34.915300000000002</v>
      </c>
      <c r="G729" s="10">
        <f>CHOOSE(CONTROL!$C$42, 34.9326, 34.9326)*CHOOSE(CONTROL!$C$21, $C$9, 100%, $E$9)</f>
        <v>34.932600000000001</v>
      </c>
      <c r="H729" s="10">
        <f>CHOOSE(CONTROL!$C$42, 35.1685, 35.1685) * CHOOSE(CONTROL!$C$21, $C$9, 100%, $E$9)</f>
        <v>35.168500000000002</v>
      </c>
      <c r="I729" s="10">
        <f>CHOOSE(CONTROL!$C$42, 34.9149, 34.9149)* CHOOSE(CONTROL!$C$21, $C$9, 100%, $E$9)</f>
        <v>34.914900000000003</v>
      </c>
      <c r="J729" s="10">
        <f>CHOOSE(CONTROL!$C$42, 34.9083, 34.9083)* CHOOSE(CONTROL!$C$21, $C$9, 100%, $E$9)</f>
        <v>34.908299999999997</v>
      </c>
      <c r="K729" s="54">
        <f>CHOOSE(CONTROL!$C$42, 34.911, 34.911) * CHOOSE(CONTROL!$C$21, $C$9, 100%, $E$9)</f>
        <v>34.911000000000001</v>
      </c>
      <c r="L729" s="10">
        <f>CHOOSE(CONTROL!$C$42, 35.7555, 35.7555) * CHOOSE(CONTROL!$C$21, $C$9, 100%, $E$9)</f>
        <v>35.755499999999998</v>
      </c>
      <c r="M729" s="10">
        <f>CHOOSE(CONTROL!$C$42, 34.5698, 34.5698) * CHOOSE(CONTROL!$C$21, $C$9, 100%, $E$9)</f>
        <v>34.569800000000001</v>
      </c>
      <c r="N729" s="10">
        <f>CHOOSE(CONTROL!$C$42, 34.5869, 34.5869) * CHOOSE(CONTROL!$C$21, $C$9, 100%, $E$9)</f>
        <v>34.5869</v>
      </c>
      <c r="O729" s="10">
        <f>CHOOSE(CONTROL!$C$42, 34.8274, 34.8274) * CHOOSE(CONTROL!$C$21, $C$9, 100%, $E$9)</f>
        <v>34.827399999999997</v>
      </c>
      <c r="P729" s="10">
        <f>CHOOSE(CONTROL!$C$42, 34.5764, 34.5764) * CHOOSE(CONTROL!$C$21, $C$9, 100%, $E$9)</f>
        <v>34.5764</v>
      </c>
      <c r="Q729" s="10">
        <f>CHOOSE(CONTROL!$C$42, 35.4227, 35.4227) * CHOOSE(CONTROL!$C$21, $C$9, 100%, $E$9)</f>
        <v>35.422699999999999</v>
      </c>
      <c r="R729" s="10">
        <f>CHOOSE(CONTROL!$C$42, 36.0982, 36.0982) * CHOOSE(CONTROL!$C$21, $C$9, 100%, $E$9)</f>
        <v>36.098199999999999</v>
      </c>
      <c r="S729" s="10">
        <f>CHOOSE(CONTROL!$C$42, 33.9341, 33.9341) * CHOOSE(CONTROL!$C$21, $C$9, 100%, $E$9)</f>
        <v>33.934100000000001</v>
      </c>
      <c r="T729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729" s="58">
        <f>(1000*CHOOSE(CONTROL!$C$42, 695, 695)*CHOOSE(CONTROL!$C$42, 0.5599, 0.5599)*CHOOSE(CONTROL!$C$42, 30, 30))/1000000</f>
        <v>11.673914999999997</v>
      </c>
      <c r="V729" s="58">
        <f>(1000*CHOOSE(CONTROL!$C$42, 500, 500)*CHOOSE(CONTROL!$C$42, 0.275, 0.275)*CHOOSE(CONTROL!$C$42, 30, 30))/1000000</f>
        <v>4.125</v>
      </c>
      <c r="W729" s="58">
        <f>(1000*CHOOSE(CONTROL!$C$42, 0.1146, 0.1146)*CHOOSE(CONTROL!$C$42, 121.5, 121.5)*CHOOSE(CONTROL!$C$42, 30, 30))/1000000</f>
        <v>0.417717</v>
      </c>
      <c r="X729" s="58">
        <f>(30*0.1790888*245000/1000000)+(30*0.2374*100000/1000000)</f>
        <v>2.0285026799999999</v>
      </c>
      <c r="Y729" s="58"/>
      <c r="Z729" s="10"/>
      <c r="AA729" s="57"/>
      <c r="AB729" s="51">
        <f>(B729*194.205+C729*267.466+D729*133.845+E729*53.484+F729*40+G729*185+H729*0+I729*100+J729*300)/(194.205+267.466+133.845+53.484+0+40+185+100+300)</f>
        <v>34.96541046507064</v>
      </c>
      <c r="AC729" s="27">
        <f>(M729*'RAP TEMPLATE-GAS AVAILABILITY'!O728+N729*'RAP TEMPLATE-GAS AVAILABILITY'!P728+O729*'RAP TEMPLATE-GAS AVAILABILITY'!Q728+P729*'RAP TEMPLATE-GAS AVAILABILITY'!R728)/('RAP TEMPLATE-GAS AVAILABILITY'!O728+'RAP TEMPLATE-GAS AVAILABILITY'!P728+'RAP TEMPLATE-GAS AVAILABILITY'!Q728+'RAP TEMPLATE-GAS AVAILABILITY'!R728)</f>
        <v>34.688487769784174</v>
      </c>
    </row>
    <row r="730" spans="1:29" ht="15.75" x14ac:dyDescent="0.25">
      <c r="A730" s="13">
        <v>63128</v>
      </c>
      <c r="B730" s="10">
        <f>CHOOSE(CONTROL!$C$42, 34.2371, 34.2371) * CHOOSE(CONTROL!$C$21, $C$9, 100%, $E$9)</f>
        <v>34.237099999999998</v>
      </c>
      <c r="C730" s="10">
        <f>CHOOSE(CONTROL!$C$42, 34.2423, 34.2423) * CHOOSE(CONTROL!$C$21, $C$9, 100%, $E$9)</f>
        <v>34.2423</v>
      </c>
      <c r="D730" s="10">
        <f>CHOOSE(CONTROL!$C$42, 34.4397, 34.4397) * CHOOSE(CONTROL!$C$21, $C$9, 100%, $E$9)</f>
        <v>34.439700000000002</v>
      </c>
      <c r="E730" s="10">
        <f>CHOOSE(CONTROL!$C$42, 34.4685, 34.4685) * CHOOSE(CONTROL!$C$21, $C$9, 100%, $E$9)</f>
        <v>34.468499999999999</v>
      </c>
      <c r="F730" s="10">
        <f>CHOOSE(CONTROL!$C$42, 34.206, 34.206)*CHOOSE(CONTROL!$C$21, $C$9, 100%, $E$9)</f>
        <v>34.206000000000003</v>
      </c>
      <c r="G730" s="10">
        <f>CHOOSE(CONTROL!$C$42, 34.223, 34.223)*CHOOSE(CONTROL!$C$21, $C$9, 100%, $E$9)</f>
        <v>34.222999999999999</v>
      </c>
      <c r="H730" s="10">
        <f>CHOOSE(CONTROL!$C$42, 34.459, 34.459) * CHOOSE(CONTROL!$C$21, $C$9, 100%, $E$9)</f>
        <v>34.459000000000003</v>
      </c>
      <c r="I730" s="10">
        <f>CHOOSE(CONTROL!$C$42, 34.2054, 34.2054)* CHOOSE(CONTROL!$C$21, $C$9, 100%, $E$9)</f>
        <v>34.205399999999997</v>
      </c>
      <c r="J730" s="10">
        <f>CHOOSE(CONTROL!$C$42, 34.199, 34.199)* CHOOSE(CONTROL!$C$21, $C$9, 100%, $E$9)</f>
        <v>34.198999999999998</v>
      </c>
      <c r="K730" s="54">
        <f>CHOOSE(CONTROL!$C$42, 34.2015, 34.2015) * CHOOSE(CONTROL!$C$21, $C$9, 100%, $E$9)</f>
        <v>34.201500000000003</v>
      </c>
      <c r="L730" s="10">
        <f>CHOOSE(CONTROL!$C$42, 35.046, 35.046) * CHOOSE(CONTROL!$C$21, $C$9, 100%, $E$9)</f>
        <v>35.045999999999999</v>
      </c>
      <c r="M730" s="10">
        <f>CHOOSE(CONTROL!$C$42, 33.8677, 33.8677) * CHOOSE(CONTROL!$C$21, $C$9, 100%, $E$9)</f>
        <v>33.867699999999999</v>
      </c>
      <c r="N730" s="10">
        <f>CHOOSE(CONTROL!$C$42, 33.8845, 33.8845) * CHOOSE(CONTROL!$C$21, $C$9, 100%, $E$9)</f>
        <v>33.884500000000003</v>
      </c>
      <c r="O730" s="10">
        <f>CHOOSE(CONTROL!$C$42, 34.1251, 34.1251) * CHOOSE(CONTROL!$C$21, $C$9, 100%, $E$9)</f>
        <v>34.125100000000003</v>
      </c>
      <c r="P730" s="10">
        <f>CHOOSE(CONTROL!$C$42, 33.8741, 33.8741) * CHOOSE(CONTROL!$C$21, $C$9, 100%, $E$9)</f>
        <v>33.874099999999999</v>
      </c>
      <c r="Q730" s="10">
        <f>CHOOSE(CONTROL!$C$42, 34.7204, 34.7204) * CHOOSE(CONTROL!$C$21, $C$9, 100%, $E$9)</f>
        <v>34.720399999999998</v>
      </c>
      <c r="R730" s="10">
        <f>CHOOSE(CONTROL!$C$42, 35.3942, 35.3942) * CHOOSE(CONTROL!$C$21, $C$9, 100%, $E$9)</f>
        <v>35.394199999999998</v>
      </c>
      <c r="S730" s="10">
        <f>CHOOSE(CONTROL!$C$42, 33.2451, 33.2451) * CHOOSE(CONTROL!$C$21, $C$9, 100%, $E$9)</f>
        <v>33.245100000000001</v>
      </c>
      <c r="T730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730" s="58">
        <f>(1000*CHOOSE(CONTROL!$C$42, 695, 695)*CHOOSE(CONTROL!$C$42, 0.5599, 0.5599)*CHOOSE(CONTROL!$C$42, 31, 31))/1000000</f>
        <v>12.063045499999998</v>
      </c>
      <c r="V730" s="58">
        <f>(1000*CHOOSE(CONTROL!$C$42, 500, 500)*CHOOSE(CONTROL!$C$42, 0.275, 0.275)*CHOOSE(CONTROL!$C$42, 31, 31))/1000000</f>
        <v>4.2625000000000002</v>
      </c>
      <c r="W730" s="58">
        <f>(1000*CHOOSE(CONTROL!$C$42, 0.1146, 0.1146)*CHOOSE(CONTROL!$C$42, 121.5, 121.5)*CHOOSE(CONTROL!$C$42, 31, 31))/1000000</f>
        <v>0.43164089999999994</v>
      </c>
      <c r="X730" s="58">
        <f>(31*0.1790888*245000/1000000)+(31*0.2374*100000/1000000)</f>
        <v>2.0961194359999999</v>
      </c>
      <c r="Y730" s="58"/>
      <c r="Z730" s="10"/>
      <c r="AA730" s="57"/>
      <c r="AB730" s="51">
        <f>(B730*131.881+C730*277.167+D730*79.08+E730*125.872+F730*40+G730*185+H730*0+I730*100+J730*300)/(131.881+277.167+79.08+125.872+0+40+185+100+300)</f>
        <v>34.259809569975786</v>
      </c>
      <c r="AC730" s="27">
        <f>(M730*'RAP TEMPLATE-GAS AVAILABILITY'!O729+N730*'RAP TEMPLATE-GAS AVAILABILITY'!P729+O730*'RAP TEMPLATE-GAS AVAILABILITY'!Q729+P730*'RAP TEMPLATE-GAS AVAILABILITY'!R729)/('RAP TEMPLATE-GAS AVAILABILITY'!O729+'RAP TEMPLATE-GAS AVAILABILITY'!P729+'RAP TEMPLATE-GAS AVAILABILITY'!Q729+'RAP TEMPLATE-GAS AVAILABILITY'!R729)</f>
        <v>33.986251079136693</v>
      </c>
    </row>
    <row r="731" spans="1:29" ht="15.75" x14ac:dyDescent="0.25">
      <c r="A731" s="13">
        <v>63158</v>
      </c>
      <c r="B731" s="10">
        <f>CHOOSE(CONTROL!$C$42, 35.1386, 35.1386) * CHOOSE(CONTROL!$C$21, $C$9, 100%, $E$9)</f>
        <v>35.138599999999997</v>
      </c>
      <c r="C731" s="10">
        <f>CHOOSE(CONTROL!$C$42, 35.1435, 35.1435) * CHOOSE(CONTROL!$C$21, $C$9, 100%, $E$9)</f>
        <v>35.143500000000003</v>
      </c>
      <c r="D731" s="10">
        <f>CHOOSE(CONTROL!$C$42, 35.1731, 35.1731) * CHOOSE(CONTROL!$C$21, $C$9, 100%, $E$9)</f>
        <v>35.173099999999998</v>
      </c>
      <c r="E731" s="10">
        <f>CHOOSE(CONTROL!$C$42, 35.2069, 35.2069) * CHOOSE(CONTROL!$C$21, $C$9, 100%, $E$9)</f>
        <v>35.206899999999997</v>
      </c>
      <c r="F731" s="10">
        <f>CHOOSE(CONTROL!$C$42, 35.1054, 35.1054)*CHOOSE(CONTROL!$C$21, $C$9, 100%, $E$9)</f>
        <v>35.105400000000003</v>
      </c>
      <c r="G731" s="10">
        <f>CHOOSE(CONTROL!$C$42, 35.1225, 35.1225)*CHOOSE(CONTROL!$C$21, $C$9, 100%, $E$9)</f>
        <v>35.122500000000002</v>
      </c>
      <c r="H731" s="10">
        <f>CHOOSE(CONTROL!$C$42, 35.1961, 35.1961) * CHOOSE(CONTROL!$C$21, $C$9, 100%, $E$9)</f>
        <v>35.196100000000001</v>
      </c>
      <c r="I731" s="10">
        <f>CHOOSE(CONTROL!$C$42, 35.1022, 35.1022)* CHOOSE(CONTROL!$C$21, $C$9, 100%, $E$9)</f>
        <v>35.102200000000003</v>
      </c>
      <c r="J731" s="10">
        <f>CHOOSE(CONTROL!$C$42, 35.0984, 35.0984)* CHOOSE(CONTROL!$C$21, $C$9, 100%, $E$9)</f>
        <v>35.098399999999998</v>
      </c>
      <c r="K731" s="54">
        <f>CHOOSE(CONTROL!$C$42, 35.0983, 35.0983) * CHOOSE(CONTROL!$C$21, $C$9, 100%, $E$9)</f>
        <v>35.098300000000002</v>
      </c>
      <c r="L731" s="10">
        <f>CHOOSE(CONTROL!$C$42, 35.7831, 35.7831) * CHOOSE(CONTROL!$C$21, $C$9, 100%, $E$9)</f>
        <v>35.783099999999997</v>
      </c>
      <c r="M731" s="10">
        <f>CHOOSE(CONTROL!$C$42, 34.758, 34.758) * CHOOSE(CONTROL!$C$21, $C$9, 100%, $E$9)</f>
        <v>34.758000000000003</v>
      </c>
      <c r="N731" s="10">
        <f>CHOOSE(CONTROL!$C$42, 34.7749, 34.7749) * CHOOSE(CONTROL!$C$21, $C$9, 100%, $E$9)</f>
        <v>34.774900000000002</v>
      </c>
      <c r="O731" s="10">
        <f>CHOOSE(CONTROL!$C$42, 34.8547, 34.8547) * CHOOSE(CONTROL!$C$21, $C$9, 100%, $E$9)</f>
        <v>34.854700000000001</v>
      </c>
      <c r="P731" s="10">
        <f>CHOOSE(CONTROL!$C$42, 34.7618, 34.7618) * CHOOSE(CONTROL!$C$21, $C$9, 100%, $E$9)</f>
        <v>34.761800000000001</v>
      </c>
      <c r="Q731" s="10">
        <f>CHOOSE(CONTROL!$C$42, 35.45, 35.45) * CHOOSE(CONTROL!$C$21, $C$9, 100%, $E$9)</f>
        <v>35.450000000000003</v>
      </c>
      <c r="R731" s="10">
        <f>CHOOSE(CONTROL!$C$42, 36.1257, 36.1257) * CHOOSE(CONTROL!$C$21, $C$9, 100%, $E$9)</f>
        <v>36.125700000000002</v>
      </c>
      <c r="S731" s="10">
        <f>CHOOSE(CONTROL!$C$42, 34.1209, 34.1209) * CHOOSE(CONTROL!$C$21, $C$9, 100%, $E$9)</f>
        <v>34.120899999999999</v>
      </c>
      <c r="T731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731" s="58">
        <f>(1000*CHOOSE(CONTROL!$C$42, 695, 695)*CHOOSE(CONTROL!$C$42, 0.5599, 0.5599)*CHOOSE(CONTROL!$C$42, 30, 30))/1000000</f>
        <v>11.673914999999997</v>
      </c>
      <c r="V731" s="58">
        <f>(1000*CHOOSE(CONTROL!$C$42, 500, 500)*CHOOSE(CONTROL!$C$42, 0.275, 0.275)*CHOOSE(CONTROL!$C$42, 30, 30))/1000000</f>
        <v>4.125</v>
      </c>
      <c r="W731" s="58">
        <f>(1000*CHOOSE(CONTROL!$C$42, 0.1146, 0.1146)*CHOOSE(CONTROL!$C$42, 121.5, 121.5)*CHOOSE(CONTROL!$C$42, 30, 30))/1000000</f>
        <v>0.417717</v>
      </c>
      <c r="X731" s="58">
        <f>(30*0.1790888*100000/1000000)+(30*0.2374*100000/1000000)</f>
        <v>1.2494664</v>
      </c>
      <c r="Y731" s="58"/>
      <c r="Z731" s="10"/>
      <c r="AA731" s="57"/>
      <c r="AB731" s="51">
        <f>(B731*122.58+C731*297.941+D731*89.177+E731*40.302+F731*40+G731*160+H731*0+I731*100+J731*300)/(122.58+297.941+89.177+40.302+0+40+160+100+300)</f>
        <v>35.12789142956521</v>
      </c>
      <c r="AC731" s="27">
        <f>(M731*'RAP TEMPLATE-GAS AVAILABILITY'!O730+N731*'RAP TEMPLATE-GAS AVAILABILITY'!P730+O731*'RAP TEMPLATE-GAS AVAILABILITY'!Q730+P731*'RAP TEMPLATE-GAS AVAILABILITY'!R730)/('RAP TEMPLATE-GAS AVAILABILITY'!O730+'RAP TEMPLATE-GAS AVAILABILITY'!P730+'RAP TEMPLATE-GAS AVAILABILITY'!Q730+'RAP TEMPLATE-GAS AVAILABILITY'!R730)</f>
        <v>34.803347482014395</v>
      </c>
    </row>
    <row r="732" spans="1:29" ht="15.75" x14ac:dyDescent="0.25">
      <c r="A732" s="13">
        <v>63189</v>
      </c>
      <c r="B732" s="10">
        <f>CHOOSE(CONTROL!$C$42, 37.5341, 37.5341) * CHOOSE(CONTROL!$C$21, $C$9, 100%, $E$9)</f>
        <v>37.534100000000002</v>
      </c>
      <c r="C732" s="10">
        <f>CHOOSE(CONTROL!$C$42, 37.5391, 37.5391) * CHOOSE(CONTROL!$C$21, $C$9, 100%, $E$9)</f>
        <v>37.539099999999998</v>
      </c>
      <c r="D732" s="10">
        <f>CHOOSE(CONTROL!$C$42, 37.5687, 37.5687) * CHOOSE(CONTROL!$C$21, $C$9, 100%, $E$9)</f>
        <v>37.5687</v>
      </c>
      <c r="E732" s="10">
        <f>CHOOSE(CONTROL!$C$42, 37.6024, 37.6024) * CHOOSE(CONTROL!$C$21, $C$9, 100%, $E$9)</f>
        <v>37.602400000000003</v>
      </c>
      <c r="F732" s="10">
        <f>CHOOSE(CONTROL!$C$42, 37.5023, 37.5023)*CHOOSE(CONTROL!$C$21, $C$9, 100%, $E$9)</f>
        <v>37.502299999999998</v>
      </c>
      <c r="G732" s="10">
        <f>CHOOSE(CONTROL!$C$42, 37.5198, 37.5198)*CHOOSE(CONTROL!$C$21, $C$9, 100%, $E$9)</f>
        <v>37.519799999999996</v>
      </c>
      <c r="H732" s="10">
        <f>CHOOSE(CONTROL!$C$42, 37.5916, 37.5916) * CHOOSE(CONTROL!$C$21, $C$9, 100%, $E$9)</f>
        <v>37.5916</v>
      </c>
      <c r="I732" s="10">
        <f>CHOOSE(CONTROL!$C$42, 37.4977, 37.4977)* CHOOSE(CONTROL!$C$21, $C$9, 100%, $E$9)</f>
        <v>37.497700000000002</v>
      </c>
      <c r="J732" s="10">
        <f>CHOOSE(CONTROL!$C$42, 37.4953, 37.4953)* CHOOSE(CONTROL!$C$21, $C$9, 100%, $E$9)</f>
        <v>37.4953</v>
      </c>
      <c r="K732" s="54">
        <f>CHOOSE(CONTROL!$C$42, 37.4938, 37.4938) * CHOOSE(CONTROL!$C$21, $C$9, 100%, $E$9)</f>
        <v>37.4938</v>
      </c>
      <c r="L732" s="10">
        <f>CHOOSE(CONTROL!$C$42, 38.1786, 38.1786) * CHOOSE(CONTROL!$C$21, $C$9, 100%, $E$9)</f>
        <v>38.178600000000003</v>
      </c>
      <c r="M732" s="10">
        <f>CHOOSE(CONTROL!$C$42, 37.1307, 37.1307) * CHOOSE(CONTROL!$C$21, $C$9, 100%, $E$9)</f>
        <v>37.130699999999997</v>
      </c>
      <c r="N732" s="10">
        <f>CHOOSE(CONTROL!$C$42, 37.1481, 37.1481) * CHOOSE(CONTROL!$C$21, $C$9, 100%, $E$9)</f>
        <v>37.148099999999999</v>
      </c>
      <c r="O732" s="10">
        <f>CHOOSE(CONTROL!$C$42, 37.2261, 37.2261) * CHOOSE(CONTROL!$C$21, $C$9, 100%, $E$9)</f>
        <v>37.226100000000002</v>
      </c>
      <c r="P732" s="10">
        <f>CHOOSE(CONTROL!$C$42, 37.1331, 37.1331) * CHOOSE(CONTROL!$C$21, $C$9, 100%, $E$9)</f>
        <v>37.133099999999999</v>
      </c>
      <c r="Q732" s="10">
        <f>CHOOSE(CONTROL!$C$42, 37.8214, 37.8214) * CHOOSE(CONTROL!$C$21, $C$9, 100%, $E$9)</f>
        <v>37.821399999999997</v>
      </c>
      <c r="R732" s="10">
        <f>CHOOSE(CONTROL!$C$42, 38.5029, 38.5029) * CHOOSE(CONTROL!$C$21, $C$9, 100%, $E$9)</f>
        <v>38.502899999999997</v>
      </c>
      <c r="S732" s="10">
        <f>CHOOSE(CONTROL!$C$42, 36.4472, 36.4472) * CHOOSE(CONTROL!$C$21, $C$9, 100%, $E$9)</f>
        <v>36.447200000000002</v>
      </c>
      <c r="T732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732" s="58">
        <f>(1000*CHOOSE(CONTROL!$C$42, 695, 695)*CHOOSE(CONTROL!$C$42, 0.5599, 0.5599)*CHOOSE(CONTROL!$C$42, 31, 31))/1000000</f>
        <v>12.063045499999998</v>
      </c>
      <c r="V732" s="58">
        <f>(1000*CHOOSE(CONTROL!$C$42, 500, 500)*CHOOSE(CONTROL!$C$42, 0.275, 0.275)*CHOOSE(CONTROL!$C$42, 31, 31))/1000000</f>
        <v>4.2625000000000002</v>
      </c>
      <c r="W732" s="58">
        <f>(1000*CHOOSE(CONTROL!$C$42, 0.1146, 0.1146)*CHOOSE(CONTROL!$C$42, 121.5, 121.5)*CHOOSE(CONTROL!$C$42, 31, 31))/1000000</f>
        <v>0.43164089999999994</v>
      </c>
      <c r="X732" s="58">
        <f>(31*0.1790888*100000/1000000)+(31*0.2374*100000/1000000)</f>
        <v>1.2911152800000001</v>
      </c>
      <c r="Y732" s="58"/>
      <c r="Z732" s="10"/>
      <c r="AA732" s="57"/>
      <c r="AB732" s="51">
        <f>(B732*122.58+C732*297.941+D732*89.177+E732*40.302+F732*40+G732*160+H732*0+I732*100+J732*300)/(122.58+297.941+89.177+40.302+0+40+160+100+300)</f>
        <v>37.524089439826092</v>
      </c>
      <c r="AC732" s="27">
        <f>(M732*'RAP TEMPLATE-GAS AVAILABILITY'!O731+N732*'RAP TEMPLATE-GAS AVAILABILITY'!P731+O732*'RAP TEMPLATE-GAS AVAILABILITY'!Q731+P732*'RAP TEMPLATE-GAS AVAILABILITY'!R731)/('RAP TEMPLATE-GAS AVAILABILITY'!O731+'RAP TEMPLATE-GAS AVAILABILITY'!P731+'RAP TEMPLATE-GAS AVAILABILITY'!Q731+'RAP TEMPLATE-GAS AVAILABILITY'!R731)</f>
        <v>37.175285611510795</v>
      </c>
    </row>
    <row r="733" spans="1:29" ht="15.75" x14ac:dyDescent="0.25">
      <c r="A733" s="13">
        <v>63220</v>
      </c>
      <c r="B733" s="10">
        <f>CHOOSE(CONTROL!$C$42, 40.6093, 40.6093) * CHOOSE(CONTROL!$C$21, $C$9, 100%, $E$9)</f>
        <v>40.609299999999998</v>
      </c>
      <c r="C733" s="10">
        <f>CHOOSE(CONTROL!$C$42, 40.6142, 40.6142) * CHOOSE(CONTROL!$C$21, $C$9, 100%, $E$9)</f>
        <v>40.614199999999997</v>
      </c>
      <c r="D733" s="10">
        <f>CHOOSE(CONTROL!$C$42, 40.6644, 40.6644) * CHOOSE(CONTROL!$C$21, $C$9, 100%, $E$9)</f>
        <v>40.664400000000001</v>
      </c>
      <c r="E733" s="10">
        <f>CHOOSE(CONTROL!$C$42, 40.6982, 40.6982) * CHOOSE(CONTROL!$C$21, $C$9, 100%, $E$9)</f>
        <v>40.6982</v>
      </c>
      <c r="F733" s="10">
        <f>CHOOSE(CONTROL!$C$42, 40.5746, 40.5746)*CHOOSE(CONTROL!$C$21, $C$9, 100%, $E$9)</f>
        <v>40.574599999999997</v>
      </c>
      <c r="G733" s="10">
        <f>CHOOSE(CONTROL!$C$42, 40.5922, 40.5922)*CHOOSE(CONTROL!$C$21, $C$9, 100%, $E$9)</f>
        <v>40.592199999999998</v>
      </c>
      <c r="H733" s="10">
        <f>CHOOSE(CONTROL!$C$42, 40.6874, 40.6874) * CHOOSE(CONTROL!$C$21, $C$9, 100%, $E$9)</f>
        <v>40.687399999999997</v>
      </c>
      <c r="I733" s="10">
        <f>CHOOSE(CONTROL!$C$42, 40.5832, 40.5832)* CHOOSE(CONTROL!$C$21, $C$9, 100%, $E$9)</f>
        <v>40.583199999999998</v>
      </c>
      <c r="J733" s="10">
        <f>CHOOSE(CONTROL!$C$42, 40.5676, 40.5676)* CHOOSE(CONTROL!$C$21, $C$9, 100%, $E$9)</f>
        <v>40.567599999999999</v>
      </c>
      <c r="K733" s="54">
        <f>CHOOSE(CONTROL!$C$42, 40.5793, 40.5793) * CHOOSE(CONTROL!$C$21, $C$9, 100%, $E$9)</f>
        <v>40.579300000000003</v>
      </c>
      <c r="L733" s="10">
        <f>CHOOSE(CONTROL!$C$42, 41.2744, 41.2744) * CHOOSE(CONTROL!$C$21, $C$9, 100%, $E$9)</f>
        <v>41.2744</v>
      </c>
      <c r="M733" s="10">
        <f>CHOOSE(CONTROL!$C$42, 40.1721, 40.1721) * CHOOSE(CONTROL!$C$21, $C$9, 100%, $E$9)</f>
        <v>40.1721</v>
      </c>
      <c r="N733" s="10">
        <f>CHOOSE(CONTROL!$C$42, 40.1895, 40.1895) * CHOOSE(CONTROL!$C$21, $C$9, 100%, $E$9)</f>
        <v>40.189500000000002</v>
      </c>
      <c r="O733" s="10">
        <f>CHOOSE(CONTROL!$C$42, 40.2906, 40.2906) * CHOOSE(CONTROL!$C$21, $C$9, 100%, $E$9)</f>
        <v>40.290599999999998</v>
      </c>
      <c r="P733" s="10">
        <f>CHOOSE(CONTROL!$C$42, 40.1875, 40.1875) * CHOOSE(CONTROL!$C$21, $C$9, 100%, $E$9)</f>
        <v>40.1875</v>
      </c>
      <c r="Q733" s="10">
        <f>CHOOSE(CONTROL!$C$42, 40.8859, 40.8859) * CHOOSE(CONTROL!$C$21, $C$9, 100%, $E$9)</f>
        <v>40.885899999999999</v>
      </c>
      <c r="R733" s="10">
        <f>CHOOSE(CONTROL!$C$42, 41.5751, 41.5751) * CHOOSE(CONTROL!$C$21, $C$9, 100%, $E$9)</f>
        <v>41.575099999999999</v>
      </c>
      <c r="S733" s="10">
        <f>CHOOSE(CONTROL!$C$42, 39.4335, 39.4335) * CHOOSE(CONTROL!$C$21, $C$9, 100%, $E$9)</f>
        <v>39.433500000000002</v>
      </c>
      <c r="T733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733" s="58">
        <f>(1000*CHOOSE(CONTROL!$C$42, 695, 695)*CHOOSE(CONTROL!$C$42, 0.5599, 0.5599)*CHOOSE(CONTROL!$C$42, 31, 31))/1000000</f>
        <v>12.063045499999998</v>
      </c>
      <c r="V733" s="58">
        <f>(1000*CHOOSE(CONTROL!$C$42, 500, 500)*CHOOSE(CONTROL!$C$42, 0.275, 0.275)*CHOOSE(CONTROL!$C$42, 31, 31))/1000000</f>
        <v>4.2625000000000002</v>
      </c>
      <c r="W733" s="58">
        <f>(1000*CHOOSE(CONTROL!$C$42, 0.1146, 0.1146)*CHOOSE(CONTROL!$C$42, 121.5, 121.5)*CHOOSE(CONTROL!$C$42, 31, 31))/1000000</f>
        <v>0.43164089999999994</v>
      </c>
      <c r="X733" s="58">
        <f>(31*0.1790888*100000/1000000)+(31*0.2374*100000/1000000)</f>
        <v>1.2911152800000001</v>
      </c>
      <c r="Y733" s="58"/>
      <c r="Z733" s="10"/>
      <c r="AA733" s="57"/>
      <c r="AB733" s="51">
        <f>(B733*122.58+C733*297.941+D733*89.177+E733*40.302+F733*40+G733*160+H733*0+I733*100+J733*300)/(122.58+297.941+89.177+40.302+0+40+160+100+300)</f>
        <v>40.601223835999996</v>
      </c>
      <c r="AC733" s="27">
        <f>(M733*'RAP TEMPLATE-GAS AVAILABILITY'!O732+N733*'RAP TEMPLATE-GAS AVAILABILITY'!P732+O733*'RAP TEMPLATE-GAS AVAILABILITY'!Q732+P733*'RAP TEMPLATE-GAS AVAILABILITY'!R732)/('RAP TEMPLATE-GAS AVAILABILITY'!O732+'RAP TEMPLATE-GAS AVAILABILITY'!P732+'RAP TEMPLATE-GAS AVAILABILITY'!Q732+'RAP TEMPLATE-GAS AVAILABILITY'!R732)</f>
        <v>40.229025899280572</v>
      </c>
    </row>
    <row r="734" spans="1:29" ht="15.75" x14ac:dyDescent="0.25">
      <c r="A734" s="13">
        <v>63248</v>
      </c>
      <c r="B734" s="10">
        <f>CHOOSE(CONTROL!$C$42, 41.3321, 41.3321) * CHOOSE(CONTROL!$C$21, $C$9, 100%, $E$9)</f>
        <v>41.332099999999997</v>
      </c>
      <c r="C734" s="10">
        <f>CHOOSE(CONTROL!$C$42, 41.3371, 41.3371) * CHOOSE(CONTROL!$C$21, $C$9, 100%, $E$9)</f>
        <v>41.3371</v>
      </c>
      <c r="D734" s="10">
        <f>CHOOSE(CONTROL!$C$42, 41.3976, 41.3976) * CHOOSE(CONTROL!$C$21, $C$9, 100%, $E$9)</f>
        <v>41.397599999999997</v>
      </c>
      <c r="E734" s="10">
        <f>CHOOSE(CONTROL!$C$42, 41.4314, 41.4314) * CHOOSE(CONTROL!$C$21, $C$9, 100%, $E$9)</f>
        <v>41.431399999999996</v>
      </c>
      <c r="F734" s="10">
        <f>CHOOSE(CONTROL!$C$42, 41.3254, 41.3254)*CHOOSE(CONTROL!$C$21, $C$9, 100%, $E$9)</f>
        <v>41.325400000000002</v>
      </c>
      <c r="G734" s="10">
        <f>CHOOSE(CONTROL!$C$42, 41.3427, 41.3427)*CHOOSE(CONTROL!$C$21, $C$9, 100%, $E$9)</f>
        <v>41.342700000000001</v>
      </c>
      <c r="H734" s="10">
        <f>CHOOSE(CONTROL!$C$42, 41.4206, 41.4206) * CHOOSE(CONTROL!$C$21, $C$9, 100%, $E$9)</f>
        <v>41.4206</v>
      </c>
      <c r="I734" s="10">
        <f>CHOOSE(CONTROL!$C$42, 41.3189, 41.3189)* CHOOSE(CONTROL!$C$21, $C$9, 100%, $E$9)</f>
        <v>41.318899999999999</v>
      </c>
      <c r="J734" s="10">
        <f>CHOOSE(CONTROL!$C$42, 41.3184, 41.3184)* CHOOSE(CONTROL!$C$21, $C$9, 100%, $E$9)</f>
        <v>41.318399999999997</v>
      </c>
      <c r="K734" s="54">
        <f>CHOOSE(CONTROL!$C$42, 41.315, 41.315) * CHOOSE(CONTROL!$C$21, $C$9, 100%, $E$9)</f>
        <v>41.314999999999998</v>
      </c>
      <c r="L734" s="10">
        <f>CHOOSE(CONTROL!$C$42, 42.0076, 42.0076) * CHOOSE(CONTROL!$C$21, $C$9, 100%, $E$9)</f>
        <v>42.007599999999996</v>
      </c>
      <c r="M734" s="10">
        <f>CHOOSE(CONTROL!$C$42, 40.9152, 40.9152) * CHOOSE(CONTROL!$C$21, $C$9, 100%, $E$9)</f>
        <v>40.915199999999999</v>
      </c>
      <c r="N734" s="10">
        <f>CHOOSE(CONTROL!$C$42, 40.9323, 40.9323) * CHOOSE(CONTROL!$C$21, $C$9, 100%, $E$9)</f>
        <v>40.932299999999998</v>
      </c>
      <c r="O734" s="10">
        <f>CHOOSE(CONTROL!$C$42, 41.0164, 41.0164) * CHOOSE(CONTROL!$C$21, $C$9, 100%, $E$9)</f>
        <v>41.016399999999997</v>
      </c>
      <c r="P734" s="10">
        <f>CHOOSE(CONTROL!$C$42, 40.9158, 40.9158) * CHOOSE(CONTROL!$C$21, $C$9, 100%, $E$9)</f>
        <v>40.915799999999997</v>
      </c>
      <c r="Q734" s="10">
        <f>CHOOSE(CONTROL!$C$42, 41.6117, 41.6117) * CHOOSE(CONTROL!$C$21, $C$9, 100%, $E$9)</f>
        <v>41.611699999999999</v>
      </c>
      <c r="R734" s="10">
        <f>CHOOSE(CONTROL!$C$42, 42.3027, 42.3027) * CHOOSE(CONTROL!$C$21, $C$9, 100%, $E$9)</f>
        <v>42.302700000000002</v>
      </c>
      <c r="S734" s="10">
        <f>CHOOSE(CONTROL!$C$42, 40.1355, 40.1355) * CHOOSE(CONTROL!$C$21, $C$9, 100%, $E$9)</f>
        <v>40.1355</v>
      </c>
      <c r="T734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734" s="58">
        <f>(1000*CHOOSE(CONTROL!$C$42, 695, 695)*CHOOSE(CONTROL!$C$42, 0.5599, 0.5599)*CHOOSE(CONTROL!$C$42, 28, 28))/1000000</f>
        <v>10.895653999999999</v>
      </c>
      <c r="V734" s="58">
        <f>(1000*CHOOSE(CONTROL!$C$42, 500, 500)*CHOOSE(CONTROL!$C$42, 0.275, 0.275)*CHOOSE(CONTROL!$C$42, 28, 28))/1000000</f>
        <v>3.85</v>
      </c>
      <c r="W734" s="58">
        <f>(1000*CHOOSE(CONTROL!$C$42, 0.1146, 0.1146)*CHOOSE(CONTROL!$C$42, 121.5, 121.5)*CHOOSE(CONTROL!$C$42, 28, 28))/1000000</f>
        <v>0.38986920000000003</v>
      </c>
      <c r="X734" s="58">
        <f>(28*0.1790888*100000/1000000)+(28*0.2374*100000/1000000)</f>
        <v>1.16616864</v>
      </c>
      <c r="Y734" s="58"/>
      <c r="Z734" s="10"/>
      <c r="AA734" s="57"/>
      <c r="AB734" s="51">
        <f>(B734*122.58+C734*297.941+D734*89.177+E734*40.302+F734*40+G734*160+H734*0+I734*100+J734*300)/(122.58+297.941+89.177+40.302+0+40+160+100+300)</f>
        <v>41.338474597478253</v>
      </c>
      <c r="AC734" s="27">
        <f>(M734*'RAP TEMPLATE-GAS AVAILABILITY'!O733+N734*'RAP TEMPLATE-GAS AVAILABILITY'!P733+O734*'RAP TEMPLATE-GAS AVAILABILITY'!Q733+P734*'RAP TEMPLATE-GAS AVAILABILITY'!R733)/('RAP TEMPLATE-GAS AVAILABILITY'!O733+'RAP TEMPLATE-GAS AVAILABILITY'!P733+'RAP TEMPLATE-GAS AVAILABILITY'!Q733+'RAP TEMPLATE-GAS AVAILABILITY'!R733)</f>
        <v>40.962138129496402</v>
      </c>
    </row>
    <row r="735" spans="1:29" ht="15.75" x14ac:dyDescent="0.25">
      <c r="A735" s="13">
        <v>63279</v>
      </c>
      <c r="B735" s="10">
        <f>CHOOSE(CONTROL!$C$42, 40.1588, 40.1588) * CHOOSE(CONTROL!$C$21, $C$9, 100%, $E$9)</f>
        <v>40.158799999999999</v>
      </c>
      <c r="C735" s="10">
        <f>CHOOSE(CONTROL!$C$42, 40.1637, 40.1637) * CHOOSE(CONTROL!$C$21, $C$9, 100%, $E$9)</f>
        <v>40.163699999999999</v>
      </c>
      <c r="D735" s="10">
        <f>CHOOSE(CONTROL!$C$42, 40.2242, 40.2242) * CHOOSE(CONTROL!$C$21, $C$9, 100%, $E$9)</f>
        <v>40.224200000000003</v>
      </c>
      <c r="E735" s="10">
        <f>CHOOSE(CONTROL!$C$42, 40.258, 40.258) * CHOOSE(CONTROL!$C$21, $C$9, 100%, $E$9)</f>
        <v>40.258000000000003</v>
      </c>
      <c r="F735" s="10">
        <f>CHOOSE(CONTROL!$C$42, 40.1465, 40.1465)*CHOOSE(CONTROL!$C$21, $C$9, 100%, $E$9)</f>
        <v>40.146500000000003</v>
      </c>
      <c r="G735" s="10">
        <f>CHOOSE(CONTROL!$C$42, 40.1637, 40.1637)*CHOOSE(CONTROL!$C$21, $C$9, 100%, $E$9)</f>
        <v>40.163699999999999</v>
      </c>
      <c r="H735" s="10">
        <f>CHOOSE(CONTROL!$C$42, 40.2472, 40.2472) * CHOOSE(CONTROL!$C$21, $C$9, 100%, $E$9)</f>
        <v>40.247199999999999</v>
      </c>
      <c r="I735" s="10">
        <f>CHOOSE(CONTROL!$C$42, 40.1327, 40.1327)* CHOOSE(CONTROL!$C$21, $C$9, 100%, $E$9)</f>
        <v>40.1327</v>
      </c>
      <c r="J735" s="10">
        <f>CHOOSE(CONTROL!$C$42, 40.1395, 40.1395)* CHOOSE(CONTROL!$C$21, $C$9, 100%, $E$9)</f>
        <v>40.139499999999998</v>
      </c>
      <c r="K735" s="54">
        <f>CHOOSE(CONTROL!$C$42, 40.1288, 40.1288) * CHOOSE(CONTROL!$C$21, $C$9, 100%, $E$9)</f>
        <v>40.128799999999998</v>
      </c>
      <c r="L735" s="10">
        <f>CHOOSE(CONTROL!$C$42, 40.8342, 40.8342) * CHOOSE(CONTROL!$C$21, $C$9, 100%, $E$9)</f>
        <v>40.834200000000003</v>
      </c>
      <c r="M735" s="10">
        <f>CHOOSE(CONTROL!$C$42, 39.7482, 39.7482) * CHOOSE(CONTROL!$C$21, $C$9, 100%, $E$9)</f>
        <v>39.748199999999997</v>
      </c>
      <c r="N735" s="10">
        <f>CHOOSE(CONTROL!$C$42, 39.7653, 39.7653) * CHOOSE(CONTROL!$C$21, $C$9, 100%, $E$9)</f>
        <v>39.765300000000003</v>
      </c>
      <c r="O735" s="10">
        <f>CHOOSE(CONTROL!$C$42, 39.8549, 39.8549) * CHOOSE(CONTROL!$C$21, $C$9, 100%, $E$9)</f>
        <v>39.854900000000001</v>
      </c>
      <c r="P735" s="10">
        <f>CHOOSE(CONTROL!$C$42, 39.7415, 39.7415) * CHOOSE(CONTROL!$C$21, $C$9, 100%, $E$9)</f>
        <v>39.741500000000002</v>
      </c>
      <c r="Q735" s="10">
        <f>CHOOSE(CONTROL!$C$42, 40.4502, 40.4502) * CHOOSE(CONTROL!$C$21, $C$9, 100%, $E$9)</f>
        <v>40.450200000000002</v>
      </c>
      <c r="R735" s="10">
        <f>CHOOSE(CONTROL!$C$42, 41.1383, 41.1383) * CHOOSE(CONTROL!$C$21, $C$9, 100%, $E$9)</f>
        <v>41.138300000000001</v>
      </c>
      <c r="S735" s="10">
        <f>CHOOSE(CONTROL!$C$42, 38.996, 38.996) * CHOOSE(CONTROL!$C$21, $C$9, 100%, $E$9)</f>
        <v>38.996000000000002</v>
      </c>
      <c r="T735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735" s="58">
        <f>(1000*CHOOSE(CONTROL!$C$42, 695, 695)*CHOOSE(CONTROL!$C$42, 0.5599, 0.5599)*CHOOSE(CONTROL!$C$42, 31, 31))/1000000</f>
        <v>12.063045499999998</v>
      </c>
      <c r="V735" s="58">
        <f>(1000*CHOOSE(CONTROL!$C$42, 500, 500)*CHOOSE(CONTROL!$C$42, 0.275, 0.275)*CHOOSE(CONTROL!$C$42, 31, 31))/1000000</f>
        <v>4.2625000000000002</v>
      </c>
      <c r="W735" s="58">
        <f>(1000*CHOOSE(CONTROL!$C$42, 0.1146, 0.1146)*CHOOSE(CONTROL!$C$42, 121.5, 121.5)*CHOOSE(CONTROL!$C$42, 31, 31))/1000000</f>
        <v>0.43164089999999994</v>
      </c>
      <c r="X735" s="58">
        <f>(31*0.1790888*100000/1000000)+(31*0.2374*100000/1000000)</f>
        <v>1.2911152800000001</v>
      </c>
      <c r="Y735" s="58"/>
      <c r="Z735" s="10"/>
      <c r="AA735" s="57"/>
      <c r="AB735" s="51">
        <f>(B735*122.58+C735*297.941+D735*89.177+E735*40.302+F735*40+G735*160+H735*0+I735*100+J735*300)/(122.58+297.941+89.177+40.302+0+40+160+100+300)</f>
        <v>40.161566995739129</v>
      </c>
      <c r="AC735" s="27">
        <f>(M735*'RAP TEMPLATE-GAS AVAILABILITY'!O734+N735*'RAP TEMPLATE-GAS AVAILABILITY'!P734+O735*'RAP TEMPLATE-GAS AVAILABILITY'!Q734+P735*'RAP TEMPLATE-GAS AVAILABILITY'!R734)/('RAP TEMPLATE-GAS AVAILABILITY'!O734+'RAP TEMPLATE-GAS AVAILABILITY'!P734+'RAP TEMPLATE-GAS AVAILABILITY'!Q734+'RAP TEMPLATE-GAS AVAILABILITY'!R734)</f>
        <v>39.796580575539572</v>
      </c>
    </row>
    <row r="736" spans="1:29" ht="15.75" x14ac:dyDescent="0.25">
      <c r="A736" s="13">
        <v>63309</v>
      </c>
      <c r="B736" s="10">
        <f>CHOOSE(CONTROL!$C$42, 40.0397, 40.0397) * CHOOSE(CONTROL!$C$21, $C$9, 100%, $E$9)</f>
        <v>40.039700000000003</v>
      </c>
      <c r="C736" s="10">
        <f>CHOOSE(CONTROL!$C$42, 40.0441, 40.0441) * CHOOSE(CONTROL!$C$21, $C$9, 100%, $E$9)</f>
        <v>40.0441</v>
      </c>
      <c r="D736" s="10">
        <f>CHOOSE(CONTROL!$C$42, 40.2397, 40.2397) * CHOOSE(CONTROL!$C$21, $C$9, 100%, $E$9)</f>
        <v>40.239699999999999</v>
      </c>
      <c r="E736" s="10">
        <f>CHOOSE(CONTROL!$C$42, 40.2714, 40.2714) * CHOOSE(CONTROL!$C$21, $C$9, 100%, $E$9)</f>
        <v>40.2714</v>
      </c>
      <c r="F736" s="10">
        <f>CHOOSE(CONTROL!$C$42, 40.0075, 40.0075)*CHOOSE(CONTROL!$C$21, $C$9, 100%, $E$9)</f>
        <v>40.0075</v>
      </c>
      <c r="G736" s="10">
        <f>CHOOSE(CONTROL!$C$42, 40.0243, 40.0243)*CHOOSE(CONTROL!$C$21, $C$9, 100%, $E$9)</f>
        <v>40.024299999999997</v>
      </c>
      <c r="H736" s="10">
        <f>CHOOSE(CONTROL!$C$42, 40.2612, 40.2612) * CHOOSE(CONTROL!$C$21, $C$9, 100%, $E$9)</f>
        <v>40.261200000000002</v>
      </c>
      <c r="I736" s="10">
        <f>CHOOSE(CONTROL!$C$42, 40.0077, 40.0077)* CHOOSE(CONTROL!$C$21, $C$9, 100%, $E$9)</f>
        <v>40.0077</v>
      </c>
      <c r="J736" s="10">
        <f>CHOOSE(CONTROL!$C$42, 40.0005, 40.0005)* CHOOSE(CONTROL!$C$21, $C$9, 100%, $E$9)</f>
        <v>40.000500000000002</v>
      </c>
      <c r="K736" s="54">
        <f>CHOOSE(CONTROL!$C$42, 40.0038, 40.0038) * CHOOSE(CONTROL!$C$21, $C$9, 100%, $E$9)</f>
        <v>40.003799999999998</v>
      </c>
      <c r="L736" s="10">
        <f>CHOOSE(CONTROL!$C$42, 40.8482, 40.8482) * CHOOSE(CONTROL!$C$21, $C$9, 100%, $E$9)</f>
        <v>40.848199999999999</v>
      </c>
      <c r="M736" s="10">
        <f>CHOOSE(CONTROL!$C$42, 39.6107, 39.6107) * CHOOSE(CONTROL!$C$21, $C$9, 100%, $E$9)</f>
        <v>39.610700000000001</v>
      </c>
      <c r="N736" s="10">
        <f>CHOOSE(CONTROL!$C$42, 39.6273, 39.6273) * CHOOSE(CONTROL!$C$21, $C$9, 100%, $E$9)</f>
        <v>39.627299999999998</v>
      </c>
      <c r="O736" s="10">
        <f>CHOOSE(CONTROL!$C$42, 39.8687, 39.8687) * CHOOSE(CONTROL!$C$21, $C$9, 100%, $E$9)</f>
        <v>39.868699999999997</v>
      </c>
      <c r="P736" s="10">
        <f>CHOOSE(CONTROL!$C$42, 39.6178, 39.6178) * CHOOSE(CONTROL!$C$21, $C$9, 100%, $E$9)</f>
        <v>39.617800000000003</v>
      </c>
      <c r="Q736" s="10">
        <f>CHOOSE(CONTROL!$C$42, 40.464, 40.464) * CHOOSE(CONTROL!$C$21, $C$9, 100%, $E$9)</f>
        <v>40.463999999999999</v>
      </c>
      <c r="R736" s="10">
        <f>CHOOSE(CONTROL!$C$42, 41.1522, 41.1522) * CHOOSE(CONTROL!$C$21, $C$9, 100%, $E$9)</f>
        <v>41.152200000000001</v>
      </c>
      <c r="S736" s="10">
        <f>CHOOSE(CONTROL!$C$42, 38.8797, 38.8797) * CHOOSE(CONTROL!$C$21, $C$9, 100%, $E$9)</f>
        <v>38.8797</v>
      </c>
      <c r="T736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736" s="58">
        <f>(1000*CHOOSE(CONTROL!$C$42, 695, 695)*CHOOSE(CONTROL!$C$42, 0.5599, 0.5599)*CHOOSE(CONTROL!$C$42, 30, 30))/1000000</f>
        <v>11.673914999999997</v>
      </c>
      <c r="V736" s="58">
        <f>(1000*CHOOSE(CONTROL!$C$42, 500, 500)*CHOOSE(CONTROL!$C$42, 0.275, 0.275)*CHOOSE(CONTROL!$C$42, 30, 30))/1000000</f>
        <v>4.125</v>
      </c>
      <c r="W736" s="58">
        <f>(1000*CHOOSE(CONTROL!$C$42, 0.1146, 0.1146)*CHOOSE(CONTROL!$C$42, 121.5, 121.5)*CHOOSE(CONTROL!$C$42, 30, 30))/1000000</f>
        <v>0.417717</v>
      </c>
      <c r="X736" s="58">
        <f>(30*0.1790888*245000/1000000)+(30*0.2374*100000/1000000)</f>
        <v>2.0285026799999999</v>
      </c>
      <c r="Y736" s="58"/>
      <c r="Z736" s="10"/>
      <c r="AA736" s="57"/>
      <c r="AB736" s="51">
        <f>(B736*141.293+C736*267.993+D736*115.016+E736*89.698+F736*40+G736*185+H736*0+I736*100+J736*300)/(141.293+267.993+115.016+89.698+0+40+185+100+300)</f>
        <v>40.060578446973366</v>
      </c>
      <c r="AC736" s="27">
        <f>(M736*'RAP TEMPLATE-GAS AVAILABILITY'!O735+N736*'RAP TEMPLATE-GAS AVAILABILITY'!P735+O736*'RAP TEMPLATE-GAS AVAILABILITY'!Q735+P736*'RAP TEMPLATE-GAS AVAILABILITY'!R735)/('RAP TEMPLATE-GAS AVAILABILITY'!O735+'RAP TEMPLATE-GAS AVAILABILITY'!P735+'RAP TEMPLATE-GAS AVAILABILITY'!Q735+'RAP TEMPLATE-GAS AVAILABILITY'!R735)</f>
        <v>39.729612230215828</v>
      </c>
    </row>
    <row r="737" spans="1:29" ht="15.75" x14ac:dyDescent="0.25">
      <c r="A737" s="13">
        <v>63340</v>
      </c>
      <c r="B737" s="10">
        <f>CHOOSE(CONTROL!$C$42, 40.3945, 40.3945) * CHOOSE(CONTROL!$C$21, $C$9, 100%, $E$9)</f>
        <v>40.394500000000001</v>
      </c>
      <c r="C737" s="10">
        <f>CHOOSE(CONTROL!$C$42, 40.4024, 40.4024) * CHOOSE(CONTROL!$C$21, $C$9, 100%, $E$9)</f>
        <v>40.4024</v>
      </c>
      <c r="D737" s="10">
        <f>CHOOSE(CONTROL!$C$42, 40.5948, 40.5948) * CHOOSE(CONTROL!$C$21, $C$9, 100%, $E$9)</f>
        <v>40.594799999999999</v>
      </c>
      <c r="E737" s="10">
        <f>CHOOSE(CONTROL!$C$42, 40.626, 40.626) * CHOOSE(CONTROL!$C$21, $C$9, 100%, $E$9)</f>
        <v>40.625999999999998</v>
      </c>
      <c r="F737" s="10">
        <f>CHOOSE(CONTROL!$C$42, 40.3607, 40.3607)*CHOOSE(CONTROL!$C$21, $C$9, 100%, $E$9)</f>
        <v>40.360700000000001</v>
      </c>
      <c r="G737" s="10">
        <f>CHOOSE(CONTROL!$C$42, 40.3778, 40.3778)*CHOOSE(CONTROL!$C$21, $C$9, 100%, $E$9)</f>
        <v>40.377800000000001</v>
      </c>
      <c r="H737" s="10">
        <f>CHOOSE(CONTROL!$C$42, 40.6146, 40.6146) * CHOOSE(CONTROL!$C$21, $C$9, 100%, $E$9)</f>
        <v>40.614600000000003</v>
      </c>
      <c r="I737" s="10">
        <f>CHOOSE(CONTROL!$C$42, 40.361, 40.361)* CHOOSE(CONTROL!$C$21, $C$9, 100%, $E$9)</f>
        <v>40.360999999999997</v>
      </c>
      <c r="J737" s="10">
        <f>CHOOSE(CONTROL!$C$42, 40.3537, 40.3537)* CHOOSE(CONTROL!$C$21, $C$9, 100%, $E$9)</f>
        <v>40.353700000000003</v>
      </c>
      <c r="K737" s="54">
        <f>CHOOSE(CONTROL!$C$42, 40.3571, 40.3571) * CHOOSE(CONTROL!$C$21, $C$9, 100%, $E$9)</f>
        <v>40.357100000000003</v>
      </c>
      <c r="L737" s="10">
        <f>CHOOSE(CONTROL!$C$42, 41.2016, 41.2016) * CHOOSE(CONTROL!$C$21, $C$9, 100%, $E$9)</f>
        <v>41.201599999999999</v>
      </c>
      <c r="M737" s="10">
        <f>CHOOSE(CONTROL!$C$42, 39.9603, 39.9603) * CHOOSE(CONTROL!$C$21, $C$9, 100%, $E$9)</f>
        <v>39.960299999999997</v>
      </c>
      <c r="N737" s="10">
        <f>CHOOSE(CONTROL!$C$42, 39.9773, 39.9773) * CHOOSE(CONTROL!$C$21, $C$9, 100%, $E$9)</f>
        <v>39.9773</v>
      </c>
      <c r="O737" s="10">
        <f>CHOOSE(CONTROL!$C$42, 40.2185, 40.2185) * CHOOSE(CONTROL!$C$21, $C$9, 100%, $E$9)</f>
        <v>40.218499999999999</v>
      </c>
      <c r="P737" s="10">
        <f>CHOOSE(CONTROL!$C$42, 39.9676, 39.9676) * CHOOSE(CONTROL!$C$21, $C$9, 100%, $E$9)</f>
        <v>39.967599999999997</v>
      </c>
      <c r="Q737" s="10">
        <f>CHOOSE(CONTROL!$C$42, 40.8138, 40.8138) * CHOOSE(CONTROL!$C$21, $C$9, 100%, $E$9)</f>
        <v>40.813800000000001</v>
      </c>
      <c r="R737" s="10">
        <f>CHOOSE(CONTROL!$C$42, 41.5029, 41.5029) * CHOOSE(CONTROL!$C$21, $C$9, 100%, $E$9)</f>
        <v>41.502899999999997</v>
      </c>
      <c r="S737" s="10">
        <f>CHOOSE(CONTROL!$C$42, 39.2228, 39.2228) * CHOOSE(CONTROL!$C$21, $C$9, 100%, $E$9)</f>
        <v>39.222799999999999</v>
      </c>
      <c r="T737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737" s="58">
        <f>(1000*CHOOSE(CONTROL!$C$42, 695, 695)*CHOOSE(CONTROL!$C$42, 0.5599, 0.5599)*CHOOSE(CONTROL!$C$42, 31, 31))/1000000</f>
        <v>12.063045499999998</v>
      </c>
      <c r="V737" s="58">
        <f>(1000*CHOOSE(CONTROL!$C$42, 500, 500)*CHOOSE(CONTROL!$C$42, 0.275, 0.275)*CHOOSE(CONTROL!$C$42, 31, 31))/1000000</f>
        <v>4.2625000000000002</v>
      </c>
      <c r="W737" s="58">
        <f>(1000*CHOOSE(CONTROL!$C$42, 0.1146, 0.1146)*CHOOSE(CONTROL!$C$42, 121.5, 121.5)*CHOOSE(CONTROL!$C$42, 31, 31))/1000000</f>
        <v>0.43164089999999994</v>
      </c>
      <c r="X737" s="58">
        <f>(31*0.1790888*245000/1000000)+(31*0.2374*100000/1000000)</f>
        <v>2.0961194359999999</v>
      </c>
      <c r="Y737" s="58"/>
      <c r="Z737" s="10"/>
      <c r="AA737" s="57"/>
      <c r="AB737" s="51">
        <f>(B737*194.205+C737*267.466+D737*133.845+E737*53.484+F737*40+G737*185+H737*0+I737*100+J737*300)/(194.205+267.466+133.845+53.484+0+40+185+100+300)</f>
        <v>40.411197159262166</v>
      </c>
      <c r="AC737" s="27">
        <f>(M737*'RAP TEMPLATE-GAS AVAILABILITY'!O736+N737*'RAP TEMPLATE-GAS AVAILABILITY'!P736+O737*'RAP TEMPLATE-GAS AVAILABILITY'!Q736+P737*'RAP TEMPLATE-GAS AVAILABILITY'!R736)/('RAP TEMPLATE-GAS AVAILABILITY'!O736+'RAP TEMPLATE-GAS AVAILABILITY'!P736+'RAP TEMPLATE-GAS AVAILABILITY'!Q736+'RAP TEMPLATE-GAS AVAILABILITY'!R736)</f>
        <v>40.079354676258987</v>
      </c>
    </row>
    <row r="738" spans="1:29" ht="15.75" x14ac:dyDescent="0.25">
      <c r="A738" s="13">
        <v>63370</v>
      </c>
      <c r="B738" s="10">
        <f>CHOOSE(CONTROL!$C$42, 41.5402, 41.5402) * CHOOSE(CONTROL!$C$21, $C$9, 100%, $E$9)</f>
        <v>41.540199999999999</v>
      </c>
      <c r="C738" s="10">
        <f>CHOOSE(CONTROL!$C$42, 41.5481, 41.5481) * CHOOSE(CONTROL!$C$21, $C$9, 100%, $E$9)</f>
        <v>41.548099999999998</v>
      </c>
      <c r="D738" s="10">
        <f>CHOOSE(CONTROL!$C$42, 41.7405, 41.7405) * CHOOSE(CONTROL!$C$21, $C$9, 100%, $E$9)</f>
        <v>41.740499999999997</v>
      </c>
      <c r="E738" s="10">
        <f>CHOOSE(CONTROL!$C$42, 41.7716, 41.7716) * CHOOSE(CONTROL!$C$21, $C$9, 100%, $E$9)</f>
        <v>41.771599999999999</v>
      </c>
      <c r="F738" s="10">
        <f>CHOOSE(CONTROL!$C$42, 41.5066, 41.5066)*CHOOSE(CONTROL!$C$21, $C$9, 100%, $E$9)</f>
        <v>41.506599999999999</v>
      </c>
      <c r="G738" s="10">
        <f>CHOOSE(CONTROL!$C$42, 41.5238, 41.5238)*CHOOSE(CONTROL!$C$21, $C$9, 100%, $E$9)</f>
        <v>41.523800000000001</v>
      </c>
      <c r="H738" s="10">
        <f>CHOOSE(CONTROL!$C$42, 41.7603, 41.7603) * CHOOSE(CONTROL!$C$21, $C$9, 100%, $E$9)</f>
        <v>41.760300000000001</v>
      </c>
      <c r="I738" s="10">
        <f>CHOOSE(CONTROL!$C$42, 41.5067, 41.5067)* CHOOSE(CONTROL!$C$21, $C$9, 100%, $E$9)</f>
        <v>41.506700000000002</v>
      </c>
      <c r="J738" s="10">
        <f>CHOOSE(CONTROL!$C$42, 41.4996, 41.4996)* CHOOSE(CONTROL!$C$21, $C$9, 100%, $E$9)</f>
        <v>41.499600000000001</v>
      </c>
      <c r="K738" s="54">
        <f>CHOOSE(CONTROL!$C$42, 41.5028, 41.5028) * CHOOSE(CONTROL!$C$21, $C$9, 100%, $E$9)</f>
        <v>41.502800000000001</v>
      </c>
      <c r="L738" s="10">
        <f>CHOOSE(CONTROL!$C$42, 42.3473, 42.3473) * CHOOSE(CONTROL!$C$21, $C$9, 100%, $E$9)</f>
        <v>42.347299999999997</v>
      </c>
      <c r="M738" s="10">
        <f>CHOOSE(CONTROL!$C$42, 41.0947, 41.0947) * CHOOSE(CONTROL!$C$21, $C$9, 100%, $E$9)</f>
        <v>41.094700000000003</v>
      </c>
      <c r="N738" s="10">
        <f>CHOOSE(CONTROL!$C$42, 41.1117, 41.1117) * CHOOSE(CONTROL!$C$21, $C$9, 100%, $E$9)</f>
        <v>41.111699999999999</v>
      </c>
      <c r="O738" s="10">
        <f>CHOOSE(CONTROL!$C$42, 41.3527, 41.3527) * CHOOSE(CONTROL!$C$21, $C$9, 100%, $E$9)</f>
        <v>41.352699999999999</v>
      </c>
      <c r="P738" s="10">
        <f>CHOOSE(CONTROL!$C$42, 41.1017, 41.1017) * CHOOSE(CONTROL!$C$21, $C$9, 100%, $E$9)</f>
        <v>41.101700000000001</v>
      </c>
      <c r="Q738" s="10">
        <f>CHOOSE(CONTROL!$C$42, 41.948, 41.948) * CHOOSE(CONTROL!$C$21, $C$9, 100%, $E$9)</f>
        <v>41.948</v>
      </c>
      <c r="R738" s="10">
        <f>CHOOSE(CONTROL!$C$42, 42.6398, 42.6398) * CHOOSE(CONTROL!$C$21, $C$9, 100%, $E$9)</f>
        <v>42.639800000000001</v>
      </c>
      <c r="S738" s="10">
        <f>CHOOSE(CONTROL!$C$42, 40.3354, 40.3354) * CHOOSE(CONTROL!$C$21, $C$9, 100%, $E$9)</f>
        <v>40.3354</v>
      </c>
      <c r="T738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738" s="58">
        <f>(1000*CHOOSE(CONTROL!$C$42, 695, 695)*CHOOSE(CONTROL!$C$42, 0.5599, 0.5599)*CHOOSE(CONTROL!$C$42, 30, 30))/1000000</f>
        <v>11.673914999999997</v>
      </c>
      <c r="V738" s="58">
        <f>(1000*CHOOSE(CONTROL!$C$42, 500, 500)*CHOOSE(CONTROL!$C$42, 0.275, 0.275)*CHOOSE(CONTROL!$C$42, 30, 30))/1000000</f>
        <v>4.125</v>
      </c>
      <c r="W738" s="58">
        <f>(1000*CHOOSE(CONTROL!$C$42, 0.1146, 0.1146)*CHOOSE(CONTROL!$C$42, 121.5, 121.5)*CHOOSE(CONTROL!$C$42, 30, 30))/1000000</f>
        <v>0.417717</v>
      </c>
      <c r="X738" s="58">
        <f>(30*0.1790888*245000/1000000)+(30*0.2374*100000/1000000)</f>
        <v>2.0285026799999999</v>
      </c>
      <c r="Y738" s="58"/>
      <c r="Z738" s="10"/>
      <c r="AA738" s="57"/>
      <c r="AB738" s="51">
        <f>(B738*194.205+C738*267.466+D738*133.845+E738*53.484+F738*40+G738*185+H738*0+I738*100+J738*300)/(194.205+267.466+133.845+53.484+0+40+185+100+300)</f>
        <v>41.556989899921504</v>
      </c>
      <c r="AC738" s="27">
        <f>(M738*'RAP TEMPLATE-GAS AVAILABILITY'!O737+N738*'RAP TEMPLATE-GAS AVAILABILITY'!P737+O738*'RAP TEMPLATE-GAS AVAILABILITY'!Q737+P738*'RAP TEMPLATE-GAS AVAILABILITY'!R737)/('RAP TEMPLATE-GAS AVAILABILITY'!O737+'RAP TEMPLATE-GAS AVAILABILITY'!P737+'RAP TEMPLATE-GAS AVAILABILITY'!Q737+'RAP TEMPLATE-GAS AVAILABILITY'!R737)</f>
        <v>41.213620863309359</v>
      </c>
    </row>
    <row r="739" spans="1:29" ht="15.75" x14ac:dyDescent="0.25">
      <c r="A739" s="13">
        <v>63401</v>
      </c>
      <c r="B739" s="10">
        <f>CHOOSE(CONTROL!$C$42, 40.7433, 40.7433) * CHOOSE(CONTROL!$C$21, $C$9, 100%, $E$9)</f>
        <v>40.743299999999998</v>
      </c>
      <c r="C739" s="10">
        <f>CHOOSE(CONTROL!$C$42, 40.7512, 40.7512) * CHOOSE(CONTROL!$C$21, $C$9, 100%, $E$9)</f>
        <v>40.751199999999997</v>
      </c>
      <c r="D739" s="10">
        <f>CHOOSE(CONTROL!$C$42, 40.9437, 40.9437) * CHOOSE(CONTROL!$C$21, $C$9, 100%, $E$9)</f>
        <v>40.9437</v>
      </c>
      <c r="E739" s="10">
        <f>CHOOSE(CONTROL!$C$42, 40.9748, 40.9748) * CHOOSE(CONTROL!$C$21, $C$9, 100%, $E$9)</f>
        <v>40.974800000000002</v>
      </c>
      <c r="F739" s="10">
        <f>CHOOSE(CONTROL!$C$42, 40.7102, 40.7102)*CHOOSE(CONTROL!$C$21, $C$9, 100%, $E$9)</f>
        <v>40.7102</v>
      </c>
      <c r="G739" s="10">
        <f>CHOOSE(CONTROL!$C$42, 40.7275, 40.7275)*CHOOSE(CONTROL!$C$21, $C$9, 100%, $E$9)</f>
        <v>40.727499999999999</v>
      </c>
      <c r="H739" s="10">
        <f>CHOOSE(CONTROL!$C$42, 40.9634, 40.9634) * CHOOSE(CONTROL!$C$21, $C$9, 100%, $E$9)</f>
        <v>40.9634</v>
      </c>
      <c r="I739" s="10">
        <f>CHOOSE(CONTROL!$C$42, 40.7099, 40.7099)* CHOOSE(CONTROL!$C$21, $C$9, 100%, $E$9)</f>
        <v>40.709899999999998</v>
      </c>
      <c r="J739" s="10">
        <f>CHOOSE(CONTROL!$C$42, 40.7032, 40.7032)* CHOOSE(CONTROL!$C$21, $C$9, 100%, $E$9)</f>
        <v>40.703200000000002</v>
      </c>
      <c r="K739" s="54">
        <f>CHOOSE(CONTROL!$C$42, 40.706, 40.706) * CHOOSE(CONTROL!$C$21, $C$9, 100%, $E$9)</f>
        <v>40.706000000000003</v>
      </c>
      <c r="L739" s="10">
        <f>CHOOSE(CONTROL!$C$42, 41.5504, 41.5504) * CHOOSE(CONTROL!$C$21, $C$9, 100%, $E$9)</f>
        <v>41.550400000000003</v>
      </c>
      <c r="M739" s="10">
        <f>CHOOSE(CONTROL!$C$42, 40.3063, 40.3063) * CHOOSE(CONTROL!$C$21, $C$9, 100%, $E$9)</f>
        <v>40.3063</v>
      </c>
      <c r="N739" s="10">
        <f>CHOOSE(CONTROL!$C$42, 40.3234, 40.3234) * CHOOSE(CONTROL!$C$21, $C$9, 100%, $E$9)</f>
        <v>40.323399999999999</v>
      </c>
      <c r="O739" s="10">
        <f>CHOOSE(CONTROL!$C$42, 40.5639, 40.5639) * CHOOSE(CONTROL!$C$21, $C$9, 100%, $E$9)</f>
        <v>40.563899999999997</v>
      </c>
      <c r="P739" s="10">
        <f>CHOOSE(CONTROL!$C$42, 40.3129, 40.3129) * CHOOSE(CONTROL!$C$21, $C$9, 100%, $E$9)</f>
        <v>40.312899999999999</v>
      </c>
      <c r="Q739" s="10">
        <f>CHOOSE(CONTROL!$C$42, 41.1592, 41.1592) * CHOOSE(CONTROL!$C$21, $C$9, 100%, $E$9)</f>
        <v>41.159199999999998</v>
      </c>
      <c r="R739" s="10">
        <f>CHOOSE(CONTROL!$C$42, 41.8491, 41.8491) * CHOOSE(CONTROL!$C$21, $C$9, 100%, $E$9)</f>
        <v>41.8491</v>
      </c>
      <c r="S739" s="10">
        <f>CHOOSE(CONTROL!$C$42, 39.5616, 39.5616) * CHOOSE(CONTROL!$C$21, $C$9, 100%, $E$9)</f>
        <v>39.561599999999999</v>
      </c>
      <c r="T739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739" s="58">
        <f>(1000*CHOOSE(CONTROL!$C$42, 695, 695)*CHOOSE(CONTROL!$C$42, 0.5599, 0.5599)*CHOOSE(CONTROL!$C$42, 31, 31))/1000000</f>
        <v>12.063045499999998</v>
      </c>
      <c r="V739" s="58">
        <f>(1000*CHOOSE(CONTROL!$C$42, 500, 500)*CHOOSE(CONTROL!$C$42, 0.275, 0.275)*CHOOSE(CONTROL!$C$42, 31, 31))/1000000</f>
        <v>4.2625000000000002</v>
      </c>
      <c r="W739" s="58">
        <f>(1000*CHOOSE(CONTROL!$C$42, 0.1146, 0.1146)*CHOOSE(CONTROL!$C$42, 121.5, 121.5)*CHOOSE(CONTROL!$C$42, 31, 31))/1000000</f>
        <v>0.43164089999999994</v>
      </c>
      <c r="X739" s="58">
        <f>(31*0.1790888*245000/1000000)+(31*0.2374*100000/1000000)</f>
        <v>2.0961194359999999</v>
      </c>
      <c r="Y739" s="58"/>
      <c r="Z739" s="10"/>
      <c r="AA739" s="57"/>
      <c r="AB739" s="51">
        <f>(B739*194.205+C739*267.466+D739*133.845+E739*53.484+F739*40+G739*185+H739*0+I739*100+J739*300)/(194.205+267.466+133.845+53.484+0+40+185+100+300)</f>
        <v>40.760333018367341</v>
      </c>
      <c r="AC739" s="27">
        <f>(M739*'RAP TEMPLATE-GAS AVAILABILITY'!O738+N739*'RAP TEMPLATE-GAS AVAILABILITY'!P738+O739*'RAP TEMPLATE-GAS AVAILABILITY'!Q738+P739*'RAP TEMPLATE-GAS AVAILABILITY'!R738)/('RAP TEMPLATE-GAS AVAILABILITY'!O738+'RAP TEMPLATE-GAS AVAILABILITY'!P738+'RAP TEMPLATE-GAS AVAILABILITY'!Q738+'RAP TEMPLATE-GAS AVAILABILITY'!R738)</f>
        <v>40.424987769784174</v>
      </c>
    </row>
    <row r="740" spans="1:29" ht="15.75" x14ac:dyDescent="0.25">
      <c r="A740" s="13">
        <v>63432</v>
      </c>
      <c r="B740" s="10">
        <f>CHOOSE(CONTROL!$C$42, 38.7311, 38.7311) * CHOOSE(CONTROL!$C$21, $C$9, 100%, $E$9)</f>
        <v>38.731099999999998</v>
      </c>
      <c r="C740" s="10">
        <f>CHOOSE(CONTROL!$C$42, 38.739, 38.739) * CHOOSE(CONTROL!$C$21, $C$9, 100%, $E$9)</f>
        <v>38.738999999999997</v>
      </c>
      <c r="D740" s="10">
        <f>CHOOSE(CONTROL!$C$42, 38.9314, 38.9314) * CHOOSE(CONTROL!$C$21, $C$9, 100%, $E$9)</f>
        <v>38.931399999999996</v>
      </c>
      <c r="E740" s="10">
        <f>CHOOSE(CONTROL!$C$42, 38.9626, 38.9626) * CHOOSE(CONTROL!$C$21, $C$9, 100%, $E$9)</f>
        <v>38.962600000000002</v>
      </c>
      <c r="F740" s="10">
        <f>CHOOSE(CONTROL!$C$42, 38.6981, 38.6981)*CHOOSE(CONTROL!$C$21, $C$9, 100%, $E$9)</f>
        <v>38.698099999999997</v>
      </c>
      <c r="G740" s="10">
        <f>CHOOSE(CONTROL!$C$42, 38.7155, 38.7155)*CHOOSE(CONTROL!$C$21, $C$9, 100%, $E$9)</f>
        <v>38.715499999999999</v>
      </c>
      <c r="H740" s="10">
        <f>CHOOSE(CONTROL!$C$42, 38.9512, 38.9512) * CHOOSE(CONTROL!$C$21, $C$9, 100%, $E$9)</f>
        <v>38.9512</v>
      </c>
      <c r="I740" s="10">
        <f>CHOOSE(CONTROL!$C$42, 38.6976, 38.6976)* CHOOSE(CONTROL!$C$21, $C$9, 100%, $E$9)</f>
        <v>38.697600000000001</v>
      </c>
      <c r="J740" s="10">
        <f>CHOOSE(CONTROL!$C$42, 38.6911, 38.6911)* CHOOSE(CONTROL!$C$21, $C$9, 100%, $E$9)</f>
        <v>38.691099999999999</v>
      </c>
      <c r="K740" s="54">
        <f>CHOOSE(CONTROL!$C$42, 38.6937, 38.6937) * CHOOSE(CONTROL!$C$21, $C$9, 100%, $E$9)</f>
        <v>38.6937</v>
      </c>
      <c r="L740" s="10">
        <f>CHOOSE(CONTROL!$C$42, 39.5382, 39.5382) * CHOOSE(CONTROL!$C$21, $C$9, 100%, $E$9)</f>
        <v>39.538200000000003</v>
      </c>
      <c r="M740" s="10">
        <f>CHOOSE(CONTROL!$C$42, 38.3145, 38.3145) * CHOOSE(CONTROL!$C$21, $C$9, 100%, $E$9)</f>
        <v>38.314500000000002</v>
      </c>
      <c r="N740" s="10">
        <f>CHOOSE(CONTROL!$C$42, 38.3317, 38.3317) * CHOOSE(CONTROL!$C$21, $C$9, 100%, $E$9)</f>
        <v>38.331699999999998</v>
      </c>
      <c r="O740" s="10">
        <f>CHOOSE(CONTROL!$C$42, 38.5719, 38.5719) * CHOOSE(CONTROL!$C$21, $C$9, 100%, $E$9)</f>
        <v>38.571899999999999</v>
      </c>
      <c r="P740" s="10">
        <f>CHOOSE(CONTROL!$C$42, 38.321, 38.321) * CHOOSE(CONTROL!$C$21, $C$9, 100%, $E$9)</f>
        <v>38.320999999999998</v>
      </c>
      <c r="Q740" s="10">
        <f>CHOOSE(CONTROL!$C$42, 39.1672, 39.1672) * CHOOSE(CONTROL!$C$21, $C$9, 100%, $E$9)</f>
        <v>39.167200000000001</v>
      </c>
      <c r="R740" s="10">
        <f>CHOOSE(CONTROL!$C$42, 39.8521, 39.8521) * CHOOSE(CONTROL!$C$21, $C$9, 100%, $E$9)</f>
        <v>39.8521</v>
      </c>
      <c r="S740" s="10">
        <f>CHOOSE(CONTROL!$C$42, 37.6075, 37.6075) * CHOOSE(CONTROL!$C$21, $C$9, 100%, $E$9)</f>
        <v>37.607500000000002</v>
      </c>
      <c r="T740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740" s="58">
        <f>(1000*CHOOSE(CONTROL!$C$42, 695, 695)*CHOOSE(CONTROL!$C$42, 0.5599, 0.5599)*CHOOSE(CONTROL!$C$42, 31, 31))/1000000</f>
        <v>12.063045499999998</v>
      </c>
      <c r="V740" s="58">
        <f>(1000*CHOOSE(CONTROL!$C$42, 500, 500)*CHOOSE(CONTROL!$C$42, 0.275, 0.275)*CHOOSE(CONTROL!$C$42, 31, 31))/1000000</f>
        <v>4.2625000000000002</v>
      </c>
      <c r="W740" s="58">
        <f>(1000*CHOOSE(CONTROL!$C$42, 0.1146, 0.1146)*CHOOSE(CONTROL!$C$42, 121.5, 121.5)*CHOOSE(CONTROL!$C$42, 31, 31))/1000000</f>
        <v>0.43164089999999994</v>
      </c>
      <c r="X740" s="58">
        <f>(31*0.1790888*245000/1000000)+(31*0.2374*100000/1000000)</f>
        <v>2.0961194359999999</v>
      </c>
      <c r="Y740" s="58"/>
      <c r="Z740" s="10"/>
      <c r="AA740" s="57"/>
      <c r="AB740" s="51">
        <f>(B740*194.205+C740*267.466+D740*133.845+E740*53.484+F740*40+G740*185+H740*0+I740*100+J740*300)/(194.205+267.466+133.845+53.484+0+40+185+100+300)</f>
        <v>38.748170393171115</v>
      </c>
      <c r="AC740" s="27">
        <f>(M740*'RAP TEMPLATE-GAS AVAILABILITY'!O739+N740*'RAP TEMPLATE-GAS AVAILABILITY'!P739+O740*'RAP TEMPLATE-GAS AVAILABILITY'!Q739+P740*'RAP TEMPLATE-GAS AVAILABILITY'!R739)/('RAP TEMPLATE-GAS AVAILABILITY'!O739+'RAP TEMPLATE-GAS AVAILABILITY'!P739+'RAP TEMPLATE-GAS AVAILABILITY'!Q739+'RAP TEMPLATE-GAS AVAILABILITY'!R739)</f>
        <v>38.433088489208636</v>
      </c>
    </row>
    <row r="741" spans="1:29" ht="15.75" x14ac:dyDescent="0.25">
      <c r="A741" s="13">
        <v>63462</v>
      </c>
      <c r="B741" s="10">
        <f>CHOOSE(CONTROL!$C$42, 36.2721, 36.2721) * CHOOSE(CONTROL!$C$21, $C$9, 100%, $E$9)</f>
        <v>36.272100000000002</v>
      </c>
      <c r="C741" s="10">
        <f>CHOOSE(CONTROL!$C$42, 36.28, 36.28) * CHOOSE(CONTROL!$C$21, $C$9, 100%, $E$9)</f>
        <v>36.28</v>
      </c>
      <c r="D741" s="10">
        <f>CHOOSE(CONTROL!$C$42, 36.4724, 36.4724) * CHOOSE(CONTROL!$C$21, $C$9, 100%, $E$9)</f>
        <v>36.4724</v>
      </c>
      <c r="E741" s="10">
        <f>CHOOSE(CONTROL!$C$42, 36.5036, 36.5036) * CHOOSE(CONTROL!$C$21, $C$9, 100%, $E$9)</f>
        <v>36.503599999999999</v>
      </c>
      <c r="F741" s="10">
        <f>CHOOSE(CONTROL!$C$42, 36.239, 36.239)*CHOOSE(CONTROL!$C$21, $C$9, 100%, $E$9)</f>
        <v>36.238999999999997</v>
      </c>
      <c r="G741" s="10">
        <f>CHOOSE(CONTROL!$C$42, 36.2563, 36.2563)*CHOOSE(CONTROL!$C$21, $C$9, 100%, $E$9)</f>
        <v>36.256300000000003</v>
      </c>
      <c r="H741" s="10">
        <f>CHOOSE(CONTROL!$C$42, 36.4922, 36.4922) * CHOOSE(CONTROL!$C$21, $C$9, 100%, $E$9)</f>
        <v>36.492199999999997</v>
      </c>
      <c r="I741" s="10">
        <f>CHOOSE(CONTROL!$C$42, 36.2386, 36.2386)* CHOOSE(CONTROL!$C$21, $C$9, 100%, $E$9)</f>
        <v>36.238599999999998</v>
      </c>
      <c r="J741" s="10">
        <f>CHOOSE(CONTROL!$C$42, 36.232, 36.232)* CHOOSE(CONTROL!$C$21, $C$9, 100%, $E$9)</f>
        <v>36.231999999999999</v>
      </c>
      <c r="K741" s="54">
        <f>CHOOSE(CONTROL!$C$42, 36.2347, 36.2347) * CHOOSE(CONTROL!$C$21, $C$9, 100%, $E$9)</f>
        <v>36.234699999999997</v>
      </c>
      <c r="L741" s="10">
        <f>CHOOSE(CONTROL!$C$42, 37.0792, 37.0792) * CHOOSE(CONTROL!$C$21, $C$9, 100%, $E$9)</f>
        <v>37.0792</v>
      </c>
      <c r="M741" s="10">
        <f>CHOOSE(CONTROL!$C$42, 35.8802, 35.8802) * CHOOSE(CONTROL!$C$21, $C$9, 100%, $E$9)</f>
        <v>35.880200000000002</v>
      </c>
      <c r="N741" s="10">
        <f>CHOOSE(CONTROL!$C$42, 35.8973, 35.8973) * CHOOSE(CONTROL!$C$21, $C$9, 100%, $E$9)</f>
        <v>35.897300000000001</v>
      </c>
      <c r="O741" s="10">
        <f>CHOOSE(CONTROL!$C$42, 36.1377, 36.1377) * CHOOSE(CONTROL!$C$21, $C$9, 100%, $E$9)</f>
        <v>36.137700000000002</v>
      </c>
      <c r="P741" s="10">
        <f>CHOOSE(CONTROL!$C$42, 35.8868, 35.8868) * CHOOSE(CONTROL!$C$21, $C$9, 100%, $E$9)</f>
        <v>35.886800000000001</v>
      </c>
      <c r="Q741" s="10">
        <f>CHOOSE(CONTROL!$C$42, 36.733, 36.733) * CHOOSE(CONTROL!$C$21, $C$9, 100%, $E$9)</f>
        <v>36.732999999999997</v>
      </c>
      <c r="R741" s="10">
        <f>CHOOSE(CONTROL!$C$42, 37.4119, 37.4119) * CHOOSE(CONTROL!$C$21, $C$9, 100%, $E$9)</f>
        <v>37.411900000000003</v>
      </c>
      <c r="S741" s="10">
        <f>CHOOSE(CONTROL!$C$42, 35.2196, 35.2196) * CHOOSE(CONTROL!$C$21, $C$9, 100%, $E$9)</f>
        <v>35.2196</v>
      </c>
      <c r="T741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741" s="58">
        <f>(1000*CHOOSE(CONTROL!$C$42, 695, 695)*CHOOSE(CONTROL!$C$42, 0.5599, 0.5599)*CHOOSE(CONTROL!$C$42, 30, 30))/1000000</f>
        <v>11.673914999999997</v>
      </c>
      <c r="V741" s="58">
        <f>(1000*CHOOSE(CONTROL!$C$42, 500, 500)*CHOOSE(CONTROL!$C$42, 0.275, 0.275)*CHOOSE(CONTROL!$C$42, 30, 30))/1000000</f>
        <v>4.125</v>
      </c>
      <c r="W741" s="58">
        <f>(1000*CHOOSE(CONTROL!$C$42, 0.1146, 0.1146)*CHOOSE(CONTROL!$C$42, 121.5, 121.5)*CHOOSE(CONTROL!$C$42, 30, 30))/1000000</f>
        <v>0.417717</v>
      </c>
      <c r="X741" s="58">
        <f>(30*0.1790888*245000/1000000)+(30*0.2374*100000/1000000)</f>
        <v>2.0285026799999999</v>
      </c>
      <c r="Y741" s="58"/>
      <c r="Z741" s="10"/>
      <c r="AA741" s="57"/>
      <c r="AB741" s="51">
        <f>(B741*194.205+C741*267.466+D741*133.845+E741*53.484+F741*40+G741*185+H741*0+I741*100+J741*300)/(194.205+267.466+133.845+53.484+0+40+185+100+300)</f>
        <v>36.289114663186815</v>
      </c>
      <c r="AC741" s="27">
        <f>(M741*'RAP TEMPLATE-GAS AVAILABILITY'!O740+N741*'RAP TEMPLATE-GAS AVAILABILITY'!P740+O741*'RAP TEMPLATE-GAS AVAILABILITY'!Q740+P741*'RAP TEMPLATE-GAS AVAILABILITY'!R740)/('RAP TEMPLATE-GAS AVAILABILITY'!O740+'RAP TEMPLATE-GAS AVAILABILITY'!P740+'RAP TEMPLATE-GAS AVAILABILITY'!Q740+'RAP TEMPLATE-GAS AVAILABILITY'!R740)</f>
        <v>35.99884244604317</v>
      </c>
    </row>
    <row r="742" spans="1:29" ht="15.75" x14ac:dyDescent="0.25">
      <c r="A742" s="13">
        <v>63493</v>
      </c>
      <c r="B742" s="10">
        <f>CHOOSE(CONTROL!$C$42, 35.5339, 35.5339) * CHOOSE(CONTROL!$C$21, $C$9, 100%, $E$9)</f>
        <v>35.533900000000003</v>
      </c>
      <c r="C742" s="10">
        <f>CHOOSE(CONTROL!$C$42, 35.5392, 35.5392) * CHOOSE(CONTROL!$C$21, $C$9, 100%, $E$9)</f>
        <v>35.539200000000001</v>
      </c>
      <c r="D742" s="10">
        <f>CHOOSE(CONTROL!$C$42, 35.7366, 35.7366) * CHOOSE(CONTROL!$C$21, $C$9, 100%, $E$9)</f>
        <v>35.736600000000003</v>
      </c>
      <c r="E742" s="10">
        <f>CHOOSE(CONTROL!$C$42, 35.7654, 35.7654) * CHOOSE(CONTROL!$C$21, $C$9, 100%, $E$9)</f>
        <v>35.7654</v>
      </c>
      <c r="F742" s="10">
        <f>CHOOSE(CONTROL!$C$42, 35.5028, 35.5028)*CHOOSE(CONTROL!$C$21, $C$9, 100%, $E$9)</f>
        <v>35.502800000000001</v>
      </c>
      <c r="G742" s="10">
        <f>CHOOSE(CONTROL!$C$42, 35.5198, 35.5198)*CHOOSE(CONTROL!$C$21, $C$9, 100%, $E$9)</f>
        <v>35.519799999999996</v>
      </c>
      <c r="H742" s="10">
        <f>CHOOSE(CONTROL!$C$42, 35.7558, 35.7558) * CHOOSE(CONTROL!$C$21, $C$9, 100%, $E$9)</f>
        <v>35.755800000000001</v>
      </c>
      <c r="I742" s="10">
        <f>CHOOSE(CONTROL!$C$42, 35.5023, 35.5023)* CHOOSE(CONTROL!$C$21, $C$9, 100%, $E$9)</f>
        <v>35.502299999999998</v>
      </c>
      <c r="J742" s="10">
        <f>CHOOSE(CONTROL!$C$42, 35.4958, 35.4958)* CHOOSE(CONTROL!$C$21, $C$9, 100%, $E$9)</f>
        <v>35.495800000000003</v>
      </c>
      <c r="K742" s="54">
        <f>CHOOSE(CONTROL!$C$42, 35.4984, 35.4984) * CHOOSE(CONTROL!$C$21, $C$9, 100%, $E$9)</f>
        <v>35.498399999999997</v>
      </c>
      <c r="L742" s="10">
        <f>CHOOSE(CONTROL!$C$42, 36.3428, 36.3428) * CHOOSE(CONTROL!$C$21, $C$9, 100%, $E$9)</f>
        <v>36.342799999999997</v>
      </c>
      <c r="M742" s="10">
        <f>CHOOSE(CONTROL!$C$42, 35.1515, 35.1515) * CHOOSE(CONTROL!$C$21, $C$9, 100%, $E$9)</f>
        <v>35.151499999999999</v>
      </c>
      <c r="N742" s="10">
        <f>CHOOSE(CONTROL!$C$42, 35.1683, 35.1683) * CHOOSE(CONTROL!$C$21, $C$9, 100%, $E$9)</f>
        <v>35.168300000000002</v>
      </c>
      <c r="O742" s="10">
        <f>CHOOSE(CONTROL!$C$42, 35.4088, 35.4088) * CHOOSE(CONTROL!$C$21, $C$9, 100%, $E$9)</f>
        <v>35.408799999999999</v>
      </c>
      <c r="P742" s="10">
        <f>CHOOSE(CONTROL!$C$42, 35.1579, 35.1579) * CHOOSE(CONTROL!$C$21, $C$9, 100%, $E$9)</f>
        <v>35.157899999999998</v>
      </c>
      <c r="Q742" s="10">
        <f>CHOOSE(CONTROL!$C$42, 36.0041, 36.0041) * CHOOSE(CONTROL!$C$21, $C$9, 100%, $E$9)</f>
        <v>36.004100000000001</v>
      </c>
      <c r="R742" s="10">
        <f>CHOOSE(CONTROL!$C$42, 36.6811, 36.6811) * CHOOSE(CONTROL!$C$21, $C$9, 100%, $E$9)</f>
        <v>36.681100000000001</v>
      </c>
      <c r="S742" s="10">
        <f>CHOOSE(CONTROL!$C$42, 34.5045, 34.5045) * CHOOSE(CONTROL!$C$21, $C$9, 100%, $E$9)</f>
        <v>34.5045</v>
      </c>
      <c r="T742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742" s="58">
        <f>(1000*CHOOSE(CONTROL!$C$42, 695, 695)*CHOOSE(CONTROL!$C$42, 0.5599, 0.5599)*CHOOSE(CONTROL!$C$42, 31, 31))/1000000</f>
        <v>12.063045499999998</v>
      </c>
      <c r="V742" s="58">
        <f>(1000*CHOOSE(CONTROL!$C$42, 500, 500)*CHOOSE(CONTROL!$C$42, 0.275, 0.275)*CHOOSE(CONTROL!$C$42, 31, 31))/1000000</f>
        <v>4.2625000000000002</v>
      </c>
      <c r="W742" s="58">
        <f>(1000*CHOOSE(CONTROL!$C$42, 0.1146, 0.1146)*CHOOSE(CONTROL!$C$42, 121.5, 121.5)*CHOOSE(CONTROL!$C$42, 31, 31))/1000000</f>
        <v>0.43164089999999994</v>
      </c>
      <c r="X742" s="58">
        <f>(31*0.1790888*245000/1000000)+(31*0.2374*100000/1000000)</f>
        <v>2.0961194359999999</v>
      </c>
      <c r="Y742" s="58"/>
      <c r="Z742" s="10"/>
      <c r="AA742" s="57"/>
      <c r="AB742" s="51">
        <f>(B742*131.881+C742*277.167+D742*79.08+E742*125.872+F742*40+G742*185+H742*0+I742*100+J742*300)/(131.881+277.167+79.08+125.872+0+40+185+100+300)</f>
        <v>35.556656552945931</v>
      </c>
      <c r="AC742" s="27">
        <f>(M742*'RAP TEMPLATE-GAS AVAILABILITY'!O741+N742*'RAP TEMPLATE-GAS AVAILABILITY'!P741+O742*'RAP TEMPLATE-GAS AVAILABILITY'!Q741+P742*'RAP TEMPLATE-GAS AVAILABILITY'!R741)/('RAP TEMPLATE-GAS AVAILABILITY'!O741+'RAP TEMPLATE-GAS AVAILABILITY'!P741+'RAP TEMPLATE-GAS AVAILABILITY'!Q741+'RAP TEMPLATE-GAS AVAILABILITY'!R741)</f>
        <v>35.270005755395687</v>
      </c>
    </row>
    <row r="743" spans="1:29" ht="15.75" x14ac:dyDescent="0.25">
      <c r="A743" s="13">
        <v>63523</v>
      </c>
      <c r="B743" s="10">
        <f>CHOOSE(CONTROL!$C$42, 36.4696, 36.4696) * CHOOSE(CONTROL!$C$21, $C$9, 100%, $E$9)</f>
        <v>36.4696</v>
      </c>
      <c r="C743" s="10">
        <f>CHOOSE(CONTROL!$C$42, 36.4745, 36.4745) * CHOOSE(CONTROL!$C$21, $C$9, 100%, $E$9)</f>
        <v>36.474499999999999</v>
      </c>
      <c r="D743" s="10">
        <f>CHOOSE(CONTROL!$C$42, 36.5041, 36.5041) * CHOOSE(CONTROL!$C$21, $C$9, 100%, $E$9)</f>
        <v>36.504100000000001</v>
      </c>
      <c r="E743" s="10">
        <f>CHOOSE(CONTROL!$C$42, 36.5379, 36.5379) * CHOOSE(CONTROL!$C$21, $C$9, 100%, $E$9)</f>
        <v>36.5379</v>
      </c>
      <c r="F743" s="10">
        <f>CHOOSE(CONTROL!$C$42, 36.4364, 36.4364)*CHOOSE(CONTROL!$C$21, $C$9, 100%, $E$9)</f>
        <v>36.436399999999999</v>
      </c>
      <c r="G743" s="10">
        <f>CHOOSE(CONTROL!$C$42, 36.4535, 36.4535)*CHOOSE(CONTROL!$C$21, $C$9, 100%, $E$9)</f>
        <v>36.453499999999998</v>
      </c>
      <c r="H743" s="10">
        <f>CHOOSE(CONTROL!$C$42, 36.5271, 36.5271) * CHOOSE(CONTROL!$C$21, $C$9, 100%, $E$9)</f>
        <v>36.527099999999997</v>
      </c>
      <c r="I743" s="10">
        <f>CHOOSE(CONTROL!$C$42, 36.4332, 36.4332)* CHOOSE(CONTROL!$C$21, $C$9, 100%, $E$9)</f>
        <v>36.433199999999999</v>
      </c>
      <c r="J743" s="10">
        <f>CHOOSE(CONTROL!$C$42, 36.4294, 36.4294)* CHOOSE(CONTROL!$C$21, $C$9, 100%, $E$9)</f>
        <v>36.429400000000001</v>
      </c>
      <c r="K743" s="54">
        <f>CHOOSE(CONTROL!$C$42, 36.4293, 36.4293) * CHOOSE(CONTROL!$C$21, $C$9, 100%, $E$9)</f>
        <v>36.429299999999998</v>
      </c>
      <c r="L743" s="10">
        <f>CHOOSE(CONTROL!$C$42, 37.1141, 37.1141) * CHOOSE(CONTROL!$C$21, $C$9, 100%, $E$9)</f>
        <v>37.114100000000001</v>
      </c>
      <c r="M743" s="10">
        <f>CHOOSE(CONTROL!$C$42, 36.0756, 36.0756) * CHOOSE(CONTROL!$C$21, $C$9, 100%, $E$9)</f>
        <v>36.075600000000001</v>
      </c>
      <c r="N743" s="10">
        <f>CHOOSE(CONTROL!$C$42, 36.0925, 36.0925) * CHOOSE(CONTROL!$C$21, $C$9, 100%, $E$9)</f>
        <v>36.092500000000001</v>
      </c>
      <c r="O743" s="10">
        <f>CHOOSE(CONTROL!$C$42, 36.1723, 36.1723) * CHOOSE(CONTROL!$C$21, $C$9, 100%, $E$9)</f>
        <v>36.1723</v>
      </c>
      <c r="P743" s="10">
        <f>CHOOSE(CONTROL!$C$42, 36.0794, 36.0794) * CHOOSE(CONTROL!$C$21, $C$9, 100%, $E$9)</f>
        <v>36.0794</v>
      </c>
      <c r="Q743" s="10">
        <f>CHOOSE(CONTROL!$C$42, 36.7676, 36.7676) * CHOOSE(CONTROL!$C$21, $C$9, 100%, $E$9)</f>
        <v>36.767600000000002</v>
      </c>
      <c r="R743" s="10">
        <f>CHOOSE(CONTROL!$C$42, 37.4465, 37.4465) * CHOOSE(CONTROL!$C$21, $C$9, 100%, $E$9)</f>
        <v>37.4465</v>
      </c>
      <c r="S743" s="10">
        <f>CHOOSE(CONTROL!$C$42, 35.4135, 35.4135) * CHOOSE(CONTROL!$C$21, $C$9, 100%, $E$9)</f>
        <v>35.413499999999999</v>
      </c>
      <c r="T743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743" s="58">
        <f>(1000*CHOOSE(CONTROL!$C$42, 695, 695)*CHOOSE(CONTROL!$C$42, 0.5599, 0.5599)*CHOOSE(CONTROL!$C$42, 30, 30))/1000000</f>
        <v>11.673914999999997</v>
      </c>
      <c r="V743" s="58">
        <f>(1000*CHOOSE(CONTROL!$C$42, 500, 500)*CHOOSE(CONTROL!$C$42, 0.275, 0.275)*CHOOSE(CONTROL!$C$42, 30, 30))/1000000</f>
        <v>4.125</v>
      </c>
      <c r="W743" s="58">
        <f>(1000*CHOOSE(CONTROL!$C$42, 0.1146, 0.1146)*CHOOSE(CONTROL!$C$42, 121.5, 121.5)*CHOOSE(CONTROL!$C$42, 30, 30))/1000000</f>
        <v>0.417717</v>
      </c>
      <c r="X743" s="58">
        <f>(30*0.1790888*100000/1000000)+(30*0.2374*100000/1000000)</f>
        <v>1.2494664</v>
      </c>
      <c r="Y743" s="58"/>
      <c r="Z743" s="10"/>
      <c r="AA743" s="57"/>
      <c r="AB743" s="51">
        <f>(B743*122.58+C743*297.941+D743*89.177+E743*40.302+F743*40+G743*160+H743*0+I743*100+J743*300)/(122.58+297.941+89.177+40.302+0+40+160+100+300)</f>
        <v>36.458891429565213</v>
      </c>
      <c r="AC743" s="27">
        <f>(M743*'RAP TEMPLATE-GAS AVAILABILITY'!O742+N743*'RAP TEMPLATE-GAS AVAILABILITY'!P742+O743*'RAP TEMPLATE-GAS AVAILABILITY'!Q742+P743*'RAP TEMPLATE-GAS AVAILABILITY'!R742)/('RAP TEMPLATE-GAS AVAILABILITY'!O742+'RAP TEMPLATE-GAS AVAILABILITY'!P742+'RAP TEMPLATE-GAS AVAILABILITY'!Q742+'RAP TEMPLATE-GAS AVAILABILITY'!R742)</f>
        <v>36.120947482014387</v>
      </c>
    </row>
    <row r="744" spans="1:29" ht="15.75" x14ac:dyDescent="0.25">
      <c r="A744" s="13">
        <v>63554</v>
      </c>
      <c r="B744" s="10">
        <f>CHOOSE(CONTROL!$C$42, 38.9558, 38.9558) * CHOOSE(CONTROL!$C$21, $C$9, 100%, $E$9)</f>
        <v>38.955800000000004</v>
      </c>
      <c r="C744" s="10">
        <f>CHOOSE(CONTROL!$C$42, 38.9608, 38.9608) * CHOOSE(CONTROL!$C$21, $C$9, 100%, $E$9)</f>
        <v>38.960799999999999</v>
      </c>
      <c r="D744" s="10">
        <f>CHOOSE(CONTROL!$C$42, 38.9904, 38.9904) * CHOOSE(CONTROL!$C$21, $C$9, 100%, $E$9)</f>
        <v>38.990400000000001</v>
      </c>
      <c r="E744" s="10">
        <f>CHOOSE(CONTROL!$C$42, 39.0242, 39.0242) * CHOOSE(CONTROL!$C$21, $C$9, 100%, $E$9)</f>
        <v>39.0242</v>
      </c>
      <c r="F744" s="10">
        <f>CHOOSE(CONTROL!$C$42, 38.9241, 38.9241)*CHOOSE(CONTROL!$C$21, $C$9, 100%, $E$9)</f>
        <v>38.924100000000003</v>
      </c>
      <c r="G744" s="10">
        <f>CHOOSE(CONTROL!$C$42, 38.9416, 38.9416)*CHOOSE(CONTROL!$C$21, $C$9, 100%, $E$9)</f>
        <v>38.941600000000001</v>
      </c>
      <c r="H744" s="10">
        <f>CHOOSE(CONTROL!$C$42, 39.0134, 39.0134) * CHOOSE(CONTROL!$C$21, $C$9, 100%, $E$9)</f>
        <v>39.013399999999997</v>
      </c>
      <c r="I744" s="10">
        <f>CHOOSE(CONTROL!$C$42, 38.9194, 38.9194)* CHOOSE(CONTROL!$C$21, $C$9, 100%, $E$9)</f>
        <v>38.919400000000003</v>
      </c>
      <c r="J744" s="10">
        <f>CHOOSE(CONTROL!$C$42, 38.9171, 38.9171)* CHOOSE(CONTROL!$C$21, $C$9, 100%, $E$9)</f>
        <v>38.917099999999998</v>
      </c>
      <c r="K744" s="54">
        <f>CHOOSE(CONTROL!$C$42, 38.9156, 38.9156) * CHOOSE(CONTROL!$C$21, $C$9, 100%, $E$9)</f>
        <v>38.915599999999998</v>
      </c>
      <c r="L744" s="10">
        <f>CHOOSE(CONTROL!$C$42, 39.6004, 39.6004) * CHOOSE(CONTROL!$C$21, $C$9, 100%, $E$9)</f>
        <v>39.6004</v>
      </c>
      <c r="M744" s="10">
        <f>CHOOSE(CONTROL!$C$42, 38.5381, 38.5381) * CHOOSE(CONTROL!$C$21, $C$9, 100%, $E$9)</f>
        <v>38.5381</v>
      </c>
      <c r="N744" s="10">
        <f>CHOOSE(CONTROL!$C$42, 38.5555, 38.5555) * CHOOSE(CONTROL!$C$21, $C$9, 100%, $E$9)</f>
        <v>38.555500000000002</v>
      </c>
      <c r="O744" s="10">
        <f>CHOOSE(CONTROL!$C$42, 38.6335, 38.6335) * CHOOSE(CONTROL!$C$21, $C$9, 100%, $E$9)</f>
        <v>38.633499999999998</v>
      </c>
      <c r="P744" s="10">
        <f>CHOOSE(CONTROL!$C$42, 38.5405, 38.5405) * CHOOSE(CONTROL!$C$21, $C$9, 100%, $E$9)</f>
        <v>38.540500000000002</v>
      </c>
      <c r="Q744" s="10">
        <f>CHOOSE(CONTROL!$C$42, 39.2288, 39.2288) * CHOOSE(CONTROL!$C$21, $C$9, 100%, $E$9)</f>
        <v>39.2288</v>
      </c>
      <c r="R744" s="10">
        <f>CHOOSE(CONTROL!$C$42, 39.9139, 39.9139) * CHOOSE(CONTROL!$C$21, $C$9, 100%, $E$9)</f>
        <v>39.913899999999998</v>
      </c>
      <c r="S744" s="10">
        <f>CHOOSE(CONTROL!$C$42, 37.8279, 37.8279) * CHOOSE(CONTROL!$C$21, $C$9, 100%, $E$9)</f>
        <v>37.8279</v>
      </c>
      <c r="T744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744" s="58">
        <f>(1000*CHOOSE(CONTROL!$C$42, 695, 695)*CHOOSE(CONTROL!$C$42, 0.5599, 0.5599)*CHOOSE(CONTROL!$C$42, 31, 31))/1000000</f>
        <v>12.063045499999998</v>
      </c>
      <c r="V744" s="58">
        <f>(1000*CHOOSE(CONTROL!$C$42, 500, 500)*CHOOSE(CONTROL!$C$42, 0.275, 0.275)*CHOOSE(CONTROL!$C$42, 31, 31))/1000000</f>
        <v>4.2625000000000002</v>
      </c>
      <c r="W744" s="58">
        <f>(1000*CHOOSE(CONTROL!$C$42, 0.1146, 0.1146)*CHOOSE(CONTROL!$C$42, 121.5, 121.5)*CHOOSE(CONTROL!$C$42, 31, 31))/1000000</f>
        <v>0.43164089999999994</v>
      </c>
      <c r="X744" s="58">
        <f>(31*0.1790888*100000/1000000)+(31*0.2374*100000/1000000)</f>
        <v>1.2911152800000001</v>
      </c>
      <c r="Y744" s="58"/>
      <c r="Z744" s="10"/>
      <c r="AA744" s="57"/>
      <c r="AB744" s="51">
        <f>(B744*122.58+C744*297.941+D744*89.177+E744*40.302+F744*40+G744*160+H744*0+I744*100+J744*300)/(122.58+297.941+89.177+40.302+0+40+160+100+300)</f>
        <v>38.945836422608693</v>
      </c>
      <c r="AC744" s="27">
        <f>(M744*'RAP TEMPLATE-GAS AVAILABILITY'!O743+N744*'RAP TEMPLATE-GAS AVAILABILITY'!P743+O744*'RAP TEMPLATE-GAS AVAILABILITY'!Q743+P744*'RAP TEMPLATE-GAS AVAILABILITY'!R743)/('RAP TEMPLATE-GAS AVAILABILITY'!O743+'RAP TEMPLATE-GAS AVAILABILITY'!P743+'RAP TEMPLATE-GAS AVAILABILITY'!Q743+'RAP TEMPLATE-GAS AVAILABILITY'!R743)</f>
        <v>38.58268561151079</v>
      </c>
    </row>
    <row r="745" spans="1:29" ht="15.75" x14ac:dyDescent="0.25">
      <c r="A745" s="13">
        <v>63585</v>
      </c>
      <c r="B745" s="10">
        <f>CHOOSE(CONTROL!$C$42, 42.1475, 42.1475) * CHOOSE(CONTROL!$C$21, $C$9, 100%, $E$9)</f>
        <v>42.147500000000001</v>
      </c>
      <c r="C745" s="10">
        <f>CHOOSE(CONTROL!$C$42, 42.1525, 42.1525) * CHOOSE(CONTROL!$C$21, $C$9, 100%, $E$9)</f>
        <v>42.152500000000003</v>
      </c>
      <c r="D745" s="10">
        <f>CHOOSE(CONTROL!$C$42, 42.2027, 42.2027) * CHOOSE(CONTROL!$C$21, $C$9, 100%, $E$9)</f>
        <v>42.2027</v>
      </c>
      <c r="E745" s="10">
        <f>CHOOSE(CONTROL!$C$42, 42.2365, 42.2365) * CHOOSE(CONTROL!$C$21, $C$9, 100%, $E$9)</f>
        <v>42.236499999999999</v>
      </c>
      <c r="F745" s="10">
        <f>CHOOSE(CONTROL!$C$42, 42.1129, 42.1129)*CHOOSE(CONTROL!$C$21, $C$9, 100%, $E$9)</f>
        <v>42.112900000000003</v>
      </c>
      <c r="G745" s="10">
        <f>CHOOSE(CONTROL!$C$42, 42.1304, 42.1304)*CHOOSE(CONTROL!$C$21, $C$9, 100%, $E$9)</f>
        <v>42.130400000000002</v>
      </c>
      <c r="H745" s="10">
        <f>CHOOSE(CONTROL!$C$42, 42.2257, 42.2257) * CHOOSE(CONTROL!$C$21, $C$9, 100%, $E$9)</f>
        <v>42.225700000000003</v>
      </c>
      <c r="I745" s="10">
        <f>CHOOSE(CONTROL!$C$42, 42.1214, 42.1214)* CHOOSE(CONTROL!$C$21, $C$9, 100%, $E$9)</f>
        <v>42.121400000000001</v>
      </c>
      <c r="J745" s="10">
        <f>CHOOSE(CONTROL!$C$42, 42.1059, 42.1059)* CHOOSE(CONTROL!$C$21, $C$9, 100%, $E$9)</f>
        <v>42.105899999999998</v>
      </c>
      <c r="K745" s="54">
        <f>CHOOSE(CONTROL!$C$42, 42.1175, 42.1175) * CHOOSE(CONTROL!$C$21, $C$9, 100%, $E$9)</f>
        <v>42.1175</v>
      </c>
      <c r="L745" s="10">
        <f>CHOOSE(CONTROL!$C$42, 42.8127, 42.8127) * CHOOSE(CONTROL!$C$21, $C$9, 100%, $E$9)</f>
        <v>42.8127</v>
      </c>
      <c r="M745" s="10">
        <f>CHOOSE(CONTROL!$C$42, 41.6948, 41.6948) * CHOOSE(CONTROL!$C$21, $C$9, 100%, $E$9)</f>
        <v>41.694800000000001</v>
      </c>
      <c r="N745" s="10">
        <f>CHOOSE(CONTROL!$C$42, 41.7122, 41.7122) * CHOOSE(CONTROL!$C$21, $C$9, 100%, $E$9)</f>
        <v>41.712200000000003</v>
      </c>
      <c r="O745" s="10">
        <f>CHOOSE(CONTROL!$C$42, 41.8134, 41.8134) * CHOOSE(CONTROL!$C$21, $C$9, 100%, $E$9)</f>
        <v>41.813400000000001</v>
      </c>
      <c r="P745" s="10">
        <f>CHOOSE(CONTROL!$C$42, 41.7102, 41.7102) * CHOOSE(CONTROL!$C$21, $C$9, 100%, $E$9)</f>
        <v>41.7102</v>
      </c>
      <c r="Q745" s="10">
        <f>CHOOSE(CONTROL!$C$42, 42.4087, 42.4087) * CHOOSE(CONTROL!$C$21, $C$9, 100%, $E$9)</f>
        <v>42.408700000000003</v>
      </c>
      <c r="R745" s="10">
        <f>CHOOSE(CONTROL!$C$42, 43.1017, 43.1017) * CHOOSE(CONTROL!$C$21, $C$9, 100%, $E$9)</f>
        <v>43.101700000000001</v>
      </c>
      <c r="S745" s="10">
        <f>CHOOSE(CONTROL!$C$42, 40.9273, 40.9273) * CHOOSE(CONTROL!$C$21, $C$9, 100%, $E$9)</f>
        <v>40.927300000000002</v>
      </c>
      <c r="T745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745" s="58">
        <f>(1000*CHOOSE(CONTROL!$C$42, 695, 695)*CHOOSE(CONTROL!$C$42, 0.5599, 0.5599)*CHOOSE(CONTROL!$C$42, 31, 31))/1000000</f>
        <v>12.063045499999998</v>
      </c>
      <c r="V745" s="58">
        <f>(1000*CHOOSE(CONTROL!$C$42, 500, 500)*CHOOSE(CONTROL!$C$42, 0.275, 0.275)*CHOOSE(CONTROL!$C$42, 31, 31))/1000000</f>
        <v>4.2625000000000002</v>
      </c>
      <c r="W745" s="58">
        <f>(1000*CHOOSE(CONTROL!$C$42, 0.1146, 0.1146)*CHOOSE(CONTROL!$C$42, 121.5, 121.5)*CHOOSE(CONTROL!$C$42, 31, 31))/1000000</f>
        <v>0.43164089999999994</v>
      </c>
      <c r="X745" s="58">
        <f>(31*0.1790888*100000/1000000)+(31*0.2374*100000/1000000)</f>
        <v>1.2911152800000001</v>
      </c>
      <c r="Y745" s="58"/>
      <c r="Z745" s="10"/>
      <c r="AA745" s="57"/>
      <c r="AB745" s="51">
        <f>(B745*122.58+C745*297.941+D745*89.177+E745*40.302+F745*40+G745*160+H745*0+I745*100+J745*300)/(122.58+297.941+89.177+40.302+0+40+160+100+300)</f>
        <v>42.139490568173912</v>
      </c>
      <c r="AC745" s="27">
        <f>(M745*'RAP TEMPLATE-GAS AVAILABILITY'!O744+N745*'RAP TEMPLATE-GAS AVAILABILITY'!P744+O745*'RAP TEMPLATE-GAS AVAILABILITY'!Q744+P745*'RAP TEMPLATE-GAS AVAILABILITY'!R744)/('RAP TEMPLATE-GAS AVAILABILITY'!O744+'RAP TEMPLATE-GAS AVAILABILITY'!P744+'RAP TEMPLATE-GAS AVAILABILITY'!Q744+'RAP TEMPLATE-GAS AVAILABILITY'!R744)</f>
        <v>41.751771223021585</v>
      </c>
    </row>
    <row r="746" spans="1:29" ht="15.75" x14ac:dyDescent="0.25">
      <c r="A746" s="13">
        <v>63613</v>
      </c>
      <c r="B746" s="10">
        <f>CHOOSE(CONTROL!$C$42, 42.8978, 42.8978) * CHOOSE(CONTROL!$C$21, $C$9, 100%, $E$9)</f>
        <v>42.897799999999997</v>
      </c>
      <c r="C746" s="10">
        <f>CHOOSE(CONTROL!$C$42, 42.9027, 42.9027) * CHOOSE(CONTROL!$C$21, $C$9, 100%, $E$9)</f>
        <v>42.902700000000003</v>
      </c>
      <c r="D746" s="10">
        <f>CHOOSE(CONTROL!$C$42, 42.9632, 42.9632) * CHOOSE(CONTROL!$C$21, $C$9, 100%, $E$9)</f>
        <v>42.963200000000001</v>
      </c>
      <c r="E746" s="10">
        <f>CHOOSE(CONTROL!$C$42, 42.997, 42.997) * CHOOSE(CONTROL!$C$21, $C$9, 100%, $E$9)</f>
        <v>42.997</v>
      </c>
      <c r="F746" s="10">
        <f>CHOOSE(CONTROL!$C$42, 42.891, 42.891)*CHOOSE(CONTROL!$C$21, $C$9, 100%, $E$9)</f>
        <v>42.890999999999998</v>
      </c>
      <c r="G746" s="10">
        <f>CHOOSE(CONTROL!$C$42, 42.9083, 42.9083)*CHOOSE(CONTROL!$C$21, $C$9, 100%, $E$9)</f>
        <v>42.908299999999997</v>
      </c>
      <c r="H746" s="10">
        <f>CHOOSE(CONTROL!$C$42, 42.9862, 42.9862) * CHOOSE(CONTROL!$C$21, $C$9, 100%, $E$9)</f>
        <v>42.986199999999997</v>
      </c>
      <c r="I746" s="10">
        <f>CHOOSE(CONTROL!$C$42, 42.8845, 42.8845)* CHOOSE(CONTROL!$C$21, $C$9, 100%, $E$9)</f>
        <v>42.884500000000003</v>
      </c>
      <c r="J746" s="10">
        <f>CHOOSE(CONTROL!$C$42, 42.884, 42.884)* CHOOSE(CONTROL!$C$21, $C$9, 100%, $E$9)</f>
        <v>42.884</v>
      </c>
      <c r="K746" s="54">
        <f>CHOOSE(CONTROL!$C$42, 42.8806, 42.8806) * CHOOSE(CONTROL!$C$21, $C$9, 100%, $E$9)</f>
        <v>42.880600000000001</v>
      </c>
      <c r="L746" s="10">
        <f>CHOOSE(CONTROL!$C$42, 43.5732, 43.5732) * CHOOSE(CONTROL!$C$21, $C$9, 100%, $E$9)</f>
        <v>43.5732</v>
      </c>
      <c r="M746" s="10">
        <f>CHOOSE(CONTROL!$C$42, 42.465, 42.465) * CHOOSE(CONTROL!$C$21, $C$9, 100%, $E$9)</f>
        <v>42.465000000000003</v>
      </c>
      <c r="N746" s="10">
        <f>CHOOSE(CONTROL!$C$42, 42.4822, 42.4822) * CHOOSE(CONTROL!$C$21, $C$9, 100%, $E$9)</f>
        <v>42.482199999999999</v>
      </c>
      <c r="O746" s="10">
        <f>CHOOSE(CONTROL!$C$42, 42.5662, 42.5662) * CHOOSE(CONTROL!$C$21, $C$9, 100%, $E$9)</f>
        <v>42.566200000000002</v>
      </c>
      <c r="P746" s="10">
        <f>CHOOSE(CONTROL!$C$42, 42.4656, 42.4656) * CHOOSE(CONTROL!$C$21, $C$9, 100%, $E$9)</f>
        <v>42.465600000000002</v>
      </c>
      <c r="Q746" s="10">
        <f>CHOOSE(CONTROL!$C$42, 43.1615, 43.1615) * CHOOSE(CONTROL!$C$21, $C$9, 100%, $E$9)</f>
        <v>43.161499999999997</v>
      </c>
      <c r="R746" s="10">
        <f>CHOOSE(CONTROL!$C$42, 43.8564, 43.8564) * CHOOSE(CONTROL!$C$21, $C$9, 100%, $E$9)</f>
        <v>43.856400000000001</v>
      </c>
      <c r="S746" s="10">
        <f>CHOOSE(CONTROL!$C$42, 41.6559, 41.6559) * CHOOSE(CONTROL!$C$21, $C$9, 100%, $E$9)</f>
        <v>41.655900000000003</v>
      </c>
      <c r="T746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746" s="58">
        <f>(1000*CHOOSE(CONTROL!$C$42, 695, 695)*CHOOSE(CONTROL!$C$42, 0.5599, 0.5599)*CHOOSE(CONTROL!$C$42, 28, 28))/1000000</f>
        <v>10.895653999999999</v>
      </c>
      <c r="V746" s="58">
        <f>(1000*CHOOSE(CONTROL!$C$42, 500, 500)*CHOOSE(CONTROL!$C$42, 0.275, 0.275)*CHOOSE(CONTROL!$C$42, 28, 28))/1000000</f>
        <v>3.85</v>
      </c>
      <c r="W746" s="58">
        <f>(1000*CHOOSE(CONTROL!$C$42, 0.1146, 0.1146)*CHOOSE(CONTROL!$C$42, 121.5, 121.5)*CHOOSE(CONTROL!$C$42, 28, 28))/1000000</f>
        <v>0.38986920000000003</v>
      </c>
      <c r="X746" s="58">
        <f>(28*0.1790888*100000/1000000)+(28*0.2374*100000/1000000)</f>
        <v>1.16616864</v>
      </c>
      <c r="Y746" s="58"/>
      <c r="Z746" s="10"/>
      <c r="AA746" s="57"/>
      <c r="AB746" s="51">
        <f>(B746*122.58+C746*297.941+D746*89.177+E746*40.302+F746*40+G746*160+H746*0+I746*100+J746*300)/(122.58+297.941+89.177+40.302+0+40+160+100+300)</f>
        <v>42.904085256608695</v>
      </c>
      <c r="AC746" s="27">
        <f>(M746*'RAP TEMPLATE-GAS AVAILABILITY'!O745+N746*'RAP TEMPLATE-GAS AVAILABILITY'!P745+O746*'RAP TEMPLATE-GAS AVAILABILITY'!Q745+P746*'RAP TEMPLATE-GAS AVAILABILITY'!R745)/('RAP TEMPLATE-GAS AVAILABILITY'!O745+'RAP TEMPLATE-GAS AVAILABILITY'!P745+'RAP TEMPLATE-GAS AVAILABILITY'!Q745+'RAP TEMPLATE-GAS AVAILABILITY'!R745)</f>
        <v>42.511943884892091</v>
      </c>
    </row>
    <row r="747" spans="1:29" ht="15.75" x14ac:dyDescent="0.25">
      <c r="A747" s="13">
        <v>63644</v>
      </c>
      <c r="B747" s="10">
        <f>CHOOSE(CONTROL!$C$42, 41.6799, 41.6799) * CHOOSE(CONTROL!$C$21, $C$9, 100%, $E$9)</f>
        <v>41.679900000000004</v>
      </c>
      <c r="C747" s="10">
        <f>CHOOSE(CONTROL!$C$42, 41.6849, 41.6849) * CHOOSE(CONTROL!$C$21, $C$9, 100%, $E$9)</f>
        <v>41.684899999999999</v>
      </c>
      <c r="D747" s="10">
        <f>CHOOSE(CONTROL!$C$42, 41.7454, 41.7454) * CHOOSE(CONTROL!$C$21, $C$9, 100%, $E$9)</f>
        <v>41.745399999999997</v>
      </c>
      <c r="E747" s="10">
        <f>CHOOSE(CONTROL!$C$42, 41.7792, 41.7792) * CHOOSE(CONTROL!$C$21, $C$9, 100%, $E$9)</f>
        <v>41.779200000000003</v>
      </c>
      <c r="F747" s="10">
        <f>CHOOSE(CONTROL!$C$42, 41.6677, 41.6677)*CHOOSE(CONTROL!$C$21, $C$9, 100%, $E$9)</f>
        <v>41.667700000000004</v>
      </c>
      <c r="G747" s="10">
        <f>CHOOSE(CONTROL!$C$42, 41.6849, 41.6849)*CHOOSE(CONTROL!$C$21, $C$9, 100%, $E$9)</f>
        <v>41.684899999999999</v>
      </c>
      <c r="H747" s="10">
        <f>CHOOSE(CONTROL!$C$42, 41.7684, 41.7684) * CHOOSE(CONTROL!$C$21, $C$9, 100%, $E$9)</f>
        <v>41.7684</v>
      </c>
      <c r="I747" s="10">
        <f>CHOOSE(CONTROL!$C$42, 41.6538, 41.6538)* CHOOSE(CONTROL!$C$21, $C$9, 100%, $E$9)</f>
        <v>41.653799999999997</v>
      </c>
      <c r="J747" s="10">
        <f>CHOOSE(CONTROL!$C$42, 41.6607, 41.6607)* CHOOSE(CONTROL!$C$21, $C$9, 100%, $E$9)</f>
        <v>41.660699999999999</v>
      </c>
      <c r="K747" s="54">
        <f>CHOOSE(CONTROL!$C$42, 41.65, 41.65) * CHOOSE(CONTROL!$C$21, $C$9, 100%, $E$9)</f>
        <v>41.65</v>
      </c>
      <c r="L747" s="10">
        <f>CHOOSE(CONTROL!$C$42, 42.3554, 42.3554) * CHOOSE(CONTROL!$C$21, $C$9, 100%, $E$9)</f>
        <v>42.355400000000003</v>
      </c>
      <c r="M747" s="10">
        <f>CHOOSE(CONTROL!$C$42, 41.2541, 41.2541) * CHOOSE(CONTROL!$C$21, $C$9, 100%, $E$9)</f>
        <v>41.254100000000001</v>
      </c>
      <c r="N747" s="10">
        <f>CHOOSE(CONTROL!$C$42, 41.2711, 41.2711) * CHOOSE(CONTROL!$C$21, $C$9, 100%, $E$9)</f>
        <v>41.271099999999997</v>
      </c>
      <c r="O747" s="10">
        <f>CHOOSE(CONTROL!$C$42, 41.3607, 41.3607) * CHOOSE(CONTROL!$C$21, $C$9, 100%, $E$9)</f>
        <v>41.360700000000001</v>
      </c>
      <c r="P747" s="10">
        <f>CHOOSE(CONTROL!$C$42, 41.2474, 41.2474) * CHOOSE(CONTROL!$C$21, $C$9, 100%, $E$9)</f>
        <v>41.247399999999999</v>
      </c>
      <c r="Q747" s="10">
        <f>CHOOSE(CONTROL!$C$42, 41.956, 41.956) * CHOOSE(CONTROL!$C$21, $C$9, 100%, $E$9)</f>
        <v>41.956000000000003</v>
      </c>
      <c r="R747" s="10">
        <f>CHOOSE(CONTROL!$C$42, 42.6479, 42.6479) * CHOOSE(CONTROL!$C$21, $C$9, 100%, $E$9)</f>
        <v>42.6479</v>
      </c>
      <c r="S747" s="10">
        <f>CHOOSE(CONTROL!$C$42, 40.4733, 40.4733) * CHOOSE(CONTROL!$C$21, $C$9, 100%, $E$9)</f>
        <v>40.473300000000002</v>
      </c>
      <c r="T747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747" s="58">
        <f>(1000*CHOOSE(CONTROL!$C$42, 695, 695)*CHOOSE(CONTROL!$C$42, 0.5599, 0.5599)*CHOOSE(CONTROL!$C$42, 31, 31))/1000000</f>
        <v>12.063045499999998</v>
      </c>
      <c r="V747" s="58">
        <f>(1000*CHOOSE(CONTROL!$C$42, 500, 500)*CHOOSE(CONTROL!$C$42, 0.275, 0.275)*CHOOSE(CONTROL!$C$42, 31, 31))/1000000</f>
        <v>4.2625000000000002</v>
      </c>
      <c r="W747" s="58">
        <f>(1000*CHOOSE(CONTROL!$C$42, 0.1146, 0.1146)*CHOOSE(CONTROL!$C$42, 121.5, 121.5)*CHOOSE(CONTROL!$C$42, 31, 31))/1000000</f>
        <v>0.43164089999999994</v>
      </c>
      <c r="X747" s="58">
        <f>(31*0.1790888*100000/1000000)+(31*0.2374*100000/1000000)</f>
        <v>1.2911152800000001</v>
      </c>
      <c r="Y747" s="58"/>
      <c r="Z747" s="10"/>
      <c r="AA747" s="57"/>
      <c r="AB747" s="51">
        <f>(B747*122.58+C747*297.941+D747*89.177+E747*40.302+F747*40+G747*160+H747*0+I747*100+J747*300)/(122.58+297.941+89.177+40.302+0+40+160+100+300)</f>
        <v>41.682747640956521</v>
      </c>
      <c r="AC747" s="27">
        <f>(M747*'RAP TEMPLATE-GAS AVAILABILITY'!O746+N747*'RAP TEMPLATE-GAS AVAILABILITY'!P746+O747*'RAP TEMPLATE-GAS AVAILABILITY'!Q746+P747*'RAP TEMPLATE-GAS AVAILABILITY'!R746)/('RAP TEMPLATE-GAS AVAILABILITY'!O746+'RAP TEMPLATE-GAS AVAILABILITY'!P746+'RAP TEMPLATE-GAS AVAILABILITY'!Q746+'RAP TEMPLATE-GAS AVAILABILITY'!R746)</f>
        <v>41.302429496402873</v>
      </c>
    </row>
    <row r="748" spans="1:29" ht="15.75" x14ac:dyDescent="0.25">
      <c r="A748" s="13">
        <v>63674</v>
      </c>
      <c r="B748" s="10">
        <f>CHOOSE(CONTROL!$C$42, 41.5563, 41.5563) * CHOOSE(CONTROL!$C$21, $C$9, 100%, $E$9)</f>
        <v>41.5563</v>
      </c>
      <c r="C748" s="10">
        <f>CHOOSE(CONTROL!$C$42, 41.5607, 41.5607) * CHOOSE(CONTROL!$C$21, $C$9, 100%, $E$9)</f>
        <v>41.560699999999997</v>
      </c>
      <c r="D748" s="10">
        <f>CHOOSE(CONTROL!$C$42, 41.7563, 41.7563) * CHOOSE(CONTROL!$C$21, $C$9, 100%, $E$9)</f>
        <v>41.756300000000003</v>
      </c>
      <c r="E748" s="10">
        <f>CHOOSE(CONTROL!$C$42, 41.7881, 41.7881) * CHOOSE(CONTROL!$C$21, $C$9, 100%, $E$9)</f>
        <v>41.7881</v>
      </c>
      <c r="F748" s="10">
        <f>CHOOSE(CONTROL!$C$42, 41.5241, 41.5241)*CHOOSE(CONTROL!$C$21, $C$9, 100%, $E$9)</f>
        <v>41.524099999999997</v>
      </c>
      <c r="G748" s="10">
        <f>CHOOSE(CONTROL!$C$42, 41.5409, 41.5409)*CHOOSE(CONTROL!$C$21, $C$9, 100%, $E$9)</f>
        <v>41.540900000000001</v>
      </c>
      <c r="H748" s="10">
        <f>CHOOSE(CONTROL!$C$42, 41.7778, 41.7778) * CHOOSE(CONTROL!$C$21, $C$9, 100%, $E$9)</f>
        <v>41.777799999999999</v>
      </c>
      <c r="I748" s="10">
        <f>CHOOSE(CONTROL!$C$42, 41.5243, 41.5243)* CHOOSE(CONTROL!$C$21, $C$9, 100%, $E$9)</f>
        <v>41.524299999999997</v>
      </c>
      <c r="J748" s="10">
        <f>CHOOSE(CONTROL!$C$42, 41.5171, 41.5171)* CHOOSE(CONTROL!$C$21, $C$9, 100%, $E$9)</f>
        <v>41.517099999999999</v>
      </c>
      <c r="K748" s="54">
        <f>CHOOSE(CONTROL!$C$42, 41.5204, 41.5204) * CHOOSE(CONTROL!$C$21, $C$9, 100%, $E$9)</f>
        <v>41.520400000000002</v>
      </c>
      <c r="L748" s="10">
        <f>CHOOSE(CONTROL!$C$42, 42.3648, 42.3648) * CHOOSE(CONTROL!$C$21, $C$9, 100%, $E$9)</f>
        <v>42.364800000000002</v>
      </c>
      <c r="M748" s="10">
        <f>CHOOSE(CONTROL!$C$42, 41.112, 41.112) * CHOOSE(CONTROL!$C$21, $C$9, 100%, $E$9)</f>
        <v>41.112000000000002</v>
      </c>
      <c r="N748" s="10">
        <f>CHOOSE(CONTROL!$C$42, 41.1286, 41.1286) * CHOOSE(CONTROL!$C$21, $C$9, 100%, $E$9)</f>
        <v>41.128599999999999</v>
      </c>
      <c r="O748" s="10">
        <f>CHOOSE(CONTROL!$C$42, 41.3701, 41.3701) * CHOOSE(CONTROL!$C$21, $C$9, 100%, $E$9)</f>
        <v>41.370100000000001</v>
      </c>
      <c r="P748" s="10">
        <f>CHOOSE(CONTROL!$C$42, 41.1191, 41.1191) * CHOOSE(CONTROL!$C$21, $C$9, 100%, $E$9)</f>
        <v>41.119100000000003</v>
      </c>
      <c r="Q748" s="10">
        <f>CHOOSE(CONTROL!$C$42, 41.9654, 41.9654) * CHOOSE(CONTROL!$C$21, $C$9, 100%, $E$9)</f>
        <v>41.965400000000002</v>
      </c>
      <c r="R748" s="10">
        <f>CHOOSE(CONTROL!$C$42, 42.6573, 42.6573) * CHOOSE(CONTROL!$C$21, $C$9, 100%, $E$9)</f>
        <v>42.657299999999999</v>
      </c>
      <c r="S748" s="10">
        <f>CHOOSE(CONTROL!$C$42, 40.3525, 40.3525) * CHOOSE(CONTROL!$C$21, $C$9, 100%, $E$9)</f>
        <v>40.352499999999999</v>
      </c>
      <c r="T748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748" s="58">
        <f>(1000*CHOOSE(CONTROL!$C$42, 695, 695)*CHOOSE(CONTROL!$C$42, 0.5599, 0.5599)*CHOOSE(CONTROL!$C$42, 30, 30))/1000000</f>
        <v>11.673914999999997</v>
      </c>
      <c r="V748" s="58">
        <f>(1000*CHOOSE(CONTROL!$C$42, 500, 500)*CHOOSE(CONTROL!$C$42, 0.275, 0.275)*CHOOSE(CONTROL!$C$42, 30, 30))/1000000</f>
        <v>4.125</v>
      </c>
      <c r="W748" s="58">
        <f>(1000*CHOOSE(CONTROL!$C$42, 0.1146, 0.1146)*CHOOSE(CONTROL!$C$42, 121.5, 121.5)*CHOOSE(CONTROL!$C$42, 30, 30))/1000000</f>
        <v>0.417717</v>
      </c>
      <c r="X748" s="58">
        <f>(30*0.1790888*245000/1000000)+(30*0.2374*100000/1000000)</f>
        <v>2.0285026799999999</v>
      </c>
      <c r="Y748" s="58"/>
      <c r="Z748" s="10"/>
      <c r="AA748" s="57"/>
      <c r="AB748" s="51">
        <f>(B748*141.293+C748*267.993+D748*115.016+E748*89.698+F748*40+G748*185+H748*0+I748*100+J748*300)/(141.293+267.993+115.016+89.698+0+40+185+100+300)</f>
        <v>41.577185686521389</v>
      </c>
      <c r="AC748" s="27">
        <f>(M748*'RAP TEMPLATE-GAS AVAILABILITY'!O747+N748*'RAP TEMPLATE-GAS AVAILABILITY'!P747+O748*'RAP TEMPLATE-GAS AVAILABILITY'!Q747+P748*'RAP TEMPLATE-GAS AVAILABILITY'!R747)/('RAP TEMPLATE-GAS AVAILABILITY'!O747+'RAP TEMPLATE-GAS AVAILABILITY'!P747+'RAP TEMPLATE-GAS AVAILABILITY'!Q747+'RAP TEMPLATE-GAS AVAILABILITY'!R747)</f>
        <v>41.230957553956834</v>
      </c>
    </row>
    <row r="749" spans="1:29" ht="15.75" x14ac:dyDescent="0.25">
      <c r="A749" s="13">
        <v>63705</v>
      </c>
      <c r="B749" s="10">
        <f>CHOOSE(CONTROL!$C$42, 41.9245, 41.9245) * CHOOSE(CONTROL!$C$21, $C$9, 100%, $E$9)</f>
        <v>41.924500000000002</v>
      </c>
      <c r="C749" s="10">
        <f>CHOOSE(CONTROL!$C$42, 41.9324, 41.9324) * CHOOSE(CONTROL!$C$21, $C$9, 100%, $E$9)</f>
        <v>41.932400000000001</v>
      </c>
      <c r="D749" s="10">
        <f>CHOOSE(CONTROL!$C$42, 42.1248, 42.1248) * CHOOSE(CONTROL!$C$21, $C$9, 100%, $E$9)</f>
        <v>42.1248</v>
      </c>
      <c r="E749" s="10">
        <f>CHOOSE(CONTROL!$C$42, 42.156, 42.156) * CHOOSE(CONTROL!$C$21, $C$9, 100%, $E$9)</f>
        <v>42.155999999999999</v>
      </c>
      <c r="F749" s="10">
        <f>CHOOSE(CONTROL!$C$42, 41.8907, 41.8907)*CHOOSE(CONTROL!$C$21, $C$9, 100%, $E$9)</f>
        <v>41.890700000000002</v>
      </c>
      <c r="G749" s="10">
        <f>CHOOSE(CONTROL!$C$42, 41.9078, 41.9078)*CHOOSE(CONTROL!$C$21, $C$9, 100%, $E$9)</f>
        <v>41.907800000000002</v>
      </c>
      <c r="H749" s="10">
        <f>CHOOSE(CONTROL!$C$42, 42.1446, 42.1446) * CHOOSE(CONTROL!$C$21, $C$9, 100%, $E$9)</f>
        <v>42.144599999999997</v>
      </c>
      <c r="I749" s="10">
        <f>CHOOSE(CONTROL!$C$42, 41.891, 41.891)* CHOOSE(CONTROL!$C$21, $C$9, 100%, $E$9)</f>
        <v>41.890999999999998</v>
      </c>
      <c r="J749" s="10">
        <f>CHOOSE(CONTROL!$C$42, 41.8837, 41.8837)* CHOOSE(CONTROL!$C$21, $C$9, 100%, $E$9)</f>
        <v>41.883699999999997</v>
      </c>
      <c r="K749" s="54">
        <f>CHOOSE(CONTROL!$C$42, 41.8872, 41.8872) * CHOOSE(CONTROL!$C$21, $C$9, 100%, $E$9)</f>
        <v>41.8872</v>
      </c>
      <c r="L749" s="10">
        <f>CHOOSE(CONTROL!$C$42, 42.7316, 42.7316) * CHOOSE(CONTROL!$C$21, $C$9, 100%, $E$9)</f>
        <v>42.7316</v>
      </c>
      <c r="M749" s="10">
        <f>CHOOSE(CONTROL!$C$42, 41.4749, 41.4749) * CHOOSE(CONTROL!$C$21, $C$9, 100%, $E$9)</f>
        <v>41.474899999999998</v>
      </c>
      <c r="N749" s="10">
        <f>CHOOSE(CONTROL!$C$42, 41.4918, 41.4918) * CHOOSE(CONTROL!$C$21, $C$9, 100%, $E$9)</f>
        <v>41.491799999999998</v>
      </c>
      <c r="O749" s="10">
        <f>CHOOSE(CONTROL!$C$42, 41.7331, 41.7331) * CHOOSE(CONTROL!$C$21, $C$9, 100%, $E$9)</f>
        <v>41.7331</v>
      </c>
      <c r="P749" s="10">
        <f>CHOOSE(CONTROL!$C$42, 41.4822, 41.4822) * CHOOSE(CONTROL!$C$21, $C$9, 100%, $E$9)</f>
        <v>41.482199999999999</v>
      </c>
      <c r="Q749" s="10">
        <f>CHOOSE(CONTROL!$C$42, 42.3284, 42.3284) * CHOOSE(CONTROL!$C$21, $C$9, 100%, $E$9)</f>
        <v>42.328400000000002</v>
      </c>
      <c r="R749" s="10">
        <f>CHOOSE(CONTROL!$C$42, 43.0212, 43.0212) * CHOOSE(CONTROL!$C$21, $C$9, 100%, $E$9)</f>
        <v>43.0212</v>
      </c>
      <c r="S749" s="10">
        <f>CHOOSE(CONTROL!$C$42, 40.7086, 40.7086) * CHOOSE(CONTROL!$C$21, $C$9, 100%, $E$9)</f>
        <v>40.708599999999997</v>
      </c>
      <c r="T749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749" s="58">
        <f>(1000*CHOOSE(CONTROL!$C$42, 695, 695)*CHOOSE(CONTROL!$C$42, 0.5599, 0.5599)*CHOOSE(CONTROL!$C$42, 31, 31))/1000000</f>
        <v>12.063045499999998</v>
      </c>
      <c r="V749" s="58">
        <f>(1000*CHOOSE(CONTROL!$C$42, 500, 500)*CHOOSE(CONTROL!$C$42, 0.275, 0.275)*CHOOSE(CONTROL!$C$42, 31, 31))/1000000</f>
        <v>4.2625000000000002</v>
      </c>
      <c r="W749" s="58">
        <f>(1000*CHOOSE(CONTROL!$C$42, 0.1146, 0.1146)*CHOOSE(CONTROL!$C$42, 121.5, 121.5)*CHOOSE(CONTROL!$C$42, 31, 31))/1000000</f>
        <v>0.43164089999999994</v>
      </c>
      <c r="X749" s="58">
        <f>(31*0.1790888*245000/1000000)+(31*0.2374*100000/1000000)</f>
        <v>2.0961194359999999</v>
      </c>
      <c r="Y749" s="58"/>
      <c r="Z749" s="10"/>
      <c r="AA749" s="57"/>
      <c r="AB749" s="51">
        <f>(B749*194.205+C749*267.466+D749*133.845+E749*53.484+F749*40+G749*185+H749*0+I749*100+J749*300)/(194.205+267.466+133.845+53.484+0+40+185+100+300)</f>
        <v>41.941197159262167</v>
      </c>
      <c r="AC749" s="27">
        <f>(M749*'RAP TEMPLATE-GAS AVAILABILITY'!O748+N749*'RAP TEMPLATE-GAS AVAILABILITY'!P748+O749*'RAP TEMPLATE-GAS AVAILABILITY'!Q748+P749*'RAP TEMPLATE-GAS AVAILABILITY'!R748)/('RAP TEMPLATE-GAS AVAILABILITY'!O748+'RAP TEMPLATE-GAS AVAILABILITY'!P748+'RAP TEMPLATE-GAS AVAILABILITY'!Q748+'RAP TEMPLATE-GAS AVAILABILITY'!R748)</f>
        <v>41.593948920863312</v>
      </c>
    </row>
    <row r="750" spans="1:29" ht="15.75" x14ac:dyDescent="0.25">
      <c r="A750" s="13">
        <v>63735</v>
      </c>
      <c r="B750" s="10">
        <f>CHOOSE(CONTROL!$C$42, 43.1136, 43.1136) * CHOOSE(CONTROL!$C$21, $C$9, 100%, $E$9)</f>
        <v>43.113599999999998</v>
      </c>
      <c r="C750" s="10">
        <f>CHOOSE(CONTROL!$C$42, 43.1215, 43.1215) * CHOOSE(CONTROL!$C$21, $C$9, 100%, $E$9)</f>
        <v>43.121499999999997</v>
      </c>
      <c r="D750" s="10">
        <f>CHOOSE(CONTROL!$C$42, 43.3139, 43.3139) * CHOOSE(CONTROL!$C$21, $C$9, 100%, $E$9)</f>
        <v>43.313899999999997</v>
      </c>
      <c r="E750" s="10">
        <f>CHOOSE(CONTROL!$C$42, 43.3451, 43.3451) * CHOOSE(CONTROL!$C$21, $C$9, 100%, $E$9)</f>
        <v>43.345100000000002</v>
      </c>
      <c r="F750" s="10">
        <f>CHOOSE(CONTROL!$C$42, 43.0801, 43.0801)*CHOOSE(CONTROL!$C$21, $C$9, 100%, $E$9)</f>
        <v>43.080100000000002</v>
      </c>
      <c r="G750" s="10">
        <f>CHOOSE(CONTROL!$C$42, 43.0972, 43.0972)*CHOOSE(CONTROL!$C$21, $C$9, 100%, $E$9)</f>
        <v>43.097200000000001</v>
      </c>
      <c r="H750" s="10">
        <f>CHOOSE(CONTROL!$C$42, 43.3337, 43.3337) * CHOOSE(CONTROL!$C$21, $C$9, 100%, $E$9)</f>
        <v>43.3337</v>
      </c>
      <c r="I750" s="10">
        <f>CHOOSE(CONTROL!$C$42, 43.0801, 43.0801)* CHOOSE(CONTROL!$C$21, $C$9, 100%, $E$9)</f>
        <v>43.080100000000002</v>
      </c>
      <c r="J750" s="10">
        <f>CHOOSE(CONTROL!$C$42, 43.0731, 43.0731)* CHOOSE(CONTROL!$C$21, $C$9, 100%, $E$9)</f>
        <v>43.073099999999997</v>
      </c>
      <c r="K750" s="54">
        <f>CHOOSE(CONTROL!$C$42, 43.0762, 43.0762) * CHOOSE(CONTROL!$C$21, $C$9, 100%, $E$9)</f>
        <v>43.0762</v>
      </c>
      <c r="L750" s="10">
        <f>CHOOSE(CONTROL!$C$42, 43.9207, 43.9207) * CHOOSE(CONTROL!$C$21, $C$9, 100%, $E$9)</f>
        <v>43.920699999999997</v>
      </c>
      <c r="M750" s="10">
        <f>CHOOSE(CONTROL!$C$42, 42.6522, 42.6522) * CHOOSE(CONTROL!$C$21, $C$9, 100%, $E$9)</f>
        <v>42.652200000000001</v>
      </c>
      <c r="N750" s="10">
        <f>CHOOSE(CONTROL!$C$42, 42.6692, 42.6692) * CHOOSE(CONTROL!$C$21, $C$9, 100%, $E$9)</f>
        <v>42.669199999999996</v>
      </c>
      <c r="O750" s="10">
        <f>CHOOSE(CONTROL!$C$42, 42.9102, 42.9102) * CHOOSE(CONTROL!$C$21, $C$9, 100%, $E$9)</f>
        <v>42.910200000000003</v>
      </c>
      <c r="P750" s="10">
        <f>CHOOSE(CONTROL!$C$42, 42.6592, 42.6592) * CHOOSE(CONTROL!$C$21, $C$9, 100%, $E$9)</f>
        <v>42.659199999999998</v>
      </c>
      <c r="Q750" s="10">
        <f>CHOOSE(CONTROL!$C$42, 43.5055, 43.5055) * CHOOSE(CONTROL!$C$21, $C$9, 100%, $E$9)</f>
        <v>43.505499999999998</v>
      </c>
      <c r="R750" s="10">
        <f>CHOOSE(CONTROL!$C$42, 44.2013, 44.2013) * CHOOSE(CONTROL!$C$21, $C$9, 100%, $E$9)</f>
        <v>44.201300000000003</v>
      </c>
      <c r="S750" s="10">
        <f>CHOOSE(CONTROL!$C$42, 41.8633, 41.8633) * CHOOSE(CONTROL!$C$21, $C$9, 100%, $E$9)</f>
        <v>41.863300000000002</v>
      </c>
      <c r="T750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750" s="58">
        <f>(1000*CHOOSE(CONTROL!$C$42, 695, 695)*CHOOSE(CONTROL!$C$42, 0.5599, 0.5599)*CHOOSE(CONTROL!$C$42, 30, 30))/1000000</f>
        <v>11.673914999999997</v>
      </c>
      <c r="V750" s="58">
        <f>(1000*CHOOSE(CONTROL!$C$42, 500, 500)*CHOOSE(CONTROL!$C$42, 0.275, 0.275)*CHOOSE(CONTROL!$C$42, 30, 30))/1000000</f>
        <v>4.125</v>
      </c>
      <c r="W750" s="58">
        <f>(1000*CHOOSE(CONTROL!$C$42, 0.1146, 0.1146)*CHOOSE(CONTROL!$C$42, 121.5, 121.5)*CHOOSE(CONTROL!$C$42, 30, 30))/1000000</f>
        <v>0.417717</v>
      </c>
      <c r="X750" s="58">
        <f>(30*0.1790888*245000/1000000)+(30*0.2374*100000/1000000)</f>
        <v>2.0285026799999999</v>
      </c>
      <c r="Y750" s="58"/>
      <c r="Z750" s="10"/>
      <c r="AA750" s="57"/>
      <c r="AB750" s="51">
        <f>(B750*194.205+C750*267.466+D750*133.845+E750*53.484+F750*40+G750*185+H750*0+I750*100+J750*300)/(194.205+267.466+133.845+53.484+0+40+185+100+300)</f>
        <v>43.130420785635799</v>
      </c>
      <c r="AC750" s="27">
        <f>(M750*'RAP TEMPLATE-GAS AVAILABILITY'!O749+N750*'RAP TEMPLATE-GAS AVAILABILITY'!P749+O750*'RAP TEMPLATE-GAS AVAILABILITY'!Q749+P750*'RAP TEMPLATE-GAS AVAILABILITY'!R749)/('RAP TEMPLATE-GAS AVAILABILITY'!O749+'RAP TEMPLATE-GAS AVAILABILITY'!P749+'RAP TEMPLATE-GAS AVAILABILITY'!Q749+'RAP TEMPLATE-GAS AVAILABILITY'!R749)</f>
        <v>42.771120863309356</v>
      </c>
    </row>
    <row r="751" spans="1:29" ht="15.75" x14ac:dyDescent="0.25">
      <c r="A751" s="13">
        <v>63766</v>
      </c>
      <c r="B751" s="10">
        <f>CHOOSE(CONTROL!$C$42, 42.2865, 42.2865) * CHOOSE(CONTROL!$C$21, $C$9, 100%, $E$9)</f>
        <v>42.286499999999997</v>
      </c>
      <c r="C751" s="10">
        <f>CHOOSE(CONTROL!$C$42, 42.2945, 42.2945) * CHOOSE(CONTROL!$C$21, $C$9, 100%, $E$9)</f>
        <v>42.294499999999999</v>
      </c>
      <c r="D751" s="10">
        <f>CHOOSE(CONTROL!$C$42, 42.4869, 42.4869) * CHOOSE(CONTROL!$C$21, $C$9, 100%, $E$9)</f>
        <v>42.486899999999999</v>
      </c>
      <c r="E751" s="10">
        <f>CHOOSE(CONTROL!$C$42, 42.518, 42.518) * CHOOSE(CONTROL!$C$21, $C$9, 100%, $E$9)</f>
        <v>42.518000000000001</v>
      </c>
      <c r="F751" s="10">
        <f>CHOOSE(CONTROL!$C$42, 42.2534, 42.2534)*CHOOSE(CONTROL!$C$21, $C$9, 100%, $E$9)</f>
        <v>42.253399999999999</v>
      </c>
      <c r="G751" s="10">
        <f>CHOOSE(CONTROL!$C$42, 42.2707, 42.2707)*CHOOSE(CONTROL!$C$21, $C$9, 100%, $E$9)</f>
        <v>42.270699999999998</v>
      </c>
      <c r="H751" s="10">
        <f>CHOOSE(CONTROL!$C$42, 42.5067, 42.5067) * CHOOSE(CONTROL!$C$21, $C$9, 100%, $E$9)</f>
        <v>42.506700000000002</v>
      </c>
      <c r="I751" s="10">
        <f>CHOOSE(CONTROL!$C$42, 42.2531, 42.2531)* CHOOSE(CONTROL!$C$21, $C$9, 100%, $E$9)</f>
        <v>42.253100000000003</v>
      </c>
      <c r="J751" s="10">
        <f>CHOOSE(CONTROL!$C$42, 42.2464, 42.2464)* CHOOSE(CONTROL!$C$21, $C$9, 100%, $E$9)</f>
        <v>42.246400000000001</v>
      </c>
      <c r="K751" s="54">
        <f>CHOOSE(CONTROL!$C$42, 42.2492, 42.2492) * CHOOSE(CONTROL!$C$21, $C$9, 100%, $E$9)</f>
        <v>42.249200000000002</v>
      </c>
      <c r="L751" s="10">
        <f>CHOOSE(CONTROL!$C$42, 43.0937, 43.0937) * CHOOSE(CONTROL!$C$21, $C$9, 100%, $E$9)</f>
        <v>43.093699999999998</v>
      </c>
      <c r="M751" s="10">
        <f>CHOOSE(CONTROL!$C$42, 41.8339, 41.8339) * CHOOSE(CONTROL!$C$21, $C$9, 100%, $E$9)</f>
        <v>41.8339</v>
      </c>
      <c r="N751" s="10">
        <f>CHOOSE(CONTROL!$C$42, 41.851, 41.851) * CHOOSE(CONTROL!$C$21, $C$9, 100%, $E$9)</f>
        <v>41.850999999999999</v>
      </c>
      <c r="O751" s="10">
        <f>CHOOSE(CONTROL!$C$42, 42.0915, 42.0915) * CHOOSE(CONTROL!$C$21, $C$9, 100%, $E$9)</f>
        <v>42.091500000000003</v>
      </c>
      <c r="P751" s="10">
        <f>CHOOSE(CONTROL!$C$42, 41.8406, 41.8406) * CHOOSE(CONTROL!$C$21, $C$9, 100%, $E$9)</f>
        <v>41.840600000000002</v>
      </c>
      <c r="Q751" s="10">
        <f>CHOOSE(CONTROL!$C$42, 42.6868, 42.6868) * CHOOSE(CONTROL!$C$21, $C$9, 100%, $E$9)</f>
        <v>42.686799999999998</v>
      </c>
      <c r="R751" s="10">
        <f>CHOOSE(CONTROL!$C$42, 43.3805, 43.3805) * CHOOSE(CONTROL!$C$21, $C$9, 100%, $E$9)</f>
        <v>43.380499999999998</v>
      </c>
      <c r="S751" s="10">
        <f>CHOOSE(CONTROL!$C$42, 41.0602, 41.0602) * CHOOSE(CONTROL!$C$21, $C$9, 100%, $E$9)</f>
        <v>41.060200000000002</v>
      </c>
      <c r="T751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751" s="58">
        <f>(1000*CHOOSE(CONTROL!$C$42, 695, 695)*CHOOSE(CONTROL!$C$42, 0.5599, 0.5599)*CHOOSE(CONTROL!$C$42, 31, 31))/1000000</f>
        <v>12.063045499999998</v>
      </c>
      <c r="V751" s="58">
        <f>(1000*CHOOSE(CONTROL!$C$42, 500, 500)*CHOOSE(CONTROL!$C$42, 0.275, 0.275)*CHOOSE(CONTROL!$C$42, 31, 31))/1000000</f>
        <v>4.2625000000000002</v>
      </c>
      <c r="W751" s="58">
        <f>(1000*CHOOSE(CONTROL!$C$42, 0.1146, 0.1146)*CHOOSE(CONTROL!$C$42, 121.5, 121.5)*CHOOSE(CONTROL!$C$42, 31, 31))/1000000</f>
        <v>0.43164089999999994</v>
      </c>
      <c r="X751" s="58">
        <f>(31*0.1790888*245000/1000000)+(31*0.2374*100000/1000000)</f>
        <v>2.0961194359999999</v>
      </c>
      <c r="Y751" s="58"/>
      <c r="Z751" s="10"/>
      <c r="AA751" s="57"/>
      <c r="AB751" s="51">
        <f>(B751*194.205+C751*267.466+D751*133.845+E751*53.484+F751*40+G751*185+H751*0+I751*100+J751*300)/(194.205+267.466+133.845+53.484+0+40+185+100+300)</f>
        <v>42.30355401255887</v>
      </c>
      <c r="AC751" s="27">
        <f>(M751*'RAP TEMPLATE-GAS AVAILABILITY'!O750+N751*'RAP TEMPLATE-GAS AVAILABILITY'!P750+O751*'RAP TEMPLATE-GAS AVAILABILITY'!Q750+P751*'RAP TEMPLATE-GAS AVAILABILITY'!R750)/('RAP TEMPLATE-GAS AVAILABILITY'!O750+'RAP TEMPLATE-GAS AVAILABILITY'!P750+'RAP TEMPLATE-GAS AVAILABILITY'!Q750+'RAP TEMPLATE-GAS AVAILABILITY'!R750)</f>
        <v>41.952602158273386</v>
      </c>
    </row>
    <row r="752" spans="1:29" ht="15.75" x14ac:dyDescent="0.25">
      <c r="A752" s="13">
        <v>63797</v>
      </c>
      <c r="B752" s="10">
        <f>CHOOSE(CONTROL!$C$42, 40.1981, 40.1981) * CHOOSE(CONTROL!$C$21, $C$9, 100%, $E$9)</f>
        <v>40.198099999999997</v>
      </c>
      <c r="C752" s="10">
        <f>CHOOSE(CONTROL!$C$42, 40.206, 40.206) * CHOOSE(CONTROL!$C$21, $C$9, 100%, $E$9)</f>
        <v>40.206000000000003</v>
      </c>
      <c r="D752" s="10">
        <f>CHOOSE(CONTROL!$C$42, 40.3984, 40.3984) * CHOOSE(CONTROL!$C$21, $C$9, 100%, $E$9)</f>
        <v>40.398400000000002</v>
      </c>
      <c r="E752" s="10">
        <f>CHOOSE(CONTROL!$C$42, 40.4295, 40.4295) * CHOOSE(CONTROL!$C$21, $C$9, 100%, $E$9)</f>
        <v>40.429499999999997</v>
      </c>
      <c r="F752" s="10">
        <f>CHOOSE(CONTROL!$C$42, 40.1651, 40.1651)*CHOOSE(CONTROL!$C$21, $C$9, 100%, $E$9)</f>
        <v>40.165100000000002</v>
      </c>
      <c r="G752" s="10">
        <f>CHOOSE(CONTROL!$C$42, 40.1825, 40.1825)*CHOOSE(CONTROL!$C$21, $C$9, 100%, $E$9)</f>
        <v>40.182499999999997</v>
      </c>
      <c r="H752" s="10">
        <f>CHOOSE(CONTROL!$C$42, 40.4182, 40.4182) * CHOOSE(CONTROL!$C$21, $C$9, 100%, $E$9)</f>
        <v>40.418199999999999</v>
      </c>
      <c r="I752" s="10">
        <f>CHOOSE(CONTROL!$C$42, 40.1646, 40.1646)* CHOOSE(CONTROL!$C$21, $C$9, 100%, $E$9)</f>
        <v>40.1646</v>
      </c>
      <c r="J752" s="10">
        <f>CHOOSE(CONTROL!$C$42, 40.1581, 40.1581)* CHOOSE(CONTROL!$C$21, $C$9, 100%, $E$9)</f>
        <v>40.158099999999997</v>
      </c>
      <c r="K752" s="54">
        <f>CHOOSE(CONTROL!$C$42, 40.1607, 40.1607) * CHOOSE(CONTROL!$C$21, $C$9, 100%, $E$9)</f>
        <v>40.160699999999999</v>
      </c>
      <c r="L752" s="10">
        <f>CHOOSE(CONTROL!$C$42, 41.0052, 41.0052) * CHOOSE(CONTROL!$C$21, $C$9, 100%, $E$9)</f>
        <v>41.005200000000002</v>
      </c>
      <c r="M752" s="10">
        <f>CHOOSE(CONTROL!$C$42, 39.7667, 39.7667) * CHOOSE(CONTROL!$C$21, $C$9, 100%, $E$9)</f>
        <v>39.7667</v>
      </c>
      <c r="N752" s="10">
        <f>CHOOSE(CONTROL!$C$42, 39.7838, 39.7838) * CHOOSE(CONTROL!$C$21, $C$9, 100%, $E$9)</f>
        <v>39.783799999999999</v>
      </c>
      <c r="O752" s="10">
        <f>CHOOSE(CONTROL!$C$42, 40.0241, 40.0241) * CHOOSE(CONTROL!$C$21, $C$9, 100%, $E$9)</f>
        <v>40.024099999999997</v>
      </c>
      <c r="P752" s="10">
        <f>CHOOSE(CONTROL!$C$42, 39.7732, 39.7732) * CHOOSE(CONTROL!$C$21, $C$9, 100%, $E$9)</f>
        <v>39.773200000000003</v>
      </c>
      <c r="Q752" s="10">
        <f>CHOOSE(CONTROL!$C$42, 40.6194, 40.6194) * CHOOSE(CONTROL!$C$21, $C$9, 100%, $E$9)</f>
        <v>40.619399999999999</v>
      </c>
      <c r="R752" s="10">
        <f>CHOOSE(CONTROL!$C$42, 41.308, 41.308) * CHOOSE(CONTROL!$C$21, $C$9, 100%, $E$9)</f>
        <v>41.308</v>
      </c>
      <c r="S752" s="10">
        <f>CHOOSE(CONTROL!$C$42, 39.0321, 39.0321) * CHOOSE(CONTROL!$C$21, $C$9, 100%, $E$9)</f>
        <v>39.0321</v>
      </c>
      <c r="T752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752" s="58">
        <f>(1000*CHOOSE(CONTROL!$C$42, 695, 695)*CHOOSE(CONTROL!$C$42, 0.5599, 0.5599)*CHOOSE(CONTROL!$C$42, 31, 31))/1000000</f>
        <v>12.063045499999998</v>
      </c>
      <c r="V752" s="58">
        <f>(1000*CHOOSE(CONTROL!$C$42, 500, 500)*CHOOSE(CONTROL!$C$42, 0.275, 0.275)*CHOOSE(CONTROL!$C$42, 31, 31))/1000000</f>
        <v>4.2625000000000002</v>
      </c>
      <c r="W752" s="58">
        <f>(1000*CHOOSE(CONTROL!$C$42, 0.1146, 0.1146)*CHOOSE(CONTROL!$C$42, 121.5, 121.5)*CHOOSE(CONTROL!$C$42, 31, 31))/1000000</f>
        <v>0.43164089999999994</v>
      </c>
      <c r="X752" s="58">
        <f>(31*0.1790888*245000/1000000)+(31*0.2374*100000/1000000)</f>
        <v>2.0961194359999999</v>
      </c>
      <c r="Y752" s="58"/>
      <c r="Z752" s="10"/>
      <c r="AA752" s="57"/>
      <c r="AB752" s="51">
        <f>(B752*194.205+C752*267.466+D752*133.845+E752*53.484+F752*40+G752*185+H752*0+I752*100+J752*300)/(194.205+267.466+133.845+53.484+0+40+185+100+300)</f>
        <v>40.215166195054941</v>
      </c>
      <c r="AC752" s="27">
        <f>(M752*'RAP TEMPLATE-GAS AVAILABILITY'!O751+N752*'RAP TEMPLATE-GAS AVAILABILITY'!P751+O752*'RAP TEMPLATE-GAS AVAILABILITY'!Q751+P752*'RAP TEMPLATE-GAS AVAILABILITY'!R751)/('RAP TEMPLATE-GAS AVAILABILITY'!O751+'RAP TEMPLATE-GAS AVAILABILITY'!P751+'RAP TEMPLATE-GAS AVAILABILITY'!Q751+'RAP TEMPLATE-GAS AVAILABILITY'!R751)</f>
        <v>39.88528273381295</v>
      </c>
    </row>
    <row r="753" spans="1:29" ht="15.75" x14ac:dyDescent="0.25">
      <c r="A753" s="13">
        <v>63827</v>
      </c>
      <c r="B753" s="10">
        <f>CHOOSE(CONTROL!$C$42, 37.6459, 37.6459) * CHOOSE(CONTROL!$C$21, $C$9, 100%, $E$9)</f>
        <v>37.645899999999997</v>
      </c>
      <c r="C753" s="10">
        <f>CHOOSE(CONTROL!$C$42, 37.6538, 37.6538) * CHOOSE(CONTROL!$C$21, $C$9, 100%, $E$9)</f>
        <v>37.653799999999997</v>
      </c>
      <c r="D753" s="10">
        <f>CHOOSE(CONTROL!$C$42, 37.8463, 37.8463) * CHOOSE(CONTROL!$C$21, $C$9, 100%, $E$9)</f>
        <v>37.846299999999999</v>
      </c>
      <c r="E753" s="10">
        <f>CHOOSE(CONTROL!$C$42, 37.8774, 37.8774) * CHOOSE(CONTROL!$C$21, $C$9, 100%, $E$9)</f>
        <v>37.877400000000002</v>
      </c>
      <c r="F753" s="10">
        <f>CHOOSE(CONTROL!$C$42, 37.6128, 37.6128)*CHOOSE(CONTROL!$C$21, $C$9, 100%, $E$9)</f>
        <v>37.6128</v>
      </c>
      <c r="G753" s="10">
        <f>CHOOSE(CONTROL!$C$42, 37.6301, 37.6301)*CHOOSE(CONTROL!$C$21, $C$9, 100%, $E$9)</f>
        <v>37.630099999999999</v>
      </c>
      <c r="H753" s="10">
        <f>CHOOSE(CONTROL!$C$42, 37.866, 37.866) * CHOOSE(CONTROL!$C$21, $C$9, 100%, $E$9)</f>
        <v>37.866</v>
      </c>
      <c r="I753" s="10">
        <f>CHOOSE(CONTROL!$C$42, 37.6125, 37.6125)* CHOOSE(CONTROL!$C$21, $C$9, 100%, $E$9)</f>
        <v>37.612499999999997</v>
      </c>
      <c r="J753" s="10">
        <f>CHOOSE(CONTROL!$C$42, 37.6058, 37.6058)* CHOOSE(CONTROL!$C$21, $C$9, 100%, $E$9)</f>
        <v>37.605800000000002</v>
      </c>
      <c r="K753" s="54">
        <f>CHOOSE(CONTROL!$C$42, 37.6086, 37.6086) * CHOOSE(CONTROL!$C$21, $C$9, 100%, $E$9)</f>
        <v>37.608600000000003</v>
      </c>
      <c r="L753" s="10">
        <f>CHOOSE(CONTROL!$C$42, 38.453, 38.453) * CHOOSE(CONTROL!$C$21, $C$9, 100%, $E$9)</f>
        <v>38.453000000000003</v>
      </c>
      <c r="M753" s="10">
        <f>CHOOSE(CONTROL!$C$42, 37.2401, 37.2401) * CHOOSE(CONTROL!$C$21, $C$9, 100%, $E$9)</f>
        <v>37.240099999999998</v>
      </c>
      <c r="N753" s="10">
        <f>CHOOSE(CONTROL!$C$42, 37.2573, 37.2573) * CHOOSE(CONTROL!$C$21, $C$9, 100%, $E$9)</f>
        <v>37.257300000000001</v>
      </c>
      <c r="O753" s="10">
        <f>CHOOSE(CONTROL!$C$42, 37.4977, 37.4977) * CHOOSE(CONTROL!$C$21, $C$9, 100%, $E$9)</f>
        <v>37.497700000000002</v>
      </c>
      <c r="P753" s="10">
        <f>CHOOSE(CONTROL!$C$42, 37.2468, 37.2468) * CHOOSE(CONTROL!$C$21, $C$9, 100%, $E$9)</f>
        <v>37.2468</v>
      </c>
      <c r="Q753" s="10">
        <f>CHOOSE(CONTROL!$C$42, 38.093, 38.093) * CHOOSE(CONTROL!$C$21, $C$9, 100%, $E$9)</f>
        <v>38.093000000000004</v>
      </c>
      <c r="R753" s="10">
        <f>CHOOSE(CONTROL!$C$42, 38.7753, 38.7753) * CHOOSE(CONTROL!$C$21, $C$9, 100%, $E$9)</f>
        <v>38.775300000000001</v>
      </c>
      <c r="S753" s="10">
        <f>CHOOSE(CONTROL!$C$42, 36.5537, 36.5537) * CHOOSE(CONTROL!$C$21, $C$9, 100%, $E$9)</f>
        <v>36.553699999999999</v>
      </c>
      <c r="T753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753" s="58">
        <f>(1000*CHOOSE(CONTROL!$C$42, 695, 695)*CHOOSE(CONTROL!$C$42, 0.5599, 0.5599)*CHOOSE(CONTROL!$C$42, 30, 30))/1000000</f>
        <v>11.673914999999997</v>
      </c>
      <c r="V753" s="58">
        <f>(1000*CHOOSE(CONTROL!$C$42, 500, 500)*CHOOSE(CONTROL!$C$42, 0.275, 0.275)*CHOOSE(CONTROL!$C$42, 30, 30))/1000000</f>
        <v>4.125</v>
      </c>
      <c r="W753" s="58">
        <f>(1000*CHOOSE(CONTROL!$C$42, 0.1146, 0.1146)*CHOOSE(CONTROL!$C$42, 121.5, 121.5)*CHOOSE(CONTROL!$C$42, 30, 30))/1000000</f>
        <v>0.417717</v>
      </c>
      <c r="X753" s="58">
        <f>(30*0.1790888*245000/1000000)+(30*0.2374*100000/1000000)</f>
        <v>2.0285026799999999</v>
      </c>
      <c r="Y753" s="58"/>
      <c r="Z753" s="10"/>
      <c r="AA753" s="57"/>
      <c r="AB753" s="51">
        <f>(B753*194.205+C753*267.466+D753*133.845+E753*53.484+F753*40+G753*185+H753*0+I753*100+J753*300)/(194.205+267.466+133.845+53.484+0+40+185+100+300)</f>
        <v>37.662933018367347</v>
      </c>
      <c r="AC753" s="27">
        <f>(M753*'RAP TEMPLATE-GAS AVAILABILITY'!O752+N753*'RAP TEMPLATE-GAS AVAILABILITY'!P752+O753*'RAP TEMPLATE-GAS AVAILABILITY'!Q752+P753*'RAP TEMPLATE-GAS AVAILABILITY'!R752)/('RAP TEMPLATE-GAS AVAILABILITY'!O752+'RAP TEMPLATE-GAS AVAILABILITY'!P752+'RAP TEMPLATE-GAS AVAILABILITY'!Q752+'RAP TEMPLATE-GAS AVAILABILITY'!R752)</f>
        <v>37.358807913669068</v>
      </c>
    </row>
    <row r="754" spans="1:29" ht="15.75" x14ac:dyDescent="0.25">
      <c r="A754" s="13">
        <v>63858</v>
      </c>
      <c r="B754" s="10">
        <f>CHOOSE(CONTROL!$C$42, 36.8799, 36.8799) * CHOOSE(CONTROL!$C$21, $C$9, 100%, $E$9)</f>
        <v>36.879899999999999</v>
      </c>
      <c r="C754" s="10">
        <f>CHOOSE(CONTROL!$C$42, 36.8851, 36.8851) * CHOOSE(CONTROL!$C$21, $C$9, 100%, $E$9)</f>
        <v>36.885100000000001</v>
      </c>
      <c r="D754" s="10">
        <f>CHOOSE(CONTROL!$C$42, 37.0825, 37.0825) * CHOOSE(CONTROL!$C$21, $C$9, 100%, $E$9)</f>
        <v>37.082500000000003</v>
      </c>
      <c r="E754" s="10">
        <f>CHOOSE(CONTROL!$C$42, 37.1113, 37.1113) * CHOOSE(CONTROL!$C$21, $C$9, 100%, $E$9)</f>
        <v>37.1113</v>
      </c>
      <c r="F754" s="10">
        <f>CHOOSE(CONTROL!$C$42, 36.8488, 36.8488)*CHOOSE(CONTROL!$C$21, $C$9, 100%, $E$9)</f>
        <v>36.848799999999997</v>
      </c>
      <c r="G754" s="10">
        <f>CHOOSE(CONTROL!$C$42, 36.8658, 36.8658)*CHOOSE(CONTROL!$C$21, $C$9, 100%, $E$9)</f>
        <v>36.8658</v>
      </c>
      <c r="H754" s="10">
        <f>CHOOSE(CONTROL!$C$42, 37.1018, 37.1018) * CHOOSE(CONTROL!$C$21, $C$9, 100%, $E$9)</f>
        <v>37.101799999999997</v>
      </c>
      <c r="I754" s="10">
        <f>CHOOSE(CONTROL!$C$42, 36.8482, 36.8482)* CHOOSE(CONTROL!$C$21, $C$9, 100%, $E$9)</f>
        <v>36.848199999999999</v>
      </c>
      <c r="J754" s="10">
        <f>CHOOSE(CONTROL!$C$42, 36.8418, 36.8418)* CHOOSE(CONTROL!$C$21, $C$9, 100%, $E$9)</f>
        <v>36.841799999999999</v>
      </c>
      <c r="K754" s="54">
        <f>CHOOSE(CONTROL!$C$42, 36.8443, 36.8443) * CHOOSE(CONTROL!$C$21, $C$9, 100%, $E$9)</f>
        <v>36.844299999999997</v>
      </c>
      <c r="L754" s="10">
        <f>CHOOSE(CONTROL!$C$42, 37.6888, 37.6888) * CHOOSE(CONTROL!$C$21, $C$9, 100%, $E$9)</f>
        <v>37.688800000000001</v>
      </c>
      <c r="M754" s="10">
        <f>CHOOSE(CONTROL!$C$42, 36.4838, 36.4838) * CHOOSE(CONTROL!$C$21, $C$9, 100%, $E$9)</f>
        <v>36.483800000000002</v>
      </c>
      <c r="N754" s="10">
        <f>CHOOSE(CONTROL!$C$42, 36.5006, 36.5006) * CHOOSE(CONTROL!$C$21, $C$9, 100%, $E$9)</f>
        <v>36.500599999999999</v>
      </c>
      <c r="O754" s="10">
        <f>CHOOSE(CONTROL!$C$42, 36.7412, 36.7412) * CHOOSE(CONTROL!$C$21, $C$9, 100%, $E$9)</f>
        <v>36.741199999999999</v>
      </c>
      <c r="P754" s="10">
        <f>CHOOSE(CONTROL!$C$42, 36.4902, 36.4902) * CHOOSE(CONTROL!$C$21, $C$9, 100%, $E$9)</f>
        <v>36.490200000000002</v>
      </c>
      <c r="Q754" s="10">
        <f>CHOOSE(CONTROL!$C$42, 37.3365, 37.3365) * CHOOSE(CONTROL!$C$21, $C$9, 100%, $E$9)</f>
        <v>37.336500000000001</v>
      </c>
      <c r="R754" s="10">
        <f>CHOOSE(CONTROL!$C$42, 38.0168, 38.0168) * CHOOSE(CONTROL!$C$21, $C$9, 100%, $E$9)</f>
        <v>38.016800000000003</v>
      </c>
      <c r="S754" s="10">
        <f>CHOOSE(CONTROL!$C$42, 35.8115, 35.8115) * CHOOSE(CONTROL!$C$21, $C$9, 100%, $E$9)</f>
        <v>35.811500000000002</v>
      </c>
      <c r="T754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754" s="58">
        <f>(1000*CHOOSE(CONTROL!$C$42, 695, 695)*CHOOSE(CONTROL!$C$42, 0.5599, 0.5599)*CHOOSE(CONTROL!$C$42, 31, 31))/1000000</f>
        <v>12.063045499999998</v>
      </c>
      <c r="V754" s="58">
        <f>(1000*CHOOSE(CONTROL!$C$42, 500, 500)*CHOOSE(CONTROL!$C$42, 0.275, 0.275)*CHOOSE(CONTROL!$C$42, 31, 31))/1000000</f>
        <v>4.2625000000000002</v>
      </c>
      <c r="W754" s="58">
        <f>(1000*CHOOSE(CONTROL!$C$42, 0.1146, 0.1146)*CHOOSE(CONTROL!$C$42, 121.5, 121.5)*CHOOSE(CONTROL!$C$42, 31, 31))/1000000</f>
        <v>0.43164089999999994</v>
      </c>
      <c r="X754" s="58">
        <f>(31*0.1790888*245000/1000000)+(31*0.2374*100000/1000000)</f>
        <v>2.0961194359999999</v>
      </c>
      <c r="Y754" s="58"/>
      <c r="Z754" s="10"/>
      <c r="AA754" s="57"/>
      <c r="AB754" s="51">
        <f>(B754*131.881+C754*277.167+D754*79.08+E754*125.872+F754*40+G754*185+H754*0+I754*100+J754*300)/(131.881+277.167+79.08+125.872+0+40+185+100+300)</f>
        <v>36.902609569975787</v>
      </c>
      <c r="AC754" s="27">
        <f>(M754*'RAP TEMPLATE-GAS AVAILABILITY'!O753+N754*'RAP TEMPLATE-GAS AVAILABILITY'!P753+O754*'RAP TEMPLATE-GAS AVAILABILITY'!Q753+P754*'RAP TEMPLATE-GAS AVAILABILITY'!R753)/('RAP TEMPLATE-GAS AVAILABILITY'!O753+'RAP TEMPLATE-GAS AVAILABILITY'!P753+'RAP TEMPLATE-GAS AVAILABILITY'!Q753+'RAP TEMPLATE-GAS AVAILABILITY'!R753)</f>
        <v>36.602351079136696</v>
      </c>
    </row>
    <row r="755" spans="1:29" ht="15.75" x14ac:dyDescent="0.25">
      <c r="A755" s="13">
        <v>63888</v>
      </c>
      <c r="B755" s="10">
        <f>CHOOSE(CONTROL!$C$42, 37.851, 37.851) * CHOOSE(CONTROL!$C$21, $C$9, 100%, $E$9)</f>
        <v>37.850999999999999</v>
      </c>
      <c r="C755" s="10">
        <f>CHOOSE(CONTROL!$C$42, 37.856, 37.856) * CHOOSE(CONTROL!$C$21, $C$9, 100%, $E$9)</f>
        <v>37.856000000000002</v>
      </c>
      <c r="D755" s="10">
        <f>CHOOSE(CONTROL!$C$42, 37.8856, 37.8856) * CHOOSE(CONTROL!$C$21, $C$9, 100%, $E$9)</f>
        <v>37.885599999999997</v>
      </c>
      <c r="E755" s="10">
        <f>CHOOSE(CONTROL!$C$42, 37.9193, 37.9193) * CHOOSE(CONTROL!$C$21, $C$9, 100%, $E$9)</f>
        <v>37.9193</v>
      </c>
      <c r="F755" s="10">
        <f>CHOOSE(CONTROL!$C$42, 37.8178, 37.8178)*CHOOSE(CONTROL!$C$21, $C$9, 100%, $E$9)</f>
        <v>37.817799999999998</v>
      </c>
      <c r="G755" s="10">
        <f>CHOOSE(CONTROL!$C$42, 37.8349, 37.8349)*CHOOSE(CONTROL!$C$21, $C$9, 100%, $E$9)</f>
        <v>37.834899999999998</v>
      </c>
      <c r="H755" s="10">
        <f>CHOOSE(CONTROL!$C$42, 37.9085, 37.9085) * CHOOSE(CONTROL!$C$21, $C$9, 100%, $E$9)</f>
        <v>37.908499999999997</v>
      </c>
      <c r="I755" s="10">
        <f>CHOOSE(CONTROL!$C$42, 37.8146, 37.8146)* CHOOSE(CONTROL!$C$21, $C$9, 100%, $E$9)</f>
        <v>37.814599999999999</v>
      </c>
      <c r="J755" s="10">
        <f>CHOOSE(CONTROL!$C$42, 37.8108, 37.8108)* CHOOSE(CONTROL!$C$21, $C$9, 100%, $E$9)</f>
        <v>37.8108</v>
      </c>
      <c r="K755" s="54">
        <f>CHOOSE(CONTROL!$C$42, 37.8107, 37.8107) * CHOOSE(CONTROL!$C$21, $C$9, 100%, $E$9)</f>
        <v>37.810699999999997</v>
      </c>
      <c r="L755" s="10">
        <f>CHOOSE(CONTROL!$C$42, 38.4955, 38.4955) * CHOOSE(CONTROL!$C$21, $C$9, 100%, $E$9)</f>
        <v>38.4955</v>
      </c>
      <c r="M755" s="10">
        <f>CHOOSE(CONTROL!$C$42, 37.443, 37.443) * CHOOSE(CONTROL!$C$21, $C$9, 100%, $E$9)</f>
        <v>37.442999999999998</v>
      </c>
      <c r="N755" s="10">
        <f>CHOOSE(CONTROL!$C$42, 37.46, 37.46) * CHOOSE(CONTROL!$C$21, $C$9, 100%, $E$9)</f>
        <v>37.46</v>
      </c>
      <c r="O755" s="10">
        <f>CHOOSE(CONTROL!$C$42, 37.5398, 37.5398) * CHOOSE(CONTROL!$C$21, $C$9, 100%, $E$9)</f>
        <v>37.5398</v>
      </c>
      <c r="P755" s="10">
        <f>CHOOSE(CONTROL!$C$42, 37.4468, 37.4468) * CHOOSE(CONTROL!$C$21, $C$9, 100%, $E$9)</f>
        <v>37.446800000000003</v>
      </c>
      <c r="Q755" s="10">
        <f>CHOOSE(CONTROL!$C$42, 38.1351, 38.1351) * CHOOSE(CONTROL!$C$21, $C$9, 100%, $E$9)</f>
        <v>38.135100000000001</v>
      </c>
      <c r="R755" s="10">
        <f>CHOOSE(CONTROL!$C$42, 38.8174, 38.8174) * CHOOSE(CONTROL!$C$21, $C$9, 100%, $E$9)</f>
        <v>38.817399999999999</v>
      </c>
      <c r="S755" s="10">
        <f>CHOOSE(CONTROL!$C$42, 36.755, 36.755) * CHOOSE(CONTROL!$C$21, $C$9, 100%, $E$9)</f>
        <v>36.755000000000003</v>
      </c>
      <c r="T755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755" s="58">
        <f>(1000*CHOOSE(CONTROL!$C$42, 695, 695)*CHOOSE(CONTROL!$C$42, 0.5599, 0.5599)*CHOOSE(CONTROL!$C$42, 30, 30))/1000000</f>
        <v>11.673914999999997</v>
      </c>
      <c r="V755" s="58">
        <f>(1000*CHOOSE(CONTROL!$C$42, 500, 500)*CHOOSE(CONTROL!$C$42, 0.275, 0.275)*CHOOSE(CONTROL!$C$42, 30, 30))/1000000</f>
        <v>4.125</v>
      </c>
      <c r="W755" s="58">
        <f>(1000*CHOOSE(CONTROL!$C$42, 0.1146, 0.1146)*CHOOSE(CONTROL!$C$42, 121.5, 121.5)*CHOOSE(CONTROL!$C$42, 30, 30))/1000000</f>
        <v>0.417717</v>
      </c>
      <c r="X755" s="58">
        <f>(30*0.1790888*100000/1000000)+(30*0.2374*100000/1000000)</f>
        <v>1.2494664</v>
      </c>
      <c r="Y755" s="58"/>
      <c r="Z755" s="10"/>
      <c r="AA755" s="57"/>
      <c r="AB755" s="51">
        <f>(B755*122.58+C755*297.941+D755*89.177+E755*40.302+F755*40+G755*160+H755*0+I755*100+J755*300)/(122.58+297.941+89.177+40.302+0+40+160+100+300)</f>
        <v>37.840325092</v>
      </c>
      <c r="AC755" s="27">
        <f>(M755*'RAP TEMPLATE-GAS AVAILABILITY'!O754+N755*'RAP TEMPLATE-GAS AVAILABILITY'!P754+O755*'RAP TEMPLATE-GAS AVAILABILITY'!Q754+P755*'RAP TEMPLATE-GAS AVAILABILITY'!R754)/('RAP TEMPLATE-GAS AVAILABILITY'!O754+'RAP TEMPLATE-GAS AVAILABILITY'!P754+'RAP TEMPLATE-GAS AVAILABILITY'!Q754+'RAP TEMPLATE-GAS AVAILABILITY'!R754)</f>
        <v>37.488398561151079</v>
      </c>
    </row>
    <row r="756" spans="1:29" ht="15.75" x14ac:dyDescent="0.25">
      <c r="A756" s="13">
        <v>63919</v>
      </c>
      <c r="B756" s="10">
        <f>CHOOSE(CONTROL!$C$42, 40.4315, 40.4315) * CHOOSE(CONTROL!$C$21, $C$9, 100%, $E$9)</f>
        <v>40.4315</v>
      </c>
      <c r="C756" s="10">
        <f>CHOOSE(CONTROL!$C$42, 40.4364, 40.4364) * CHOOSE(CONTROL!$C$21, $C$9, 100%, $E$9)</f>
        <v>40.436399999999999</v>
      </c>
      <c r="D756" s="10">
        <f>CHOOSE(CONTROL!$C$42, 40.466, 40.466) * CHOOSE(CONTROL!$C$21, $C$9, 100%, $E$9)</f>
        <v>40.466000000000001</v>
      </c>
      <c r="E756" s="10">
        <f>CHOOSE(CONTROL!$C$42, 40.4998, 40.4998) * CHOOSE(CONTROL!$C$21, $C$9, 100%, $E$9)</f>
        <v>40.4998</v>
      </c>
      <c r="F756" s="10">
        <f>CHOOSE(CONTROL!$C$42, 40.3997, 40.3997)*CHOOSE(CONTROL!$C$21, $C$9, 100%, $E$9)</f>
        <v>40.399700000000003</v>
      </c>
      <c r="G756" s="10">
        <f>CHOOSE(CONTROL!$C$42, 40.4172, 40.4172)*CHOOSE(CONTROL!$C$21, $C$9, 100%, $E$9)</f>
        <v>40.417200000000001</v>
      </c>
      <c r="H756" s="10">
        <f>CHOOSE(CONTROL!$C$42, 40.489, 40.489) * CHOOSE(CONTROL!$C$21, $C$9, 100%, $E$9)</f>
        <v>40.488999999999997</v>
      </c>
      <c r="I756" s="10">
        <f>CHOOSE(CONTROL!$C$42, 40.3951, 40.3951)* CHOOSE(CONTROL!$C$21, $C$9, 100%, $E$9)</f>
        <v>40.395099999999999</v>
      </c>
      <c r="J756" s="10">
        <f>CHOOSE(CONTROL!$C$42, 40.3927, 40.3927)* CHOOSE(CONTROL!$C$21, $C$9, 100%, $E$9)</f>
        <v>40.392699999999998</v>
      </c>
      <c r="K756" s="54">
        <f>CHOOSE(CONTROL!$C$42, 40.3912, 40.3912) * CHOOSE(CONTROL!$C$21, $C$9, 100%, $E$9)</f>
        <v>40.391199999999998</v>
      </c>
      <c r="L756" s="10">
        <f>CHOOSE(CONTROL!$C$42, 41.076, 41.076) * CHOOSE(CONTROL!$C$21, $C$9, 100%, $E$9)</f>
        <v>41.076000000000001</v>
      </c>
      <c r="M756" s="10">
        <f>CHOOSE(CONTROL!$C$42, 39.9989, 39.9989) * CHOOSE(CONTROL!$C$21, $C$9, 100%, $E$9)</f>
        <v>39.998899999999999</v>
      </c>
      <c r="N756" s="10">
        <f>CHOOSE(CONTROL!$C$42, 40.0162, 40.0162) * CHOOSE(CONTROL!$C$21, $C$9, 100%, $E$9)</f>
        <v>40.016199999999998</v>
      </c>
      <c r="O756" s="10">
        <f>CHOOSE(CONTROL!$C$42, 40.0942, 40.0942) * CHOOSE(CONTROL!$C$21, $C$9, 100%, $E$9)</f>
        <v>40.094200000000001</v>
      </c>
      <c r="P756" s="10">
        <f>CHOOSE(CONTROL!$C$42, 40.0013, 40.0013) * CHOOSE(CONTROL!$C$21, $C$9, 100%, $E$9)</f>
        <v>40.001300000000001</v>
      </c>
      <c r="Q756" s="10">
        <f>CHOOSE(CONTROL!$C$42, 40.6895, 40.6895) * CHOOSE(CONTROL!$C$21, $C$9, 100%, $E$9)</f>
        <v>40.689500000000002</v>
      </c>
      <c r="R756" s="10">
        <f>CHOOSE(CONTROL!$C$42, 41.3782, 41.3782) * CHOOSE(CONTROL!$C$21, $C$9, 100%, $E$9)</f>
        <v>41.3782</v>
      </c>
      <c r="S756" s="10">
        <f>CHOOSE(CONTROL!$C$42, 39.2609, 39.2609) * CHOOSE(CONTROL!$C$21, $C$9, 100%, $E$9)</f>
        <v>39.260899999999999</v>
      </c>
      <c r="T756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756" s="58">
        <f>(1000*CHOOSE(CONTROL!$C$42, 695, 695)*CHOOSE(CONTROL!$C$42, 0.5599, 0.5599)*CHOOSE(CONTROL!$C$42, 31, 31))/1000000</f>
        <v>12.063045499999998</v>
      </c>
      <c r="V756" s="58">
        <f>(1000*CHOOSE(CONTROL!$C$42, 500, 500)*CHOOSE(CONTROL!$C$42, 0.275, 0.275)*CHOOSE(CONTROL!$C$42, 31, 31))/1000000</f>
        <v>4.2625000000000002</v>
      </c>
      <c r="W756" s="58">
        <f>(1000*CHOOSE(CONTROL!$C$42, 0.1146, 0.1146)*CHOOSE(CONTROL!$C$42, 121.5, 121.5)*CHOOSE(CONTROL!$C$42, 31, 31))/1000000</f>
        <v>0.43164089999999994</v>
      </c>
      <c r="X756" s="58">
        <f>(31*0.1790888*100000/1000000)+(31*0.2374*100000/1000000)</f>
        <v>1.2911152800000001</v>
      </c>
      <c r="Y756" s="58"/>
      <c r="Z756" s="10"/>
      <c r="AA756" s="57"/>
      <c r="AB756" s="51">
        <f>(B756*122.58+C756*297.941+D756*89.177+E756*40.302+F756*40+G756*160+H756*0+I756*100+J756*300)/(122.58+297.941+89.177+40.302+0+40+160+100+300)</f>
        <v>40.421455777391301</v>
      </c>
      <c r="AC756" s="27">
        <f>(M756*'RAP TEMPLATE-GAS AVAILABILITY'!O755+N756*'RAP TEMPLATE-GAS AVAILABILITY'!P755+O756*'RAP TEMPLATE-GAS AVAILABILITY'!Q755+P756*'RAP TEMPLATE-GAS AVAILABILITY'!R755)/('RAP TEMPLATE-GAS AVAILABILITY'!O755+'RAP TEMPLATE-GAS AVAILABILITY'!P755+'RAP TEMPLATE-GAS AVAILABILITY'!Q755+'RAP TEMPLATE-GAS AVAILABILITY'!R755)</f>
        <v>40.0434345323741</v>
      </c>
    </row>
    <row r="757" spans="1:29" ht="15.75" x14ac:dyDescent="0.25">
      <c r="A757" s="13">
        <v>63950</v>
      </c>
      <c r="B757" s="10">
        <f>CHOOSE(CONTROL!$C$42, 43.744, 43.744) * CHOOSE(CONTROL!$C$21, $C$9, 100%, $E$9)</f>
        <v>43.744</v>
      </c>
      <c r="C757" s="10">
        <f>CHOOSE(CONTROL!$C$42, 43.749, 43.749) * CHOOSE(CONTROL!$C$21, $C$9, 100%, $E$9)</f>
        <v>43.749000000000002</v>
      </c>
      <c r="D757" s="10">
        <f>CHOOSE(CONTROL!$C$42, 43.7992, 43.7992) * CHOOSE(CONTROL!$C$21, $C$9, 100%, $E$9)</f>
        <v>43.799199999999999</v>
      </c>
      <c r="E757" s="10">
        <f>CHOOSE(CONTROL!$C$42, 43.833, 43.833) * CHOOSE(CONTROL!$C$21, $C$9, 100%, $E$9)</f>
        <v>43.832999999999998</v>
      </c>
      <c r="F757" s="10">
        <f>CHOOSE(CONTROL!$C$42, 43.7094, 43.7094)*CHOOSE(CONTROL!$C$21, $C$9, 100%, $E$9)</f>
        <v>43.709400000000002</v>
      </c>
      <c r="G757" s="10">
        <f>CHOOSE(CONTROL!$C$42, 43.727, 43.727)*CHOOSE(CONTROL!$C$21, $C$9, 100%, $E$9)</f>
        <v>43.726999999999997</v>
      </c>
      <c r="H757" s="10">
        <f>CHOOSE(CONTROL!$C$42, 43.8222, 43.8222) * CHOOSE(CONTROL!$C$21, $C$9, 100%, $E$9)</f>
        <v>43.822200000000002</v>
      </c>
      <c r="I757" s="10">
        <f>CHOOSE(CONTROL!$C$42, 43.7179, 43.7179)* CHOOSE(CONTROL!$C$21, $C$9, 100%, $E$9)</f>
        <v>43.7179</v>
      </c>
      <c r="J757" s="10">
        <f>CHOOSE(CONTROL!$C$42, 43.7024, 43.7024)* CHOOSE(CONTROL!$C$21, $C$9, 100%, $E$9)</f>
        <v>43.702399999999997</v>
      </c>
      <c r="K757" s="54">
        <f>CHOOSE(CONTROL!$C$42, 43.714, 43.714) * CHOOSE(CONTROL!$C$21, $C$9, 100%, $E$9)</f>
        <v>43.713999999999999</v>
      </c>
      <c r="L757" s="10">
        <f>CHOOSE(CONTROL!$C$42, 44.4092, 44.4092) * CHOOSE(CONTROL!$C$21, $C$9, 100%, $E$9)</f>
        <v>44.409199999999998</v>
      </c>
      <c r="M757" s="10">
        <f>CHOOSE(CONTROL!$C$42, 43.2752, 43.2752) * CHOOSE(CONTROL!$C$21, $C$9, 100%, $E$9)</f>
        <v>43.275199999999998</v>
      </c>
      <c r="N757" s="10">
        <f>CHOOSE(CONTROL!$C$42, 43.2926, 43.2926) * CHOOSE(CONTROL!$C$21, $C$9, 100%, $E$9)</f>
        <v>43.2926</v>
      </c>
      <c r="O757" s="10">
        <f>CHOOSE(CONTROL!$C$42, 43.3938, 43.3938) * CHOOSE(CONTROL!$C$21, $C$9, 100%, $E$9)</f>
        <v>43.393799999999999</v>
      </c>
      <c r="P757" s="10">
        <f>CHOOSE(CONTROL!$C$42, 43.2906, 43.2906) * CHOOSE(CONTROL!$C$21, $C$9, 100%, $E$9)</f>
        <v>43.290599999999998</v>
      </c>
      <c r="Q757" s="10">
        <f>CHOOSE(CONTROL!$C$42, 43.9891, 43.9891) * CHOOSE(CONTROL!$C$21, $C$9, 100%, $E$9)</f>
        <v>43.989100000000001</v>
      </c>
      <c r="R757" s="10">
        <f>CHOOSE(CONTROL!$C$42, 44.686, 44.686) * CHOOSE(CONTROL!$C$21, $C$9, 100%, $E$9)</f>
        <v>44.686</v>
      </c>
      <c r="S757" s="10">
        <f>CHOOSE(CONTROL!$C$42, 42.4777, 42.4777) * CHOOSE(CONTROL!$C$21, $C$9, 100%, $E$9)</f>
        <v>42.477699999999999</v>
      </c>
      <c r="T757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757" s="58">
        <f>(1000*CHOOSE(CONTROL!$C$42, 695, 695)*CHOOSE(CONTROL!$C$42, 0.5599, 0.5599)*CHOOSE(CONTROL!$C$42, 31, 31))/1000000</f>
        <v>12.063045499999998</v>
      </c>
      <c r="V757" s="58">
        <f>(1000*CHOOSE(CONTROL!$C$42, 500, 500)*CHOOSE(CONTROL!$C$42, 0.275, 0.275)*CHOOSE(CONTROL!$C$42, 31, 31))/1000000</f>
        <v>4.2625000000000002</v>
      </c>
      <c r="W757" s="58">
        <f>(1000*CHOOSE(CONTROL!$C$42, 0.1146, 0.1146)*CHOOSE(CONTROL!$C$42, 121.5, 121.5)*CHOOSE(CONTROL!$C$42, 31, 31))/1000000</f>
        <v>0.43164089999999994</v>
      </c>
      <c r="X757" s="58">
        <f>(31*0.1790888*100000/1000000)+(31*0.2374*100000/1000000)</f>
        <v>1.2911152800000001</v>
      </c>
      <c r="Y757" s="58"/>
      <c r="Z757" s="10"/>
      <c r="AA757" s="57"/>
      <c r="AB757" s="51">
        <f>(B757*122.58+C757*297.941+D757*89.177+E757*40.302+F757*40+G757*160+H757*0+I757*100+J757*300)/(122.58+297.941+89.177+40.302+0+40+160+100+300)</f>
        <v>43.736004481217392</v>
      </c>
      <c r="AC757" s="27">
        <f>(M757*'RAP TEMPLATE-GAS AVAILABILITY'!O756+N757*'RAP TEMPLATE-GAS AVAILABILITY'!P756+O757*'RAP TEMPLATE-GAS AVAILABILITY'!Q756+P757*'RAP TEMPLATE-GAS AVAILABILITY'!R756)/('RAP TEMPLATE-GAS AVAILABILITY'!O756+'RAP TEMPLATE-GAS AVAILABILITY'!P756+'RAP TEMPLATE-GAS AVAILABILITY'!Q756+'RAP TEMPLATE-GAS AVAILABILITY'!R756)</f>
        <v>43.332171223021575</v>
      </c>
    </row>
    <row r="758" spans="1:29" ht="15.75" x14ac:dyDescent="0.25">
      <c r="A758" s="13">
        <v>63978</v>
      </c>
      <c r="B758" s="10">
        <f>CHOOSE(CONTROL!$C$42, 44.5227, 44.5227) * CHOOSE(CONTROL!$C$21, $C$9, 100%, $E$9)</f>
        <v>44.5227</v>
      </c>
      <c r="C758" s="10">
        <f>CHOOSE(CONTROL!$C$42, 44.5277, 44.5277) * CHOOSE(CONTROL!$C$21, $C$9, 100%, $E$9)</f>
        <v>44.527700000000003</v>
      </c>
      <c r="D758" s="10">
        <f>CHOOSE(CONTROL!$C$42, 44.5882, 44.5882) * CHOOSE(CONTROL!$C$21, $C$9, 100%, $E$9)</f>
        <v>44.588200000000001</v>
      </c>
      <c r="E758" s="10">
        <f>CHOOSE(CONTROL!$C$42, 44.6219, 44.6219) * CHOOSE(CONTROL!$C$21, $C$9, 100%, $E$9)</f>
        <v>44.621899999999997</v>
      </c>
      <c r="F758" s="10">
        <f>CHOOSE(CONTROL!$C$42, 44.5159, 44.5159)*CHOOSE(CONTROL!$C$21, $C$9, 100%, $E$9)</f>
        <v>44.515900000000002</v>
      </c>
      <c r="G758" s="10">
        <f>CHOOSE(CONTROL!$C$42, 44.5332, 44.5332)*CHOOSE(CONTROL!$C$21, $C$9, 100%, $E$9)</f>
        <v>44.533200000000001</v>
      </c>
      <c r="H758" s="10">
        <f>CHOOSE(CONTROL!$C$42, 44.6111, 44.6111) * CHOOSE(CONTROL!$C$21, $C$9, 100%, $E$9)</f>
        <v>44.6111</v>
      </c>
      <c r="I758" s="10">
        <f>CHOOSE(CONTROL!$C$42, 44.5095, 44.5095)* CHOOSE(CONTROL!$C$21, $C$9, 100%, $E$9)</f>
        <v>44.509500000000003</v>
      </c>
      <c r="J758" s="10">
        <f>CHOOSE(CONTROL!$C$42, 44.5089, 44.5089)* CHOOSE(CONTROL!$C$21, $C$9, 100%, $E$9)</f>
        <v>44.508899999999997</v>
      </c>
      <c r="K758" s="54">
        <f>CHOOSE(CONTROL!$C$42, 44.5056, 44.5056) * CHOOSE(CONTROL!$C$21, $C$9, 100%, $E$9)</f>
        <v>44.505600000000001</v>
      </c>
      <c r="L758" s="10">
        <f>CHOOSE(CONTROL!$C$42, 45.1981, 45.1981) * CHOOSE(CONTROL!$C$21, $C$9, 100%, $E$9)</f>
        <v>45.198099999999997</v>
      </c>
      <c r="M758" s="10">
        <f>CHOOSE(CONTROL!$C$42, 44.0736, 44.0736) * CHOOSE(CONTROL!$C$21, $C$9, 100%, $E$9)</f>
        <v>44.073599999999999</v>
      </c>
      <c r="N758" s="10">
        <f>CHOOSE(CONTROL!$C$42, 44.0907, 44.0907) * CHOOSE(CONTROL!$C$21, $C$9, 100%, $E$9)</f>
        <v>44.090699999999998</v>
      </c>
      <c r="O758" s="10">
        <f>CHOOSE(CONTROL!$C$42, 44.1748, 44.1748) * CHOOSE(CONTROL!$C$21, $C$9, 100%, $E$9)</f>
        <v>44.174799999999998</v>
      </c>
      <c r="P758" s="10">
        <f>CHOOSE(CONTROL!$C$42, 44.0742, 44.0742) * CHOOSE(CONTROL!$C$21, $C$9, 100%, $E$9)</f>
        <v>44.074199999999998</v>
      </c>
      <c r="Q758" s="10">
        <f>CHOOSE(CONTROL!$C$42, 44.7701, 44.7701) * CHOOSE(CONTROL!$C$21, $C$9, 100%, $E$9)</f>
        <v>44.770099999999999</v>
      </c>
      <c r="R758" s="10">
        <f>CHOOSE(CONTROL!$C$42, 45.469, 45.469) * CHOOSE(CONTROL!$C$21, $C$9, 100%, $E$9)</f>
        <v>45.469000000000001</v>
      </c>
      <c r="S758" s="10">
        <f>CHOOSE(CONTROL!$C$42, 43.2339, 43.2339) * CHOOSE(CONTROL!$C$21, $C$9, 100%, $E$9)</f>
        <v>43.233899999999998</v>
      </c>
      <c r="T758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758" s="58">
        <f>(1000*CHOOSE(CONTROL!$C$42, 695, 695)*CHOOSE(CONTROL!$C$42, 0.5599, 0.5599)*CHOOSE(CONTROL!$C$42, 28, 28))/1000000</f>
        <v>10.895653999999999</v>
      </c>
      <c r="V758" s="58">
        <f>(1000*CHOOSE(CONTROL!$C$42, 500, 500)*CHOOSE(CONTROL!$C$42, 0.275, 0.275)*CHOOSE(CONTROL!$C$42, 28, 28))/1000000</f>
        <v>3.85</v>
      </c>
      <c r="W758" s="58">
        <f>(1000*CHOOSE(CONTROL!$C$42, 0.1146, 0.1146)*CHOOSE(CONTROL!$C$42, 121.5, 121.5)*CHOOSE(CONTROL!$C$42, 28, 28))/1000000</f>
        <v>0.38986920000000003</v>
      </c>
      <c r="X758" s="58">
        <f>(28*0.1790888*100000/1000000)+(28*0.2374*100000/1000000)</f>
        <v>1.16616864</v>
      </c>
      <c r="Y758" s="58"/>
      <c r="Z758" s="10"/>
      <c r="AA758" s="57"/>
      <c r="AB758" s="51">
        <f>(B758*122.58+C758*297.941+D758*89.177+E758*40.302+F758*40+G758*160+H758*0+I758*100+J758*300)/(122.58+297.941+89.177+40.302+0+40+160+100+300)</f>
        <v>44.52902761469565</v>
      </c>
      <c r="AC758" s="27">
        <f>(M758*'RAP TEMPLATE-GAS AVAILABILITY'!O757+N758*'RAP TEMPLATE-GAS AVAILABILITY'!P757+O758*'RAP TEMPLATE-GAS AVAILABILITY'!Q757+P758*'RAP TEMPLATE-GAS AVAILABILITY'!R757)/('RAP TEMPLATE-GAS AVAILABILITY'!O757+'RAP TEMPLATE-GAS AVAILABILITY'!P757+'RAP TEMPLATE-GAS AVAILABILITY'!Q757+'RAP TEMPLATE-GAS AVAILABILITY'!R757)</f>
        <v>44.120538129496403</v>
      </c>
    </row>
    <row r="759" spans="1:29" ht="15.75" x14ac:dyDescent="0.25">
      <c r="A759" s="13">
        <v>64009</v>
      </c>
      <c r="B759" s="10">
        <f>CHOOSE(CONTROL!$C$42, 43.2588, 43.2588) * CHOOSE(CONTROL!$C$21, $C$9, 100%, $E$9)</f>
        <v>43.258800000000001</v>
      </c>
      <c r="C759" s="10">
        <f>CHOOSE(CONTROL!$C$42, 43.2637, 43.2637) * CHOOSE(CONTROL!$C$21, $C$9, 100%, $E$9)</f>
        <v>43.2637</v>
      </c>
      <c r="D759" s="10">
        <f>CHOOSE(CONTROL!$C$42, 43.3242, 43.3242) * CHOOSE(CONTROL!$C$21, $C$9, 100%, $E$9)</f>
        <v>43.324199999999998</v>
      </c>
      <c r="E759" s="10">
        <f>CHOOSE(CONTROL!$C$42, 43.358, 43.358) * CHOOSE(CONTROL!$C$21, $C$9, 100%, $E$9)</f>
        <v>43.357999999999997</v>
      </c>
      <c r="F759" s="10">
        <f>CHOOSE(CONTROL!$C$42, 43.2465, 43.2465)*CHOOSE(CONTROL!$C$21, $C$9, 100%, $E$9)</f>
        <v>43.246499999999997</v>
      </c>
      <c r="G759" s="10">
        <f>CHOOSE(CONTROL!$C$42, 43.2637, 43.2637)*CHOOSE(CONTROL!$C$21, $C$9, 100%, $E$9)</f>
        <v>43.2637</v>
      </c>
      <c r="H759" s="10">
        <f>CHOOSE(CONTROL!$C$42, 43.3472, 43.3472) * CHOOSE(CONTROL!$C$21, $C$9, 100%, $E$9)</f>
        <v>43.347200000000001</v>
      </c>
      <c r="I759" s="10">
        <f>CHOOSE(CONTROL!$C$42, 43.2326, 43.2326)* CHOOSE(CONTROL!$C$21, $C$9, 100%, $E$9)</f>
        <v>43.232599999999998</v>
      </c>
      <c r="J759" s="10">
        <f>CHOOSE(CONTROL!$C$42, 43.2395, 43.2395)* CHOOSE(CONTROL!$C$21, $C$9, 100%, $E$9)</f>
        <v>43.2395</v>
      </c>
      <c r="K759" s="54">
        <f>CHOOSE(CONTROL!$C$42, 43.2288, 43.2288) * CHOOSE(CONTROL!$C$21, $C$9, 100%, $E$9)</f>
        <v>43.2288</v>
      </c>
      <c r="L759" s="10">
        <f>CHOOSE(CONTROL!$C$42, 43.9342, 43.9342) * CHOOSE(CONTROL!$C$21, $C$9, 100%, $E$9)</f>
        <v>43.934199999999997</v>
      </c>
      <c r="M759" s="10">
        <f>CHOOSE(CONTROL!$C$42, 42.8169, 42.8169) * CHOOSE(CONTROL!$C$21, $C$9, 100%, $E$9)</f>
        <v>42.816899999999997</v>
      </c>
      <c r="N759" s="10">
        <f>CHOOSE(CONTROL!$C$42, 42.834, 42.834) * CHOOSE(CONTROL!$C$21, $C$9, 100%, $E$9)</f>
        <v>42.834000000000003</v>
      </c>
      <c r="O759" s="10">
        <f>CHOOSE(CONTROL!$C$42, 42.9236, 42.9236) * CHOOSE(CONTROL!$C$21, $C$9, 100%, $E$9)</f>
        <v>42.9236</v>
      </c>
      <c r="P759" s="10">
        <f>CHOOSE(CONTROL!$C$42, 42.8102, 42.8102) * CHOOSE(CONTROL!$C$21, $C$9, 100%, $E$9)</f>
        <v>42.810200000000002</v>
      </c>
      <c r="Q759" s="10">
        <f>CHOOSE(CONTROL!$C$42, 43.5189, 43.5189) * CHOOSE(CONTROL!$C$21, $C$9, 100%, $E$9)</f>
        <v>43.518900000000002</v>
      </c>
      <c r="R759" s="10">
        <f>CHOOSE(CONTROL!$C$42, 44.2147, 44.2147) * CHOOSE(CONTROL!$C$21, $C$9, 100%, $E$9)</f>
        <v>44.214700000000001</v>
      </c>
      <c r="S759" s="10">
        <f>CHOOSE(CONTROL!$C$42, 42.0064, 42.0064) * CHOOSE(CONTROL!$C$21, $C$9, 100%, $E$9)</f>
        <v>42.006399999999999</v>
      </c>
      <c r="T759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759" s="58">
        <f>(1000*CHOOSE(CONTROL!$C$42, 695, 695)*CHOOSE(CONTROL!$C$42, 0.5599, 0.5599)*CHOOSE(CONTROL!$C$42, 31, 31))/1000000</f>
        <v>12.063045499999998</v>
      </c>
      <c r="V759" s="58">
        <f>(1000*CHOOSE(CONTROL!$C$42, 500, 500)*CHOOSE(CONTROL!$C$42, 0.275, 0.275)*CHOOSE(CONTROL!$C$42, 31, 31))/1000000</f>
        <v>4.2625000000000002</v>
      </c>
      <c r="W759" s="58">
        <f>(1000*CHOOSE(CONTROL!$C$42, 0.1146, 0.1146)*CHOOSE(CONTROL!$C$42, 121.5, 121.5)*CHOOSE(CONTROL!$C$42, 31, 31))/1000000</f>
        <v>0.43164089999999994</v>
      </c>
      <c r="X759" s="58">
        <f>(31*0.1790888*100000/1000000)+(31*0.2374*100000/1000000)</f>
        <v>1.2911152800000001</v>
      </c>
      <c r="Y759" s="58"/>
      <c r="Z759" s="10"/>
      <c r="AA759" s="57"/>
      <c r="AB759" s="51">
        <f>(B759*122.58+C759*297.941+D759*89.177+E759*40.302+F759*40+G759*160+H759*0+I759*100+J759*300)/(122.58+297.941+89.177+40.302+0+40+160+100+300)</f>
        <v>43.261558300086953</v>
      </c>
      <c r="AC759" s="27">
        <f>(M759*'RAP TEMPLATE-GAS AVAILABILITY'!O758+N759*'RAP TEMPLATE-GAS AVAILABILITY'!P758+O759*'RAP TEMPLATE-GAS AVAILABILITY'!Q758+P759*'RAP TEMPLATE-GAS AVAILABILITY'!R758)/('RAP TEMPLATE-GAS AVAILABILITY'!O758+'RAP TEMPLATE-GAS AVAILABILITY'!P758+'RAP TEMPLATE-GAS AVAILABILITY'!Q758+'RAP TEMPLATE-GAS AVAILABILITY'!R758)</f>
        <v>42.865280575539565</v>
      </c>
    </row>
    <row r="760" spans="1:29" ht="15.75" x14ac:dyDescent="0.25">
      <c r="A760" s="13">
        <v>64039</v>
      </c>
      <c r="B760" s="10">
        <f>CHOOSE(CONTROL!$C$42, 43.1304, 43.1304) * CHOOSE(CONTROL!$C$21, $C$9, 100%, $E$9)</f>
        <v>43.130400000000002</v>
      </c>
      <c r="C760" s="10">
        <f>CHOOSE(CONTROL!$C$42, 43.1348, 43.1348) * CHOOSE(CONTROL!$C$21, $C$9, 100%, $E$9)</f>
        <v>43.134799999999998</v>
      </c>
      <c r="D760" s="10">
        <f>CHOOSE(CONTROL!$C$42, 43.3304, 43.3304) * CHOOSE(CONTROL!$C$21, $C$9, 100%, $E$9)</f>
        <v>43.330399999999997</v>
      </c>
      <c r="E760" s="10">
        <f>CHOOSE(CONTROL!$C$42, 43.3621, 43.3621) * CHOOSE(CONTROL!$C$21, $C$9, 100%, $E$9)</f>
        <v>43.362099999999998</v>
      </c>
      <c r="F760" s="10">
        <f>CHOOSE(CONTROL!$C$42, 43.0982, 43.0982)*CHOOSE(CONTROL!$C$21, $C$9, 100%, $E$9)</f>
        <v>43.098199999999999</v>
      </c>
      <c r="G760" s="10">
        <f>CHOOSE(CONTROL!$C$42, 43.115, 43.115)*CHOOSE(CONTROL!$C$21, $C$9, 100%, $E$9)</f>
        <v>43.115000000000002</v>
      </c>
      <c r="H760" s="10">
        <f>CHOOSE(CONTROL!$C$42, 43.3519, 43.3519) * CHOOSE(CONTROL!$C$21, $C$9, 100%, $E$9)</f>
        <v>43.351900000000001</v>
      </c>
      <c r="I760" s="10">
        <f>CHOOSE(CONTROL!$C$42, 43.0984, 43.0984)* CHOOSE(CONTROL!$C$21, $C$9, 100%, $E$9)</f>
        <v>43.098399999999998</v>
      </c>
      <c r="J760" s="10">
        <f>CHOOSE(CONTROL!$C$42, 43.0912, 43.0912)* CHOOSE(CONTROL!$C$21, $C$9, 100%, $E$9)</f>
        <v>43.091200000000001</v>
      </c>
      <c r="K760" s="54">
        <f>CHOOSE(CONTROL!$C$42, 43.0945, 43.0945) * CHOOSE(CONTROL!$C$21, $C$9, 100%, $E$9)</f>
        <v>43.094499999999996</v>
      </c>
      <c r="L760" s="10">
        <f>CHOOSE(CONTROL!$C$42, 43.9389, 43.9389) * CHOOSE(CONTROL!$C$21, $C$9, 100%, $E$9)</f>
        <v>43.938899999999997</v>
      </c>
      <c r="M760" s="10">
        <f>CHOOSE(CONTROL!$C$42, 42.6702, 42.6702) * CHOOSE(CONTROL!$C$21, $C$9, 100%, $E$9)</f>
        <v>42.670200000000001</v>
      </c>
      <c r="N760" s="10">
        <f>CHOOSE(CONTROL!$C$42, 42.6868, 42.6868) * CHOOSE(CONTROL!$C$21, $C$9, 100%, $E$9)</f>
        <v>42.686799999999998</v>
      </c>
      <c r="O760" s="10">
        <f>CHOOSE(CONTROL!$C$42, 42.9283, 42.9283) * CHOOSE(CONTROL!$C$21, $C$9, 100%, $E$9)</f>
        <v>42.9283</v>
      </c>
      <c r="P760" s="10">
        <f>CHOOSE(CONTROL!$C$42, 42.6773, 42.6773) * CHOOSE(CONTROL!$C$21, $C$9, 100%, $E$9)</f>
        <v>42.677300000000002</v>
      </c>
      <c r="Q760" s="10">
        <f>CHOOSE(CONTROL!$C$42, 43.5236, 43.5236) * CHOOSE(CONTROL!$C$21, $C$9, 100%, $E$9)</f>
        <v>43.523600000000002</v>
      </c>
      <c r="R760" s="10">
        <f>CHOOSE(CONTROL!$C$42, 44.2194, 44.2194) * CHOOSE(CONTROL!$C$21, $C$9, 100%, $E$9)</f>
        <v>44.2194</v>
      </c>
      <c r="S760" s="10">
        <f>CHOOSE(CONTROL!$C$42, 41.881, 41.881) * CHOOSE(CONTROL!$C$21, $C$9, 100%, $E$9)</f>
        <v>41.881</v>
      </c>
      <c r="T760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760" s="58">
        <f>(1000*CHOOSE(CONTROL!$C$42, 695, 695)*CHOOSE(CONTROL!$C$42, 0.5599, 0.5599)*CHOOSE(CONTROL!$C$42, 30, 30))/1000000</f>
        <v>11.673914999999997</v>
      </c>
      <c r="V760" s="58">
        <f>(1000*CHOOSE(CONTROL!$C$42, 500, 500)*CHOOSE(CONTROL!$C$42, 0.275, 0.275)*CHOOSE(CONTROL!$C$42, 30, 30))/1000000</f>
        <v>4.125</v>
      </c>
      <c r="W760" s="58">
        <f>(1000*CHOOSE(CONTROL!$C$42, 0.1146, 0.1146)*CHOOSE(CONTROL!$C$42, 121.5, 121.5)*CHOOSE(CONTROL!$C$42, 30, 30))/1000000</f>
        <v>0.417717</v>
      </c>
      <c r="X760" s="58">
        <f>(30*0.1790888*245000/1000000)+(30*0.2374*100000/1000000)</f>
        <v>2.0285026799999999</v>
      </c>
      <c r="Y760" s="58"/>
      <c r="Z760" s="10"/>
      <c r="AA760" s="57"/>
      <c r="AB760" s="51">
        <f>(B760*141.293+C760*267.993+D760*115.016+E760*89.698+F760*40+G760*185+H760*0+I760*100+J760*300)/(141.293+267.993+115.016+89.698+0+40+185+100+300)</f>
        <v>43.151278446973372</v>
      </c>
      <c r="AC760" s="27">
        <f>(M760*'RAP TEMPLATE-GAS AVAILABILITY'!O759+N760*'RAP TEMPLATE-GAS AVAILABILITY'!P759+O760*'RAP TEMPLATE-GAS AVAILABILITY'!Q759+P760*'RAP TEMPLATE-GAS AVAILABILITY'!R759)/('RAP TEMPLATE-GAS AVAILABILITY'!O759+'RAP TEMPLATE-GAS AVAILABILITY'!P759+'RAP TEMPLATE-GAS AVAILABILITY'!Q759+'RAP TEMPLATE-GAS AVAILABILITY'!R759)</f>
        <v>42.789157553956834</v>
      </c>
    </row>
    <row r="761" spans="1:29" ht="15.75" x14ac:dyDescent="0.25">
      <c r="A761" s="13">
        <v>64070</v>
      </c>
      <c r="B761" s="10">
        <f>CHOOSE(CONTROL!$C$42, 43.5124, 43.5124) * CHOOSE(CONTROL!$C$21, $C$9, 100%, $E$9)</f>
        <v>43.5124</v>
      </c>
      <c r="C761" s="10">
        <f>CHOOSE(CONTROL!$C$42, 43.5204, 43.5204) * CHOOSE(CONTROL!$C$21, $C$9, 100%, $E$9)</f>
        <v>43.520400000000002</v>
      </c>
      <c r="D761" s="10">
        <f>CHOOSE(CONTROL!$C$42, 43.7128, 43.7128) * CHOOSE(CONTROL!$C$21, $C$9, 100%, $E$9)</f>
        <v>43.712800000000001</v>
      </c>
      <c r="E761" s="10">
        <f>CHOOSE(CONTROL!$C$42, 43.7439, 43.7439) * CHOOSE(CONTROL!$C$21, $C$9, 100%, $E$9)</f>
        <v>43.743899999999996</v>
      </c>
      <c r="F761" s="10">
        <f>CHOOSE(CONTROL!$C$42, 43.4787, 43.4787)*CHOOSE(CONTROL!$C$21, $C$9, 100%, $E$9)</f>
        <v>43.478700000000003</v>
      </c>
      <c r="G761" s="10">
        <f>CHOOSE(CONTROL!$C$42, 43.4958, 43.4958)*CHOOSE(CONTROL!$C$21, $C$9, 100%, $E$9)</f>
        <v>43.495800000000003</v>
      </c>
      <c r="H761" s="10">
        <f>CHOOSE(CONTROL!$C$42, 43.7326, 43.7326) * CHOOSE(CONTROL!$C$21, $C$9, 100%, $E$9)</f>
        <v>43.732599999999998</v>
      </c>
      <c r="I761" s="10">
        <f>CHOOSE(CONTROL!$C$42, 43.479, 43.479)* CHOOSE(CONTROL!$C$21, $C$9, 100%, $E$9)</f>
        <v>43.478999999999999</v>
      </c>
      <c r="J761" s="10">
        <f>CHOOSE(CONTROL!$C$42, 43.4717, 43.4717)* CHOOSE(CONTROL!$C$21, $C$9, 100%, $E$9)</f>
        <v>43.471699999999998</v>
      </c>
      <c r="K761" s="54">
        <f>CHOOSE(CONTROL!$C$42, 43.4751, 43.4751) * CHOOSE(CONTROL!$C$21, $C$9, 100%, $E$9)</f>
        <v>43.475099999999998</v>
      </c>
      <c r="L761" s="10">
        <f>CHOOSE(CONTROL!$C$42, 44.3196, 44.3196) * CHOOSE(CONTROL!$C$21, $C$9, 100%, $E$9)</f>
        <v>44.319600000000001</v>
      </c>
      <c r="M761" s="10">
        <f>CHOOSE(CONTROL!$C$42, 43.0468, 43.0468) * CHOOSE(CONTROL!$C$21, $C$9, 100%, $E$9)</f>
        <v>43.046799999999998</v>
      </c>
      <c r="N761" s="10">
        <f>CHOOSE(CONTROL!$C$42, 43.0638, 43.0638) * CHOOSE(CONTROL!$C$21, $C$9, 100%, $E$9)</f>
        <v>43.063800000000001</v>
      </c>
      <c r="O761" s="10">
        <f>CHOOSE(CONTROL!$C$42, 43.3051, 43.3051) * CHOOSE(CONTROL!$C$21, $C$9, 100%, $E$9)</f>
        <v>43.305100000000003</v>
      </c>
      <c r="P761" s="10">
        <f>CHOOSE(CONTROL!$C$42, 43.0541, 43.0541) * CHOOSE(CONTROL!$C$21, $C$9, 100%, $E$9)</f>
        <v>43.054099999999998</v>
      </c>
      <c r="Q761" s="10">
        <f>CHOOSE(CONTROL!$C$42, 43.9004, 43.9004) * CHOOSE(CONTROL!$C$21, $C$9, 100%, $E$9)</f>
        <v>43.900399999999998</v>
      </c>
      <c r="R761" s="10">
        <f>CHOOSE(CONTROL!$C$42, 44.5971, 44.5971) * CHOOSE(CONTROL!$C$21, $C$9, 100%, $E$9)</f>
        <v>44.597099999999998</v>
      </c>
      <c r="S761" s="10">
        <f>CHOOSE(CONTROL!$C$42, 42.2507, 42.2507) * CHOOSE(CONTROL!$C$21, $C$9, 100%, $E$9)</f>
        <v>42.250700000000002</v>
      </c>
      <c r="T761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761" s="58">
        <f>(1000*CHOOSE(CONTROL!$C$42, 695, 695)*CHOOSE(CONTROL!$C$42, 0.5599, 0.5599)*CHOOSE(CONTROL!$C$42, 31, 31))/1000000</f>
        <v>12.063045499999998</v>
      </c>
      <c r="V761" s="58">
        <f>(1000*CHOOSE(CONTROL!$C$42, 500, 500)*CHOOSE(CONTROL!$C$42, 0.275, 0.275)*CHOOSE(CONTROL!$C$42, 31, 31))/1000000</f>
        <v>4.2625000000000002</v>
      </c>
      <c r="W761" s="58">
        <f>(1000*CHOOSE(CONTROL!$C$42, 0.1146, 0.1146)*CHOOSE(CONTROL!$C$42, 121.5, 121.5)*CHOOSE(CONTROL!$C$42, 31, 31))/1000000</f>
        <v>0.43164089999999994</v>
      </c>
      <c r="X761" s="58">
        <f>(31*0.1790888*245000/1000000)+(31*0.2374*100000/1000000)</f>
        <v>2.0961194359999999</v>
      </c>
      <c r="Y761" s="58"/>
      <c r="Z761" s="10"/>
      <c r="AA761" s="57"/>
      <c r="AB761" s="51">
        <f>(B761*194.205+C761*267.466+D761*133.845+E761*53.484+F761*40+G761*185+H761*0+I761*100+J761*300)/(194.205+267.466+133.845+53.484+0+40+185+100+300)</f>
        <v>43.529177717425441</v>
      </c>
      <c r="AC761" s="27">
        <f>(M761*'RAP TEMPLATE-GAS AVAILABILITY'!O760+N761*'RAP TEMPLATE-GAS AVAILABILITY'!P760+O761*'RAP TEMPLATE-GAS AVAILABILITY'!Q760+P761*'RAP TEMPLATE-GAS AVAILABILITY'!R760)/('RAP TEMPLATE-GAS AVAILABILITY'!O760+'RAP TEMPLATE-GAS AVAILABILITY'!P760+'RAP TEMPLATE-GAS AVAILABILITY'!Q760+'RAP TEMPLATE-GAS AVAILABILITY'!R760)</f>
        <v>43.165900000000001</v>
      </c>
    </row>
    <row r="762" spans="1:29" ht="15.75" x14ac:dyDescent="0.25">
      <c r="A762" s="13">
        <v>64100</v>
      </c>
      <c r="B762" s="10">
        <f>CHOOSE(CONTROL!$C$42, 44.7466, 44.7466) * CHOOSE(CONTROL!$C$21, $C$9, 100%, $E$9)</f>
        <v>44.746600000000001</v>
      </c>
      <c r="C762" s="10">
        <f>CHOOSE(CONTROL!$C$42, 44.7545, 44.7545) * CHOOSE(CONTROL!$C$21, $C$9, 100%, $E$9)</f>
        <v>44.7545</v>
      </c>
      <c r="D762" s="10">
        <f>CHOOSE(CONTROL!$C$42, 44.9469, 44.9469) * CHOOSE(CONTROL!$C$21, $C$9, 100%, $E$9)</f>
        <v>44.946899999999999</v>
      </c>
      <c r="E762" s="10">
        <f>CHOOSE(CONTROL!$C$42, 44.9781, 44.9781) * CHOOSE(CONTROL!$C$21, $C$9, 100%, $E$9)</f>
        <v>44.978099999999998</v>
      </c>
      <c r="F762" s="10">
        <f>CHOOSE(CONTROL!$C$42, 44.7131, 44.7131)*CHOOSE(CONTROL!$C$21, $C$9, 100%, $E$9)</f>
        <v>44.713099999999997</v>
      </c>
      <c r="G762" s="10">
        <f>CHOOSE(CONTROL!$C$42, 44.7303, 44.7303)*CHOOSE(CONTROL!$C$21, $C$9, 100%, $E$9)</f>
        <v>44.7303</v>
      </c>
      <c r="H762" s="10">
        <f>CHOOSE(CONTROL!$C$42, 44.9667, 44.9667) * CHOOSE(CONTROL!$C$21, $C$9, 100%, $E$9)</f>
        <v>44.966700000000003</v>
      </c>
      <c r="I762" s="10">
        <f>CHOOSE(CONTROL!$C$42, 44.7131, 44.7131)* CHOOSE(CONTROL!$C$21, $C$9, 100%, $E$9)</f>
        <v>44.713099999999997</v>
      </c>
      <c r="J762" s="10">
        <f>CHOOSE(CONTROL!$C$42, 44.7061, 44.7061)* CHOOSE(CONTROL!$C$21, $C$9, 100%, $E$9)</f>
        <v>44.706099999999999</v>
      </c>
      <c r="K762" s="54">
        <f>CHOOSE(CONTROL!$C$42, 44.7093, 44.7093) * CHOOSE(CONTROL!$C$21, $C$9, 100%, $E$9)</f>
        <v>44.709299999999999</v>
      </c>
      <c r="L762" s="10">
        <f>CHOOSE(CONTROL!$C$42, 45.5537, 45.5537) * CHOOSE(CONTROL!$C$21, $C$9, 100%, $E$9)</f>
        <v>45.553699999999999</v>
      </c>
      <c r="M762" s="10">
        <f>CHOOSE(CONTROL!$C$42, 44.2687, 44.2687) * CHOOSE(CONTROL!$C$21, $C$9, 100%, $E$9)</f>
        <v>44.268700000000003</v>
      </c>
      <c r="N762" s="10">
        <f>CHOOSE(CONTROL!$C$42, 44.2857, 44.2857) * CHOOSE(CONTROL!$C$21, $C$9, 100%, $E$9)</f>
        <v>44.285699999999999</v>
      </c>
      <c r="O762" s="10">
        <f>CHOOSE(CONTROL!$C$42, 44.5267, 44.5267) * CHOOSE(CONTROL!$C$21, $C$9, 100%, $E$9)</f>
        <v>44.526699999999998</v>
      </c>
      <c r="P762" s="10">
        <f>CHOOSE(CONTROL!$C$42, 44.2758, 44.2758) * CHOOSE(CONTROL!$C$21, $C$9, 100%, $E$9)</f>
        <v>44.275799999999997</v>
      </c>
      <c r="Q762" s="10">
        <f>CHOOSE(CONTROL!$C$42, 45.122, 45.122) * CHOOSE(CONTROL!$C$21, $C$9, 100%, $E$9)</f>
        <v>45.122</v>
      </c>
      <c r="R762" s="10">
        <f>CHOOSE(CONTROL!$C$42, 45.8218, 45.8218) * CHOOSE(CONTROL!$C$21, $C$9, 100%, $E$9)</f>
        <v>45.821800000000003</v>
      </c>
      <c r="S762" s="10">
        <f>CHOOSE(CONTROL!$C$42, 43.4492, 43.4492) * CHOOSE(CONTROL!$C$21, $C$9, 100%, $E$9)</f>
        <v>43.449199999999998</v>
      </c>
      <c r="T762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762" s="58">
        <f>(1000*CHOOSE(CONTROL!$C$42, 695, 695)*CHOOSE(CONTROL!$C$42, 0.5599, 0.5599)*CHOOSE(CONTROL!$C$42, 30, 30))/1000000</f>
        <v>11.673914999999997</v>
      </c>
      <c r="V762" s="58">
        <f>(1000*CHOOSE(CONTROL!$C$42, 500, 500)*CHOOSE(CONTROL!$C$42, 0.275, 0.275)*CHOOSE(CONTROL!$C$42, 30, 30))/1000000</f>
        <v>4.125</v>
      </c>
      <c r="W762" s="58">
        <f>(1000*CHOOSE(CONTROL!$C$42, 0.1146, 0.1146)*CHOOSE(CONTROL!$C$42, 121.5, 121.5)*CHOOSE(CONTROL!$C$42, 30, 30))/1000000</f>
        <v>0.417717</v>
      </c>
      <c r="X762" s="58">
        <f>(30*0.1790888*245000/1000000)+(30*0.2374*100000/1000000)</f>
        <v>2.0285026799999999</v>
      </c>
      <c r="Y762" s="58"/>
      <c r="Z762" s="10"/>
      <c r="AA762" s="57"/>
      <c r="AB762" s="51">
        <f>(B762*194.205+C762*267.466+D762*133.845+E762*53.484+F762*40+G762*185+H762*0+I762*100+J762*300)/(194.205+267.466+133.845+53.484+0+40+185+100+300)</f>
        <v>44.763435306828889</v>
      </c>
      <c r="AC762" s="27">
        <f>(M762*'RAP TEMPLATE-GAS AVAILABILITY'!O761+N762*'RAP TEMPLATE-GAS AVAILABILITY'!P761+O762*'RAP TEMPLATE-GAS AVAILABILITY'!Q761+P762*'RAP TEMPLATE-GAS AVAILABILITY'!R761)/('RAP TEMPLATE-GAS AVAILABILITY'!O761+'RAP TEMPLATE-GAS AVAILABILITY'!P761+'RAP TEMPLATE-GAS AVAILABILITY'!Q761+'RAP TEMPLATE-GAS AVAILABILITY'!R761)</f>
        <v>44.387635251798571</v>
      </c>
    </row>
    <row r="763" spans="1:29" ht="15.75" x14ac:dyDescent="0.25">
      <c r="A763" s="13">
        <v>64131</v>
      </c>
      <c r="B763" s="10">
        <f>CHOOSE(CONTROL!$C$42, 43.8882, 43.8882) * CHOOSE(CONTROL!$C$21, $C$9, 100%, $E$9)</f>
        <v>43.888199999999998</v>
      </c>
      <c r="C763" s="10">
        <f>CHOOSE(CONTROL!$C$42, 43.8961, 43.8961) * CHOOSE(CONTROL!$C$21, $C$9, 100%, $E$9)</f>
        <v>43.896099999999997</v>
      </c>
      <c r="D763" s="10">
        <f>CHOOSE(CONTROL!$C$42, 44.0886, 44.0886) * CHOOSE(CONTROL!$C$21, $C$9, 100%, $E$9)</f>
        <v>44.0886</v>
      </c>
      <c r="E763" s="10">
        <f>CHOOSE(CONTROL!$C$42, 44.1197, 44.1197) * CHOOSE(CONTROL!$C$21, $C$9, 100%, $E$9)</f>
        <v>44.119700000000002</v>
      </c>
      <c r="F763" s="10">
        <f>CHOOSE(CONTROL!$C$42, 43.8551, 43.8551)*CHOOSE(CONTROL!$C$21, $C$9, 100%, $E$9)</f>
        <v>43.8551</v>
      </c>
      <c r="G763" s="10">
        <f>CHOOSE(CONTROL!$C$42, 43.8724, 43.8724)*CHOOSE(CONTROL!$C$21, $C$9, 100%, $E$9)</f>
        <v>43.872399999999999</v>
      </c>
      <c r="H763" s="10">
        <f>CHOOSE(CONTROL!$C$42, 44.1083, 44.1083) * CHOOSE(CONTROL!$C$21, $C$9, 100%, $E$9)</f>
        <v>44.1083</v>
      </c>
      <c r="I763" s="10">
        <f>CHOOSE(CONTROL!$C$42, 43.8548, 43.8548)* CHOOSE(CONTROL!$C$21, $C$9, 100%, $E$9)</f>
        <v>43.854799999999997</v>
      </c>
      <c r="J763" s="10">
        <f>CHOOSE(CONTROL!$C$42, 43.8481, 43.8481)* CHOOSE(CONTROL!$C$21, $C$9, 100%, $E$9)</f>
        <v>43.848100000000002</v>
      </c>
      <c r="K763" s="54">
        <f>CHOOSE(CONTROL!$C$42, 43.8509, 43.8509) * CHOOSE(CONTROL!$C$21, $C$9, 100%, $E$9)</f>
        <v>43.850900000000003</v>
      </c>
      <c r="L763" s="10">
        <f>CHOOSE(CONTROL!$C$42, 44.6953, 44.6953) * CHOOSE(CONTROL!$C$21, $C$9, 100%, $E$9)</f>
        <v>44.695300000000003</v>
      </c>
      <c r="M763" s="10">
        <f>CHOOSE(CONTROL!$C$42, 43.4194, 43.4194) * CHOOSE(CONTROL!$C$21, $C$9, 100%, $E$9)</f>
        <v>43.419400000000003</v>
      </c>
      <c r="N763" s="10">
        <f>CHOOSE(CONTROL!$C$42, 43.4366, 43.4366) * CHOOSE(CONTROL!$C$21, $C$9, 100%, $E$9)</f>
        <v>43.436599999999999</v>
      </c>
      <c r="O763" s="10">
        <f>CHOOSE(CONTROL!$C$42, 43.677, 43.677) * CHOOSE(CONTROL!$C$21, $C$9, 100%, $E$9)</f>
        <v>43.677</v>
      </c>
      <c r="P763" s="10">
        <f>CHOOSE(CONTROL!$C$42, 43.4261, 43.4261) * CHOOSE(CONTROL!$C$21, $C$9, 100%, $E$9)</f>
        <v>43.426099999999998</v>
      </c>
      <c r="Q763" s="10">
        <f>CHOOSE(CONTROL!$C$42, 44.2723, 44.2723) * CHOOSE(CONTROL!$C$21, $C$9, 100%, $E$9)</f>
        <v>44.272300000000001</v>
      </c>
      <c r="R763" s="10">
        <f>CHOOSE(CONTROL!$C$42, 44.97, 44.97) * CHOOSE(CONTROL!$C$21, $C$9, 100%, $E$9)</f>
        <v>44.97</v>
      </c>
      <c r="S763" s="10">
        <f>CHOOSE(CONTROL!$C$42, 42.6156, 42.6156) * CHOOSE(CONTROL!$C$21, $C$9, 100%, $E$9)</f>
        <v>42.615600000000001</v>
      </c>
      <c r="T763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763" s="58">
        <f>(1000*CHOOSE(CONTROL!$C$42, 695, 695)*CHOOSE(CONTROL!$C$42, 0.5599, 0.5599)*CHOOSE(CONTROL!$C$42, 31, 31))/1000000</f>
        <v>12.063045499999998</v>
      </c>
      <c r="V763" s="58">
        <f>(1000*CHOOSE(CONTROL!$C$42, 500, 500)*CHOOSE(CONTROL!$C$42, 0.275, 0.275)*CHOOSE(CONTROL!$C$42, 31, 31))/1000000</f>
        <v>4.2625000000000002</v>
      </c>
      <c r="W763" s="58">
        <f>(1000*CHOOSE(CONTROL!$C$42, 0.1146, 0.1146)*CHOOSE(CONTROL!$C$42, 121.5, 121.5)*CHOOSE(CONTROL!$C$42, 31, 31))/1000000</f>
        <v>0.43164089999999994</v>
      </c>
      <c r="X763" s="58">
        <f>(31*0.1790888*245000/1000000)+(31*0.2374*100000/1000000)</f>
        <v>2.0961194359999999</v>
      </c>
      <c r="Y763" s="58"/>
      <c r="Z763" s="10"/>
      <c r="AA763" s="57"/>
      <c r="AB763" s="51">
        <f>(B763*194.205+C763*267.466+D763*133.845+E763*53.484+F763*40+G763*185+H763*0+I763*100+J763*300)/(194.205+267.466+133.845+53.484+0+40+185+100+300)</f>
        <v>43.90523301836734</v>
      </c>
      <c r="AC763" s="27">
        <f>(M763*'RAP TEMPLATE-GAS AVAILABILITY'!O762+N763*'RAP TEMPLATE-GAS AVAILABILITY'!P762+O763*'RAP TEMPLATE-GAS AVAILABILITY'!Q762+P763*'RAP TEMPLATE-GAS AVAILABILITY'!R762)/('RAP TEMPLATE-GAS AVAILABILITY'!O762+'RAP TEMPLATE-GAS AVAILABILITY'!P762+'RAP TEMPLATE-GAS AVAILABILITY'!Q762+'RAP TEMPLATE-GAS AVAILABILITY'!R762)</f>
        <v>43.538107913669066</v>
      </c>
    </row>
    <row r="764" spans="1:29" ht="15.75" x14ac:dyDescent="0.25">
      <c r="A764" s="13">
        <v>64162</v>
      </c>
      <c r="B764" s="10">
        <f>CHOOSE(CONTROL!$C$42, 41.7206, 41.7206) * CHOOSE(CONTROL!$C$21, $C$9, 100%, $E$9)</f>
        <v>41.720599999999997</v>
      </c>
      <c r="C764" s="10">
        <f>CHOOSE(CONTROL!$C$42, 41.7285, 41.7285) * CHOOSE(CONTROL!$C$21, $C$9, 100%, $E$9)</f>
        <v>41.728499999999997</v>
      </c>
      <c r="D764" s="10">
        <f>CHOOSE(CONTROL!$C$42, 41.921, 41.921) * CHOOSE(CONTROL!$C$21, $C$9, 100%, $E$9)</f>
        <v>41.920999999999999</v>
      </c>
      <c r="E764" s="10">
        <f>CHOOSE(CONTROL!$C$42, 41.9521, 41.9521) * CHOOSE(CONTROL!$C$21, $C$9, 100%, $E$9)</f>
        <v>41.952100000000002</v>
      </c>
      <c r="F764" s="10">
        <f>CHOOSE(CONTROL!$C$42, 41.6877, 41.6877)*CHOOSE(CONTROL!$C$21, $C$9, 100%, $E$9)</f>
        <v>41.6877</v>
      </c>
      <c r="G764" s="10">
        <f>CHOOSE(CONTROL!$C$42, 41.705, 41.705)*CHOOSE(CONTROL!$C$21, $C$9, 100%, $E$9)</f>
        <v>41.704999999999998</v>
      </c>
      <c r="H764" s="10">
        <f>CHOOSE(CONTROL!$C$42, 41.9407, 41.9407) * CHOOSE(CONTROL!$C$21, $C$9, 100%, $E$9)</f>
        <v>41.9407</v>
      </c>
      <c r="I764" s="10">
        <f>CHOOSE(CONTROL!$C$42, 41.6872, 41.6872)* CHOOSE(CONTROL!$C$21, $C$9, 100%, $E$9)</f>
        <v>41.687199999999997</v>
      </c>
      <c r="J764" s="10">
        <f>CHOOSE(CONTROL!$C$42, 41.6807, 41.6807)* CHOOSE(CONTROL!$C$21, $C$9, 100%, $E$9)</f>
        <v>41.680700000000002</v>
      </c>
      <c r="K764" s="54">
        <f>CHOOSE(CONTROL!$C$42, 41.6833, 41.6833) * CHOOSE(CONTROL!$C$21, $C$9, 100%, $E$9)</f>
        <v>41.683300000000003</v>
      </c>
      <c r="L764" s="10">
        <f>CHOOSE(CONTROL!$C$42, 42.5277, 42.5277) * CHOOSE(CONTROL!$C$21, $C$9, 100%, $E$9)</f>
        <v>42.527700000000003</v>
      </c>
      <c r="M764" s="10">
        <f>CHOOSE(CONTROL!$C$42, 41.2739, 41.2739) * CHOOSE(CONTROL!$C$21, $C$9, 100%, $E$9)</f>
        <v>41.273899999999998</v>
      </c>
      <c r="N764" s="10">
        <f>CHOOSE(CONTROL!$C$42, 41.291, 41.291) * CHOOSE(CONTROL!$C$21, $C$9, 100%, $E$9)</f>
        <v>41.290999999999997</v>
      </c>
      <c r="O764" s="10">
        <f>CHOOSE(CONTROL!$C$42, 41.5313, 41.5313) * CHOOSE(CONTROL!$C$21, $C$9, 100%, $E$9)</f>
        <v>41.531300000000002</v>
      </c>
      <c r="P764" s="10">
        <f>CHOOSE(CONTROL!$C$42, 41.2804, 41.2804) * CHOOSE(CONTROL!$C$21, $C$9, 100%, $E$9)</f>
        <v>41.2804</v>
      </c>
      <c r="Q764" s="10">
        <f>CHOOSE(CONTROL!$C$42, 42.1266, 42.1266) * CHOOSE(CONTROL!$C$21, $C$9, 100%, $E$9)</f>
        <v>42.126600000000003</v>
      </c>
      <c r="R764" s="10">
        <f>CHOOSE(CONTROL!$C$42, 42.8189, 42.8189) * CHOOSE(CONTROL!$C$21, $C$9, 100%, $E$9)</f>
        <v>42.818899999999999</v>
      </c>
      <c r="S764" s="10">
        <f>CHOOSE(CONTROL!$C$42, 40.5107, 40.5107) * CHOOSE(CONTROL!$C$21, $C$9, 100%, $E$9)</f>
        <v>40.5107</v>
      </c>
      <c r="T764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764" s="58">
        <f>(1000*CHOOSE(CONTROL!$C$42, 695, 695)*CHOOSE(CONTROL!$C$42, 0.5599, 0.5599)*CHOOSE(CONTROL!$C$42, 31, 31))/1000000</f>
        <v>12.063045499999998</v>
      </c>
      <c r="V764" s="58">
        <f>(1000*CHOOSE(CONTROL!$C$42, 500, 500)*CHOOSE(CONTROL!$C$42, 0.275, 0.275)*CHOOSE(CONTROL!$C$42, 31, 31))/1000000</f>
        <v>4.2625000000000002</v>
      </c>
      <c r="W764" s="58">
        <f>(1000*CHOOSE(CONTROL!$C$42, 0.1146, 0.1146)*CHOOSE(CONTROL!$C$42, 121.5, 121.5)*CHOOSE(CONTROL!$C$42, 31, 31))/1000000</f>
        <v>0.43164089999999994</v>
      </c>
      <c r="X764" s="58">
        <f>(31*0.1790888*245000/1000000)+(31*0.2374*100000/1000000)</f>
        <v>2.0961194359999999</v>
      </c>
      <c r="Y764" s="58"/>
      <c r="Z764" s="10"/>
      <c r="AA764" s="57"/>
      <c r="AB764" s="51">
        <f>(B764*194.205+C764*267.466+D764*133.845+E764*53.484+F764*40+G764*185+H764*0+I764*100+J764*300)/(194.205+267.466+133.845+53.484+0+40+185+100+300)</f>
        <v>41.737715435949767</v>
      </c>
      <c r="AC764" s="27">
        <f>(M764*'RAP TEMPLATE-GAS AVAILABILITY'!O763+N764*'RAP TEMPLATE-GAS AVAILABILITY'!P763+O764*'RAP TEMPLATE-GAS AVAILABILITY'!Q763+P764*'RAP TEMPLATE-GAS AVAILABILITY'!R763)/('RAP TEMPLATE-GAS AVAILABILITY'!O763+'RAP TEMPLATE-GAS AVAILABILITY'!P763+'RAP TEMPLATE-GAS AVAILABILITY'!Q763+'RAP TEMPLATE-GAS AVAILABILITY'!R763)</f>
        <v>41.392482733812948</v>
      </c>
    </row>
    <row r="765" spans="1:29" ht="15.75" x14ac:dyDescent="0.25">
      <c r="A765" s="13">
        <v>64192</v>
      </c>
      <c r="B765" s="10">
        <f>CHOOSE(CONTROL!$C$42, 39.0718, 39.0718) * CHOOSE(CONTROL!$C$21, $C$9, 100%, $E$9)</f>
        <v>39.071800000000003</v>
      </c>
      <c r="C765" s="10">
        <f>CHOOSE(CONTROL!$C$42, 39.0798, 39.0798) * CHOOSE(CONTROL!$C$21, $C$9, 100%, $E$9)</f>
        <v>39.079799999999999</v>
      </c>
      <c r="D765" s="10">
        <f>CHOOSE(CONTROL!$C$42, 39.2722, 39.2722) * CHOOSE(CONTROL!$C$21, $C$9, 100%, $E$9)</f>
        <v>39.272199999999998</v>
      </c>
      <c r="E765" s="10">
        <f>CHOOSE(CONTROL!$C$42, 39.3033, 39.3033) * CHOOSE(CONTROL!$C$21, $C$9, 100%, $E$9)</f>
        <v>39.3033</v>
      </c>
      <c r="F765" s="10">
        <f>CHOOSE(CONTROL!$C$42, 39.0387, 39.0387)*CHOOSE(CONTROL!$C$21, $C$9, 100%, $E$9)</f>
        <v>39.038699999999999</v>
      </c>
      <c r="G765" s="10">
        <f>CHOOSE(CONTROL!$C$42, 39.056, 39.056)*CHOOSE(CONTROL!$C$21, $C$9, 100%, $E$9)</f>
        <v>39.055999999999997</v>
      </c>
      <c r="H765" s="10">
        <f>CHOOSE(CONTROL!$C$42, 39.292, 39.292) * CHOOSE(CONTROL!$C$21, $C$9, 100%, $E$9)</f>
        <v>39.292000000000002</v>
      </c>
      <c r="I765" s="10">
        <f>CHOOSE(CONTROL!$C$42, 39.0384, 39.0384)* CHOOSE(CONTROL!$C$21, $C$9, 100%, $E$9)</f>
        <v>39.038400000000003</v>
      </c>
      <c r="J765" s="10">
        <f>CHOOSE(CONTROL!$C$42, 39.0317, 39.0317)* CHOOSE(CONTROL!$C$21, $C$9, 100%, $E$9)</f>
        <v>39.031700000000001</v>
      </c>
      <c r="K765" s="54">
        <f>CHOOSE(CONTROL!$C$42, 39.0345, 39.0345) * CHOOSE(CONTROL!$C$21, $C$9, 100%, $E$9)</f>
        <v>39.034500000000001</v>
      </c>
      <c r="L765" s="10">
        <f>CHOOSE(CONTROL!$C$42, 39.879, 39.879) * CHOOSE(CONTROL!$C$21, $C$9, 100%, $E$9)</f>
        <v>39.878999999999998</v>
      </c>
      <c r="M765" s="10">
        <f>CHOOSE(CONTROL!$C$42, 38.6517, 38.6517) * CHOOSE(CONTROL!$C$21, $C$9, 100%, $E$9)</f>
        <v>38.651699999999998</v>
      </c>
      <c r="N765" s="10">
        <f>CHOOSE(CONTROL!$C$42, 38.6688, 38.6688) * CHOOSE(CONTROL!$C$21, $C$9, 100%, $E$9)</f>
        <v>38.668799999999997</v>
      </c>
      <c r="O765" s="10">
        <f>CHOOSE(CONTROL!$C$42, 38.9093, 38.9093) * CHOOSE(CONTROL!$C$21, $C$9, 100%, $E$9)</f>
        <v>38.909300000000002</v>
      </c>
      <c r="P765" s="10">
        <f>CHOOSE(CONTROL!$C$42, 38.6583, 38.6583) * CHOOSE(CONTROL!$C$21, $C$9, 100%, $E$9)</f>
        <v>38.658299999999997</v>
      </c>
      <c r="Q765" s="10">
        <f>CHOOSE(CONTROL!$C$42, 39.5046, 39.5046) * CHOOSE(CONTROL!$C$21, $C$9, 100%, $E$9)</f>
        <v>39.504600000000003</v>
      </c>
      <c r="R765" s="10">
        <f>CHOOSE(CONTROL!$C$42, 40.1903, 40.1903) * CHOOSE(CONTROL!$C$21, $C$9, 100%, $E$9)</f>
        <v>40.190300000000001</v>
      </c>
      <c r="S765" s="10">
        <f>CHOOSE(CONTROL!$C$42, 37.9384, 37.9384) * CHOOSE(CONTROL!$C$21, $C$9, 100%, $E$9)</f>
        <v>37.938400000000001</v>
      </c>
      <c r="T765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765" s="58">
        <f>(1000*CHOOSE(CONTROL!$C$42, 695, 695)*CHOOSE(CONTROL!$C$42, 0.5599, 0.5599)*CHOOSE(CONTROL!$C$42, 30, 30))/1000000</f>
        <v>11.673914999999997</v>
      </c>
      <c r="V765" s="58">
        <f>(1000*CHOOSE(CONTROL!$C$42, 500, 500)*CHOOSE(CONTROL!$C$42, 0.275, 0.275)*CHOOSE(CONTROL!$C$42, 30, 30))/1000000</f>
        <v>4.125</v>
      </c>
      <c r="W765" s="58">
        <f>(1000*CHOOSE(CONTROL!$C$42, 0.1146, 0.1146)*CHOOSE(CONTROL!$C$42, 121.5, 121.5)*CHOOSE(CONTROL!$C$42, 30, 30))/1000000</f>
        <v>0.417717</v>
      </c>
      <c r="X765" s="58">
        <f>(30*0.1790888*245000/1000000)+(30*0.2374*100000/1000000)</f>
        <v>2.0285026799999999</v>
      </c>
      <c r="Y765" s="58"/>
      <c r="Z765" s="10"/>
      <c r="AA765" s="57"/>
      <c r="AB765" s="51">
        <f>(B765*194.205+C765*267.466+D765*133.845+E765*53.484+F765*40+G765*185+H765*0+I765*100+J765*300)/(194.205+267.466+133.845+53.484+0+40+185+100+300)</f>
        <v>39.088854012558862</v>
      </c>
      <c r="AC765" s="27">
        <f>(M765*'RAP TEMPLATE-GAS AVAILABILITY'!O764+N765*'RAP TEMPLATE-GAS AVAILABILITY'!P764+O765*'RAP TEMPLATE-GAS AVAILABILITY'!Q764+P765*'RAP TEMPLATE-GAS AVAILABILITY'!R764)/('RAP TEMPLATE-GAS AVAILABILITY'!O764+'RAP TEMPLATE-GAS AVAILABILITY'!P764+'RAP TEMPLATE-GAS AVAILABILITY'!Q764+'RAP TEMPLATE-GAS AVAILABILITY'!R764)</f>
        <v>38.770387769784179</v>
      </c>
    </row>
    <row r="766" spans="1:29" ht="15.75" x14ac:dyDescent="0.25">
      <c r="A766" s="13">
        <v>64223</v>
      </c>
      <c r="B766" s="10">
        <f>CHOOSE(CONTROL!$C$42, 38.2769, 38.2769) * CHOOSE(CONTROL!$C$21, $C$9, 100%, $E$9)</f>
        <v>38.276899999999998</v>
      </c>
      <c r="C766" s="10">
        <f>CHOOSE(CONTROL!$C$42, 38.2821, 38.2821) * CHOOSE(CONTROL!$C$21, $C$9, 100%, $E$9)</f>
        <v>38.2821</v>
      </c>
      <c r="D766" s="10">
        <f>CHOOSE(CONTROL!$C$42, 38.4795, 38.4795) * CHOOSE(CONTROL!$C$21, $C$9, 100%, $E$9)</f>
        <v>38.479500000000002</v>
      </c>
      <c r="E766" s="10">
        <f>CHOOSE(CONTROL!$C$42, 38.5083, 38.5083) * CHOOSE(CONTROL!$C$21, $C$9, 100%, $E$9)</f>
        <v>38.508299999999998</v>
      </c>
      <c r="F766" s="10">
        <f>CHOOSE(CONTROL!$C$42, 38.2458, 38.2458)*CHOOSE(CONTROL!$C$21, $C$9, 100%, $E$9)</f>
        <v>38.245800000000003</v>
      </c>
      <c r="G766" s="10">
        <f>CHOOSE(CONTROL!$C$42, 38.2627, 38.2627)*CHOOSE(CONTROL!$C$21, $C$9, 100%, $E$9)</f>
        <v>38.262700000000002</v>
      </c>
      <c r="H766" s="10">
        <f>CHOOSE(CONTROL!$C$42, 38.4987, 38.4987) * CHOOSE(CONTROL!$C$21, $C$9, 100%, $E$9)</f>
        <v>38.498699999999999</v>
      </c>
      <c r="I766" s="10">
        <f>CHOOSE(CONTROL!$C$42, 38.2452, 38.2452)* CHOOSE(CONTROL!$C$21, $C$9, 100%, $E$9)</f>
        <v>38.245199999999997</v>
      </c>
      <c r="J766" s="10">
        <f>CHOOSE(CONTROL!$C$42, 38.2388, 38.2388)* CHOOSE(CONTROL!$C$21, $C$9, 100%, $E$9)</f>
        <v>38.238799999999998</v>
      </c>
      <c r="K766" s="54">
        <f>CHOOSE(CONTROL!$C$42, 38.2413, 38.2413) * CHOOSE(CONTROL!$C$21, $C$9, 100%, $E$9)</f>
        <v>38.241300000000003</v>
      </c>
      <c r="L766" s="10">
        <f>CHOOSE(CONTROL!$C$42, 39.0857, 39.0857) * CHOOSE(CONTROL!$C$21, $C$9, 100%, $E$9)</f>
        <v>39.085700000000003</v>
      </c>
      <c r="M766" s="10">
        <f>CHOOSE(CONTROL!$C$42, 37.8667, 37.8667) * CHOOSE(CONTROL!$C$21, $C$9, 100%, $E$9)</f>
        <v>37.866700000000002</v>
      </c>
      <c r="N766" s="10">
        <f>CHOOSE(CONTROL!$C$42, 37.8835, 37.8835) * CHOOSE(CONTROL!$C$21, $C$9, 100%, $E$9)</f>
        <v>37.883499999999998</v>
      </c>
      <c r="O766" s="10">
        <f>CHOOSE(CONTROL!$C$42, 38.1241, 38.1241) * CHOOSE(CONTROL!$C$21, $C$9, 100%, $E$9)</f>
        <v>38.124099999999999</v>
      </c>
      <c r="P766" s="10">
        <f>CHOOSE(CONTROL!$C$42, 37.8731, 37.8731) * CHOOSE(CONTROL!$C$21, $C$9, 100%, $E$9)</f>
        <v>37.873100000000001</v>
      </c>
      <c r="Q766" s="10">
        <f>CHOOSE(CONTROL!$C$42, 38.7194, 38.7194) * CHOOSE(CONTROL!$C$21, $C$9, 100%, $E$9)</f>
        <v>38.7194</v>
      </c>
      <c r="R766" s="10">
        <f>CHOOSE(CONTROL!$C$42, 39.4031, 39.4031) * CHOOSE(CONTROL!$C$21, $C$9, 100%, $E$9)</f>
        <v>39.403100000000002</v>
      </c>
      <c r="S766" s="10">
        <f>CHOOSE(CONTROL!$C$42, 37.1681, 37.1681) * CHOOSE(CONTROL!$C$21, $C$9, 100%, $E$9)</f>
        <v>37.168100000000003</v>
      </c>
      <c r="T766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766" s="58">
        <f>(1000*CHOOSE(CONTROL!$C$42, 695, 695)*CHOOSE(CONTROL!$C$42, 0.5599, 0.5599)*CHOOSE(CONTROL!$C$42, 31, 31))/1000000</f>
        <v>12.063045499999998</v>
      </c>
      <c r="V766" s="58">
        <f>(1000*CHOOSE(CONTROL!$C$42, 500, 500)*CHOOSE(CONTROL!$C$42, 0.275, 0.275)*CHOOSE(CONTROL!$C$42, 31, 31))/1000000</f>
        <v>4.2625000000000002</v>
      </c>
      <c r="W766" s="58">
        <f>(1000*CHOOSE(CONTROL!$C$42, 0.1146, 0.1146)*CHOOSE(CONTROL!$C$42, 121.5, 121.5)*CHOOSE(CONTROL!$C$42, 31, 31))/1000000</f>
        <v>0.43164089999999994</v>
      </c>
      <c r="X766" s="58">
        <f>(31*0.1790888*245000/1000000)+(31*0.2374*100000/1000000)</f>
        <v>2.0961194359999999</v>
      </c>
      <c r="Y766" s="58"/>
      <c r="Z766" s="10"/>
      <c r="AA766" s="57"/>
      <c r="AB766" s="51">
        <f>(B766*131.881+C766*277.167+D766*79.08+E766*125.872+F766*40+G766*185+H766*0+I766*100+J766*300)/(131.881+277.167+79.08+125.872+0+40+185+100+300)</f>
        <v>38.299594638579499</v>
      </c>
      <c r="AC766" s="27">
        <f>(M766*'RAP TEMPLATE-GAS AVAILABILITY'!O765+N766*'RAP TEMPLATE-GAS AVAILABILITY'!P765+O766*'RAP TEMPLATE-GAS AVAILABILITY'!Q765+P766*'RAP TEMPLATE-GAS AVAILABILITY'!R765)/('RAP TEMPLATE-GAS AVAILABILITY'!O765+'RAP TEMPLATE-GAS AVAILABILITY'!P765+'RAP TEMPLATE-GAS AVAILABILITY'!Q765+'RAP TEMPLATE-GAS AVAILABILITY'!R765)</f>
        <v>37.985251079136695</v>
      </c>
    </row>
    <row r="767" spans="1:29" ht="15.75" x14ac:dyDescent="0.25">
      <c r="A767" s="13">
        <v>64253</v>
      </c>
      <c r="B767" s="10">
        <f>CHOOSE(CONTROL!$C$42, 39.2848, 39.2848) * CHOOSE(CONTROL!$C$21, $C$9, 100%, $E$9)</f>
        <v>39.284799999999997</v>
      </c>
      <c r="C767" s="10">
        <f>CHOOSE(CONTROL!$C$42, 39.2897, 39.2897) * CHOOSE(CONTROL!$C$21, $C$9, 100%, $E$9)</f>
        <v>39.289700000000003</v>
      </c>
      <c r="D767" s="10">
        <f>CHOOSE(CONTROL!$C$42, 39.3193, 39.3193) * CHOOSE(CONTROL!$C$21, $C$9, 100%, $E$9)</f>
        <v>39.319299999999998</v>
      </c>
      <c r="E767" s="10">
        <f>CHOOSE(CONTROL!$C$42, 39.3531, 39.3531) * CHOOSE(CONTROL!$C$21, $C$9, 100%, $E$9)</f>
        <v>39.353099999999998</v>
      </c>
      <c r="F767" s="10">
        <f>CHOOSE(CONTROL!$C$42, 39.2515, 39.2515)*CHOOSE(CONTROL!$C$21, $C$9, 100%, $E$9)</f>
        <v>39.2515</v>
      </c>
      <c r="G767" s="10">
        <f>CHOOSE(CONTROL!$C$42, 39.2687, 39.2687)*CHOOSE(CONTROL!$C$21, $C$9, 100%, $E$9)</f>
        <v>39.268700000000003</v>
      </c>
      <c r="H767" s="10">
        <f>CHOOSE(CONTROL!$C$42, 39.3423, 39.3423) * CHOOSE(CONTROL!$C$21, $C$9, 100%, $E$9)</f>
        <v>39.342300000000002</v>
      </c>
      <c r="I767" s="10">
        <f>CHOOSE(CONTROL!$C$42, 39.2484, 39.2484)* CHOOSE(CONTROL!$C$21, $C$9, 100%, $E$9)</f>
        <v>39.248399999999997</v>
      </c>
      <c r="J767" s="10">
        <f>CHOOSE(CONTROL!$C$42, 39.2445, 39.2445)* CHOOSE(CONTROL!$C$21, $C$9, 100%, $E$9)</f>
        <v>39.244500000000002</v>
      </c>
      <c r="K767" s="54">
        <f>CHOOSE(CONTROL!$C$42, 39.2445, 39.2445) * CHOOSE(CONTROL!$C$21, $C$9, 100%, $E$9)</f>
        <v>39.244500000000002</v>
      </c>
      <c r="L767" s="10">
        <f>CHOOSE(CONTROL!$C$42, 39.9293, 39.9293) * CHOOSE(CONTROL!$C$21, $C$9, 100%, $E$9)</f>
        <v>39.929299999999998</v>
      </c>
      <c r="M767" s="10">
        <f>CHOOSE(CONTROL!$C$42, 38.8623, 38.8623) * CHOOSE(CONTROL!$C$21, $C$9, 100%, $E$9)</f>
        <v>38.862299999999998</v>
      </c>
      <c r="N767" s="10">
        <f>CHOOSE(CONTROL!$C$42, 38.8793, 38.8793) * CHOOSE(CONTROL!$C$21, $C$9, 100%, $E$9)</f>
        <v>38.879300000000001</v>
      </c>
      <c r="O767" s="10">
        <f>CHOOSE(CONTROL!$C$42, 38.9591, 38.9591) * CHOOSE(CONTROL!$C$21, $C$9, 100%, $E$9)</f>
        <v>38.959099999999999</v>
      </c>
      <c r="P767" s="10">
        <f>CHOOSE(CONTROL!$C$42, 38.8661, 38.8661) * CHOOSE(CONTROL!$C$21, $C$9, 100%, $E$9)</f>
        <v>38.866100000000003</v>
      </c>
      <c r="Q767" s="10">
        <f>CHOOSE(CONTROL!$C$42, 39.5544, 39.5544) * CHOOSE(CONTROL!$C$21, $C$9, 100%, $E$9)</f>
        <v>39.554400000000001</v>
      </c>
      <c r="R767" s="10">
        <f>CHOOSE(CONTROL!$C$42, 40.2403, 40.2403) * CHOOSE(CONTROL!$C$21, $C$9, 100%, $E$9)</f>
        <v>40.240299999999998</v>
      </c>
      <c r="S767" s="10">
        <f>CHOOSE(CONTROL!$C$42, 38.1473, 38.1473) * CHOOSE(CONTROL!$C$21, $C$9, 100%, $E$9)</f>
        <v>38.147300000000001</v>
      </c>
      <c r="T767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767" s="58">
        <f>(1000*CHOOSE(CONTROL!$C$42, 695, 695)*CHOOSE(CONTROL!$C$42, 0.5599, 0.5599)*CHOOSE(CONTROL!$C$42, 30, 30))/1000000</f>
        <v>11.673914999999997</v>
      </c>
      <c r="V767" s="58">
        <f>(1000*CHOOSE(CONTROL!$C$42, 500, 500)*CHOOSE(CONTROL!$C$42, 0.275, 0.275)*CHOOSE(CONTROL!$C$42, 30, 30))/1000000</f>
        <v>4.125</v>
      </c>
      <c r="W767" s="58">
        <f>(1000*CHOOSE(CONTROL!$C$42, 0.1146, 0.1146)*CHOOSE(CONTROL!$C$42, 121.5, 121.5)*CHOOSE(CONTROL!$C$42, 30, 30))/1000000</f>
        <v>0.417717</v>
      </c>
      <c r="X767" s="58">
        <f>(30*0.1790888*100000/1000000)+(30*0.2374*100000/1000000)</f>
        <v>1.2494664</v>
      </c>
      <c r="Y767" s="58"/>
      <c r="Z767" s="10"/>
      <c r="AA767" s="57"/>
      <c r="AB767" s="51">
        <f>(B767*122.58+C767*297.941+D767*89.177+E767*40.302+F767*40+G767*160+H767*0+I767*100+J767*300)/(122.58+297.941+89.177+40.302+0+40+160+100+300)</f>
        <v>39.274061864347829</v>
      </c>
      <c r="AC767" s="27">
        <f>(M767*'RAP TEMPLATE-GAS AVAILABILITY'!O766+N767*'RAP TEMPLATE-GAS AVAILABILITY'!P766+O767*'RAP TEMPLATE-GAS AVAILABILITY'!Q766+P767*'RAP TEMPLATE-GAS AVAILABILITY'!R766)/('RAP TEMPLATE-GAS AVAILABILITY'!O766+'RAP TEMPLATE-GAS AVAILABILITY'!P766+'RAP TEMPLATE-GAS AVAILABILITY'!Q766+'RAP TEMPLATE-GAS AVAILABILITY'!R766)</f>
        <v>38.907698561151079</v>
      </c>
    </row>
    <row r="768" spans="1:29" ht="15.75" x14ac:dyDescent="0.25">
      <c r="A768" s="13">
        <v>64284</v>
      </c>
      <c r="B768" s="10">
        <f>CHOOSE(CONTROL!$C$42, 41.963, 41.963) * CHOOSE(CONTROL!$C$21, $C$9, 100%, $E$9)</f>
        <v>41.963000000000001</v>
      </c>
      <c r="C768" s="10">
        <f>CHOOSE(CONTROL!$C$42, 41.9679, 41.9679) * CHOOSE(CONTROL!$C$21, $C$9, 100%, $E$9)</f>
        <v>41.9679</v>
      </c>
      <c r="D768" s="10">
        <f>CHOOSE(CONTROL!$C$42, 41.9975, 41.9975) * CHOOSE(CONTROL!$C$21, $C$9, 100%, $E$9)</f>
        <v>41.997500000000002</v>
      </c>
      <c r="E768" s="10">
        <f>CHOOSE(CONTROL!$C$42, 42.0313, 42.0313) * CHOOSE(CONTROL!$C$21, $C$9, 100%, $E$9)</f>
        <v>42.031300000000002</v>
      </c>
      <c r="F768" s="10">
        <f>CHOOSE(CONTROL!$C$42, 41.9312, 41.9312)*CHOOSE(CONTROL!$C$21, $C$9, 100%, $E$9)</f>
        <v>41.931199999999997</v>
      </c>
      <c r="G768" s="10">
        <f>CHOOSE(CONTROL!$C$42, 41.9487, 41.9487)*CHOOSE(CONTROL!$C$21, $C$9, 100%, $E$9)</f>
        <v>41.948700000000002</v>
      </c>
      <c r="H768" s="10">
        <f>CHOOSE(CONTROL!$C$42, 42.0205, 42.0205) * CHOOSE(CONTROL!$C$21, $C$9, 100%, $E$9)</f>
        <v>42.020499999999998</v>
      </c>
      <c r="I768" s="10">
        <f>CHOOSE(CONTROL!$C$42, 41.9266, 41.9266)* CHOOSE(CONTROL!$C$21, $C$9, 100%, $E$9)</f>
        <v>41.926600000000001</v>
      </c>
      <c r="J768" s="10">
        <f>CHOOSE(CONTROL!$C$42, 41.9242, 41.9242)* CHOOSE(CONTROL!$C$21, $C$9, 100%, $E$9)</f>
        <v>41.924199999999999</v>
      </c>
      <c r="K768" s="54">
        <f>CHOOSE(CONTROL!$C$42, 41.9227, 41.9227) * CHOOSE(CONTROL!$C$21, $C$9, 100%, $E$9)</f>
        <v>41.922699999999999</v>
      </c>
      <c r="L768" s="10">
        <f>CHOOSE(CONTROL!$C$42, 42.6075, 42.6075) * CHOOSE(CONTROL!$C$21, $C$9, 100%, $E$9)</f>
        <v>42.607500000000002</v>
      </c>
      <c r="M768" s="10">
        <f>CHOOSE(CONTROL!$C$42, 41.5149, 41.5149) * CHOOSE(CONTROL!$C$21, $C$9, 100%, $E$9)</f>
        <v>41.514899999999997</v>
      </c>
      <c r="N768" s="10">
        <f>CHOOSE(CONTROL!$C$42, 41.5322, 41.5322) * CHOOSE(CONTROL!$C$21, $C$9, 100%, $E$9)</f>
        <v>41.532200000000003</v>
      </c>
      <c r="O768" s="10">
        <f>CHOOSE(CONTROL!$C$42, 41.6103, 41.6103) * CHOOSE(CONTROL!$C$21, $C$9, 100%, $E$9)</f>
        <v>41.610300000000002</v>
      </c>
      <c r="P768" s="10">
        <f>CHOOSE(CONTROL!$C$42, 41.5173, 41.5173) * CHOOSE(CONTROL!$C$21, $C$9, 100%, $E$9)</f>
        <v>41.517299999999999</v>
      </c>
      <c r="Q768" s="10">
        <f>CHOOSE(CONTROL!$C$42, 42.2056, 42.2056) * CHOOSE(CONTROL!$C$21, $C$9, 100%, $E$9)</f>
        <v>42.205599999999997</v>
      </c>
      <c r="R768" s="10">
        <f>CHOOSE(CONTROL!$C$42, 42.8981, 42.8981) * CHOOSE(CONTROL!$C$21, $C$9, 100%, $E$9)</f>
        <v>42.898099999999999</v>
      </c>
      <c r="S768" s="10">
        <f>CHOOSE(CONTROL!$C$42, 40.7481, 40.7481) * CHOOSE(CONTROL!$C$21, $C$9, 100%, $E$9)</f>
        <v>40.748100000000001</v>
      </c>
      <c r="T768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768" s="58">
        <f>(1000*CHOOSE(CONTROL!$C$42, 695, 695)*CHOOSE(CONTROL!$C$42, 0.5599, 0.5599)*CHOOSE(CONTROL!$C$42, 31, 31))/1000000</f>
        <v>12.063045499999998</v>
      </c>
      <c r="V768" s="58">
        <f>(1000*CHOOSE(CONTROL!$C$42, 500, 500)*CHOOSE(CONTROL!$C$42, 0.275, 0.275)*CHOOSE(CONTROL!$C$42, 31, 31))/1000000</f>
        <v>4.2625000000000002</v>
      </c>
      <c r="W768" s="58">
        <f>(1000*CHOOSE(CONTROL!$C$42, 0.1146, 0.1146)*CHOOSE(CONTROL!$C$42, 121.5, 121.5)*CHOOSE(CONTROL!$C$42, 31, 31))/1000000</f>
        <v>0.43164089999999994</v>
      </c>
      <c r="X768" s="58">
        <f>(31*0.1790888*100000/1000000)+(31*0.2374*100000/1000000)</f>
        <v>1.2911152800000001</v>
      </c>
      <c r="Y768" s="58"/>
      <c r="Z768" s="10"/>
      <c r="AA768" s="57"/>
      <c r="AB768" s="51">
        <f>(B768*122.58+C768*297.941+D768*89.177+E768*40.302+F768*40+G768*160+H768*0+I768*100+J768*300)/(122.58+297.941+89.177+40.302+0+40+160+100+300)</f>
        <v>41.95295577739131</v>
      </c>
      <c r="AC768" s="27">
        <f>(M768*'RAP TEMPLATE-GAS AVAILABILITY'!O767+N768*'RAP TEMPLATE-GAS AVAILABILITY'!P767+O768*'RAP TEMPLATE-GAS AVAILABILITY'!Q767+P768*'RAP TEMPLATE-GAS AVAILABILITY'!R767)/('RAP TEMPLATE-GAS AVAILABILITY'!O767+'RAP TEMPLATE-GAS AVAILABILITY'!P767+'RAP TEMPLATE-GAS AVAILABILITY'!Q767+'RAP TEMPLATE-GAS AVAILABILITY'!R767)</f>
        <v>41.559479856115111</v>
      </c>
    </row>
    <row r="769" spans="1:29" ht="15.75" x14ac:dyDescent="0.25">
      <c r="A769" s="13">
        <v>64315</v>
      </c>
      <c r="B769" s="10">
        <f>CHOOSE(CONTROL!$C$42, 45.401, 45.401) * CHOOSE(CONTROL!$C$21, $C$9, 100%, $E$9)</f>
        <v>45.401000000000003</v>
      </c>
      <c r="C769" s="10">
        <f>CHOOSE(CONTROL!$C$42, 45.406, 45.406) * CHOOSE(CONTROL!$C$21, $C$9, 100%, $E$9)</f>
        <v>45.405999999999999</v>
      </c>
      <c r="D769" s="10">
        <f>CHOOSE(CONTROL!$C$42, 45.4562, 45.4562) * CHOOSE(CONTROL!$C$21, $C$9, 100%, $E$9)</f>
        <v>45.456200000000003</v>
      </c>
      <c r="E769" s="10">
        <f>CHOOSE(CONTROL!$C$42, 45.49, 45.49) * CHOOSE(CONTROL!$C$21, $C$9, 100%, $E$9)</f>
        <v>45.49</v>
      </c>
      <c r="F769" s="10">
        <f>CHOOSE(CONTROL!$C$42, 45.3664, 45.3664)*CHOOSE(CONTROL!$C$21, $C$9, 100%, $E$9)</f>
        <v>45.366399999999999</v>
      </c>
      <c r="G769" s="10">
        <f>CHOOSE(CONTROL!$C$42, 45.384, 45.384)*CHOOSE(CONTROL!$C$21, $C$9, 100%, $E$9)</f>
        <v>45.384</v>
      </c>
      <c r="H769" s="10">
        <f>CHOOSE(CONTROL!$C$42, 45.4792, 45.4792) * CHOOSE(CONTROL!$C$21, $C$9, 100%, $E$9)</f>
        <v>45.479199999999999</v>
      </c>
      <c r="I769" s="10">
        <f>CHOOSE(CONTROL!$C$42, 45.3749, 45.3749)* CHOOSE(CONTROL!$C$21, $C$9, 100%, $E$9)</f>
        <v>45.374899999999997</v>
      </c>
      <c r="J769" s="10">
        <f>CHOOSE(CONTROL!$C$42, 45.3594, 45.3594)* CHOOSE(CONTROL!$C$21, $C$9, 100%, $E$9)</f>
        <v>45.359400000000001</v>
      </c>
      <c r="K769" s="54">
        <f>CHOOSE(CONTROL!$C$42, 45.371, 45.371) * CHOOSE(CONTROL!$C$21, $C$9, 100%, $E$9)</f>
        <v>45.371000000000002</v>
      </c>
      <c r="L769" s="10">
        <f>CHOOSE(CONTROL!$C$42, 46.0662, 46.0662) * CHOOSE(CONTROL!$C$21, $C$9, 100%, $E$9)</f>
        <v>46.066200000000002</v>
      </c>
      <c r="M769" s="10">
        <f>CHOOSE(CONTROL!$C$42, 44.9155, 44.9155) * CHOOSE(CONTROL!$C$21, $C$9, 100%, $E$9)</f>
        <v>44.915500000000002</v>
      </c>
      <c r="N769" s="10">
        <f>CHOOSE(CONTROL!$C$42, 44.9329, 44.9329) * CHOOSE(CONTROL!$C$21, $C$9, 100%, $E$9)</f>
        <v>44.932899999999997</v>
      </c>
      <c r="O769" s="10">
        <f>CHOOSE(CONTROL!$C$42, 45.034, 45.034) * CHOOSE(CONTROL!$C$21, $C$9, 100%, $E$9)</f>
        <v>45.033999999999999</v>
      </c>
      <c r="P769" s="10">
        <f>CHOOSE(CONTROL!$C$42, 44.9309, 44.9309) * CHOOSE(CONTROL!$C$21, $C$9, 100%, $E$9)</f>
        <v>44.930900000000001</v>
      </c>
      <c r="Q769" s="10">
        <f>CHOOSE(CONTROL!$C$42, 45.6293, 45.6293) * CHOOSE(CONTROL!$C$21, $C$9, 100%, $E$9)</f>
        <v>45.629300000000001</v>
      </c>
      <c r="R769" s="10">
        <f>CHOOSE(CONTROL!$C$42, 46.3304, 46.3304) * CHOOSE(CONTROL!$C$21, $C$9, 100%, $E$9)</f>
        <v>46.330399999999997</v>
      </c>
      <c r="S769" s="10">
        <f>CHOOSE(CONTROL!$C$42, 44.0868, 44.0868) * CHOOSE(CONTROL!$C$21, $C$9, 100%, $E$9)</f>
        <v>44.086799999999997</v>
      </c>
      <c r="T769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769" s="58">
        <f>(1000*CHOOSE(CONTROL!$C$42, 695, 695)*CHOOSE(CONTROL!$C$42, 0.5599, 0.5599)*CHOOSE(CONTROL!$C$42, 31, 31))/1000000</f>
        <v>12.063045499999998</v>
      </c>
      <c r="V769" s="58">
        <f>(1000*CHOOSE(CONTROL!$C$42, 500, 500)*CHOOSE(CONTROL!$C$42, 0.275, 0.275)*CHOOSE(CONTROL!$C$42, 31, 31))/1000000</f>
        <v>4.2625000000000002</v>
      </c>
      <c r="W769" s="58">
        <f>(1000*CHOOSE(CONTROL!$C$42, 0.1146, 0.1146)*CHOOSE(CONTROL!$C$42, 121.5, 121.5)*CHOOSE(CONTROL!$C$42, 31, 31))/1000000</f>
        <v>0.43164089999999994</v>
      </c>
      <c r="X769" s="58">
        <f>(31*0.1790888*100000/1000000)+(31*0.2374*100000/1000000)</f>
        <v>1.2911152800000001</v>
      </c>
      <c r="Y769" s="58"/>
      <c r="Z769" s="10"/>
      <c r="AA769" s="57"/>
      <c r="AB769" s="51">
        <f>(B769*122.58+C769*297.941+D769*89.177+E769*40.302+F769*40+G769*160+H769*0+I769*100+J769*300)/(122.58+297.941+89.177+40.302+0+40+160+100+300)</f>
        <v>45.393004481217389</v>
      </c>
      <c r="AC769" s="27">
        <f>(M769*'RAP TEMPLATE-GAS AVAILABILITY'!O768+N769*'RAP TEMPLATE-GAS AVAILABILITY'!P768+O769*'RAP TEMPLATE-GAS AVAILABILITY'!Q768+P769*'RAP TEMPLATE-GAS AVAILABILITY'!R768)/('RAP TEMPLATE-GAS AVAILABILITY'!O768+'RAP TEMPLATE-GAS AVAILABILITY'!P768+'RAP TEMPLATE-GAS AVAILABILITY'!Q768+'RAP TEMPLATE-GAS AVAILABILITY'!R768)</f>
        <v>44.972425899280573</v>
      </c>
    </row>
    <row r="770" spans="1:29" ht="15.75" x14ac:dyDescent="0.25">
      <c r="A770" s="13">
        <v>64344</v>
      </c>
      <c r="B770" s="10">
        <f>CHOOSE(CONTROL!$C$42, 46.2092, 46.2092) * CHOOSE(CONTROL!$C$21, $C$9, 100%, $E$9)</f>
        <v>46.209200000000003</v>
      </c>
      <c r="C770" s="10">
        <f>CHOOSE(CONTROL!$C$42, 46.2141, 46.2141) * CHOOSE(CONTROL!$C$21, $C$9, 100%, $E$9)</f>
        <v>46.214100000000002</v>
      </c>
      <c r="D770" s="10">
        <f>CHOOSE(CONTROL!$C$42, 46.2746, 46.2746) * CHOOSE(CONTROL!$C$21, $C$9, 100%, $E$9)</f>
        <v>46.2746</v>
      </c>
      <c r="E770" s="10">
        <f>CHOOSE(CONTROL!$C$42, 46.3084, 46.3084) * CHOOSE(CONTROL!$C$21, $C$9, 100%, $E$9)</f>
        <v>46.308399999999999</v>
      </c>
      <c r="F770" s="10">
        <f>CHOOSE(CONTROL!$C$42, 46.2024, 46.2024)*CHOOSE(CONTROL!$C$21, $C$9, 100%, $E$9)</f>
        <v>46.202399999999997</v>
      </c>
      <c r="G770" s="10">
        <f>CHOOSE(CONTROL!$C$42, 46.2197, 46.2197)*CHOOSE(CONTROL!$C$21, $C$9, 100%, $E$9)</f>
        <v>46.219700000000003</v>
      </c>
      <c r="H770" s="10">
        <f>CHOOSE(CONTROL!$C$42, 46.2976, 46.2976) * CHOOSE(CONTROL!$C$21, $C$9, 100%, $E$9)</f>
        <v>46.297600000000003</v>
      </c>
      <c r="I770" s="10">
        <f>CHOOSE(CONTROL!$C$42, 46.196, 46.196)* CHOOSE(CONTROL!$C$21, $C$9, 100%, $E$9)</f>
        <v>46.195999999999998</v>
      </c>
      <c r="J770" s="10">
        <f>CHOOSE(CONTROL!$C$42, 46.1954, 46.1954)* CHOOSE(CONTROL!$C$21, $C$9, 100%, $E$9)</f>
        <v>46.195399999999999</v>
      </c>
      <c r="K770" s="54">
        <f>CHOOSE(CONTROL!$C$42, 46.1921, 46.1921) * CHOOSE(CONTROL!$C$21, $C$9, 100%, $E$9)</f>
        <v>46.192100000000003</v>
      </c>
      <c r="L770" s="10">
        <f>CHOOSE(CONTROL!$C$42, 46.8846, 46.8846) * CHOOSE(CONTROL!$C$21, $C$9, 100%, $E$9)</f>
        <v>46.884599999999999</v>
      </c>
      <c r="M770" s="10">
        <f>CHOOSE(CONTROL!$C$42, 45.7431, 45.7431) * CHOOSE(CONTROL!$C$21, $C$9, 100%, $E$9)</f>
        <v>45.743099999999998</v>
      </c>
      <c r="N770" s="10">
        <f>CHOOSE(CONTROL!$C$42, 45.7602, 45.7602) * CHOOSE(CONTROL!$C$21, $C$9, 100%, $E$9)</f>
        <v>45.760199999999998</v>
      </c>
      <c r="O770" s="10">
        <f>CHOOSE(CONTROL!$C$42, 45.8442, 45.8442) * CHOOSE(CONTROL!$C$21, $C$9, 100%, $E$9)</f>
        <v>45.844200000000001</v>
      </c>
      <c r="P770" s="10">
        <f>CHOOSE(CONTROL!$C$42, 45.7436, 45.7436) * CHOOSE(CONTROL!$C$21, $C$9, 100%, $E$9)</f>
        <v>45.743600000000001</v>
      </c>
      <c r="Q770" s="10">
        <f>CHOOSE(CONTROL!$C$42, 46.4395, 46.4395) * CHOOSE(CONTROL!$C$21, $C$9, 100%, $E$9)</f>
        <v>46.439500000000002</v>
      </c>
      <c r="R770" s="10">
        <f>CHOOSE(CONTROL!$C$42, 47.1426, 47.1426) * CHOOSE(CONTROL!$C$21, $C$9, 100%, $E$9)</f>
        <v>47.142600000000002</v>
      </c>
      <c r="S770" s="10">
        <f>CHOOSE(CONTROL!$C$42, 44.8716, 44.8716) * CHOOSE(CONTROL!$C$21, $C$9, 100%, $E$9)</f>
        <v>44.871600000000001</v>
      </c>
      <c r="T770" s="5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770" s="58">
        <f>(1000*CHOOSE(CONTROL!$C$42, 695, 695)*CHOOSE(CONTROL!$C$42, 0.5599, 0.5599)*CHOOSE(CONTROL!$C$42, 29, 29))/1000000</f>
        <v>11.284784499999999</v>
      </c>
      <c r="V770" s="58">
        <f>(1000*CHOOSE(CONTROL!$C$42, 500, 500)*CHOOSE(CONTROL!$C$42, 0.275, 0.275)*CHOOSE(CONTROL!$C$42, 29, 29))/1000000</f>
        <v>3.9874999999999998</v>
      </c>
      <c r="W770" s="58">
        <f>(1000*CHOOSE(CONTROL!$C$42, 0.1146, 0.1146)*CHOOSE(CONTROL!$C$42, 121.5, 121.5)*CHOOSE(CONTROL!$C$42, 29, 29))/1000000</f>
        <v>0.40379309999999996</v>
      </c>
      <c r="X770" s="58">
        <f>(29*0.1790888*100000/1000000)+(29*0.2374*100000/1000000)</f>
        <v>1.2078175199999999</v>
      </c>
      <c r="Y770" s="58"/>
      <c r="Z770" s="10"/>
      <c r="AA770" s="57"/>
      <c r="AB770" s="51">
        <f>(B770*122.58+C770*297.941+D770*89.177+E770*40.302+F770*40+G770*160+H770*0+I770*100+J770*300)/(122.58+297.941+89.177+40.302+0+40+160+100+300)</f>
        <v>46.215493952260879</v>
      </c>
      <c r="AC770" s="27">
        <f>(M770*'RAP TEMPLATE-GAS AVAILABILITY'!O769+N770*'RAP TEMPLATE-GAS AVAILABILITY'!P769+O770*'RAP TEMPLATE-GAS AVAILABILITY'!Q769+P770*'RAP TEMPLATE-GAS AVAILABILITY'!R769)/('RAP TEMPLATE-GAS AVAILABILITY'!O769+'RAP TEMPLATE-GAS AVAILABILITY'!P769+'RAP TEMPLATE-GAS AVAILABILITY'!Q769+'RAP TEMPLATE-GAS AVAILABILITY'!R769)</f>
        <v>45.789978417266184</v>
      </c>
    </row>
    <row r="771" spans="1:29" ht="15.75" x14ac:dyDescent="0.25">
      <c r="A771" s="13">
        <v>64375</v>
      </c>
      <c r="B771" s="10">
        <f>CHOOSE(CONTROL!$C$42, 44.8974, 44.8974) * CHOOSE(CONTROL!$C$21, $C$9, 100%, $E$9)</f>
        <v>44.897399999999998</v>
      </c>
      <c r="C771" s="10">
        <f>CHOOSE(CONTROL!$C$42, 44.9023, 44.9023) * CHOOSE(CONTROL!$C$21, $C$9, 100%, $E$9)</f>
        <v>44.902299999999997</v>
      </c>
      <c r="D771" s="10">
        <f>CHOOSE(CONTROL!$C$42, 44.9628, 44.9628) * CHOOSE(CONTROL!$C$21, $C$9, 100%, $E$9)</f>
        <v>44.962800000000001</v>
      </c>
      <c r="E771" s="10">
        <f>CHOOSE(CONTROL!$C$42, 44.9966, 44.9966) * CHOOSE(CONTROL!$C$21, $C$9, 100%, $E$9)</f>
        <v>44.996600000000001</v>
      </c>
      <c r="F771" s="10">
        <f>CHOOSE(CONTROL!$C$42, 44.8851, 44.8851)*CHOOSE(CONTROL!$C$21, $C$9, 100%, $E$9)</f>
        <v>44.885100000000001</v>
      </c>
      <c r="G771" s="10">
        <f>CHOOSE(CONTROL!$C$42, 44.9023, 44.9023)*CHOOSE(CONTROL!$C$21, $C$9, 100%, $E$9)</f>
        <v>44.902299999999997</v>
      </c>
      <c r="H771" s="10">
        <f>CHOOSE(CONTROL!$C$42, 44.9858, 44.9858) * CHOOSE(CONTROL!$C$21, $C$9, 100%, $E$9)</f>
        <v>44.985799999999998</v>
      </c>
      <c r="I771" s="10">
        <f>CHOOSE(CONTROL!$C$42, 44.8713, 44.8713)* CHOOSE(CONTROL!$C$21, $C$9, 100%, $E$9)</f>
        <v>44.871299999999998</v>
      </c>
      <c r="J771" s="10">
        <f>CHOOSE(CONTROL!$C$42, 44.8781, 44.8781)* CHOOSE(CONTROL!$C$21, $C$9, 100%, $E$9)</f>
        <v>44.878100000000003</v>
      </c>
      <c r="K771" s="54">
        <f>CHOOSE(CONTROL!$C$42, 44.8674, 44.8674) * CHOOSE(CONTROL!$C$21, $C$9, 100%, $E$9)</f>
        <v>44.867400000000004</v>
      </c>
      <c r="L771" s="10">
        <f>CHOOSE(CONTROL!$C$42, 45.5728, 45.5728) * CHOOSE(CONTROL!$C$21, $C$9, 100%, $E$9)</f>
        <v>45.572800000000001</v>
      </c>
      <c r="M771" s="10">
        <f>CHOOSE(CONTROL!$C$42, 44.439, 44.439) * CHOOSE(CONTROL!$C$21, $C$9, 100%, $E$9)</f>
        <v>44.439</v>
      </c>
      <c r="N771" s="10">
        <f>CHOOSE(CONTROL!$C$42, 44.456, 44.456) * CHOOSE(CONTROL!$C$21, $C$9, 100%, $E$9)</f>
        <v>44.456000000000003</v>
      </c>
      <c r="O771" s="10">
        <f>CHOOSE(CONTROL!$C$42, 44.5456, 44.5456) * CHOOSE(CONTROL!$C$21, $C$9, 100%, $E$9)</f>
        <v>44.5456</v>
      </c>
      <c r="P771" s="10">
        <f>CHOOSE(CONTROL!$C$42, 44.4323, 44.4323) * CHOOSE(CONTROL!$C$21, $C$9, 100%, $E$9)</f>
        <v>44.432299999999998</v>
      </c>
      <c r="Q771" s="10">
        <f>CHOOSE(CONTROL!$C$42, 45.1409, 45.1409) * CHOOSE(CONTROL!$C$21, $C$9, 100%, $E$9)</f>
        <v>45.140900000000002</v>
      </c>
      <c r="R771" s="10">
        <f>CHOOSE(CONTROL!$C$42, 45.8408, 45.8408) * CHOOSE(CONTROL!$C$21, $C$9, 100%, $E$9)</f>
        <v>45.840800000000002</v>
      </c>
      <c r="S771" s="10">
        <f>CHOOSE(CONTROL!$C$42, 43.5977, 43.5977) * CHOOSE(CONTROL!$C$21, $C$9, 100%, $E$9)</f>
        <v>43.597700000000003</v>
      </c>
      <c r="T771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771" s="58">
        <f>(1000*CHOOSE(CONTROL!$C$42, 695, 695)*CHOOSE(CONTROL!$C$42, 0.5599, 0.5599)*CHOOSE(CONTROL!$C$42, 31, 31))/1000000</f>
        <v>12.063045499999998</v>
      </c>
      <c r="V771" s="58">
        <f>(1000*CHOOSE(CONTROL!$C$42, 500, 500)*CHOOSE(CONTROL!$C$42, 0.275, 0.275)*CHOOSE(CONTROL!$C$42, 31, 31))/1000000</f>
        <v>4.2625000000000002</v>
      </c>
      <c r="W771" s="58">
        <f>(1000*CHOOSE(CONTROL!$C$42, 0.1146, 0.1146)*CHOOSE(CONTROL!$C$42, 121.5, 121.5)*CHOOSE(CONTROL!$C$42, 31, 31))/1000000</f>
        <v>0.43164089999999994</v>
      </c>
      <c r="X771" s="58">
        <f>(31*0.1790888*100000/1000000)+(31*0.2374*100000/1000000)</f>
        <v>1.2911152800000001</v>
      </c>
      <c r="Y771" s="58"/>
      <c r="Z771" s="10"/>
      <c r="AA771" s="57"/>
      <c r="AB771" s="51">
        <f>(B771*122.58+C771*297.941+D771*89.177+E771*40.302+F771*40+G771*160+H771*0+I771*100+J771*300)/(122.58+297.941+89.177+40.302+0+40+160+100+300)</f>
        <v>44.900166995739127</v>
      </c>
      <c r="AC771" s="27">
        <f>(M771*'RAP TEMPLATE-GAS AVAILABILITY'!O770+N771*'RAP TEMPLATE-GAS AVAILABILITY'!P770+O771*'RAP TEMPLATE-GAS AVAILABILITY'!Q770+P771*'RAP TEMPLATE-GAS AVAILABILITY'!R770)/('RAP TEMPLATE-GAS AVAILABILITY'!O770+'RAP TEMPLATE-GAS AVAILABILITY'!P770+'RAP TEMPLATE-GAS AVAILABILITY'!Q770+'RAP TEMPLATE-GAS AVAILABILITY'!R770)</f>
        <v>44.487329496402879</v>
      </c>
    </row>
    <row r="772" spans="1:29" ht="15.75" x14ac:dyDescent="0.25">
      <c r="A772" s="13">
        <v>64405</v>
      </c>
      <c r="B772" s="10">
        <f>CHOOSE(CONTROL!$C$42, 44.7641, 44.7641) * CHOOSE(CONTROL!$C$21, $C$9, 100%, $E$9)</f>
        <v>44.764099999999999</v>
      </c>
      <c r="C772" s="10">
        <f>CHOOSE(CONTROL!$C$42, 44.7685, 44.7685) * CHOOSE(CONTROL!$C$21, $C$9, 100%, $E$9)</f>
        <v>44.768500000000003</v>
      </c>
      <c r="D772" s="10">
        <f>CHOOSE(CONTROL!$C$42, 44.9641, 44.9641) * CHOOSE(CONTROL!$C$21, $C$9, 100%, $E$9)</f>
        <v>44.964100000000002</v>
      </c>
      <c r="E772" s="10">
        <f>CHOOSE(CONTROL!$C$42, 44.9958, 44.9958) * CHOOSE(CONTROL!$C$21, $C$9, 100%, $E$9)</f>
        <v>44.995800000000003</v>
      </c>
      <c r="F772" s="10">
        <f>CHOOSE(CONTROL!$C$42, 44.7319, 44.7319)*CHOOSE(CONTROL!$C$21, $C$9, 100%, $E$9)</f>
        <v>44.731900000000003</v>
      </c>
      <c r="G772" s="10">
        <f>CHOOSE(CONTROL!$C$42, 44.7487, 44.7487)*CHOOSE(CONTROL!$C$21, $C$9, 100%, $E$9)</f>
        <v>44.748699999999999</v>
      </c>
      <c r="H772" s="10">
        <f>CHOOSE(CONTROL!$C$42, 44.9856, 44.9856) * CHOOSE(CONTROL!$C$21, $C$9, 100%, $E$9)</f>
        <v>44.985599999999998</v>
      </c>
      <c r="I772" s="10">
        <f>CHOOSE(CONTROL!$C$42, 44.7321, 44.7321)* CHOOSE(CONTROL!$C$21, $C$9, 100%, $E$9)</f>
        <v>44.732100000000003</v>
      </c>
      <c r="J772" s="10">
        <f>CHOOSE(CONTROL!$C$42, 44.7249, 44.7249)* CHOOSE(CONTROL!$C$21, $C$9, 100%, $E$9)</f>
        <v>44.724899999999998</v>
      </c>
      <c r="K772" s="54">
        <f>CHOOSE(CONTROL!$C$42, 44.7282, 44.7282) * CHOOSE(CONTROL!$C$21, $C$9, 100%, $E$9)</f>
        <v>44.728200000000001</v>
      </c>
      <c r="L772" s="10">
        <f>CHOOSE(CONTROL!$C$42, 45.5726, 45.5726) * CHOOSE(CONTROL!$C$21, $C$9, 100%, $E$9)</f>
        <v>45.572600000000001</v>
      </c>
      <c r="M772" s="10">
        <f>CHOOSE(CONTROL!$C$42, 44.2874, 44.2874) * CHOOSE(CONTROL!$C$21, $C$9, 100%, $E$9)</f>
        <v>44.287399999999998</v>
      </c>
      <c r="N772" s="10">
        <f>CHOOSE(CONTROL!$C$42, 44.304, 44.304) * CHOOSE(CONTROL!$C$21, $C$9, 100%, $E$9)</f>
        <v>44.304000000000002</v>
      </c>
      <c r="O772" s="10">
        <f>CHOOSE(CONTROL!$C$42, 44.5455, 44.5455) * CHOOSE(CONTROL!$C$21, $C$9, 100%, $E$9)</f>
        <v>44.545499999999997</v>
      </c>
      <c r="P772" s="10">
        <f>CHOOSE(CONTROL!$C$42, 44.2945, 44.2945) * CHOOSE(CONTROL!$C$21, $C$9, 100%, $E$9)</f>
        <v>44.294499999999999</v>
      </c>
      <c r="Q772" s="10">
        <f>CHOOSE(CONTROL!$C$42, 45.1408, 45.1408) * CHOOSE(CONTROL!$C$21, $C$9, 100%, $E$9)</f>
        <v>45.140799999999999</v>
      </c>
      <c r="R772" s="10">
        <f>CHOOSE(CONTROL!$C$42, 45.8406, 45.8406) * CHOOSE(CONTROL!$C$21, $C$9, 100%, $E$9)</f>
        <v>45.840600000000002</v>
      </c>
      <c r="S772" s="10">
        <f>CHOOSE(CONTROL!$C$42, 43.4675, 43.4675) * CHOOSE(CONTROL!$C$21, $C$9, 100%, $E$9)</f>
        <v>43.467500000000001</v>
      </c>
      <c r="T772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772" s="58">
        <f>(1000*CHOOSE(CONTROL!$C$42, 695, 695)*CHOOSE(CONTROL!$C$42, 0.5599, 0.5599)*CHOOSE(CONTROL!$C$42, 30, 30))/1000000</f>
        <v>11.673914999999997</v>
      </c>
      <c r="V772" s="58">
        <f>(1000*CHOOSE(CONTROL!$C$42, 500, 500)*CHOOSE(CONTROL!$C$42, 0.275, 0.275)*CHOOSE(CONTROL!$C$42, 30, 30))/1000000</f>
        <v>4.125</v>
      </c>
      <c r="W772" s="58">
        <f>(1000*CHOOSE(CONTROL!$C$42, 0.1146, 0.1146)*CHOOSE(CONTROL!$C$42, 121.5, 121.5)*CHOOSE(CONTROL!$C$42, 30, 30))/1000000</f>
        <v>0.417717</v>
      </c>
      <c r="X772" s="58">
        <f>(30*0.1790888*245000/1000000)+(30*0.2374*100000/1000000)</f>
        <v>2.0285026799999999</v>
      </c>
      <c r="Y772" s="58"/>
      <c r="Z772" s="10"/>
      <c r="AA772" s="57"/>
      <c r="AB772" s="51">
        <f>(B772*141.293+C772*267.993+D772*115.016+E772*89.698+F772*40+G772*185+H772*0+I772*100+J772*300)/(141.293+267.993+115.016+89.698+0+40+185+100+300)</f>
        <v>44.784978446973369</v>
      </c>
      <c r="AC772" s="27">
        <f>(M772*'RAP TEMPLATE-GAS AVAILABILITY'!O771+N772*'RAP TEMPLATE-GAS AVAILABILITY'!P771+O772*'RAP TEMPLATE-GAS AVAILABILITY'!Q771+P772*'RAP TEMPLATE-GAS AVAILABILITY'!R771)/('RAP TEMPLATE-GAS AVAILABILITY'!O771+'RAP TEMPLATE-GAS AVAILABILITY'!P771+'RAP TEMPLATE-GAS AVAILABILITY'!Q771+'RAP TEMPLATE-GAS AVAILABILITY'!R771)</f>
        <v>44.40635755395683</v>
      </c>
    </row>
    <row r="773" spans="1:29" ht="15.75" x14ac:dyDescent="0.25">
      <c r="A773" s="13">
        <v>64436</v>
      </c>
      <c r="B773" s="10">
        <f>CHOOSE(CONTROL!$C$42, 45.1606, 45.1606) * CHOOSE(CONTROL!$C$21, $C$9, 100%, $E$9)</f>
        <v>45.160600000000002</v>
      </c>
      <c r="C773" s="10">
        <f>CHOOSE(CONTROL!$C$42, 45.1685, 45.1685) * CHOOSE(CONTROL!$C$21, $C$9, 100%, $E$9)</f>
        <v>45.168500000000002</v>
      </c>
      <c r="D773" s="10">
        <f>CHOOSE(CONTROL!$C$42, 45.3609, 45.3609) * CHOOSE(CONTROL!$C$21, $C$9, 100%, $E$9)</f>
        <v>45.360900000000001</v>
      </c>
      <c r="E773" s="10">
        <f>CHOOSE(CONTROL!$C$42, 45.3921, 45.3921) * CHOOSE(CONTROL!$C$21, $C$9, 100%, $E$9)</f>
        <v>45.392099999999999</v>
      </c>
      <c r="F773" s="10">
        <f>CHOOSE(CONTROL!$C$42, 45.1268, 45.1268)*CHOOSE(CONTROL!$C$21, $C$9, 100%, $E$9)</f>
        <v>45.126800000000003</v>
      </c>
      <c r="G773" s="10">
        <f>CHOOSE(CONTROL!$C$42, 45.1439, 45.1439)*CHOOSE(CONTROL!$C$21, $C$9, 100%, $E$9)</f>
        <v>45.143900000000002</v>
      </c>
      <c r="H773" s="10">
        <f>CHOOSE(CONTROL!$C$42, 45.3807, 45.3807) * CHOOSE(CONTROL!$C$21, $C$9, 100%, $E$9)</f>
        <v>45.380699999999997</v>
      </c>
      <c r="I773" s="10">
        <f>CHOOSE(CONTROL!$C$42, 45.1271, 45.1271)* CHOOSE(CONTROL!$C$21, $C$9, 100%, $E$9)</f>
        <v>45.127099999999999</v>
      </c>
      <c r="J773" s="10">
        <f>CHOOSE(CONTROL!$C$42, 45.1198, 45.1198)* CHOOSE(CONTROL!$C$21, $C$9, 100%, $E$9)</f>
        <v>45.119799999999998</v>
      </c>
      <c r="K773" s="54">
        <f>CHOOSE(CONTROL!$C$42, 45.1232, 45.1232) * CHOOSE(CONTROL!$C$21, $C$9, 100%, $E$9)</f>
        <v>45.123199999999997</v>
      </c>
      <c r="L773" s="10">
        <f>CHOOSE(CONTROL!$C$42, 45.9677, 45.9677) * CHOOSE(CONTROL!$C$21, $C$9, 100%, $E$9)</f>
        <v>45.967700000000001</v>
      </c>
      <c r="M773" s="10">
        <f>CHOOSE(CONTROL!$C$42, 44.6783, 44.6783) * CHOOSE(CONTROL!$C$21, $C$9, 100%, $E$9)</f>
        <v>44.6783</v>
      </c>
      <c r="N773" s="10">
        <f>CHOOSE(CONTROL!$C$42, 44.6953, 44.6953) * CHOOSE(CONTROL!$C$21, $C$9, 100%, $E$9)</f>
        <v>44.695300000000003</v>
      </c>
      <c r="O773" s="10">
        <f>CHOOSE(CONTROL!$C$42, 44.9365, 44.9365) * CHOOSE(CONTROL!$C$21, $C$9, 100%, $E$9)</f>
        <v>44.936500000000002</v>
      </c>
      <c r="P773" s="10">
        <f>CHOOSE(CONTROL!$C$42, 44.6856, 44.6856) * CHOOSE(CONTROL!$C$21, $C$9, 100%, $E$9)</f>
        <v>44.685600000000001</v>
      </c>
      <c r="Q773" s="10">
        <f>CHOOSE(CONTROL!$C$42, 45.5318, 45.5318) * CHOOSE(CONTROL!$C$21, $C$9, 100%, $E$9)</f>
        <v>45.531799999999997</v>
      </c>
      <c r="R773" s="10">
        <f>CHOOSE(CONTROL!$C$42, 46.2327, 46.2327) * CHOOSE(CONTROL!$C$21, $C$9, 100%, $E$9)</f>
        <v>46.232700000000001</v>
      </c>
      <c r="S773" s="10">
        <f>CHOOSE(CONTROL!$C$42, 43.8512, 43.8512) * CHOOSE(CONTROL!$C$21, $C$9, 100%, $E$9)</f>
        <v>43.851199999999999</v>
      </c>
      <c r="T773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773" s="58">
        <f>(1000*CHOOSE(CONTROL!$C$42, 695, 695)*CHOOSE(CONTROL!$C$42, 0.5599, 0.5599)*CHOOSE(CONTROL!$C$42, 31, 31))/1000000</f>
        <v>12.063045499999998</v>
      </c>
      <c r="V773" s="58">
        <f>(1000*CHOOSE(CONTROL!$C$42, 500, 500)*CHOOSE(CONTROL!$C$42, 0.275, 0.275)*CHOOSE(CONTROL!$C$42, 31, 31))/1000000</f>
        <v>4.2625000000000002</v>
      </c>
      <c r="W773" s="58">
        <f>(1000*CHOOSE(CONTROL!$C$42, 0.1146, 0.1146)*CHOOSE(CONTROL!$C$42, 121.5, 121.5)*CHOOSE(CONTROL!$C$42, 31, 31))/1000000</f>
        <v>0.43164089999999994</v>
      </c>
      <c r="X773" s="58">
        <f>(31*0.1790888*245000/1000000)+(31*0.2374*100000/1000000)</f>
        <v>2.0961194359999999</v>
      </c>
      <c r="Y773" s="58"/>
      <c r="Z773" s="10"/>
      <c r="AA773" s="57"/>
      <c r="AB773" s="51">
        <f>(B773*194.205+C773*267.466+D773*133.845+E773*53.484+F773*40+G773*185+H773*0+I773*100+J773*300)/(194.205+267.466+133.845+53.484+0+40+185+100+300)</f>
        <v>45.177297159262167</v>
      </c>
      <c r="AC773" s="27">
        <f>(M773*'RAP TEMPLATE-GAS AVAILABILITY'!O772+N773*'RAP TEMPLATE-GAS AVAILABILITY'!P772+O773*'RAP TEMPLATE-GAS AVAILABILITY'!Q772+P773*'RAP TEMPLATE-GAS AVAILABILITY'!R772)/('RAP TEMPLATE-GAS AVAILABILITY'!O772+'RAP TEMPLATE-GAS AVAILABILITY'!P772+'RAP TEMPLATE-GAS AVAILABILITY'!Q772+'RAP TEMPLATE-GAS AVAILABILITY'!R772)</f>
        <v>44.797354676258998</v>
      </c>
    </row>
    <row r="774" spans="1:29" ht="15.75" x14ac:dyDescent="0.25">
      <c r="A774" s="13">
        <v>64466</v>
      </c>
      <c r="B774" s="10">
        <f>CHOOSE(CONTROL!$C$42, 46.4415, 46.4415) * CHOOSE(CONTROL!$C$21, $C$9, 100%, $E$9)</f>
        <v>46.441499999999998</v>
      </c>
      <c r="C774" s="10">
        <f>CHOOSE(CONTROL!$C$42, 46.4494, 46.4494) * CHOOSE(CONTROL!$C$21, $C$9, 100%, $E$9)</f>
        <v>46.449399999999997</v>
      </c>
      <c r="D774" s="10">
        <f>CHOOSE(CONTROL!$C$42, 46.6418, 46.6418) * CHOOSE(CONTROL!$C$21, $C$9, 100%, $E$9)</f>
        <v>46.641800000000003</v>
      </c>
      <c r="E774" s="10">
        <f>CHOOSE(CONTROL!$C$42, 46.6729, 46.6729) * CHOOSE(CONTROL!$C$21, $C$9, 100%, $E$9)</f>
        <v>46.672899999999998</v>
      </c>
      <c r="F774" s="10">
        <f>CHOOSE(CONTROL!$C$42, 46.4079, 46.4079)*CHOOSE(CONTROL!$C$21, $C$9, 100%, $E$9)</f>
        <v>46.407899999999998</v>
      </c>
      <c r="G774" s="10">
        <f>CHOOSE(CONTROL!$C$42, 46.4251, 46.4251)*CHOOSE(CONTROL!$C$21, $C$9, 100%, $E$9)</f>
        <v>46.4251</v>
      </c>
      <c r="H774" s="10">
        <f>CHOOSE(CONTROL!$C$42, 46.6616, 46.6616) * CHOOSE(CONTROL!$C$21, $C$9, 100%, $E$9)</f>
        <v>46.6616</v>
      </c>
      <c r="I774" s="10">
        <f>CHOOSE(CONTROL!$C$42, 46.408, 46.408)* CHOOSE(CONTROL!$C$21, $C$9, 100%, $E$9)</f>
        <v>46.408000000000001</v>
      </c>
      <c r="J774" s="10">
        <f>CHOOSE(CONTROL!$C$42, 46.4009, 46.4009)* CHOOSE(CONTROL!$C$21, $C$9, 100%, $E$9)</f>
        <v>46.4009</v>
      </c>
      <c r="K774" s="54">
        <f>CHOOSE(CONTROL!$C$42, 46.4041, 46.4041) * CHOOSE(CONTROL!$C$21, $C$9, 100%, $E$9)</f>
        <v>46.4041</v>
      </c>
      <c r="L774" s="10">
        <f>CHOOSE(CONTROL!$C$42, 47.2486, 47.2486) * CHOOSE(CONTROL!$C$21, $C$9, 100%, $E$9)</f>
        <v>47.248600000000003</v>
      </c>
      <c r="M774" s="10">
        <f>CHOOSE(CONTROL!$C$42, 45.9465, 45.9465) * CHOOSE(CONTROL!$C$21, $C$9, 100%, $E$9)</f>
        <v>45.9465</v>
      </c>
      <c r="N774" s="10">
        <f>CHOOSE(CONTROL!$C$42, 45.9635, 45.9635) * CHOOSE(CONTROL!$C$21, $C$9, 100%, $E$9)</f>
        <v>45.963500000000003</v>
      </c>
      <c r="O774" s="10">
        <f>CHOOSE(CONTROL!$C$42, 46.2045, 46.2045) * CHOOSE(CONTROL!$C$21, $C$9, 100%, $E$9)</f>
        <v>46.204500000000003</v>
      </c>
      <c r="P774" s="10">
        <f>CHOOSE(CONTROL!$C$42, 45.9536, 45.9536) * CHOOSE(CONTROL!$C$21, $C$9, 100%, $E$9)</f>
        <v>45.953600000000002</v>
      </c>
      <c r="Q774" s="10">
        <f>CHOOSE(CONTROL!$C$42, 46.7998, 46.7998) * CHOOSE(CONTROL!$C$21, $C$9, 100%, $E$9)</f>
        <v>46.799799999999998</v>
      </c>
      <c r="R774" s="10">
        <f>CHOOSE(CONTROL!$C$42, 47.5038, 47.5038) * CHOOSE(CONTROL!$C$21, $C$9, 100%, $E$9)</f>
        <v>47.503799999999998</v>
      </c>
      <c r="S774" s="10">
        <f>CHOOSE(CONTROL!$C$42, 45.095, 45.095) * CHOOSE(CONTROL!$C$21, $C$9, 100%, $E$9)</f>
        <v>45.094999999999999</v>
      </c>
      <c r="T774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774" s="58">
        <f>(1000*CHOOSE(CONTROL!$C$42, 695, 695)*CHOOSE(CONTROL!$C$42, 0.5599, 0.5599)*CHOOSE(CONTROL!$C$42, 30, 30))/1000000</f>
        <v>11.673914999999997</v>
      </c>
      <c r="V774" s="58">
        <f>(1000*CHOOSE(CONTROL!$C$42, 500, 500)*CHOOSE(CONTROL!$C$42, 0.275, 0.275)*CHOOSE(CONTROL!$C$42, 30, 30))/1000000</f>
        <v>4.125</v>
      </c>
      <c r="W774" s="58">
        <f>(1000*CHOOSE(CONTROL!$C$42, 0.1146, 0.1146)*CHOOSE(CONTROL!$C$42, 121.5, 121.5)*CHOOSE(CONTROL!$C$42, 30, 30))/1000000</f>
        <v>0.417717</v>
      </c>
      <c r="X774" s="58">
        <f>(30*0.1790888*245000/1000000)+(30*0.2374*100000/1000000)</f>
        <v>2.0285026799999999</v>
      </c>
      <c r="Y774" s="58"/>
      <c r="Z774" s="10"/>
      <c r="AA774" s="57"/>
      <c r="AB774" s="51">
        <f>(B774*194.205+C774*267.466+D774*133.845+E774*53.484+F774*40+G774*185+H774*0+I774*100+J774*300)/(194.205+267.466+133.845+53.484+0+40+185+100+300)</f>
        <v>46.45828989992151</v>
      </c>
      <c r="AC774" s="27">
        <f>(M774*'RAP TEMPLATE-GAS AVAILABILITY'!O773+N774*'RAP TEMPLATE-GAS AVAILABILITY'!P773+O774*'RAP TEMPLATE-GAS AVAILABILITY'!Q773+P774*'RAP TEMPLATE-GAS AVAILABILITY'!R773)/('RAP TEMPLATE-GAS AVAILABILITY'!O773+'RAP TEMPLATE-GAS AVAILABILITY'!P773+'RAP TEMPLATE-GAS AVAILABILITY'!Q773+'RAP TEMPLATE-GAS AVAILABILITY'!R773)</f>
        <v>46.065435251798561</v>
      </c>
    </row>
    <row r="775" spans="1:29" ht="15.75" x14ac:dyDescent="0.25">
      <c r="A775" s="13">
        <v>64497</v>
      </c>
      <c r="B775" s="10">
        <f>CHOOSE(CONTROL!$C$42, 45.5506, 45.5506) * CHOOSE(CONTROL!$C$21, $C$9, 100%, $E$9)</f>
        <v>45.550600000000003</v>
      </c>
      <c r="C775" s="10">
        <f>CHOOSE(CONTROL!$C$42, 45.5585, 45.5585) * CHOOSE(CONTROL!$C$21, $C$9, 100%, $E$9)</f>
        <v>45.558500000000002</v>
      </c>
      <c r="D775" s="10">
        <f>CHOOSE(CONTROL!$C$42, 45.7509, 45.7509) * CHOOSE(CONTROL!$C$21, $C$9, 100%, $E$9)</f>
        <v>45.750900000000001</v>
      </c>
      <c r="E775" s="10">
        <f>CHOOSE(CONTROL!$C$42, 45.7821, 45.7821) * CHOOSE(CONTROL!$C$21, $C$9, 100%, $E$9)</f>
        <v>45.7821</v>
      </c>
      <c r="F775" s="10">
        <f>CHOOSE(CONTROL!$C$42, 45.5175, 45.5175)*CHOOSE(CONTROL!$C$21, $C$9, 100%, $E$9)</f>
        <v>45.517499999999998</v>
      </c>
      <c r="G775" s="10">
        <f>CHOOSE(CONTROL!$C$42, 45.5348, 45.5348)*CHOOSE(CONTROL!$C$21, $C$9, 100%, $E$9)</f>
        <v>45.534799999999997</v>
      </c>
      <c r="H775" s="10">
        <f>CHOOSE(CONTROL!$C$42, 45.7707, 45.7707) * CHOOSE(CONTROL!$C$21, $C$9, 100%, $E$9)</f>
        <v>45.770699999999998</v>
      </c>
      <c r="I775" s="10">
        <f>CHOOSE(CONTROL!$C$42, 45.5172, 45.5172)* CHOOSE(CONTROL!$C$21, $C$9, 100%, $E$9)</f>
        <v>45.517200000000003</v>
      </c>
      <c r="J775" s="10">
        <f>CHOOSE(CONTROL!$C$42, 45.5105, 45.5105)* CHOOSE(CONTROL!$C$21, $C$9, 100%, $E$9)</f>
        <v>45.5105</v>
      </c>
      <c r="K775" s="54">
        <f>CHOOSE(CONTROL!$C$42, 45.5133, 45.5133) * CHOOSE(CONTROL!$C$21, $C$9, 100%, $E$9)</f>
        <v>45.513300000000001</v>
      </c>
      <c r="L775" s="10">
        <f>CHOOSE(CONTROL!$C$42, 46.3577, 46.3577) * CHOOSE(CONTROL!$C$21, $C$9, 100%, $E$9)</f>
        <v>46.357700000000001</v>
      </c>
      <c r="M775" s="10">
        <f>CHOOSE(CONTROL!$C$42, 45.065, 45.065) * CHOOSE(CONTROL!$C$21, $C$9, 100%, $E$9)</f>
        <v>45.064999999999998</v>
      </c>
      <c r="N775" s="10">
        <f>CHOOSE(CONTROL!$C$42, 45.0821, 45.0821) * CHOOSE(CONTROL!$C$21, $C$9, 100%, $E$9)</f>
        <v>45.082099999999997</v>
      </c>
      <c r="O775" s="10">
        <f>CHOOSE(CONTROL!$C$42, 45.3226, 45.3226) * CHOOSE(CONTROL!$C$21, $C$9, 100%, $E$9)</f>
        <v>45.322600000000001</v>
      </c>
      <c r="P775" s="10">
        <f>CHOOSE(CONTROL!$C$42, 45.0717, 45.0717) * CHOOSE(CONTROL!$C$21, $C$9, 100%, $E$9)</f>
        <v>45.0717</v>
      </c>
      <c r="Q775" s="10">
        <f>CHOOSE(CONTROL!$C$42, 45.9179, 45.9179) * CHOOSE(CONTROL!$C$21, $C$9, 100%, $E$9)</f>
        <v>45.917900000000003</v>
      </c>
      <c r="R775" s="10">
        <f>CHOOSE(CONTROL!$C$42, 46.6197, 46.6197) * CHOOSE(CONTROL!$C$21, $C$9, 100%, $E$9)</f>
        <v>46.619700000000002</v>
      </c>
      <c r="S775" s="10">
        <f>CHOOSE(CONTROL!$C$42, 44.2299, 44.2299) * CHOOSE(CONTROL!$C$21, $C$9, 100%, $E$9)</f>
        <v>44.229900000000001</v>
      </c>
      <c r="T775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775" s="58">
        <f>(1000*CHOOSE(CONTROL!$C$42, 695, 695)*CHOOSE(CONTROL!$C$42, 0.5599, 0.5599)*CHOOSE(CONTROL!$C$42, 31, 31))/1000000</f>
        <v>12.063045499999998</v>
      </c>
      <c r="V775" s="58">
        <f>(1000*CHOOSE(CONTROL!$C$42, 500, 500)*CHOOSE(CONTROL!$C$42, 0.275, 0.275)*CHOOSE(CONTROL!$C$42, 31, 31))/1000000</f>
        <v>4.2625000000000002</v>
      </c>
      <c r="W775" s="58">
        <f>(1000*CHOOSE(CONTROL!$C$42, 0.1146, 0.1146)*CHOOSE(CONTROL!$C$42, 121.5, 121.5)*CHOOSE(CONTROL!$C$42, 31, 31))/1000000</f>
        <v>0.43164089999999994</v>
      </c>
      <c r="X775" s="58">
        <f>(31*0.1790888*245000/1000000)+(31*0.2374*100000/1000000)</f>
        <v>2.0961194359999999</v>
      </c>
      <c r="Y775" s="58"/>
      <c r="Z775" s="10"/>
      <c r="AA775" s="57"/>
      <c r="AB775" s="51">
        <f>(B775*194.205+C775*267.466+D775*133.845+E775*53.484+F775*40+G775*185+H775*0+I775*100+J775*300)/(194.205+267.466+133.845+53.484+0+40+185+100+300)</f>
        <v>45.567622512480384</v>
      </c>
      <c r="AC775" s="27">
        <f>(M775*'RAP TEMPLATE-GAS AVAILABILITY'!O774+N775*'RAP TEMPLATE-GAS AVAILABILITY'!P774+O775*'RAP TEMPLATE-GAS AVAILABILITY'!Q774+P775*'RAP TEMPLATE-GAS AVAILABILITY'!R774)/('RAP TEMPLATE-GAS AVAILABILITY'!O774+'RAP TEMPLATE-GAS AVAILABILITY'!P774+'RAP TEMPLATE-GAS AVAILABILITY'!Q774+'RAP TEMPLATE-GAS AVAILABILITY'!R774)</f>
        <v>45.183702158273377</v>
      </c>
    </row>
    <row r="776" spans="1:29" ht="15.75" x14ac:dyDescent="0.25">
      <c r="A776" s="13">
        <v>64528</v>
      </c>
      <c r="B776" s="10">
        <f>CHOOSE(CONTROL!$C$42, 43.3009, 43.3009) * CHOOSE(CONTROL!$C$21, $C$9, 100%, $E$9)</f>
        <v>43.300899999999999</v>
      </c>
      <c r="C776" s="10">
        <f>CHOOSE(CONTROL!$C$42, 43.3088, 43.3088) * CHOOSE(CONTROL!$C$21, $C$9, 100%, $E$9)</f>
        <v>43.308799999999998</v>
      </c>
      <c r="D776" s="10">
        <f>CHOOSE(CONTROL!$C$42, 43.5012, 43.5012) * CHOOSE(CONTROL!$C$21, $C$9, 100%, $E$9)</f>
        <v>43.501199999999997</v>
      </c>
      <c r="E776" s="10">
        <f>CHOOSE(CONTROL!$C$42, 43.5324, 43.5324) * CHOOSE(CONTROL!$C$21, $C$9, 100%, $E$9)</f>
        <v>43.532400000000003</v>
      </c>
      <c r="F776" s="10">
        <f>CHOOSE(CONTROL!$C$42, 43.2679, 43.2679)*CHOOSE(CONTROL!$C$21, $C$9, 100%, $E$9)</f>
        <v>43.267899999999997</v>
      </c>
      <c r="G776" s="10">
        <f>CHOOSE(CONTROL!$C$42, 43.2853, 43.2853)*CHOOSE(CONTROL!$C$21, $C$9, 100%, $E$9)</f>
        <v>43.285299999999999</v>
      </c>
      <c r="H776" s="10">
        <f>CHOOSE(CONTROL!$C$42, 43.521, 43.521) * CHOOSE(CONTROL!$C$21, $C$9, 100%, $E$9)</f>
        <v>43.521000000000001</v>
      </c>
      <c r="I776" s="10">
        <f>CHOOSE(CONTROL!$C$42, 43.2674, 43.2674)* CHOOSE(CONTROL!$C$21, $C$9, 100%, $E$9)</f>
        <v>43.267400000000002</v>
      </c>
      <c r="J776" s="10">
        <f>CHOOSE(CONTROL!$C$42, 43.2609, 43.2609)* CHOOSE(CONTROL!$C$21, $C$9, 100%, $E$9)</f>
        <v>43.260899999999999</v>
      </c>
      <c r="K776" s="54">
        <f>CHOOSE(CONTROL!$C$42, 43.2636, 43.2636) * CHOOSE(CONTROL!$C$21, $C$9, 100%, $E$9)</f>
        <v>43.263599999999997</v>
      </c>
      <c r="L776" s="10">
        <f>CHOOSE(CONTROL!$C$42, 44.108, 44.108) * CHOOSE(CONTROL!$C$21, $C$9, 100%, $E$9)</f>
        <v>44.107999999999997</v>
      </c>
      <c r="M776" s="10">
        <f>CHOOSE(CONTROL!$C$42, 42.8382, 42.8382) * CHOOSE(CONTROL!$C$21, $C$9, 100%, $E$9)</f>
        <v>42.838200000000001</v>
      </c>
      <c r="N776" s="10">
        <f>CHOOSE(CONTROL!$C$42, 42.8553, 42.8553) * CHOOSE(CONTROL!$C$21, $C$9, 100%, $E$9)</f>
        <v>42.8553</v>
      </c>
      <c r="O776" s="10">
        <f>CHOOSE(CONTROL!$C$42, 43.0956, 43.0956) * CHOOSE(CONTROL!$C$21, $C$9, 100%, $E$9)</f>
        <v>43.095599999999997</v>
      </c>
      <c r="P776" s="10">
        <f>CHOOSE(CONTROL!$C$42, 42.8447, 42.8447) * CHOOSE(CONTROL!$C$21, $C$9, 100%, $E$9)</f>
        <v>42.844700000000003</v>
      </c>
      <c r="Q776" s="10">
        <f>CHOOSE(CONTROL!$C$42, 43.6909, 43.6909) * CHOOSE(CONTROL!$C$21, $C$9, 100%, $E$9)</f>
        <v>43.690899999999999</v>
      </c>
      <c r="R776" s="10">
        <f>CHOOSE(CONTROL!$C$42, 44.3871, 44.3871) * CHOOSE(CONTROL!$C$21, $C$9, 100%, $E$9)</f>
        <v>44.387099999999997</v>
      </c>
      <c r="S776" s="10">
        <f>CHOOSE(CONTROL!$C$42, 42.0452, 42.0452) * CHOOSE(CONTROL!$C$21, $C$9, 100%, $E$9)</f>
        <v>42.045200000000001</v>
      </c>
      <c r="T776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776" s="58">
        <f>(1000*CHOOSE(CONTROL!$C$42, 695, 695)*CHOOSE(CONTROL!$C$42, 0.5599, 0.5599)*CHOOSE(CONTROL!$C$42, 31, 31))/1000000</f>
        <v>12.063045499999998</v>
      </c>
      <c r="V776" s="58">
        <f>(1000*CHOOSE(CONTROL!$C$42, 500, 500)*CHOOSE(CONTROL!$C$42, 0.275, 0.275)*CHOOSE(CONTROL!$C$42, 31, 31))/1000000</f>
        <v>4.2625000000000002</v>
      </c>
      <c r="W776" s="58">
        <f>(1000*CHOOSE(CONTROL!$C$42, 0.1146, 0.1146)*CHOOSE(CONTROL!$C$42, 121.5, 121.5)*CHOOSE(CONTROL!$C$42, 31, 31))/1000000</f>
        <v>0.43164089999999994</v>
      </c>
      <c r="X776" s="58">
        <f>(31*0.1790888*245000/1000000)+(31*0.2374*100000/1000000)</f>
        <v>2.0961194359999999</v>
      </c>
      <c r="Y776" s="58"/>
      <c r="Z776" s="10"/>
      <c r="AA776" s="57"/>
      <c r="AB776" s="51">
        <f>(B776*194.205+C776*267.466+D776*133.845+E776*53.484+F776*40+G776*185+H776*0+I776*100+J776*300)/(194.205+267.466+133.845+53.484+0+40+185+100+300)</f>
        <v>43.317970393171109</v>
      </c>
      <c r="AC776" s="27">
        <f>(M776*'RAP TEMPLATE-GAS AVAILABILITY'!O775+N776*'RAP TEMPLATE-GAS AVAILABILITY'!P775+O776*'RAP TEMPLATE-GAS AVAILABILITY'!Q775+P776*'RAP TEMPLATE-GAS AVAILABILITY'!R775)/('RAP TEMPLATE-GAS AVAILABILITY'!O775+'RAP TEMPLATE-GAS AVAILABILITY'!P775+'RAP TEMPLATE-GAS AVAILABILITY'!Q775+'RAP TEMPLATE-GAS AVAILABILITY'!R775)</f>
        <v>42.95678273381295</v>
      </c>
    </row>
    <row r="777" spans="1:29" ht="15.75" x14ac:dyDescent="0.25">
      <c r="A777" s="13">
        <v>64558</v>
      </c>
      <c r="B777" s="10">
        <f>CHOOSE(CONTROL!$C$42, 40.5518, 40.5518) * CHOOSE(CONTROL!$C$21, $C$9, 100%, $E$9)</f>
        <v>40.5518</v>
      </c>
      <c r="C777" s="10">
        <f>CHOOSE(CONTROL!$C$42, 40.5597, 40.5597) * CHOOSE(CONTROL!$C$21, $C$9, 100%, $E$9)</f>
        <v>40.559699999999999</v>
      </c>
      <c r="D777" s="10">
        <f>CHOOSE(CONTROL!$C$42, 40.7521, 40.7521) * CHOOSE(CONTROL!$C$21, $C$9, 100%, $E$9)</f>
        <v>40.752099999999999</v>
      </c>
      <c r="E777" s="10">
        <f>CHOOSE(CONTROL!$C$42, 40.7832, 40.7832) * CHOOSE(CONTROL!$C$21, $C$9, 100%, $E$9)</f>
        <v>40.783200000000001</v>
      </c>
      <c r="F777" s="10">
        <f>CHOOSE(CONTROL!$C$42, 40.5187, 40.5187)*CHOOSE(CONTROL!$C$21, $C$9, 100%, $E$9)</f>
        <v>40.518700000000003</v>
      </c>
      <c r="G777" s="10">
        <f>CHOOSE(CONTROL!$C$42, 40.536, 40.536)*CHOOSE(CONTROL!$C$21, $C$9, 100%, $E$9)</f>
        <v>40.536000000000001</v>
      </c>
      <c r="H777" s="10">
        <f>CHOOSE(CONTROL!$C$42, 40.7719, 40.7719) * CHOOSE(CONTROL!$C$21, $C$9, 100%, $E$9)</f>
        <v>40.771900000000002</v>
      </c>
      <c r="I777" s="10">
        <f>CHOOSE(CONTROL!$C$42, 40.5183, 40.5183)* CHOOSE(CONTROL!$C$21, $C$9, 100%, $E$9)</f>
        <v>40.518300000000004</v>
      </c>
      <c r="J777" s="10">
        <f>CHOOSE(CONTROL!$C$42, 40.5117, 40.5117)* CHOOSE(CONTROL!$C$21, $C$9, 100%, $E$9)</f>
        <v>40.511699999999998</v>
      </c>
      <c r="K777" s="54">
        <f>CHOOSE(CONTROL!$C$42, 40.5144, 40.5144) * CHOOSE(CONTROL!$C$21, $C$9, 100%, $E$9)</f>
        <v>40.514400000000002</v>
      </c>
      <c r="L777" s="10">
        <f>CHOOSE(CONTROL!$C$42, 41.3589, 41.3589) * CHOOSE(CONTROL!$C$21, $C$9, 100%, $E$9)</f>
        <v>41.358899999999998</v>
      </c>
      <c r="M777" s="10">
        <f>CHOOSE(CONTROL!$C$42, 40.1166, 40.1166) * CHOOSE(CONTROL!$C$21, $C$9, 100%, $E$9)</f>
        <v>40.116599999999998</v>
      </c>
      <c r="N777" s="10">
        <f>CHOOSE(CONTROL!$C$42, 40.1338, 40.1338) * CHOOSE(CONTROL!$C$21, $C$9, 100%, $E$9)</f>
        <v>40.133800000000001</v>
      </c>
      <c r="O777" s="10">
        <f>CHOOSE(CONTROL!$C$42, 40.3742, 40.3742) * CHOOSE(CONTROL!$C$21, $C$9, 100%, $E$9)</f>
        <v>40.374200000000002</v>
      </c>
      <c r="P777" s="10">
        <f>CHOOSE(CONTROL!$C$42, 40.1233, 40.1233) * CHOOSE(CONTROL!$C$21, $C$9, 100%, $E$9)</f>
        <v>40.1233</v>
      </c>
      <c r="Q777" s="10">
        <f>CHOOSE(CONTROL!$C$42, 40.9695, 40.9695) * CHOOSE(CONTROL!$C$21, $C$9, 100%, $E$9)</f>
        <v>40.969499999999996</v>
      </c>
      <c r="R777" s="10">
        <f>CHOOSE(CONTROL!$C$42, 41.659, 41.659) * CHOOSE(CONTROL!$C$21, $C$9, 100%, $E$9)</f>
        <v>41.658999999999999</v>
      </c>
      <c r="S777" s="10">
        <f>CHOOSE(CONTROL!$C$42, 39.3756, 39.3756) * CHOOSE(CONTROL!$C$21, $C$9, 100%, $E$9)</f>
        <v>39.375599999999999</v>
      </c>
      <c r="T777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777" s="58">
        <f>(1000*CHOOSE(CONTROL!$C$42, 695, 695)*CHOOSE(CONTROL!$C$42, 0.5599, 0.5599)*CHOOSE(CONTROL!$C$42, 30, 30))/1000000</f>
        <v>11.673914999999997</v>
      </c>
      <c r="V777" s="58">
        <f>(1000*CHOOSE(CONTROL!$C$42, 500, 500)*CHOOSE(CONTROL!$C$42, 0.275, 0.275)*CHOOSE(CONTROL!$C$42, 30, 30))/1000000</f>
        <v>4.125</v>
      </c>
      <c r="W777" s="58">
        <f>(1000*CHOOSE(CONTROL!$C$42, 0.1146, 0.1146)*CHOOSE(CONTROL!$C$42, 121.5, 121.5)*CHOOSE(CONTROL!$C$42, 30, 30))/1000000</f>
        <v>0.417717</v>
      </c>
      <c r="X777" s="58">
        <f>(30*0.1790888*245000/1000000)+(30*0.2374*100000/1000000)</f>
        <v>2.0285026799999999</v>
      </c>
      <c r="Y777" s="58"/>
      <c r="Z777" s="10"/>
      <c r="AA777" s="57"/>
      <c r="AB777" s="51">
        <f>(B777*194.205+C777*267.466+D777*133.845+E777*53.484+F777*40+G777*185+H777*0+I777*100+J777*300)/(194.205+267.466+133.845+53.484+0+40+185+100+300)</f>
        <v>40.568810465070641</v>
      </c>
      <c r="AC777" s="27">
        <f>(M777*'RAP TEMPLATE-GAS AVAILABILITY'!O776+N777*'RAP TEMPLATE-GAS AVAILABILITY'!P776+O777*'RAP TEMPLATE-GAS AVAILABILITY'!Q776+P777*'RAP TEMPLATE-GAS AVAILABILITY'!R776)/('RAP TEMPLATE-GAS AVAILABILITY'!O776+'RAP TEMPLATE-GAS AVAILABILITY'!P776+'RAP TEMPLATE-GAS AVAILABILITY'!Q776+'RAP TEMPLATE-GAS AVAILABILITY'!R776)</f>
        <v>40.235307913669068</v>
      </c>
    </row>
    <row r="778" spans="1:29" ht="15.75" x14ac:dyDescent="0.25">
      <c r="A778" s="13">
        <v>64589</v>
      </c>
      <c r="B778" s="10">
        <f>CHOOSE(CONTROL!$C$42, 39.7267, 39.7267) * CHOOSE(CONTROL!$C$21, $C$9, 100%, $E$9)</f>
        <v>39.726700000000001</v>
      </c>
      <c r="C778" s="10">
        <f>CHOOSE(CONTROL!$C$42, 39.7319, 39.7319) * CHOOSE(CONTROL!$C$21, $C$9, 100%, $E$9)</f>
        <v>39.731900000000003</v>
      </c>
      <c r="D778" s="10">
        <f>CHOOSE(CONTROL!$C$42, 39.9293, 39.9293) * CHOOSE(CONTROL!$C$21, $C$9, 100%, $E$9)</f>
        <v>39.929299999999998</v>
      </c>
      <c r="E778" s="10">
        <f>CHOOSE(CONTROL!$C$42, 39.9581, 39.9581) * CHOOSE(CONTROL!$C$21, $C$9, 100%, $E$9)</f>
        <v>39.958100000000002</v>
      </c>
      <c r="F778" s="10">
        <f>CHOOSE(CONTROL!$C$42, 39.6956, 39.6956)*CHOOSE(CONTROL!$C$21, $C$9, 100%, $E$9)</f>
        <v>39.695599999999999</v>
      </c>
      <c r="G778" s="10">
        <f>CHOOSE(CONTROL!$C$42, 39.7126, 39.7126)*CHOOSE(CONTROL!$C$21, $C$9, 100%, $E$9)</f>
        <v>39.712600000000002</v>
      </c>
      <c r="H778" s="10">
        <f>CHOOSE(CONTROL!$C$42, 39.9486, 39.9486) * CHOOSE(CONTROL!$C$21, $C$9, 100%, $E$9)</f>
        <v>39.948599999999999</v>
      </c>
      <c r="I778" s="10">
        <f>CHOOSE(CONTROL!$C$42, 39.6951, 39.6951)* CHOOSE(CONTROL!$C$21, $C$9, 100%, $E$9)</f>
        <v>39.695099999999996</v>
      </c>
      <c r="J778" s="10">
        <f>CHOOSE(CONTROL!$C$42, 39.6886, 39.6886)* CHOOSE(CONTROL!$C$21, $C$9, 100%, $E$9)</f>
        <v>39.688600000000001</v>
      </c>
      <c r="K778" s="54">
        <f>CHOOSE(CONTROL!$C$42, 39.6912, 39.6912) * CHOOSE(CONTROL!$C$21, $C$9, 100%, $E$9)</f>
        <v>39.691200000000002</v>
      </c>
      <c r="L778" s="10">
        <f>CHOOSE(CONTROL!$C$42, 40.5356, 40.5356) * CHOOSE(CONTROL!$C$21, $C$9, 100%, $E$9)</f>
        <v>40.535600000000002</v>
      </c>
      <c r="M778" s="10">
        <f>CHOOSE(CONTROL!$C$42, 39.3019, 39.3019) * CHOOSE(CONTROL!$C$21, $C$9, 100%, $E$9)</f>
        <v>39.301900000000003</v>
      </c>
      <c r="N778" s="10">
        <f>CHOOSE(CONTROL!$C$42, 39.3187, 39.3187) * CHOOSE(CONTROL!$C$21, $C$9, 100%, $E$9)</f>
        <v>39.3187</v>
      </c>
      <c r="O778" s="10">
        <f>CHOOSE(CONTROL!$C$42, 39.5593, 39.5593) * CHOOSE(CONTROL!$C$21, $C$9, 100%, $E$9)</f>
        <v>39.5593</v>
      </c>
      <c r="P778" s="10">
        <f>CHOOSE(CONTROL!$C$42, 39.3083, 39.3083) * CHOOSE(CONTROL!$C$21, $C$9, 100%, $E$9)</f>
        <v>39.308300000000003</v>
      </c>
      <c r="Q778" s="10">
        <f>CHOOSE(CONTROL!$C$42, 40.1546, 40.1546) * CHOOSE(CONTROL!$C$21, $C$9, 100%, $E$9)</f>
        <v>40.154600000000002</v>
      </c>
      <c r="R778" s="10">
        <f>CHOOSE(CONTROL!$C$42, 40.842, 40.842) * CHOOSE(CONTROL!$C$21, $C$9, 100%, $E$9)</f>
        <v>40.841999999999999</v>
      </c>
      <c r="S778" s="10">
        <f>CHOOSE(CONTROL!$C$42, 38.5761, 38.5761) * CHOOSE(CONTROL!$C$21, $C$9, 100%, $E$9)</f>
        <v>38.576099999999997</v>
      </c>
      <c r="T778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778" s="58">
        <f>(1000*CHOOSE(CONTROL!$C$42, 695, 695)*CHOOSE(CONTROL!$C$42, 0.5599, 0.5599)*CHOOSE(CONTROL!$C$42, 31, 31))/1000000</f>
        <v>12.063045499999998</v>
      </c>
      <c r="V778" s="58">
        <f>(1000*CHOOSE(CONTROL!$C$42, 500, 500)*CHOOSE(CONTROL!$C$42, 0.275, 0.275)*CHOOSE(CONTROL!$C$42, 31, 31))/1000000</f>
        <v>4.2625000000000002</v>
      </c>
      <c r="W778" s="58">
        <f>(1000*CHOOSE(CONTROL!$C$42, 0.1146, 0.1146)*CHOOSE(CONTROL!$C$42, 121.5, 121.5)*CHOOSE(CONTROL!$C$42, 31, 31))/1000000</f>
        <v>0.43164089999999994</v>
      </c>
      <c r="X778" s="58">
        <f>(31*0.1790888*245000/1000000)+(31*0.2374*100000/1000000)</f>
        <v>2.0961194359999999</v>
      </c>
      <c r="Y778" s="58"/>
      <c r="Z778" s="10"/>
      <c r="AA778" s="57"/>
      <c r="AB778" s="51">
        <f>(B778*131.881+C778*277.167+D778*79.08+E778*125.872+F778*40+G778*185+H778*0+I778*100+J778*300)/(131.881+277.167+79.08+125.872+0+40+185+100+300)</f>
        <v>39.749417641000811</v>
      </c>
      <c r="AC778" s="27">
        <f>(M778*'RAP TEMPLATE-GAS AVAILABILITY'!O777+N778*'RAP TEMPLATE-GAS AVAILABILITY'!P777+O778*'RAP TEMPLATE-GAS AVAILABILITY'!Q777+P778*'RAP TEMPLATE-GAS AVAILABILITY'!R777)/('RAP TEMPLATE-GAS AVAILABILITY'!O777+'RAP TEMPLATE-GAS AVAILABILITY'!P777+'RAP TEMPLATE-GAS AVAILABILITY'!Q777+'RAP TEMPLATE-GAS AVAILABILITY'!R777)</f>
        <v>39.42045107913669</v>
      </c>
    </row>
    <row r="779" spans="1:29" ht="15.75" x14ac:dyDescent="0.25">
      <c r="A779" s="13">
        <v>64619</v>
      </c>
      <c r="B779" s="10">
        <f>CHOOSE(CONTROL!$C$42, 40.7728, 40.7728) * CHOOSE(CONTROL!$C$21, $C$9, 100%, $E$9)</f>
        <v>40.772799999999997</v>
      </c>
      <c r="C779" s="10">
        <f>CHOOSE(CONTROL!$C$42, 40.7778, 40.7778) * CHOOSE(CONTROL!$C$21, $C$9, 100%, $E$9)</f>
        <v>40.777799999999999</v>
      </c>
      <c r="D779" s="10">
        <f>CHOOSE(CONTROL!$C$42, 40.8074, 40.8074) * CHOOSE(CONTROL!$C$21, $C$9, 100%, $E$9)</f>
        <v>40.807400000000001</v>
      </c>
      <c r="E779" s="10">
        <f>CHOOSE(CONTROL!$C$42, 40.8412, 40.8412) * CHOOSE(CONTROL!$C$21, $C$9, 100%, $E$9)</f>
        <v>40.841200000000001</v>
      </c>
      <c r="F779" s="10">
        <f>CHOOSE(CONTROL!$C$42, 40.7396, 40.7396)*CHOOSE(CONTROL!$C$21, $C$9, 100%, $E$9)</f>
        <v>40.739600000000003</v>
      </c>
      <c r="G779" s="10">
        <f>CHOOSE(CONTROL!$C$42, 40.7567, 40.7567)*CHOOSE(CONTROL!$C$21, $C$9, 100%, $E$9)</f>
        <v>40.756700000000002</v>
      </c>
      <c r="H779" s="10">
        <f>CHOOSE(CONTROL!$C$42, 40.8304, 40.8304) * CHOOSE(CONTROL!$C$21, $C$9, 100%, $E$9)</f>
        <v>40.830399999999997</v>
      </c>
      <c r="I779" s="10">
        <f>CHOOSE(CONTROL!$C$42, 40.7364, 40.7364)* CHOOSE(CONTROL!$C$21, $C$9, 100%, $E$9)</f>
        <v>40.736400000000003</v>
      </c>
      <c r="J779" s="10">
        <f>CHOOSE(CONTROL!$C$42, 40.7326, 40.7326)* CHOOSE(CONTROL!$C$21, $C$9, 100%, $E$9)</f>
        <v>40.732599999999998</v>
      </c>
      <c r="K779" s="54">
        <f>CHOOSE(CONTROL!$C$42, 40.7325, 40.7325) * CHOOSE(CONTROL!$C$21, $C$9, 100%, $E$9)</f>
        <v>40.732500000000002</v>
      </c>
      <c r="L779" s="10">
        <f>CHOOSE(CONTROL!$C$42, 41.4174, 41.4174) * CHOOSE(CONTROL!$C$21, $C$9, 100%, $E$9)</f>
        <v>41.417400000000001</v>
      </c>
      <c r="M779" s="10">
        <f>CHOOSE(CONTROL!$C$42, 40.3354, 40.3354) * CHOOSE(CONTROL!$C$21, $C$9, 100%, $E$9)</f>
        <v>40.3354</v>
      </c>
      <c r="N779" s="10">
        <f>CHOOSE(CONTROL!$C$42, 40.3523, 40.3523) * CHOOSE(CONTROL!$C$21, $C$9, 100%, $E$9)</f>
        <v>40.3523</v>
      </c>
      <c r="O779" s="10">
        <f>CHOOSE(CONTROL!$C$42, 40.4321, 40.4321) * CHOOSE(CONTROL!$C$21, $C$9, 100%, $E$9)</f>
        <v>40.432099999999998</v>
      </c>
      <c r="P779" s="10">
        <f>CHOOSE(CONTROL!$C$42, 40.3392, 40.3392) * CHOOSE(CONTROL!$C$21, $C$9, 100%, $E$9)</f>
        <v>40.339199999999998</v>
      </c>
      <c r="Q779" s="10">
        <f>CHOOSE(CONTROL!$C$42, 41.0274, 41.0274) * CHOOSE(CONTROL!$C$21, $C$9, 100%, $E$9)</f>
        <v>41.0274</v>
      </c>
      <c r="R779" s="10">
        <f>CHOOSE(CONTROL!$C$42, 41.717, 41.717) * CHOOSE(CONTROL!$C$21, $C$9, 100%, $E$9)</f>
        <v>41.716999999999999</v>
      </c>
      <c r="S779" s="10">
        <f>CHOOSE(CONTROL!$C$42, 39.5924, 39.5924) * CHOOSE(CONTROL!$C$21, $C$9, 100%, $E$9)</f>
        <v>39.592399999999998</v>
      </c>
      <c r="T779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779" s="58">
        <f>(1000*CHOOSE(CONTROL!$C$42, 695, 695)*CHOOSE(CONTROL!$C$42, 0.5599, 0.5599)*CHOOSE(CONTROL!$C$42, 30, 30))/1000000</f>
        <v>11.673914999999997</v>
      </c>
      <c r="V779" s="58">
        <f>(1000*CHOOSE(CONTROL!$C$42, 500, 500)*CHOOSE(CONTROL!$C$42, 0.275, 0.275)*CHOOSE(CONTROL!$C$42, 30, 30))/1000000</f>
        <v>4.125</v>
      </c>
      <c r="W779" s="58">
        <f>(1000*CHOOSE(CONTROL!$C$42, 0.1146, 0.1146)*CHOOSE(CONTROL!$C$42, 121.5, 121.5)*CHOOSE(CONTROL!$C$42, 30, 30))/1000000</f>
        <v>0.417717</v>
      </c>
      <c r="X779" s="58">
        <f>(30*0.1790888*100000/1000000)+(30*0.2374*100000/1000000)</f>
        <v>1.2494664</v>
      </c>
      <c r="Y779" s="58"/>
      <c r="Z779" s="10"/>
      <c r="AA779" s="57"/>
      <c r="AB779" s="51">
        <f>(B779*122.58+C779*297.941+D779*89.177+E779*40.302+F779*40+G779*160+H779*0+I779*100+J779*300)/(122.58+297.941+89.177+40.302+0+40+160+100+300)</f>
        <v>40.762128596521741</v>
      </c>
      <c r="AC779" s="27">
        <f>(M779*'RAP TEMPLATE-GAS AVAILABILITY'!O778+N779*'RAP TEMPLATE-GAS AVAILABILITY'!P778+O779*'RAP TEMPLATE-GAS AVAILABILITY'!Q778+P779*'RAP TEMPLATE-GAS AVAILABILITY'!R778)/('RAP TEMPLATE-GAS AVAILABILITY'!O778+'RAP TEMPLATE-GAS AVAILABILITY'!P778+'RAP TEMPLATE-GAS AVAILABILITY'!Q778+'RAP TEMPLATE-GAS AVAILABILITY'!R778)</f>
        <v>40.380747482014385</v>
      </c>
    </row>
    <row r="780" spans="1:29" ht="15.75" x14ac:dyDescent="0.25">
      <c r="A780" s="13">
        <v>64650</v>
      </c>
      <c r="B780" s="10">
        <f>CHOOSE(CONTROL!$C$42, 43.5525, 43.5525) * CHOOSE(CONTROL!$C$21, $C$9, 100%, $E$9)</f>
        <v>43.552500000000002</v>
      </c>
      <c r="C780" s="10">
        <f>CHOOSE(CONTROL!$C$42, 43.5574, 43.5574) * CHOOSE(CONTROL!$C$21, $C$9, 100%, $E$9)</f>
        <v>43.557400000000001</v>
      </c>
      <c r="D780" s="10">
        <f>CHOOSE(CONTROL!$C$42, 43.5871, 43.5871) * CHOOSE(CONTROL!$C$21, $C$9, 100%, $E$9)</f>
        <v>43.5871</v>
      </c>
      <c r="E780" s="10">
        <f>CHOOSE(CONTROL!$C$42, 43.6208, 43.6208) * CHOOSE(CONTROL!$C$21, $C$9, 100%, $E$9)</f>
        <v>43.620800000000003</v>
      </c>
      <c r="F780" s="10">
        <f>CHOOSE(CONTROL!$C$42, 43.5207, 43.5207)*CHOOSE(CONTROL!$C$21, $C$9, 100%, $E$9)</f>
        <v>43.520699999999998</v>
      </c>
      <c r="G780" s="10">
        <f>CHOOSE(CONTROL!$C$42, 43.5382, 43.5382)*CHOOSE(CONTROL!$C$21, $C$9, 100%, $E$9)</f>
        <v>43.538200000000003</v>
      </c>
      <c r="H780" s="10">
        <f>CHOOSE(CONTROL!$C$42, 43.61, 43.61) * CHOOSE(CONTROL!$C$21, $C$9, 100%, $E$9)</f>
        <v>43.61</v>
      </c>
      <c r="I780" s="10">
        <f>CHOOSE(CONTROL!$C$42, 43.5161, 43.5161)* CHOOSE(CONTROL!$C$21, $C$9, 100%, $E$9)</f>
        <v>43.516100000000002</v>
      </c>
      <c r="J780" s="10">
        <f>CHOOSE(CONTROL!$C$42, 43.5137, 43.5137)* CHOOSE(CONTROL!$C$21, $C$9, 100%, $E$9)</f>
        <v>43.5137</v>
      </c>
      <c r="K780" s="54">
        <f>CHOOSE(CONTROL!$C$42, 43.5122, 43.5122) * CHOOSE(CONTROL!$C$21, $C$9, 100%, $E$9)</f>
        <v>43.5122</v>
      </c>
      <c r="L780" s="10">
        <f>CHOOSE(CONTROL!$C$42, 44.197, 44.197) * CHOOSE(CONTROL!$C$21, $C$9, 100%, $E$9)</f>
        <v>44.197000000000003</v>
      </c>
      <c r="M780" s="10">
        <f>CHOOSE(CONTROL!$C$42, 43.0884, 43.0884) * CHOOSE(CONTROL!$C$21, $C$9, 100%, $E$9)</f>
        <v>43.0884</v>
      </c>
      <c r="N780" s="10">
        <f>CHOOSE(CONTROL!$C$42, 43.1057, 43.1057) * CHOOSE(CONTROL!$C$21, $C$9, 100%, $E$9)</f>
        <v>43.105699999999999</v>
      </c>
      <c r="O780" s="10">
        <f>CHOOSE(CONTROL!$C$42, 43.1838, 43.1838) * CHOOSE(CONTROL!$C$21, $C$9, 100%, $E$9)</f>
        <v>43.183799999999998</v>
      </c>
      <c r="P780" s="10">
        <f>CHOOSE(CONTROL!$C$42, 43.0908, 43.0908) * CHOOSE(CONTROL!$C$21, $C$9, 100%, $E$9)</f>
        <v>43.090800000000002</v>
      </c>
      <c r="Q780" s="10">
        <f>CHOOSE(CONTROL!$C$42, 43.7791, 43.7791) * CHOOSE(CONTROL!$C$21, $C$9, 100%, $E$9)</f>
        <v>43.7791</v>
      </c>
      <c r="R780" s="10">
        <f>CHOOSE(CONTROL!$C$42, 44.4755, 44.4755) * CHOOSE(CONTROL!$C$21, $C$9, 100%, $E$9)</f>
        <v>44.475499999999997</v>
      </c>
      <c r="S780" s="10">
        <f>CHOOSE(CONTROL!$C$42, 42.2917, 42.2917) * CHOOSE(CONTROL!$C$21, $C$9, 100%, $E$9)</f>
        <v>42.291699999999999</v>
      </c>
      <c r="T780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780" s="58">
        <f>(1000*CHOOSE(CONTROL!$C$42, 695, 695)*CHOOSE(CONTROL!$C$42, 0.5599, 0.5599)*CHOOSE(CONTROL!$C$42, 31, 31))/1000000</f>
        <v>12.063045499999998</v>
      </c>
      <c r="V780" s="58">
        <f>(1000*CHOOSE(CONTROL!$C$42, 500, 500)*CHOOSE(CONTROL!$C$42, 0.275, 0.275)*CHOOSE(CONTROL!$C$42, 31, 31))/1000000</f>
        <v>4.2625000000000002</v>
      </c>
      <c r="W780" s="58">
        <f>(1000*CHOOSE(CONTROL!$C$42, 0.1146, 0.1146)*CHOOSE(CONTROL!$C$42, 121.5, 121.5)*CHOOSE(CONTROL!$C$42, 31, 31))/1000000</f>
        <v>0.43164089999999994</v>
      </c>
      <c r="X780" s="58">
        <f>(31*0.1790888*100000/1000000)+(31*0.2374*100000/1000000)</f>
        <v>1.2911152800000001</v>
      </c>
      <c r="Y780" s="58"/>
      <c r="Z780" s="10"/>
      <c r="AA780" s="57"/>
      <c r="AB780" s="51">
        <f>(B780*122.58+C780*297.941+D780*89.177+E780*40.302+F780*40+G780*160+H780*0+I780*100+J780*300)/(122.58+297.941+89.177+40.302+0+40+160+100+300)</f>
        <v>43.542463531913043</v>
      </c>
      <c r="AC780" s="27">
        <f>(M780*'RAP TEMPLATE-GAS AVAILABILITY'!O779+N780*'RAP TEMPLATE-GAS AVAILABILITY'!P779+O780*'RAP TEMPLATE-GAS AVAILABILITY'!Q779+P780*'RAP TEMPLATE-GAS AVAILABILITY'!R779)/('RAP TEMPLATE-GAS AVAILABILITY'!O779+'RAP TEMPLATE-GAS AVAILABILITY'!P779+'RAP TEMPLATE-GAS AVAILABILITY'!Q779+'RAP TEMPLATE-GAS AVAILABILITY'!R779)</f>
        <v>43.132979856115114</v>
      </c>
    </row>
    <row r="781" spans="1:29" ht="15.75" x14ac:dyDescent="0.25">
      <c r="A781" s="13">
        <v>64681</v>
      </c>
      <c r="B781" s="10">
        <f>CHOOSE(CONTROL!$C$42, 47.1208, 47.1208) * CHOOSE(CONTROL!$C$21, $C$9, 100%, $E$9)</f>
        <v>47.120800000000003</v>
      </c>
      <c r="C781" s="10">
        <f>CHOOSE(CONTROL!$C$42, 47.1258, 47.1258) * CHOOSE(CONTROL!$C$21, $C$9, 100%, $E$9)</f>
        <v>47.125799999999998</v>
      </c>
      <c r="D781" s="10">
        <f>CHOOSE(CONTROL!$C$42, 47.176, 47.176) * CHOOSE(CONTROL!$C$21, $C$9, 100%, $E$9)</f>
        <v>47.176000000000002</v>
      </c>
      <c r="E781" s="10">
        <f>CHOOSE(CONTROL!$C$42, 47.2097, 47.2097) * CHOOSE(CONTROL!$C$21, $C$9, 100%, $E$9)</f>
        <v>47.209699999999998</v>
      </c>
      <c r="F781" s="10">
        <f>CHOOSE(CONTROL!$C$42, 47.0862, 47.0862)*CHOOSE(CONTROL!$C$21, $C$9, 100%, $E$9)</f>
        <v>47.086199999999998</v>
      </c>
      <c r="G781" s="10">
        <f>CHOOSE(CONTROL!$C$42, 47.1037, 47.1037)*CHOOSE(CONTROL!$C$21, $C$9, 100%, $E$9)</f>
        <v>47.103700000000003</v>
      </c>
      <c r="H781" s="10">
        <f>CHOOSE(CONTROL!$C$42, 47.1989, 47.1989) * CHOOSE(CONTROL!$C$21, $C$9, 100%, $E$9)</f>
        <v>47.198900000000002</v>
      </c>
      <c r="I781" s="10">
        <f>CHOOSE(CONTROL!$C$42, 47.0947, 47.0947)* CHOOSE(CONTROL!$C$21, $C$9, 100%, $E$9)</f>
        <v>47.094700000000003</v>
      </c>
      <c r="J781" s="10">
        <f>CHOOSE(CONTROL!$C$42, 47.0792, 47.0792)* CHOOSE(CONTROL!$C$21, $C$9, 100%, $E$9)</f>
        <v>47.0792</v>
      </c>
      <c r="K781" s="54">
        <f>CHOOSE(CONTROL!$C$42, 47.0908, 47.0908) * CHOOSE(CONTROL!$C$21, $C$9, 100%, $E$9)</f>
        <v>47.090800000000002</v>
      </c>
      <c r="L781" s="10">
        <f>CHOOSE(CONTROL!$C$42, 47.7859, 47.7859) * CHOOSE(CONTROL!$C$21, $C$9, 100%, $E$9)</f>
        <v>47.785899999999998</v>
      </c>
      <c r="M781" s="10">
        <f>CHOOSE(CONTROL!$C$42, 46.6179, 46.6179) * CHOOSE(CONTROL!$C$21, $C$9, 100%, $E$9)</f>
        <v>46.617899999999999</v>
      </c>
      <c r="N781" s="10">
        <f>CHOOSE(CONTROL!$C$42, 46.6353, 46.6353) * CHOOSE(CONTROL!$C$21, $C$9, 100%, $E$9)</f>
        <v>46.635300000000001</v>
      </c>
      <c r="O781" s="10">
        <f>CHOOSE(CONTROL!$C$42, 46.7364, 46.7364) * CHOOSE(CONTROL!$C$21, $C$9, 100%, $E$9)</f>
        <v>46.736400000000003</v>
      </c>
      <c r="P781" s="10">
        <f>CHOOSE(CONTROL!$C$42, 46.6333, 46.6333) * CHOOSE(CONTROL!$C$21, $C$9, 100%, $E$9)</f>
        <v>46.633299999999998</v>
      </c>
      <c r="Q781" s="10">
        <f>CHOOSE(CONTROL!$C$42, 47.3317, 47.3317) * CHOOSE(CONTROL!$C$21, $C$9, 100%, $E$9)</f>
        <v>47.331699999999998</v>
      </c>
      <c r="R781" s="10">
        <f>CHOOSE(CONTROL!$C$42, 48.0371, 48.0371) * CHOOSE(CONTROL!$C$21, $C$9, 100%, $E$9)</f>
        <v>48.037100000000002</v>
      </c>
      <c r="S781" s="10">
        <f>CHOOSE(CONTROL!$C$42, 45.7569, 45.7569) * CHOOSE(CONTROL!$C$21, $C$9, 100%, $E$9)</f>
        <v>45.756900000000002</v>
      </c>
      <c r="T781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781" s="58">
        <f>(1000*CHOOSE(CONTROL!$C$42, 695, 695)*CHOOSE(CONTROL!$C$42, 0.5599, 0.5599)*CHOOSE(CONTROL!$C$42, 31, 31))/1000000</f>
        <v>12.063045499999998</v>
      </c>
      <c r="V781" s="58">
        <f>(1000*CHOOSE(CONTROL!$C$42, 500, 500)*CHOOSE(CONTROL!$C$42, 0.275, 0.275)*CHOOSE(CONTROL!$C$42, 31, 31))/1000000</f>
        <v>4.2625000000000002</v>
      </c>
      <c r="W781" s="58">
        <f>(1000*CHOOSE(CONTROL!$C$42, 0.1146, 0.1146)*CHOOSE(CONTROL!$C$42, 121.5, 121.5)*CHOOSE(CONTROL!$C$42, 31, 31))/1000000</f>
        <v>0.43164089999999994</v>
      </c>
      <c r="X781" s="58">
        <f>(31*0.1790888*100000/1000000)+(31*0.2374*100000/1000000)</f>
        <v>1.2911152800000001</v>
      </c>
      <c r="Y781" s="58"/>
      <c r="Z781" s="10"/>
      <c r="AA781" s="57"/>
      <c r="AB781" s="51">
        <f>(B781*122.58+C781*297.941+D781*89.177+E781*40.302+F781*40+G781*160+H781*0+I781*100+J781*300)/(122.58+297.941+89.177+40.302+0+40+160+100+300)</f>
        <v>47.112787063652178</v>
      </c>
      <c r="AC781" s="27">
        <f>(M781*'RAP TEMPLATE-GAS AVAILABILITY'!O780+N781*'RAP TEMPLATE-GAS AVAILABILITY'!P780+O781*'RAP TEMPLATE-GAS AVAILABILITY'!Q780+P781*'RAP TEMPLATE-GAS AVAILABILITY'!R780)/('RAP TEMPLATE-GAS AVAILABILITY'!O780+'RAP TEMPLATE-GAS AVAILABILITY'!P780+'RAP TEMPLATE-GAS AVAILABILITY'!Q780+'RAP TEMPLATE-GAS AVAILABILITY'!R780)</f>
        <v>46.674825899280577</v>
      </c>
    </row>
    <row r="782" spans="1:29" ht="15.75" x14ac:dyDescent="0.25">
      <c r="A782" s="13">
        <v>64709</v>
      </c>
      <c r="B782" s="10">
        <f>CHOOSE(CONTROL!$C$42, 47.9596, 47.9596) * CHOOSE(CONTROL!$C$21, $C$9, 100%, $E$9)</f>
        <v>47.959600000000002</v>
      </c>
      <c r="C782" s="10">
        <f>CHOOSE(CONTROL!$C$42, 47.9645, 47.9645) * CHOOSE(CONTROL!$C$21, $C$9, 100%, $E$9)</f>
        <v>47.964500000000001</v>
      </c>
      <c r="D782" s="10">
        <f>CHOOSE(CONTROL!$C$42, 48.025, 48.025) * CHOOSE(CONTROL!$C$21, $C$9, 100%, $E$9)</f>
        <v>48.024999999999999</v>
      </c>
      <c r="E782" s="10">
        <f>CHOOSE(CONTROL!$C$42, 48.0588, 48.0588) * CHOOSE(CONTROL!$C$21, $C$9, 100%, $E$9)</f>
        <v>48.058799999999998</v>
      </c>
      <c r="F782" s="10">
        <f>CHOOSE(CONTROL!$C$42, 47.9528, 47.9528)*CHOOSE(CONTROL!$C$21, $C$9, 100%, $E$9)</f>
        <v>47.952800000000003</v>
      </c>
      <c r="G782" s="10">
        <f>CHOOSE(CONTROL!$C$42, 47.9701, 47.9701)*CHOOSE(CONTROL!$C$21, $C$9, 100%, $E$9)</f>
        <v>47.970100000000002</v>
      </c>
      <c r="H782" s="10">
        <f>CHOOSE(CONTROL!$C$42, 48.048, 48.048) * CHOOSE(CONTROL!$C$21, $C$9, 100%, $E$9)</f>
        <v>48.048000000000002</v>
      </c>
      <c r="I782" s="10">
        <f>CHOOSE(CONTROL!$C$42, 47.9463, 47.9463)* CHOOSE(CONTROL!$C$21, $C$9, 100%, $E$9)</f>
        <v>47.946300000000001</v>
      </c>
      <c r="J782" s="10">
        <f>CHOOSE(CONTROL!$C$42, 47.9458, 47.9458)* CHOOSE(CONTROL!$C$21, $C$9, 100%, $E$9)</f>
        <v>47.945799999999998</v>
      </c>
      <c r="K782" s="54">
        <f>CHOOSE(CONTROL!$C$42, 47.9424, 47.9424) * CHOOSE(CONTROL!$C$21, $C$9, 100%, $E$9)</f>
        <v>47.942399999999999</v>
      </c>
      <c r="L782" s="10">
        <f>CHOOSE(CONTROL!$C$42, 48.635, 48.635) * CHOOSE(CONTROL!$C$21, $C$9, 100%, $E$9)</f>
        <v>48.634999999999998</v>
      </c>
      <c r="M782" s="10">
        <f>CHOOSE(CONTROL!$C$42, 47.4758, 47.4758) * CHOOSE(CONTROL!$C$21, $C$9, 100%, $E$9)</f>
        <v>47.4758</v>
      </c>
      <c r="N782" s="10">
        <f>CHOOSE(CONTROL!$C$42, 47.4929, 47.4929) * CHOOSE(CONTROL!$C$21, $C$9, 100%, $E$9)</f>
        <v>47.492899999999999</v>
      </c>
      <c r="O782" s="10">
        <f>CHOOSE(CONTROL!$C$42, 47.5769, 47.5769) * CHOOSE(CONTROL!$C$21, $C$9, 100%, $E$9)</f>
        <v>47.576900000000002</v>
      </c>
      <c r="P782" s="10">
        <f>CHOOSE(CONTROL!$C$42, 47.4763, 47.4763) * CHOOSE(CONTROL!$C$21, $C$9, 100%, $E$9)</f>
        <v>47.476300000000002</v>
      </c>
      <c r="Q782" s="10">
        <f>CHOOSE(CONTROL!$C$42, 48.1722, 48.1722) * CHOOSE(CONTROL!$C$21, $C$9, 100%, $E$9)</f>
        <v>48.172199999999997</v>
      </c>
      <c r="R782" s="10">
        <f>CHOOSE(CONTROL!$C$42, 48.8797, 48.8797) * CHOOSE(CONTROL!$C$21, $C$9, 100%, $E$9)</f>
        <v>48.8797</v>
      </c>
      <c r="S782" s="10">
        <f>CHOOSE(CONTROL!$C$42, 46.5714, 46.5714) * CHOOSE(CONTROL!$C$21, $C$9, 100%, $E$9)</f>
        <v>46.571399999999997</v>
      </c>
      <c r="T782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782" s="58">
        <f>(1000*CHOOSE(CONTROL!$C$42, 695, 695)*CHOOSE(CONTROL!$C$42, 0.5599, 0.5599)*CHOOSE(CONTROL!$C$42, 28, 28))/1000000</f>
        <v>10.895653999999999</v>
      </c>
      <c r="V782" s="58">
        <f>(1000*CHOOSE(CONTROL!$C$42, 500, 500)*CHOOSE(CONTROL!$C$42, 0.275, 0.275)*CHOOSE(CONTROL!$C$42, 28, 28))/1000000</f>
        <v>3.85</v>
      </c>
      <c r="W782" s="58">
        <f>(1000*CHOOSE(CONTROL!$C$42, 0.1146, 0.1146)*CHOOSE(CONTROL!$C$42, 121.5, 121.5)*CHOOSE(CONTROL!$C$42, 28, 28))/1000000</f>
        <v>0.38986920000000003</v>
      </c>
      <c r="X782" s="58">
        <f>(28*0.1790888*100000/1000000)+(28*0.2374*100000/1000000)</f>
        <v>1.16616864</v>
      </c>
      <c r="Y782" s="58"/>
      <c r="Z782" s="10"/>
      <c r="AA782" s="57"/>
      <c r="AB782" s="51">
        <f>(B782*122.58+C782*297.941+D782*89.177+E782*40.302+F782*40+G782*160+H782*0+I782*100+J782*300)/(122.58+297.941+89.177+40.302+0+40+160+100+300)</f>
        <v>47.965885256608694</v>
      </c>
      <c r="AC782" s="27">
        <f>(M782*'RAP TEMPLATE-GAS AVAILABILITY'!O781+N782*'RAP TEMPLATE-GAS AVAILABILITY'!P781+O782*'RAP TEMPLATE-GAS AVAILABILITY'!Q781+P782*'RAP TEMPLATE-GAS AVAILABILITY'!R781)/('RAP TEMPLATE-GAS AVAILABILITY'!O781+'RAP TEMPLATE-GAS AVAILABILITY'!P781+'RAP TEMPLATE-GAS AVAILABILITY'!Q781+'RAP TEMPLATE-GAS AVAILABILITY'!R781)</f>
        <v>47.522678417266185</v>
      </c>
    </row>
    <row r="783" spans="1:29" ht="15.75" x14ac:dyDescent="0.25">
      <c r="A783" s="13">
        <v>64740</v>
      </c>
      <c r="B783" s="10">
        <f>CHOOSE(CONTROL!$C$42, 46.598, 46.598) * CHOOSE(CONTROL!$C$21, $C$9, 100%, $E$9)</f>
        <v>46.597999999999999</v>
      </c>
      <c r="C783" s="10">
        <f>CHOOSE(CONTROL!$C$42, 46.603, 46.603) * CHOOSE(CONTROL!$C$21, $C$9, 100%, $E$9)</f>
        <v>46.603000000000002</v>
      </c>
      <c r="D783" s="10">
        <f>CHOOSE(CONTROL!$C$42, 46.6635, 46.6635) * CHOOSE(CONTROL!$C$21, $C$9, 100%, $E$9)</f>
        <v>46.663499999999999</v>
      </c>
      <c r="E783" s="10">
        <f>CHOOSE(CONTROL!$C$42, 46.6973, 46.6973) * CHOOSE(CONTROL!$C$21, $C$9, 100%, $E$9)</f>
        <v>46.697299999999998</v>
      </c>
      <c r="F783" s="10">
        <f>CHOOSE(CONTROL!$C$42, 46.5858, 46.5858)*CHOOSE(CONTROL!$C$21, $C$9, 100%, $E$9)</f>
        <v>46.585799999999999</v>
      </c>
      <c r="G783" s="10">
        <f>CHOOSE(CONTROL!$C$42, 46.603, 46.603)*CHOOSE(CONTROL!$C$21, $C$9, 100%, $E$9)</f>
        <v>46.603000000000002</v>
      </c>
      <c r="H783" s="10">
        <f>CHOOSE(CONTROL!$C$42, 46.6865, 46.6865) * CHOOSE(CONTROL!$C$21, $C$9, 100%, $E$9)</f>
        <v>46.686500000000002</v>
      </c>
      <c r="I783" s="10">
        <f>CHOOSE(CONTROL!$C$42, 46.5719, 46.5719)* CHOOSE(CONTROL!$C$21, $C$9, 100%, $E$9)</f>
        <v>46.571899999999999</v>
      </c>
      <c r="J783" s="10">
        <f>CHOOSE(CONTROL!$C$42, 46.5788, 46.5788)* CHOOSE(CONTROL!$C$21, $C$9, 100%, $E$9)</f>
        <v>46.578800000000001</v>
      </c>
      <c r="K783" s="54">
        <f>CHOOSE(CONTROL!$C$42, 46.5681, 46.5681) * CHOOSE(CONTROL!$C$21, $C$9, 100%, $E$9)</f>
        <v>46.568100000000001</v>
      </c>
      <c r="L783" s="10">
        <f>CHOOSE(CONTROL!$C$42, 47.2735, 47.2735) * CHOOSE(CONTROL!$C$21, $C$9, 100%, $E$9)</f>
        <v>47.273499999999999</v>
      </c>
      <c r="M783" s="10">
        <f>CHOOSE(CONTROL!$C$42, 46.1225, 46.1225) * CHOOSE(CONTROL!$C$21, $C$9, 100%, $E$9)</f>
        <v>46.122500000000002</v>
      </c>
      <c r="N783" s="10">
        <f>CHOOSE(CONTROL!$C$42, 46.1396, 46.1396) * CHOOSE(CONTROL!$C$21, $C$9, 100%, $E$9)</f>
        <v>46.139600000000002</v>
      </c>
      <c r="O783" s="10">
        <f>CHOOSE(CONTROL!$C$42, 46.2292, 46.2292) * CHOOSE(CONTROL!$C$21, $C$9, 100%, $E$9)</f>
        <v>46.229199999999999</v>
      </c>
      <c r="P783" s="10">
        <f>CHOOSE(CONTROL!$C$42, 46.1158, 46.1158) * CHOOSE(CONTROL!$C$21, $C$9, 100%, $E$9)</f>
        <v>46.1158</v>
      </c>
      <c r="Q783" s="10">
        <f>CHOOSE(CONTROL!$C$42, 46.8245, 46.8245) * CHOOSE(CONTROL!$C$21, $C$9, 100%, $E$9)</f>
        <v>46.8245</v>
      </c>
      <c r="R783" s="10">
        <f>CHOOSE(CONTROL!$C$42, 47.5285, 47.5285) * CHOOSE(CONTROL!$C$21, $C$9, 100%, $E$9)</f>
        <v>47.528500000000001</v>
      </c>
      <c r="S783" s="10">
        <f>CHOOSE(CONTROL!$C$42, 45.2492, 45.2492) * CHOOSE(CONTROL!$C$21, $C$9, 100%, $E$9)</f>
        <v>45.249200000000002</v>
      </c>
      <c r="T783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783" s="58">
        <f>(1000*CHOOSE(CONTROL!$C$42, 695, 695)*CHOOSE(CONTROL!$C$42, 0.5599, 0.5599)*CHOOSE(CONTROL!$C$42, 31, 31))/1000000</f>
        <v>12.063045499999998</v>
      </c>
      <c r="V783" s="58">
        <f>(1000*CHOOSE(CONTROL!$C$42, 500, 500)*CHOOSE(CONTROL!$C$42, 0.275, 0.275)*CHOOSE(CONTROL!$C$42, 31, 31))/1000000</f>
        <v>4.2625000000000002</v>
      </c>
      <c r="W783" s="58">
        <f>(1000*CHOOSE(CONTROL!$C$42, 0.1146, 0.1146)*CHOOSE(CONTROL!$C$42, 121.5, 121.5)*CHOOSE(CONTROL!$C$42, 31, 31))/1000000</f>
        <v>0.43164089999999994</v>
      </c>
      <c r="X783" s="58">
        <f>(31*0.1790888*100000/1000000)+(31*0.2374*100000/1000000)</f>
        <v>1.2911152800000001</v>
      </c>
      <c r="Y783" s="58"/>
      <c r="Z783" s="10"/>
      <c r="AA783" s="57"/>
      <c r="AB783" s="51">
        <f>(B783*122.58+C783*297.941+D783*89.177+E783*40.302+F783*40+G783*160+H783*0+I783*100+J783*300)/(122.58+297.941+89.177+40.302+0+40+160+100+300)</f>
        <v>46.600847640956523</v>
      </c>
      <c r="AC783" s="27">
        <f>(M783*'RAP TEMPLATE-GAS AVAILABILITY'!O782+N783*'RAP TEMPLATE-GAS AVAILABILITY'!P782+O783*'RAP TEMPLATE-GAS AVAILABILITY'!Q782+P783*'RAP TEMPLATE-GAS AVAILABILITY'!R782)/('RAP TEMPLATE-GAS AVAILABILITY'!O782+'RAP TEMPLATE-GAS AVAILABILITY'!P782+'RAP TEMPLATE-GAS AVAILABILITY'!Q782+'RAP TEMPLATE-GAS AVAILABILITY'!R782)</f>
        <v>46.17088057553957</v>
      </c>
    </row>
    <row r="784" spans="1:29" ht="15.75" x14ac:dyDescent="0.25">
      <c r="A784" s="13">
        <v>64770</v>
      </c>
      <c r="B784" s="10">
        <f>CHOOSE(CONTROL!$C$42, 46.4597, 46.4597) * CHOOSE(CONTROL!$C$21, $C$9, 100%, $E$9)</f>
        <v>46.459699999999998</v>
      </c>
      <c r="C784" s="10">
        <f>CHOOSE(CONTROL!$C$42, 46.4641, 46.4641) * CHOOSE(CONTROL!$C$21, $C$9, 100%, $E$9)</f>
        <v>46.464100000000002</v>
      </c>
      <c r="D784" s="10">
        <f>CHOOSE(CONTROL!$C$42, 46.6597, 46.6597) * CHOOSE(CONTROL!$C$21, $C$9, 100%, $E$9)</f>
        <v>46.659700000000001</v>
      </c>
      <c r="E784" s="10">
        <f>CHOOSE(CONTROL!$C$42, 46.6914, 46.6914) * CHOOSE(CONTROL!$C$21, $C$9, 100%, $E$9)</f>
        <v>46.691400000000002</v>
      </c>
      <c r="F784" s="10">
        <f>CHOOSE(CONTROL!$C$42, 46.4275, 46.4275)*CHOOSE(CONTROL!$C$21, $C$9, 100%, $E$9)</f>
        <v>46.427500000000002</v>
      </c>
      <c r="G784" s="10">
        <f>CHOOSE(CONTROL!$C$42, 46.4443, 46.4443)*CHOOSE(CONTROL!$C$21, $C$9, 100%, $E$9)</f>
        <v>46.444299999999998</v>
      </c>
      <c r="H784" s="10">
        <f>CHOOSE(CONTROL!$C$42, 46.6812, 46.6812) * CHOOSE(CONTROL!$C$21, $C$9, 100%, $E$9)</f>
        <v>46.681199999999997</v>
      </c>
      <c r="I784" s="10">
        <f>CHOOSE(CONTROL!$C$42, 46.4277, 46.4277)* CHOOSE(CONTROL!$C$21, $C$9, 100%, $E$9)</f>
        <v>46.427700000000002</v>
      </c>
      <c r="J784" s="10">
        <f>CHOOSE(CONTROL!$C$42, 46.4205, 46.4205)* CHOOSE(CONTROL!$C$21, $C$9, 100%, $E$9)</f>
        <v>46.420499999999997</v>
      </c>
      <c r="K784" s="54">
        <f>CHOOSE(CONTROL!$C$42, 46.4238, 46.4238) * CHOOSE(CONTROL!$C$21, $C$9, 100%, $E$9)</f>
        <v>46.4238</v>
      </c>
      <c r="L784" s="10">
        <f>CHOOSE(CONTROL!$C$42, 47.2682, 47.2682) * CHOOSE(CONTROL!$C$21, $C$9, 100%, $E$9)</f>
        <v>47.2682</v>
      </c>
      <c r="M784" s="10">
        <f>CHOOSE(CONTROL!$C$42, 45.9659, 45.9659) * CHOOSE(CONTROL!$C$21, $C$9, 100%, $E$9)</f>
        <v>45.965899999999998</v>
      </c>
      <c r="N784" s="10">
        <f>CHOOSE(CONTROL!$C$42, 45.9825, 45.9825) * CHOOSE(CONTROL!$C$21, $C$9, 100%, $E$9)</f>
        <v>45.982500000000002</v>
      </c>
      <c r="O784" s="10">
        <f>CHOOSE(CONTROL!$C$42, 46.224, 46.224) * CHOOSE(CONTROL!$C$21, $C$9, 100%, $E$9)</f>
        <v>46.223999999999997</v>
      </c>
      <c r="P784" s="10">
        <f>CHOOSE(CONTROL!$C$42, 45.973, 45.973) * CHOOSE(CONTROL!$C$21, $C$9, 100%, $E$9)</f>
        <v>45.972999999999999</v>
      </c>
      <c r="Q784" s="10">
        <f>CHOOSE(CONTROL!$C$42, 46.8193, 46.8193) * CHOOSE(CONTROL!$C$21, $C$9, 100%, $E$9)</f>
        <v>46.819299999999998</v>
      </c>
      <c r="R784" s="10">
        <f>CHOOSE(CONTROL!$C$42, 47.5233, 47.5233) * CHOOSE(CONTROL!$C$21, $C$9, 100%, $E$9)</f>
        <v>47.523299999999999</v>
      </c>
      <c r="S784" s="10">
        <f>CHOOSE(CONTROL!$C$42, 45.1141, 45.1141) * CHOOSE(CONTROL!$C$21, $C$9, 100%, $E$9)</f>
        <v>45.114100000000001</v>
      </c>
      <c r="T784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784" s="58">
        <f>(1000*CHOOSE(CONTROL!$C$42, 695, 695)*CHOOSE(CONTROL!$C$42, 0.5599, 0.5599)*CHOOSE(CONTROL!$C$42, 30, 30))/1000000</f>
        <v>11.673914999999997</v>
      </c>
      <c r="V784" s="58">
        <f>(1000*CHOOSE(CONTROL!$C$42, 500, 500)*CHOOSE(CONTROL!$C$42, 0.275, 0.275)*CHOOSE(CONTROL!$C$42, 30, 30))/1000000</f>
        <v>4.125</v>
      </c>
      <c r="W784" s="58">
        <f>(1000*CHOOSE(CONTROL!$C$42, 0.1146, 0.1146)*CHOOSE(CONTROL!$C$42, 121.5, 121.5)*CHOOSE(CONTROL!$C$42, 30, 30))/1000000</f>
        <v>0.417717</v>
      </c>
      <c r="X784" s="58">
        <f>(30*0.1790888*245000/1000000)+(30*0.2374*100000/1000000)</f>
        <v>2.0285026799999999</v>
      </c>
      <c r="Y784" s="58"/>
      <c r="Z784" s="10"/>
      <c r="AA784" s="57"/>
      <c r="AB784" s="51">
        <f>(B784*141.293+C784*267.993+D784*115.016+E784*89.698+F784*40+G784*185+H784*0+I784*100+J784*300)/(141.293+267.993+115.016+89.698+0+40+185+100+300)</f>
        <v>46.480578446973361</v>
      </c>
      <c r="AC784" s="27">
        <f>(M784*'RAP TEMPLATE-GAS AVAILABILITY'!O783+N784*'RAP TEMPLATE-GAS AVAILABILITY'!P783+O784*'RAP TEMPLATE-GAS AVAILABILITY'!Q783+P784*'RAP TEMPLATE-GAS AVAILABILITY'!R783)/('RAP TEMPLATE-GAS AVAILABILITY'!O783+'RAP TEMPLATE-GAS AVAILABILITY'!P783+'RAP TEMPLATE-GAS AVAILABILITY'!Q783+'RAP TEMPLATE-GAS AVAILABILITY'!R783)</f>
        <v>46.08485755395683</v>
      </c>
    </row>
    <row r="785" spans="1:29" ht="15.75" x14ac:dyDescent="0.25">
      <c r="A785" s="13">
        <v>64801</v>
      </c>
      <c r="B785" s="10">
        <f>CHOOSE(CONTROL!$C$42, 46.8711, 46.8711) * CHOOSE(CONTROL!$C$21, $C$9, 100%, $E$9)</f>
        <v>46.871099999999998</v>
      </c>
      <c r="C785" s="10">
        <f>CHOOSE(CONTROL!$C$42, 46.879, 46.879) * CHOOSE(CONTROL!$C$21, $C$9, 100%, $E$9)</f>
        <v>46.878999999999998</v>
      </c>
      <c r="D785" s="10">
        <f>CHOOSE(CONTROL!$C$42, 47.0715, 47.0715) * CHOOSE(CONTROL!$C$21, $C$9, 100%, $E$9)</f>
        <v>47.0715</v>
      </c>
      <c r="E785" s="10">
        <f>CHOOSE(CONTROL!$C$42, 47.1026, 47.1026) * CHOOSE(CONTROL!$C$21, $C$9, 100%, $E$9)</f>
        <v>47.102600000000002</v>
      </c>
      <c r="F785" s="10">
        <f>CHOOSE(CONTROL!$C$42, 46.8374, 46.8374)*CHOOSE(CONTROL!$C$21, $C$9, 100%, $E$9)</f>
        <v>46.837400000000002</v>
      </c>
      <c r="G785" s="10">
        <f>CHOOSE(CONTROL!$C$42, 46.8545, 46.8545)*CHOOSE(CONTROL!$C$21, $C$9, 100%, $E$9)</f>
        <v>46.854500000000002</v>
      </c>
      <c r="H785" s="10">
        <f>CHOOSE(CONTROL!$C$42, 47.0912, 47.0912) * CHOOSE(CONTROL!$C$21, $C$9, 100%, $E$9)</f>
        <v>47.091200000000001</v>
      </c>
      <c r="I785" s="10">
        <f>CHOOSE(CONTROL!$C$42, 46.8377, 46.8377)* CHOOSE(CONTROL!$C$21, $C$9, 100%, $E$9)</f>
        <v>46.837699999999998</v>
      </c>
      <c r="J785" s="10">
        <f>CHOOSE(CONTROL!$C$42, 46.8304, 46.8304)* CHOOSE(CONTROL!$C$21, $C$9, 100%, $E$9)</f>
        <v>46.830399999999997</v>
      </c>
      <c r="K785" s="54">
        <f>CHOOSE(CONTROL!$C$42, 46.8338, 46.8338) * CHOOSE(CONTROL!$C$21, $C$9, 100%, $E$9)</f>
        <v>46.833799999999997</v>
      </c>
      <c r="L785" s="10">
        <f>CHOOSE(CONTROL!$C$42, 47.6782, 47.6782) * CHOOSE(CONTROL!$C$21, $C$9, 100%, $E$9)</f>
        <v>47.678199999999997</v>
      </c>
      <c r="M785" s="10">
        <f>CHOOSE(CONTROL!$C$42, 46.3716, 46.3716) * CHOOSE(CONTROL!$C$21, $C$9, 100%, $E$9)</f>
        <v>46.371600000000001</v>
      </c>
      <c r="N785" s="10">
        <f>CHOOSE(CONTROL!$C$42, 46.3886, 46.3886) * CHOOSE(CONTROL!$C$21, $C$9, 100%, $E$9)</f>
        <v>46.388599999999997</v>
      </c>
      <c r="O785" s="10">
        <f>CHOOSE(CONTROL!$C$42, 46.6298, 46.6298) * CHOOSE(CONTROL!$C$21, $C$9, 100%, $E$9)</f>
        <v>46.629800000000003</v>
      </c>
      <c r="P785" s="10">
        <f>CHOOSE(CONTROL!$C$42, 46.3789, 46.3789) * CHOOSE(CONTROL!$C$21, $C$9, 100%, $E$9)</f>
        <v>46.378900000000002</v>
      </c>
      <c r="Q785" s="10">
        <f>CHOOSE(CONTROL!$C$42, 47.2251, 47.2251) * CHOOSE(CONTROL!$C$21, $C$9, 100%, $E$9)</f>
        <v>47.225099999999998</v>
      </c>
      <c r="R785" s="10">
        <f>CHOOSE(CONTROL!$C$42, 47.9302, 47.9302) * CHOOSE(CONTROL!$C$21, $C$9, 100%, $E$9)</f>
        <v>47.930199999999999</v>
      </c>
      <c r="S785" s="10">
        <f>CHOOSE(CONTROL!$C$42, 45.5123, 45.5123) * CHOOSE(CONTROL!$C$21, $C$9, 100%, $E$9)</f>
        <v>45.512300000000003</v>
      </c>
      <c r="T785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785" s="58">
        <f>(1000*CHOOSE(CONTROL!$C$42, 695, 695)*CHOOSE(CONTROL!$C$42, 0.5599, 0.5599)*CHOOSE(CONTROL!$C$42, 31, 31))/1000000</f>
        <v>12.063045499999998</v>
      </c>
      <c r="V785" s="58">
        <f>(1000*CHOOSE(CONTROL!$C$42, 500, 500)*CHOOSE(CONTROL!$C$42, 0.275, 0.275)*CHOOSE(CONTROL!$C$42, 31, 31))/1000000</f>
        <v>4.2625000000000002</v>
      </c>
      <c r="W785" s="58">
        <f>(1000*CHOOSE(CONTROL!$C$42, 0.1146, 0.1146)*CHOOSE(CONTROL!$C$42, 121.5, 121.5)*CHOOSE(CONTROL!$C$42, 31, 31))/1000000</f>
        <v>0.43164089999999994</v>
      </c>
      <c r="X785" s="58">
        <f>(31*0.1790888*245000/1000000)+(31*0.2374*100000/1000000)</f>
        <v>2.0961194359999999</v>
      </c>
      <c r="Y785" s="58"/>
      <c r="Z785" s="10"/>
      <c r="AA785" s="57"/>
      <c r="AB785" s="51">
        <f>(B785*194.205+C785*267.466+D785*133.845+E785*53.484+F785*40+G785*185+H785*0+I785*100+J785*300)/(194.205+267.466+133.845+53.484+0+40+185+100+300)</f>
        <v>46.887856723233902</v>
      </c>
      <c r="AC785" s="27">
        <f>(M785*'RAP TEMPLATE-GAS AVAILABILITY'!O784+N785*'RAP TEMPLATE-GAS AVAILABILITY'!P784+O785*'RAP TEMPLATE-GAS AVAILABILITY'!Q784+P785*'RAP TEMPLATE-GAS AVAILABILITY'!R784)/('RAP TEMPLATE-GAS AVAILABILITY'!O784+'RAP TEMPLATE-GAS AVAILABILITY'!P784+'RAP TEMPLATE-GAS AVAILABILITY'!Q784+'RAP TEMPLATE-GAS AVAILABILITY'!R784)</f>
        <v>46.490654676258991</v>
      </c>
    </row>
    <row r="786" spans="1:29" ht="15.75" x14ac:dyDescent="0.25">
      <c r="A786" s="13">
        <v>64831</v>
      </c>
      <c r="B786" s="10">
        <f>CHOOSE(CONTROL!$C$42, 48.2005, 48.2005) * CHOOSE(CONTROL!$C$21, $C$9, 100%, $E$9)</f>
        <v>48.200499999999998</v>
      </c>
      <c r="C786" s="10">
        <f>CHOOSE(CONTROL!$C$42, 48.2085, 48.2085) * CHOOSE(CONTROL!$C$21, $C$9, 100%, $E$9)</f>
        <v>48.208500000000001</v>
      </c>
      <c r="D786" s="10">
        <f>CHOOSE(CONTROL!$C$42, 48.4009, 48.4009) * CHOOSE(CONTROL!$C$21, $C$9, 100%, $E$9)</f>
        <v>48.4009</v>
      </c>
      <c r="E786" s="10">
        <f>CHOOSE(CONTROL!$C$42, 48.432, 48.432) * CHOOSE(CONTROL!$C$21, $C$9, 100%, $E$9)</f>
        <v>48.432000000000002</v>
      </c>
      <c r="F786" s="10">
        <f>CHOOSE(CONTROL!$C$42, 48.167, 48.167)*CHOOSE(CONTROL!$C$21, $C$9, 100%, $E$9)</f>
        <v>48.167000000000002</v>
      </c>
      <c r="G786" s="10">
        <f>CHOOSE(CONTROL!$C$42, 48.1842, 48.1842)*CHOOSE(CONTROL!$C$21, $C$9, 100%, $E$9)</f>
        <v>48.184199999999997</v>
      </c>
      <c r="H786" s="10">
        <f>CHOOSE(CONTROL!$C$42, 48.4207, 48.4207) * CHOOSE(CONTROL!$C$21, $C$9, 100%, $E$9)</f>
        <v>48.420699999999997</v>
      </c>
      <c r="I786" s="10">
        <f>CHOOSE(CONTROL!$C$42, 48.1671, 48.1671)* CHOOSE(CONTROL!$C$21, $C$9, 100%, $E$9)</f>
        <v>48.167099999999998</v>
      </c>
      <c r="J786" s="10">
        <f>CHOOSE(CONTROL!$C$42, 48.16, 48.16)* CHOOSE(CONTROL!$C$21, $C$9, 100%, $E$9)</f>
        <v>48.16</v>
      </c>
      <c r="K786" s="54">
        <f>CHOOSE(CONTROL!$C$42, 48.1632, 48.1632) * CHOOSE(CONTROL!$C$21, $C$9, 100%, $E$9)</f>
        <v>48.163200000000003</v>
      </c>
      <c r="L786" s="10">
        <f>CHOOSE(CONTROL!$C$42, 49.0077, 49.0077) * CHOOSE(CONTROL!$C$21, $C$9, 100%, $E$9)</f>
        <v>49.0077</v>
      </c>
      <c r="M786" s="10">
        <f>CHOOSE(CONTROL!$C$42, 47.6878, 47.6878) * CHOOSE(CONTROL!$C$21, $C$9, 100%, $E$9)</f>
        <v>47.687800000000003</v>
      </c>
      <c r="N786" s="10">
        <f>CHOOSE(CONTROL!$C$42, 47.7048, 47.7048) * CHOOSE(CONTROL!$C$21, $C$9, 100%, $E$9)</f>
        <v>47.704799999999999</v>
      </c>
      <c r="O786" s="10">
        <f>CHOOSE(CONTROL!$C$42, 47.9458, 47.9458) * CHOOSE(CONTROL!$C$21, $C$9, 100%, $E$9)</f>
        <v>47.945799999999998</v>
      </c>
      <c r="P786" s="10">
        <f>CHOOSE(CONTROL!$C$42, 47.6949, 47.6949) * CHOOSE(CONTROL!$C$21, $C$9, 100%, $E$9)</f>
        <v>47.694899999999997</v>
      </c>
      <c r="Q786" s="10">
        <f>CHOOSE(CONTROL!$C$42, 48.5411, 48.5411) * CHOOSE(CONTROL!$C$21, $C$9, 100%, $E$9)</f>
        <v>48.5411</v>
      </c>
      <c r="R786" s="10">
        <f>CHOOSE(CONTROL!$C$42, 49.2495, 49.2495) * CHOOSE(CONTROL!$C$21, $C$9, 100%, $E$9)</f>
        <v>49.249499999999998</v>
      </c>
      <c r="S786" s="10">
        <f>CHOOSE(CONTROL!$C$42, 46.8033, 46.8033) * CHOOSE(CONTROL!$C$21, $C$9, 100%, $E$9)</f>
        <v>46.8033</v>
      </c>
      <c r="T786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786" s="58">
        <f>(1000*CHOOSE(CONTROL!$C$42, 695, 695)*CHOOSE(CONTROL!$C$42, 0.5599, 0.5599)*CHOOSE(CONTROL!$C$42, 30, 30))/1000000</f>
        <v>11.673914999999997</v>
      </c>
      <c r="V786" s="58">
        <f>(1000*CHOOSE(CONTROL!$C$42, 500, 500)*CHOOSE(CONTROL!$C$42, 0.275, 0.275)*CHOOSE(CONTROL!$C$42, 30, 30))/1000000</f>
        <v>4.125</v>
      </c>
      <c r="W786" s="58">
        <f>(1000*CHOOSE(CONTROL!$C$42, 0.1146, 0.1146)*CHOOSE(CONTROL!$C$42, 121.5, 121.5)*CHOOSE(CONTROL!$C$42, 30, 30))/1000000</f>
        <v>0.417717</v>
      </c>
      <c r="X786" s="58">
        <f>(30*0.1790888*245000/1000000)+(30*0.2374*100000/1000000)</f>
        <v>2.0285026799999999</v>
      </c>
      <c r="Y786" s="58"/>
      <c r="Z786" s="10"/>
      <c r="AA786" s="57"/>
      <c r="AB786" s="51">
        <f>(B786*194.205+C786*267.466+D786*133.845+E786*53.484+F786*40+G786*185+H786*0+I786*100+J786*300)/(194.205+267.466+133.845+53.484+0+40+185+100+300)</f>
        <v>48.217374656200938</v>
      </c>
      <c r="AC786" s="27">
        <f>(M786*'RAP TEMPLATE-GAS AVAILABILITY'!O785+N786*'RAP TEMPLATE-GAS AVAILABILITY'!P785+O786*'RAP TEMPLATE-GAS AVAILABILITY'!Q785+P786*'RAP TEMPLATE-GAS AVAILABILITY'!R785)/('RAP TEMPLATE-GAS AVAILABILITY'!O785+'RAP TEMPLATE-GAS AVAILABILITY'!P785+'RAP TEMPLATE-GAS AVAILABILITY'!Q785+'RAP TEMPLATE-GAS AVAILABILITY'!R785)</f>
        <v>47.806735251798557</v>
      </c>
    </row>
    <row r="787" spans="1:29" ht="15.75" x14ac:dyDescent="0.25">
      <c r="A787" s="13">
        <v>64862</v>
      </c>
      <c r="B787" s="10">
        <f>CHOOSE(CONTROL!$C$42, 47.2759, 47.2759) * CHOOSE(CONTROL!$C$21, $C$9, 100%, $E$9)</f>
        <v>47.2759</v>
      </c>
      <c r="C787" s="10">
        <f>CHOOSE(CONTROL!$C$42, 47.2838, 47.2838) * CHOOSE(CONTROL!$C$21, $C$9, 100%, $E$9)</f>
        <v>47.283799999999999</v>
      </c>
      <c r="D787" s="10">
        <f>CHOOSE(CONTROL!$C$42, 47.4763, 47.4763) * CHOOSE(CONTROL!$C$21, $C$9, 100%, $E$9)</f>
        <v>47.476300000000002</v>
      </c>
      <c r="E787" s="10">
        <f>CHOOSE(CONTROL!$C$42, 47.5074, 47.5074) * CHOOSE(CONTROL!$C$21, $C$9, 100%, $E$9)</f>
        <v>47.507399999999997</v>
      </c>
      <c r="F787" s="10">
        <f>CHOOSE(CONTROL!$C$42, 47.2428, 47.2428)*CHOOSE(CONTROL!$C$21, $C$9, 100%, $E$9)</f>
        <v>47.242800000000003</v>
      </c>
      <c r="G787" s="10">
        <f>CHOOSE(CONTROL!$C$42, 47.2601, 47.2601)*CHOOSE(CONTROL!$C$21, $C$9, 100%, $E$9)</f>
        <v>47.260100000000001</v>
      </c>
      <c r="H787" s="10">
        <f>CHOOSE(CONTROL!$C$42, 47.496, 47.496) * CHOOSE(CONTROL!$C$21, $C$9, 100%, $E$9)</f>
        <v>47.496000000000002</v>
      </c>
      <c r="I787" s="10">
        <f>CHOOSE(CONTROL!$C$42, 47.2425, 47.2425)* CHOOSE(CONTROL!$C$21, $C$9, 100%, $E$9)</f>
        <v>47.2425</v>
      </c>
      <c r="J787" s="10">
        <f>CHOOSE(CONTROL!$C$42, 47.2358, 47.2358)* CHOOSE(CONTROL!$C$21, $C$9, 100%, $E$9)</f>
        <v>47.235799999999998</v>
      </c>
      <c r="K787" s="54">
        <f>CHOOSE(CONTROL!$C$42, 47.2386, 47.2386) * CHOOSE(CONTROL!$C$21, $C$9, 100%, $E$9)</f>
        <v>47.238599999999998</v>
      </c>
      <c r="L787" s="10">
        <f>CHOOSE(CONTROL!$C$42, 48.083, 48.083) * CHOOSE(CONTROL!$C$21, $C$9, 100%, $E$9)</f>
        <v>48.082999999999998</v>
      </c>
      <c r="M787" s="10">
        <f>CHOOSE(CONTROL!$C$42, 46.7729, 46.7729) * CHOOSE(CONTROL!$C$21, $C$9, 100%, $E$9)</f>
        <v>46.7729</v>
      </c>
      <c r="N787" s="10">
        <f>CHOOSE(CONTROL!$C$42, 46.7901, 46.7901) * CHOOSE(CONTROL!$C$21, $C$9, 100%, $E$9)</f>
        <v>46.790100000000002</v>
      </c>
      <c r="O787" s="10">
        <f>CHOOSE(CONTROL!$C$42, 47.0306, 47.0306) * CHOOSE(CONTROL!$C$21, $C$9, 100%, $E$9)</f>
        <v>47.0306</v>
      </c>
      <c r="P787" s="10">
        <f>CHOOSE(CONTROL!$C$42, 46.7796, 46.7796) * CHOOSE(CONTROL!$C$21, $C$9, 100%, $E$9)</f>
        <v>46.779600000000002</v>
      </c>
      <c r="Q787" s="10">
        <f>CHOOSE(CONTROL!$C$42, 47.6259, 47.6259) * CHOOSE(CONTROL!$C$21, $C$9, 100%, $E$9)</f>
        <v>47.625900000000001</v>
      </c>
      <c r="R787" s="10">
        <f>CHOOSE(CONTROL!$C$42, 48.3319, 48.3319) * CHOOSE(CONTROL!$C$21, $C$9, 100%, $E$9)</f>
        <v>48.331899999999997</v>
      </c>
      <c r="S787" s="10">
        <f>CHOOSE(CONTROL!$C$42, 45.9054, 45.9054) * CHOOSE(CONTROL!$C$21, $C$9, 100%, $E$9)</f>
        <v>45.9054</v>
      </c>
      <c r="T787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787" s="58">
        <f>(1000*CHOOSE(CONTROL!$C$42, 695, 695)*CHOOSE(CONTROL!$C$42, 0.5599, 0.5599)*CHOOSE(CONTROL!$C$42, 31, 31))/1000000</f>
        <v>12.063045499999998</v>
      </c>
      <c r="V787" s="58">
        <f>(1000*CHOOSE(CONTROL!$C$42, 500, 500)*CHOOSE(CONTROL!$C$42, 0.275, 0.275)*CHOOSE(CONTROL!$C$42, 31, 31))/1000000</f>
        <v>4.2625000000000002</v>
      </c>
      <c r="W787" s="58">
        <f>(1000*CHOOSE(CONTROL!$C$42, 0.1146, 0.1146)*CHOOSE(CONTROL!$C$42, 121.5, 121.5)*CHOOSE(CONTROL!$C$42, 31, 31))/1000000</f>
        <v>0.43164089999999994</v>
      </c>
      <c r="X787" s="58">
        <f>(31*0.1790888*245000/1000000)+(31*0.2374*100000/1000000)</f>
        <v>2.0961194359999999</v>
      </c>
      <c r="Y787" s="58"/>
      <c r="Z787" s="10"/>
      <c r="AA787" s="57"/>
      <c r="AB787" s="51">
        <f>(B787*194.205+C787*267.466+D787*133.845+E787*53.484+F787*40+G787*185+H787*0+I787*100+J787*300)/(194.205+267.466+133.845+53.484+0+40+185+100+300)</f>
        <v>47.292933018367343</v>
      </c>
      <c r="AC787" s="27">
        <f>(M787*'RAP TEMPLATE-GAS AVAILABILITY'!O786+N787*'RAP TEMPLATE-GAS AVAILABILITY'!P786+O787*'RAP TEMPLATE-GAS AVAILABILITY'!Q786+P787*'RAP TEMPLATE-GAS AVAILABILITY'!R786)/('RAP TEMPLATE-GAS AVAILABILITY'!O786+'RAP TEMPLATE-GAS AVAILABILITY'!P786+'RAP TEMPLATE-GAS AVAILABILITY'!Q786+'RAP TEMPLATE-GAS AVAILABILITY'!R786)</f>
        <v>46.891653237410068</v>
      </c>
    </row>
    <row r="788" spans="1:29" ht="15.75" x14ac:dyDescent="0.25">
      <c r="A788" s="13">
        <v>64893</v>
      </c>
      <c r="B788" s="10">
        <f>CHOOSE(CONTROL!$C$42, 44.941, 44.941) * CHOOSE(CONTROL!$C$21, $C$9, 100%, $E$9)</f>
        <v>44.941000000000003</v>
      </c>
      <c r="C788" s="10">
        <f>CHOOSE(CONTROL!$C$42, 44.9489, 44.9489) * CHOOSE(CONTROL!$C$21, $C$9, 100%, $E$9)</f>
        <v>44.948900000000002</v>
      </c>
      <c r="D788" s="10">
        <f>CHOOSE(CONTROL!$C$42, 45.1413, 45.1413) * CHOOSE(CONTROL!$C$21, $C$9, 100%, $E$9)</f>
        <v>45.141300000000001</v>
      </c>
      <c r="E788" s="10">
        <f>CHOOSE(CONTROL!$C$42, 45.1725, 45.1725) * CHOOSE(CONTROL!$C$21, $C$9, 100%, $E$9)</f>
        <v>45.172499999999999</v>
      </c>
      <c r="F788" s="10">
        <f>CHOOSE(CONTROL!$C$42, 44.908, 44.908)*CHOOSE(CONTROL!$C$21, $C$9, 100%, $E$9)</f>
        <v>44.908000000000001</v>
      </c>
      <c r="G788" s="10">
        <f>CHOOSE(CONTROL!$C$42, 44.9254, 44.9254)*CHOOSE(CONTROL!$C$21, $C$9, 100%, $E$9)</f>
        <v>44.925400000000003</v>
      </c>
      <c r="H788" s="10">
        <f>CHOOSE(CONTROL!$C$42, 45.1611, 45.1611) * CHOOSE(CONTROL!$C$21, $C$9, 100%, $E$9)</f>
        <v>45.161099999999998</v>
      </c>
      <c r="I788" s="10">
        <f>CHOOSE(CONTROL!$C$42, 44.9076, 44.9076)* CHOOSE(CONTROL!$C$21, $C$9, 100%, $E$9)</f>
        <v>44.907600000000002</v>
      </c>
      <c r="J788" s="10">
        <f>CHOOSE(CONTROL!$C$42, 44.901, 44.901)* CHOOSE(CONTROL!$C$21, $C$9, 100%, $E$9)</f>
        <v>44.901000000000003</v>
      </c>
      <c r="K788" s="54">
        <f>CHOOSE(CONTROL!$C$42, 44.9037, 44.9037) * CHOOSE(CONTROL!$C$21, $C$9, 100%, $E$9)</f>
        <v>44.903700000000001</v>
      </c>
      <c r="L788" s="10">
        <f>CHOOSE(CONTROL!$C$42, 45.7481, 45.7481) * CHOOSE(CONTROL!$C$21, $C$9, 100%, $E$9)</f>
        <v>45.748100000000001</v>
      </c>
      <c r="M788" s="10">
        <f>CHOOSE(CONTROL!$C$42, 44.4617, 44.4617) * CHOOSE(CONTROL!$C$21, $C$9, 100%, $E$9)</f>
        <v>44.4617</v>
      </c>
      <c r="N788" s="10">
        <f>CHOOSE(CONTROL!$C$42, 44.4789, 44.4789) * CHOOSE(CONTROL!$C$21, $C$9, 100%, $E$9)</f>
        <v>44.478900000000003</v>
      </c>
      <c r="O788" s="10">
        <f>CHOOSE(CONTROL!$C$42, 44.7192, 44.7192) * CHOOSE(CONTROL!$C$21, $C$9, 100%, $E$9)</f>
        <v>44.719200000000001</v>
      </c>
      <c r="P788" s="10">
        <f>CHOOSE(CONTROL!$C$42, 44.4682, 44.4682) * CHOOSE(CONTROL!$C$21, $C$9, 100%, $E$9)</f>
        <v>44.468200000000003</v>
      </c>
      <c r="Q788" s="10">
        <f>CHOOSE(CONTROL!$C$42, 45.3145, 45.3145) * CHOOSE(CONTROL!$C$21, $C$9, 100%, $E$9)</f>
        <v>45.314500000000002</v>
      </c>
      <c r="R788" s="10">
        <f>CHOOSE(CONTROL!$C$42, 46.0148, 46.0148) * CHOOSE(CONTROL!$C$21, $C$9, 100%, $E$9)</f>
        <v>46.014800000000001</v>
      </c>
      <c r="S788" s="10">
        <f>CHOOSE(CONTROL!$C$42, 43.6379, 43.6379) * CHOOSE(CONTROL!$C$21, $C$9, 100%, $E$9)</f>
        <v>43.637900000000002</v>
      </c>
      <c r="T788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788" s="58">
        <f>(1000*CHOOSE(CONTROL!$C$42, 695, 695)*CHOOSE(CONTROL!$C$42, 0.5599, 0.5599)*CHOOSE(CONTROL!$C$42, 31, 31))/1000000</f>
        <v>12.063045499999998</v>
      </c>
      <c r="V788" s="58">
        <f>(1000*CHOOSE(CONTROL!$C$42, 500, 500)*CHOOSE(CONTROL!$C$42, 0.275, 0.275)*CHOOSE(CONTROL!$C$42, 31, 31))/1000000</f>
        <v>4.2625000000000002</v>
      </c>
      <c r="W788" s="58">
        <f>(1000*CHOOSE(CONTROL!$C$42, 0.1146, 0.1146)*CHOOSE(CONTROL!$C$42, 121.5, 121.5)*CHOOSE(CONTROL!$C$42, 31, 31))/1000000</f>
        <v>0.43164089999999994</v>
      </c>
      <c r="X788" s="58">
        <f>(31*0.1790888*245000/1000000)+(31*0.2374*100000/1000000)</f>
        <v>2.0961194359999999</v>
      </c>
      <c r="Y788" s="58"/>
      <c r="Z788" s="10"/>
      <c r="AA788" s="57"/>
      <c r="AB788" s="51">
        <f>(B788*194.205+C788*267.466+D788*133.845+E788*53.484+F788*40+G788*185+H788*0+I788*100+J788*300)/(194.205+267.466+133.845+53.484+0+40+185+100+300)</f>
        <v>44.958078242464687</v>
      </c>
      <c r="AC788" s="27">
        <f>(M788*'RAP TEMPLATE-GAS AVAILABILITY'!O787+N788*'RAP TEMPLATE-GAS AVAILABILITY'!P787+O788*'RAP TEMPLATE-GAS AVAILABILITY'!Q787+P788*'RAP TEMPLATE-GAS AVAILABILITY'!R787)/('RAP TEMPLATE-GAS AVAILABILITY'!O787+'RAP TEMPLATE-GAS AVAILABILITY'!P787+'RAP TEMPLATE-GAS AVAILABILITY'!Q787+'RAP TEMPLATE-GAS AVAILABILITY'!R787)</f>
        <v>44.580333812949647</v>
      </c>
    </row>
    <row r="789" spans="1:29" ht="15.75" x14ac:dyDescent="0.25">
      <c r="A789" s="13">
        <v>64923</v>
      </c>
      <c r="B789" s="10">
        <f>CHOOSE(CONTROL!$C$42, 42.0877, 42.0877) * CHOOSE(CONTROL!$C$21, $C$9, 100%, $E$9)</f>
        <v>42.087699999999998</v>
      </c>
      <c r="C789" s="10">
        <f>CHOOSE(CONTROL!$C$42, 42.0957, 42.0957) * CHOOSE(CONTROL!$C$21, $C$9, 100%, $E$9)</f>
        <v>42.095700000000001</v>
      </c>
      <c r="D789" s="10">
        <f>CHOOSE(CONTROL!$C$42, 42.2881, 42.2881) * CHOOSE(CONTROL!$C$21, $C$9, 100%, $E$9)</f>
        <v>42.2881</v>
      </c>
      <c r="E789" s="10">
        <f>CHOOSE(CONTROL!$C$42, 42.3192, 42.3192) * CHOOSE(CONTROL!$C$21, $C$9, 100%, $E$9)</f>
        <v>42.319200000000002</v>
      </c>
      <c r="F789" s="10">
        <f>CHOOSE(CONTROL!$C$42, 42.0546, 42.0546)*CHOOSE(CONTROL!$C$21, $C$9, 100%, $E$9)</f>
        <v>42.054600000000001</v>
      </c>
      <c r="G789" s="10">
        <f>CHOOSE(CONTROL!$C$42, 42.0719, 42.0719)*CHOOSE(CONTROL!$C$21, $C$9, 100%, $E$9)</f>
        <v>42.071899999999999</v>
      </c>
      <c r="H789" s="10">
        <f>CHOOSE(CONTROL!$C$42, 42.3079, 42.3079) * CHOOSE(CONTROL!$C$21, $C$9, 100%, $E$9)</f>
        <v>42.307899999999997</v>
      </c>
      <c r="I789" s="10">
        <f>CHOOSE(CONTROL!$C$42, 42.0543, 42.0543)* CHOOSE(CONTROL!$C$21, $C$9, 100%, $E$9)</f>
        <v>42.054299999999998</v>
      </c>
      <c r="J789" s="10">
        <f>CHOOSE(CONTROL!$C$42, 42.0476, 42.0476)* CHOOSE(CONTROL!$C$21, $C$9, 100%, $E$9)</f>
        <v>42.047600000000003</v>
      </c>
      <c r="K789" s="54">
        <f>CHOOSE(CONTROL!$C$42, 42.0504, 42.0504) * CHOOSE(CONTROL!$C$21, $C$9, 100%, $E$9)</f>
        <v>42.050400000000003</v>
      </c>
      <c r="L789" s="10">
        <f>CHOOSE(CONTROL!$C$42, 42.8949, 42.8949) * CHOOSE(CONTROL!$C$21, $C$9, 100%, $E$9)</f>
        <v>42.8949</v>
      </c>
      <c r="M789" s="10">
        <f>CHOOSE(CONTROL!$C$42, 41.6371, 41.6371) * CHOOSE(CONTROL!$C$21, $C$9, 100%, $E$9)</f>
        <v>41.637099999999997</v>
      </c>
      <c r="N789" s="10">
        <f>CHOOSE(CONTROL!$C$42, 41.6543, 41.6543) * CHOOSE(CONTROL!$C$21, $C$9, 100%, $E$9)</f>
        <v>41.654299999999999</v>
      </c>
      <c r="O789" s="10">
        <f>CHOOSE(CONTROL!$C$42, 41.8947, 41.8947) * CHOOSE(CONTROL!$C$21, $C$9, 100%, $E$9)</f>
        <v>41.8947</v>
      </c>
      <c r="P789" s="10">
        <f>CHOOSE(CONTROL!$C$42, 41.6438, 41.6438) * CHOOSE(CONTROL!$C$21, $C$9, 100%, $E$9)</f>
        <v>41.643799999999999</v>
      </c>
      <c r="Q789" s="10">
        <f>CHOOSE(CONTROL!$C$42, 42.49, 42.49) * CHOOSE(CONTROL!$C$21, $C$9, 100%, $E$9)</f>
        <v>42.49</v>
      </c>
      <c r="R789" s="10">
        <f>CHOOSE(CONTROL!$C$42, 43.1832, 43.1832) * CHOOSE(CONTROL!$C$21, $C$9, 100%, $E$9)</f>
        <v>43.183199999999999</v>
      </c>
      <c r="S789" s="10">
        <f>CHOOSE(CONTROL!$C$42, 40.8672, 40.8672) * CHOOSE(CONTROL!$C$21, $C$9, 100%, $E$9)</f>
        <v>40.867199999999997</v>
      </c>
      <c r="T789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789" s="58">
        <f>(1000*CHOOSE(CONTROL!$C$42, 695, 695)*CHOOSE(CONTROL!$C$42, 0.5599, 0.5599)*CHOOSE(CONTROL!$C$42, 30, 30))/1000000</f>
        <v>11.673914999999997</v>
      </c>
      <c r="V789" s="58">
        <f>(1000*CHOOSE(CONTROL!$C$42, 500, 500)*CHOOSE(CONTROL!$C$42, 0.275, 0.275)*CHOOSE(CONTROL!$C$42, 30, 30))/1000000</f>
        <v>4.125</v>
      </c>
      <c r="W789" s="58">
        <f>(1000*CHOOSE(CONTROL!$C$42, 0.1146, 0.1146)*CHOOSE(CONTROL!$C$42, 121.5, 121.5)*CHOOSE(CONTROL!$C$42, 30, 30))/1000000</f>
        <v>0.417717</v>
      </c>
      <c r="X789" s="58">
        <f>(30*0.1790888*245000/1000000)+(30*0.2374*100000/1000000)</f>
        <v>2.0285026799999999</v>
      </c>
      <c r="Y789" s="58"/>
      <c r="Z789" s="10"/>
      <c r="AA789" s="57"/>
      <c r="AB789" s="51">
        <f>(B789*194.205+C789*267.466+D789*133.845+E789*53.484+F789*40+G789*185+H789*0+I789*100+J789*300)/(194.205+267.466+133.845+53.484+0+40+185+100+300)</f>
        <v>42.104754012558871</v>
      </c>
      <c r="AC789" s="27">
        <f>(M789*'RAP TEMPLATE-GAS AVAILABILITY'!O788+N789*'RAP TEMPLATE-GAS AVAILABILITY'!P788+O789*'RAP TEMPLATE-GAS AVAILABILITY'!Q788+P789*'RAP TEMPLATE-GAS AVAILABILITY'!R788)/('RAP TEMPLATE-GAS AVAILABILITY'!O788+'RAP TEMPLATE-GAS AVAILABILITY'!P788+'RAP TEMPLATE-GAS AVAILABILITY'!Q788+'RAP TEMPLATE-GAS AVAILABILITY'!R788)</f>
        <v>41.755807913669059</v>
      </c>
    </row>
    <row r="790" spans="1:29" ht="15.75" x14ac:dyDescent="0.25">
      <c r="A790" s="13">
        <v>64954</v>
      </c>
      <c r="B790" s="10">
        <f>CHOOSE(CONTROL!$C$42, 41.2315, 41.2315) * CHOOSE(CONTROL!$C$21, $C$9, 100%, $E$9)</f>
        <v>41.231499999999997</v>
      </c>
      <c r="C790" s="10">
        <f>CHOOSE(CONTROL!$C$42, 41.2367, 41.2367) * CHOOSE(CONTROL!$C$21, $C$9, 100%, $E$9)</f>
        <v>41.236699999999999</v>
      </c>
      <c r="D790" s="10">
        <f>CHOOSE(CONTROL!$C$42, 41.4341, 41.4341) * CHOOSE(CONTROL!$C$21, $C$9, 100%, $E$9)</f>
        <v>41.434100000000001</v>
      </c>
      <c r="E790" s="10">
        <f>CHOOSE(CONTROL!$C$42, 41.4629, 41.4629) * CHOOSE(CONTROL!$C$21, $C$9, 100%, $E$9)</f>
        <v>41.462899999999998</v>
      </c>
      <c r="F790" s="10">
        <f>CHOOSE(CONTROL!$C$42, 41.2004, 41.2004)*CHOOSE(CONTROL!$C$21, $C$9, 100%, $E$9)</f>
        <v>41.200400000000002</v>
      </c>
      <c r="G790" s="10">
        <f>CHOOSE(CONTROL!$C$42, 41.2174, 41.2174)*CHOOSE(CONTROL!$C$21, $C$9, 100%, $E$9)</f>
        <v>41.217399999999998</v>
      </c>
      <c r="H790" s="10">
        <f>CHOOSE(CONTROL!$C$42, 41.4534, 41.4534) * CHOOSE(CONTROL!$C$21, $C$9, 100%, $E$9)</f>
        <v>41.453400000000002</v>
      </c>
      <c r="I790" s="10">
        <f>CHOOSE(CONTROL!$C$42, 41.1999, 41.1999)* CHOOSE(CONTROL!$C$21, $C$9, 100%, $E$9)</f>
        <v>41.1999</v>
      </c>
      <c r="J790" s="10">
        <f>CHOOSE(CONTROL!$C$42, 41.1934, 41.1934)* CHOOSE(CONTROL!$C$21, $C$9, 100%, $E$9)</f>
        <v>41.193399999999997</v>
      </c>
      <c r="K790" s="54">
        <f>CHOOSE(CONTROL!$C$42, 41.196, 41.196) * CHOOSE(CONTROL!$C$21, $C$9, 100%, $E$9)</f>
        <v>41.195999999999998</v>
      </c>
      <c r="L790" s="10">
        <f>CHOOSE(CONTROL!$C$42, 42.0404, 42.0404) * CHOOSE(CONTROL!$C$21, $C$9, 100%, $E$9)</f>
        <v>42.040399999999998</v>
      </c>
      <c r="M790" s="10">
        <f>CHOOSE(CONTROL!$C$42, 40.7915, 40.7915) * CHOOSE(CONTROL!$C$21, $C$9, 100%, $E$9)</f>
        <v>40.791499999999999</v>
      </c>
      <c r="N790" s="10">
        <f>CHOOSE(CONTROL!$C$42, 40.8083, 40.8083) * CHOOSE(CONTROL!$C$21, $C$9, 100%, $E$9)</f>
        <v>40.808300000000003</v>
      </c>
      <c r="O790" s="10">
        <f>CHOOSE(CONTROL!$C$42, 41.0489, 41.0489) * CHOOSE(CONTROL!$C$21, $C$9, 100%, $E$9)</f>
        <v>41.048900000000003</v>
      </c>
      <c r="P790" s="10">
        <f>CHOOSE(CONTROL!$C$42, 40.7979, 40.7979) * CHOOSE(CONTROL!$C$21, $C$9, 100%, $E$9)</f>
        <v>40.797899999999998</v>
      </c>
      <c r="Q790" s="10">
        <f>CHOOSE(CONTROL!$C$42, 41.6442, 41.6442) * CHOOSE(CONTROL!$C$21, $C$9, 100%, $E$9)</f>
        <v>41.644199999999998</v>
      </c>
      <c r="R790" s="10">
        <f>CHOOSE(CONTROL!$C$42, 42.3353, 42.3353) * CHOOSE(CONTROL!$C$21, $C$9, 100%, $E$9)</f>
        <v>42.335299999999997</v>
      </c>
      <c r="S790" s="10">
        <f>CHOOSE(CONTROL!$C$42, 40.0374, 40.0374) * CHOOSE(CONTROL!$C$21, $C$9, 100%, $E$9)</f>
        <v>40.037399999999998</v>
      </c>
      <c r="T790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790" s="58">
        <f>(1000*CHOOSE(CONTROL!$C$42, 695, 695)*CHOOSE(CONTROL!$C$42, 0.5599, 0.5599)*CHOOSE(CONTROL!$C$42, 31, 31))/1000000</f>
        <v>12.063045499999998</v>
      </c>
      <c r="V790" s="58">
        <f>(1000*CHOOSE(CONTROL!$C$42, 500, 500)*CHOOSE(CONTROL!$C$42, 0.275, 0.275)*CHOOSE(CONTROL!$C$42, 31, 31))/1000000</f>
        <v>4.2625000000000002</v>
      </c>
      <c r="W790" s="58">
        <f>(1000*CHOOSE(CONTROL!$C$42, 0.1146, 0.1146)*CHOOSE(CONTROL!$C$42, 121.5, 121.5)*CHOOSE(CONTROL!$C$42, 31, 31))/1000000</f>
        <v>0.43164089999999994</v>
      </c>
      <c r="X790" s="58">
        <f>(31*0.1790888*245000/1000000)+(31*0.2374*100000/1000000)</f>
        <v>2.0961194359999999</v>
      </c>
      <c r="Y790" s="58"/>
      <c r="Z790" s="10"/>
      <c r="AA790" s="57"/>
      <c r="AB790" s="51">
        <f>(B790*131.881+C790*277.167+D790*79.08+E790*125.872+F790*40+G790*185+H790*0+I790*100+J790*300)/(131.881+277.167+79.08+125.872+0+40+185+100+300)</f>
        <v>41.254217641000807</v>
      </c>
      <c r="AC790" s="27">
        <f>(M790*'RAP TEMPLATE-GAS AVAILABILITY'!O789+N790*'RAP TEMPLATE-GAS AVAILABILITY'!P789+O790*'RAP TEMPLATE-GAS AVAILABILITY'!Q789+P790*'RAP TEMPLATE-GAS AVAILABILITY'!R789)/('RAP TEMPLATE-GAS AVAILABILITY'!O789+'RAP TEMPLATE-GAS AVAILABILITY'!P789+'RAP TEMPLATE-GAS AVAILABILITY'!Q789+'RAP TEMPLATE-GAS AVAILABILITY'!R789)</f>
        <v>40.910051079136693</v>
      </c>
    </row>
    <row r="791" spans="1:29" ht="15.75" x14ac:dyDescent="0.25">
      <c r="A791" s="13">
        <v>64984</v>
      </c>
      <c r="B791" s="10">
        <f>CHOOSE(CONTROL!$C$42, 42.3173, 42.3173) * CHOOSE(CONTROL!$C$21, $C$9, 100%, $E$9)</f>
        <v>42.317300000000003</v>
      </c>
      <c r="C791" s="10">
        <f>CHOOSE(CONTROL!$C$42, 42.3222, 42.3222) * CHOOSE(CONTROL!$C$21, $C$9, 100%, $E$9)</f>
        <v>42.322200000000002</v>
      </c>
      <c r="D791" s="10">
        <f>CHOOSE(CONTROL!$C$42, 42.3518, 42.3518) * CHOOSE(CONTROL!$C$21, $C$9, 100%, $E$9)</f>
        <v>42.351799999999997</v>
      </c>
      <c r="E791" s="10">
        <f>CHOOSE(CONTROL!$C$42, 42.3856, 42.3856) * CHOOSE(CONTROL!$C$21, $C$9, 100%, $E$9)</f>
        <v>42.385599999999997</v>
      </c>
      <c r="F791" s="10">
        <f>CHOOSE(CONTROL!$C$42, 42.2841, 42.2841)*CHOOSE(CONTROL!$C$21, $C$9, 100%, $E$9)</f>
        <v>42.284100000000002</v>
      </c>
      <c r="G791" s="10">
        <f>CHOOSE(CONTROL!$C$42, 42.3012, 42.3012)*CHOOSE(CONTROL!$C$21, $C$9, 100%, $E$9)</f>
        <v>42.301200000000001</v>
      </c>
      <c r="H791" s="10">
        <f>CHOOSE(CONTROL!$C$42, 42.3748, 42.3748) * CHOOSE(CONTROL!$C$21, $C$9, 100%, $E$9)</f>
        <v>42.3748</v>
      </c>
      <c r="I791" s="10">
        <f>CHOOSE(CONTROL!$C$42, 42.2809, 42.2809)* CHOOSE(CONTROL!$C$21, $C$9, 100%, $E$9)</f>
        <v>42.280900000000003</v>
      </c>
      <c r="J791" s="10">
        <f>CHOOSE(CONTROL!$C$42, 42.2771, 42.2771)* CHOOSE(CONTROL!$C$21, $C$9, 100%, $E$9)</f>
        <v>42.277099999999997</v>
      </c>
      <c r="K791" s="54">
        <f>CHOOSE(CONTROL!$C$42, 42.277, 42.277) * CHOOSE(CONTROL!$C$21, $C$9, 100%, $E$9)</f>
        <v>42.277000000000001</v>
      </c>
      <c r="L791" s="10">
        <f>CHOOSE(CONTROL!$C$42, 42.9618, 42.9618) * CHOOSE(CONTROL!$C$21, $C$9, 100%, $E$9)</f>
        <v>42.961799999999997</v>
      </c>
      <c r="M791" s="10">
        <f>CHOOSE(CONTROL!$C$42, 41.8642, 41.8642) * CHOOSE(CONTROL!$C$21, $C$9, 100%, $E$9)</f>
        <v>41.864199999999997</v>
      </c>
      <c r="N791" s="10">
        <f>CHOOSE(CONTROL!$C$42, 41.8812, 41.8812) * CHOOSE(CONTROL!$C$21, $C$9, 100%, $E$9)</f>
        <v>41.8812</v>
      </c>
      <c r="O791" s="10">
        <f>CHOOSE(CONTROL!$C$42, 41.961, 41.961) * CHOOSE(CONTROL!$C$21, $C$9, 100%, $E$9)</f>
        <v>41.960999999999999</v>
      </c>
      <c r="P791" s="10">
        <f>CHOOSE(CONTROL!$C$42, 41.868, 41.868) * CHOOSE(CONTROL!$C$21, $C$9, 100%, $E$9)</f>
        <v>41.868000000000002</v>
      </c>
      <c r="Q791" s="10">
        <f>CHOOSE(CONTROL!$C$42, 42.5563, 42.5563) * CHOOSE(CONTROL!$C$21, $C$9, 100%, $E$9)</f>
        <v>42.5563</v>
      </c>
      <c r="R791" s="10">
        <f>CHOOSE(CONTROL!$C$42, 43.2497, 43.2497) * CHOOSE(CONTROL!$C$21, $C$9, 100%, $E$9)</f>
        <v>43.249699999999997</v>
      </c>
      <c r="S791" s="10">
        <f>CHOOSE(CONTROL!$C$42, 41.0922, 41.0922) * CHOOSE(CONTROL!$C$21, $C$9, 100%, $E$9)</f>
        <v>41.092199999999998</v>
      </c>
      <c r="T791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791" s="58">
        <f>(1000*CHOOSE(CONTROL!$C$42, 695, 695)*CHOOSE(CONTROL!$C$42, 0.5599, 0.5599)*CHOOSE(CONTROL!$C$42, 30, 30))/1000000</f>
        <v>11.673914999999997</v>
      </c>
      <c r="V791" s="58">
        <f>(1000*CHOOSE(CONTROL!$C$42, 500, 500)*CHOOSE(CONTROL!$C$42, 0.275, 0.275)*CHOOSE(CONTROL!$C$42, 30, 30))/1000000</f>
        <v>4.125</v>
      </c>
      <c r="W791" s="58">
        <f>(1000*CHOOSE(CONTROL!$C$42, 0.1146, 0.1146)*CHOOSE(CONTROL!$C$42, 121.5, 121.5)*CHOOSE(CONTROL!$C$42, 30, 30))/1000000</f>
        <v>0.417717</v>
      </c>
      <c r="X791" s="58">
        <f>(30*0.1790888*100000/1000000)+(30*0.2374*100000/1000000)</f>
        <v>1.2494664</v>
      </c>
      <c r="Y791" s="58"/>
      <c r="Z791" s="10"/>
      <c r="AA791" s="57"/>
      <c r="AB791" s="51">
        <f>(B791*122.58+C791*297.941+D791*89.177+E791*40.302+F791*40+G791*160+H791*0+I791*100+J791*300)/(122.58+297.941+89.177+40.302+0+40+160+100+300)</f>
        <v>42.306591429565216</v>
      </c>
      <c r="AC791" s="27">
        <f>(M791*'RAP TEMPLATE-GAS AVAILABILITY'!O790+N791*'RAP TEMPLATE-GAS AVAILABILITY'!P790+O791*'RAP TEMPLATE-GAS AVAILABILITY'!Q790+P791*'RAP TEMPLATE-GAS AVAILABILITY'!R790)/('RAP TEMPLATE-GAS AVAILABILITY'!O790+'RAP TEMPLATE-GAS AVAILABILITY'!P790+'RAP TEMPLATE-GAS AVAILABILITY'!Q790+'RAP TEMPLATE-GAS AVAILABILITY'!R790)</f>
        <v>41.909598561151078</v>
      </c>
    </row>
    <row r="792" spans="1:29" ht="15.75" x14ac:dyDescent="0.25">
      <c r="A792" s="13">
        <v>65015</v>
      </c>
      <c r="B792" s="10">
        <f>CHOOSE(CONTROL!$C$42, 45.2022, 45.2022) * CHOOSE(CONTROL!$C$21, $C$9, 100%, $E$9)</f>
        <v>45.202199999999998</v>
      </c>
      <c r="C792" s="10">
        <f>CHOOSE(CONTROL!$C$42, 45.2072, 45.2072) * CHOOSE(CONTROL!$C$21, $C$9, 100%, $E$9)</f>
        <v>45.2072</v>
      </c>
      <c r="D792" s="10">
        <f>CHOOSE(CONTROL!$C$42, 45.2368, 45.2368) * CHOOSE(CONTROL!$C$21, $C$9, 100%, $E$9)</f>
        <v>45.236800000000002</v>
      </c>
      <c r="E792" s="10">
        <f>CHOOSE(CONTROL!$C$42, 45.2706, 45.2706) * CHOOSE(CONTROL!$C$21, $C$9, 100%, $E$9)</f>
        <v>45.270600000000002</v>
      </c>
      <c r="F792" s="10">
        <f>CHOOSE(CONTROL!$C$42, 45.1704, 45.1704)*CHOOSE(CONTROL!$C$21, $C$9, 100%, $E$9)</f>
        <v>45.170400000000001</v>
      </c>
      <c r="G792" s="10">
        <f>CHOOSE(CONTROL!$C$42, 45.1879, 45.1879)*CHOOSE(CONTROL!$C$21, $C$9, 100%, $E$9)</f>
        <v>45.187899999999999</v>
      </c>
      <c r="H792" s="10">
        <f>CHOOSE(CONTROL!$C$42, 45.2598, 45.2598) * CHOOSE(CONTROL!$C$21, $C$9, 100%, $E$9)</f>
        <v>45.259799999999998</v>
      </c>
      <c r="I792" s="10">
        <f>CHOOSE(CONTROL!$C$42, 45.1658, 45.1658)* CHOOSE(CONTROL!$C$21, $C$9, 100%, $E$9)</f>
        <v>45.165799999999997</v>
      </c>
      <c r="J792" s="10">
        <f>CHOOSE(CONTROL!$C$42, 45.1634, 45.1634)* CHOOSE(CONTROL!$C$21, $C$9, 100%, $E$9)</f>
        <v>45.163400000000003</v>
      </c>
      <c r="K792" s="54">
        <f>CHOOSE(CONTROL!$C$42, 45.1619, 45.1619) * CHOOSE(CONTROL!$C$21, $C$9, 100%, $E$9)</f>
        <v>45.161900000000003</v>
      </c>
      <c r="L792" s="10">
        <f>CHOOSE(CONTROL!$C$42, 45.8468, 45.8468) * CHOOSE(CONTROL!$C$21, $C$9, 100%, $E$9)</f>
        <v>45.846800000000002</v>
      </c>
      <c r="M792" s="10">
        <f>CHOOSE(CONTROL!$C$42, 44.7215, 44.7215) * CHOOSE(CONTROL!$C$21, $C$9, 100%, $E$9)</f>
        <v>44.721499999999999</v>
      </c>
      <c r="N792" s="10">
        <f>CHOOSE(CONTROL!$C$42, 44.7388, 44.7388) * CHOOSE(CONTROL!$C$21, $C$9, 100%, $E$9)</f>
        <v>44.738799999999998</v>
      </c>
      <c r="O792" s="10">
        <f>CHOOSE(CONTROL!$C$42, 44.8168, 44.8168) * CHOOSE(CONTROL!$C$21, $C$9, 100%, $E$9)</f>
        <v>44.816800000000001</v>
      </c>
      <c r="P792" s="10">
        <f>CHOOSE(CONTROL!$C$42, 44.7239, 44.7239) * CHOOSE(CONTROL!$C$21, $C$9, 100%, $E$9)</f>
        <v>44.7239</v>
      </c>
      <c r="Q792" s="10">
        <f>CHOOSE(CONTROL!$C$42, 45.4121, 45.4121) * CHOOSE(CONTROL!$C$21, $C$9, 100%, $E$9)</f>
        <v>45.412100000000002</v>
      </c>
      <c r="R792" s="10">
        <f>CHOOSE(CONTROL!$C$42, 46.1127, 46.1127) * CHOOSE(CONTROL!$C$21, $C$9, 100%, $E$9)</f>
        <v>46.112699999999997</v>
      </c>
      <c r="S792" s="10">
        <f>CHOOSE(CONTROL!$C$42, 43.8937, 43.8937) * CHOOSE(CONTROL!$C$21, $C$9, 100%, $E$9)</f>
        <v>43.893700000000003</v>
      </c>
      <c r="T792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792" s="58">
        <f>(1000*CHOOSE(CONTROL!$C$42, 695, 695)*CHOOSE(CONTROL!$C$42, 0.5599, 0.5599)*CHOOSE(CONTROL!$C$42, 31, 31))/1000000</f>
        <v>12.063045499999998</v>
      </c>
      <c r="V792" s="58">
        <f>(1000*CHOOSE(CONTROL!$C$42, 500, 500)*CHOOSE(CONTROL!$C$42, 0.275, 0.275)*CHOOSE(CONTROL!$C$42, 31, 31))/1000000</f>
        <v>4.2625000000000002</v>
      </c>
      <c r="W792" s="58">
        <f>(1000*CHOOSE(CONTROL!$C$42, 0.1146, 0.1146)*CHOOSE(CONTROL!$C$42, 121.5, 121.5)*CHOOSE(CONTROL!$C$42, 31, 31))/1000000</f>
        <v>0.43164089999999994</v>
      </c>
      <c r="X792" s="58">
        <f>(31*0.1790888*100000/1000000)+(31*0.2374*100000/1000000)</f>
        <v>1.2911152800000001</v>
      </c>
      <c r="Y792" s="58"/>
      <c r="Z792" s="10"/>
      <c r="AA792" s="57"/>
      <c r="AB792" s="51">
        <f>(B792*122.58+C792*297.941+D792*89.177+E792*40.302+F792*40+G792*160+H792*0+I792*100+J792*300)/(122.58+297.941+89.177+40.302+0+40+160+100+300)</f>
        <v>45.192192944347831</v>
      </c>
      <c r="AC792" s="27">
        <f>(M792*'RAP TEMPLATE-GAS AVAILABILITY'!O791+N792*'RAP TEMPLATE-GAS AVAILABILITY'!P791+O792*'RAP TEMPLATE-GAS AVAILABILITY'!Q791+P792*'RAP TEMPLATE-GAS AVAILABILITY'!R791)/('RAP TEMPLATE-GAS AVAILABILITY'!O791+'RAP TEMPLATE-GAS AVAILABILITY'!P791+'RAP TEMPLATE-GAS AVAILABILITY'!Q791+'RAP TEMPLATE-GAS AVAILABILITY'!R791)</f>
        <v>44.7660345323741</v>
      </c>
    </row>
    <row r="793" spans="1:29" ht="15.75" x14ac:dyDescent="0.25">
      <c r="A793" s="13">
        <v>65046</v>
      </c>
      <c r="B793" s="10">
        <f>CHOOSE(CONTROL!$C$42, 48.9057, 48.9057) * CHOOSE(CONTROL!$C$21, $C$9, 100%, $E$9)</f>
        <v>48.905700000000003</v>
      </c>
      <c r="C793" s="10">
        <f>CHOOSE(CONTROL!$C$42, 48.9107, 48.9107) * CHOOSE(CONTROL!$C$21, $C$9, 100%, $E$9)</f>
        <v>48.910699999999999</v>
      </c>
      <c r="D793" s="10">
        <f>CHOOSE(CONTROL!$C$42, 48.9609, 48.9609) * CHOOSE(CONTROL!$C$21, $C$9, 100%, $E$9)</f>
        <v>48.960900000000002</v>
      </c>
      <c r="E793" s="10">
        <f>CHOOSE(CONTROL!$C$42, 48.9947, 48.9947) * CHOOSE(CONTROL!$C$21, $C$9, 100%, $E$9)</f>
        <v>48.994700000000002</v>
      </c>
      <c r="F793" s="10">
        <f>CHOOSE(CONTROL!$C$42, 48.8711, 48.8711)*CHOOSE(CONTROL!$C$21, $C$9, 100%, $E$9)</f>
        <v>48.871099999999998</v>
      </c>
      <c r="G793" s="10">
        <f>CHOOSE(CONTROL!$C$42, 48.8886, 48.8886)*CHOOSE(CONTROL!$C$21, $C$9, 100%, $E$9)</f>
        <v>48.888599999999997</v>
      </c>
      <c r="H793" s="10">
        <f>CHOOSE(CONTROL!$C$42, 48.9838, 48.9838) * CHOOSE(CONTROL!$C$21, $C$9, 100%, $E$9)</f>
        <v>48.983800000000002</v>
      </c>
      <c r="I793" s="10">
        <f>CHOOSE(CONTROL!$C$42, 48.8796, 48.8796)* CHOOSE(CONTROL!$C$21, $C$9, 100%, $E$9)</f>
        <v>48.879600000000003</v>
      </c>
      <c r="J793" s="10">
        <f>CHOOSE(CONTROL!$C$42, 48.8641, 48.8641)* CHOOSE(CONTROL!$C$21, $C$9, 100%, $E$9)</f>
        <v>48.864100000000001</v>
      </c>
      <c r="K793" s="54">
        <f>CHOOSE(CONTROL!$C$42, 48.8757, 48.8757) * CHOOSE(CONTROL!$C$21, $C$9, 100%, $E$9)</f>
        <v>48.875700000000002</v>
      </c>
      <c r="L793" s="10">
        <f>CHOOSE(CONTROL!$C$42, 49.5708, 49.5708) * CHOOSE(CONTROL!$C$21, $C$9, 100%, $E$9)</f>
        <v>49.570799999999998</v>
      </c>
      <c r="M793" s="10">
        <f>CHOOSE(CONTROL!$C$42, 48.3848, 48.3848) * CHOOSE(CONTROL!$C$21, $C$9, 100%, $E$9)</f>
        <v>48.384799999999998</v>
      </c>
      <c r="N793" s="10">
        <f>CHOOSE(CONTROL!$C$42, 48.4022, 48.4022) * CHOOSE(CONTROL!$C$21, $C$9, 100%, $E$9)</f>
        <v>48.402200000000001</v>
      </c>
      <c r="O793" s="10">
        <f>CHOOSE(CONTROL!$C$42, 48.5033, 48.5033) * CHOOSE(CONTROL!$C$21, $C$9, 100%, $E$9)</f>
        <v>48.503300000000003</v>
      </c>
      <c r="P793" s="10">
        <f>CHOOSE(CONTROL!$C$42, 48.4002, 48.4002) * CHOOSE(CONTROL!$C$21, $C$9, 100%, $E$9)</f>
        <v>48.400199999999998</v>
      </c>
      <c r="Q793" s="10">
        <f>CHOOSE(CONTROL!$C$42, 49.0986, 49.0986) * CHOOSE(CONTROL!$C$21, $C$9, 100%, $E$9)</f>
        <v>49.098599999999998</v>
      </c>
      <c r="R793" s="10">
        <f>CHOOSE(CONTROL!$C$42, 49.8084, 49.8084) * CHOOSE(CONTROL!$C$21, $C$9, 100%, $E$9)</f>
        <v>49.808399999999999</v>
      </c>
      <c r="S793" s="10">
        <f>CHOOSE(CONTROL!$C$42, 47.4902, 47.4902) * CHOOSE(CONTROL!$C$21, $C$9, 100%, $E$9)</f>
        <v>47.490200000000002</v>
      </c>
      <c r="T793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793" s="58">
        <f>(1000*CHOOSE(CONTROL!$C$42, 695, 695)*CHOOSE(CONTROL!$C$42, 0.5599, 0.5599)*CHOOSE(CONTROL!$C$42, 31, 31))/1000000</f>
        <v>12.063045499999998</v>
      </c>
      <c r="V793" s="58">
        <f>(1000*CHOOSE(CONTROL!$C$42, 500, 500)*CHOOSE(CONTROL!$C$42, 0.275, 0.275)*CHOOSE(CONTROL!$C$42, 31, 31))/1000000</f>
        <v>4.2625000000000002</v>
      </c>
      <c r="W793" s="58">
        <f>(1000*CHOOSE(CONTROL!$C$42, 0.1146, 0.1146)*CHOOSE(CONTROL!$C$42, 121.5, 121.5)*CHOOSE(CONTROL!$C$42, 31, 31))/1000000</f>
        <v>0.43164089999999994</v>
      </c>
      <c r="X793" s="58">
        <f>(31*0.1790888*100000/1000000)+(31*0.2374*100000/1000000)</f>
        <v>1.2911152800000001</v>
      </c>
      <c r="Y793" s="58"/>
      <c r="Z793" s="10"/>
      <c r="AA793" s="57"/>
      <c r="AB793" s="51">
        <f>(B793*122.58+C793*297.941+D793*89.177+E793*40.302+F793*40+G793*160+H793*0+I793*100+J793*300)/(122.58+297.941+89.177+40.302+0+40+160+100+300)</f>
        <v>48.897690568173914</v>
      </c>
      <c r="AC793" s="27">
        <f>(M793*'RAP TEMPLATE-GAS AVAILABILITY'!O792+N793*'RAP TEMPLATE-GAS AVAILABILITY'!P792+O793*'RAP TEMPLATE-GAS AVAILABILITY'!Q792+P793*'RAP TEMPLATE-GAS AVAILABILITY'!R792)/('RAP TEMPLATE-GAS AVAILABILITY'!O792+'RAP TEMPLATE-GAS AVAILABILITY'!P792+'RAP TEMPLATE-GAS AVAILABILITY'!Q792+'RAP TEMPLATE-GAS AVAILABILITY'!R792)</f>
        <v>48.44172589928057</v>
      </c>
    </row>
    <row r="794" spans="1:29" ht="15.75" x14ac:dyDescent="0.25">
      <c r="A794" s="13">
        <v>65074</v>
      </c>
      <c r="B794" s="10">
        <f>CHOOSE(CONTROL!$C$42, 49.7763, 49.7763) * CHOOSE(CONTROL!$C$21, $C$9, 100%, $E$9)</f>
        <v>49.776299999999999</v>
      </c>
      <c r="C794" s="10">
        <f>CHOOSE(CONTROL!$C$42, 49.7812, 49.7812) * CHOOSE(CONTROL!$C$21, $C$9, 100%, $E$9)</f>
        <v>49.781199999999998</v>
      </c>
      <c r="D794" s="10">
        <f>CHOOSE(CONTROL!$C$42, 49.8417, 49.8417) * CHOOSE(CONTROL!$C$21, $C$9, 100%, $E$9)</f>
        <v>49.841700000000003</v>
      </c>
      <c r="E794" s="10">
        <f>CHOOSE(CONTROL!$C$42, 49.8755, 49.8755) * CHOOSE(CONTROL!$C$21, $C$9, 100%, $E$9)</f>
        <v>49.875500000000002</v>
      </c>
      <c r="F794" s="10">
        <f>CHOOSE(CONTROL!$C$42, 49.7695, 49.7695)*CHOOSE(CONTROL!$C$21, $C$9, 100%, $E$9)</f>
        <v>49.769500000000001</v>
      </c>
      <c r="G794" s="10">
        <f>CHOOSE(CONTROL!$C$42, 49.7868, 49.7868)*CHOOSE(CONTROL!$C$21, $C$9, 100%, $E$9)</f>
        <v>49.786799999999999</v>
      </c>
      <c r="H794" s="10">
        <f>CHOOSE(CONTROL!$C$42, 49.8647, 49.8647) * CHOOSE(CONTROL!$C$21, $C$9, 100%, $E$9)</f>
        <v>49.864699999999999</v>
      </c>
      <c r="I794" s="10">
        <f>CHOOSE(CONTROL!$C$42, 49.763, 49.763)* CHOOSE(CONTROL!$C$21, $C$9, 100%, $E$9)</f>
        <v>49.762999999999998</v>
      </c>
      <c r="J794" s="10">
        <f>CHOOSE(CONTROL!$C$42, 49.7625, 49.7625)* CHOOSE(CONTROL!$C$21, $C$9, 100%, $E$9)</f>
        <v>49.762500000000003</v>
      </c>
      <c r="K794" s="54">
        <f>CHOOSE(CONTROL!$C$42, 49.7591, 49.7591) * CHOOSE(CONTROL!$C$21, $C$9, 100%, $E$9)</f>
        <v>49.759099999999997</v>
      </c>
      <c r="L794" s="10">
        <f>CHOOSE(CONTROL!$C$42, 50.4517, 50.4517) * CHOOSE(CONTROL!$C$21, $C$9, 100%, $E$9)</f>
        <v>50.451700000000002</v>
      </c>
      <c r="M794" s="10">
        <f>CHOOSE(CONTROL!$C$42, 49.2741, 49.2741) * CHOOSE(CONTROL!$C$21, $C$9, 100%, $E$9)</f>
        <v>49.274099999999997</v>
      </c>
      <c r="N794" s="10">
        <f>CHOOSE(CONTROL!$C$42, 49.2913, 49.2913) * CHOOSE(CONTROL!$C$21, $C$9, 100%, $E$9)</f>
        <v>49.2913</v>
      </c>
      <c r="O794" s="10">
        <f>CHOOSE(CONTROL!$C$42, 49.3753, 49.3753) * CHOOSE(CONTROL!$C$21, $C$9, 100%, $E$9)</f>
        <v>49.375300000000003</v>
      </c>
      <c r="P794" s="10">
        <f>CHOOSE(CONTROL!$C$42, 49.2747, 49.2747) * CHOOSE(CONTROL!$C$21, $C$9, 100%, $E$9)</f>
        <v>49.274700000000003</v>
      </c>
      <c r="Q794" s="10">
        <f>CHOOSE(CONTROL!$C$42, 49.9706, 49.9706) * CHOOSE(CONTROL!$C$21, $C$9, 100%, $E$9)</f>
        <v>49.970599999999997</v>
      </c>
      <c r="R794" s="10">
        <f>CHOOSE(CONTROL!$C$42, 50.6825, 50.6825) * CHOOSE(CONTROL!$C$21, $C$9, 100%, $E$9)</f>
        <v>50.682499999999997</v>
      </c>
      <c r="S794" s="10">
        <f>CHOOSE(CONTROL!$C$42, 48.3356, 48.3356) * CHOOSE(CONTROL!$C$21, $C$9, 100%, $E$9)</f>
        <v>48.335599999999999</v>
      </c>
      <c r="T794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794" s="58">
        <f>(1000*CHOOSE(CONTROL!$C$42, 695, 695)*CHOOSE(CONTROL!$C$42, 0.5599, 0.5599)*CHOOSE(CONTROL!$C$42, 28, 28))/1000000</f>
        <v>10.895653999999999</v>
      </c>
      <c r="V794" s="58">
        <f>(1000*CHOOSE(CONTROL!$C$42, 500, 500)*CHOOSE(CONTROL!$C$42, 0.275, 0.275)*CHOOSE(CONTROL!$C$42, 28, 28))/1000000</f>
        <v>3.85</v>
      </c>
      <c r="W794" s="58">
        <f>(1000*CHOOSE(CONTROL!$C$42, 0.1146, 0.1146)*CHOOSE(CONTROL!$C$42, 121.5, 121.5)*CHOOSE(CONTROL!$C$42, 28, 28))/1000000</f>
        <v>0.38986920000000003</v>
      </c>
      <c r="X794" s="58">
        <f>(28*0.1790888*100000/1000000)+(28*0.2374*100000/1000000)</f>
        <v>1.16616864</v>
      </c>
      <c r="Y794" s="58"/>
      <c r="Z794" s="10"/>
      <c r="AA794" s="57"/>
      <c r="AB794" s="51">
        <f>(B794*122.58+C794*297.941+D794*89.177+E794*40.302+F794*40+G794*160+H794*0+I794*100+J794*300)/(122.58+297.941+89.177+40.302+0+40+160+100+300)</f>
        <v>49.782585256608698</v>
      </c>
      <c r="AC794" s="27">
        <f>(M794*'RAP TEMPLATE-GAS AVAILABILITY'!O793+N794*'RAP TEMPLATE-GAS AVAILABILITY'!P793+O794*'RAP TEMPLATE-GAS AVAILABILITY'!Q793+P794*'RAP TEMPLATE-GAS AVAILABILITY'!R793)/('RAP TEMPLATE-GAS AVAILABILITY'!O793+'RAP TEMPLATE-GAS AVAILABILITY'!P793+'RAP TEMPLATE-GAS AVAILABILITY'!Q793+'RAP TEMPLATE-GAS AVAILABILITY'!R793)</f>
        <v>49.321043884892092</v>
      </c>
    </row>
    <row r="795" spans="1:29" ht="15.75" x14ac:dyDescent="0.25">
      <c r="A795" s="13">
        <v>65105</v>
      </c>
      <c r="B795" s="10">
        <f>CHOOSE(CONTROL!$C$42, 48.3632, 48.3632) * CHOOSE(CONTROL!$C$21, $C$9, 100%, $E$9)</f>
        <v>48.363199999999999</v>
      </c>
      <c r="C795" s="10">
        <f>CHOOSE(CONTROL!$C$42, 48.3681, 48.3681) * CHOOSE(CONTROL!$C$21, $C$9, 100%, $E$9)</f>
        <v>48.368099999999998</v>
      </c>
      <c r="D795" s="10">
        <f>CHOOSE(CONTROL!$C$42, 48.4286, 48.4286) * CHOOSE(CONTROL!$C$21, $C$9, 100%, $E$9)</f>
        <v>48.428600000000003</v>
      </c>
      <c r="E795" s="10">
        <f>CHOOSE(CONTROL!$C$42, 48.4624, 48.4624) * CHOOSE(CONTROL!$C$21, $C$9, 100%, $E$9)</f>
        <v>48.462400000000002</v>
      </c>
      <c r="F795" s="10">
        <f>CHOOSE(CONTROL!$C$42, 48.3509, 48.3509)*CHOOSE(CONTROL!$C$21, $C$9, 100%, $E$9)</f>
        <v>48.350900000000003</v>
      </c>
      <c r="G795" s="10">
        <f>CHOOSE(CONTROL!$C$42, 48.3681, 48.3681)*CHOOSE(CONTROL!$C$21, $C$9, 100%, $E$9)</f>
        <v>48.368099999999998</v>
      </c>
      <c r="H795" s="10">
        <f>CHOOSE(CONTROL!$C$42, 48.4516, 48.4516) * CHOOSE(CONTROL!$C$21, $C$9, 100%, $E$9)</f>
        <v>48.451599999999999</v>
      </c>
      <c r="I795" s="10">
        <f>CHOOSE(CONTROL!$C$42, 48.3371, 48.3371)* CHOOSE(CONTROL!$C$21, $C$9, 100%, $E$9)</f>
        <v>48.3371</v>
      </c>
      <c r="J795" s="10">
        <f>CHOOSE(CONTROL!$C$42, 48.3439, 48.3439)* CHOOSE(CONTROL!$C$21, $C$9, 100%, $E$9)</f>
        <v>48.343899999999998</v>
      </c>
      <c r="K795" s="54">
        <f>CHOOSE(CONTROL!$C$42, 48.3332, 48.3332) * CHOOSE(CONTROL!$C$21, $C$9, 100%, $E$9)</f>
        <v>48.333199999999998</v>
      </c>
      <c r="L795" s="10">
        <f>CHOOSE(CONTROL!$C$42, 49.0386, 49.0386) * CHOOSE(CONTROL!$C$21, $C$9, 100%, $E$9)</f>
        <v>49.038600000000002</v>
      </c>
      <c r="M795" s="10">
        <f>CHOOSE(CONTROL!$C$42, 47.8698, 47.8698) * CHOOSE(CONTROL!$C$21, $C$9, 100%, $E$9)</f>
        <v>47.869799999999998</v>
      </c>
      <c r="N795" s="10">
        <f>CHOOSE(CONTROL!$C$42, 47.8869, 47.8869) * CHOOSE(CONTROL!$C$21, $C$9, 100%, $E$9)</f>
        <v>47.886899999999997</v>
      </c>
      <c r="O795" s="10">
        <f>CHOOSE(CONTROL!$C$42, 47.9765, 47.9765) * CHOOSE(CONTROL!$C$21, $C$9, 100%, $E$9)</f>
        <v>47.976500000000001</v>
      </c>
      <c r="P795" s="10">
        <f>CHOOSE(CONTROL!$C$42, 47.8631, 47.8631) * CHOOSE(CONTROL!$C$21, $C$9, 100%, $E$9)</f>
        <v>47.863100000000003</v>
      </c>
      <c r="Q795" s="10">
        <f>CHOOSE(CONTROL!$C$42, 48.5718, 48.5718) * CHOOSE(CONTROL!$C$21, $C$9, 100%, $E$9)</f>
        <v>48.571800000000003</v>
      </c>
      <c r="R795" s="10">
        <f>CHOOSE(CONTROL!$C$42, 49.2802, 49.2802) * CHOOSE(CONTROL!$C$21, $C$9, 100%, $E$9)</f>
        <v>49.280200000000001</v>
      </c>
      <c r="S795" s="10">
        <f>CHOOSE(CONTROL!$C$42, 46.9633, 46.9633) * CHOOSE(CONTROL!$C$21, $C$9, 100%, $E$9)</f>
        <v>46.963299999999997</v>
      </c>
      <c r="T795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795" s="58">
        <f>(1000*CHOOSE(CONTROL!$C$42, 695, 695)*CHOOSE(CONTROL!$C$42, 0.5599, 0.5599)*CHOOSE(CONTROL!$C$42, 31, 31))/1000000</f>
        <v>12.063045499999998</v>
      </c>
      <c r="V795" s="58">
        <f>(1000*CHOOSE(CONTROL!$C$42, 500, 500)*CHOOSE(CONTROL!$C$42, 0.275, 0.275)*CHOOSE(CONTROL!$C$42, 31, 31))/1000000</f>
        <v>4.2625000000000002</v>
      </c>
      <c r="W795" s="58">
        <f>(1000*CHOOSE(CONTROL!$C$42, 0.1146, 0.1146)*CHOOSE(CONTROL!$C$42, 121.5, 121.5)*CHOOSE(CONTROL!$C$42, 31, 31))/1000000</f>
        <v>0.43164089999999994</v>
      </c>
      <c r="X795" s="58">
        <f>(31*0.1790888*100000/1000000)+(31*0.2374*100000/1000000)</f>
        <v>1.2911152800000001</v>
      </c>
      <c r="Y795" s="58"/>
      <c r="Z795" s="10"/>
      <c r="AA795" s="57"/>
      <c r="AB795" s="51">
        <f>(B795*122.58+C795*297.941+D795*89.177+E795*40.302+F795*40+G795*160+H795*0+I795*100+J795*300)/(122.58+297.941+89.177+40.302+0+40+160+100+300)</f>
        <v>48.365966995739129</v>
      </c>
      <c r="AC795" s="27">
        <f>(M795*'RAP TEMPLATE-GAS AVAILABILITY'!O794+N795*'RAP TEMPLATE-GAS AVAILABILITY'!P794+O795*'RAP TEMPLATE-GAS AVAILABILITY'!Q794+P795*'RAP TEMPLATE-GAS AVAILABILITY'!R794)/('RAP TEMPLATE-GAS AVAILABILITY'!O794+'RAP TEMPLATE-GAS AVAILABILITY'!P794+'RAP TEMPLATE-GAS AVAILABILITY'!Q794+'RAP TEMPLATE-GAS AVAILABILITY'!R794)</f>
        <v>47.918180575539566</v>
      </c>
    </row>
    <row r="796" spans="1:29" ht="15.75" x14ac:dyDescent="0.25">
      <c r="A796" s="13">
        <v>65135</v>
      </c>
      <c r="B796" s="10">
        <f>CHOOSE(CONTROL!$C$42, 48.2195, 48.2195) * CHOOSE(CONTROL!$C$21, $C$9, 100%, $E$9)</f>
        <v>48.219499999999996</v>
      </c>
      <c r="C796" s="10">
        <f>CHOOSE(CONTROL!$C$42, 48.2239, 48.2239) * CHOOSE(CONTROL!$C$21, $C$9, 100%, $E$9)</f>
        <v>48.2239</v>
      </c>
      <c r="D796" s="10">
        <f>CHOOSE(CONTROL!$C$42, 48.4195, 48.4195) * CHOOSE(CONTROL!$C$21, $C$9, 100%, $E$9)</f>
        <v>48.419499999999999</v>
      </c>
      <c r="E796" s="10">
        <f>CHOOSE(CONTROL!$C$42, 48.4513, 48.4513) * CHOOSE(CONTROL!$C$21, $C$9, 100%, $E$9)</f>
        <v>48.451300000000003</v>
      </c>
      <c r="F796" s="10">
        <f>CHOOSE(CONTROL!$C$42, 48.1873, 48.1873)*CHOOSE(CONTROL!$C$21, $C$9, 100%, $E$9)</f>
        <v>48.1873</v>
      </c>
      <c r="G796" s="10">
        <f>CHOOSE(CONTROL!$C$42, 48.2041, 48.2041)*CHOOSE(CONTROL!$C$21, $C$9, 100%, $E$9)</f>
        <v>48.204099999999997</v>
      </c>
      <c r="H796" s="10">
        <f>CHOOSE(CONTROL!$C$42, 48.441, 48.441) * CHOOSE(CONTROL!$C$21, $C$9, 100%, $E$9)</f>
        <v>48.441000000000003</v>
      </c>
      <c r="I796" s="10">
        <f>CHOOSE(CONTROL!$C$42, 48.1875, 48.1875)* CHOOSE(CONTROL!$C$21, $C$9, 100%, $E$9)</f>
        <v>48.1875</v>
      </c>
      <c r="J796" s="10">
        <f>CHOOSE(CONTROL!$C$42, 48.1803, 48.1803)* CHOOSE(CONTROL!$C$21, $C$9, 100%, $E$9)</f>
        <v>48.180300000000003</v>
      </c>
      <c r="K796" s="54">
        <f>CHOOSE(CONTROL!$C$42, 48.1836, 48.1836) * CHOOSE(CONTROL!$C$21, $C$9, 100%, $E$9)</f>
        <v>48.183599999999998</v>
      </c>
      <c r="L796" s="10">
        <f>CHOOSE(CONTROL!$C$42, 49.028, 49.028) * CHOOSE(CONTROL!$C$21, $C$9, 100%, $E$9)</f>
        <v>49.027999999999999</v>
      </c>
      <c r="M796" s="10">
        <f>CHOOSE(CONTROL!$C$42, 47.7079, 47.7079) * CHOOSE(CONTROL!$C$21, $C$9, 100%, $E$9)</f>
        <v>47.707900000000002</v>
      </c>
      <c r="N796" s="10">
        <f>CHOOSE(CONTROL!$C$42, 47.7245, 47.7245) * CHOOSE(CONTROL!$C$21, $C$9, 100%, $E$9)</f>
        <v>47.724499999999999</v>
      </c>
      <c r="O796" s="10">
        <f>CHOOSE(CONTROL!$C$42, 47.966, 47.966) * CHOOSE(CONTROL!$C$21, $C$9, 100%, $E$9)</f>
        <v>47.966000000000001</v>
      </c>
      <c r="P796" s="10">
        <f>CHOOSE(CONTROL!$C$42, 47.7151, 47.7151) * CHOOSE(CONTROL!$C$21, $C$9, 100%, $E$9)</f>
        <v>47.7151</v>
      </c>
      <c r="Q796" s="10">
        <f>CHOOSE(CONTROL!$C$42, 48.5613, 48.5613) * CHOOSE(CONTROL!$C$21, $C$9, 100%, $E$9)</f>
        <v>48.561300000000003</v>
      </c>
      <c r="R796" s="10">
        <f>CHOOSE(CONTROL!$C$42, 49.2697, 49.2697) * CHOOSE(CONTROL!$C$21, $C$9, 100%, $E$9)</f>
        <v>49.2697</v>
      </c>
      <c r="S796" s="10">
        <f>CHOOSE(CONTROL!$C$42, 46.8231, 46.8231) * CHOOSE(CONTROL!$C$21, $C$9, 100%, $E$9)</f>
        <v>46.823099999999997</v>
      </c>
      <c r="T796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796" s="58">
        <f>(1000*CHOOSE(CONTROL!$C$42, 695, 695)*CHOOSE(CONTROL!$C$42, 0.5599, 0.5599)*CHOOSE(CONTROL!$C$42, 30, 30))/1000000</f>
        <v>11.673914999999997</v>
      </c>
      <c r="V796" s="58">
        <f>(1000*CHOOSE(CONTROL!$C$42, 500, 500)*CHOOSE(CONTROL!$C$42, 0.275, 0.275)*CHOOSE(CONTROL!$C$42, 30, 30))/1000000</f>
        <v>4.125</v>
      </c>
      <c r="W796" s="58">
        <f>(1000*CHOOSE(CONTROL!$C$42, 0.1146, 0.1146)*CHOOSE(CONTROL!$C$42, 121.5, 121.5)*CHOOSE(CONTROL!$C$42, 30, 30))/1000000</f>
        <v>0.417717</v>
      </c>
      <c r="X796" s="58">
        <f>(30*0.1790888*245000/1000000)+(30*0.2374*100000/1000000)</f>
        <v>2.0285026799999999</v>
      </c>
      <c r="Y796" s="58"/>
      <c r="Z796" s="10"/>
      <c r="AA796" s="57"/>
      <c r="AB796" s="51">
        <f>(B796*141.293+C796*267.993+D796*115.016+E796*89.698+F796*40+G796*185+H796*0+I796*100+J796*300)/(141.293+267.993+115.016+89.698+0+40+185+100+300)</f>
        <v>48.240385686521385</v>
      </c>
      <c r="AC796" s="27">
        <f>(M796*'RAP TEMPLATE-GAS AVAILABILITY'!O795+N796*'RAP TEMPLATE-GAS AVAILABILITY'!P795+O796*'RAP TEMPLATE-GAS AVAILABILITY'!Q795+P796*'RAP TEMPLATE-GAS AVAILABILITY'!R795)/('RAP TEMPLATE-GAS AVAILABILITY'!O795+'RAP TEMPLATE-GAS AVAILABILITY'!P795+'RAP TEMPLATE-GAS AVAILABILITY'!Q795+'RAP TEMPLATE-GAS AVAILABILITY'!R795)</f>
        <v>47.82687194244604</v>
      </c>
    </row>
    <row r="797" spans="1:29" ht="15.75" x14ac:dyDescent="0.25">
      <c r="A797" s="13">
        <v>65166</v>
      </c>
      <c r="B797" s="10">
        <f>CHOOSE(CONTROL!$C$42, 48.6465, 48.6465) * CHOOSE(CONTROL!$C$21, $C$9, 100%, $E$9)</f>
        <v>48.646500000000003</v>
      </c>
      <c r="C797" s="10">
        <f>CHOOSE(CONTROL!$C$42, 48.6544, 48.6544) * CHOOSE(CONTROL!$C$21, $C$9, 100%, $E$9)</f>
        <v>48.654400000000003</v>
      </c>
      <c r="D797" s="10">
        <f>CHOOSE(CONTROL!$C$42, 48.8468, 48.8468) * CHOOSE(CONTROL!$C$21, $C$9, 100%, $E$9)</f>
        <v>48.846800000000002</v>
      </c>
      <c r="E797" s="10">
        <f>CHOOSE(CONTROL!$C$42, 48.878, 48.878) * CHOOSE(CONTROL!$C$21, $C$9, 100%, $E$9)</f>
        <v>48.878</v>
      </c>
      <c r="F797" s="10">
        <f>CHOOSE(CONTROL!$C$42, 48.6127, 48.6127)*CHOOSE(CONTROL!$C$21, $C$9, 100%, $E$9)</f>
        <v>48.612699999999997</v>
      </c>
      <c r="G797" s="10">
        <f>CHOOSE(CONTROL!$C$42, 48.6299, 48.6299)*CHOOSE(CONTROL!$C$21, $C$9, 100%, $E$9)</f>
        <v>48.629899999999999</v>
      </c>
      <c r="H797" s="10">
        <f>CHOOSE(CONTROL!$C$42, 48.8666, 48.8666) * CHOOSE(CONTROL!$C$21, $C$9, 100%, $E$9)</f>
        <v>48.866599999999998</v>
      </c>
      <c r="I797" s="10">
        <f>CHOOSE(CONTROL!$C$42, 48.6131, 48.6131)* CHOOSE(CONTROL!$C$21, $C$9, 100%, $E$9)</f>
        <v>48.613100000000003</v>
      </c>
      <c r="J797" s="10">
        <f>CHOOSE(CONTROL!$C$42, 48.6057, 48.6057)* CHOOSE(CONTROL!$C$21, $C$9, 100%, $E$9)</f>
        <v>48.605699999999999</v>
      </c>
      <c r="K797" s="54">
        <f>CHOOSE(CONTROL!$C$42, 48.6092, 48.6092) * CHOOSE(CONTROL!$C$21, $C$9, 100%, $E$9)</f>
        <v>48.609200000000001</v>
      </c>
      <c r="L797" s="10">
        <f>CHOOSE(CONTROL!$C$42, 49.4536, 49.4536) * CHOOSE(CONTROL!$C$21, $C$9, 100%, $E$9)</f>
        <v>49.453600000000002</v>
      </c>
      <c r="M797" s="10">
        <f>CHOOSE(CONTROL!$C$42, 48.129, 48.129) * CHOOSE(CONTROL!$C$21, $C$9, 100%, $E$9)</f>
        <v>48.128999999999998</v>
      </c>
      <c r="N797" s="10">
        <f>CHOOSE(CONTROL!$C$42, 48.146, 48.146) * CHOOSE(CONTROL!$C$21, $C$9, 100%, $E$9)</f>
        <v>48.146000000000001</v>
      </c>
      <c r="O797" s="10">
        <f>CHOOSE(CONTROL!$C$42, 48.3873, 48.3873) * CHOOSE(CONTROL!$C$21, $C$9, 100%, $E$9)</f>
        <v>48.387300000000003</v>
      </c>
      <c r="P797" s="10">
        <f>CHOOSE(CONTROL!$C$42, 48.1363, 48.1363) * CHOOSE(CONTROL!$C$21, $C$9, 100%, $E$9)</f>
        <v>48.136299999999999</v>
      </c>
      <c r="Q797" s="10">
        <f>CHOOSE(CONTROL!$C$42, 48.9826, 48.9826) * CHOOSE(CONTROL!$C$21, $C$9, 100%, $E$9)</f>
        <v>48.982599999999998</v>
      </c>
      <c r="R797" s="10">
        <f>CHOOSE(CONTROL!$C$42, 49.692, 49.692) * CHOOSE(CONTROL!$C$21, $C$9, 100%, $E$9)</f>
        <v>49.692</v>
      </c>
      <c r="S797" s="10">
        <f>CHOOSE(CONTROL!$C$42, 47.2364, 47.2364) * CHOOSE(CONTROL!$C$21, $C$9, 100%, $E$9)</f>
        <v>47.236400000000003</v>
      </c>
      <c r="T797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797" s="58">
        <f>(1000*CHOOSE(CONTROL!$C$42, 695, 695)*CHOOSE(CONTROL!$C$42, 0.5599, 0.5599)*CHOOSE(CONTROL!$C$42, 31, 31))/1000000</f>
        <v>12.063045499999998</v>
      </c>
      <c r="V797" s="58">
        <f>(1000*CHOOSE(CONTROL!$C$42, 500, 500)*CHOOSE(CONTROL!$C$42, 0.275, 0.275)*CHOOSE(CONTROL!$C$42, 31, 31))/1000000</f>
        <v>4.2625000000000002</v>
      </c>
      <c r="W797" s="58">
        <f>(1000*CHOOSE(CONTROL!$C$42, 0.1146, 0.1146)*CHOOSE(CONTROL!$C$42, 121.5, 121.5)*CHOOSE(CONTROL!$C$42, 31, 31))/1000000</f>
        <v>0.43164089999999994</v>
      </c>
      <c r="X797" s="58">
        <f>(31*0.1790888*245000/1000000)+(31*0.2374*100000/1000000)</f>
        <v>2.0961194359999999</v>
      </c>
      <c r="Y797" s="58"/>
      <c r="Z797" s="10"/>
      <c r="AA797" s="57"/>
      <c r="AB797" s="51">
        <f>(B797*194.205+C797*267.466+D797*133.845+E797*53.484+F797*40+G797*185+H797*0+I797*100+J797*300)/(194.205+267.466+133.845+53.484+0+40+185+100+300)</f>
        <v>48.663219529748822</v>
      </c>
      <c r="AC797" s="27">
        <f>(M797*'RAP TEMPLATE-GAS AVAILABILITY'!O796+N797*'RAP TEMPLATE-GAS AVAILABILITY'!P796+O797*'RAP TEMPLATE-GAS AVAILABILITY'!Q796+P797*'RAP TEMPLATE-GAS AVAILABILITY'!R796)/('RAP TEMPLATE-GAS AVAILABILITY'!O796+'RAP TEMPLATE-GAS AVAILABILITY'!P796+'RAP TEMPLATE-GAS AVAILABILITY'!Q796+'RAP TEMPLATE-GAS AVAILABILITY'!R796)</f>
        <v>48.248100000000001</v>
      </c>
    </row>
    <row r="798" spans="1:29" ht="15.75" x14ac:dyDescent="0.25">
      <c r="A798" s="13">
        <v>65196</v>
      </c>
      <c r="B798" s="10">
        <f>CHOOSE(CONTROL!$C$42, 50.0263, 50.0263) * CHOOSE(CONTROL!$C$21, $C$9, 100%, $E$9)</f>
        <v>50.026299999999999</v>
      </c>
      <c r="C798" s="10">
        <f>CHOOSE(CONTROL!$C$42, 50.0342, 50.0342) * CHOOSE(CONTROL!$C$21, $C$9, 100%, $E$9)</f>
        <v>50.034199999999998</v>
      </c>
      <c r="D798" s="10">
        <f>CHOOSE(CONTROL!$C$42, 50.2266, 50.2266) * CHOOSE(CONTROL!$C$21, $C$9, 100%, $E$9)</f>
        <v>50.226599999999998</v>
      </c>
      <c r="E798" s="10">
        <f>CHOOSE(CONTROL!$C$42, 50.2577, 50.2577) * CHOOSE(CONTROL!$C$21, $C$9, 100%, $E$9)</f>
        <v>50.2577</v>
      </c>
      <c r="F798" s="10">
        <f>CHOOSE(CONTROL!$C$42, 49.9927, 49.9927)*CHOOSE(CONTROL!$C$21, $C$9, 100%, $E$9)</f>
        <v>49.992699999999999</v>
      </c>
      <c r="G798" s="10">
        <f>CHOOSE(CONTROL!$C$42, 50.0099, 50.0099)*CHOOSE(CONTROL!$C$21, $C$9, 100%, $E$9)</f>
        <v>50.009900000000002</v>
      </c>
      <c r="H798" s="10">
        <f>CHOOSE(CONTROL!$C$42, 50.2464, 50.2464) * CHOOSE(CONTROL!$C$21, $C$9, 100%, $E$9)</f>
        <v>50.246400000000001</v>
      </c>
      <c r="I798" s="10">
        <f>CHOOSE(CONTROL!$C$42, 49.9928, 49.9928)* CHOOSE(CONTROL!$C$21, $C$9, 100%, $E$9)</f>
        <v>49.992800000000003</v>
      </c>
      <c r="J798" s="10">
        <f>CHOOSE(CONTROL!$C$42, 49.9857, 49.9857)* CHOOSE(CONTROL!$C$21, $C$9, 100%, $E$9)</f>
        <v>49.985700000000001</v>
      </c>
      <c r="K798" s="54">
        <f>CHOOSE(CONTROL!$C$42, 49.9889, 49.9889) * CHOOSE(CONTROL!$C$21, $C$9, 100%, $E$9)</f>
        <v>49.988900000000001</v>
      </c>
      <c r="L798" s="10">
        <f>CHOOSE(CONTROL!$C$42, 50.8334, 50.8334) * CHOOSE(CONTROL!$C$21, $C$9, 100%, $E$9)</f>
        <v>50.833399999999997</v>
      </c>
      <c r="M798" s="10">
        <f>CHOOSE(CONTROL!$C$42, 49.4951, 49.4951) * CHOOSE(CONTROL!$C$21, $C$9, 100%, $E$9)</f>
        <v>49.495100000000001</v>
      </c>
      <c r="N798" s="10">
        <f>CHOOSE(CONTROL!$C$42, 49.5121, 49.5121) * CHOOSE(CONTROL!$C$21, $C$9, 100%, $E$9)</f>
        <v>49.512099999999997</v>
      </c>
      <c r="O798" s="10">
        <f>CHOOSE(CONTROL!$C$42, 49.7531, 49.7531) * CHOOSE(CONTROL!$C$21, $C$9, 100%, $E$9)</f>
        <v>49.753100000000003</v>
      </c>
      <c r="P798" s="10">
        <f>CHOOSE(CONTROL!$C$42, 49.5022, 49.5022) * CHOOSE(CONTROL!$C$21, $C$9, 100%, $E$9)</f>
        <v>49.502200000000002</v>
      </c>
      <c r="Q798" s="10">
        <f>CHOOSE(CONTROL!$C$42, 50.3484, 50.3484) * CHOOSE(CONTROL!$C$21, $C$9, 100%, $E$9)</f>
        <v>50.348399999999998</v>
      </c>
      <c r="R798" s="10">
        <f>CHOOSE(CONTROL!$C$42, 51.0613, 51.0613) * CHOOSE(CONTROL!$C$21, $C$9, 100%, $E$9)</f>
        <v>51.061300000000003</v>
      </c>
      <c r="S798" s="10">
        <f>CHOOSE(CONTROL!$C$42, 48.5762, 48.5762) * CHOOSE(CONTROL!$C$21, $C$9, 100%, $E$9)</f>
        <v>48.5762</v>
      </c>
      <c r="T798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798" s="58">
        <f>(1000*CHOOSE(CONTROL!$C$42, 695, 695)*CHOOSE(CONTROL!$C$42, 0.5599, 0.5599)*CHOOSE(CONTROL!$C$42, 30, 30))/1000000</f>
        <v>11.673914999999997</v>
      </c>
      <c r="V798" s="58">
        <f>(1000*CHOOSE(CONTROL!$C$42, 500, 500)*CHOOSE(CONTROL!$C$42, 0.275, 0.275)*CHOOSE(CONTROL!$C$42, 30, 30))/1000000</f>
        <v>4.125</v>
      </c>
      <c r="W798" s="58">
        <f>(1000*CHOOSE(CONTROL!$C$42, 0.1146, 0.1146)*CHOOSE(CONTROL!$C$42, 121.5, 121.5)*CHOOSE(CONTROL!$C$42, 30, 30))/1000000</f>
        <v>0.417717</v>
      </c>
      <c r="X798" s="58">
        <f>(30*0.1790888*245000/1000000)+(30*0.2374*100000/1000000)</f>
        <v>2.0285026799999999</v>
      </c>
      <c r="Y798" s="58"/>
      <c r="Z798" s="10"/>
      <c r="AA798" s="57"/>
      <c r="AB798" s="51">
        <f>(B798*194.205+C798*267.466+D798*133.845+E798*53.484+F798*40+G798*185+H798*0+I798*100+J798*300)/(194.205+267.466+133.845+53.484+0+40+185+100+300)</f>
        <v>50.043089899921505</v>
      </c>
      <c r="AC798" s="27">
        <f>(M798*'RAP TEMPLATE-GAS AVAILABILITY'!O797+N798*'RAP TEMPLATE-GAS AVAILABILITY'!P797+O798*'RAP TEMPLATE-GAS AVAILABILITY'!Q797+P798*'RAP TEMPLATE-GAS AVAILABILITY'!R797)/('RAP TEMPLATE-GAS AVAILABILITY'!O797+'RAP TEMPLATE-GAS AVAILABILITY'!P797+'RAP TEMPLATE-GAS AVAILABILITY'!Q797+'RAP TEMPLATE-GAS AVAILABILITY'!R797)</f>
        <v>49.614035251798562</v>
      </c>
    </row>
    <row r="799" spans="1:29" ht="15.75" x14ac:dyDescent="0.25">
      <c r="A799" s="13">
        <v>65227</v>
      </c>
      <c r="B799" s="10">
        <f>CHOOSE(CONTROL!$C$42, 49.0666, 49.0666) * CHOOSE(CONTROL!$C$21, $C$9, 100%, $E$9)</f>
        <v>49.066600000000001</v>
      </c>
      <c r="C799" s="10">
        <f>CHOOSE(CONTROL!$C$42, 49.0745, 49.0745) * CHOOSE(CONTROL!$C$21, $C$9, 100%, $E$9)</f>
        <v>49.0745</v>
      </c>
      <c r="D799" s="10">
        <f>CHOOSE(CONTROL!$C$42, 49.267, 49.267) * CHOOSE(CONTROL!$C$21, $C$9, 100%, $E$9)</f>
        <v>49.267000000000003</v>
      </c>
      <c r="E799" s="10">
        <f>CHOOSE(CONTROL!$C$42, 49.2981, 49.2981) * CHOOSE(CONTROL!$C$21, $C$9, 100%, $E$9)</f>
        <v>49.298099999999998</v>
      </c>
      <c r="F799" s="10">
        <f>CHOOSE(CONTROL!$C$42, 49.0335, 49.0335)*CHOOSE(CONTROL!$C$21, $C$9, 100%, $E$9)</f>
        <v>49.033499999999997</v>
      </c>
      <c r="G799" s="10">
        <f>CHOOSE(CONTROL!$C$42, 49.0508, 49.0508)*CHOOSE(CONTROL!$C$21, $C$9, 100%, $E$9)</f>
        <v>49.050800000000002</v>
      </c>
      <c r="H799" s="10">
        <f>CHOOSE(CONTROL!$C$42, 49.2867, 49.2867) * CHOOSE(CONTROL!$C$21, $C$9, 100%, $E$9)</f>
        <v>49.286700000000003</v>
      </c>
      <c r="I799" s="10">
        <f>CHOOSE(CONTROL!$C$42, 49.0332, 49.0332)* CHOOSE(CONTROL!$C$21, $C$9, 100%, $E$9)</f>
        <v>49.033200000000001</v>
      </c>
      <c r="J799" s="10">
        <f>CHOOSE(CONTROL!$C$42, 49.0265, 49.0265)* CHOOSE(CONTROL!$C$21, $C$9, 100%, $E$9)</f>
        <v>49.026499999999999</v>
      </c>
      <c r="K799" s="54">
        <f>CHOOSE(CONTROL!$C$42, 49.0293, 49.0293) * CHOOSE(CONTROL!$C$21, $C$9, 100%, $E$9)</f>
        <v>49.029299999999999</v>
      </c>
      <c r="L799" s="10">
        <f>CHOOSE(CONTROL!$C$42, 49.8737, 49.8737) * CHOOSE(CONTROL!$C$21, $C$9, 100%, $E$9)</f>
        <v>49.873699999999999</v>
      </c>
      <c r="M799" s="10">
        <f>CHOOSE(CONTROL!$C$42, 48.5456, 48.5456) * CHOOSE(CONTROL!$C$21, $C$9, 100%, $E$9)</f>
        <v>48.5456</v>
      </c>
      <c r="N799" s="10">
        <f>CHOOSE(CONTROL!$C$42, 48.5627, 48.5627) * CHOOSE(CONTROL!$C$21, $C$9, 100%, $E$9)</f>
        <v>48.5627</v>
      </c>
      <c r="O799" s="10">
        <f>CHOOSE(CONTROL!$C$42, 48.8032, 48.8032) * CHOOSE(CONTROL!$C$21, $C$9, 100%, $E$9)</f>
        <v>48.803199999999997</v>
      </c>
      <c r="P799" s="10">
        <f>CHOOSE(CONTROL!$C$42, 48.5522, 48.5522) * CHOOSE(CONTROL!$C$21, $C$9, 100%, $E$9)</f>
        <v>48.552199999999999</v>
      </c>
      <c r="Q799" s="10">
        <f>CHOOSE(CONTROL!$C$42, 49.3985, 49.3985) * CHOOSE(CONTROL!$C$21, $C$9, 100%, $E$9)</f>
        <v>49.398499999999999</v>
      </c>
      <c r="R799" s="10">
        <f>CHOOSE(CONTROL!$C$42, 50.109, 50.109) * CHOOSE(CONTROL!$C$21, $C$9, 100%, $E$9)</f>
        <v>50.109000000000002</v>
      </c>
      <c r="S799" s="10">
        <f>CHOOSE(CONTROL!$C$42, 47.6443, 47.6443) * CHOOSE(CONTROL!$C$21, $C$9, 100%, $E$9)</f>
        <v>47.644300000000001</v>
      </c>
      <c r="T799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799" s="58">
        <f>(1000*CHOOSE(CONTROL!$C$42, 695, 695)*CHOOSE(CONTROL!$C$42, 0.5599, 0.5599)*CHOOSE(CONTROL!$C$42, 31, 31))/1000000</f>
        <v>12.063045499999998</v>
      </c>
      <c r="V799" s="58">
        <f>(1000*CHOOSE(CONTROL!$C$42, 500, 500)*CHOOSE(CONTROL!$C$42, 0.275, 0.275)*CHOOSE(CONTROL!$C$42, 31, 31))/1000000</f>
        <v>4.2625000000000002</v>
      </c>
      <c r="W799" s="58">
        <f>(1000*CHOOSE(CONTROL!$C$42, 0.1146, 0.1146)*CHOOSE(CONTROL!$C$42, 121.5, 121.5)*CHOOSE(CONTROL!$C$42, 31, 31))/1000000</f>
        <v>0.43164089999999994</v>
      </c>
      <c r="X799" s="58">
        <f>(31*0.1790888*245000/1000000)+(31*0.2374*100000/1000000)</f>
        <v>2.0961194359999999</v>
      </c>
      <c r="Y799" s="58"/>
      <c r="Z799" s="10"/>
      <c r="AA799" s="57"/>
      <c r="AB799" s="51">
        <f>(B799*194.205+C799*267.466+D799*133.845+E799*53.484+F799*40+G799*185+H799*0+I799*100+J799*300)/(194.205+267.466+133.845+53.484+0+40+185+100+300)</f>
        <v>49.083633018367344</v>
      </c>
      <c r="AC799" s="27">
        <f>(M799*'RAP TEMPLATE-GAS AVAILABILITY'!O798+N799*'RAP TEMPLATE-GAS AVAILABILITY'!P798+O799*'RAP TEMPLATE-GAS AVAILABILITY'!Q798+P799*'RAP TEMPLATE-GAS AVAILABILITY'!R798)/('RAP TEMPLATE-GAS AVAILABILITY'!O798+'RAP TEMPLATE-GAS AVAILABILITY'!P798+'RAP TEMPLATE-GAS AVAILABILITY'!Q798+'RAP TEMPLATE-GAS AVAILABILITY'!R798)</f>
        <v>48.664287769784174</v>
      </c>
    </row>
    <row r="800" spans="1:29" ht="15.75" x14ac:dyDescent="0.25">
      <c r="A800" s="13">
        <v>65258</v>
      </c>
      <c r="B800" s="10">
        <f>CHOOSE(CONTROL!$C$42, 46.6432, 46.6432) * CHOOSE(CONTROL!$C$21, $C$9, 100%, $E$9)</f>
        <v>46.6432</v>
      </c>
      <c r="C800" s="10">
        <f>CHOOSE(CONTROL!$C$42, 46.6511, 46.6511) * CHOOSE(CONTROL!$C$21, $C$9, 100%, $E$9)</f>
        <v>46.6511</v>
      </c>
      <c r="D800" s="10">
        <f>CHOOSE(CONTROL!$C$42, 46.8436, 46.8436) * CHOOSE(CONTROL!$C$21, $C$9, 100%, $E$9)</f>
        <v>46.843600000000002</v>
      </c>
      <c r="E800" s="10">
        <f>CHOOSE(CONTROL!$C$42, 46.8747, 46.8747) * CHOOSE(CONTROL!$C$21, $C$9, 100%, $E$9)</f>
        <v>46.874699999999997</v>
      </c>
      <c r="F800" s="10">
        <f>CHOOSE(CONTROL!$C$42, 46.6103, 46.6103)*CHOOSE(CONTROL!$C$21, $C$9, 100%, $E$9)</f>
        <v>46.610300000000002</v>
      </c>
      <c r="G800" s="10">
        <f>CHOOSE(CONTROL!$C$42, 46.6276, 46.6276)*CHOOSE(CONTROL!$C$21, $C$9, 100%, $E$9)</f>
        <v>46.627600000000001</v>
      </c>
      <c r="H800" s="10">
        <f>CHOOSE(CONTROL!$C$42, 46.8633, 46.8633) * CHOOSE(CONTROL!$C$21, $C$9, 100%, $E$9)</f>
        <v>46.863300000000002</v>
      </c>
      <c r="I800" s="10">
        <f>CHOOSE(CONTROL!$C$42, 46.6098, 46.6098)* CHOOSE(CONTROL!$C$21, $C$9, 100%, $E$9)</f>
        <v>46.6098</v>
      </c>
      <c r="J800" s="10">
        <f>CHOOSE(CONTROL!$C$42, 46.6033, 46.6033)* CHOOSE(CONTROL!$C$21, $C$9, 100%, $E$9)</f>
        <v>46.603299999999997</v>
      </c>
      <c r="K800" s="54">
        <f>CHOOSE(CONTROL!$C$42, 46.6059, 46.6059) * CHOOSE(CONTROL!$C$21, $C$9, 100%, $E$9)</f>
        <v>46.605899999999998</v>
      </c>
      <c r="L800" s="10">
        <f>CHOOSE(CONTROL!$C$42, 47.4503, 47.4503) * CHOOSE(CONTROL!$C$21, $C$9, 100%, $E$9)</f>
        <v>47.450299999999999</v>
      </c>
      <c r="M800" s="10">
        <f>CHOOSE(CONTROL!$C$42, 46.1468, 46.1468) * CHOOSE(CONTROL!$C$21, $C$9, 100%, $E$9)</f>
        <v>46.146799999999999</v>
      </c>
      <c r="N800" s="10">
        <f>CHOOSE(CONTROL!$C$42, 46.164, 46.164) * CHOOSE(CONTROL!$C$21, $C$9, 100%, $E$9)</f>
        <v>46.164000000000001</v>
      </c>
      <c r="O800" s="10">
        <f>CHOOSE(CONTROL!$C$42, 46.4042, 46.4042) * CHOOSE(CONTROL!$C$21, $C$9, 100%, $E$9)</f>
        <v>46.404200000000003</v>
      </c>
      <c r="P800" s="10">
        <f>CHOOSE(CONTROL!$C$42, 46.1533, 46.1533) * CHOOSE(CONTROL!$C$21, $C$9, 100%, $E$9)</f>
        <v>46.153300000000002</v>
      </c>
      <c r="Q800" s="10">
        <f>CHOOSE(CONTROL!$C$42, 46.9995, 46.9995) * CHOOSE(CONTROL!$C$21, $C$9, 100%, $E$9)</f>
        <v>46.999499999999998</v>
      </c>
      <c r="R800" s="10">
        <f>CHOOSE(CONTROL!$C$42, 47.704, 47.704) * CHOOSE(CONTROL!$C$21, $C$9, 100%, $E$9)</f>
        <v>47.704000000000001</v>
      </c>
      <c r="S800" s="10">
        <f>CHOOSE(CONTROL!$C$42, 45.291, 45.291) * CHOOSE(CONTROL!$C$21, $C$9, 100%, $E$9)</f>
        <v>45.290999999999997</v>
      </c>
      <c r="T800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800" s="58">
        <f>(1000*CHOOSE(CONTROL!$C$42, 695, 695)*CHOOSE(CONTROL!$C$42, 0.5599, 0.5599)*CHOOSE(CONTROL!$C$42, 31, 31))/1000000</f>
        <v>12.063045499999998</v>
      </c>
      <c r="V800" s="58">
        <f>(1000*CHOOSE(CONTROL!$C$42, 500, 500)*CHOOSE(CONTROL!$C$42, 0.275, 0.275)*CHOOSE(CONTROL!$C$42, 31, 31))/1000000</f>
        <v>4.2625000000000002</v>
      </c>
      <c r="W800" s="58">
        <f>(1000*CHOOSE(CONTROL!$C$42, 0.1146, 0.1146)*CHOOSE(CONTROL!$C$42, 121.5, 121.5)*CHOOSE(CONTROL!$C$42, 31, 31))/1000000</f>
        <v>0.43164089999999994</v>
      </c>
      <c r="X800" s="58">
        <f>(31*0.1790888*245000/1000000)+(31*0.2374*100000/1000000)</f>
        <v>2.0961194359999999</v>
      </c>
      <c r="Y800" s="58"/>
      <c r="Z800" s="10"/>
      <c r="AA800" s="57"/>
      <c r="AB800" s="51">
        <f>(B800*194.205+C800*267.466+D800*133.845+E800*53.484+F800*40+G800*185+H800*0+I800*100+J800*300)/(194.205+267.466+133.845+53.484+0+40+185+100+300)</f>
        <v>46.660315435949762</v>
      </c>
      <c r="AC800" s="27">
        <f>(M800*'RAP TEMPLATE-GAS AVAILABILITY'!O799+N800*'RAP TEMPLATE-GAS AVAILABILITY'!P799+O800*'RAP TEMPLATE-GAS AVAILABILITY'!Q799+P800*'RAP TEMPLATE-GAS AVAILABILITY'!R799)/('RAP TEMPLATE-GAS AVAILABILITY'!O799+'RAP TEMPLATE-GAS AVAILABILITY'!P799+'RAP TEMPLATE-GAS AVAILABILITY'!Q799+'RAP TEMPLATE-GAS AVAILABILITY'!R799)</f>
        <v>46.265388489208632</v>
      </c>
    </row>
    <row r="801" spans="1:29" ht="15.75" x14ac:dyDescent="0.25">
      <c r="A801" s="13">
        <v>65288</v>
      </c>
      <c r="B801" s="10">
        <f>CHOOSE(CONTROL!$C$42, 43.6819, 43.6819) * CHOOSE(CONTROL!$C$21, $C$9, 100%, $E$9)</f>
        <v>43.681899999999999</v>
      </c>
      <c r="C801" s="10">
        <f>CHOOSE(CONTROL!$C$42, 43.6898, 43.6898) * CHOOSE(CONTROL!$C$21, $C$9, 100%, $E$9)</f>
        <v>43.689799999999998</v>
      </c>
      <c r="D801" s="10">
        <f>CHOOSE(CONTROL!$C$42, 43.8823, 43.8823) * CHOOSE(CONTROL!$C$21, $C$9, 100%, $E$9)</f>
        <v>43.882300000000001</v>
      </c>
      <c r="E801" s="10">
        <f>CHOOSE(CONTROL!$C$42, 43.9134, 43.9134) * CHOOSE(CONTROL!$C$21, $C$9, 100%, $E$9)</f>
        <v>43.913400000000003</v>
      </c>
      <c r="F801" s="10">
        <f>CHOOSE(CONTROL!$C$42, 43.6488, 43.6488)*CHOOSE(CONTROL!$C$21, $C$9, 100%, $E$9)</f>
        <v>43.648800000000001</v>
      </c>
      <c r="G801" s="10">
        <f>CHOOSE(CONTROL!$C$42, 43.6661, 43.6661)*CHOOSE(CONTROL!$C$21, $C$9, 100%, $E$9)</f>
        <v>43.6661</v>
      </c>
      <c r="H801" s="10">
        <f>CHOOSE(CONTROL!$C$42, 43.902, 43.902) * CHOOSE(CONTROL!$C$21, $C$9, 100%, $E$9)</f>
        <v>43.902000000000001</v>
      </c>
      <c r="I801" s="10">
        <f>CHOOSE(CONTROL!$C$42, 43.6485, 43.6485)* CHOOSE(CONTROL!$C$21, $C$9, 100%, $E$9)</f>
        <v>43.648499999999999</v>
      </c>
      <c r="J801" s="10">
        <f>CHOOSE(CONTROL!$C$42, 43.6418, 43.6418)* CHOOSE(CONTROL!$C$21, $C$9, 100%, $E$9)</f>
        <v>43.641800000000003</v>
      </c>
      <c r="K801" s="54">
        <f>CHOOSE(CONTROL!$C$42, 43.6446, 43.6446) * CHOOSE(CONTROL!$C$21, $C$9, 100%, $E$9)</f>
        <v>43.644599999999997</v>
      </c>
      <c r="L801" s="10">
        <f>CHOOSE(CONTROL!$C$42, 44.489, 44.489) * CHOOSE(CONTROL!$C$21, $C$9, 100%, $E$9)</f>
        <v>44.488999999999997</v>
      </c>
      <c r="M801" s="10">
        <f>CHOOSE(CONTROL!$C$42, 43.2152, 43.2152) * CHOOSE(CONTROL!$C$21, $C$9, 100%, $E$9)</f>
        <v>43.215200000000003</v>
      </c>
      <c r="N801" s="10">
        <f>CHOOSE(CONTROL!$C$42, 43.2323, 43.2323) * CHOOSE(CONTROL!$C$21, $C$9, 100%, $E$9)</f>
        <v>43.232300000000002</v>
      </c>
      <c r="O801" s="10">
        <f>CHOOSE(CONTROL!$C$42, 43.4728, 43.4728) * CHOOSE(CONTROL!$C$21, $C$9, 100%, $E$9)</f>
        <v>43.472799999999999</v>
      </c>
      <c r="P801" s="10">
        <f>CHOOSE(CONTROL!$C$42, 43.2219, 43.2219) * CHOOSE(CONTROL!$C$21, $C$9, 100%, $E$9)</f>
        <v>43.221899999999998</v>
      </c>
      <c r="Q801" s="10">
        <f>CHOOSE(CONTROL!$C$42, 44.0681, 44.0681) * CHOOSE(CONTROL!$C$21, $C$9, 100%, $E$9)</f>
        <v>44.068100000000001</v>
      </c>
      <c r="R801" s="10">
        <f>CHOOSE(CONTROL!$C$42, 44.7653, 44.7653) * CHOOSE(CONTROL!$C$21, $C$9, 100%, $E$9)</f>
        <v>44.765300000000003</v>
      </c>
      <c r="S801" s="10">
        <f>CHOOSE(CONTROL!$C$42, 42.4152, 42.4152) * CHOOSE(CONTROL!$C$21, $C$9, 100%, $E$9)</f>
        <v>42.415199999999999</v>
      </c>
      <c r="T801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801" s="58">
        <f>(1000*CHOOSE(CONTROL!$C$42, 695, 695)*CHOOSE(CONTROL!$C$42, 0.5599, 0.5599)*CHOOSE(CONTROL!$C$42, 30, 30))/1000000</f>
        <v>11.673914999999997</v>
      </c>
      <c r="V801" s="58">
        <f>(1000*CHOOSE(CONTROL!$C$42, 500, 500)*CHOOSE(CONTROL!$C$42, 0.275, 0.275)*CHOOSE(CONTROL!$C$42, 30, 30))/1000000</f>
        <v>4.125</v>
      </c>
      <c r="W801" s="58">
        <f>(1000*CHOOSE(CONTROL!$C$42, 0.1146, 0.1146)*CHOOSE(CONTROL!$C$42, 121.5, 121.5)*CHOOSE(CONTROL!$C$42, 30, 30))/1000000</f>
        <v>0.417717</v>
      </c>
      <c r="X801" s="58">
        <f>(30*0.1790888*245000/1000000)+(30*0.2374*100000/1000000)</f>
        <v>2.0285026799999999</v>
      </c>
      <c r="Y801" s="58"/>
      <c r="Z801" s="10"/>
      <c r="AA801" s="57"/>
      <c r="AB801" s="51">
        <f>(B801*194.205+C801*267.466+D801*133.845+E801*53.484+F801*40+G801*185+H801*0+I801*100+J801*300)/(194.205+267.466+133.845+53.484+0+40+185+100+300)</f>
        <v>43.698933018367342</v>
      </c>
      <c r="AC801" s="27">
        <f>(M801*'RAP TEMPLATE-GAS AVAILABILITY'!O800+N801*'RAP TEMPLATE-GAS AVAILABILITY'!P800+O801*'RAP TEMPLATE-GAS AVAILABILITY'!Q800+P801*'RAP TEMPLATE-GAS AVAILABILITY'!R800)/('RAP TEMPLATE-GAS AVAILABILITY'!O800+'RAP TEMPLATE-GAS AVAILABILITY'!P800+'RAP TEMPLATE-GAS AVAILABILITY'!Q800+'RAP TEMPLATE-GAS AVAILABILITY'!R800)</f>
        <v>43.333902158273382</v>
      </c>
    </row>
    <row r="802" spans="1:29" ht="15.75" x14ac:dyDescent="0.25">
      <c r="A802" s="13">
        <v>65319</v>
      </c>
      <c r="B802" s="10">
        <f>CHOOSE(CONTROL!$C$42, 42.7933, 42.7933) * CHOOSE(CONTROL!$C$21, $C$9, 100%, $E$9)</f>
        <v>42.793300000000002</v>
      </c>
      <c r="C802" s="10">
        <f>CHOOSE(CONTROL!$C$42, 42.7985, 42.7985) * CHOOSE(CONTROL!$C$21, $C$9, 100%, $E$9)</f>
        <v>42.798499999999997</v>
      </c>
      <c r="D802" s="10">
        <f>CHOOSE(CONTROL!$C$42, 42.9959, 42.9959) * CHOOSE(CONTROL!$C$21, $C$9, 100%, $E$9)</f>
        <v>42.995899999999999</v>
      </c>
      <c r="E802" s="10">
        <f>CHOOSE(CONTROL!$C$42, 43.0247, 43.0247) * CHOOSE(CONTROL!$C$21, $C$9, 100%, $E$9)</f>
        <v>43.024700000000003</v>
      </c>
      <c r="F802" s="10">
        <f>CHOOSE(CONTROL!$C$42, 42.7622, 42.7622)*CHOOSE(CONTROL!$C$21, $C$9, 100%, $E$9)</f>
        <v>42.7622</v>
      </c>
      <c r="G802" s="10">
        <f>CHOOSE(CONTROL!$C$42, 42.7792, 42.7792)*CHOOSE(CONTROL!$C$21, $C$9, 100%, $E$9)</f>
        <v>42.779200000000003</v>
      </c>
      <c r="H802" s="10">
        <f>CHOOSE(CONTROL!$C$42, 43.0152, 43.0152) * CHOOSE(CONTROL!$C$21, $C$9, 100%, $E$9)</f>
        <v>43.0152</v>
      </c>
      <c r="I802" s="10">
        <f>CHOOSE(CONTROL!$C$42, 42.7617, 42.7617)* CHOOSE(CONTROL!$C$21, $C$9, 100%, $E$9)</f>
        <v>42.761699999999998</v>
      </c>
      <c r="J802" s="10">
        <f>CHOOSE(CONTROL!$C$42, 42.7552, 42.7552)* CHOOSE(CONTROL!$C$21, $C$9, 100%, $E$9)</f>
        <v>42.755200000000002</v>
      </c>
      <c r="K802" s="54">
        <f>CHOOSE(CONTROL!$C$42, 42.7578, 42.7578) * CHOOSE(CONTROL!$C$21, $C$9, 100%, $E$9)</f>
        <v>42.757800000000003</v>
      </c>
      <c r="L802" s="10">
        <f>CHOOSE(CONTROL!$C$42, 43.6022, 43.6022) * CHOOSE(CONTROL!$C$21, $C$9, 100%, $E$9)</f>
        <v>43.602200000000003</v>
      </c>
      <c r="M802" s="10">
        <f>CHOOSE(CONTROL!$C$42, 42.3376, 42.3376) * CHOOSE(CONTROL!$C$21, $C$9, 100%, $E$9)</f>
        <v>42.337600000000002</v>
      </c>
      <c r="N802" s="10">
        <f>CHOOSE(CONTROL!$C$42, 42.3544, 42.3544) * CHOOSE(CONTROL!$C$21, $C$9, 100%, $E$9)</f>
        <v>42.354399999999998</v>
      </c>
      <c r="O802" s="10">
        <f>CHOOSE(CONTROL!$C$42, 42.5949, 42.5949) * CHOOSE(CONTROL!$C$21, $C$9, 100%, $E$9)</f>
        <v>42.594900000000003</v>
      </c>
      <c r="P802" s="10">
        <f>CHOOSE(CONTROL!$C$42, 42.344, 42.344) * CHOOSE(CONTROL!$C$21, $C$9, 100%, $E$9)</f>
        <v>42.344000000000001</v>
      </c>
      <c r="Q802" s="10">
        <f>CHOOSE(CONTROL!$C$42, 43.1902, 43.1902) * CHOOSE(CONTROL!$C$21, $C$9, 100%, $E$9)</f>
        <v>43.190199999999997</v>
      </c>
      <c r="R802" s="10">
        <f>CHOOSE(CONTROL!$C$42, 43.8852, 43.8852) * CHOOSE(CONTROL!$C$21, $C$9, 100%, $E$9)</f>
        <v>43.885199999999998</v>
      </c>
      <c r="S802" s="10">
        <f>CHOOSE(CONTROL!$C$42, 41.5541, 41.5541) * CHOOSE(CONTROL!$C$21, $C$9, 100%, $E$9)</f>
        <v>41.554099999999998</v>
      </c>
      <c r="T802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802" s="58">
        <f>(1000*CHOOSE(CONTROL!$C$42, 695, 695)*CHOOSE(CONTROL!$C$42, 0.5599, 0.5599)*CHOOSE(CONTROL!$C$42, 31, 31))/1000000</f>
        <v>12.063045499999998</v>
      </c>
      <c r="V802" s="58">
        <f>(1000*CHOOSE(CONTROL!$C$42, 500, 500)*CHOOSE(CONTROL!$C$42, 0.275, 0.275)*CHOOSE(CONTROL!$C$42, 31, 31))/1000000</f>
        <v>4.2625000000000002</v>
      </c>
      <c r="W802" s="58">
        <f>(1000*CHOOSE(CONTROL!$C$42, 0.1146, 0.1146)*CHOOSE(CONTROL!$C$42, 121.5, 121.5)*CHOOSE(CONTROL!$C$42, 31, 31))/1000000</f>
        <v>0.43164089999999994</v>
      </c>
      <c r="X802" s="58">
        <f>(31*0.1790888*245000/1000000)+(31*0.2374*100000/1000000)</f>
        <v>2.0961194359999999</v>
      </c>
      <c r="Y802" s="58"/>
      <c r="Z802" s="10"/>
      <c r="AA802" s="57"/>
      <c r="AB802" s="51">
        <f>(B802*131.881+C802*277.167+D802*79.08+E802*125.872+F802*40+G802*185+H802*0+I802*100+J802*300)/(131.881+277.167+79.08+125.872+0+40+185+100+300)</f>
        <v>42.816017641000812</v>
      </c>
      <c r="AC802" s="27">
        <f>(M802*'RAP TEMPLATE-GAS AVAILABILITY'!O801+N802*'RAP TEMPLATE-GAS AVAILABILITY'!P801+O802*'RAP TEMPLATE-GAS AVAILABILITY'!Q801+P802*'RAP TEMPLATE-GAS AVAILABILITY'!R801)/('RAP TEMPLATE-GAS AVAILABILITY'!O801+'RAP TEMPLATE-GAS AVAILABILITY'!P801+'RAP TEMPLATE-GAS AVAILABILITY'!Q801+'RAP TEMPLATE-GAS AVAILABILITY'!R801)</f>
        <v>42.45610575539569</v>
      </c>
    </row>
    <row r="803" spans="1:29" ht="15.75" x14ac:dyDescent="0.25">
      <c r="A803" s="13">
        <v>65349</v>
      </c>
      <c r="B803" s="10">
        <f>CHOOSE(CONTROL!$C$42, 43.9202, 43.9202) * CHOOSE(CONTROL!$C$21, $C$9, 100%, $E$9)</f>
        <v>43.920200000000001</v>
      </c>
      <c r="C803" s="10">
        <f>CHOOSE(CONTROL!$C$42, 43.9252, 43.9252) * CHOOSE(CONTROL!$C$21, $C$9, 100%, $E$9)</f>
        <v>43.925199999999997</v>
      </c>
      <c r="D803" s="10">
        <f>CHOOSE(CONTROL!$C$42, 43.9548, 43.9548) * CHOOSE(CONTROL!$C$21, $C$9, 100%, $E$9)</f>
        <v>43.954799999999999</v>
      </c>
      <c r="E803" s="10">
        <f>CHOOSE(CONTROL!$C$42, 43.9885, 43.9885) * CHOOSE(CONTROL!$C$21, $C$9, 100%, $E$9)</f>
        <v>43.988500000000002</v>
      </c>
      <c r="F803" s="10">
        <f>CHOOSE(CONTROL!$C$42, 43.887, 43.887)*CHOOSE(CONTROL!$C$21, $C$9, 100%, $E$9)</f>
        <v>43.887</v>
      </c>
      <c r="G803" s="10">
        <f>CHOOSE(CONTROL!$C$42, 43.9041, 43.9041)*CHOOSE(CONTROL!$C$21, $C$9, 100%, $E$9)</f>
        <v>43.9041</v>
      </c>
      <c r="H803" s="10">
        <f>CHOOSE(CONTROL!$C$42, 43.9777, 43.9777) * CHOOSE(CONTROL!$C$21, $C$9, 100%, $E$9)</f>
        <v>43.977699999999999</v>
      </c>
      <c r="I803" s="10">
        <f>CHOOSE(CONTROL!$C$42, 43.8838, 43.8838)* CHOOSE(CONTROL!$C$21, $C$9, 100%, $E$9)</f>
        <v>43.883800000000001</v>
      </c>
      <c r="J803" s="10">
        <f>CHOOSE(CONTROL!$C$42, 43.88, 43.88)* CHOOSE(CONTROL!$C$21, $C$9, 100%, $E$9)</f>
        <v>43.88</v>
      </c>
      <c r="K803" s="54">
        <f>CHOOSE(CONTROL!$C$42, 43.8799, 43.8799) * CHOOSE(CONTROL!$C$21, $C$9, 100%, $E$9)</f>
        <v>43.879899999999999</v>
      </c>
      <c r="L803" s="10">
        <f>CHOOSE(CONTROL!$C$42, 44.5647, 44.5647) * CHOOSE(CONTROL!$C$21, $C$9, 100%, $E$9)</f>
        <v>44.564700000000002</v>
      </c>
      <c r="M803" s="10">
        <f>CHOOSE(CONTROL!$C$42, 43.451, 43.451) * CHOOSE(CONTROL!$C$21, $C$9, 100%, $E$9)</f>
        <v>43.451000000000001</v>
      </c>
      <c r="N803" s="10">
        <f>CHOOSE(CONTROL!$C$42, 43.468, 43.468) * CHOOSE(CONTROL!$C$21, $C$9, 100%, $E$9)</f>
        <v>43.468000000000004</v>
      </c>
      <c r="O803" s="10">
        <f>CHOOSE(CONTROL!$C$42, 43.5478, 43.5478) * CHOOSE(CONTROL!$C$21, $C$9, 100%, $E$9)</f>
        <v>43.547800000000002</v>
      </c>
      <c r="P803" s="10">
        <f>CHOOSE(CONTROL!$C$42, 43.4548, 43.4548) * CHOOSE(CONTROL!$C$21, $C$9, 100%, $E$9)</f>
        <v>43.454799999999999</v>
      </c>
      <c r="Q803" s="10">
        <f>CHOOSE(CONTROL!$C$42, 44.1431, 44.1431) * CHOOSE(CONTROL!$C$21, $C$9, 100%, $E$9)</f>
        <v>44.143099999999997</v>
      </c>
      <c r="R803" s="10">
        <f>CHOOSE(CONTROL!$C$42, 44.8404, 44.8404) * CHOOSE(CONTROL!$C$21, $C$9, 100%, $E$9)</f>
        <v>44.840400000000002</v>
      </c>
      <c r="S803" s="10">
        <f>CHOOSE(CONTROL!$C$42, 42.6488, 42.6488) * CHOOSE(CONTROL!$C$21, $C$9, 100%, $E$9)</f>
        <v>42.648800000000001</v>
      </c>
      <c r="T803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803" s="58">
        <f>(1000*CHOOSE(CONTROL!$C$42, 695, 695)*CHOOSE(CONTROL!$C$42, 0.5599, 0.5599)*CHOOSE(CONTROL!$C$42, 30, 30))/1000000</f>
        <v>11.673914999999997</v>
      </c>
      <c r="V803" s="58">
        <f>(1000*CHOOSE(CONTROL!$C$42, 500, 500)*CHOOSE(CONTROL!$C$42, 0.275, 0.275)*CHOOSE(CONTROL!$C$42, 30, 30))/1000000</f>
        <v>4.125</v>
      </c>
      <c r="W803" s="58">
        <f>(1000*CHOOSE(CONTROL!$C$42, 0.1146, 0.1146)*CHOOSE(CONTROL!$C$42, 121.5, 121.5)*CHOOSE(CONTROL!$C$42, 30, 30))/1000000</f>
        <v>0.417717</v>
      </c>
      <c r="X803" s="58">
        <f>(30*0.1790888*100000/1000000)+(30*0.2374*100000/1000000)</f>
        <v>1.2494664</v>
      </c>
      <c r="Y803" s="58"/>
      <c r="Z803" s="10"/>
      <c r="AA803" s="57"/>
      <c r="AB803" s="51">
        <f>(B803*122.58+C803*297.941+D803*89.177+E803*40.302+F803*40+G803*160+H803*0+I803*100+J803*300)/(122.58+297.941+89.177+40.302+0+40+160+100+300)</f>
        <v>43.909525091999996</v>
      </c>
      <c r="AC803" s="27">
        <f>(M803*'RAP TEMPLATE-GAS AVAILABILITY'!O802+N803*'RAP TEMPLATE-GAS AVAILABILITY'!P802+O803*'RAP TEMPLATE-GAS AVAILABILITY'!Q802+P803*'RAP TEMPLATE-GAS AVAILABILITY'!R802)/('RAP TEMPLATE-GAS AVAILABILITY'!O802+'RAP TEMPLATE-GAS AVAILABILITY'!P802+'RAP TEMPLATE-GAS AVAILABILITY'!Q802+'RAP TEMPLATE-GAS AVAILABILITY'!R802)</f>
        <v>43.496398561151075</v>
      </c>
    </row>
    <row r="804" spans="1:29" ht="15.75" x14ac:dyDescent="0.25">
      <c r="A804" s="13">
        <v>65380</v>
      </c>
      <c r="B804" s="10">
        <f>CHOOSE(CONTROL!$C$42, 46.9145, 46.9145) * CHOOSE(CONTROL!$C$21, $C$9, 100%, $E$9)</f>
        <v>46.914499999999997</v>
      </c>
      <c r="C804" s="10">
        <f>CHOOSE(CONTROL!$C$42, 46.9194, 46.9194) * CHOOSE(CONTROL!$C$21, $C$9, 100%, $E$9)</f>
        <v>46.919400000000003</v>
      </c>
      <c r="D804" s="10">
        <f>CHOOSE(CONTROL!$C$42, 46.949, 46.949) * CHOOSE(CONTROL!$C$21, $C$9, 100%, $E$9)</f>
        <v>46.948999999999998</v>
      </c>
      <c r="E804" s="10">
        <f>CHOOSE(CONTROL!$C$42, 46.9828, 46.9828) * CHOOSE(CONTROL!$C$21, $C$9, 100%, $E$9)</f>
        <v>46.982799999999997</v>
      </c>
      <c r="F804" s="10">
        <f>CHOOSE(CONTROL!$C$42, 46.8827, 46.8827)*CHOOSE(CONTROL!$C$21, $C$9, 100%, $E$9)</f>
        <v>46.8827</v>
      </c>
      <c r="G804" s="10">
        <f>CHOOSE(CONTROL!$C$42, 46.9002, 46.9002)*CHOOSE(CONTROL!$C$21, $C$9, 100%, $E$9)</f>
        <v>46.900199999999998</v>
      </c>
      <c r="H804" s="10">
        <f>CHOOSE(CONTROL!$C$42, 46.972, 46.972) * CHOOSE(CONTROL!$C$21, $C$9, 100%, $E$9)</f>
        <v>46.972000000000001</v>
      </c>
      <c r="I804" s="10">
        <f>CHOOSE(CONTROL!$C$42, 46.8781, 46.8781)* CHOOSE(CONTROL!$C$21, $C$9, 100%, $E$9)</f>
        <v>46.878100000000003</v>
      </c>
      <c r="J804" s="10">
        <f>CHOOSE(CONTROL!$C$42, 46.8757, 46.8757)* CHOOSE(CONTROL!$C$21, $C$9, 100%, $E$9)</f>
        <v>46.875700000000002</v>
      </c>
      <c r="K804" s="54">
        <f>CHOOSE(CONTROL!$C$42, 46.8742, 46.8742) * CHOOSE(CONTROL!$C$21, $C$9, 100%, $E$9)</f>
        <v>46.874200000000002</v>
      </c>
      <c r="L804" s="10">
        <f>CHOOSE(CONTROL!$C$42, 47.559, 47.559) * CHOOSE(CONTROL!$C$21, $C$9, 100%, $E$9)</f>
        <v>47.558999999999997</v>
      </c>
      <c r="M804" s="10">
        <f>CHOOSE(CONTROL!$C$42, 46.4164, 46.4164) * CHOOSE(CONTROL!$C$21, $C$9, 100%, $E$9)</f>
        <v>46.416400000000003</v>
      </c>
      <c r="N804" s="10">
        <f>CHOOSE(CONTROL!$C$42, 46.4338, 46.4338) * CHOOSE(CONTROL!$C$21, $C$9, 100%, $E$9)</f>
        <v>46.433799999999998</v>
      </c>
      <c r="O804" s="10">
        <f>CHOOSE(CONTROL!$C$42, 46.5118, 46.5118) * CHOOSE(CONTROL!$C$21, $C$9, 100%, $E$9)</f>
        <v>46.511800000000001</v>
      </c>
      <c r="P804" s="10">
        <f>CHOOSE(CONTROL!$C$42, 46.4188, 46.4188) * CHOOSE(CONTROL!$C$21, $C$9, 100%, $E$9)</f>
        <v>46.418799999999997</v>
      </c>
      <c r="Q804" s="10">
        <f>CHOOSE(CONTROL!$C$42, 47.1071, 47.1071) * CHOOSE(CONTROL!$C$21, $C$9, 100%, $E$9)</f>
        <v>47.107100000000003</v>
      </c>
      <c r="R804" s="10">
        <f>CHOOSE(CONTROL!$C$42, 47.8119, 47.8119) * CHOOSE(CONTROL!$C$21, $C$9, 100%, $E$9)</f>
        <v>47.811900000000001</v>
      </c>
      <c r="S804" s="10">
        <f>CHOOSE(CONTROL!$C$42, 45.5565, 45.5565) * CHOOSE(CONTROL!$C$21, $C$9, 100%, $E$9)</f>
        <v>45.5565</v>
      </c>
      <c r="T804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804" s="58">
        <f>(1000*CHOOSE(CONTROL!$C$42, 695, 695)*CHOOSE(CONTROL!$C$42, 0.5599, 0.5599)*CHOOSE(CONTROL!$C$42, 31, 31))/1000000</f>
        <v>12.063045499999998</v>
      </c>
      <c r="V804" s="58">
        <f>(1000*CHOOSE(CONTROL!$C$42, 500, 500)*CHOOSE(CONTROL!$C$42, 0.275, 0.275)*CHOOSE(CONTROL!$C$42, 31, 31))/1000000</f>
        <v>4.2625000000000002</v>
      </c>
      <c r="W804" s="58">
        <f>(1000*CHOOSE(CONTROL!$C$42, 0.1146, 0.1146)*CHOOSE(CONTROL!$C$42, 121.5, 121.5)*CHOOSE(CONTROL!$C$42, 31, 31))/1000000</f>
        <v>0.43164089999999994</v>
      </c>
      <c r="X804" s="58">
        <f>(31*0.1790888*100000/1000000)+(31*0.2374*100000/1000000)</f>
        <v>1.2911152800000001</v>
      </c>
      <c r="Y804" s="58"/>
      <c r="Z804" s="10"/>
      <c r="AA804" s="57"/>
      <c r="AB804" s="51">
        <f>(B804*122.58+C804*297.941+D804*89.177+E804*40.302+F804*40+G804*160+H804*0+I804*100+J804*300)/(122.58+297.941+89.177+40.302+0+40+160+100+300)</f>
        <v>46.904455777391298</v>
      </c>
      <c r="AC804" s="27">
        <f>(M804*'RAP TEMPLATE-GAS AVAILABILITY'!O803+N804*'RAP TEMPLATE-GAS AVAILABILITY'!P803+O804*'RAP TEMPLATE-GAS AVAILABILITY'!Q803+P804*'RAP TEMPLATE-GAS AVAILABILITY'!R803)/('RAP TEMPLATE-GAS AVAILABILITY'!O803+'RAP TEMPLATE-GAS AVAILABILITY'!P803+'RAP TEMPLATE-GAS AVAILABILITY'!Q803+'RAP TEMPLATE-GAS AVAILABILITY'!R803)</f>
        <v>46.460985611510793</v>
      </c>
    </row>
    <row r="805" spans="1:29" ht="15.75" x14ac:dyDescent="0.25">
      <c r="A805" s="13">
        <v>65411</v>
      </c>
      <c r="B805" s="10">
        <f>CHOOSE(CONTROL!$C$42, 50.7582, 50.7582) * CHOOSE(CONTROL!$C$21, $C$9, 100%, $E$9)</f>
        <v>50.758200000000002</v>
      </c>
      <c r="C805" s="10">
        <f>CHOOSE(CONTROL!$C$42, 50.7632, 50.7632) * CHOOSE(CONTROL!$C$21, $C$9, 100%, $E$9)</f>
        <v>50.763199999999998</v>
      </c>
      <c r="D805" s="10">
        <f>CHOOSE(CONTROL!$C$42, 50.8134, 50.8134) * CHOOSE(CONTROL!$C$21, $C$9, 100%, $E$9)</f>
        <v>50.813400000000001</v>
      </c>
      <c r="E805" s="10">
        <f>CHOOSE(CONTROL!$C$42, 50.8472, 50.8472) * CHOOSE(CONTROL!$C$21, $C$9, 100%, $E$9)</f>
        <v>50.847200000000001</v>
      </c>
      <c r="F805" s="10">
        <f>CHOOSE(CONTROL!$C$42, 50.7236, 50.7236)*CHOOSE(CONTROL!$C$21, $C$9, 100%, $E$9)</f>
        <v>50.723599999999998</v>
      </c>
      <c r="G805" s="10">
        <f>CHOOSE(CONTROL!$C$42, 50.7412, 50.7412)*CHOOSE(CONTROL!$C$21, $C$9, 100%, $E$9)</f>
        <v>50.741199999999999</v>
      </c>
      <c r="H805" s="10">
        <f>CHOOSE(CONTROL!$C$42, 50.8364, 50.8364) * CHOOSE(CONTROL!$C$21, $C$9, 100%, $E$9)</f>
        <v>50.836399999999998</v>
      </c>
      <c r="I805" s="10">
        <f>CHOOSE(CONTROL!$C$42, 50.7321, 50.7321)* CHOOSE(CONTROL!$C$21, $C$9, 100%, $E$9)</f>
        <v>50.732100000000003</v>
      </c>
      <c r="J805" s="10">
        <f>CHOOSE(CONTROL!$C$42, 50.7166, 50.7166)* CHOOSE(CONTROL!$C$21, $C$9, 100%, $E$9)</f>
        <v>50.7166</v>
      </c>
      <c r="K805" s="54">
        <f>CHOOSE(CONTROL!$C$42, 50.7283, 50.7283) * CHOOSE(CONTROL!$C$21, $C$9, 100%, $E$9)</f>
        <v>50.728299999999997</v>
      </c>
      <c r="L805" s="10">
        <f>CHOOSE(CONTROL!$C$42, 51.4234, 51.4234) * CHOOSE(CONTROL!$C$21, $C$9, 100%, $E$9)</f>
        <v>51.423400000000001</v>
      </c>
      <c r="M805" s="10">
        <f>CHOOSE(CONTROL!$C$42, 50.2186, 50.2186) * CHOOSE(CONTROL!$C$21, $C$9, 100%, $E$9)</f>
        <v>50.218600000000002</v>
      </c>
      <c r="N805" s="10">
        <f>CHOOSE(CONTROL!$C$42, 50.236, 50.236) * CHOOSE(CONTROL!$C$21, $C$9, 100%, $E$9)</f>
        <v>50.235999999999997</v>
      </c>
      <c r="O805" s="10">
        <f>CHOOSE(CONTROL!$C$42, 50.3372, 50.3372) * CHOOSE(CONTROL!$C$21, $C$9, 100%, $E$9)</f>
        <v>50.337200000000003</v>
      </c>
      <c r="P805" s="10">
        <f>CHOOSE(CONTROL!$C$42, 50.234, 50.234) * CHOOSE(CONTROL!$C$21, $C$9, 100%, $E$9)</f>
        <v>50.234000000000002</v>
      </c>
      <c r="Q805" s="10">
        <f>CHOOSE(CONTROL!$C$42, 50.9325, 50.9325) * CHOOSE(CONTROL!$C$21, $C$9, 100%, $E$9)</f>
        <v>50.932499999999997</v>
      </c>
      <c r="R805" s="10">
        <f>CHOOSE(CONTROL!$C$42, 51.6468, 51.6468) * CHOOSE(CONTROL!$C$21, $C$9, 100%, $E$9)</f>
        <v>51.646799999999999</v>
      </c>
      <c r="S805" s="10">
        <f>CHOOSE(CONTROL!$C$42, 49.2892, 49.2892) * CHOOSE(CONTROL!$C$21, $C$9, 100%, $E$9)</f>
        <v>49.289200000000001</v>
      </c>
      <c r="T805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805" s="58">
        <f>(1000*CHOOSE(CONTROL!$C$42, 695, 695)*CHOOSE(CONTROL!$C$42, 0.5599, 0.5599)*CHOOSE(CONTROL!$C$42, 31, 31))/1000000</f>
        <v>12.063045499999998</v>
      </c>
      <c r="V805" s="58">
        <f>(1000*CHOOSE(CONTROL!$C$42, 500, 500)*CHOOSE(CONTROL!$C$42, 0.275, 0.275)*CHOOSE(CONTROL!$C$42, 31, 31))/1000000</f>
        <v>4.2625000000000002</v>
      </c>
      <c r="W805" s="58">
        <f>(1000*CHOOSE(CONTROL!$C$42, 0.1146, 0.1146)*CHOOSE(CONTROL!$C$42, 121.5, 121.5)*CHOOSE(CONTROL!$C$42, 31, 31))/1000000</f>
        <v>0.43164089999999994</v>
      </c>
      <c r="X805" s="58">
        <f>(31*0.1790888*100000/1000000)+(31*0.2374*100000/1000000)</f>
        <v>1.2911152800000001</v>
      </c>
      <c r="Y805" s="58"/>
      <c r="Z805" s="10"/>
      <c r="AA805" s="57"/>
      <c r="AB805" s="51">
        <f>(B805*122.58+C805*297.941+D805*89.177+E805*40.302+F805*40+G805*160+H805*0+I805*100+J805*300)/(122.58+297.941+89.177+40.302+0+40+160+100+300)</f>
        <v>50.750204481217381</v>
      </c>
      <c r="AC805" s="27">
        <f>(M805*'RAP TEMPLATE-GAS AVAILABILITY'!O804+N805*'RAP TEMPLATE-GAS AVAILABILITY'!P804+O805*'RAP TEMPLATE-GAS AVAILABILITY'!Q804+P805*'RAP TEMPLATE-GAS AVAILABILITY'!R804)/('RAP TEMPLATE-GAS AVAILABILITY'!O804+'RAP TEMPLATE-GAS AVAILABILITY'!P804+'RAP TEMPLATE-GAS AVAILABILITY'!Q804+'RAP TEMPLATE-GAS AVAILABILITY'!R804)</f>
        <v>50.275571223021586</v>
      </c>
    </row>
    <row r="806" spans="1:29" ht="15.75" x14ac:dyDescent="0.25">
      <c r="A806" s="13">
        <v>65439</v>
      </c>
      <c r="B806" s="10">
        <f>CHOOSE(CONTROL!$C$42, 51.6618, 51.6618) * CHOOSE(CONTROL!$C$21, $C$9, 100%, $E$9)</f>
        <v>51.661799999999999</v>
      </c>
      <c r="C806" s="10">
        <f>CHOOSE(CONTROL!$C$42, 51.6667, 51.6667) * CHOOSE(CONTROL!$C$21, $C$9, 100%, $E$9)</f>
        <v>51.666699999999999</v>
      </c>
      <c r="D806" s="10">
        <f>CHOOSE(CONTROL!$C$42, 51.7272, 51.7272) * CHOOSE(CONTROL!$C$21, $C$9, 100%, $E$9)</f>
        <v>51.727200000000003</v>
      </c>
      <c r="E806" s="10">
        <f>CHOOSE(CONTROL!$C$42, 51.761, 51.761) * CHOOSE(CONTROL!$C$21, $C$9, 100%, $E$9)</f>
        <v>51.761000000000003</v>
      </c>
      <c r="F806" s="10">
        <f>CHOOSE(CONTROL!$C$42, 51.655, 51.655)*CHOOSE(CONTROL!$C$21, $C$9, 100%, $E$9)</f>
        <v>51.655000000000001</v>
      </c>
      <c r="G806" s="10">
        <f>CHOOSE(CONTROL!$C$42, 51.6723, 51.6723)*CHOOSE(CONTROL!$C$21, $C$9, 100%, $E$9)</f>
        <v>51.6723</v>
      </c>
      <c r="H806" s="10">
        <f>CHOOSE(CONTROL!$C$42, 51.7502, 51.7502) * CHOOSE(CONTROL!$C$21, $C$9, 100%, $E$9)</f>
        <v>51.7502</v>
      </c>
      <c r="I806" s="10">
        <f>CHOOSE(CONTROL!$C$42, 51.6485, 51.6485)* CHOOSE(CONTROL!$C$21, $C$9, 100%, $E$9)</f>
        <v>51.648499999999999</v>
      </c>
      <c r="J806" s="10">
        <f>CHOOSE(CONTROL!$C$42, 51.648, 51.648)* CHOOSE(CONTROL!$C$21, $C$9, 100%, $E$9)</f>
        <v>51.648000000000003</v>
      </c>
      <c r="K806" s="54">
        <f>CHOOSE(CONTROL!$C$42, 51.6446, 51.6446) * CHOOSE(CONTROL!$C$21, $C$9, 100%, $E$9)</f>
        <v>51.644599999999997</v>
      </c>
      <c r="L806" s="10">
        <f>CHOOSE(CONTROL!$C$42, 52.3372, 52.3372) * CHOOSE(CONTROL!$C$21, $C$9, 100%, $E$9)</f>
        <v>52.337200000000003</v>
      </c>
      <c r="M806" s="10">
        <f>CHOOSE(CONTROL!$C$42, 51.1406, 51.1406) * CHOOSE(CONTROL!$C$21, $C$9, 100%, $E$9)</f>
        <v>51.140599999999999</v>
      </c>
      <c r="N806" s="10">
        <f>CHOOSE(CONTROL!$C$42, 51.1577, 51.1577) * CHOOSE(CONTROL!$C$21, $C$9, 100%, $E$9)</f>
        <v>51.157699999999998</v>
      </c>
      <c r="O806" s="10">
        <f>CHOOSE(CONTROL!$C$42, 51.2418, 51.2418) * CHOOSE(CONTROL!$C$21, $C$9, 100%, $E$9)</f>
        <v>51.241799999999998</v>
      </c>
      <c r="P806" s="10">
        <f>CHOOSE(CONTROL!$C$42, 51.1412, 51.1412) * CHOOSE(CONTROL!$C$21, $C$9, 100%, $E$9)</f>
        <v>51.141199999999998</v>
      </c>
      <c r="Q806" s="10">
        <f>CHOOSE(CONTROL!$C$42, 51.8371, 51.8371) * CHOOSE(CONTROL!$C$21, $C$9, 100%, $E$9)</f>
        <v>51.8371</v>
      </c>
      <c r="R806" s="10">
        <f>CHOOSE(CONTROL!$C$42, 52.5537, 52.5537) * CHOOSE(CONTROL!$C$21, $C$9, 100%, $E$9)</f>
        <v>52.553699999999999</v>
      </c>
      <c r="S806" s="10">
        <f>CHOOSE(CONTROL!$C$42, 50.1666, 50.1666) * CHOOSE(CONTROL!$C$21, $C$9, 100%, $E$9)</f>
        <v>50.166600000000003</v>
      </c>
      <c r="T806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806" s="58">
        <f>(1000*CHOOSE(CONTROL!$C$42, 695, 695)*CHOOSE(CONTROL!$C$42, 0.5599, 0.5599)*CHOOSE(CONTROL!$C$42, 28, 28))/1000000</f>
        <v>10.895653999999999</v>
      </c>
      <c r="V806" s="58">
        <f>(1000*CHOOSE(CONTROL!$C$42, 500, 500)*CHOOSE(CONTROL!$C$42, 0.275, 0.275)*CHOOSE(CONTROL!$C$42, 28, 28))/1000000</f>
        <v>3.85</v>
      </c>
      <c r="W806" s="58">
        <f>(1000*CHOOSE(CONTROL!$C$42, 0.1146, 0.1146)*CHOOSE(CONTROL!$C$42, 121.5, 121.5)*CHOOSE(CONTROL!$C$42, 28, 28))/1000000</f>
        <v>0.38986920000000003</v>
      </c>
      <c r="X806" s="58">
        <f>(28*0.1790888*100000/1000000)+(28*0.2374*100000/1000000)</f>
        <v>1.16616864</v>
      </c>
      <c r="Y806" s="58"/>
      <c r="Z806" s="10"/>
      <c r="AA806" s="57"/>
      <c r="AB806" s="51">
        <f>(B806*122.58+C806*297.941+D806*89.177+E806*40.302+F806*40+G806*160+H806*0+I806*100+J806*300)/(122.58+297.941+89.177+40.302+0+40+160+100+300)</f>
        <v>51.668085256608698</v>
      </c>
      <c r="AC806" s="27">
        <f>(M806*'RAP TEMPLATE-GAS AVAILABILITY'!O805+N806*'RAP TEMPLATE-GAS AVAILABILITY'!P805+O806*'RAP TEMPLATE-GAS AVAILABILITY'!Q805+P806*'RAP TEMPLATE-GAS AVAILABILITY'!R805)/('RAP TEMPLATE-GAS AVAILABILITY'!O805+'RAP TEMPLATE-GAS AVAILABILITY'!P805+'RAP TEMPLATE-GAS AVAILABILITY'!Q805+'RAP TEMPLATE-GAS AVAILABILITY'!R805)</f>
        <v>51.187538129496403</v>
      </c>
    </row>
    <row r="807" spans="1:29" ht="15.75" x14ac:dyDescent="0.25">
      <c r="A807" s="13">
        <v>65470</v>
      </c>
      <c r="B807" s="10">
        <f>CHOOSE(CONTROL!$C$42, 50.1951, 50.1951) * CHOOSE(CONTROL!$C$21, $C$9, 100%, $E$9)</f>
        <v>50.195099999999996</v>
      </c>
      <c r="C807" s="10">
        <f>CHOOSE(CONTROL!$C$42, 50.2001, 50.2001) * CHOOSE(CONTROL!$C$21, $C$9, 100%, $E$9)</f>
        <v>50.200099999999999</v>
      </c>
      <c r="D807" s="10">
        <f>CHOOSE(CONTROL!$C$42, 50.2606, 50.2606) * CHOOSE(CONTROL!$C$21, $C$9, 100%, $E$9)</f>
        <v>50.260599999999997</v>
      </c>
      <c r="E807" s="10">
        <f>CHOOSE(CONTROL!$C$42, 50.2944, 50.2944) * CHOOSE(CONTROL!$C$21, $C$9, 100%, $E$9)</f>
        <v>50.294400000000003</v>
      </c>
      <c r="F807" s="10">
        <f>CHOOSE(CONTROL!$C$42, 50.1829, 50.1829)*CHOOSE(CONTROL!$C$21, $C$9, 100%, $E$9)</f>
        <v>50.182899999999997</v>
      </c>
      <c r="G807" s="10">
        <f>CHOOSE(CONTROL!$C$42, 50.2001, 50.2001)*CHOOSE(CONTROL!$C$21, $C$9, 100%, $E$9)</f>
        <v>50.200099999999999</v>
      </c>
      <c r="H807" s="10">
        <f>CHOOSE(CONTROL!$C$42, 50.2836, 50.2836) * CHOOSE(CONTROL!$C$21, $C$9, 100%, $E$9)</f>
        <v>50.2836</v>
      </c>
      <c r="I807" s="10">
        <f>CHOOSE(CONTROL!$C$42, 50.169, 50.169)* CHOOSE(CONTROL!$C$21, $C$9, 100%, $E$9)</f>
        <v>50.168999999999997</v>
      </c>
      <c r="J807" s="10">
        <f>CHOOSE(CONTROL!$C$42, 50.1759, 50.1759)* CHOOSE(CONTROL!$C$21, $C$9, 100%, $E$9)</f>
        <v>50.175899999999999</v>
      </c>
      <c r="K807" s="54">
        <f>CHOOSE(CONTROL!$C$42, 50.1651, 50.1651) * CHOOSE(CONTROL!$C$21, $C$9, 100%, $E$9)</f>
        <v>50.165100000000002</v>
      </c>
      <c r="L807" s="10">
        <f>CHOOSE(CONTROL!$C$42, 50.8706, 50.8706) * CHOOSE(CONTROL!$C$21, $C$9, 100%, $E$9)</f>
        <v>50.870600000000003</v>
      </c>
      <c r="M807" s="10">
        <f>CHOOSE(CONTROL!$C$42, 49.6833, 49.6833) * CHOOSE(CONTROL!$C$21, $C$9, 100%, $E$9)</f>
        <v>49.683300000000003</v>
      </c>
      <c r="N807" s="10">
        <f>CHOOSE(CONTROL!$C$42, 49.7004, 49.7004) * CHOOSE(CONTROL!$C$21, $C$9, 100%, $E$9)</f>
        <v>49.700400000000002</v>
      </c>
      <c r="O807" s="10">
        <f>CHOOSE(CONTROL!$C$42, 49.7899, 49.7899) * CHOOSE(CONTROL!$C$21, $C$9, 100%, $E$9)</f>
        <v>49.789900000000003</v>
      </c>
      <c r="P807" s="10">
        <f>CHOOSE(CONTROL!$C$42, 49.6766, 49.6766) * CHOOSE(CONTROL!$C$21, $C$9, 100%, $E$9)</f>
        <v>49.676600000000001</v>
      </c>
      <c r="Q807" s="10">
        <f>CHOOSE(CONTROL!$C$42, 50.3852, 50.3852) * CHOOSE(CONTROL!$C$21, $C$9, 100%, $E$9)</f>
        <v>50.385199999999998</v>
      </c>
      <c r="R807" s="10">
        <f>CHOOSE(CONTROL!$C$42, 51.0982, 51.0982) * CHOOSE(CONTROL!$C$21, $C$9, 100%, $E$9)</f>
        <v>51.098199999999999</v>
      </c>
      <c r="S807" s="10">
        <f>CHOOSE(CONTROL!$C$42, 48.7424, 48.7424) * CHOOSE(CONTROL!$C$21, $C$9, 100%, $E$9)</f>
        <v>48.742400000000004</v>
      </c>
      <c r="T807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807" s="58">
        <f>(1000*CHOOSE(CONTROL!$C$42, 695, 695)*CHOOSE(CONTROL!$C$42, 0.5599, 0.5599)*CHOOSE(CONTROL!$C$42, 31, 31))/1000000</f>
        <v>12.063045499999998</v>
      </c>
      <c r="V807" s="58">
        <f>(1000*CHOOSE(CONTROL!$C$42, 500, 500)*CHOOSE(CONTROL!$C$42, 0.275, 0.275)*CHOOSE(CONTROL!$C$42, 31, 31))/1000000</f>
        <v>4.2625000000000002</v>
      </c>
      <c r="W807" s="58">
        <f>(1000*CHOOSE(CONTROL!$C$42, 0.1146, 0.1146)*CHOOSE(CONTROL!$C$42, 121.5, 121.5)*CHOOSE(CONTROL!$C$42, 31, 31))/1000000</f>
        <v>0.43164089999999994</v>
      </c>
      <c r="X807" s="58">
        <f>(31*0.1790888*100000/1000000)+(31*0.2374*100000/1000000)</f>
        <v>1.2911152800000001</v>
      </c>
      <c r="Y807" s="58"/>
      <c r="Z807" s="10"/>
      <c r="AA807" s="57"/>
      <c r="AB807" s="51">
        <f>(B807*122.58+C807*297.941+D807*89.177+E807*40.302+F807*40+G807*160+H807*0+I807*100+J807*300)/(122.58+297.941+89.177+40.302+0+40+160+100+300)</f>
        <v>50.197947640956514</v>
      </c>
      <c r="AC807" s="27">
        <f>(M807*'RAP TEMPLATE-GAS AVAILABILITY'!O806+N807*'RAP TEMPLATE-GAS AVAILABILITY'!P806+O807*'RAP TEMPLATE-GAS AVAILABILITY'!Q806+P807*'RAP TEMPLATE-GAS AVAILABILITY'!R806)/('RAP TEMPLATE-GAS AVAILABILITY'!O806+'RAP TEMPLATE-GAS AVAILABILITY'!P806+'RAP TEMPLATE-GAS AVAILABILITY'!Q806+'RAP TEMPLATE-GAS AVAILABILITY'!R806)</f>
        <v>49.731635251798558</v>
      </c>
    </row>
    <row r="808" spans="1:29" ht="15.75" x14ac:dyDescent="0.25">
      <c r="A808" s="13">
        <v>65500</v>
      </c>
      <c r="B808" s="10">
        <f>CHOOSE(CONTROL!$C$42, 50.046, 50.046) * CHOOSE(CONTROL!$C$21, $C$9, 100%, $E$9)</f>
        <v>50.045999999999999</v>
      </c>
      <c r="C808" s="10">
        <f>CHOOSE(CONTROL!$C$42, 50.0504, 50.0504) * CHOOSE(CONTROL!$C$21, $C$9, 100%, $E$9)</f>
        <v>50.050400000000003</v>
      </c>
      <c r="D808" s="10">
        <f>CHOOSE(CONTROL!$C$42, 50.246, 50.246) * CHOOSE(CONTROL!$C$21, $C$9, 100%, $E$9)</f>
        <v>50.246000000000002</v>
      </c>
      <c r="E808" s="10">
        <f>CHOOSE(CONTROL!$C$42, 50.2778, 50.2778) * CHOOSE(CONTROL!$C$21, $C$9, 100%, $E$9)</f>
        <v>50.277799999999999</v>
      </c>
      <c r="F808" s="10">
        <f>CHOOSE(CONTROL!$C$42, 50.0138, 50.0138)*CHOOSE(CONTROL!$C$21, $C$9, 100%, $E$9)</f>
        <v>50.013800000000003</v>
      </c>
      <c r="G808" s="10">
        <f>CHOOSE(CONTROL!$C$42, 50.0306, 50.0306)*CHOOSE(CONTROL!$C$21, $C$9, 100%, $E$9)</f>
        <v>50.0306</v>
      </c>
      <c r="H808" s="10">
        <f>CHOOSE(CONTROL!$C$42, 50.2675, 50.2675) * CHOOSE(CONTROL!$C$21, $C$9, 100%, $E$9)</f>
        <v>50.267499999999998</v>
      </c>
      <c r="I808" s="10">
        <f>CHOOSE(CONTROL!$C$42, 50.014, 50.014)* CHOOSE(CONTROL!$C$21, $C$9, 100%, $E$9)</f>
        <v>50.014000000000003</v>
      </c>
      <c r="J808" s="10">
        <f>CHOOSE(CONTROL!$C$42, 50.0068, 50.0068)* CHOOSE(CONTROL!$C$21, $C$9, 100%, $E$9)</f>
        <v>50.006799999999998</v>
      </c>
      <c r="K808" s="54">
        <f>CHOOSE(CONTROL!$C$42, 50.0101, 50.0101) * CHOOSE(CONTROL!$C$21, $C$9, 100%, $E$9)</f>
        <v>50.010100000000001</v>
      </c>
      <c r="L808" s="10">
        <f>CHOOSE(CONTROL!$C$42, 50.8545, 50.8545) * CHOOSE(CONTROL!$C$21, $C$9, 100%, $E$9)</f>
        <v>50.854500000000002</v>
      </c>
      <c r="M808" s="10">
        <f>CHOOSE(CONTROL!$C$42, 49.516, 49.516) * CHOOSE(CONTROL!$C$21, $C$9, 100%, $E$9)</f>
        <v>49.515999999999998</v>
      </c>
      <c r="N808" s="10">
        <f>CHOOSE(CONTROL!$C$42, 49.5326, 49.5326) * CHOOSE(CONTROL!$C$21, $C$9, 100%, $E$9)</f>
        <v>49.532600000000002</v>
      </c>
      <c r="O808" s="10">
        <f>CHOOSE(CONTROL!$C$42, 49.7741, 49.7741) * CHOOSE(CONTROL!$C$21, $C$9, 100%, $E$9)</f>
        <v>49.774099999999997</v>
      </c>
      <c r="P808" s="10">
        <f>CHOOSE(CONTROL!$C$42, 49.5231, 49.5231) * CHOOSE(CONTROL!$C$21, $C$9, 100%, $E$9)</f>
        <v>49.523099999999999</v>
      </c>
      <c r="Q808" s="10">
        <f>CHOOSE(CONTROL!$C$42, 50.3694, 50.3694) * CHOOSE(CONTROL!$C$21, $C$9, 100%, $E$9)</f>
        <v>50.369399999999999</v>
      </c>
      <c r="R808" s="10">
        <f>CHOOSE(CONTROL!$C$42, 51.0823, 51.0823) * CHOOSE(CONTROL!$C$21, $C$9, 100%, $E$9)</f>
        <v>51.082299999999996</v>
      </c>
      <c r="S808" s="10">
        <f>CHOOSE(CONTROL!$C$42, 48.5968, 48.5968) * CHOOSE(CONTROL!$C$21, $C$9, 100%, $E$9)</f>
        <v>48.596800000000002</v>
      </c>
      <c r="T808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808" s="58">
        <f>(1000*CHOOSE(CONTROL!$C$42, 695, 695)*CHOOSE(CONTROL!$C$42, 0.5599, 0.5599)*CHOOSE(CONTROL!$C$42, 30, 30))/1000000</f>
        <v>11.673914999999997</v>
      </c>
      <c r="V808" s="58">
        <f>(1000*CHOOSE(CONTROL!$C$42, 500, 500)*CHOOSE(CONTROL!$C$42, 0.275, 0.275)*CHOOSE(CONTROL!$C$42, 30, 30))/1000000</f>
        <v>4.125</v>
      </c>
      <c r="W808" s="58">
        <f>(1000*CHOOSE(CONTROL!$C$42, 0.1146, 0.1146)*CHOOSE(CONTROL!$C$42, 121.5, 121.5)*CHOOSE(CONTROL!$C$42, 30, 30))/1000000</f>
        <v>0.417717</v>
      </c>
      <c r="X808" s="58">
        <f>(30*0.1790888*245000/1000000)+(30*0.2374*100000/1000000)</f>
        <v>2.0285026799999999</v>
      </c>
      <c r="Y808" s="58"/>
      <c r="Z808" s="10"/>
      <c r="AA808" s="57"/>
      <c r="AB808" s="51">
        <f>(B808*141.293+C808*267.993+D808*115.016+E808*89.698+F808*40+G808*185+H808*0+I808*100+J808*300)/(141.293+267.993+115.016+89.698+0+40+185+100+300)</f>
        <v>50.066885686521388</v>
      </c>
      <c r="AC808" s="27">
        <f>(M808*'RAP TEMPLATE-GAS AVAILABILITY'!O807+N808*'RAP TEMPLATE-GAS AVAILABILITY'!P807+O808*'RAP TEMPLATE-GAS AVAILABILITY'!Q807+P808*'RAP TEMPLATE-GAS AVAILABILITY'!R807)/('RAP TEMPLATE-GAS AVAILABILITY'!O807+'RAP TEMPLATE-GAS AVAILABILITY'!P807+'RAP TEMPLATE-GAS AVAILABILITY'!Q807+'RAP TEMPLATE-GAS AVAILABILITY'!R807)</f>
        <v>49.634957553956838</v>
      </c>
    </row>
    <row r="809" spans="1:29" ht="15.75" x14ac:dyDescent="0.25">
      <c r="A809" s="13">
        <v>65531</v>
      </c>
      <c r="B809" s="10">
        <f>CHOOSE(CONTROL!$C$42, 50.4891, 50.4891) * CHOOSE(CONTROL!$C$21, $C$9, 100%, $E$9)</f>
        <v>50.489100000000001</v>
      </c>
      <c r="C809" s="10">
        <f>CHOOSE(CONTROL!$C$42, 50.497, 50.497) * CHOOSE(CONTROL!$C$21, $C$9, 100%, $E$9)</f>
        <v>50.497</v>
      </c>
      <c r="D809" s="10">
        <f>CHOOSE(CONTROL!$C$42, 50.6894, 50.6894) * CHOOSE(CONTROL!$C$21, $C$9, 100%, $E$9)</f>
        <v>50.689399999999999</v>
      </c>
      <c r="E809" s="10">
        <f>CHOOSE(CONTROL!$C$42, 50.7206, 50.7206) * CHOOSE(CONTROL!$C$21, $C$9, 100%, $E$9)</f>
        <v>50.720599999999997</v>
      </c>
      <c r="F809" s="10">
        <f>CHOOSE(CONTROL!$C$42, 50.4553, 50.4553)*CHOOSE(CONTROL!$C$21, $C$9, 100%, $E$9)</f>
        <v>50.455300000000001</v>
      </c>
      <c r="G809" s="10">
        <f>CHOOSE(CONTROL!$C$42, 50.4725, 50.4725)*CHOOSE(CONTROL!$C$21, $C$9, 100%, $E$9)</f>
        <v>50.472499999999997</v>
      </c>
      <c r="H809" s="10">
        <f>CHOOSE(CONTROL!$C$42, 50.7092, 50.7092) * CHOOSE(CONTROL!$C$21, $C$9, 100%, $E$9)</f>
        <v>50.709200000000003</v>
      </c>
      <c r="I809" s="10">
        <f>CHOOSE(CONTROL!$C$42, 50.4557, 50.4557)* CHOOSE(CONTROL!$C$21, $C$9, 100%, $E$9)</f>
        <v>50.4557</v>
      </c>
      <c r="J809" s="10">
        <f>CHOOSE(CONTROL!$C$42, 50.4483, 50.4483)* CHOOSE(CONTROL!$C$21, $C$9, 100%, $E$9)</f>
        <v>50.448300000000003</v>
      </c>
      <c r="K809" s="54">
        <f>CHOOSE(CONTROL!$C$42, 50.4518, 50.4518) * CHOOSE(CONTROL!$C$21, $C$9, 100%, $E$9)</f>
        <v>50.451799999999999</v>
      </c>
      <c r="L809" s="10">
        <f>CHOOSE(CONTROL!$C$42, 51.2962, 51.2962) * CHOOSE(CONTROL!$C$21, $C$9, 100%, $E$9)</f>
        <v>51.296199999999999</v>
      </c>
      <c r="M809" s="10">
        <f>CHOOSE(CONTROL!$C$42, 49.9531, 49.9531) * CHOOSE(CONTROL!$C$21, $C$9, 100%, $E$9)</f>
        <v>49.953099999999999</v>
      </c>
      <c r="N809" s="10">
        <f>CHOOSE(CONTROL!$C$42, 49.97, 49.97) * CHOOSE(CONTROL!$C$21, $C$9, 100%, $E$9)</f>
        <v>49.97</v>
      </c>
      <c r="O809" s="10">
        <f>CHOOSE(CONTROL!$C$42, 50.2113, 50.2113) * CHOOSE(CONTROL!$C$21, $C$9, 100%, $E$9)</f>
        <v>50.211300000000001</v>
      </c>
      <c r="P809" s="10">
        <f>CHOOSE(CONTROL!$C$42, 49.9603, 49.9603) * CHOOSE(CONTROL!$C$21, $C$9, 100%, $E$9)</f>
        <v>49.960299999999997</v>
      </c>
      <c r="Q809" s="10">
        <f>CHOOSE(CONTROL!$C$42, 50.8066, 50.8066) * CHOOSE(CONTROL!$C$21, $C$9, 100%, $E$9)</f>
        <v>50.806600000000003</v>
      </c>
      <c r="R809" s="10">
        <f>CHOOSE(CONTROL!$C$42, 51.5206, 51.5206) * CHOOSE(CONTROL!$C$21, $C$9, 100%, $E$9)</f>
        <v>51.520600000000002</v>
      </c>
      <c r="S809" s="10">
        <f>CHOOSE(CONTROL!$C$42, 49.0257, 49.0257) * CHOOSE(CONTROL!$C$21, $C$9, 100%, $E$9)</f>
        <v>49.025700000000001</v>
      </c>
      <c r="T809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809" s="58">
        <f>(1000*CHOOSE(CONTROL!$C$42, 695, 695)*CHOOSE(CONTROL!$C$42, 0.5599, 0.5599)*CHOOSE(CONTROL!$C$42, 31, 31))/1000000</f>
        <v>12.063045499999998</v>
      </c>
      <c r="V809" s="58">
        <f>(1000*CHOOSE(CONTROL!$C$42, 500, 500)*CHOOSE(CONTROL!$C$42, 0.275, 0.275)*CHOOSE(CONTROL!$C$42, 31, 31))/1000000</f>
        <v>4.2625000000000002</v>
      </c>
      <c r="W809" s="58">
        <f>(1000*CHOOSE(CONTROL!$C$42, 0.1146, 0.1146)*CHOOSE(CONTROL!$C$42, 121.5, 121.5)*CHOOSE(CONTROL!$C$42, 31, 31))/1000000</f>
        <v>0.43164089999999994</v>
      </c>
      <c r="X809" s="58">
        <f>(31*0.1790888*245000/1000000)+(31*0.2374*100000/1000000)</f>
        <v>2.0961194359999999</v>
      </c>
      <c r="Y809" s="58"/>
      <c r="Z809" s="10"/>
      <c r="AA809" s="57"/>
      <c r="AB809" s="51">
        <f>(B809*194.205+C809*267.466+D809*133.845+E809*53.484+F809*40+G809*185+H809*0+I809*100+J809*300)/(194.205+267.466+133.845+53.484+0+40+185+100+300)</f>
        <v>50.50581952974882</v>
      </c>
      <c r="AC809" s="27">
        <f>(M809*'RAP TEMPLATE-GAS AVAILABILITY'!O808+N809*'RAP TEMPLATE-GAS AVAILABILITY'!P808+O809*'RAP TEMPLATE-GAS AVAILABILITY'!Q808+P809*'RAP TEMPLATE-GAS AVAILABILITY'!R808)/('RAP TEMPLATE-GAS AVAILABILITY'!O808+'RAP TEMPLATE-GAS AVAILABILITY'!P808+'RAP TEMPLATE-GAS AVAILABILITY'!Q808+'RAP TEMPLATE-GAS AVAILABILITY'!R808)</f>
        <v>50.072134532374108</v>
      </c>
    </row>
    <row r="810" spans="1:29" ht="15.75" x14ac:dyDescent="0.25">
      <c r="A810" s="13">
        <v>65561</v>
      </c>
      <c r="B810" s="10">
        <f>CHOOSE(CONTROL!$C$42, 51.9211, 51.9211) * CHOOSE(CONTROL!$C$21, $C$9, 100%, $E$9)</f>
        <v>51.921100000000003</v>
      </c>
      <c r="C810" s="10">
        <f>CHOOSE(CONTROL!$C$42, 51.9291, 51.9291) * CHOOSE(CONTROL!$C$21, $C$9, 100%, $E$9)</f>
        <v>51.929099999999998</v>
      </c>
      <c r="D810" s="10">
        <f>CHOOSE(CONTROL!$C$42, 52.1215, 52.1215) * CHOOSE(CONTROL!$C$21, $C$9, 100%, $E$9)</f>
        <v>52.121499999999997</v>
      </c>
      <c r="E810" s="10">
        <f>CHOOSE(CONTROL!$C$42, 52.1526, 52.1526) * CHOOSE(CONTROL!$C$21, $C$9, 100%, $E$9)</f>
        <v>52.1526</v>
      </c>
      <c r="F810" s="10">
        <f>CHOOSE(CONTROL!$C$42, 51.8876, 51.8876)*CHOOSE(CONTROL!$C$21, $C$9, 100%, $E$9)</f>
        <v>51.887599999999999</v>
      </c>
      <c r="G810" s="10">
        <f>CHOOSE(CONTROL!$C$42, 51.9048, 51.9048)*CHOOSE(CONTROL!$C$21, $C$9, 100%, $E$9)</f>
        <v>51.904800000000002</v>
      </c>
      <c r="H810" s="10">
        <f>CHOOSE(CONTROL!$C$42, 52.1413, 52.1413) * CHOOSE(CONTROL!$C$21, $C$9, 100%, $E$9)</f>
        <v>52.141300000000001</v>
      </c>
      <c r="I810" s="10">
        <f>CHOOSE(CONTROL!$C$42, 51.8877, 51.8877)* CHOOSE(CONTROL!$C$21, $C$9, 100%, $E$9)</f>
        <v>51.887700000000002</v>
      </c>
      <c r="J810" s="10">
        <f>CHOOSE(CONTROL!$C$42, 51.8806, 51.8806)* CHOOSE(CONTROL!$C$21, $C$9, 100%, $E$9)</f>
        <v>51.880600000000001</v>
      </c>
      <c r="K810" s="54">
        <f>CHOOSE(CONTROL!$C$42, 51.8838, 51.8838) * CHOOSE(CONTROL!$C$21, $C$9, 100%, $E$9)</f>
        <v>51.883800000000001</v>
      </c>
      <c r="L810" s="10">
        <f>CHOOSE(CONTROL!$C$42, 52.7283, 52.7283) * CHOOSE(CONTROL!$C$21, $C$9, 100%, $E$9)</f>
        <v>52.728299999999997</v>
      </c>
      <c r="M810" s="10">
        <f>CHOOSE(CONTROL!$C$42, 51.3709, 51.3709) * CHOOSE(CONTROL!$C$21, $C$9, 100%, $E$9)</f>
        <v>51.370899999999999</v>
      </c>
      <c r="N810" s="10">
        <f>CHOOSE(CONTROL!$C$42, 51.3879, 51.3879) * CHOOSE(CONTROL!$C$21, $C$9, 100%, $E$9)</f>
        <v>51.387900000000002</v>
      </c>
      <c r="O810" s="10">
        <f>CHOOSE(CONTROL!$C$42, 51.6289, 51.6289) * CHOOSE(CONTROL!$C$21, $C$9, 100%, $E$9)</f>
        <v>51.628900000000002</v>
      </c>
      <c r="P810" s="10">
        <f>CHOOSE(CONTROL!$C$42, 51.3779, 51.3779) * CHOOSE(CONTROL!$C$21, $C$9, 100%, $E$9)</f>
        <v>51.377899999999997</v>
      </c>
      <c r="Q810" s="10">
        <f>CHOOSE(CONTROL!$C$42, 52.2242, 52.2242) * CHOOSE(CONTROL!$C$21, $C$9, 100%, $E$9)</f>
        <v>52.224200000000003</v>
      </c>
      <c r="R810" s="10">
        <f>CHOOSE(CONTROL!$C$42, 52.9417, 52.9417) * CHOOSE(CONTROL!$C$21, $C$9, 100%, $E$9)</f>
        <v>52.941699999999997</v>
      </c>
      <c r="S810" s="10">
        <f>CHOOSE(CONTROL!$C$42, 50.4164, 50.4164) * CHOOSE(CONTROL!$C$21, $C$9, 100%, $E$9)</f>
        <v>50.416400000000003</v>
      </c>
      <c r="T810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810" s="58">
        <f>(1000*CHOOSE(CONTROL!$C$42, 695, 695)*CHOOSE(CONTROL!$C$42, 0.5599, 0.5599)*CHOOSE(CONTROL!$C$42, 30, 30))/1000000</f>
        <v>11.673914999999997</v>
      </c>
      <c r="V810" s="58">
        <f>(1000*CHOOSE(CONTROL!$C$42, 500, 500)*CHOOSE(CONTROL!$C$42, 0.275, 0.275)*CHOOSE(CONTROL!$C$42, 30, 30))/1000000</f>
        <v>4.125</v>
      </c>
      <c r="W810" s="58">
        <f>(1000*CHOOSE(CONTROL!$C$42, 0.1146, 0.1146)*CHOOSE(CONTROL!$C$42, 121.5, 121.5)*CHOOSE(CONTROL!$C$42, 30, 30))/1000000</f>
        <v>0.417717</v>
      </c>
      <c r="X810" s="58">
        <f>(30*0.1790888*245000/1000000)+(30*0.2374*100000/1000000)</f>
        <v>2.0285026799999999</v>
      </c>
      <c r="Y810" s="58"/>
      <c r="Z810" s="10"/>
      <c r="AA810" s="57"/>
      <c r="AB810" s="51">
        <f>(B810*194.205+C810*267.466+D810*133.845+E810*53.484+F810*40+G810*185+H810*0+I810*100+J810*300)/(194.205+267.466+133.845+53.484+0+40+185+100+300)</f>
        <v>51.937974656200943</v>
      </c>
      <c r="AC810" s="27">
        <f>(M810*'RAP TEMPLATE-GAS AVAILABILITY'!O809+N810*'RAP TEMPLATE-GAS AVAILABILITY'!P809+O810*'RAP TEMPLATE-GAS AVAILABILITY'!Q809+P810*'RAP TEMPLATE-GAS AVAILABILITY'!R809)/('RAP TEMPLATE-GAS AVAILABILITY'!O809+'RAP TEMPLATE-GAS AVAILABILITY'!P809+'RAP TEMPLATE-GAS AVAILABILITY'!Q809+'RAP TEMPLATE-GAS AVAILABILITY'!R809)</f>
        <v>51.489820863309347</v>
      </c>
    </row>
    <row r="811" spans="1:29" ht="15.75" x14ac:dyDescent="0.25">
      <c r="A811" s="13">
        <v>65592</v>
      </c>
      <c r="B811" s="10">
        <f>CHOOSE(CONTROL!$C$42, 50.9251, 50.9251) * CHOOSE(CONTROL!$C$21, $C$9, 100%, $E$9)</f>
        <v>50.9251</v>
      </c>
      <c r="C811" s="10">
        <f>CHOOSE(CONTROL!$C$42, 50.9331, 50.9331) * CHOOSE(CONTROL!$C$21, $C$9, 100%, $E$9)</f>
        <v>50.933100000000003</v>
      </c>
      <c r="D811" s="10">
        <f>CHOOSE(CONTROL!$C$42, 51.1255, 51.1255) * CHOOSE(CONTROL!$C$21, $C$9, 100%, $E$9)</f>
        <v>51.125500000000002</v>
      </c>
      <c r="E811" s="10">
        <f>CHOOSE(CONTROL!$C$42, 51.1566, 51.1566) * CHOOSE(CONTROL!$C$21, $C$9, 100%, $E$9)</f>
        <v>51.156599999999997</v>
      </c>
      <c r="F811" s="10">
        <f>CHOOSE(CONTROL!$C$42, 50.892, 50.892)*CHOOSE(CONTROL!$C$21, $C$9, 100%, $E$9)</f>
        <v>50.892000000000003</v>
      </c>
      <c r="G811" s="10">
        <f>CHOOSE(CONTROL!$C$42, 50.9093, 50.9093)*CHOOSE(CONTROL!$C$21, $C$9, 100%, $E$9)</f>
        <v>50.909300000000002</v>
      </c>
      <c r="H811" s="10">
        <f>CHOOSE(CONTROL!$C$42, 51.1453, 51.1453) * CHOOSE(CONTROL!$C$21, $C$9, 100%, $E$9)</f>
        <v>51.145299999999999</v>
      </c>
      <c r="I811" s="10">
        <f>CHOOSE(CONTROL!$C$42, 50.8917, 50.8917)* CHOOSE(CONTROL!$C$21, $C$9, 100%, $E$9)</f>
        <v>50.8917</v>
      </c>
      <c r="J811" s="10">
        <f>CHOOSE(CONTROL!$C$42, 50.885, 50.885)* CHOOSE(CONTROL!$C$21, $C$9, 100%, $E$9)</f>
        <v>50.884999999999998</v>
      </c>
      <c r="K811" s="54">
        <f>CHOOSE(CONTROL!$C$42, 50.8878, 50.8878) * CHOOSE(CONTROL!$C$21, $C$9, 100%, $E$9)</f>
        <v>50.887799999999999</v>
      </c>
      <c r="L811" s="10">
        <f>CHOOSE(CONTROL!$C$42, 51.7323, 51.7323) * CHOOSE(CONTROL!$C$21, $C$9, 100%, $E$9)</f>
        <v>51.732300000000002</v>
      </c>
      <c r="M811" s="10">
        <f>CHOOSE(CONTROL!$C$42, 50.3853, 50.3853) * CHOOSE(CONTROL!$C$21, $C$9, 100%, $E$9)</f>
        <v>50.385300000000001</v>
      </c>
      <c r="N811" s="10">
        <f>CHOOSE(CONTROL!$C$42, 50.4025, 50.4025) * CHOOSE(CONTROL!$C$21, $C$9, 100%, $E$9)</f>
        <v>50.402500000000003</v>
      </c>
      <c r="O811" s="10">
        <f>CHOOSE(CONTROL!$C$42, 50.6429, 50.6429) * CHOOSE(CONTROL!$C$21, $C$9, 100%, $E$9)</f>
        <v>50.642899999999997</v>
      </c>
      <c r="P811" s="10">
        <f>CHOOSE(CONTROL!$C$42, 50.392, 50.392) * CHOOSE(CONTROL!$C$21, $C$9, 100%, $E$9)</f>
        <v>50.392000000000003</v>
      </c>
      <c r="Q811" s="10">
        <f>CHOOSE(CONTROL!$C$42, 51.2382, 51.2382) * CHOOSE(CONTROL!$C$21, $C$9, 100%, $E$9)</f>
        <v>51.238199999999999</v>
      </c>
      <c r="R811" s="10">
        <f>CHOOSE(CONTROL!$C$42, 51.9533, 51.9533) * CHOOSE(CONTROL!$C$21, $C$9, 100%, $E$9)</f>
        <v>51.953299999999999</v>
      </c>
      <c r="S811" s="10">
        <f>CHOOSE(CONTROL!$C$42, 49.4492, 49.4492) * CHOOSE(CONTROL!$C$21, $C$9, 100%, $E$9)</f>
        <v>49.449199999999998</v>
      </c>
      <c r="T811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811" s="58">
        <f>(1000*CHOOSE(CONTROL!$C$42, 695, 695)*CHOOSE(CONTROL!$C$42, 0.5599, 0.5599)*CHOOSE(CONTROL!$C$42, 31, 31))/1000000</f>
        <v>12.063045499999998</v>
      </c>
      <c r="V811" s="58">
        <f>(1000*CHOOSE(CONTROL!$C$42, 500, 500)*CHOOSE(CONTROL!$C$42, 0.275, 0.275)*CHOOSE(CONTROL!$C$42, 31, 31))/1000000</f>
        <v>4.2625000000000002</v>
      </c>
      <c r="W811" s="58">
        <f>(1000*CHOOSE(CONTROL!$C$42, 0.1146, 0.1146)*CHOOSE(CONTROL!$C$42, 121.5, 121.5)*CHOOSE(CONTROL!$C$42, 31, 31))/1000000</f>
        <v>0.43164089999999994</v>
      </c>
      <c r="X811" s="58">
        <f>(31*0.1790888*245000/1000000)+(31*0.2374*100000/1000000)</f>
        <v>2.0961194359999999</v>
      </c>
      <c r="Y811" s="58"/>
      <c r="Z811" s="10"/>
      <c r="AA811" s="57"/>
      <c r="AB811" s="51">
        <f>(B811*194.205+C811*267.466+D811*133.845+E811*53.484+F811*40+G811*185+H811*0+I811*100+J811*300)/(194.205+267.466+133.845+53.484+0+40+185+100+300)</f>
        <v>50.942154012558873</v>
      </c>
      <c r="AC811" s="27">
        <f>(M811*'RAP TEMPLATE-GAS AVAILABILITY'!O810+N811*'RAP TEMPLATE-GAS AVAILABILITY'!P810+O811*'RAP TEMPLATE-GAS AVAILABILITY'!Q810+P811*'RAP TEMPLATE-GAS AVAILABILITY'!R810)/('RAP TEMPLATE-GAS AVAILABILITY'!O810+'RAP TEMPLATE-GAS AVAILABILITY'!P810+'RAP TEMPLATE-GAS AVAILABILITY'!Q810+'RAP TEMPLATE-GAS AVAILABILITY'!R810)</f>
        <v>50.504007913669064</v>
      </c>
    </row>
    <row r="812" spans="1:29" ht="15.75" x14ac:dyDescent="0.25">
      <c r="A812" s="13">
        <v>65623</v>
      </c>
      <c r="B812" s="10">
        <f>CHOOSE(CONTROL!$C$42, 48.41, 48.41) * CHOOSE(CONTROL!$C$21, $C$9, 100%, $E$9)</f>
        <v>48.41</v>
      </c>
      <c r="C812" s="10">
        <f>CHOOSE(CONTROL!$C$42, 48.4179, 48.4179) * CHOOSE(CONTROL!$C$21, $C$9, 100%, $E$9)</f>
        <v>48.417900000000003</v>
      </c>
      <c r="D812" s="10">
        <f>CHOOSE(CONTROL!$C$42, 48.6103, 48.6103) * CHOOSE(CONTROL!$C$21, $C$9, 100%, $E$9)</f>
        <v>48.610300000000002</v>
      </c>
      <c r="E812" s="10">
        <f>CHOOSE(CONTROL!$C$42, 48.6414, 48.6414) * CHOOSE(CONTROL!$C$21, $C$9, 100%, $E$9)</f>
        <v>48.641399999999997</v>
      </c>
      <c r="F812" s="10">
        <f>CHOOSE(CONTROL!$C$42, 48.377, 48.377)*CHOOSE(CONTROL!$C$21, $C$9, 100%, $E$9)</f>
        <v>48.377000000000002</v>
      </c>
      <c r="G812" s="10">
        <f>CHOOSE(CONTROL!$C$42, 48.3943, 48.3943)*CHOOSE(CONTROL!$C$21, $C$9, 100%, $E$9)</f>
        <v>48.394300000000001</v>
      </c>
      <c r="H812" s="10">
        <f>CHOOSE(CONTROL!$C$42, 48.6301, 48.6301) * CHOOSE(CONTROL!$C$21, $C$9, 100%, $E$9)</f>
        <v>48.630099999999999</v>
      </c>
      <c r="I812" s="10">
        <f>CHOOSE(CONTROL!$C$42, 48.3765, 48.3765)* CHOOSE(CONTROL!$C$21, $C$9, 100%, $E$9)</f>
        <v>48.3765</v>
      </c>
      <c r="J812" s="10">
        <f>CHOOSE(CONTROL!$C$42, 48.37, 48.37)* CHOOSE(CONTROL!$C$21, $C$9, 100%, $E$9)</f>
        <v>48.37</v>
      </c>
      <c r="K812" s="54">
        <f>CHOOSE(CONTROL!$C$42, 48.3726, 48.3726) * CHOOSE(CONTROL!$C$21, $C$9, 100%, $E$9)</f>
        <v>48.372599999999998</v>
      </c>
      <c r="L812" s="10">
        <f>CHOOSE(CONTROL!$C$42, 49.2171, 49.2171) * CHOOSE(CONTROL!$C$21, $C$9, 100%, $E$9)</f>
        <v>49.217100000000002</v>
      </c>
      <c r="M812" s="10">
        <f>CHOOSE(CONTROL!$C$42, 47.8957, 47.8957) * CHOOSE(CONTROL!$C$21, $C$9, 100%, $E$9)</f>
        <v>47.895699999999998</v>
      </c>
      <c r="N812" s="10">
        <f>CHOOSE(CONTROL!$C$42, 47.9129, 47.9129) * CHOOSE(CONTROL!$C$21, $C$9, 100%, $E$9)</f>
        <v>47.9129</v>
      </c>
      <c r="O812" s="10">
        <f>CHOOSE(CONTROL!$C$42, 48.1531, 48.1531) * CHOOSE(CONTROL!$C$21, $C$9, 100%, $E$9)</f>
        <v>48.153100000000002</v>
      </c>
      <c r="P812" s="10">
        <f>CHOOSE(CONTROL!$C$42, 47.9022, 47.9022) * CHOOSE(CONTROL!$C$21, $C$9, 100%, $E$9)</f>
        <v>47.902200000000001</v>
      </c>
      <c r="Q812" s="10">
        <f>CHOOSE(CONTROL!$C$42, 48.7484, 48.7484) * CHOOSE(CONTROL!$C$21, $C$9, 100%, $E$9)</f>
        <v>48.748399999999997</v>
      </c>
      <c r="R812" s="10">
        <f>CHOOSE(CONTROL!$C$42, 49.4573, 49.4573) * CHOOSE(CONTROL!$C$21, $C$9, 100%, $E$9)</f>
        <v>49.457299999999996</v>
      </c>
      <c r="S812" s="10">
        <f>CHOOSE(CONTROL!$C$42, 47.0067, 47.0067) * CHOOSE(CONTROL!$C$21, $C$9, 100%, $E$9)</f>
        <v>47.006700000000002</v>
      </c>
      <c r="T812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812" s="58">
        <f>(1000*CHOOSE(CONTROL!$C$42, 695, 695)*CHOOSE(CONTROL!$C$42, 0.5599, 0.5599)*CHOOSE(CONTROL!$C$42, 31, 31))/1000000</f>
        <v>12.063045499999998</v>
      </c>
      <c r="V812" s="58">
        <f>(1000*CHOOSE(CONTROL!$C$42, 500, 500)*CHOOSE(CONTROL!$C$42, 0.275, 0.275)*CHOOSE(CONTROL!$C$42, 31, 31))/1000000</f>
        <v>4.2625000000000002</v>
      </c>
      <c r="W812" s="58">
        <f>(1000*CHOOSE(CONTROL!$C$42, 0.1146, 0.1146)*CHOOSE(CONTROL!$C$42, 121.5, 121.5)*CHOOSE(CONTROL!$C$42, 31, 31))/1000000</f>
        <v>0.43164089999999994</v>
      </c>
      <c r="X812" s="58">
        <f>(31*0.1790888*245000/1000000)+(31*0.2374*100000/1000000)</f>
        <v>2.0961194359999999</v>
      </c>
      <c r="Y812" s="58"/>
      <c r="Z812" s="10"/>
      <c r="AA812" s="57"/>
      <c r="AB812" s="51">
        <f>(B812*194.205+C812*267.466+D812*133.845+E812*53.484+F812*40+G812*185+H812*0+I812*100+J812*300)/(194.205+267.466+133.845+53.484+0+40+185+100+300)</f>
        <v>48.427051673861854</v>
      </c>
      <c r="AC812" s="27">
        <f>(M812*'RAP TEMPLATE-GAS AVAILABILITY'!O811+N812*'RAP TEMPLATE-GAS AVAILABILITY'!P811+O812*'RAP TEMPLATE-GAS AVAILABILITY'!Q811+P812*'RAP TEMPLATE-GAS AVAILABILITY'!R811)/('RAP TEMPLATE-GAS AVAILABILITY'!O811+'RAP TEMPLATE-GAS AVAILABILITY'!P811+'RAP TEMPLATE-GAS AVAILABILITY'!Q811+'RAP TEMPLATE-GAS AVAILABILITY'!R811)</f>
        <v>48.014288489208639</v>
      </c>
    </row>
    <row r="813" spans="1:29" ht="15.75" x14ac:dyDescent="0.25">
      <c r="A813" s="13">
        <v>65653</v>
      </c>
      <c r="B813" s="10">
        <f>CHOOSE(CONTROL!$C$42, 45.3365, 45.3365) * CHOOSE(CONTROL!$C$21, $C$9, 100%, $E$9)</f>
        <v>45.336500000000001</v>
      </c>
      <c r="C813" s="10">
        <f>CHOOSE(CONTROL!$C$42, 45.3444, 45.3444) * CHOOSE(CONTROL!$C$21, $C$9, 100%, $E$9)</f>
        <v>45.3444</v>
      </c>
      <c r="D813" s="10">
        <f>CHOOSE(CONTROL!$C$42, 45.5368, 45.5368) * CHOOSE(CONTROL!$C$21, $C$9, 100%, $E$9)</f>
        <v>45.536799999999999</v>
      </c>
      <c r="E813" s="10">
        <f>CHOOSE(CONTROL!$C$42, 45.568, 45.568) * CHOOSE(CONTROL!$C$21, $C$9, 100%, $E$9)</f>
        <v>45.567999999999998</v>
      </c>
      <c r="F813" s="10">
        <f>CHOOSE(CONTROL!$C$42, 45.3034, 45.3034)*CHOOSE(CONTROL!$C$21, $C$9, 100%, $E$9)</f>
        <v>45.303400000000003</v>
      </c>
      <c r="G813" s="10">
        <f>CHOOSE(CONTROL!$C$42, 45.3207, 45.3207)*CHOOSE(CONTROL!$C$21, $C$9, 100%, $E$9)</f>
        <v>45.320700000000002</v>
      </c>
      <c r="H813" s="10">
        <f>CHOOSE(CONTROL!$C$42, 45.5566, 45.5566) * CHOOSE(CONTROL!$C$21, $C$9, 100%, $E$9)</f>
        <v>45.556600000000003</v>
      </c>
      <c r="I813" s="10">
        <f>CHOOSE(CONTROL!$C$42, 45.303, 45.303)* CHOOSE(CONTROL!$C$21, $C$9, 100%, $E$9)</f>
        <v>45.302999999999997</v>
      </c>
      <c r="J813" s="10">
        <f>CHOOSE(CONTROL!$C$42, 45.2964, 45.2964)* CHOOSE(CONTROL!$C$21, $C$9, 100%, $E$9)</f>
        <v>45.296399999999998</v>
      </c>
      <c r="K813" s="54">
        <f>CHOOSE(CONTROL!$C$42, 45.2991, 45.2991) * CHOOSE(CONTROL!$C$21, $C$9, 100%, $E$9)</f>
        <v>45.299100000000003</v>
      </c>
      <c r="L813" s="10">
        <f>CHOOSE(CONTROL!$C$42, 46.1436, 46.1436) * CHOOSE(CONTROL!$C$21, $C$9, 100%, $E$9)</f>
        <v>46.143599999999999</v>
      </c>
      <c r="M813" s="10">
        <f>CHOOSE(CONTROL!$C$42, 44.8531, 44.8531) * CHOOSE(CONTROL!$C$21, $C$9, 100%, $E$9)</f>
        <v>44.853099999999998</v>
      </c>
      <c r="N813" s="10">
        <f>CHOOSE(CONTROL!$C$42, 44.8702, 44.8702) * CHOOSE(CONTROL!$C$21, $C$9, 100%, $E$9)</f>
        <v>44.870199999999997</v>
      </c>
      <c r="O813" s="10">
        <f>CHOOSE(CONTROL!$C$42, 45.1107, 45.1107) * CHOOSE(CONTROL!$C$21, $C$9, 100%, $E$9)</f>
        <v>45.110700000000001</v>
      </c>
      <c r="P813" s="10">
        <f>CHOOSE(CONTROL!$C$42, 44.8597, 44.8597) * CHOOSE(CONTROL!$C$21, $C$9, 100%, $E$9)</f>
        <v>44.859699999999997</v>
      </c>
      <c r="Q813" s="10">
        <f>CHOOSE(CONTROL!$C$42, 45.706, 45.706) * CHOOSE(CONTROL!$C$21, $C$9, 100%, $E$9)</f>
        <v>45.706000000000003</v>
      </c>
      <c r="R813" s="10">
        <f>CHOOSE(CONTROL!$C$42, 46.4072, 46.4072) * CHOOSE(CONTROL!$C$21, $C$9, 100%, $E$9)</f>
        <v>46.407200000000003</v>
      </c>
      <c r="S813" s="10">
        <f>CHOOSE(CONTROL!$C$42, 44.022, 44.022) * CHOOSE(CONTROL!$C$21, $C$9, 100%, $E$9)</f>
        <v>44.021999999999998</v>
      </c>
      <c r="T813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813" s="58">
        <f>(1000*CHOOSE(CONTROL!$C$42, 695, 695)*CHOOSE(CONTROL!$C$42, 0.5599, 0.5599)*CHOOSE(CONTROL!$C$42, 30, 30))/1000000</f>
        <v>11.673914999999997</v>
      </c>
      <c r="V813" s="58">
        <f>(1000*CHOOSE(CONTROL!$C$42, 500, 500)*CHOOSE(CONTROL!$C$42, 0.275, 0.275)*CHOOSE(CONTROL!$C$42, 30, 30))/1000000</f>
        <v>4.125</v>
      </c>
      <c r="W813" s="58">
        <f>(1000*CHOOSE(CONTROL!$C$42, 0.1146, 0.1146)*CHOOSE(CONTROL!$C$42, 121.5, 121.5)*CHOOSE(CONTROL!$C$42, 30, 30))/1000000</f>
        <v>0.417717</v>
      </c>
      <c r="X813" s="58">
        <f>(30*0.1790888*245000/1000000)+(30*0.2374*100000/1000000)</f>
        <v>2.0285026799999999</v>
      </c>
      <c r="Y813" s="58"/>
      <c r="Z813" s="10"/>
      <c r="AA813" s="57"/>
      <c r="AB813" s="51">
        <f>(B813*194.205+C813*267.466+D813*133.845+E813*53.484+F813*40+G813*185+H813*0+I813*100+J813*300)/(194.205+267.466+133.845+53.484+0+40+185+100+300)</f>
        <v>45.353514663186814</v>
      </c>
      <c r="AC813" s="27">
        <f>(M813*'RAP TEMPLATE-GAS AVAILABILITY'!O812+N813*'RAP TEMPLATE-GAS AVAILABILITY'!P812+O813*'RAP TEMPLATE-GAS AVAILABILITY'!Q812+P813*'RAP TEMPLATE-GAS AVAILABILITY'!R812)/('RAP TEMPLATE-GAS AVAILABILITY'!O812+'RAP TEMPLATE-GAS AVAILABILITY'!P812+'RAP TEMPLATE-GAS AVAILABILITY'!Q812+'RAP TEMPLATE-GAS AVAILABILITY'!R812)</f>
        <v>44.971787769784179</v>
      </c>
    </row>
    <row r="814" spans="1:29" ht="15.75" x14ac:dyDescent="0.25">
      <c r="A814" s="13">
        <v>65684</v>
      </c>
      <c r="B814" s="10">
        <f>CHOOSE(CONTROL!$C$42, 44.4143, 44.4143) * CHOOSE(CONTROL!$C$21, $C$9, 100%, $E$9)</f>
        <v>44.414299999999997</v>
      </c>
      <c r="C814" s="10">
        <f>CHOOSE(CONTROL!$C$42, 44.4195, 44.4195) * CHOOSE(CONTROL!$C$21, $C$9, 100%, $E$9)</f>
        <v>44.419499999999999</v>
      </c>
      <c r="D814" s="10">
        <f>CHOOSE(CONTROL!$C$42, 44.6169, 44.6169) * CHOOSE(CONTROL!$C$21, $C$9, 100%, $E$9)</f>
        <v>44.616900000000001</v>
      </c>
      <c r="E814" s="10">
        <f>CHOOSE(CONTROL!$C$42, 44.6457, 44.6457) * CHOOSE(CONTROL!$C$21, $C$9, 100%, $E$9)</f>
        <v>44.645699999999998</v>
      </c>
      <c r="F814" s="10">
        <f>CHOOSE(CONTROL!$C$42, 44.3832, 44.3832)*CHOOSE(CONTROL!$C$21, $C$9, 100%, $E$9)</f>
        <v>44.383200000000002</v>
      </c>
      <c r="G814" s="10">
        <f>CHOOSE(CONTROL!$C$42, 44.4002, 44.4002)*CHOOSE(CONTROL!$C$21, $C$9, 100%, $E$9)</f>
        <v>44.400199999999998</v>
      </c>
      <c r="H814" s="10">
        <f>CHOOSE(CONTROL!$C$42, 44.6362, 44.6362) * CHOOSE(CONTROL!$C$21, $C$9, 100%, $E$9)</f>
        <v>44.636200000000002</v>
      </c>
      <c r="I814" s="10">
        <f>CHOOSE(CONTROL!$C$42, 44.3826, 44.3826)* CHOOSE(CONTROL!$C$21, $C$9, 100%, $E$9)</f>
        <v>44.382599999999996</v>
      </c>
      <c r="J814" s="10">
        <f>CHOOSE(CONTROL!$C$42, 44.3762, 44.3762)* CHOOSE(CONTROL!$C$21, $C$9, 100%, $E$9)</f>
        <v>44.376199999999997</v>
      </c>
      <c r="K814" s="54">
        <f>CHOOSE(CONTROL!$C$42, 44.3787, 44.3787) * CHOOSE(CONTROL!$C$21, $C$9, 100%, $E$9)</f>
        <v>44.378700000000002</v>
      </c>
      <c r="L814" s="10">
        <f>CHOOSE(CONTROL!$C$42, 45.2232, 45.2232) * CHOOSE(CONTROL!$C$21, $C$9, 100%, $E$9)</f>
        <v>45.223199999999999</v>
      </c>
      <c r="M814" s="10">
        <f>CHOOSE(CONTROL!$C$42, 43.9422, 43.9422) * CHOOSE(CONTROL!$C$21, $C$9, 100%, $E$9)</f>
        <v>43.9422</v>
      </c>
      <c r="N814" s="10">
        <f>CHOOSE(CONTROL!$C$42, 43.959, 43.959) * CHOOSE(CONTROL!$C$21, $C$9, 100%, $E$9)</f>
        <v>43.959000000000003</v>
      </c>
      <c r="O814" s="10">
        <f>CHOOSE(CONTROL!$C$42, 44.1995, 44.1995) * CHOOSE(CONTROL!$C$21, $C$9, 100%, $E$9)</f>
        <v>44.1995</v>
      </c>
      <c r="P814" s="10">
        <f>CHOOSE(CONTROL!$C$42, 43.9486, 43.9486) * CHOOSE(CONTROL!$C$21, $C$9, 100%, $E$9)</f>
        <v>43.948599999999999</v>
      </c>
      <c r="Q814" s="10">
        <f>CHOOSE(CONTROL!$C$42, 44.7948, 44.7948) * CHOOSE(CONTROL!$C$21, $C$9, 100%, $E$9)</f>
        <v>44.794800000000002</v>
      </c>
      <c r="R814" s="10">
        <f>CHOOSE(CONTROL!$C$42, 45.4938, 45.4938) * CHOOSE(CONTROL!$C$21, $C$9, 100%, $E$9)</f>
        <v>45.4938</v>
      </c>
      <c r="S814" s="10">
        <f>CHOOSE(CONTROL!$C$42, 43.1282, 43.1282) * CHOOSE(CONTROL!$C$21, $C$9, 100%, $E$9)</f>
        <v>43.1282</v>
      </c>
      <c r="T814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814" s="58">
        <f>(1000*CHOOSE(CONTROL!$C$42, 695, 695)*CHOOSE(CONTROL!$C$42, 0.5599, 0.5599)*CHOOSE(CONTROL!$C$42, 31, 31))/1000000</f>
        <v>12.063045499999998</v>
      </c>
      <c r="V814" s="58">
        <f>(1000*CHOOSE(CONTROL!$C$42, 500, 500)*CHOOSE(CONTROL!$C$42, 0.275, 0.275)*CHOOSE(CONTROL!$C$42, 31, 31))/1000000</f>
        <v>4.2625000000000002</v>
      </c>
      <c r="W814" s="58">
        <f>(1000*CHOOSE(CONTROL!$C$42, 0.1146, 0.1146)*CHOOSE(CONTROL!$C$42, 121.5, 121.5)*CHOOSE(CONTROL!$C$42, 31, 31))/1000000</f>
        <v>0.43164089999999994</v>
      </c>
      <c r="X814" s="58">
        <f>(31*0.1790888*245000/1000000)+(31*0.2374*100000/1000000)</f>
        <v>2.0961194359999999</v>
      </c>
      <c r="Y814" s="58"/>
      <c r="Z814" s="10"/>
      <c r="AA814" s="57"/>
      <c r="AB814" s="51">
        <f>(B814*131.881+C814*277.167+D814*79.08+E814*125.872+F814*40+G814*185+H814*0+I814*100+J814*300)/(131.881+277.167+79.08+125.872+0+40+185+100+300)</f>
        <v>44.437009569975785</v>
      </c>
      <c r="AC814" s="27">
        <f>(M814*'RAP TEMPLATE-GAS AVAILABILITY'!O813+N814*'RAP TEMPLATE-GAS AVAILABILITY'!P813+O814*'RAP TEMPLATE-GAS AVAILABILITY'!Q813+P814*'RAP TEMPLATE-GAS AVAILABILITY'!R813)/('RAP TEMPLATE-GAS AVAILABILITY'!O813+'RAP TEMPLATE-GAS AVAILABILITY'!P813+'RAP TEMPLATE-GAS AVAILABILITY'!Q813+'RAP TEMPLATE-GAS AVAILABILITY'!R813)</f>
        <v>44.060705755395688</v>
      </c>
    </row>
    <row r="815" spans="1:29" ht="15.75" x14ac:dyDescent="0.25">
      <c r="A815" s="13">
        <v>65714</v>
      </c>
      <c r="B815" s="10">
        <f>CHOOSE(CONTROL!$C$42, 45.5839, 45.5839) * CHOOSE(CONTROL!$C$21, $C$9, 100%, $E$9)</f>
        <v>45.5839</v>
      </c>
      <c r="C815" s="10">
        <f>CHOOSE(CONTROL!$C$42, 45.5888, 45.5888) * CHOOSE(CONTROL!$C$21, $C$9, 100%, $E$9)</f>
        <v>45.588799999999999</v>
      </c>
      <c r="D815" s="10">
        <f>CHOOSE(CONTROL!$C$42, 45.6184, 45.6184) * CHOOSE(CONTROL!$C$21, $C$9, 100%, $E$9)</f>
        <v>45.618400000000001</v>
      </c>
      <c r="E815" s="10">
        <f>CHOOSE(CONTROL!$C$42, 45.6522, 45.6522) * CHOOSE(CONTROL!$C$21, $C$9, 100%, $E$9)</f>
        <v>45.652200000000001</v>
      </c>
      <c r="F815" s="10">
        <f>CHOOSE(CONTROL!$C$42, 45.5507, 45.5507)*CHOOSE(CONTROL!$C$21, $C$9, 100%, $E$9)</f>
        <v>45.550699999999999</v>
      </c>
      <c r="G815" s="10">
        <f>CHOOSE(CONTROL!$C$42, 45.5678, 45.5678)*CHOOSE(CONTROL!$C$21, $C$9, 100%, $E$9)</f>
        <v>45.567799999999998</v>
      </c>
      <c r="H815" s="10">
        <f>CHOOSE(CONTROL!$C$42, 45.6414, 45.6414) * CHOOSE(CONTROL!$C$21, $C$9, 100%, $E$9)</f>
        <v>45.641399999999997</v>
      </c>
      <c r="I815" s="10">
        <f>CHOOSE(CONTROL!$C$42, 45.5475, 45.5475)* CHOOSE(CONTROL!$C$21, $C$9, 100%, $E$9)</f>
        <v>45.547499999999999</v>
      </c>
      <c r="J815" s="10">
        <f>CHOOSE(CONTROL!$C$42, 45.5437, 45.5437)* CHOOSE(CONTROL!$C$21, $C$9, 100%, $E$9)</f>
        <v>45.543700000000001</v>
      </c>
      <c r="K815" s="54">
        <f>CHOOSE(CONTROL!$C$42, 45.5436, 45.5436) * CHOOSE(CONTROL!$C$21, $C$9, 100%, $E$9)</f>
        <v>45.543599999999998</v>
      </c>
      <c r="L815" s="10">
        <f>CHOOSE(CONTROL!$C$42, 46.2284, 46.2284) * CHOOSE(CONTROL!$C$21, $C$9, 100%, $E$9)</f>
        <v>46.228400000000001</v>
      </c>
      <c r="M815" s="10">
        <f>CHOOSE(CONTROL!$C$42, 45.0979, 45.0979) * CHOOSE(CONTROL!$C$21, $C$9, 100%, $E$9)</f>
        <v>45.097900000000003</v>
      </c>
      <c r="N815" s="10">
        <f>CHOOSE(CONTROL!$C$42, 45.1148, 45.1148) * CHOOSE(CONTROL!$C$21, $C$9, 100%, $E$9)</f>
        <v>45.114800000000002</v>
      </c>
      <c r="O815" s="10">
        <f>CHOOSE(CONTROL!$C$42, 45.1946, 45.1946) * CHOOSE(CONTROL!$C$21, $C$9, 100%, $E$9)</f>
        <v>45.194600000000001</v>
      </c>
      <c r="P815" s="10">
        <f>CHOOSE(CONTROL!$C$42, 45.1017, 45.1017) * CHOOSE(CONTROL!$C$21, $C$9, 100%, $E$9)</f>
        <v>45.101700000000001</v>
      </c>
      <c r="Q815" s="10">
        <f>CHOOSE(CONTROL!$C$42, 45.7899, 45.7899) * CHOOSE(CONTROL!$C$21, $C$9, 100%, $E$9)</f>
        <v>45.789900000000003</v>
      </c>
      <c r="R815" s="10">
        <f>CHOOSE(CONTROL!$C$42, 46.4914, 46.4914) * CHOOSE(CONTROL!$C$21, $C$9, 100%, $E$9)</f>
        <v>46.491399999999999</v>
      </c>
      <c r="S815" s="10">
        <f>CHOOSE(CONTROL!$C$42, 44.2644, 44.2644) * CHOOSE(CONTROL!$C$21, $C$9, 100%, $E$9)</f>
        <v>44.264400000000002</v>
      </c>
      <c r="T815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815" s="58">
        <f>(1000*CHOOSE(CONTROL!$C$42, 695, 695)*CHOOSE(CONTROL!$C$42, 0.5599, 0.5599)*CHOOSE(CONTROL!$C$42, 30, 30))/1000000</f>
        <v>11.673914999999997</v>
      </c>
      <c r="V815" s="58">
        <f>(1000*CHOOSE(CONTROL!$C$42, 500, 500)*CHOOSE(CONTROL!$C$42, 0.275, 0.275)*CHOOSE(CONTROL!$C$42, 30, 30))/1000000</f>
        <v>4.125</v>
      </c>
      <c r="W815" s="58">
        <f>(1000*CHOOSE(CONTROL!$C$42, 0.1146, 0.1146)*CHOOSE(CONTROL!$C$42, 121.5, 121.5)*CHOOSE(CONTROL!$C$42, 30, 30))/1000000</f>
        <v>0.417717</v>
      </c>
      <c r="X815" s="58">
        <f>(30*0.1790888*100000/1000000)+(30*0.2374*100000/1000000)</f>
        <v>1.2494664</v>
      </c>
      <c r="Y815" s="58"/>
      <c r="Z815" s="10"/>
      <c r="AA815" s="57"/>
      <c r="AB815" s="51">
        <f>(B815*122.58+C815*297.941+D815*89.177+E815*40.302+F815*40+G815*160+H815*0+I815*100+J815*300)/(122.58+297.941+89.177+40.302+0+40+160+100+300)</f>
        <v>45.573191429565213</v>
      </c>
      <c r="AC815" s="27">
        <f>(M815*'RAP TEMPLATE-GAS AVAILABILITY'!O814+N815*'RAP TEMPLATE-GAS AVAILABILITY'!P814+O815*'RAP TEMPLATE-GAS AVAILABILITY'!Q814+P815*'RAP TEMPLATE-GAS AVAILABILITY'!R814)/('RAP TEMPLATE-GAS AVAILABILITY'!O814+'RAP TEMPLATE-GAS AVAILABILITY'!P814+'RAP TEMPLATE-GAS AVAILABILITY'!Q814+'RAP TEMPLATE-GAS AVAILABILITY'!R814)</f>
        <v>45.143247482014388</v>
      </c>
    </row>
    <row r="816" spans="1:29" ht="15.75" x14ac:dyDescent="0.25">
      <c r="A816" s="13">
        <v>65745</v>
      </c>
      <c r="B816" s="10">
        <f>CHOOSE(CONTROL!$C$42, 48.6916, 48.6916) * CHOOSE(CONTROL!$C$21, $C$9, 100%, $E$9)</f>
        <v>48.691600000000001</v>
      </c>
      <c r="C816" s="10">
        <f>CHOOSE(CONTROL!$C$42, 48.6965, 48.6965) * CHOOSE(CONTROL!$C$21, $C$9, 100%, $E$9)</f>
        <v>48.6965</v>
      </c>
      <c r="D816" s="10">
        <f>CHOOSE(CONTROL!$C$42, 48.7261, 48.7261) * CHOOSE(CONTROL!$C$21, $C$9, 100%, $E$9)</f>
        <v>48.726100000000002</v>
      </c>
      <c r="E816" s="10">
        <f>CHOOSE(CONTROL!$C$42, 48.7599, 48.7599) * CHOOSE(CONTROL!$C$21, $C$9, 100%, $E$9)</f>
        <v>48.759900000000002</v>
      </c>
      <c r="F816" s="10">
        <f>CHOOSE(CONTROL!$C$42, 48.6598, 48.6598)*CHOOSE(CONTROL!$C$21, $C$9, 100%, $E$9)</f>
        <v>48.659799999999997</v>
      </c>
      <c r="G816" s="10">
        <f>CHOOSE(CONTROL!$C$42, 48.6773, 48.6773)*CHOOSE(CONTROL!$C$21, $C$9, 100%, $E$9)</f>
        <v>48.677300000000002</v>
      </c>
      <c r="H816" s="10">
        <f>CHOOSE(CONTROL!$C$42, 48.7491, 48.7491) * CHOOSE(CONTROL!$C$21, $C$9, 100%, $E$9)</f>
        <v>48.749099999999999</v>
      </c>
      <c r="I816" s="10">
        <f>CHOOSE(CONTROL!$C$42, 48.6552, 48.6552)* CHOOSE(CONTROL!$C$21, $C$9, 100%, $E$9)</f>
        <v>48.655200000000001</v>
      </c>
      <c r="J816" s="10">
        <f>CHOOSE(CONTROL!$C$42, 48.6528, 48.6528)* CHOOSE(CONTROL!$C$21, $C$9, 100%, $E$9)</f>
        <v>48.652799999999999</v>
      </c>
      <c r="K816" s="54">
        <f>CHOOSE(CONTROL!$C$42, 48.6513, 48.6513) * CHOOSE(CONTROL!$C$21, $C$9, 100%, $E$9)</f>
        <v>48.651299999999999</v>
      </c>
      <c r="L816" s="10">
        <f>CHOOSE(CONTROL!$C$42, 49.3361, 49.3361) * CHOOSE(CONTROL!$C$21, $C$9, 100%, $E$9)</f>
        <v>49.336100000000002</v>
      </c>
      <c r="M816" s="10">
        <f>CHOOSE(CONTROL!$C$42, 48.1756, 48.1756) * CHOOSE(CONTROL!$C$21, $C$9, 100%, $E$9)</f>
        <v>48.175600000000003</v>
      </c>
      <c r="N816" s="10">
        <f>CHOOSE(CONTROL!$C$42, 48.1929, 48.1929) * CHOOSE(CONTROL!$C$21, $C$9, 100%, $E$9)</f>
        <v>48.192900000000002</v>
      </c>
      <c r="O816" s="10">
        <f>CHOOSE(CONTROL!$C$42, 48.271, 48.271) * CHOOSE(CONTROL!$C$21, $C$9, 100%, $E$9)</f>
        <v>48.271000000000001</v>
      </c>
      <c r="P816" s="10">
        <f>CHOOSE(CONTROL!$C$42, 48.178, 48.178) * CHOOSE(CONTROL!$C$21, $C$9, 100%, $E$9)</f>
        <v>48.177999999999997</v>
      </c>
      <c r="Q816" s="10">
        <f>CHOOSE(CONTROL!$C$42, 48.8663, 48.8663) * CHOOSE(CONTROL!$C$21, $C$9, 100%, $E$9)</f>
        <v>48.866300000000003</v>
      </c>
      <c r="R816" s="10">
        <f>CHOOSE(CONTROL!$C$42, 49.5754, 49.5754) * CHOOSE(CONTROL!$C$21, $C$9, 100%, $E$9)</f>
        <v>49.575400000000002</v>
      </c>
      <c r="S816" s="10">
        <f>CHOOSE(CONTROL!$C$42, 47.2822, 47.2822) * CHOOSE(CONTROL!$C$21, $C$9, 100%, $E$9)</f>
        <v>47.282200000000003</v>
      </c>
      <c r="T816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816" s="58">
        <f>(1000*CHOOSE(CONTROL!$C$42, 695, 695)*CHOOSE(CONTROL!$C$42, 0.5599, 0.5599)*CHOOSE(CONTROL!$C$42, 31, 31))/1000000</f>
        <v>12.063045499999998</v>
      </c>
      <c r="V816" s="58">
        <f>(1000*CHOOSE(CONTROL!$C$42, 500, 500)*CHOOSE(CONTROL!$C$42, 0.275, 0.275)*CHOOSE(CONTROL!$C$42, 31, 31))/1000000</f>
        <v>4.2625000000000002</v>
      </c>
      <c r="W816" s="58">
        <f>(1000*CHOOSE(CONTROL!$C$42, 0.1146, 0.1146)*CHOOSE(CONTROL!$C$42, 121.5, 121.5)*CHOOSE(CONTROL!$C$42, 31, 31))/1000000</f>
        <v>0.43164089999999994</v>
      </c>
      <c r="X816" s="58">
        <f>(31*0.1790888*100000/1000000)+(31*0.2374*100000/1000000)</f>
        <v>1.2911152800000001</v>
      </c>
      <c r="Y816" s="58"/>
      <c r="Z816" s="10"/>
      <c r="AA816" s="57"/>
      <c r="AB816" s="51">
        <f>(B816*122.58+C816*297.941+D816*89.177+E816*40.302+F816*40+G816*160+H816*0+I816*100+J816*300)/(122.58+297.941+89.177+40.302+0+40+160+100+300)</f>
        <v>48.681555777391303</v>
      </c>
      <c r="AC816" s="27">
        <f>(M816*'RAP TEMPLATE-GAS AVAILABILITY'!O815+N816*'RAP TEMPLATE-GAS AVAILABILITY'!P815+O816*'RAP TEMPLATE-GAS AVAILABILITY'!Q815+P816*'RAP TEMPLATE-GAS AVAILABILITY'!R815)/('RAP TEMPLATE-GAS AVAILABILITY'!O815+'RAP TEMPLATE-GAS AVAILABILITY'!P815+'RAP TEMPLATE-GAS AVAILABILITY'!Q815+'RAP TEMPLATE-GAS AVAILABILITY'!R815)</f>
        <v>48.220179856115102</v>
      </c>
    </row>
    <row r="817" spans="1:29" ht="15.75" x14ac:dyDescent="0.25">
      <c r="A817" s="13">
        <v>65776</v>
      </c>
      <c r="B817" s="10">
        <f>CHOOSE(CONTROL!$C$42, 52.681, 52.681) * CHOOSE(CONTROL!$C$21, $C$9, 100%, $E$9)</f>
        <v>52.680999999999997</v>
      </c>
      <c r="C817" s="10">
        <f>CHOOSE(CONTROL!$C$42, 52.6859, 52.6859) * CHOOSE(CONTROL!$C$21, $C$9, 100%, $E$9)</f>
        <v>52.685899999999997</v>
      </c>
      <c r="D817" s="10">
        <f>CHOOSE(CONTROL!$C$42, 52.7361, 52.7361) * CHOOSE(CONTROL!$C$21, $C$9, 100%, $E$9)</f>
        <v>52.7361</v>
      </c>
      <c r="E817" s="10">
        <f>CHOOSE(CONTROL!$C$42, 52.7699, 52.7699) * CHOOSE(CONTROL!$C$21, $C$9, 100%, $E$9)</f>
        <v>52.7699</v>
      </c>
      <c r="F817" s="10">
        <f>CHOOSE(CONTROL!$C$42, 52.6463, 52.6463)*CHOOSE(CONTROL!$C$21, $C$9, 100%, $E$9)</f>
        <v>52.646299999999997</v>
      </c>
      <c r="G817" s="10">
        <f>CHOOSE(CONTROL!$C$42, 52.6639, 52.6639)*CHOOSE(CONTROL!$C$21, $C$9, 100%, $E$9)</f>
        <v>52.663899999999998</v>
      </c>
      <c r="H817" s="10">
        <f>CHOOSE(CONTROL!$C$42, 52.7591, 52.7591) * CHOOSE(CONTROL!$C$21, $C$9, 100%, $E$9)</f>
        <v>52.759099999999997</v>
      </c>
      <c r="I817" s="10">
        <f>CHOOSE(CONTROL!$C$42, 52.6549, 52.6549)* CHOOSE(CONTROL!$C$21, $C$9, 100%, $E$9)</f>
        <v>52.654899999999998</v>
      </c>
      <c r="J817" s="10">
        <f>CHOOSE(CONTROL!$C$42, 52.6393, 52.6393)* CHOOSE(CONTROL!$C$21, $C$9, 100%, $E$9)</f>
        <v>52.639299999999999</v>
      </c>
      <c r="K817" s="54">
        <f>CHOOSE(CONTROL!$C$42, 52.651, 52.651) * CHOOSE(CONTROL!$C$21, $C$9, 100%, $E$9)</f>
        <v>52.651000000000003</v>
      </c>
      <c r="L817" s="10">
        <f>CHOOSE(CONTROL!$C$42, 53.3461, 53.3461) * CHOOSE(CONTROL!$C$21, $C$9, 100%, $E$9)</f>
        <v>53.3461</v>
      </c>
      <c r="M817" s="10">
        <f>CHOOSE(CONTROL!$C$42, 52.1219, 52.1219) * CHOOSE(CONTROL!$C$21, $C$9, 100%, $E$9)</f>
        <v>52.121899999999997</v>
      </c>
      <c r="N817" s="10">
        <f>CHOOSE(CONTROL!$C$42, 52.1393, 52.1393) * CHOOSE(CONTROL!$C$21, $C$9, 100%, $E$9)</f>
        <v>52.139299999999999</v>
      </c>
      <c r="O817" s="10">
        <f>CHOOSE(CONTROL!$C$42, 52.2405, 52.2405) * CHOOSE(CONTROL!$C$21, $C$9, 100%, $E$9)</f>
        <v>52.240499999999997</v>
      </c>
      <c r="P817" s="10">
        <f>CHOOSE(CONTROL!$C$42, 52.1373, 52.1373) * CHOOSE(CONTROL!$C$21, $C$9, 100%, $E$9)</f>
        <v>52.137300000000003</v>
      </c>
      <c r="Q817" s="10">
        <f>CHOOSE(CONTROL!$C$42, 52.8358, 52.8358) * CHOOSE(CONTROL!$C$21, $C$9, 100%, $E$9)</f>
        <v>52.835799999999999</v>
      </c>
      <c r="R817" s="10">
        <f>CHOOSE(CONTROL!$C$42, 53.5549, 53.5549) * CHOOSE(CONTROL!$C$21, $C$9, 100%, $E$9)</f>
        <v>53.554900000000004</v>
      </c>
      <c r="S817" s="10">
        <f>CHOOSE(CONTROL!$C$42, 51.1563, 51.1563) * CHOOSE(CONTROL!$C$21, $C$9, 100%, $E$9)</f>
        <v>51.156300000000002</v>
      </c>
      <c r="T817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817" s="58">
        <f>(1000*CHOOSE(CONTROL!$C$42, 695, 695)*CHOOSE(CONTROL!$C$42, 0.5599, 0.5599)*CHOOSE(CONTROL!$C$42, 31, 31))/1000000</f>
        <v>12.063045499999998</v>
      </c>
      <c r="V817" s="58">
        <f>(1000*CHOOSE(CONTROL!$C$42, 500, 500)*CHOOSE(CONTROL!$C$42, 0.275, 0.275)*CHOOSE(CONTROL!$C$42, 31, 31))/1000000</f>
        <v>4.2625000000000002</v>
      </c>
      <c r="W817" s="58">
        <f>(1000*CHOOSE(CONTROL!$C$42, 0.1146, 0.1146)*CHOOSE(CONTROL!$C$42, 121.5, 121.5)*CHOOSE(CONTROL!$C$42, 31, 31))/1000000</f>
        <v>0.43164089999999994</v>
      </c>
      <c r="X817" s="58">
        <f>(31*0.1790888*100000/1000000)+(31*0.2374*100000/1000000)</f>
        <v>1.2911152800000001</v>
      </c>
      <c r="Y817" s="58"/>
      <c r="Z817" s="10"/>
      <c r="AA817" s="57"/>
      <c r="AB817" s="51">
        <f>(B817*122.58+C817*297.941+D817*89.177+E817*40.302+F817*40+G817*160+H817*0+I817*100+J817*300)/(122.58+297.941+89.177+40.302+0+40+160+100+300)</f>
        <v>52.672923835999995</v>
      </c>
      <c r="AC817" s="27">
        <f>(M817*'RAP TEMPLATE-GAS AVAILABILITY'!O816+N817*'RAP TEMPLATE-GAS AVAILABILITY'!P816+O817*'RAP TEMPLATE-GAS AVAILABILITY'!Q816+P817*'RAP TEMPLATE-GAS AVAILABILITY'!R816)/('RAP TEMPLATE-GAS AVAILABILITY'!O816+'RAP TEMPLATE-GAS AVAILABILITY'!P816+'RAP TEMPLATE-GAS AVAILABILITY'!Q816+'RAP TEMPLATE-GAS AVAILABILITY'!R816)</f>
        <v>52.178871223021588</v>
      </c>
    </row>
    <row r="818" spans="1:29" ht="15.75" x14ac:dyDescent="0.25">
      <c r="A818" s="13">
        <v>65805</v>
      </c>
      <c r="B818" s="10">
        <f>CHOOSE(CONTROL!$C$42, 53.6187, 53.6187) * CHOOSE(CONTROL!$C$21, $C$9, 100%, $E$9)</f>
        <v>53.618699999999997</v>
      </c>
      <c r="C818" s="10">
        <f>CHOOSE(CONTROL!$C$42, 53.6237, 53.6237) * CHOOSE(CONTROL!$C$21, $C$9, 100%, $E$9)</f>
        <v>53.623699999999999</v>
      </c>
      <c r="D818" s="10">
        <f>CHOOSE(CONTROL!$C$42, 53.6842, 53.6842) * CHOOSE(CONTROL!$C$21, $C$9, 100%, $E$9)</f>
        <v>53.684199999999997</v>
      </c>
      <c r="E818" s="10">
        <f>CHOOSE(CONTROL!$C$42, 53.7179, 53.7179) * CHOOSE(CONTROL!$C$21, $C$9, 100%, $E$9)</f>
        <v>53.7179</v>
      </c>
      <c r="F818" s="10">
        <f>CHOOSE(CONTROL!$C$42, 53.6119, 53.6119)*CHOOSE(CONTROL!$C$21, $C$9, 100%, $E$9)</f>
        <v>53.611899999999999</v>
      </c>
      <c r="G818" s="10">
        <f>CHOOSE(CONTROL!$C$42, 53.6292, 53.6292)*CHOOSE(CONTROL!$C$21, $C$9, 100%, $E$9)</f>
        <v>53.629199999999997</v>
      </c>
      <c r="H818" s="10">
        <f>CHOOSE(CONTROL!$C$42, 53.7071, 53.7071) * CHOOSE(CONTROL!$C$21, $C$9, 100%, $E$9)</f>
        <v>53.707099999999997</v>
      </c>
      <c r="I818" s="10">
        <f>CHOOSE(CONTROL!$C$42, 53.6055, 53.6055)* CHOOSE(CONTROL!$C$21, $C$9, 100%, $E$9)</f>
        <v>53.605499999999999</v>
      </c>
      <c r="J818" s="10">
        <f>CHOOSE(CONTROL!$C$42, 53.6049, 53.6049)* CHOOSE(CONTROL!$C$21, $C$9, 100%, $E$9)</f>
        <v>53.604900000000001</v>
      </c>
      <c r="K818" s="54">
        <f>CHOOSE(CONTROL!$C$42, 53.6016, 53.6016) * CHOOSE(CONTROL!$C$21, $C$9, 100%, $E$9)</f>
        <v>53.601599999999998</v>
      </c>
      <c r="L818" s="10">
        <f>CHOOSE(CONTROL!$C$42, 54.2941, 54.2941) * CHOOSE(CONTROL!$C$21, $C$9, 100%, $E$9)</f>
        <v>54.2941</v>
      </c>
      <c r="M818" s="10">
        <f>CHOOSE(CONTROL!$C$42, 53.0778, 53.0778) * CHOOSE(CONTROL!$C$21, $C$9, 100%, $E$9)</f>
        <v>53.077800000000003</v>
      </c>
      <c r="N818" s="10">
        <f>CHOOSE(CONTROL!$C$42, 53.0949, 53.0949) * CHOOSE(CONTROL!$C$21, $C$9, 100%, $E$9)</f>
        <v>53.094900000000003</v>
      </c>
      <c r="O818" s="10">
        <f>CHOOSE(CONTROL!$C$42, 53.179, 53.179) * CHOOSE(CONTROL!$C$21, $C$9, 100%, $E$9)</f>
        <v>53.179000000000002</v>
      </c>
      <c r="P818" s="10">
        <f>CHOOSE(CONTROL!$C$42, 53.0784, 53.0784) * CHOOSE(CONTROL!$C$21, $C$9, 100%, $E$9)</f>
        <v>53.078400000000002</v>
      </c>
      <c r="Q818" s="10">
        <f>CHOOSE(CONTROL!$C$42, 53.7743, 53.7743) * CHOOSE(CONTROL!$C$21, $C$9, 100%, $E$9)</f>
        <v>53.774299999999997</v>
      </c>
      <c r="R818" s="10">
        <f>CHOOSE(CONTROL!$C$42, 54.4957, 54.4957) * CHOOSE(CONTROL!$C$21, $C$9, 100%, $E$9)</f>
        <v>54.495699999999999</v>
      </c>
      <c r="S818" s="10">
        <f>CHOOSE(CONTROL!$C$42, 52.067, 52.067) * CHOOSE(CONTROL!$C$21, $C$9, 100%, $E$9)</f>
        <v>52.067</v>
      </c>
      <c r="T818" s="5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818" s="58">
        <f>(1000*CHOOSE(CONTROL!$C$42, 695, 695)*CHOOSE(CONTROL!$C$42, 0.5599, 0.5599)*CHOOSE(CONTROL!$C$42, 29, 29))/1000000</f>
        <v>11.284784499999999</v>
      </c>
      <c r="V818" s="58">
        <f>(1000*CHOOSE(CONTROL!$C$42, 500, 500)*CHOOSE(CONTROL!$C$42, 0.275, 0.275)*CHOOSE(CONTROL!$C$42, 29, 29))/1000000</f>
        <v>3.9874999999999998</v>
      </c>
      <c r="W818" s="58">
        <f>(1000*CHOOSE(CONTROL!$C$42, 0.1146, 0.1146)*CHOOSE(CONTROL!$C$42, 121.5, 121.5)*CHOOSE(CONTROL!$C$42, 29, 29))/1000000</f>
        <v>0.40379309999999996</v>
      </c>
      <c r="X818" s="58">
        <f>(29*0.1790888*100000/1000000)+(29*0.2374*100000/1000000)</f>
        <v>1.2078175199999999</v>
      </c>
      <c r="Y818" s="58"/>
      <c r="Z818" s="10"/>
      <c r="AA818" s="57"/>
      <c r="AB818" s="51">
        <f>(B818*122.58+C818*297.941+D818*89.177+E818*40.302+F818*40+G818*160+H818*0+I818*100+J818*300)/(122.58+297.941+89.177+40.302+0+40+160+100+300)</f>
        <v>53.625027614695654</v>
      </c>
      <c r="AC818" s="27">
        <f>(M818*'RAP TEMPLATE-GAS AVAILABILITY'!O817+N818*'RAP TEMPLATE-GAS AVAILABILITY'!P817+O818*'RAP TEMPLATE-GAS AVAILABILITY'!Q817+P818*'RAP TEMPLATE-GAS AVAILABILITY'!R817)/('RAP TEMPLATE-GAS AVAILABILITY'!O817+'RAP TEMPLATE-GAS AVAILABILITY'!P817+'RAP TEMPLATE-GAS AVAILABILITY'!Q817+'RAP TEMPLATE-GAS AVAILABILITY'!R817)</f>
        <v>53.1247381294964</v>
      </c>
    </row>
    <row r="819" spans="1:29" ht="15.75" x14ac:dyDescent="0.25">
      <c r="A819" s="13">
        <v>65836</v>
      </c>
      <c r="B819" s="10">
        <f>CHOOSE(CONTROL!$C$42, 52.0965, 52.0965) * CHOOSE(CONTROL!$C$21, $C$9, 100%, $E$9)</f>
        <v>52.096499999999999</v>
      </c>
      <c r="C819" s="10">
        <f>CHOOSE(CONTROL!$C$42, 52.1015, 52.1015) * CHOOSE(CONTROL!$C$21, $C$9, 100%, $E$9)</f>
        <v>52.101500000000001</v>
      </c>
      <c r="D819" s="10">
        <f>CHOOSE(CONTROL!$C$42, 52.162, 52.162) * CHOOSE(CONTROL!$C$21, $C$9, 100%, $E$9)</f>
        <v>52.161999999999999</v>
      </c>
      <c r="E819" s="10">
        <f>CHOOSE(CONTROL!$C$42, 52.1957, 52.1957) * CHOOSE(CONTROL!$C$21, $C$9, 100%, $E$9)</f>
        <v>52.195700000000002</v>
      </c>
      <c r="F819" s="10">
        <f>CHOOSE(CONTROL!$C$42, 52.0842, 52.0842)*CHOOSE(CONTROL!$C$21, $C$9, 100%, $E$9)</f>
        <v>52.084200000000003</v>
      </c>
      <c r="G819" s="10">
        <f>CHOOSE(CONTROL!$C$42, 52.1014, 52.1014)*CHOOSE(CONTROL!$C$21, $C$9, 100%, $E$9)</f>
        <v>52.101399999999998</v>
      </c>
      <c r="H819" s="10">
        <f>CHOOSE(CONTROL!$C$42, 52.1849, 52.1849) * CHOOSE(CONTROL!$C$21, $C$9, 100%, $E$9)</f>
        <v>52.184899999999999</v>
      </c>
      <c r="I819" s="10">
        <f>CHOOSE(CONTROL!$C$42, 52.0704, 52.0704)* CHOOSE(CONTROL!$C$21, $C$9, 100%, $E$9)</f>
        <v>52.070399999999999</v>
      </c>
      <c r="J819" s="10">
        <f>CHOOSE(CONTROL!$C$42, 52.0772, 52.0772)* CHOOSE(CONTROL!$C$21, $C$9, 100%, $E$9)</f>
        <v>52.077199999999998</v>
      </c>
      <c r="K819" s="54">
        <f>CHOOSE(CONTROL!$C$42, 52.0665, 52.0665) * CHOOSE(CONTROL!$C$21, $C$9, 100%, $E$9)</f>
        <v>52.066499999999998</v>
      </c>
      <c r="L819" s="10">
        <f>CHOOSE(CONTROL!$C$42, 52.7719, 52.7719) * CHOOSE(CONTROL!$C$21, $C$9, 100%, $E$9)</f>
        <v>52.771900000000002</v>
      </c>
      <c r="M819" s="10">
        <f>CHOOSE(CONTROL!$C$42, 51.5655, 51.5655) * CHOOSE(CONTROL!$C$21, $C$9, 100%, $E$9)</f>
        <v>51.5655</v>
      </c>
      <c r="N819" s="10">
        <f>CHOOSE(CONTROL!$C$42, 51.5825, 51.5825) * CHOOSE(CONTROL!$C$21, $C$9, 100%, $E$9)</f>
        <v>51.582500000000003</v>
      </c>
      <c r="O819" s="10">
        <f>CHOOSE(CONTROL!$C$42, 51.6721, 51.6721) * CHOOSE(CONTROL!$C$21, $C$9, 100%, $E$9)</f>
        <v>51.6721</v>
      </c>
      <c r="P819" s="10">
        <f>CHOOSE(CONTROL!$C$42, 51.5588, 51.5588) * CHOOSE(CONTROL!$C$21, $C$9, 100%, $E$9)</f>
        <v>51.558799999999998</v>
      </c>
      <c r="Q819" s="10">
        <f>CHOOSE(CONTROL!$C$42, 52.2674, 52.2674) * CHOOSE(CONTROL!$C$21, $C$9, 100%, $E$9)</f>
        <v>52.267400000000002</v>
      </c>
      <c r="R819" s="10">
        <f>CHOOSE(CONTROL!$C$42, 52.9851, 52.9851) * CHOOSE(CONTROL!$C$21, $C$9, 100%, $E$9)</f>
        <v>52.985100000000003</v>
      </c>
      <c r="S819" s="10">
        <f>CHOOSE(CONTROL!$C$42, 50.5888, 50.5888) * CHOOSE(CONTROL!$C$21, $C$9, 100%, $E$9)</f>
        <v>50.588799999999999</v>
      </c>
      <c r="T819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819" s="58">
        <f>(1000*CHOOSE(CONTROL!$C$42, 695, 695)*CHOOSE(CONTROL!$C$42, 0.5599, 0.5599)*CHOOSE(CONTROL!$C$42, 31, 31))/1000000</f>
        <v>12.063045499999998</v>
      </c>
      <c r="V819" s="58">
        <f>(1000*CHOOSE(CONTROL!$C$42, 500, 500)*CHOOSE(CONTROL!$C$42, 0.275, 0.275)*CHOOSE(CONTROL!$C$42, 31, 31))/1000000</f>
        <v>4.2625000000000002</v>
      </c>
      <c r="W819" s="58">
        <f>(1000*CHOOSE(CONTROL!$C$42, 0.1146, 0.1146)*CHOOSE(CONTROL!$C$42, 121.5, 121.5)*CHOOSE(CONTROL!$C$42, 31, 31))/1000000</f>
        <v>0.43164089999999994</v>
      </c>
      <c r="X819" s="58">
        <f>(31*0.1790888*100000/1000000)+(31*0.2374*100000/1000000)</f>
        <v>1.2911152800000001</v>
      </c>
      <c r="Y819" s="58"/>
      <c r="Z819" s="10"/>
      <c r="AA819" s="57"/>
      <c r="AB819" s="51">
        <f>(B819*122.58+C819*297.941+D819*89.177+E819*40.302+F819*40+G819*160+H819*0+I819*100+J819*300)/(122.58+297.941+89.177+40.302+0+40+160+100+300)</f>
        <v>52.09930065817391</v>
      </c>
      <c r="AC819" s="27">
        <f>(M819*'RAP TEMPLATE-GAS AVAILABILITY'!O818+N819*'RAP TEMPLATE-GAS AVAILABILITY'!P818+O819*'RAP TEMPLATE-GAS AVAILABILITY'!Q818+P819*'RAP TEMPLATE-GAS AVAILABILITY'!R818)/('RAP TEMPLATE-GAS AVAILABILITY'!O818+'RAP TEMPLATE-GAS AVAILABILITY'!P818+'RAP TEMPLATE-GAS AVAILABILITY'!Q818+'RAP TEMPLATE-GAS AVAILABILITY'!R818)</f>
        <v>51.613829496402879</v>
      </c>
    </row>
    <row r="820" spans="1:29" ht="15.75" x14ac:dyDescent="0.25">
      <c r="A820" s="13">
        <v>65866</v>
      </c>
      <c r="B820" s="10">
        <f>CHOOSE(CONTROL!$C$42, 51.9417, 51.9417) * CHOOSE(CONTROL!$C$21, $C$9, 100%, $E$9)</f>
        <v>51.941699999999997</v>
      </c>
      <c r="C820" s="10">
        <f>CHOOSE(CONTROL!$C$42, 51.9461, 51.9461) * CHOOSE(CONTROL!$C$21, $C$9, 100%, $E$9)</f>
        <v>51.946100000000001</v>
      </c>
      <c r="D820" s="10">
        <f>CHOOSE(CONTROL!$C$42, 52.1417, 52.1417) * CHOOSE(CONTROL!$C$21, $C$9, 100%, $E$9)</f>
        <v>52.1417</v>
      </c>
      <c r="E820" s="10">
        <f>CHOOSE(CONTROL!$C$42, 52.1734, 52.1734) * CHOOSE(CONTROL!$C$21, $C$9, 100%, $E$9)</f>
        <v>52.173400000000001</v>
      </c>
      <c r="F820" s="10">
        <f>CHOOSE(CONTROL!$C$42, 51.9095, 51.9095)*CHOOSE(CONTROL!$C$21, $C$9, 100%, $E$9)</f>
        <v>51.909500000000001</v>
      </c>
      <c r="G820" s="10">
        <f>CHOOSE(CONTROL!$C$42, 51.9263, 51.9263)*CHOOSE(CONTROL!$C$21, $C$9, 100%, $E$9)</f>
        <v>51.926299999999998</v>
      </c>
      <c r="H820" s="10">
        <f>CHOOSE(CONTROL!$C$42, 52.1632, 52.1632) * CHOOSE(CONTROL!$C$21, $C$9, 100%, $E$9)</f>
        <v>52.163200000000003</v>
      </c>
      <c r="I820" s="10">
        <f>CHOOSE(CONTROL!$C$42, 51.9097, 51.9097)* CHOOSE(CONTROL!$C$21, $C$9, 100%, $E$9)</f>
        <v>51.909700000000001</v>
      </c>
      <c r="J820" s="10">
        <f>CHOOSE(CONTROL!$C$42, 51.9025, 51.9025)* CHOOSE(CONTROL!$C$21, $C$9, 100%, $E$9)</f>
        <v>51.902500000000003</v>
      </c>
      <c r="K820" s="54">
        <f>CHOOSE(CONTROL!$C$42, 51.9058, 51.9058) * CHOOSE(CONTROL!$C$21, $C$9, 100%, $E$9)</f>
        <v>51.905799999999999</v>
      </c>
      <c r="L820" s="10">
        <f>CHOOSE(CONTROL!$C$42, 52.7502, 52.7502) * CHOOSE(CONTROL!$C$21, $C$9, 100%, $E$9)</f>
        <v>52.7502</v>
      </c>
      <c r="M820" s="10">
        <f>CHOOSE(CONTROL!$C$42, 51.3926, 51.3926) * CHOOSE(CONTROL!$C$21, $C$9, 100%, $E$9)</f>
        <v>51.392600000000002</v>
      </c>
      <c r="N820" s="10">
        <f>CHOOSE(CONTROL!$C$42, 51.4092, 51.4092) * CHOOSE(CONTROL!$C$21, $C$9, 100%, $E$9)</f>
        <v>51.409199999999998</v>
      </c>
      <c r="O820" s="10">
        <f>CHOOSE(CONTROL!$C$42, 51.6506, 51.6506) * CHOOSE(CONTROL!$C$21, $C$9, 100%, $E$9)</f>
        <v>51.650599999999997</v>
      </c>
      <c r="P820" s="10">
        <f>CHOOSE(CONTROL!$C$42, 51.3997, 51.3997) * CHOOSE(CONTROL!$C$21, $C$9, 100%, $E$9)</f>
        <v>51.399700000000003</v>
      </c>
      <c r="Q820" s="10">
        <f>CHOOSE(CONTROL!$C$42, 52.2459, 52.2459) * CHOOSE(CONTROL!$C$21, $C$9, 100%, $E$9)</f>
        <v>52.245899999999999</v>
      </c>
      <c r="R820" s="10">
        <f>CHOOSE(CONTROL!$C$42, 52.9635, 52.9635) * CHOOSE(CONTROL!$C$21, $C$9, 100%, $E$9)</f>
        <v>52.963500000000003</v>
      </c>
      <c r="S820" s="10">
        <f>CHOOSE(CONTROL!$C$42, 50.4377, 50.4377) * CHOOSE(CONTROL!$C$21, $C$9, 100%, $E$9)</f>
        <v>50.4377</v>
      </c>
      <c r="T820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820" s="58">
        <f>(1000*CHOOSE(CONTROL!$C$42, 695, 695)*CHOOSE(CONTROL!$C$42, 0.5599, 0.5599)*CHOOSE(CONTROL!$C$42, 30, 30))/1000000</f>
        <v>11.673914999999997</v>
      </c>
      <c r="V820" s="58">
        <f>(1000*CHOOSE(CONTROL!$C$42, 500, 500)*CHOOSE(CONTROL!$C$42, 0.275, 0.275)*CHOOSE(CONTROL!$C$42, 30, 30))/1000000</f>
        <v>4.125</v>
      </c>
      <c r="W820" s="58">
        <f>(1000*CHOOSE(CONTROL!$C$42, 0.1146, 0.1146)*CHOOSE(CONTROL!$C$42, 121.5, 121.5)*CHOOSE(CONTROL!$C$42, 30, 30))/1000000</f>
        <v>0.417717</v>
      </c>
      <c r="X820" s="58">
        <f>(30*0.1790888*245000/1000000)+(30*0.2374*100000/1000000)</f>
        <v>2.0285026799999999</v>
      </c>
      <c r="Y820" s="58"/>
      <c r="Z820" s="10"/>
      <c r="AA820" s="57"/>
      <c r="AB820" s="51">
        <f>(B820*141.293+C820*267.993+D820*115.016+E820*89.698+F820*40+G820*185+H820*0+I820*100+J820*300)/(141.293+267.993+115.016+89.698+0+40+185+100+300)</f>
        <v>51.962578446973367</v>
      </c>
      <c r="AC820" s="27">
        <f>(M820*'RAP TEMPLATE-GAS AVAILABILITY'!O819+N820*'RAP TEMPLATE-GAS AVAILABILITY'!P819+O820*'RAP TEMPLATE-GAS AVAILABILITY'!Q819+P820*'RAP TEMPLATE-GAS AVAILABILITY'!R819)/('RAP TEMPLATE-GAS AVAILABILITY'!O819+'RAP TEMPLATE-GAS AVAILABILITY'!P819+'RAP TEMPLATE-GAS AVAILABILITY'!Q819+'RAP TEMPLATE-GAS AVAILABILITY'!R819)</f>
        <v>51.511512230215821</v>
      </c>
    </row>
    <row r="821" spans="1:29" ht="15.75" x14ac:dyDescent="0.25">
      <c r="A821" s="13">
        <v>65897</v>
      </c>
      <c r="B821" s="10">
        <f>CHOOSE(CONTROL!$C$42, 52.4015, 52.4015) * CHOOSE(CONTROL!$C$21, $C$9, 100%, $E$9)</f>
        <v>52.401499999999999</v>
      </c>
      <c r="C821" s="10">
        <f>CHOOSE(CONTROL!$C$42, 52.4094, 52.4094) * CHOOSE(CONTROL!$C$21, $C$9, 100%, $E$9)</f>
        <v>52.409399999999998</v>
      </c>
      <c r="D821" s="10">
        <f>CHOOSE(CONTROL!$C$42, 52.6019, 52.6019) * CHOOSE(CONTROL!$C$21, $C$9, 100%, $E$9)</f>
        <v>52.601900000000001</v>
      </c>
      <c r="E821" s="10">
        <f>CHOOSE(CONTROL!$C$42, 52.633, 52.633) * CHOOSE(CONTROL!$C$21, $C$9, 100%, $E$9)</f>
        <v>52.633000000000003</v>
      </c>
      <c r="F821" s="10">
        <f>CHOOSE(CONTROL!$C$42, 52.3678, 52.3678)*CHOOSE(CONTROL!$C$21, $C$9, 100%, $E$9)</f>
        <v>52.367800000000003</v>
      </c>
      <c r="G821" s="10">
        <f>CHOOSE(CONTROL!$C$42, 52.3849, 52.3849)*CHOOSE(CONTROL!$C$21, $C$9, 100%, $E$9)</f>
        <v>52.384900000000002</v>
      </c>
      <c r="H821" s="10">
        <f>CHOOSE(CONTROL!$C$42, 52.6216, 52.6216) * CHOOSE(CONTROL!$C$21, $C$9, 100%, $E$9)</f>
        <v>52.621600000000001</v>
      </c>
      <c r="I821" s="10">
        <f>CHOOSE(CONTROL!$C$42, 52.3681, 52.3681)* CHOOSE(CONTROL!$C$21, $C$9, 100%, $E$9)</f>
        <v>52.368099999999998</v>
      </c>
      <c r="J821" s="10">
        <f>CHOOSE(CONTROL!$C$42, 52.3608, 52.3608)* CHOOSE(CONTROL!$C$21, $C$9, 100%, $E$9)</f>
        <v>52.360799999999998</v>
      </c>
      <c r="K821" s="54">
        <f>CHOOSE(CONTROL!$C$42, 52.3642, 52.3642) * CHOOSE(CONTROL!$C$21, $C$9, 100%, $E$9)</f>
        <v>52.364199999999997</v>
      </c>
      <c r="L821" s="10">
        <f>CHOOSE(CONTROL!$C$42, 53.2086, 53.2086) * CHOOSE(CONTROL!$C$21, $C$9, 100%, $E$9)</f>
        <v>53.208599999999997</v>
      </c>
      <c r="M821" s="10">
        <f>CHOOSE(CONTROL!$C$42, 51.8462, 51.8462) * CHOOSE(CONTROL!$C$21, $C$9, 100%, $E$9)</f>
        <v>51.846200000000003</v>
      </c>
      <c r="N821" s="10">
        <f>CHOOSE(CONTROL!$C$42, 51.8631, 51.8631) * CHOOSE(CONTROL!$C$21, $C$9, 100%, $E$9)</f>
        <v>51.863100000000003</v>
      </c>
      <c r="O821" s="10">
        <f>CHOOSE(CONTROL!$C$42, 52.1044, 52.1044) * CHOOSE(CONTROL!$C$21, $C$9, 100%, $E$9)</f>
        <v>52.104399999999998</v>
      </c>
      <c r="P821" s="10">
        <f>CHOOSE(CONTROL!$C$42, 51.8535, 51.8535) * CHOOSE(CONTROL!$C$21, $C$9, 100%, $E$9)</f>
        <v>51.853499999999997</v>
      </c>
      <c r="Q821" s="10">
        <f>CHOOSE(CONTROL!$C$42, 52.6997, 52.6997) * CHOOSE(CONTROL!$C$21, $C$9, 100%, $E$9)</f>
        <v>52.6997</v>
      </c>
      <c r="R821" s="10">
        <f>CHOOSE(CONTROL!$C$42, 53.4185, 53.4185) * CHOOSE(CONTROL!$C$21, $C$9, 100%, $E$9)</f>
        <v>53.418500000000002</v>
      </c>
      <c r="S821" s="10">
        <f>CHOOSE(CONTROL!$C$42, 50.8829, 50.8829) * CHOOSE(CONTROL!$C$21, $C$9, 100%, $E$9)</f>
        <v>50.882899999999999</v>
      </c>
      <c r="T821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821" s="58">
        <f>(1000*CHOOSE(CONTROL!$C$42, 695, 695)*CHOOSE(CONTROL!$C$42, 0.5599, 0.5599)*CHOOSE(CONTROL!$C$42, 31, 31))/1000000</f>
        <v>12.063045499999998</v>
      </c>
      <c r="V821" s="58">
        <f>(1000*CHOOSE(CONTROL!$C$42, 500, 500)*CHOOSE(CONTROL!$C$42, 0.275, 0.275)*CHOOSE(CONTROL!$C$42, 31, 31))/1000000</f>
        <v>4.2625000000000002</v>
      </c>
      <c r="W821" s="58">
        <f>(1000*CHOOSE(CONTROL!$C$42, 0.1146, 0.1146)*CHOOSE(CONTROL!$C$42, 121.5, 121.5)*CHOOSE(CONTROL!$C$42, 31, 31))/1000000</f>
        <v>0.43164089999999994</v>
      </c>
      <c r="X821" s="58">
        <f>(31*0.1790888*245000/1000000)+(31*0.2374*100000/1000000)</f>
        <v>2.0961194359999999</v>
      </c>
      <c r="Y821" s="58"/>
      <c r="Z821" s="10"/>
      <c r="AA821" s="57"/>
      <c r="AB821" s="51">
        <f>(B821*194.205+C821*267.466+D821*133.845+E821*53.484+F821*40+G821*185+H821*0+I821*100+J821*300)/(194.205+267.466+133.845+53.484+0+40+185+100+300)</f>
        <v>52.41825672323391</v>
      </c>
      <c r="AC821" s="27">
        <f>(M821*'RAP TEMPLATE-GAS AVAILABILITY'!O820+N821*'RAP TEMPLATE-GAS AVAILABILITY'!P820+O821*'RAP TEMPLATE-GAS AVAILABILITY'!Q820+P821*'RAP TEMPLATE-GAS AVAILABILITY'!R820)/('RAP TEMPLATE-GAS AVAILABILITY'!O820+'RAP TEMPLATE-GAS AVAILABILITY'!P820+'RAP TEMPLATE-GAS AVAILABILITY'!Q820+'RAP TEMPLATE-GAS AVAILABILITY'!R820)</f>
        <v>51.96524892086331</v>
      </c>
    </row>
    <row r="822" spans="1:29" ht="15.75" x14ac:dyDescent="0.25">
      <c r="A822" s="13">
        <v>65927</v>
      </c>
      <c r="B822" s="10">
        <f>CHOOSE(CONTROL!$C$42, 53.8878, 53.8878) * CHOOSE(CONTROL!$C$21, $C$9, 100%, $E$9)</f>
        <v>53.887799999999999</v>
      </c>
      <c r="C822" s="10">
        <f>CHOOSE(CONTROL!$C$42, 53.8957, 53.8957) * CHOOSE(CONTROL!$C$21, $C$9, 100%, $E$9)</f>
        <v>53.895699999999998</v>
      </c>
      <c r="D822" s="10">
        <f>CHOOSE(CONTROL!$C$42, 54.0881, 54.0881) * CHOOSE(CONTROL!$C$21, $C$9, 100%, $E$9)</f>
        <v>54.088099999999997</v>
      </c>
      <c r="E822" s="10">
        <f>CHOOSE(CONTROL!$C$42, 54.1193, 54.1193) * CHOOSE(CONTROL!$C$21, $C$9, 100%, $E$9)</f>
        <v>54.119300000000003</v>
      </c>
      <c r="F822" s="10">
        <f>CHOOSE(CONTROL!$C$42, 53.8543, 53.8543)*CHOOSE(CONTROL!$C$21, $C$9, 100%, $E$9)</f>
        <v>53.854300000000002</v>
      </c>
      <c r="G822" s="10">
        <f>CHOOSE(CONTROL!$C$42, 53.8715, 53.8715)*CHOOSE(CONTROL!$C$21, $C$9, 100%, $E$9)</f>
        <v>53.871499999999997</v>
      </c>
      <c r="H822" s="10">
        <f>CHOOSE(CONTROL!$C$42, 54.1079, 54.1079) * CHOOSE(CONTROL!$C$21, $C$9, 100%, $E$9)</f>
        <v>54.107900000000001</v>
      </c>
      <c r="I822" s="10">
        <f>CHOOSE(CONTROL!$C$42, 53.8544, 53.8544)* CHOOSE(CONTROL!$C$21, $C$9, 100%, $E$9)</f>
        <v>53.854399999999998</v>
      </c>
      <c r="J822" s="10">
        <f>CHOOSE(CONTROL!$C$42, 53.8473, 53.8473)* CHOOSE(CONTROL!$C$21, $C$9, 100%, $E$9)</f>
        <v>53.847299999999997</v>
      </c>
      <c r="K822" s="54">
        <f>CHOOSE(CONTROL!$C$42, 53.8505, 53.8505) * CHOOSE(CONTROL!$C$21, $C$9, 100%, $E$9)</f>
        <v>53.850499999999997</v>
      </c>
      <c r="L822" s="10">
        <f>CHOOSE(CONTROL!$C$42, 54.6949, 54.6949) * CHOOSE(CONTROL!$C$21, $C$9, 100%, $E$9)</f>
        <v>54.694899999999997</v>
      </c>
      <c r="M822" s="10">
        <f>CHOOSE(CONTROL!$C$42, 53.3177, 53.3177) * CHOOSE(CONTROL!$C$21, $C$9, 100%, $E$9)</f>
        <v>53.317700000000002</v>
      </c>
      <c r="N822" s="10">
        <f>CHOOSE(CONTROL!$C$42, 53.3347, 53.3347) * CHOOSE(CONTROL!$C$21, $C$9, 100%, $E$9)</f>
        <v>53.334699999999998</v>
      </c>
      <c r="O822" s="10">
        <f>CHOOSE(CONTROL!$C$42, 53.5757, 53.5757) * CHOOSE(CONTROL!$C$21, $C$9, 100%, $E$9)</f>
        <v>53.575699999999998</v>
      </c>
      <c r="P822" s="10">
        <f>CHOOSE(CONTROL!$C$42, 53.3248, 53.3248) * CHOOSE(CONTROL!$C$21, $C$9, 100%, $E$9)</f>
        <v>53.324800000000003</v>
      </c>
      <c r="Q822" s="10">
        <f>CHOOSE(CONTROL!$C$42, 54.171, 54.171) * CHOOSE(CONTROL!$C$21, $C$9, 100%, $E$9)</f>
        <v>54.170999999999999</v>
      </c>
      <c r="R822" s="10">
        <f>CHOOSE(CONTROL!$C$42, 54.8934, 54.8934) * CHOOSE(CONTROL!$C$21, $C$9, 100%, $E$9)</f>
        <v>54.8934</v>
      </c>
      <c r="S822" s="10">
        <f>CHOOSE(CONTROL!$C$42, 52.3262, 52.3262) * CHOOSE(CONTROL!$C$21, $C$9, 100%, $E$9)</f>
        <v>52.3262</v>
      </c>
      <c r="T822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822" s="58">
        <f>(1000*CHOOSE(CONTROL!$C$42, 695, 695)*CHOOSE(CONTROL!$C$42, 0.5599, 0.5599)*CHOOSE(CONTROL!$C$42, 30, 30))/1000000</f>
        <v>11.673914999999997</v>
      </c>
      <c r="V822" s="58">
        <f>(1000*CHOOSE(CONTROL!$C$42, 500, 500)*CHOOSE(CONTROL!$C$42, 0.275, 0.275)*CHOOSE(CONTROL!$C$42, 30, 30))/1000000</f>
        <v>4.125</v>
      </c>
      <c r="W822" s="58">
        <f>(1000*CHOOSE(CONTROL!$C$42, 0.1146, 0.1146)*CHOOSE(CONTROL!$C$42, 121.5, 121.5)*CHOOSE(CONTROL!$C$42, 30, 30))/1000000</f>
        <v>0.417717</v>
      </c>
      <c r="X822" s="58">
        <f>(30*0.1790888*245000/1000000)+(30*0.2374*100000/1000000)</f>
        <v>2.0285026799999999</v>
      </c>
      <c r="Y822" s="58"/>
      <c r="Z822" s="10"/>
      <c r="AA822" s="57"/>
      <c r="AB822" s="51">
        <f>(B822*194.205+C822*267.466+D822*133.845+E822*53.484+F822*40+G822*185+H822*0+I822*100+J822*300)/(194.205+267.466+133.845+53.484+0+40+185+100+300)</f>
        <v>53.904643156122454</v>
      </c>
      <c r="AC822" s="27">
        <f>(M822*'RAP TEMPLATE-GAS AVAILABILITY'!O821+N822*'RAP TEMPLATE-GAS AVAILABILITY'!P821+O822*'RAP TEMPLATE-GAS AVAILABILITY'!Q821+P822*'RAP TEMPLATE-GAS AVAILABILITY'!R821)/('RAP TEMPLATE-GAS AVAILABILITY'!O821+'RAP TEMPLATE-GAS AVAILABILITY'!P821+'RAP TEMPLATE-GAS AVAILABILITY'!Q821+'RAP TEMPLATE-GAS AVAILABILITY'!R821)</f>
        <v>53.436635251798556</v>
      </c>
    </row>
    <row r="823" spans="1:29" ht="15.75" x14ac:dyDescent="0.25">
      <c r="A823" s="13">
        <v>65958</v>
      </c>
      <c r="B823" s="10">
        <f>CHOOSE(CONTROL!$C$42, 52.8541, 52.8541) * CHOOSE(CONTROL!$C$21, $C$9, 100%, $E$9)</f>
        <v>52.854100000000003</v>
      </c>
      <c r="C823" s="10">
        <f>CHOOSE(CONTROL!$C$42, 52.862, 52.862) * CHOOSE(CONTROL!$C$21, $C$9, 100%, $E$9)</f>
        <v>52.862000000000002</v>
      </c>
      <c r="D823" s="10">
        <f>CHOOSE(CONTROL!$C$42, 53.0544, 53.0544) * CHOOSE(CONTROL!$C$21, $C$9, 100%, $E$9)</f>
        <v>53.054400000000001</v>
      </c>
      <c r="E823" s="10">
        <f>CHOOSE(CONTROL!$C$42, 53.0856, 53.0856) * CHOOSE(CONTROL!$C$21, $C$9, 100%, $E$9)</f>
        <v>53.085599999999999</v>
      </c>
      <c r="F823" s="10">
        <f>CHOOSE(CONTROL!$C$42, 52.821, 52.821)*CHOOSE(CONTROL!$C$21, $C$9, 100%, $E$9)</f>
        <v>52.820999999999998</v>
      </c>
      <c r="G823" s="10">
        <f>CHOOSE(CONTROL!$C$42, 52.8383, 52.8383)*CHOOSE(CONTROL!$C$21, $C$9, 100%, $E$9)</f>
        <v>52.838299999999997</v>
      </c>
      <c r="H823" s="10">
        <f>CHOOSE(CONTROL!$C$42, 53.0742, 53.0742) * CHOOSE(CONTROL!$C$21, $C$9, 100%, $E$9)</f>
        <v>53.074199999999998</v>
      </c>
      <c r="I823" s="10">
        <f>CHOOSE(CONTROL!$C$42, 52.8206, 52.8206)* CHOOSE(CONTROL!$C$21, $C$9, 100%, $E$9)</f>
        <v>52.820599999999999</v>
      </c>
      <c r="J823" s="10">
        <f>CHOOSE(CONTROL!$C$42, 52.814, 52.814)* CHOOSE(CONTROL!$C$21, $C$9, 100%, $E$9)</f>
        <v>52.814</v>
      </c>
      <c r="K823" s="54">
        <f>CHOOSE(CONTROL!$C$42, 52.8168, 52.8168) * CHOOSE(CONTROL!$C$21, $C$9, 100%, $E$9)</f>
        <v>52.816800000000001</v>
      </c>
      <c r="L823" s="10">
        <f>CHOOSE(CONTROL!$C$42, 53.6612, 53.6612) * CHOOSE(CONTROL!$C$21, $C$9, 100%, $E$9)</f>
        <v>53.661200000000001</v>
      </c>
      <c r="M823" s="10">
        <f>CHOOSE(CONTROL!$C$42, 52.2948, 52.2948) * CHOOSE(CONTROL!$C$21, $C$9, 100%, $E$9)</f>
        <v>52.294800000000002</v>
      </c>
      <c r="N823" s="10">
        <f>CHOOSE(CONTROL!$C$42, 52.3119, 52.3119) * CHOOSE(CONTROL!$C$21, $C$9, 100%, $E$9)</f>
        <v>52.311900000000001</v>
      </c>
      <c r="O823" s="10">
        <f>CHOOSE(CONTROL!$C$42, 52.5524, 52.5524) * CHOOSE(CONTROL!$C$21, $C$9, 100%, $E$9)</f>
        <v>52.552399999999999</v>
      </c>
      <c r="P823" s="10">
        <f>CHOOSE(CONTROL!$C$42, 52.3015, 52.3015) * CHOOSE(CONTROL!$C$21, $C$9, 100%, $E$9)</f>
        <v>52.301499999999997</v>
      </c>
      <c r="Q823" s="10">
        <f>CHOOSE(CONTROL!$C$42, 53.1477, 53.1477) * CHOOSE(CONTROL!$C$21, $C$9, 100%, $E$9)</f>
        <v>53.1477</v>
      </c>
      <c r="R823" s="10">
        <f>CHOOSE(CONTROL!$C$42, 53.8676, 53.8676) * CHOOSE(CONTROL!$C$21, $C$9, 100%, $E$9)</f>
        <v>53.867600000000003</v>
      </c>
      <c r="S823" s="10">
        <f>CHOOSE(CONTROL!$C$42, 51.3223, 51.3223) * CHOOSE(CONTROL!$C$21, $C$9, 100%, $E$9)</f>
        <v>51.322299999999998</v>
      </c>
      <c r="T823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823" s="58">
        <f>(1000*CHOOSE(CONTROL!$C$42, 695, 695)*CHOOSE(CONTROL!$C$42, 0.5599, 0.5599)*CHOOSE(CONTROL!$C$42, 31, 31))/1000000</f>
        <v>12.063045499999998</v>
      </c>
      <c r="V823" s="58">
        <f>(1000*CHOOSE(CONTROL!$C$42, 500, 500)*CHOOSE(CONTROL!$C$42, 0.275, 0.275)*CHOOSE(CONTROL!$C$42, 31, 31))/1000000</f>
        <v>4.2625000000000002</v>
      </c>
      <c r="W823" s="58">
        <f>(1000*CHOOSE(CONTROL!$C$42, 0.1146, 0.1146)*CHOOSE(CONTROL!$C$42, 121.5, 121.5)*CHOOSE(CONTROL!$C$42, 31, 31))/1000000</f>
        <v>0.43164089999999994</v>
      </c>
      <c r="X823" s="58">
        <f>(31*0.1790888*245000/1000000)+(31*0.2374*100000/1000000)</f>
        <v>2.0961194359999999</v>
      </c>
      <c r="Y823" s="58"/>
      <c r="Z823" s="10"/>
      <c r="AA823" s="57"/>
      <c r="AB823" s="51">
        <f>(B823*194.205+C823*267.466+D823*133.845+E823*53.484+F823*40+G823*185+H823*0+I823*100+J823*300)/(194.205+267.466+133.845+53.484+0+40+185+100+300)</f>
        <v>52.871114663186809</v>
      </c>
      <c r="AC823" s="27">
        <f>(M823*'RAP TEMPLATE-GAS AVAILABILITY'!O822+N823*'RAP TEMPLATE-GAS AVAILABILITY'!P822+O823*'RAP TEMPLATE-GAS AVAILABILITY'!Q822+P823*'RAP TEMPLATE-GAS AVAILABILITY'!R822)/('RAP TEMPLATE-GAS AVAILABILITY'!O822+'RAP TEMPLATE-GAS AVAILABILITY'!P822+'RAP TEMPLATE-GAS AVAILABILITY'!Q822+'RAP TEMPLATE-GAS AVAILABILITY'!R822)</f>
        <v>52.413502158273388</v>
      </c>
    </row>
    <row r="824" spans="1:29" ht="15.75" x14ac:dyDescent="0.25">
      <c r="A824" s="13">
        <v>65989</v>
      </c>
      <c r="B824" s="10">
        <f>CHOOSE(CONTROL!$C$42, 50.2436, 50.2436) * CHOOSE(CONTROL!$C$21, $C$9, 100%, $E$9)</f>
        <v>50.243600000000001</v>
      </c>
      <c r="C824" s="10">
        <f>CHOOSE(CONTROL!$C$42, 50.2515, 50.2515) * CHOOSE(CONTROL!$C$21, $C$9, 100%, $E$9)</f>
        <v>50.2515</v>
      </c>
      <c r="D824" s="10">
        <f>CHOOSE(CONTROL!$C$42, 50.444, 50.444) * CHOOSE(CONTROL!$C$21, $C$9, 100%, $E$9)</f>
        <v>50.444000000000003</v>
      </c>
      <c r="E824" s="10">
        <f>CHOOSE(CONTROL!$C$42, 50.4751, 50.4751) * CHOOSE(CONTROL!$C$21, $C$9, 100%, $E$9)</f>
        <v>50.475099999999998</v>
      </c>
      <c r="F824" s="10">
        <f>CHOOSE(CONTROL!$C$42, 50.2107, 50.2107)*CHOOSE(CONTROL!$C$21, $C$9, 100%, $E$9)</f>
        <v>50.210700000000003</v>
      </c>
      <c r="G824" s="10">
        <f>CHOOSE(CONTROL!$C$42, 50.228, 50.228)*CHOOSE(CONTROL!$C$21, $C$9, 100%, $E$9)</f>
        <v>50.228000000000002</v>
      </c>
      <c r="H824" s="10">
        <f>CHOOSE(CONTROL!$C$42, 50.4637, 50.4637) * CHOOSE(CONTROL!$C$21, $C$9, 100%, $E$9)</f>
        <v>50.463700000000003</v>
      </c>
      <c r="I824" s="10">
        <f>CHOOSE(CONTROL!$C$42, 50.2102, 50.2102)* CHOOSE(CONTROL!$C$21, $C$9, 100%, $E$9)</f>
        <v>50.2102</v>
      </c>
      <c r="J824" s="10">
        <f>CHOOSE(CONTROL!$C$42, 50.2037, 50.2037)* CHOOSE(CONTROL!$C$21, $C$9, 100%, $E$9)</f>
        <v>50.203699999999998</v>
      </c>
      <c r="K824" s="54">
        <f>CHOOSE(CONTROL!$C$42, 50.2063, 50.2063) * CHOOSE(CONTROL!$C$21, $C$9, 100%, $E$9)</f>
        <v>50.206299999999999</v>
      </c>
      <c r="L824" s="10">
        <f>CHOOSE(CONTROL!$C$42, 51.0507, 51.0507) * CHOOSE(CONTROL!$C$21, $C$9, 100%, $E$9)</f>
        <v>51.050699999999999</v>
      </c>
      <c r="M824" s="10">
        <f>CHOOSE(CONTROL!$C$42, 49.7108, 49.7108) * CHOOSE(CONTROL!$C$21, $C$9, 100%, $E$9)</f>
        <v>49.710799999999999</v>
      </c>
      <c r="N824" s="10">
        <f>CHOOSE(CONTROL!$C$42, 49.728, 49.728) * CHOOSE(CONTROL!$C$21, $C$9, 100%, $E$9)</f>
        <v>49.728000000000002</v>
      </c>
      <c r="O824" s="10">
        <f>CHOOSE(CONTROL!$C$42, 49.9683, 49.9683) * CHOOSE(CONTROL!$C$21, $C$9, 100%, $E$9)</f>
        <v>49.968299999999999</v>
      </c>
      <c r="P824" s="10">
        <f>CHOOSE(CONTROL!$C$42, 49.7173, 49.7173) * CHOOSE(CONTROL!$C$21, $C$9, 100%, $E$9)</f>
        <v>49.717300000000002</v>
      </c>
      <c r="Q824" s="10">
        <f>CHOOSE(CONTROL!$C$42, 50.5636, 50.5636) * CHOOSE(CONTROL!$C$21, $C$9, 100%, $E$9)</f>
        <v>50.563600000000001</v>
      </c>
      <c r="R824" s="10">
        <f>CHOOSE(CONTROL!$C$42, 51.277, 51.277) * CHOOSE(CONTROL!$C$21, $C$9, 100%, $E$9)</f>
        <v>51.277000000000001</v>
      </c>
      <c r="S824" s="10">
        <f>CHOOSE(CONTROL!$C$42, 48.7873, 48.7873) * CHOOSE(CONTROL!$C$21, $C$9, 100%, $E$9)</f>
        <v>48.787300000000002</v>
      </c>
      <c r="T824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824" s="58">
        <f>(1000*CHOOSE(CONTROL!$C$42, 695, 695)*CHOOSE(CONTROL!$C$42, 0.5599, 0.5599)*CHOOSE(CONTROL!$C$42, 31, 31))/1000000</f>
        <v>12.063045499999998</v>
      </c>
      <c r="V824" s="58">
        <f>(1000*CHOOSE(CONTROL!$C$42, 500, 500)*CHOOSE(CONTROL!$C$42, 0.275, 0.275)*CHOOSE(CONTROL!$C$42, 31, 31))/1000000</f>
        <v>4.2625000000000002</v>
      </c>
      <c r="W824" s="58">
        <f>(1000*CHOOSE(CONTROL!$C$42, 0.1146, 0.1146)*CHOOSE(CONTROL!$C$42, 121.5, 121.5)*CHOOSE(CONTROL!$C$42, 31, 31))/1000000</f>
        <v>0.43164089999999994</v>
      </c>
      <c r="X824" s="58">
        <f>(31*0.1790888*245000/1000000)+(31*0.2374*100000/1000000)</f>
        <v>2.0961194359999999</v>
      </c>
      <c r="Y824" s="58"/>
      <c r="Z824" s="10"/>
      <c r="AA824" s="57"/>
      <c r="AB824" s="51">
        <f>(B824*194.205+C824*267.466+D824*133.845+E824*53.484+F824*40+G824*185+H824*0+I824*100+J824*300)/(194.205+267.466+133.845+53.484+0+40+185+100+300)</f>
        <v>50.26071543594977</v>
      </c>
      <c r="AC824" s="27">
        <f>(M824*'RAP TEMPLATE-GAS AVAILABILITY'!O823+N824*'RAP TEMPLATE-GAS AVAILABILITY'!P823+O824*'RAP TEMPLATE-GAS AVAILABILITY'!Q823+P824*'RAP TEMPLATE-GAS AVAILABILITY'!R823)/('RAP TEMPLATE-GAS AVAILABILITY'!O823+'RAP TEMPLATE-GAS AVAILABILITY'!P823+'RAP TEMPLATE-GAS AVAILABILITY'!Q823+'RAP TEMPLATE-GAS AVAILABILITY'!R823)</f>
        <v>49.829433812949638</v>
      </c>
    </row>
    <row r="825" spans="1:29" ht="15.75" x14ac:dyDescent="0.25">
      <c r="A825" s="13">
        <v>66019</v>
      </c>
      <c r="B825" s="10">
        <f>CHOOSE(CONTROL!$C$42, 47.0537, 47.0537) * CHOOSE(CONTROL!$C$21, $C$9, 100%, $E$9)</f>
        <v>47.053699999999999</v>
      </c>
      <c r="C825" s="10">
        <f>CHOOSE(CONTROL!$C$42, 47.0616, 47.0616) * CHOOSE(CONTROL!$C$21, $C$9, 100%, $E$9)</f>
        <v>47.061599999999999</v>
      </c>
      <c r="D825" s="10">
        <f>CHOOSE(CONTROL!$C$42, 47.2541, 47.2541) * CHOOSE(CONTROL!$C$21, $C$9, 100%, $E$9)</f>
        <v>47.254100000000001</v>
      </c>
      <c r="E825" s="10">
        <f>CHOOSE(CONTROL!$C$42, 47.2852, 47.2852) * CHOOSE(CONTROL!$C$21, $C$9, 100%, $E$9)</f>
        <v>47.285200000000003</v>
      </c>
      <c r="F825" s="10">
        <f>CHOOSE(CONTROL!$C$42, 47.0206, 47.0206)*CHOOSE(CONTROL!$C$21, $C$9, 100%, $E$9)</f>
        <v>47.020600000000002</v>
      </c>
      <c r="G825" s="10">
        <f>CHOOSE(CONTROL!$C$42, 47.0379, 47.0379)*CHOOSE(CONTROL!$C$21, $C$9, 100%, $E$9)</f>
        <v>47.0379</v>
      </c>
      <c r="H825" s="10">
        <f>CHOOSE(CONTROL!$C$42, 47.2738, 47.2738) * CHOOSE(CONTROL!$C$21, $C$9, 100%, $E$9)</f>
        <v>47.273800000000001</v>
      </c>
      <c r="I825" s="10">
        <f>CHOOSE(CONTROL!$C$42, 47.0203, 47.0203)* CHOOSE(CONTROL!$C$21, $C$9, 100%, $E$9)</f>
        <v>47.020299999999999</v>
      </c>
      <c r="J825" s="10">
        <f>CHOOSE(CONTROL!$C$42, 47.0136, 47.0136)* CHOOSE(CONTROL!$C$21, $C$9, 100%, $E$9)</f>
        <v>47.013599999999997</v>
      </c>
      <c r="K825" s="54">
        <f>CHOOSE(CONTROL!$C$42, 47.0164, 47.0164) * CHOOSE(CONTROL!$C$21, $C$9, 100%, $E$9)</f>
        <v>47.016399999999997</v>
      </c>
      <c r="L825" s="10">
        <f>CHOOSE(CONTROL!$C$42, 47.8608, 47.8608) * CHOOSE(CONTROL!$C$21, $C$9, 100%, $E$9)</f>
        <v>47.860799999999998</v>
      </c>
      <c r="M825" s="10">
        <f>CHOOSE(CONTROL!$C$42, 46.553, 46.553) * CHOOSE(CONTROL!$C$21, $C$9, 100%, $E$9)</f>
        <v>46.552999999999997</v>
      </c>
      <c r="N825" s="10">
        <f>CHOOSE(CONTROL!$C$42, 46.5701, 46.5701) * CHOOSE(CONTROL!$C$21, $C$9, 100%, $E$9)</f>
        <v>46.570099999999996</v>
      </c>
      <c r="O825" s="10">
        <f>CHOOSE(CONTROL!$C$42, 46.8106, 46.8106) * CHOOSE(CONTROL!$C$21, $C$9, 100%, $E$9)</f>
        <v>46.810600000000001</v>
      </c>
      <c r="P825" s="10">
        <f>CHOOSE(CONTROL!$C$42, 46.5596, 46.5596) * CHOOSE(CONTROL!$C$21, $C$9, 100%, $E$9)</f>
        <v>46.559600000000003</v>
      </c>
      <c r="Q825" s="10">
        <f>CHOOSE(CONTROL!$C$42, 47.4059, 47.4059) * CHOOSE(CONTROL!$C$21, $C$9, 100%, $E$9)</f>
        <v>47.405900000000003</v>
      </c>
      <c r="R825" s="10">
        <f>CHOOSE(CONTROL!$C$42, 48.1114, 48.1114) * CHOOSE(CONTROL!$C$21, $C$9, 100%, $E$9)</f>
        <v>48.111400000000003</v>
      </c>
      <c r="S825" s="10">
        <f>CHOOSE(CONTROL!$C$42, 45.6896, 45.6896) * CHOOSE(CONTROL!$C$21, $C$9, 100%, $E$9)</f>
        <v>45.689599999999999</v>
      </c>
      <c r="T825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825" s="58">
        <f>(1000*CHOOSE(CONTROL!$C$42, 695, 695)*CHOOSE(CONTROL!$C$42, 0.5599, 0.5599)*CHOOSE(CONTROL!$C$42, 30, 30))/1000000</f>
        <v>11.673914999999997</v>
      </c>
      <c r="V825" s="58">
        <f>(1000*CHOOSE(CONTROL!$C$42, 500, 500)*CHOOSE(CONTROL!$C$42, 0.275, 0.275)*CHOOSE(CONTROL!$C$42, 30, 30))/1000000</f>
        <v>4.125</v>
      </c>
      <c r="W825" s="58">
        <f>(1000*CHOOSE(CONTROL!$C$42, 0.1146, 0.1146)*CHOOSE(CONTROL!$C$42, 121.5, 121.5)*CHOOSE(CONTROL!$C$42, 30, 30))/1000000</f>
        <v>0.417717</v>
      </c>
      <c r="X825" s="58">
        <f>(30*0.1790888*245000/1000000)+(30*0.2374*100000/1000000)</f>
        <v>2.0285026799999999</v>
      </c>
      <c r="Y825" s="58"/>
      <c r="Z825" s="10"/>
      <c r="AA825" s="57"/>
      <c r="AB825" s="51">
        <f>(B825*194.205+C825*267.466+D825*133.845+E825*53.484+F825*40+G825*185+H825*0+I825*100+J825*300)/(194.205+267.466+133.845+53.484+0+40+185+100+300)</f>
        <v>47.070733018367342</v>
      </c>
      <c r="AC825" s="27">
        <f>(M825*'RAP TEMPLATE-GAS AVAILABILITY'!O824+N825*'RAP TEMPLATE-GAS AVAILABILITY'!P824+O825*'RAP TEMPLATE-GAS AVAILABILITY'!Q824+P825*'RAP TEMPLATE-GAS AVAILABILITY'!R824)/('RAP TEMPLATE-GAS AVAILABILITY'!O824+'RAP TEMPLATE-GAS AVAILABILITY'!P824+'RAP TEMPLATE-GAS AVAILABILITY'!Q824+'RAP TEMPLATE-GAS AVAILABILITY'!R824)</f>
        <v>46.671687769784171</v>
      </c>
    </row>
    <row r="826" spans="1:29" ht="15.75" x14ac:dyDescent="0.25">
      <c r="A826" s="13">
        <v>66050</v>
      </c>
      <c r="B826" s="10">
        <f>CHOOSE(CONTROL!$C$42, 46.0967, 46.0967) * CHOOSE(CONTROL!$C$21, $C$9, 100%, $E$9)</f>
        <v>46.096699999999998</v>
      </c>
      <c r="C826" s="10">
        <f>CHOOSE(CONTROL!$C$42, 46.1019, 46.1019) * CHOOSE(CONTROL!$C$21, $C$9, 100%, $E$9)</f>
        <v>46.101900000000001</v>
      </c>
      <c r="D826" s="10">
        <f>CHOOSE(CONTROL!$C$42, 46.2993, 46.2993) * CHOOSE(CONTROL!$C$21, $C$9, 100%, $E$9)</f>
        <v>46.299300000000002</v>
      </c>
      <c r="E826" s="10">
        <f>CHOOSE(CONTROL!$C$42, 46.3281, 46.3281) * CHOOSE(CONTROL!$C$21, $C$9, 100%, $E$9)</f>
        <v>46.328099999999999</v>
      </c>
      <c r="F826" s="10">
        <f>CHOOSE(CONTROL!$C$42, 46.0656, 46.0656)*CHOOSE(CONTROL!$C$21, $C$9, 100%, $E$9)</f>
        <v>46.065600000000003</v>
      </c>
      <c r="G826" s="10">
        <f>CHOOSE(CONTROL!$C$42, 46.0825, 46.0825)*CHOOSE(CONTROL!$C$21, $C$9, 100%, $E$9)</f>
        <v>46.082500000000003</v>
      </c>
      <c r="H826" s="10">
        <f>CHOOSE(CONTROL!$C$42, 46.3185, 46.3185) * CHOOSE(CONTROL!$C$21, $C$9, 100%, $E$9)</f>
        <v>46.3185</v>
      </c>
      <c r="I826" s="10">
        <f>CHOOSE(CONTROL!$C$42, 46.065, 46.065)* CHOOSE(CONTROL!$C$21, $C$9, 100%, $E$9)</f>
        <v>46.064999999999998</v>
      </c>
      <c r="J826" s="10">
        <f>CHOOSE(CONTROL!$C$42, 46.0586, 46.0586)* CHOOSE(CONTROL!$C$21, $C$9, 100%, $E$9)</f>
        <v>46.058599999999998</v>
      </c>
      <c r="K826" s="54">
        <f>CHOOSE(CONTROL!$C$42, 46.0611, 46.0611) * CHOOSE(CONTROL!$C$21, $C$9, 100%, $E$9)</f>
        <v>46.061100000000003</v>
      </c>
      <c r="L826" s="10">
        <f>CHOOSE(CONTROL!$C$42, 46.9055, 46.9055) * CHOOSE(CONTROL!$C$21, $C$9, 100%, $E$9)</f>
        <v>46.905500000000004</v>
      </c>
      <c r="M826" s="10">
        <f>CHOOSE(CONTROL!$C$42, 45.6076, 45.6076) * CHOOSE(CONTROL!$C$21, $C$9, 100%, $E$9)</f>
        <v>45.607599999999998</v>
      </c>
      <c r="N826" s="10">
        <f>CHOOSE(CONTROL!$C$42, 45.6244, 45.6244) * CHOOSE(CONTROL!$C$21, $C$9, 100%, $E$9)</f>
        <v>45.624400000000001</v>
      </c>
      <c r="O826" s="10">
        <f>CHOOSE(CONTROL!$C$42, 45.8649, 45.8649) * CHOOSE(CONTROL!$C$21, $C$9, 100%, $E$9)</f>
        <v>45.864899999999999</v>
      </c>
      <c r="P826" s="10">
        <f>CHOOSE(CONTROL!$C$42, 45.614, 45.614) * CHOOSE(CONTROL!$C$21, $C$9, 100%, $E$9)</f>
        <v>45.613999999999997</v>
      </c>
      <c r="Q826" s="10">
        <f>CHOOSE(CONTROL!$C$42, 46.4602, 46.4602) * CHOOSE(CONTROL!$C$21, $C$9, 100%, $E$9)</f>
        <v>46.4602</v>
      </c>
      <c r="R826" s="10">
        <f>CHOOSE(CONTROL!$C$42, 47.1634, 47.1634) * CHOOSE(CONTROL!$C$21, $C$9, 100%, $E$9)</f>
        <v>47.163400000000003</v>
      </c>
      <c r="S826" s="10">
        <f>CHOOSE(CONTROL!$C$42, 44.7619, 44.7619) * CHOOSE(CONTROL!$C$21, $C$9, 100%, $E$9)</f>
        <v>44.761899999999997</v>
      </c>
      <c r="T826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826" s="58">
        <f>(1000*CHOOSE(CONTROL!$C$42, 695, 695)*CHOOSE(CONTROL!$C$42, 0.5599, 0.5599)*CHOOSE(CONTROL!$C$42, 31, 31))/1000000</f>
        <v>12.063045499999998</v>
      </c>
      <c r="V826" s="58">
        <f>(1000*CHOOSE(CONTROL!$C$42, 500, 500)*CHOOSE(CONTROL!$C$42, 0.275, 0.275)*CHOOSE(CONTROL!$C$42, 31, 31))/1000000</f>
        <v>4.2625000000000002</v>
      </c>
      <c r="W826" s="58">
        <f>(1000*CHOOSE(CONTROL!$C$42, 0.1146, 0.1146)*CHOOSE(CONTROL!$C$42, 121.5, 121.5)*CHOOSE(CONTROL!$C$42, 31, 31))/1000000</f>
        <v>0.43164089999999994</v>
      </c>
      <c r="X826" s="58">
        <f>(31*0.1790888*245000/1000000)+(31*0.2374*100000/1000000)</f>
        <v>2.0961194359999999</v>
      </c>
      <c r="Y826" s="58"/>
      <c r="Z826" s="10"/>
      <c r="AA826" s="57"/>
      <c r="AB826" s="51">
        <f>(B826*131.881+C826*277.167+D826*79.08+E826*125.872+F826*40+G826*185+H826*0+I826*100+J826*300)/(131.881+277.167+79.08+125.872+0+40+185+100+300)</f>
        <v>46.1193946385795</v>
      </c>
      <c r="AC826" s="27">
        <f>(M826*'RAP TEMPLATE-GAS AVAILABILITY'!O825+N826*'RAP TEMPLATE-GAS AVAILABILITY'!P825+O826*'RAP TEMPLATE-GAS AVAILABILITY'!Q825+P826*'RAP TEMPLATE-GAS AVAILABILITY'!R825)/('RAP TEMPLATE-GAS AVAILABILITY'!O825+'RAP TEMPLATE-GAS AVAILABILITY'!P825+'RAP TEMPLATE-GAS AVAILABILITY'!Q825+'RAP TEMPLATE-GAS AVAILABILITY'!R825)</f>
        <v>45.726105755395679</v>
      </c>
    </row>
    <row r="827" spans="1:29" ht="15.75" x14ac:dyDescent="0.25">
      <c r="A827" s="13">
        <v>66080</v>
      </c>
      <c r="B827" s="10">
        <f>CHOOSE(CONTROL!$C$42, 47.3106, 47.3106) * CHOOSE(CONTROL!$C$21, $C$9, 100%, $E$9)</f>
        <v>47.310600000000001</v>
      </c>
      <c r="C827" s="10">
        <f>CHOOSE(CONTROL!$C$42, 47.3155, 47.3155) * CHOOSE(CONTROL!$C$21, $C$9, 100%, $E$9)</f>
        <v>47.3155</v>
      </c>
      <c r="D827" s="10">
        <f>CHOOSE(CONTROL!$C$42, 47.3451, 47.3451) * CHOOSE(CONTROL!$C$21, $C$9, 100%, $E$9)</f>
        <v>47.345100000000002</v>
      </c>
      <c r="E827" s="10">
        <f>CHOOSE(CONTROL!$C$42, 47.3789, 47.3789) * CHOOSE(CONTROL!$C$21, $C$9, 100%, $E$9)</f>
        <v>47.378900000000002</v>
      </c>
      <c r="F827" s="10">
        <f>CHOOSE(CONTROL!$C$42, 47.2774, 47.2774)*CHOOSE(CONTROL!$C$21, $C$9, 100%, $E$9)</f>
        <v>47.2774</v>
      </c>
      <c r="G827" s="10">
        <f>CHOOSE(CONTROL!$C$42, 47.2945, 47.2945)*CHOOSE(CONTROL!$C$21, $C$9, 100%, $E$9)</f>
        <v>47.294499999999999</v>
      </c>
      <c r="H827" s="10">
        <f>CHOOSE(CONTROL!$C$42, 47.3681, 47.3681) * CHOOSE(CONTROL!$C$21, $C$9, 100%, $E$9)</f>
        <v>47.368099999999998</v>
      </c>
      <c r="I827" s="10">
        <f>CHOOSE(CONTROL!$C$42, 47.2742, 47.2742)* CHOOSE(CONTROL!$C$21, $C$9, 100%, $E$9)</f>
        <v>47.2742</v>
      </c>
      <c r="J827" s="10">
        <f>CHOOSE(CONTROL!$C$42, 47.2704, 47.2704)* CHOOSE(CONTROL!$C$21, $C$9, 100%, $E$9)</f>
        <v>47.270400000000002</v>
      </c>
      <c r="K827" s="54">
        <f>CHOOSE(CONTROL!$C$42, 47.2703, 47.2703) * CHOOSE(CONTROL!$C$21, $C$9, 100%, $E$9)</f>
        <v>47.270299999999999</v>
      </c>
      <c r="L827" s="10">
        <f>CHOOSE(CONTROL!$C$42, 47.9551, 47.9551) * CHOOSE(CONTROL!$C$21, $C$9, 100%, $E$9)</f>
        <v>47.955100000000002</v>
      </c>
      <c r="M827" s="10">
        <f>CHOOSE(CONTROL!$C$42, 46.8071, 46.8071) * CHOOSE(CONTROL!$C$21, $C$9, 100%, $E$9)</f>
        <v>46.807099999999998</v>
      </c>
      <c r="N827" s="10">
        <f>CHOOSE(CONTROL!$C$42, 46.8241, 46.8241) * CHOOSE(CONTROL!$C$21, $C$9, 100%, $E$9)</f>
        <v>46.824100000000001</v>
      </c>
      <c r="O827" s="10">
        <f>CHOOSE(CONTROL!$C$42, 46.9039, 46.9039) * CHOOSE(CONTROL!$C$21, $C$9, 100%, $E$9)</f>
        <v>46.9039</v>
      </c>
      <c r="P827" s="10">
        <f>CHOOSE(CONTROL!$C$42, 46.811, 46.811) * CHOOSE(CONTROL!$C$21, $C$9, 100%, $E$9)</f>
        <v>46.811</v>
      </c>
      <c r="Q827" s="10">
        <f>CHOOSE(CONTROL!$C$42, 47.4992, 47.4992) * CHOOSE(CONTROL!$C$21, $C$9, 100%, $E$9)</f>
        <v>47.499200000000002</v>
      </c>
      <c r="R827" s="10">
        <f>CHOOSE(CONTROL!$C$42, 48.205, 48.205) * CHOOSE(CONTROL!$C$21, $C$9, 100%, $E$9)</f>
        <v>48.204999999999998</v>
      </c>
      <c r="S827" s="10">
        <f>CHOOSE(CONTROL!$C$42, 45.9412, 45.9412) * CHOOSE(CONTROL!$C$21, $C$9, 100%, $E$9)</f>
        <v>45.941200000000002</v>
      </c>
      <c r="T827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827" s="58">
        <f>(1000*CHOOSE(CONTROL!$C$42, 695, 695)*CHOOSE(CONTROL!$C$42, 0.5599, 0.5599)*CHOOSE(CONTROL!$C$42, 30, 30))/1000000</f>
        <v>11.673914999999997</v>
      </c>
      <c r="V827" s="58">
        <f>(1000*CHOOSE(CONTROL!$C$42, 500, 500)*CHOOSE(CONTROL!$C$42, 0.275, 0.275)*CHOOSE(CONTROL!$C$42, 30, 30))/1000000</f>
        <v>4.125</v>
      </c>
      <c r="W827" s="58">
        <f>(1000*CHOOSE(CONTROL!$C$42, 0.1146, 0.1146)*CHOOSE(CONTROL!$C$42, 121.5, 121.5)*CHOOSE(CONTROL!$C$42, 30, 30))/1000000</f>
        <v>0.417717</v>
      </c>
      <c r="X827" s="58">
        <f>(30*0.1790888*100000/1000000)+(30*0.2374*100000/1000000)</f>
        <v>1.2494664</v>
      </c>
      <c r="Y827" s="58"/>
      <c r="Z827" s="10"/>
      <c r="AA827" s="57"/>
      <c r="AB827" s="51">
        <f>(B827*122.58+C827*297.941+D827*89.177+E827*40.302+F827*40+G827*160+H827*0+I827*100+J827*300)/(122.58+297.941+89.177+40.302+0+40+160+100+300)</f>
        <v>47.299891429565221</v>
      </c>
      <c r="AC827" s="27">
        <f>(M827*'RAP TEMPLATE-GAS AVAILABILITY'!O826+N827*'RAP TEMPLATE-GAS AVAILABILITY'!P826+O827*'RAP TEMPLATE-GAS AVAILABILITY'!Q826+P827*'RAP TEMPLATE-GAS AVAILABILITY'!R826)/('RAP TEMPLATE-GAS AVAILABILITY'!O826+'RAP TEMPLATE-GAS AVAILABILITY'!P826+'RAP TEMPLATE-GAS AVAILABILITY'!Q826+'RAP TEMPLATE-GAS AVAILABILITY'!R826)</f>
        <v>46.852512949640293</v>
      </c>
    </row>
    <row r="828" spans="1:29" ht="15.75" x14ac:dyDescent="0.25">
      <c r="A828" s="13">
        <v>66111</v>
      </c>
      <c r="B828" s="10">
        <f>CHOOSE(CONTROL!$C$42, 50.536, 50.536) * CHOOSE(CONTROL!$C$21, $C$9, 100%, $E$9)</f>
        <v>50.536000000000001</v>
      </c>
      <c r="C828" s="10">
        <f>CHOOSE(CONTROL!$C$42, 50.5409, 50.5409) * CHOOSE(CONTROL!$C$21, $C$9, 100%, $E$9)</f>
        <v>50.540900000000001</v>
      </c>
      <c r="D828" s="10">
        <f>CHOOSE(CONTROL!$C$42, 50.5705, 50.5705) * CHOOSE(CONTROL!$C$21, $C$9, 100%, $E$9)</f>
        <v>50.570500000000003</v>
      </c>
      <c r="E828" s="10">
        <f>CHOOSE(CONTROL!$C$42, 50.6043, 50.6043) * CHOOSE(CONTROL!$C$21, $C$9, 100%, $E$9)</f>
        <v>50.604300000000002</v>
      </c>
      <c r="F828" s="10">
        <f>CHOOSE(CONTROL!$C$42, 50.5042, 50.5042)*CHOOSE(CONTROL!$C$21, $C$9, 100%, $E$9)</f>
        <v>50.504199999999997</v>
      </c>
      <c r="G828" s="10">
        <f>CHOOSE(CONTROL!$C$42, 50.5217, 50.5217)*CHOOSE(CONTROL!$C$21, $C$9, 100%, $E$9)</f>
        <v>50.521700000000003</v>
      </c>
      <c r="H828" s="10">
        <f>CHOOSE(CONTROL!$C$42, 50.5935, 50.5935) * CHOOSE(CONTROL!$C$21, $C$9, 100%, $E$9)</f>
        <v>50.593499999999999</v>
      </c>
      <c r="I828" s="10">
        <f>CHOOSE(CONTROL!$C$42, 50.4996, 50.4996)* CHOOSE(CONTROL!$C$21, $C$9, 100%, $E$9)</f>
        <v>50.499600000000001</v>
      </c>
      <c r="J828" s="10">
        <f>CHOOSE(CONTROL!$C$42, 50.4972, 50.4972)* CHOOSE(CONTROL!$C$21, $C$9, 100%, $E$9)</f>
        <v>50.497199999999999</v>
      </c>
      <c r="K828" s="54">
        <f>CHOOSE(CONTROL!$C$42, 50.4957, 50.4957) * CHOOSE(CONTROL!$C$21, $C$9, 100%, $E$9)</f>
        <v>50.495699999999999</v>
      </c>
      <c r="L828" s="10">
        <f>CHOOSE(CONTROL!$C$42, 51.1805, 51.1805) * CHOOSE(CONTROL!$C$21, $C$9, 100%, $E$9)</f>
        <v>51.180500000000002</v>
      </c>
      <c r="M828" s="10">
        <f>CHOOSE(CONTROL!$C$42, 50.0014, 50.0014) * CHOOSE(CONTROL!$C$21, $C$9, 100%, $E$9)</f>
        <v>50.001399999999997</v>
      </c>
      <c r="N828" s="10">
        <f>CHOOSE(CONTROL!$C$42, 50.0187, 50.0187) * CHOOSE(CONTROL!$C$21, $C$9, 100%, $E$9)</f>
        <v>50.018700000000003</v>
      </c>
      <c r="O828" s="10">
        <f>CHOOSE(CONTROL!$C$42, 50.0968, 50.0968) * CHOOSE(CONTROL!$C$21, $C$9, 100%, $E$9)</f>
        <v>50.096800000000002</v>
      </c>
      <c r="P828" s="10">
        <f>CHOOSE(CONTROL!$C$42, 50.0038, 50.0038) * CHOOSE(CONTROL!$C$21, $C$9, 100%, $E$9)</f>
        <v>50.003799999999998</v>
      </c>
      <c r="Q828" s="10">
        <f>CHOOSE(CONTROL!$C$42, 50.6921, 50.6921) * CHOOSE(CONTROL!$C$21, $C$9, 100%, $E$9)</f>
        <v>50.692100000000003</v>
      </c>
      <c r="R828" s="10">
        <f>CHOOSE(CONTROL!$C$42, 51.4058, 51.4058) * CHOOSE(CONTROL!$C$21, $C$9, 100%, $E$9)</f>
        <v>51.405799999999999</v>
      </c>
      <c r="S828" s="10">
        <f>CHOOSE(CONTROL!$C$42, 49.0734, 49.0734) * CHOOSE(CONTROL!$C$21, $C$9, 100%, $E$9)</f>
        <v>49.073399999999999</v>
      </c>
      <c r="T828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828" s="58">
        <f>(1000*CHOOSE(CONTROL!$C$42, 695, 695)*CHOOSE(CONTROL!$C$42, 0.5599, 0.5599)*CHOOSE(CONTROL!$C$42, 31, 31))/1000000</f>
        <v>12.063045499999998</v>
      </c>
      <c r="V828" s="58">
        <f>(1000*CHOOSE(CONTROL!$C$42, 500, 500)*CHOOSE(CONTROL!$C$42, 0.275, 0.275)*CHOOSE(CONTROL!$C$42, 31, 31))/1000000</f>
        <v>4.2625000000000002</v>
      </c>
      <c r="W828" s="58">
        <f>(1000*CHOOSE(CONTROL!$C$42, 0.1146, 0.1146)*CHOOSE(CONTROL!$C$42, 121.5, 121.5)*CHOOSE(CONTROL!$C$42, 31, 31))/1000000</f>
        <v>0.43164089999999994</v>
      </c>
      <c r="X828" s="58">
        <f>(31*0.1790888*100000/1000000)+(31*0.2374*100000/1000000)</f>
        <v>1.2911152800000001</v>
      </c>
      <c r="Y828" s="58"/>
      <c r="Z828" s="10"/>
      <c r="AA828" s="57"/>
      <c r="AB828" s="51">
        <f>(B828*122.58+C828*297.941+D828*89.177+E828*40.302+F828*40+G828*160+H828*0+I828*100+J828*300)/(122.58+297.941+89.177+40.302+0+40+160+100+300)</f>
        <v>50.525955777391296</v>
      </c>
      <c r="AC828" s="27">
        <f>(M828*'RAP TEMPLATE-GAS AVAILABILITY'!O827+N828*'RAP TEMPLATE-GAS AVAILABILITY'!P827+O828*'RAP TEMPLATE-GAS AVAILABILITY'!Q827+P828*'RAP TEMPLATE-GAS AVAILABILITY'!R827)/('RAP TEMPLATE-GAS AVAILABILITY'!O827+'RAP TEMPLATE-GAS AVAILABILITY'!P827+'RAP TEMPLATE-GAS AVAILABILITY'!Q827+'RAP TEMPLATE-GAS AVAILABILITY'!R827)</f>
        <v>50.045979856115103</v>
      </c>
    </row>
    <row r="829" spans="1:29" ht="15.75" x14ac:dyDescent="0.25">
      <c r="A829" s="13">
        <v>66142</v>
      </c>
      <c r="B829" s="10">
        <f>CHOOSE(CONTROL!$C$42, 54.6765, 54.6765) * CHOOSE(CONTROL!$C$21, $C$9, 100%, $E$9)</f>
        <v>54.676499999999997</v>
      </c>
      <c r="C829" s="10">
        <f>CHOOSE(CONTROL!$C$42, 54.6815, 54.6815) * CHOOSE(CONTROL!$C$21, $C$9, 100%, $E$9)</f>
        <v>54.6815</v>
      </c>
      <c r="D829" s="10">
        <f>CHOOSE(CONTROL!$C$42, 54.7317, 54.7317) * CHOOSE(CONTROL!$C$21, $C$9, 100%, $E$9)</f>
        <v>54.731699999999996</v>
      </c>
      <c r="E829" s="10">
        <f>CHOOSE(CONTROL!$C$42, 54.7654, 54.7654) * CHOOSE(CONTROL!$C$21, $C$9, 100%, $E$9)</f>
        <v>54.7654</v>
      </c>
      <c r="F829" s="10">
        <f>CHOOSE(CONTROL!$C$42, 54.6419, 54.6419)*CHOOSE(CONTROL!$C$21, $C$9, 100%, $E$9)</f>
        <v>54.6419</v>
      </c>
      <c r="G829" s="10">
        <f>CHOOSE(CONTROL!$C$42, 54.6594, 54.6594)*CHOOSE(CONTROL!$C$21, $C$9, 100%, $E$9)</f>
        <v>54.659399999999998</v>
      </c>
      <c r="H829" s="10">
        <f>CHOOSE(CONTROL!$C$42, 54.7546, 54.7546) * CHOOSE(CONTROL!$C$21, $C$9, 100%, $E$9)</f>
        <v>54.754600000000003</v>
      </c>
      <c r="I829" s="10">
        <f>CHOOSE(CONTROL!$C$42, 54.6504, 54.6504)* CHOOSE(CONTROL!$C$21, $C$9, 100%, $E$9)</f>
        <v>54.650399999999998</v>
      </c>
      <c r="J829" s="10">
        <f>CHOOSE(CONTROL!$C$42, 54.6349, 54.6349)* CHOOSE(CONTROL!$C$21, $C$9, 100%, $E$9)</f>
        <v>54.634900000000002</v>
      </c>
      <c r="K829" s="54">
        <f>CHOOSE(CONTROL!$C$42, 54.6465, 54.6465) * CHOOSE(CONTROL!$C$21, $C$9, 100%, $E$9)</f>
        <v>54.646500000000003</v>
      </c>
      <c r="L829" s="10">
        <f>CHOOSE(CONTROL!$C$42, 55.3416, 55.3416) * CHOOSE(CONTROL!$C$21, $C$9, 100%, $E$9)</f>
        <v>55.3416</v>
      </c>
      <c r="M829" s="10">
        <f>CHOOSE(CONTROL!$C$42, 54.0973, 54.0973) * CHOOSE(CONTROL!$C$21, $C$9, 100%, $E$9)</f>
        <v>54.097299999999997</v>
      </c>
      <c r="N829" s="10">
        <f>CHOOSE(CONTROL!$C$42, 54.1147, 54.1147) * CHOOSE(CONTROL!$C$21, $C$9, 100%, $E$9)</f>
        <v>54.114699999999999</v>
      </c>
      <c r="O829" s="10">
        <f>CHOOSE(CONTROL!$C$42, 54.2159, 54.2159) * CHOOSE(CONTROL!$C$21, $C$9, 100%, $E$9)</f>
        <v>54.215899999999998</v>
      </c>
      <c r="P829" s="10">
        <f>CHOOSE(CONTROL!$C$42, 54.1127, 54.1127) * CHOOSE(CONTROL!$C$21, $C$9, 100%, $E$9)</f>
        <v>54.112699999999997</v>
      </c>
      <c r="Q829" s="10">
        <f>CHOOSE(CONTROL!$C$42, 54.8112, 54.8112) * CHOOSE(CONTROL!$C$21, $C$9, 100%, $E$9)</f>
        <v>54.811199999999999</v>
      </c>
      <c r="R829" s="10">
        <f>CHOOSE(CONTROL!$C$42, 55.5352, 55.5352) * CHOOSE(CONTROL!$C$21, $C$9, 100%, $E$9)</f>
        <v>55.535200000000003</v>
      </c>
      <c r="S829" s="10">
        <f>CHOOSE(CONTROL!$C$42, 53.0942, 53.0942) * CHOOSE(CONTROL!$C$21, $C$9, 100%, $E$9)</f>
        <v>53.094200000000001</v>
      </c>
      <c r="T829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829" s="58">
        <f>(1000*CHOOSE(CONTROL!$C$42, 695, 695)*CHOOSE(CONTROL!$C$42, 0.5599, 0.5599)*CHOOSE(CONTROL!$C$42, 31, 31))/1000000</f>
        <v>12.063045499999998</v>
      </c>
      <c r="V829" s="58">
        <f>(1000*CHOOSE(CONTROL!$C$42, 500, 500)*CHOOSE(CONTROL!$C$42, 0.275, 0.275)*CHOOSE(CONTROL!$C$42, 31, 31))/1000000</f>
        <v>4.2625000000000002</v>
      </c>
      <c r="W829" s="58">
        <f>(1000*CHOOSE(CONTROL!$C$42, 0.1146, 0.1146)*CHOOSE(CONTROL!$C$42, 121.5, 121.5)*CHOOSE(CONTROL!$C$42, 31, 31))/1000000</f>
        <v>0.43164089999999994</v>
      </c>
      <c r="X829" s="58">
        <f>(31*0.1790888*100000/1000000)+(31*0.2374*100000/1000000)</f>
        <v>1.2911152800000001</v>
      </c>
      <c r="Y829" s="58"/>
      <c r="Z829" s="10"/>
      <c r="AA829" s="57"/>
      <c r="AB829" s="51">
        <f>(B829*122.58+C829*297.941+D829*89.177+E829*40.302+F829*40+G829*160+H829*0+I829*100+J829*300)/(122.58+297.941+89.177+40.302+0+40+160+100+300)</f>
        <v>54.668487063652172</v>
      </c>
      <c r="AC829" s="27">
        <f>(M829*'RAP TEMPLATE-GAS AVAILABILITY'!O828+N829*'RAP TEMPLATE-GAS AVAILABILITY'!P828+O829*'RAP TEMPLATE-GAS AVAILABILITY'!Q828+P829*'RAP TEMPLATE-GAS AVAILABILITY'!R828)/('RAP TEMPLATE-GAS AVAILABILITY'!O828+'RAP TEMPLATE-GAS AVAILABILITY'!P828+'RAP TEMPLATE-GAS AVAILABILITY'!Q828+'RAP TEMPLATE-GAS AVAILABILITY'!R828)</f>
        <v>54.154271223021574</v>
      </c>
    </row>
    <row r="830" spans="1:29" ht="15.75" x14ac:dyDescent="0.25">
      <c r="A830" s="13">
        <v>66170</v>
      </c>
      <c r="B830" s="10">
        <f>CHOOSE(CONTROL!$C$42, 55.6498, 55.6498) * CHOOSE(CONTROL!$C$21, $C$9, 100%, $E$9)</f>
        <v>55.649799999999999</v>
      </c>
      <c r="C830" s="10">
        <f>CHOOSE(CONTROL!$C$42, 55.6547, 55.6547) * CHOOSE(CONTROL!$C$21, $C$9, 100%, $E$9)</f>
        <v>55.654699999999998</v>
      </c>
      <c r="D830" s="10">
        <f>CHOOSE(CONTROL!$C$42, 55.7152, 55.7152) * CHOOSE(CONTROL!$C$21, $C$9, 100%, $E$9)</f>
        <v>55.715200000000003</v>
      </c>
      <c r="E830" s="10">
        <f>CHOOSE(CONTROL!$C$42, 55.749, 55.749) * CHOOSE(CONTROL!$C$21, $C$9, 100%, $E$9)</f>
        <v>55.749000000000002</v>
      </c>
      <c r="F830" s="10">
        <f>CHOOSE(CONTROL!$C$42, 55.643, 55.643)*CHOOSE(CONTROL!$C$21, $C$9, 100%, $E$9)</f>
        <v>55.643000000000001</v>
      </c>
      <c r="G830" s="10">
        <f>CHOOSE(CONTROL!$C$42, 55.6603, 55.6603)*CHOOSE(CONTROL!$C$21, $C$9, 100%, $E$9)</f>
        <v>55.660299999999999</v>
      </c>
      <c r="H830" s="10">
        <f>CHOOSE(CONTROL!$C$42, 55.7382, 55.7382) * CHOOSE(CONTROL!$C$21, $C$9, 100%, $E$9)</f>
        <v>55.738199999999999</v>
      </c>
      <c r="I830" s="10">
        <f>CHOOSE(CONTROL!$C$42, 55.6365, 55.6365)* CHOOSE(CONTROL!$C$21, $C$9, 100%, $E$9)</f>
        <v>55.636499999999998</v>
      </c>
      <c r="J830" s="10">
        <f>CHOOSE(CONTROL!$C$42, 55.636, 55.636)* CHOOSE(CONTROL!$C$21, $C$9, 100%, $E$9)</f>
        <v>55.636000000000003</v>
      </c>
      <c r="K830" s="54">
        <f>CHOOSE(CONTROL!$C$42, 55.6326, 55.6326) * CHOOSE(CONTROL!$C$21, $C$9, 100%, $E$9)</f>
        <v>55.632599999999996</v>
      </c>
      <c r="L830" s="10">
        <f>CHOOSE(CONTROL!$C$42, 56.3252, 56.3252) * CHOOSE(CONTROL!$C$21, $C$9, 100%, $E$9)</f>
        <v>56.325200000000002</v>
      </c>
      <c r="M830" s="10">
        <f>CHOOSE(CONTROL!$C$42, 55.0884, 55.0884) * CHOOSE(CONTROL!$C$21, $C$9, 100%, $E$9)</f>
        <v>55.0884</v>
      </c>
      <c r="N830" s="10">
        <f>CHOOSE(CONTROL!$C$42, 55.1055, 55.1055) * CHOOSE(CONTROL!$C$21, $C$9, 100%, $E$9)</f>
        <v>55.105499999999999</v>
      </c>
      <c r="O830" s="10">
        <f>CHOOSE(CONTROL!$C$42, 55.1895, 55.1895) * CHOOSE(CONTROL!$C$21, $C$9, 100%, $E$9)</f>
        <v>55.189500000000002</v>
      </c>
      <c r="P830" s="10">
        <f>CHOOSE(CONTROL!$C$42, 55.0889, 55.0889) * CHOOSE(CONTROL!$C$21, $C$9, 100%, $E$9)</f>
        <v>55.088900000000002</v>
      </c>
      <c r="Q830" s="10">
        <f>CHOOSE(CONTROL!$C$42, 55.7848, 55.7848) * CHOOSE(CONTROL!$C$21, $C$9, 100%, $E$9)</f>
        <v>55.784799999999997</v>
      </c>
      <c r="R830" s="10">
        <f>CHOOSE(CONTROL!$C$42, 56.5113, 56.5113) * CHOOSE(CONTROL!$C$21, $C$9, 100%, $E$9)</f>
        <v>56.511299999999999</v>
      </c>
      <c r="S830" s="10">
        <f>CHOOSE(CONTROL!$C$42, 54.0394, 54.0394) * CHOOSE(CONTROL!$C$21, $C$9, 100%, $E$9)</f>
        <v>54.039400000000001</v>
      </c>
      <c r="T830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830" s="58">
        <f>(1000*CHOOSE(CONTROL!$C$42, 695, 695)*CHOOSE(CONTROL!$C$42, 0.5599, 0.5599)*CHOOSE(CONTROL!$C$42, 28, 28))/1000000</f>
        <v>10.895653999999999</v>
      </c>
      <c r="V830" s="58">
        <f>(1000*CHOOSE(CONTROL!$C$42, 500, 500)*CHOOSE(CONTROL!$C$42, 0.275, 0.275)*CHOOSE(CONTROL!$C$42, 28, 28))/1000000</f>
        <v>3.85</v>
      </c>
      <c r="W830" s="58">
        <f>(1000*CHOOSE(CONTROL!$C$42, 0.1146, 0.1146)*CHOOSE(CONTROL!$C$42, 121.5, 121.5)*CHOOSE(CONTROL!$C$42, 28, 28))/1000000</f>
        <v>0.38986920000000003</v>
      </c>
      <c r="X830" s="58">
        <f>(28*0.1790888*100000/1000000)+(28*0.2374*100000/1000000)</f>
        <v>1.16616864</v>
      </c>
      <c r="Y830" s="58"/>
      <c r="Z830" s="10"/>
      <c r="AA830" s="57"/>
      <c r="AB830" s="51">
        <f>(B830*122.58+C830*297.941+D830*89.177+E830*40.302+F830*40+G830*160+H830*0+I830*100+J830*300)/(122.58+297.941+89.177+40.302+0+40+160+100+300)</f>
        <v>55.656085256608698</v>
      </c>
      <c r="AC830" s="27">
        <f>(M830*'RAP TEMPLATE-GAS AVAILABILITY'!O829+N830*'RAP TEMPLATE-GAS AVAILABILITY'!P829+O830*'RAP TEMPLATE-GAS AVAILABILITY'!Q829+P830*'RAP TEMPLATE-GAS AVAILABILITY'!R829)/('RAP TEMPLATE-GAS AVAILABILITY'!O829+'RAP TEMPLATE-GAS AVAILABILITY'!P829+'RAP TEMPLATE-GAS AVAILABILITY'!Q829+'RAP TEMPLATE-GAS AVAILABILITY'!R829)</f>
        <v>55.135278417266186</v>
      </c>
    </row>
    <row r="831" spans="1:29" ht="15.75" x14ac:dyDescent="0.25">
      <c r="A831" s="13">
        <v>66201</v>
      </c>
      <c r="B831" s="10">
        <f>CHOOSE(CONTROL!$C$42, 54.0699, 54.0699) * CHOOSE(CONTROL!$C$21, $C$9, 100%, $E$9)</f>
        <v>54.069899999999997</v>
      </c>
      <c r="C831" s="10">
        <f>CHOOSE(CONTROL!$C$42, 54.0749, 54.0749) * CHOOSE(CONTROL!$C$21, $C$9, 100%, $E$9)</f>
        <v>54.0749</v>
      </c>
      <c r="D831" s="10">
        <f>CHOOSE(CONTROL!$C$42, 54.1354, 54.1354) * CHOOSE(CONTROL!$C$21, $C$9, 100%, $E$9)</f>
        <v>54.135399999999997</v>
      </c>
      <c r="E831" s="10">
        <f>CHOOSE(CONTROL!$C$42, 54.1691, 54.1691) * CHOOSE(CONTROL!$C$21, $C$9, 100%, $E$9)</f>
        <v>54.1691</v>
      </c>
      <c r="F831" s="10">
        <f>CHOOSE(CONTROL!$C$42, 54.0576, 54.0576)*CHOOSE(CONTROL!$C$21, $C$9, 100%, $E$9)</f>
        <v>54.057600000000001</v>
      </c>
      <c r="G831" s="10">
        <f>CHOOSE(CONTROL!$C$42, 54.0748, 54.0748)*CHOOSE(CONTROL!$C$21, $C$9, 100%, $E$9)</f>
        <v>54.074800000000003</v>
      </c>
      <c r="H831" s="10">
        <f>CHOOSE(CONTROL!$C$42, 54.1583, 54.1583) * CHOOSE(CONTROL!$C$21, $C$9, 100%, $E$9)</f>
        <v>54.158299999999997</v>
      </c>
      <c r="I831" s="10">
        <f>CHOOSE(CONTROL!$C$42, 54.0438, 54.0438)* CHOOSE(CONTROL!$C$21, $C$9, 100%, $E$9)</f>
        <v>54.043799999999997</v>
      </c>
      <c r="J831" s="10">
        <f>CHOOSE(CONTROL!$C$42, 54.0506, 54.0506)* CHOOSE(CONTROL!$C$21, $C$9, 100%, $E$9)</f>
        <v>54.050600000000003</v>
      </c>
      <c r="K831" s="54">
        <f>CHOOSE(CONTROL!$C$42, 54.0399, 54.0399) * CHOOSE(CONTROL!$C$21, $C$9, 100%, $E$9)</f>
        <v>54.039900000000003</v>
      </c>
      <c r="L831" s="10">
        <f>CHOOSE(CONTROL!$C$42, 54.7453, 54.7453) * CHOOSE(CONTROL!$C$21, $C$9, 100%, $E$9)</f>
        <v>54.7453</v>
      </c>
      <c r="M831" s="10">
        <f>CHOOSE(CONTROL!$C$42, 53.519, 53.519) * CHOOSE(CONTROL!$C$21, $C$9, 100%, $E$9)</f>
        <v>53.518999999999998</v>
      </c>
      <c r="N831" s="10">
        <f>CHOOSE(CONTROL!$C$42, 53.536, 53.536) * CHOOSE(CONTROL!$C$21, $C$9, 100%, $E$9)</f>
        <v>53.536000000000001</v>
      </c>
      <c r="O831" s="10">
        <f>CHOOSE(CONTROL!$C$42, 53.6256, 53.6256) * CHOOSE(CONTROL!$C$21, $C$9, 100%, $E$9)</f>
        <v>53.625599999999999</v>
      </c>
      <c r="P831" s="10">
        <f>CHOOSE(CONTROL!$C$42, 53.5123, 53.5123) * CHOOSE(CONTROL!$C$21, $C$9, 100%, $E$9)</f>
        <v>53.512300000000003</v>
      </c>
      <c r="Q831" s="10">
        <f>CHOOSE(CONTROL!$C$42, 54.2209, 54.2209) * CHOOSE(CONTROL!$C$21, $C$9, 100%, $E$9)</f>
        <v>54.2209</v>
      </c>
      <c r="R831" s="10">
        <f>CHOOSE(CONTROL!$C$42, 54.9435, 54.9435) * CHOOSE(CONTROL!$C$21, $C$9, 100%, $E$9)</f>
        <v>54.9435</v>
      </c>
      <c r="S831" s="10">
        <f>CHOOSE(CONTROL!$C$42, 52.5052, 52.5052) * CHOOSE(CONTROL!$C$21, $C$9, 100%, $E$9)</f>
        <v>52.505200000000002</v>
      </c>
      <c r="T831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831" s="58">
        <f>(1000*CHOOSE(CONTROL!$C$42, 695, 695)*CHOOSE(CONTROL!$C$42, 0.5599, 0.5599)*CHOOSE(CONTROL!$C$42, 31, 31))/1000000</f>
        <v>12.063045499999998</v>
      </c>
      <c r="V831" s="58">
        <f>(1000*CHOOSE(CONTROL!$C$42, 500, 500)*CHOOSE(CONTROL!$C$42, 0.275, 0.275)*CHOOSE(CONTROL!$C$42, 31, 31))/1000000</f>
        <v>4.2625000000000002</v>
      </c>
      <c r="W831" s="58">
        <f>(1000*CHOOSE(CONTROL!$C$42, 0.1146, 0.1146)*CHOOSE(CONTROL!$C$42, 121.5, 121.5)*CHOOSE(CONTROL!$C$42, 31, 31))/1000000</f>
        <v>0.43164089999999994</v>
      </c>
      <c r="X831" s="58">
        <f>(31*0.1790888*100000/1000000)+(31*0.2374*100000/1000000)</f>
        <v>1.2911152800000001</v>
      </c>
      <c r="Y831" s="58"/>
      <c r="Z831" s="10"/>
      <c r="AA831" s="57"/>
      <c r="AB831" s="51">
        <f>(B831*122.58+C831*297.941+D831*89.177+E831*40.302+F831*40+G831*160+H831*0+I831*100+J831*300)/(122.58+297.941+89.177+40.302+0+40+160+100+300)</f>
        <v>54.072700658173908</v>
      </c>
      <c r="AC831" s="27">
        <f>(M831*'RAP TEMPLATE-GAS AVAILABILITY'!O830+N831*'RAP TEMPLATE-GAS AVAILABILITY'!P830+O831*'RAP TEMPLATE-GAS AVAILABILITY'!Q830+P831*'RAP TEMPLATE-GAS AVAILABILITY'!R830)/('RAP TEMPLATE-GAS AVAILABILITY'!O830+'RAP TEMPLATE-GAS AVAILABILITY'!P830+'RAP TEMPLATE-GAS AVAILABILITY'!Q830+'RAP TEMPLATE-GAS AVAILABILITY'!R830)</f>
        <v>53.567329496402877</v>
      </c>
    </row>
    <row r="832" spans="1:29" ht="15.75" x14ac:dyDescent="0.25">
      <c r="A832" s="13">
        <v>66231</v>
      </c>
      <c r="B832" s="10">
        <f>CHOOSE(CONTROL!$C$42, 53.9092, 53.9092) * CHOOSE(CONTROL!$C$21, $C$9, 100%, $E$9)</f>
        <v>53.909199999999998</v>
      </c>
      <c r="C832" s="10">
        <f>CHOOSE(CONTROL!$C$42, 53.9136, 53.9136) * CHOOSE(CONTROL!$C$21, $C$9, 100%, $E$9)</f>
        <v>53.913600000000002</v>
      </c>
      <c r="D832" s="10">
        <f>CHOOSE(CONTROL!$C$42, 54.1092, 54.1092) * CHOOSE(CONTROL!$C$21, $C$9, 100%, $E$9)</f>
        <v>54.109200000000001</v>
      </c>
      <c r="E832" s="10">
        <f>CHOOSE(CONTROL!$C$42, 54.1409, 54.1409) * CHOOSE(CONTROL!$C$21, $C$9, 100%, $E$9)</f>
        <v>54.140900000000002</v>
      </c>
      <c r="F832" s="10">
        <f>CHOOSE(CONTROL!$C$42, 53.877, 53.877)*CHOOSE(CONTROL!$C$21, $C$9, 100%, $E$9)</f>
        <v>53.877000000000002</v>
      </c>
      <c r="G832" s="10">
        <f>CHOOSE(CONTROL!$C$42, 53.8938, 53.8938)*CHOOSE(CONTROL!$C$21, $C$9, 100%, $E$9)</f>
        <v>53.893799999999999</v>
      </c>
      <c r="H832" s="10">
        <f>CHOOSE(CONTROL!$C$42, 54.1307, 54.1307) * CHOOSE(CONTROL!$C$21, $C$9, 100%, $E$9)</f>
        <v>54.130699999999997</v>
      </c>
      <c r="I832" s="10">
        <f>CHOOSE(CONTROL!$C$42, 53.8772, 53.8772)* CHOOSE(CONTROL!$C$21, $C$9, 100%, $E$9)</f>
        <v>53.877200000000002</v>
      </c>
      <c r="J832" s="10">
        <f>CHOOSE(CONTROL!$C$42, 53.87, 53.87)* CHOOSE(CONTROL!$C$21, $C$9, 100%, $E$9)</f>
        <v>53.87</v>
      </c>
      <c r="K832" s="54">
        <f>CHOOSE(CONTROL!$C$42, 53.8733, 53.8733) * CHOOSE(CONTROL!$C$21, $C$9, 100%, $E$9)</f>
        <v>53.8733</v>
      </c>
      <c r="L832" s="10">
        <f>CHOOSE(CONTROL!$C$42, 54.7177, 54.7177) * CHOOSE(CONTROL!$C$21, $C$9, 100%, $E$9)</f>
        <v>54.717700000000001</v>
      </c>
      <c r="M832" s="10">
        <f>CHOOSE(CONTROL!$C$42, 53.3402, 53.3402) * CHOOSE(CONTROL!$C$21, $C$9, 100%, $E$9)</f>
        <v>53.340200000000003</v>
      </c>
      <c r="N832" s="10">
        <f>CHOOSE(CONTROL!$C$42, 53.3568, 53.3568) * CHOOSE(CONTROL!$C$21, $C$9, 100%, $E$9)</f>
        <v>53.3568</v>
      </c>
      <c r="O832" s="10">
        <f>CHOOSE(CONTROL!$C$42, 53.5983, 53.5983) * CHOOSE(CONTROL!$C$21, $C$9, 100%, $E$9)</f>
        <v>53.598300000000002</v>
      </c>
      <c r="P832" s="10">
        <f>CHOOSE(CONTROL!$C$42, 53.3473, 53.3473) * CHOOSE(CONTROL!$C$21, $C$9, 100%, $E$9)</f>
        <v>53.347299999999997</v>
      </c>
      <c r="Q832" s="10">
        <f>CHOOSE(CONTROL!$C$42, 54.1936, 54.1936) * CHOOSE(CONTROL!$C$21, $C$9, 100%, $E$9)</f>
        <v>54.193600000000004</v>
      </c>
      <c r="R832" s="10">
        <f>CHOOSE(CONTROL!$C$42, 54.9161, 54.9161) * CHOOSE(CONTROL!$C$21, $C$9, 100%, $E$9)</f>
        <v>54.9161</v>
      </c>
      <c r="S832" s="10">
        <f>CHOOSE(CONTROL!$C$42, 52.3483, 52.3483) * CHOOSE(CONTROL!$C$21, $C$9, 100%, $E$9)</f>
        <v>52.348300000000002</v>
      </c>
      <c r="T832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832" s="58">
        <f>(1000*CHOOSE(CONTROL!$C$42, 695, 695)*CHOOSE(CONTROL!$C$42, 0.5599, 0.5599)*CHOOSE(CONTROL!$C$42, 30, 30))/1000000</f>
        <v>11.673914999999997</v>
      </c>
      <c r="V832" s="58">
        <f>(1000*CHOOSE(CONTROL!$C$42, 500, 500)*CHOOSE(CONTROL!$C$42, 0.275, 0.275)*CHOOSE(CONTROL!$C$42, 30, 30))/1000000</f>
        <v>4.125</v>
      </c>
      <c r="W832" s="58">
        <f>(1000*CHOOSE(CONTROL!$C$42, 0.1146, 0.1146)*CHOOSE(CONTROL!$C$42, 121.5, 121.5)*CHOOSE(CONTROL!$C$42, 30, 30))/1000000</f>
        <v>0.417717</v>
      </c>
      <c r="X832" s="58">
        <f>(30*0.1790888*245000/1000000)+(30*0.2374*100000/1000000)</f>
        <v>2.0285026799999999</v>
      </c>
      <c r="Y832" s="58"/>
      <c r="Z832" s="10"/>
      <c r="AA832" s="57"/>
      <c r="AB832" s="51">
        <f>(B832*141.293+C832*267.993+D832*115.016+E832*89.698+F832*40+G832*185+H832*0+I832*100+J832*300)/(141.293+267.993+115.016+89.698+0+40+185+100+300)</f>
        <v>53.930078446973369</v>
      </c>
      <c r="AC832" s="27">
        <f>(M832*'RAP TEMPLATE-GAS AVAILABILITY'!O831+N832*'RAP TEMPLATE-GAS AVAILABILITY'!P831+O832*'RAP TEMPLATE-GAS AVAILABILITY'!Q831+P832*'RAP TEMPLATE-GAS AVAILABILITY'!R831)/('RAP TEMPLATE-GAS AVAILABILITY'!O831+'RAP TEMPLATE-GAS AVAILABILITY'!P831+'RAP TEMPLATE-GAS AVAILABILITY'!Q831+'RAP TEMPLATE-GAS AVAILABILITY'!R831)</f>
        <v>53.459157553956842</v>
      </c>
    </row>
    <row r="833" spans="1:29" ht="15.75" x14ac:dyDescent="0.25">
      <c r="A833" s="13">
        <v>66262</v>
      </c>
      <c r="B833" s="10">
        <f>CHOOSE(CONTROL!$C$42, 54.3864, 54.3864) * CHOOSE(CONTROL!$C$21, $C$9, 100%, $E$9)</f>
        <v>54.386400000000002</v>
      </c>
      <c r="C833" s="10">
        <f>CHOOSE(CONTROL!$C$42, 54.3943, 54.3943) * CHOOSE(CONTROL!$C$21, $C$9, 100%, $E$9)</f>
        <v>54.394300000000001</v>
      </c>
      <c r="D833" s="10">
        <f>CHOOSE(CONTROL!$C$42, 54.5867, 54.5867) * CHOOSE(CONTROL!$C$21, $C$9, 100%, $E$9)</f>
        <v>54.5867</v>
      </c>
      <c r="E833" s="10">
        <f>CHOOSE(CONTROL!$C$42, 54.6179, 54.6179) * CHOOSE(CONTROL!$C$21, $C$9, 100%, $E$9)</f>
        <v>54.617899999999999</v>
      </c>
      <c r="F833" s="10">
        <f>CHOOSE(CONTROL!$C$42, 54.3526, 54.3526)*CHOOSE(CONTROL!$C$21, $C$9, 100%, $E$9)</f>
        <v>54.352600000000002</v>
      </c>
      <c r="G833" s="10">
        <f>CHOOSE(CONTROL!$C$42, 54.3697, 54.3697)*CHOOSE(CONTROL!$C$21, $C$9, 100%, $E$9)</f>
        <v>54.369700000000002</v>
      </c>
      <c r="H833" s="10">
        <f>CHOOSE(CONTROL!$C$42, 54.6065, 54.6065) * CHOOSE(CONTROL!$C$21, $C$9, 100%, $E$9)</f>
        <v>54.606499999999997</v>
      </c>
      <c r="I833" s="10">
        <f>CHOOSE(CONTROL!$C$42, 54.3529, 54.3529)* CHOOSE(CONTROL!$C$21, $C$9, 100%, $E$9)</f>
        <v>54.352899999999998</v>
      </c>
      <c r="J833" s="10">
        <f>CHOOSE(CONTROL!$C$42, 54.3456, 54.3456)* CHOOSE(CONTROL!$C$21, $C$9, 100%, $E$9)</f>
        <v>54.345599999999997</v>
      </c>
      <c r="K833" s="54">
        <f>CHOOSE(CONTROL!$C$42, 54.349, 54.349) * CHOOSE(CONTROL!$C$21, $C$9, 100%, $E$9)</f>
        <v>54.348999999999997</v>
      </c>
      <c r="L833" s="10">
        <f>CHOOSE(CONTROL!$C$42, 55.1935, 55.1935) * CHOOSE(CONTROL!$C$21, $C$9, 100%, $E$9)</f>
        <v>55.1935</v>
      </c>
      <c r="M833" s="10">
        <f>CHOOSE(CONTROL!$C$42, 53.811, 53.811) * CHOOSE(CONTROL!$C$21, $C$9, 100%, $E$9)</f>
        <v>53.811</v>
      </c>
      <c r="N833" s="10">
        <f>CHOOSE(CONTROL!$C$42, 53.828, 53.828) * CHOOSE(CONTROL!$C$21, $C$9, 100%, $E$9)</f>
        <v>53.828000000000003</v>
      </c>
      <c r="O833" s="10">
        <f>CHOOSE(CONTROL!$C$42, 54.0692, 54.0692) * CHOOSE(CONTROL!$C$21, $C$9, 100%, $E$9)</f>
        <v>54.069200000000002</v>
      </c>
      <c r="P833" s="10">
        <f>CHOOSE(CONTROL!$C$42, 53.8183, 53.8183) * CHOOSE(CONTROL!$C$21, $C$9, 100%, $E$9)</f>
        <v>53.818300000000001</v>
      </c>
      <c r="Q833" s="10">
        <f>CHOOSE(CONTROL!$C$42, 54.6645, 54.6645) * CHOOSE(CONTROL!$C$21, $C$9, 100%, $E$9)</f>
        <v>54.664499999999997</v>
      </c>
      <c r="R833" s="10">
        <f>CHOOSE(CONTROL!$C$42, 55.3882, 55.3882) * CHOOSE(CONTROL!$C$21, $C$9, 100%, $E$9)</f>
        <v>55.388199999999998</v>
      </c>
      <c r="S833" s="10">
        <f>CHOOSE(CONTROL!$C$42, 52.8104, 52.8104) * CHOOSE(CONTROL!$C$21, $C$9, 100%, $E$9)</f>
        <v>52.810400000000001</v>
      </c>
      <c r="T833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833" s="58">
        <f>(1000*CHOOSE(CONTROL!$C$42, 695, 695)*CHOOSE(CONTROL!$C$42, 0.5599, 0.5599)*CHOOSE(CONTROL!$C$42, 31, 31))/1000000</f>
        <v>12.063045499999998</v>
      </c>
      <c r="V833" s="58">
        <f>(1000*CHOOSE(CONTROL!$C$42, 500, 500)*CHOOSE(CONTROL!$C$42, 0.275, 0.275)*CHOOSE(CONTROL!$C$42, 31, 31))/1000000</f>
        <v>4.2625000000000002</v>
      </c>
      <c r="W833" s="58">
        <f>(1000*CHOOSE(CONTROL!$C$42, 0.1146, 0.1146)*CHOOSE(CONTROL!$C$42, 121.5, 121.5)*CHOOSE(CONTROL!$C$42, 31, 31))/1000000</f>
        <v>0.43164089999999994</v>
      </c>
      <c r="X833" s="58">
        <f>(31*0.1790888*245000/1000000)+(31*0.2374*100000/1000000)</f>
        <v>2.0961194359999999</v>
      </c>
      <c r="Y833" s="58"/>
      <c r="Z833" s="10"/>
      <c r="AA833" s="57"/>
      <c r="AB833" s="51">
        <f>(B833*194.205+C833*267.466+D833*133.845+E833*53.484+F833*40+G833*185+H833*0+I833*100+J833*300)/(194.205+267.466+133.845+53.484+0+40+185+100+300)</f>
        <v>54.40309715926216</v>
      </c>
      <c r="AC833" s="27">
        <f>(M833*'RAP TEMPLATE-GAS AVAILABILITY'!O832+N833*'RAP TEMPLATE-GAS AVAILABILITY'!P832+O833*'RAP TEMPLATE-GAS AVAILABILITY'!Q832+P833*'RAP TEMPLATE-GAS AVAILABILITY'!R832)/('RAP TEMPLATE-GAS AVAILABILITY'!O832+'RAP TEMPLATE-GAS AVAILABILITY'!P832+'RAP TEMPLATE-GAS AVAILABILITY'!Q832+'RAP TEMPLATE-GAS AVAILABILITY'!R832)</f>
        <v>53.93005467625899</v>
      </c>
    </row>
    <row r="834" spans="1:29" ht="15.75" x14ac:dyDescent="0.25">
      <c r="A834" s="13">
        <v>66292</v>
      </c>
      <c r="B834" s="10">
        <f>CHOOSE(CONTROL!$C$42, 55.929, 55.929) * CHOOSE(CONTROL!$C$21, $C$9, 100%, $E$9)</f>
        <v>55.929000000000002</v>
      </c>
      <c r="C834" s="10">
        <f>CHOOSE(CONTROL!$C$42, 55.9369, 55.9369) * CHOOSE(CONTROL!$C$21, $C$9, 100%, $E$9)</f>
        <v>55.936900000000001</v>
      </c>
      <c r="D834" s="10">
        <f>CHOOSE(CONTROL!$C$42, 56.1293, 56.1293) * CHOOSE(CONTROL!$C$21, $C$9, 100%, $E$9)</f>
        <v>56.129300000000001</v>
      </c>
      <c r="E834" s="10">
        <f>CHOOSE(CONTROL!$C$42, 56.1604, 56.1604) * CHOOSE(CONTROL!$C$21, $C$9, 100%, $E$9)</f>
        <v>56.160400000000003</v>
      </c>
      <c r="F834" s="10">
        <f>CHOOSE(CONTROL!$C$42, 55.8955, 55.8955)*CHOOSE(CONTROL!$C$21, $C$9, 100%, $E$9)</f>
        <v>55.895499999999998</v>
      </c>
      <c r="G834" s="10">
        <f>CHOOSE(CONTROL!$C$42, 55.9126, 55.9126)*CHOOSE(CONTROL!$C$21, $C$9, 100%, $E$9)</f>
        <v>55.912599999999998</v>
      </c>
      <c r="H834" s="10">
        <f>CHOOSE(CONTROL!$C$42, 56.1491, 56.1491) * CHOOSE(CONTROL!$C$21, $C$9, 100%, $E$9)</f>
        <v>56.149099999999997</v>
      </c>
      <c r="I834" s="10">
        <f>CHOOSE(CONTROL!$C$42, 55.8955, 55.8955)* CHOOSE(CONTROL!$C$21, $C$9, 100%, $E$9)</f>
        <v>55.895499999999998</v>
      </c>
      <c r="J834" s="10">
        <f>CHOOSE(CONTROL!$C$42, 55.8885, 55.8885)* CHOOSE(CONTROL!$C$21, $C$9, 100%, $E$9)</f>
        <v>55.888500000000001</v>
      </c>
      <c r="K834" s="54">
        <f>CHOOSE(CONTROL!$C$42, 55.8916, 55.8916) * CHOOSE(CONTROL!$C$21, $C$9, 100%, $E$9)</f>
        <v>55.891599999999997</v>
      </c>
      <c r="L834" s="10">
        <f>CHOOSE(CONTROL!$C$42, 56.7361, 56.7361) * CHOOSE(CONTROL!$C$21, $C$9, 100%, $E$9)</f>
        <v>56.7361</v>
      </c>
      <c r="M834" s="10">
        <f>CHOOSE(CONTROL!$C$42, 55.3383, 55.3383) * CHOOSE(CONTROL!$C$21, $C$9, 100%, $E$9)</f>
        <v>55.338299999999997</v>
      </c>
      <c r="N834" s="10">
        <f>CHOOSE(CONTROL!$C$42, 55.3553, 55.3553) * CHOOSE(CONTROL!$C$21, $C$9, 100%, $E$9)</f>
        <v>55.3553</v>
      </c>
      <c r="O834" s="10">
        <f>CHOOSE(CONTROL!$C$42, 55.5963, 55.5963) * CHOOSE(CONTROL!$C$21, $C$9, 100%, $E$9)</f>
        <v>55.596299999999999</v>
      </c>
      <c r="P834" s="10">
        <f>CHOOSE(CONTROL!$C$42, 55.3453, 55.3453) * CHOOSE(CONTROL!$C$21, $C$9, 100%, $E$9)</f>
        <v>55.345300000000002</v>
      </c>
      <c r="Q834" s="10">
        <f>CHOOSE(CONTROL!$C$42, 56.1916, 56.1916) * CHOOSE(CONTROL!$C$21, $C$9, 100%, $E$9)</f>
        <v>56.191600000000001</v>
      </c>
      <c r="R834" s="10">
        <f>CHOOSE(CONTROL!$C$42, 56.919, 56.919) * CHOOSE(CONTROL!$C$21, $C$9, 100%, $E$9)</f>
        <v>56.918999999999997</v>
      </c>
      <c r="S834" s="10">
        <f>CHOOSE(CONTROL!$C$42, 54.3084, 54.3084) * CHOOSE(CONTROL!$C$21, $C$9, 100%, $E$9)</f>
        <v>54.308399999999999</v>
      </c>
      <c r="T834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834" s="58">
        <f>(1000*CHOOSE(CONTROL!$C$42, 695, 695)*CHOOSE(CONTROL!$C$42, 0.5599, 0.5599)*CHOOSE(CONTROL!$C$42, 30, 30))/1000000</f>
        <v>11.673914999999997</v>
      </c>
      <c r="V834" s="58">
        <f>(1000*CHOOSE(CONTROL!$C$42, 500, 500)*CHOOSE(CONTROL!$C$42, 0.275, 0.275)*CHOOSE(CONTROL!$C$42, 30, 30))/1000000</f>
        <v>4.125</v>
      </c>
      <c r="W834" s="58">
        <f>(1000*CHOOSE(CONTROL!$C$42, 0.1146, 0.1146)*CHOOSE(CONTROL!$C$42, 121.5, 121.5)*CHOOSE(CONTROL!$C$42, 30, 30))/1000000</f>
        <v>0.417717</v>
      </c>
      <c r="X834" s="58">
        <f>(30*0.1790888*245000/1000000)+(30*0.2374*100000/1000000)</f>
        <v>2.0285026799999999</v>
      </c>
      <c r="Y834" s="58"/>
      <c r="Z834" s="10"/>
      <c r="AA834" s="57"/>
      <c r="AB834" s="51">
        <f>(B834*194.205+C834*267.466+D834*133.845+E834*53.484+F834*40+G834*185+H834*0+I834*100+J834*300)/(194.205+267.466+133.845+53.484+0+40+185+100+300)</f>
        <v>55.945816587519623</v>
      </c>
      <c r="AC834" s="27">
        <f>(M834*'RAP TEMPLATE-GAS AVAILABILITY'!O833+N834*'RAP TEMPLATE-GAS AVAILABILITY'!P833+O834*'RAP TEMPLATE-GAS AVAILABILITY'!Q833+P834*'RAP TEMPLATE-GAS AVAILABILITY'!R833)/('RAP TEMPLATE-GAS AVAILABILITY'!O833+'RAP TEMPLATE-GAS AVAILABILITY'!P833+'RAP TEMPLATE-GAS AVAILABILITY'!Q833+'RAP TEMPLATE-GAS AVAILABILITY'!R833)</f>
        <v>55.457220863309352</v>
      </c>
    </row>
    <row r="835" spans="1:29" ht="15.75" x14ac:dyDescent="0.25">
      <c r="A835" s="13">
        <v>66323</v>
      </c>
      <c r="B835" s="10">
        <f>CHOOSE(CONTROL!$C$42, 54.8561, 54.8561) * CHOOSE(CONTROL!$C$21, $C$9, 100%, $E$9)</f>
        <v>54.856099999999998</v>
      </c>
      <c r="C835" s="10">
        <f>CHOOSE(CONTROL!$C$42, 54.864, 54.864) * CHOOSE(CONTROL!$C$21, $C$9, 100%, $E$9)</f>
        <v>54.863999999999997</v>
      </c>
      <c r="D835" s="10">
        <f>CHOOSE(CONTROL!$C$42, 55.0564, 55.0564) * CHOOSE(CONTROL!$C$21, $C$9, 100%, $E$9)</f>
        <v>55.056399999999996</v>
      </c>
      <c r="E835" s="10">
        <f>CHOOSE(CONTROL!$C$42, 55.0876, 55.0876) * CHOOSE(CONTROL!$C$21, $C$9, 100%, $E$9)</f>
        <v>55.087600000000002</v>
      </c>
      <c r="F835" s="10">
        <f>CHOOSE(CONTROL!$C$42, 54.823, 54.823)*CHOOSE(CONTROL!$C$21, $C$9, 100%, $E$9)</f>
        <v>54.823</v>
      </c>
      <c r="G835" s="10">
        <f>CHOOSE(CONTROL!$C$42, 54.8403, 54.8403)*CHOOSE(CONTROL!$C$21, $C$9, 100%, $E$9)</f>
        <v>54.840299999999999</v>
      </c>
      <c r="H835" s="10">
        <f>CHOOSE(CONTROL!$C$42, 55.0762, 55.0762) * CHOOSE(CONTROL!$C$21, $C$9, 100%, $E$9)</f>
        <v>55.0762</v>
      </c>
      <c r="I835" s="10">
        <f>CHOOSE(CONTROL!$C$42, 54.8227, 54.8227)* CHOOSE(CONTROL!$C$21, $C$9, 100%, $E$9)</f>
        <v>54.822699999999998</v>
      </c>
      <c r="J835" s="10">
        <f>CHOOSE(CONTROL!$C$42, 54.816, 54.816)* CHOOSE(CONTROL!$C$21, $C$9, 100%, $E$9)</f>
        <v>54.816000000000003</v>
      </c>
      <c r="K835" s="54">
        <f>CHOOSE(CONTROL!$C$42, 54.8188, 54.8188) * CHOOSE(CONTROL!$C$21, $C$9, 100%, $E$9)</f>
        <v>54.818800000000003</v>
      </c>
      <c r="L835" s="10">
        <f>CHOOSE(CONTROL!$C$42, 55.6632, 55.6632) * CHOOSE(CONTROL!$C$21, $C$9, 100%, $E$9)</f>
        <v>55.663200000000003</v>
      </c>
      <c r="M835" s="10">
        <f>CHOOSE(CONTROL!$C$42, 54.2766, 54.2766) * CHOOSE(CONTROL!$C$21, $C$9, 100%, $E$9)</f>
        <v>54.276600000000002</v>
      </c>
      <c r="N835" s="10">
        <f>CHOOSE(CONTROL!$C$42, 54.2937, 54.2937) * CHOOSE(CONTROL!$C$21, $C$9, 100%, $E$9)</f>
        <v>54.293700000000001</v>
      </c>
      <c r="O835" s="10">
        <f>CHOOSE(CONTROL!$C$42, 54.5342, 54.5342) * CHOOSE(CONTROL!$C$21, $C$9, 100%, $E$9)</f>
        <v>54.534199999999998</v>
      </c>
      <c r="P835" s="10">
        <f>CHOOSE(CONTROL!$C$42, 54.2833, 54.2833) * CHOOSE(CONTROL!$C$21, $C$9, 100%, $E$9)</f>
        <v>54.283299999999997</v>
      </c>
      <c r="Q835" s="10">
        <f>CHOOSE(CONTROL!$C$42, 55.1295, 55.1295) * CHOOSE(CONTROL!$C$21, $C$9, 100%, $E$9)</f>
        <v>55.1295</v>
      </c>
      <c r="R835" s="10">
        <f>CHOOSE(CONTROL!$C$42, 55.8543, 55.8543) * CHOOSE(CONTROL!$C$21, $C$9, 100%, $E$9)</f>
        <v>55.854300000000002</v>
      </c>
      <c r="S835" s="10">
        <f>CHOOSE(CONTROL!$C$42, 53.2665, 53.2665) * CHOOSE(CONTROL!$C$21, $C$9, 100%, $E$9)</f>
        <v>53.266500000000001</v>
      </c>
      <c r="T835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835" s="58">
        <f>(1000*CHOOSE(CONTROL!$C$42, 695, 695)*CHOOSE(CONTROL!$C$42, 0.5599, 0.5599)*CHOOSE(CONTROL!$C$42, 31, 31))/1000000</f>
        <v>12.063045499999998</v>
      </c>
      <c r="V835" s="58">
        <f>(1000*CHOOSE(CONTROL!$C$42, 500, 500)*CHOOSE(CONTROL!$C$42, 0.275, 0.275)*CHOOSE(CONTROL!$C$42, 31, 31))/1000000</f>
        <v>4.2625000000000002</v>
      </c>
      <c r="W835" s="58">
        <f>(1000*CHOOSE(CONTROL!$C$42, 0.1146, 0.1146)*CHOOSE(CONTROL!$C$42, 121.5, 121.5)*CHOOSE(CONTROL!$C$42, 31, 31))/1000000</f>
        <v>0.43164089999999994</v>
      </c>
      <c r="X835" s="58">
        <f>(31*0.1790888*245000/1000000)+(31*0.2374*100000/1000000)</f>
        <v>2.0961194359999999</v>
      </c>
      <c r="Y835" s="58"/>
      <c r="Z835" s="10"/>
      <c r="AA835" s="57"/>
      <c r="AB835" s="51">
        <f>(B835*194.205+C835*267.466+D835*133.845+E835*53.484+F835*40+G835*185+H835*0+I835*100+J835*300)/(194.205+267.466+133.845+53.484+0+40+185+100+300)</f>
        <v>54.873122512480364</v>
      </c>
      <c r="AC835" s="27">
        <f>(M835*'RAP TEMPLATE-GAS AVAILABILITY'!O834+N835*'RAP TEMPLATE-GAS AVAILABILITY'!P834+O835*'RAP TEMPLATE-GAS AVAILABILITY'!Q834+P835*'RAP TEMPLATE-GAS AVAILABILITY'!R834)/('RAP TEMPLATE-GAS AVAILABILITY'!O834+'RAP TEMPLATE-GAS AVAILABILITY'!P834+'RAP TEMPLATE-GAS AVAILABILITY'!Q834+'RAP TEMPLATE-GAS AVAILABILITY'!R834)</f>
        <v>54.395302158273381</v>
      </c>
    </row>
    <row r="836" spans="1:29" ht="15.75" x14ac:dyDescent="0.25">
      <c r="A836" s="13">
        <v>66354</v>
      </c>
      <c r="B836" s="10">
        <f>CHOOSE(CONTROL!$C$42, 52.1467, 52.1467) * CHOOSE(CONTROL!$C$21, $C$9, 100%, $E$9)</f>
        <v>52.146700000000003</v>
      </c>
      <c r="C836" s="10">
        <f>CHOOSE(CONTROL!$C$42, 52.1546, 52.1546) * CHOOSE(CONTROL!$C$21, $C$9, 100%, $E$9)</f>
        <v>52.154600000000002</v>
      </c>
      <c r="D836" s="10">
        <f>CHOOSE(CONTROL!$C$42, 52.3471, 52.3471) * CHOOSE(CONTROL!$C$21, $C$9, 100%, $E$9)</f>
        <v>52.347099999999998</v>
      </c>
      <c r="E836" s="10">
        <f>CHOOSE(CONTROL!$C$42, 52.3782, 52.3782) * CHOOSE(CONTROL!$C$21, $C$9, 100%, $E$9)</f>
        <v>52.3782</v>
      </c>
      <c r="F836" s="10">
        <f>CHOOSE(CONTROL!$C$42, 52.1138, 52.1138)*CHOOSE(CONTROL!$C$21, $C$9, 100%, $E$9)</f>
        <v>52.113799999999998</v>
      </c>
      <c r="G836" s="10">
        <f>CHOOSE(CONTROL!$C$42, 52.1311, 52.1311)*CHOOSE(CONTROL!$C$21, $C$9, 100%, $E$9)</f>
        <v>52.131100000000004</v>
      </c>
      <c r="H836" s="10">
        <f>CHOOSE(CONTROL!$C$42, 52.3668, 52.3668) * CHOOSE(CONTROL!$C$21, $C$9, 100%, $E$9)</f>
        <v>52.366799999999998</v>
      </c>
      <c r="I836" s="10">
        <f>CHOOSE(CONTROL!$C$42, 52.1133, 52.1133)* CHOOSE(CONTROL!$C$21, $C$9, 100%, $E$9)</f>
        <v>52.113300000000002</v>
      </c>
      <c r="J836" s="10">
        <f>CHOOSE(CONTROL!$C$42, 52.1068, 52.1068)* CHOOSE(CONTROL!$C$21, $C$9, 100%, $E$9)</f>
        <v>52.1068</v>
      </c>
      <c r="K836" s="54">
        <f>CHOOSE(CONTROL!$C$42, 52.1094, 52.1094) * CHOOSE(CONTROL!$C$21, $C$9, 100%, $E$9)</f>
        <v>52.109400000000001</v>
      </c>
      <c r="L836" s="10">
        <f>CHOOSE(CONTROL!$C$42, 52.9538, 52.9538) * CHOOSE(CONTROL!$C$21, $C$9, 100%, $E$9)</f>
        <v>52.953800000000001</v>
      </c>
      <c r="M836" s="10">
        <f>CHOOSE(CONTROL!$C$42, 51.5948, 51.5948) * CHOOSE(CONTROL!$C$21, $C$9, 100%, $E$9)</f>
        <v>51.594799999999999</v>
      </c>
      <c r="N836" s="10">
        <f>CHOOSE(CONTROL!$C$42, 51.6119, 51.6119) * CHOOSE(CONTROL!$C$21, $C$9, 100%, $E$9)</f>
        <v>51.611899999999999</v>
      </c>
      <c r="O836" s="10">
        <f>CHOOSE(CONTROL!$C$42, 51.8522, 51.8522) * CHOOSE(CONTROL!$C$21, $C$9, 100%, $E$9)</f>
        <v>51.852200000000003</v>
      </c>
      <c r="P836" s="10">
        <f>CHOOSE(CONTROL!$C$42, 51.6012, 51.6012) * CHOOSE(CONTROL!$C$21, $C$9, 100%, $E$9)</f>
        <v>51.601199999999999</v>
      </c>
      <c r="Q836" s="10">
        <f>CHOOSE(CONTROL!$C$42, 52.4475, 52.4475) * CHOOSE(CONTROL!$C$21, $C$9, 100%, $E$9)</f>
        <v>52.447499999999998</v>
      </c>
      <c r="R836" s="10">
        <f>CHOOSE(CONTROL!$C$42, 53.1656, 53.1656) * CHOOSE(CONTROL!$C$21, $C$9, 100%, $E$9)</f>
        <v>53.165599999999998</v>
      </c>
      <c r="S836" s="10">
        <f>CHOOSE(CONTROL!$C$42, 50.6354, 50.6354) * CHOOSE(CONTROL!$C$21, $C$9, 100%, $E$9)</f>
        <v>50.635399999999997</v>
      </c>
      <c r="T836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836" s="58">
        <f>(1000*CHOOSE(CONTROL!$C$42, 695, 695)*CHOOSE(CONTROL!$C$42, 0.5599, 0.5599)*CHOOSE(CONTROL!$C$42, 31, 31))/1000000</f>
        <v>12.063045499999998</v>
      </c>
      <c r="V836" s="58">
        <f>(1000*CHOOSE(CONTROL!$C$42, 500, 500)*CHOOSE(CONTROL!$C$42, 0.275, 0.275)*CHOOSE(CONTROL!$C$42, 31, 31))/1000000</f>
        <v>4.2625000000000002</v>
      </c>
      <c r="W836" s="58">
        <f>(1000*CHOOSE(CONTROL!$C$42, 0.1146, 0.1146)*CHOOSE(CONTROL!$C$42, 121.5, 121.5)*CHOOSE(CONTROL!$C$42, 31, 31))/1000000</f>
        <v>0.43164089999999994</v>
      </c>
      <c r="X836" s="58">
        <f>(31*0.1790888*245000/1000000)+(31*0.2374*100000/1000000)</f>
        <v>2.0961194359999999</v>
      </c>
      <c r="Y836" s="58"/>
      <c r="Z836" s="10"/>
      <c r="AA836" s="57"/>
      <c r="AB836" s="51">
        <f>(B836*194.205+C836*267.466+D836*133.845+E836*53.484+F836*40+G836*185+H836*0+I836*100+J836*300)/(194.205+267.466+133.845+53.484+0+40+185+100+300)</f>
        <v>52.163815435949758</v>
      </c>
      <c r="AC836" s="27">
        <f>(M836*'RAP TEMPLATE-GAS AVAILABILITY'!O835+N836*'RAP TEMPLATE-GAS AVAILABILITY'!P835+O836*'RAP TEMPLATE-GAS AVAILABILITY'!Q835+P836*'RAP TEMPLATE-GAS AVAILABILITY'!R835)/('RAP TEMPLATE-GAS AVAILABILITY'!O835+'RAP TEMPLATE-GAS AVAILABILITY'!P835+'RAP TEMPLATE-GAS AVAILABILITY'!Q835+'RAP TEMPLATE-GAS AVAILABILITY'!R835)</f>
        <v>51.713368345323751</v>
      </c>
    </row>
    <row r="837" spans="1:29" ht="15.75" x14ac:dyDescent="0.25">
      <c r="A837" s="13">
        <v>66384</v>
      </c>
      <c r="B837" s="10">
        <f>CHOOSE(CONTROL!$C$42, 48.836, 48.836) * CHOOSE(CONTROL!$C$21, $C$9, 100%, $E$9)</f>
        <v>48.835999999999999</v>
      </c>
      <c r="C837" s="10">
        <f>CHOOSE(CONTROL!$C$42, 48.8439, 48.8439) * CHOOSE(CONTROL!$C$21, $C$9, 100%, $E$9)</f>
        <v>48.843899999999998</v>
      </c>
      <c r="D837" s="10">
        <f>CHOOSE(CONTROL!$C$42, 49.0363, 49.0363) * CHOOSE(CONTROL!$C$21, $C$9, 100%, $E$9)</f>
        <v>49.036299999999997</v>
      </c>
      <c r="E837" s="10">
        <f>CHOOSE(CONTROL!$C$42, 49.0675, 49.0675) * CHOOSE(CONTROL!$C$21, $C$9, 100%, $E$9)</f>
        <v>49.067500000000003</v>
      </c>
      <c r="F837" s="10">
        <f>CHOOSE(CONTROL!$C$42, 48.8029, 48.8029)*CHOOSE(CONTROL!$C$21, $C$9, 100%, $E$9)</f>
        <v>48.802900000000001</v>
      </c>
      <c r="G837" s="10">
        <f>CHOOSE(CONTROL!$C$42, 48.8202, 48.8202)*CHOOSE(CONTROL!$C$21, $C$9, 100%, $E$9)</f>
        <v>48.8202</v>
      </c>
      <c r="H837" s="10">
        <f>CHOOSE(CONTROL!$C$42, 49.0561, 49.0561) * CHOOSE(CONTROL!$C$21, $C$9, 100%, $E$9)</f>
        <v>49.056100000000001</v>
      </c>
      <c r="I837" s="10">
        <f>CHOOSE(CONTROL!$C$42, 48.8026, 48.8026)* CHOOSE(CONTROL!$C$21, $C$9, 100%, $E$9)</f>
        <v>48.802599999999998</v>
      </c>
      <c r="J837" s="10">
        <f>CHOOSE(CONTROL!$C$42, 48.7959, 48.7959)* CHOOSE(CONTROL!$C$21, $C$9, 100%, $E$9)</f>
        <v>48.795900000000003</v>
      </c>
      <c r="K837" s="54">
        <f>CHOOSE(CONTROL!$C$42, 48.7987, 48.7987) * CHOOSE(CONTROL!$C$21, $C$9, 100%, $E$9)</f>
        <v>48.798699999999997</v>
      </c>
      <c r="L837" s="10">
        <f>CHOOSE(CONTROL!$C$42, 49.6431, 49.6431) * CHOOSE(CONTROL!$C$21, $C$9, 100%, $E$9)</f>
        <v>49.643099999999997</v>
      </c>
      <c r="M837" s="10">
        <f>CHOOSE(CONTROL!$C$42, 48.3173, 48.3173) * CHOOSE(CONTROL!$C$21, $C$9, 100%, $E$9)</f>
        <v>48.317300000000003</v>
      </c>
      <c r="N837" s="10">
        <f>CHOOSE(CONTROL!$C$42, 48.3344, 48.3344) * CHOOSE(CONTROL!$C$21, $C$9, 100%, $E$9)</f>
        <v>48.334400000000002</v>
      </c>
      <c r="O837" s="10">
        <f>CHOOSE(CONTROL!$C$42, 48.5749, 48.5749) * CHOOSE(CONTROL!$C$21, $C$9, 100%, $E$9)</f>
        <v>48.5749</v>
      </c>
      <c r="P837" s="10">
        <f>CHOOSE(CONTROL!$C$42, 48.3239, 48.3239) * CHOOSE(CONTROL!$C$21, $C$9, 100%, $E$9)</f>
        <v>48.323900000000002</v>
      </c>
      <c r="Q837" s="10">
        <f>CHOOSE(CONTROL!$C$42, 49.1702, 49.1702) * CHOOSE(CONTROL!$C$21, $C$9, 100%, $E$9)</f>
        <v>49.170200000000001</v>
      </c>
      <c r="R837" s="10">
        <f>CHOOSE(CONTROL!$C$42, 49.8801, 49.8801) * CHOOSE(CONTROL!$C$21, $C$9, 100%, $E$9)</f>
        <v>49.880099999999999</v>
      </c>
      <c r="S837" s="10">
        <f>CHOOSE(CONTROL!$C$42, 47.4204, 47.4204) * CHOOSE(CONTROL!$C$21, $C$9, 100%, $E$9)</f>
        <v>47.420400000000001</v>
      </c>
      <c r="T837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837" s="58">
        <f>(1000*CHOOSE(CONTROL!$C$42, 695, 695)*CHOOSE(CONTROL!$C$42, 0.5599, 0.5599)*CHOOSE(CONTROL!$C$42, 30, 30))/1000000</f>
        <v>11.673914999999997</v>
      </c>
      <c r="V837" s="58">
        <f>(1000*CHOOSE(CONTROL!$C$42, 500, 500)*CHOOSE(CONTROL!$C$42, 0.275, 0.275)*CHOOSE(CONTROL!$C$42, 30, 30))/1000000</f>
        <v>4.125</v>
      </c>
      <c r="W837" s="58">
        <f>(1000*CHOOSE(CONTROL!$C$42, 0.1146, 0.1146)*CHOOSE(CONTROL!$C$42, 121.5, 121.5)*CHOOSE(CONTROL!$C$42, 30, 30))/1000000</f>
        <v>0.417717</v>
      </c>
      <c r="X837" s="58">
        <f>(30*0.1790888*245000/1000000)+(30*0.2374*100000/1000000)</f>
        <v>2.0285026799999999</v>
      </c>
      <c r="Y837" s="58"/>
      <c r="Z837" s="10"/>
      <c r="AA837" s="57"/>
      <c r="AB837" s="51">
        <f>(B837*194.205+C837*267.466+D837*133.845+E837*53.484+F837*40+G837*185+H837*0+I837*100+J837*300)/(194.205+267.466+133.845+53.484+0+40+185+100+300)</f>
        <v>48.853022512480379</v>
      </c>
      <c r="AC837" s="27">
        <f>(M837*'RAP TEMPLATE-GAS AVAILABILITY'!O836+N837*'RAP TEMPLATE-GAS AVAILABILITY'!P836+O837*'RAP TEMPLATE-GAS AVAILABILITY'!Q836+P837*'RAP TEMPLATE-GAS AVAILABILITY'!R836)/('RAP TEMPLATE-GAS AVAILABILITY'!O836+'RAP TEMPLATE-GAS AVAILABILITY'!P836+'RAP TEMPLATE-GAS AVAILABILITY'!Q836+'RAP TEMPLATE-GAS AVAILABILITY'!R836)</f>
        <v>48.435987769784177</v>
      </c>
    </row>
    <row r="838" spans="1:29" ht="15.75" x14ac:dyDescent="0.25">
      <c r="A838" s="13">
        <v>66415</v>
      </c>
      <c r="B838" s="10">
        <f>CHOOSE(CONTROL!$C$42, 47.8428, 47.8428) * CHOOSE(CONTROL!$C$21, $C$9, 100%, $E$9)</f>
        <v>47.842799999999997</v>
      </c>
      <c r="C838" s="10">
        <f>CHOOSE(CONTROL!$C$42, 47.848, 47.848) * CHOOSE(CONTROL!$C$21, $C$9, 100%, $E$9)</f>
        <v>47.847999999999999</v>
      </c>
      <c r="D838" s="10">
        <f>CHOOSE(CONTROL!$C$42, 48.0454, 48.0454) * CHOOSE(CONTROL!$C$21, $C$9, 100%, $E$9)</f>
        <v>48.045400000000001</v>
      </c>
      <c r="E838" s="10">
        <f>CHOOSE(CONTROL!$C$42, 48.0742, 48.0742) * CHOOSE(CONTROL!$C$21, $C$9, 100%, $E$9)</f>
        <v>48.074199999999998</v>
      </c>
      <c r="F838" s="10">
        <f>CHOOSE(CONTROL!$C$42, 47.8117, 47.8117)*CHOOSE(CONTROL!$C$21, $C$9, 100%, $E$9)</f>
        <v>47.811700000000002</v>
      </c>
      <c r="G838" s="10">
        <f>CHOOSE(CONTROL!$C$42, 47.8286, 47.8286)*CHOOSE(CONTROL!$C$21, $C$9, 100%, $E$9)</f>
        <v>47.828600000000002</v>
      </c>
      <c r="H838" s="10">
        <f>CHOOSE(CONTROL!$C$42, 48.0646, 48.0646) * CHOOSE(CONTROL!$C$21, $C$9, 100%, $E$9)</f>
        <v>48.064599999999999</v>
      </c>
      <c r="I838" s="10">
        <f>CHOOSE(CONTROL!$C$42, 47.8111, 47.8111)* CHOOSE(CONTROL!$C$21, $C$9, 100%, $E$9)</f>
        <v>47.811100000000003</v>
      </c>
      <c r="J838" s="10">
        <f>CHOOSE(CONTROL!$C$42, 47.8047, 47.8047)* CHOOSE(CONTROL!$C$21, $C$9, 100%, $E$9)</f>
        <v>47.804699999999997</v>
      </c>
      <c r="K838" s="54">
        <f>CHOOSE(CONTROL!$C$42, 47.8072, 47.8072) * CHOOSE(CONTROL!$C$21, $C$9, 100%, $E$9)</f>
        <v>47.807200000000002</v>
      </c>
      <c r="L838" s="10">
        <f>CHOOSE(CONTROL!$C$42, 48.6516, 48.6516) * CHOOSE(CONTROL!$C$21, $C$9, 100%, $E$9)</f>
        <v>48.651600000000002</v>
      </c>
      <c r="M838" s="10">
        <f>CHOOSE(CONTROL!$C$42, 47.3361, 47.3361) * CHOOSE(CONTROL!$C$21, $C$9, 100%, $E$9)</f>
        <v>47.336100000000002</v>
      </c>
      <c r="N838" s="10">
        <f>CHOOSE(CONTROL!$C$42, 47.3529, 47.3529) * CHOOSE(CONTROL!$C$21, $C$9, 100%, $E$9)</f>
        <v>47.352899999999998</v>
      </c>
      <c r="O838" s="10">
        <f>CHOOSE(CONTROL!$C$42, 47.5934, 47.5934) * CHOOSE(CONTROL!$C$21, $C$9, 100%, $E$9)</f>
        <v>47.593400000000003</v>
      </c>
      <c r="P838" s="10">
        <f>CHOOSE(CONTROL!$C$42, 47.3425, 47.3425) * CHOOSE(CONTROL!$C$21, $C$9, 100%, $E$9)</f>
        <v>47.342500000000001</v>
      </c>
      <c r="Q838" s="10">
        <f>CHOOSE(CONTROL!$C$42, 48.1887, 48.1887) * CHOOSE(CONTROL!$C$21, $C$9, 100%, $E$9)</f>
        <v>48.188699999999997</v>
      </c>
      <c r="R838" s="10">
        <f>CHOOSE(CONTROL!$C$42, 48.8962, 48.8962) * CHOOSE(CONTROL!$C$21, $C$9, 100%, $E$9)</f>
        <v>48.8962</v>
      </c>
      <c r="S838" s="10">
        <f>CHOOSE(CONTROL!$C$42, 46.4576, 46.4576) * CHOOSE(CONTROL!$C$21, $C$9, 100%, $E$9)</f>
        <v>46.457599999999999</v>
      </c>
      <c r="T838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838" s="58">
        <f>(1000*CHOOSE(CONTROL!$C$42, 695, 695)*CHOOSE(CONTROL!$C$42, 0.5599, 0.5599)*CHOOSE(CONTROL!$C$42, 31, 31))/1000000</f>
        <v>12.063045499999998</v>
      </c>
      <c r="V838" s="58">
        <f>(1000*CHOOSE(CONTROL!$C$42, 500, 500)*CHOOSE(CONTROL!$C$42, 0.275, 0.275)*CHOOSE(CONTROL!$C$42, 31, 31))/1000000</f>
        <v>4.2625000000000002</v>
      </c>
      <c r="W838" s="58">
        <f>(1000*CHOOSE(CONTROL!$C$42, 0.1146, 0.1146)*CHOOSE(CONTROL!$C$42, 121.5, 121.5)*CHOOSE(CONTROL!$C$42, 31, 31))/1000000</f>
        <v>0.43164089999999994</v>
      </c>
      <c r="X838" s="58">
        <f>(31*0.1790888*245000/1000000)+(31*0.2374*100000/1000000)</f>
        <v>2.0961194359999999</v>
      </c>
      <c r="Y838" s="58"/>
      <c r="Z838" s="10"/>
      <c r="AA838" s="57"/>
      <c r="AB838" s="51">
        <f>(B838*131.881+C838*277.167+D838*79.08+E838*125.872+F838*40+G838*185+H838*0+I838*100+J838*300)/(131.881+277.167+79.08+125.872+0+40+185+100+300)</f>
        <v>47.865494638579499</v>
      </c>
      <c r="AC838" s="27">
        <f>(M838*'RAP TEMPLATE-GAS AVAILABILITY'!O837+N838*'RAP TEMPLATE-GAS AVAILABILITY'!P837+O838*'RAP TEMPLATE-GAS AVAILABILITY'!Q837+P838*'RAP TEMPLATE-GAS AVAILABILITY'!R837)/('RAP TEMPLATE-GAS AVAILABILITY'!O837+'RAP TEMPLATE-GAS AVAILABILITY'!P837+'RAP TEMPLATE-GAS AVAILABILITY'!Q837+'RAP TEMPLATE-GAS AVAILABILITY'!R837)</f>
        <v>47.454605755395683</v>
      </c>
    </row>
    <row r="839" spans="1:29" ht="15.75" x14ac:dyDescent="0.25">
      <c r="A839" s="13">
        <v>66445</v>
      </c>
      <c r="B839" s="10">
        <f>CHOOSE(CONTROL!$C$42, 49.1027, 49.1027) * CHOOSE(CONTROL!$C$21, $C$9, 100%, $E$9)</f>
        <v>49.102699999999999</v>
      </c>
      <c r="C839" s="10">
        <f>CHOOSE(CONTROL!$C$42, 49.1076, 49.1076) * CHOOSE(CONTROL!$C$21, $C$9, 100%, $E$9)</f>
        <v>49.107599999999998</v>
      </c>
      <c r="D839" s="10">
        <f>CHOOSE(CONTROL!$C$42, 49.1372, 49.1372) * CHOOSE(CONTROL!$C$21, $C$9, 100%, $E$9)</f>
        <v>49.1372</v>
      </c>
      <c r="E839" s="10">
        <f>CHOOSE(CONTROL!$C$42, 49.171, 49.171) * CHOOSE(CONTROL!$C$21, $C$9, 100%, $E$9)</f>
        <v>49.170999999999999</v>
      </c>
      <c r="F839" s="10">
        <f>CHOOSE(CONTROL!$C$42, 49.0695, 49.0695)*CHOOSE(CONTROL!$C$21, $C$9, 100%, $E$9)</f>
        <v>49.069499999999998</v>
      </c>
      <c r="G839" s="10">
        <f>CHOOSE(CONTROL!$C$42, 49.0866, 49.0866)*CHOOSE(CONTROL!$C$21, $C$9, 100%, $E$9)</f>
        <v>49.086599999999997</v>
      </c>
      <c r="H839" s="10">
        <f>CHOOSE(CONTROL!$C$42, 49.1602, 49.1602) * CHOOSE(CONTROL!$C$21, $C$9, 100%, $E$9)</f>
        <v>49.160200000000003</v>
      </c>
      <c r="I839" s="10">
        <f>CHOOSE(CONTROL!$C$42, 49.0663, 49.0663)* CHOOSE(CONTROL!$C$21, $C$9, 100%, $E$9)</f>
        <v>49.066299999999998</v>
      </c>
      <c r="J839" s="10">
        <f>CHOOSE(CONTROL!$C$42, 49.0625, 49.0625)* CHOOSE(CONTROL!$C$21, $C$9, 100%, $E$9)</f>
        <v>49.0625</v>
      </c>
      <c r="K839" s="54">
        <f>CHOOSE(CONTROL!$C$42, 49.0624, 49.0624) * CHOOSE(CONTROL!$C$21, $C$9, 100%, $E$9)</f>
        <v>49.062399999999997</v>
      </c>
      <c r="L839" s="10">
        <f>CHOOSE(CONTROL!$C$42, 49.7472, 49.7472) * CHOOSE(CONTROL!$C$21, $C$9, 100%, $E$9)</f>
        <v>49.747199999999999</v>
      </c>
      <c r="M839" s="10">
        <f>CHOOSE(CONTROL!$C$42, 48.5812, 48.5812) * CHOOSE(CONTROL!$C$21, $C$9, 100%, $E$9)</f>
        <v>48.581200000000003</v>
      </c>
      <c r="N839" s="10">
        <f>CHOOSE(CONTROL!$C$42, 48.5981, 48.5981) * CHOOSE(CONTROL!$C$21, $C$9, 100%, $E$9)</f>
        <v>48.598100000000002</v>
      </c>
      <c r="O839" s="10">
        <f>CHOOSE(CONTROL!$C$42, 48.6779, 48.6779) * CHOOSE(CONTROL!$C$21, $C$9, 100%, $E$9)</f>
        <v>48.677900000000001</v>
      </c>
      <c r="P839" s="10">
        <f>CHOOSE(CONTROL!$C$42, 48.585, 48.585) * CHOOSE(CONTROL!$C$21, $C$9, 100%, $E$9)</f>
        <v>48.585000000000001</v>
      </c>
      <c r="Q839" s="10">
        <f>CHOOSE(CONTROL!$C$42, 49.2732, 49.2732) * CHOOSE(CONTROL!$C$21, $C$9, 100%, $E$9)</f>
        <v>49.273200000000003</v>
      </c>
      <c r="R839" s="10">
        <f>CHOOSE(CONTROL!$C$42, 49.9834, 49.9834) * CHOOSE(CONTROL!$C$21, $C$9, 100%, $E$9)</f>
        <v>49.983400000000003</v>
      </c>
      <c r="S839" s="10">
        <f>CHOOSE(CONTROL!$C$42, 47.6815, 47.6815) * CHOOSE(CONTROL!$C$21, $C$9, 100%, $E$9)</f>
        <v>47.6815</v>
      </c>
      <c r="T839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839" s="58">
        <f>(1000*CHOOSE(CONTROL!$C$42, 695, 695)*CHOOSE(CONTROL!$C$42, 0.5599, 0.5599)*CHOOSE(CONTROL!$C$42, 30, 30))/1000000</f>
        <v>11.673914999999997</v>
      </c>
      <c r="V839" s="58">
        <f>(1000*CHOOSE(CONTROL!$C$42, 500, 500)*CHOOSE(CONTROL!$C$42, 0.275, 0.275)*CHOOSE(CONTROL!$C$42, 30, 30))/1000000</f>
        <v>4.125</v>
      </c>
      <c r="W839" s="58">
        <f>(1000*CHOOSE(CONTROL!$C$42, 0.1146, 0.1146)*CHOOSE(CONTROL!$C$42, 121.5, 121.5)*CHOOSE(CONTROL!$C$42, 30, 30))/1000000</f>
        <v>0.417717</v>
      </c>
      <c r="X839" s="58">
        <f>(30*0.1790888*100000/1000000)+(30*0.2374*100000/1000000)</f>
        <v>1.2494664</v>
      </c>
      <c r="Y839" s="58"/>
      <c r="Z839" s="10"/>
      <c r="AA839" s="57"/>
      <c r="AB839" s="51">
        <f>(B839*122.58+C839*297.941+D839*89.177+E839*40.302+F839*40+G839*160+H839*0+I839*100+J839*300)/(122.58+297.941+89.177+40.302+0+40+160+100+300)</f>
        <v>49.091991429565212</v>
      </c>
      <c r="AC839" s="27">
        <f>(M839*'RAP TEMPLATE-GAS AVAILABILITY'!O838+N839*'RAP TEMPLATE-GAS AVAILABILITY'!P838+O839*'RAP TEMPLATE-GAS AVAILABILITY'!Q838+P839*'RAP TEMPLATE-GAS AVAILABILITY'!R838)/('RAP TEMPLATE-GAS AVAILABILITY'!O838+'RAP TEMPLATE-GAS AVAILABILITY'!P838+'RAP TEMPLATE-GAS AVAILABILITY'!Q838+'RAP TEMPLATE-GAS AVAILABILITY'!R838)</f>
        <v>48.626547482014388</v>
      </c>
    </row>
    <row r="840" spans="1:29" ht="15.75" x14ac:dyDescent="0.25">
      <c r="A840" s="13">
        <v>66476</v>
      </c>
      <c r="B840" s="10">
        <f>CHOOSE(CONTROL!$C$42, 52.4503, 52.4503) * CHOOSE(CONTROL!$C$21, $C$9, 100%, $E$9)</f>
        <v>52.450299999999999</v>
      </c>
      <c r="C840" s="10">
        <f>CHOOSE(CONTROL!$C$42, 52.4552, 52.4552) * CHOOSE(CONTROL!$C$21, $C$9, 100%, $E$9)</f>
        <v>52.455199999999998</v>
      </c>
      <c r="D840" s="10">
        <f>CHOOSE(CONTROL!$C$42, 52.4848, 52.4848) * CHOOSE(CONTROL!$C$21, $C$9, 100%, $E$9)</f>
        <v>52.4848</v>
      </c>
      <c r="E840" s="10">
        <f>CHOOSE(CONTROL!$C$42, 52.5186, 52.5186) * CHOOSE(CONTROL!$C$21, $C$9, 100%, $E$9)</f>
        <v>52.518599999999999</v>
      </c>
      <c r="F840" s="10">
        <f>CHOOSE(CONTROL!$C$42, 52.4185, 52.4185)*CHOOSE(CONTROL!$C$21, $C$9, 100%, $E$9)</f>
        <v>52.418500000000002</v>
      </c>
      <c r="G840" s="10">
        <f>CHOOSE(CONTROL!$C$42, 52.436, 52.436)*CHOOSE(CONTROL!$C$21, $C$9, 100%, $E$9)</f>
        <v>52.436</v>
      </c>
      <c r="H840" s="10">
        <f>CHOOSE(CONTROL!$C$42, 52.5078, 52.5078) * CHOOSE(CONTROL!$C$21, $C$9, 100%, $E$9)</f>
        <v>52.507800000000003</v>
      </c>
      <c r="I840" s="10">
        <f>CHOOSE(CONTROL!$C$42, 52.4139, 52.4139)* CHOOSE(CONTROL!$C$21, $C$9, 100%, $E$9)</f>
        <v>52.413899999999998</v>
      </c>
      <c r="J840" s="10">
        <f>CHOOSE(CONTROL!$C$42, 52.4115, 52.4115)* CHOOSE(CONTROL!$C$21, $C$9, 100%, $E$9)</f>
        <v>52.411499999999997</v>
      </c>
      <c r="K840" s="54">
        <f>CHOOSE(CONTROL!$C$42, 52.41, 52.41) * CHOOSE(CONTROL!$C$21, $C$9, 100%, $E$9)</f>
        <v>52.41</v>
      </c>
      <c r="L840" s="10">
        <f>CHOOSE(CONTROL!$C$42, 53.0948, 53.0948) * CHOOSE(CONTROL!$C$21, $C$9, 100%, $E$9)</f>
        <v>53.094799999999999</v>
      </c>
      <c r="M840" s="10">
        <f>CHOOSE(CONTROL!$C$42, 51.8964, 51.8964) * CHOOSE(CONTROL!$C$21, $C$9, 100%, $E$9)</f>
        <v>51.8964</v>
      </c>
      <c r="N840" s="10">
        <f>CHOOSE(CONTROL!$C$42, 51.9137, 51.9137) * CHOOSE(CONTROL!$C$21, $C$9, 100%, $E$9)</f>
        <v>51.913699999999999</v>
      </c>
      <c r="O840" s="10">
        <f>CHOOSE(CONTROL!$C$42, 51.9917, 51.9917) * CHOOSE(CONTROL!$C$21, $C$9, 100%, $E$9)</f>
        <v>51.991700000000002</v>
      </c>
      <c r="P840" s="10">
        <f>CHOOSE(CONTROL!$C$42, 51.8988, 51.8988) * CHOOSE(CONTROL!$C$21, $C$9, 100%, $E$9)</f>
        <v>51.898800000000001</v>
      </c>
      <c r="Q840" s="10">
        <f>CHOOSE(CONTROL!$C$42, 52.587, 52.587) * CHOOSE(CONTROL!$C$21, $C$9, 100%, $E$9)</f>
        <v>52.587000000000003</v>
      </c>
      <c r="R840" s="10">
        <f>CHOOSE(CONTROL!$C$42, 53.3055, 53.3055) * CHOOSE(CONTROL!$C$21, $C$9, 100%, $E$9)</f>
        <v>53.305500000000002</v>
      </c>
      <c r="S840" s="10">
        <f>CHOOSE(CONTROL!$C$42, 50.9323, 50.9323) * CHOOSE(CONTROL!$C$21, $C$9, 100%, $E$9)</f>
        <v>50.932299999999998</v>
      </c>
      <c r="T840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840" s="58">
        <f>(1000*CHOOSE(CONTROL!$C$42, 695, 695)*CHOOSE(CONTROL!$C$42, 0.5599, 0.5599)*CHOOSE(CONTROL!$C$42, 31, 31))/1000000</f>
        <v>12.063045499999998</v>
      </c>
      <c r="V840" s="58">
        <f>(1000*CHOOSE(CONTROL!$C$42, 500, 500)*CHOOSE(CONTROL!$C$42, 0.275, 0.275)*CHOOSE(CONTROL!$C$42, 31, 31))/1000000</f>
        <v>4.2625000000000002</v>
      </c>
      <c r="W840" s="58">
        <f>(1000*CHOOSE(CONTROL!$C$42, 0.1146, 0.1146)*CHOOSE(CONTROL!$C$42, 121.5, 121.5)*CHOOSE(CONTROL!$C$42, 31, 31))/1000000</f>
        <v>0.43164089999999994</v>
      </c>
      <c r="X840" s="58">
        <f>(31*0.1790888*100000/1000000)+(31*0.2374*100000/1000000)</f>
        <v>1.2911152800000001</v>
      </c>
      <c r="Y840" s="58"/>
      <c r="Z840" s="10"/>
      <c r="AA840" s="57"/>
      <c r="AB840" s="51">
        <f>(B840*122.58+C840*297.941+D840*89.177+E840*40.302+F840*40+G840*160+H840*0+I840*100+J840*300)/(122.58+297.941+89.177+40.302+0+40+160+100+300)</f>
        <v>52.4402557773913</v>
      </c>
      <c r="AC840" s="27">
        <f>(M840*'RAP TEMPLATE-GAS AVAILABILITY'!O839+N840*'RAP TEMPLATE-GAS AVAILABILITY'!P839+O840*'RAP TEMPLATE-GAS AVAILABILITY'!Q839+P840*'RAP TEMPLATE-GAS AVAILABILITY'!R839)/('RAP TEMPLATE-GAS AVAILABILITY'!O839+'RAP TEMPLATE-GAS AVAILABILITY'!P839+'RAP TEMPLATE-GAS AVAILABILITY'!Q839+'RAP TEMPLATE-GAS AVAILABILITY'!R839)</f>
        <v>51.940934532374101</v>
      </c>
    </row>
    <row r="841" spans="1:29" ht="15.75" x14ac:dyDescent="0.25">
      <c r="A841" s="13">
        <v>66507</v>
      </c>
      <c r="B841" s="10">
        <f>CHOOSE(CONTROL!$C$42, 56.7476, 56.7476) * CHOOSE(CONTROL!$C$21, $C$9, 100%, $E$9)</f>
        <v>56.747599999999998</v>
      </c>
      <c r="C841" s="10">
        <f>CHOOSE(CONTROL!$C$42, 56.7526, 56.7526) * CHOOSE(CONTROL!$C$21, $C$9, 100%, $E$9)</f>
        <v>56.752600000000001</v>
      </c>
      <c r="D841" s="10">
        <f>CHOOSE(CONTROL!$C$42, 56.8028, 56.8028) * CHOOSE(CONTROL!$C$21, $C$9, 100%, $E$9)</f>
        <v>56.802799999999998</v>
      </c>
      <c r="E841" s="10">
        <f>CHOOSE(CONTROL!$C$42, 56.8366, 56.8366) * CHOOSE(CONTROL!$C$21, $C$9, 100%, $E$9)</f>
        <v>56.836599999999997</v>
      </c>
      <c r="F841" s="10">
        <f>CHOOSE(CONTROL!$C$42, 56.713, 56.713)*CHOOSE(CONTROL!$C$21, $C$9, 100%, $E$9)</f>
        <v>56.713000000000001</v>
      </c>
      <c r="G841" s="10">
        <f>CHOOSE(CONTROL!$C$42, 56.7306, 56.7306)*CHOOSE(CONTROL!$C$21, $C$9, 100%, $E$9)</f>
        <v>56.730600000000003</v>
      </c>
      <c r="H841" s="10">
        <f>CHOOSE(CONTROL!$C$42, 56.8258, 56.8258) * CHOOSE(CONTROL!$C$21, $C$9, 100%, $E$9)</f>
        <v>56.825800000000001</v>
      </c>
      <c r="I841" s="10">
        <f>CHOOSE(CONTROL!$C$42, 56.7215, 56.7215)* CHOOSE(CONTROL!$C$21, $C$9, 100%, $E$9)</f>
        <v>56.721499999999999</v>
      </c>
      <c r="J841" s="10">
        <f>CHOOSE(CONTROL!$C$42, 56.706, 56.706)* CHOOSE(CONTROL!$C$21, $C$9, 100%, $E$9)</f>
        <v>56.706000000000003</v>
      </c>
      <c r="K841" s="54">
        <f>CHOOSE(CONTROL!$C$42, 56.7176, 56.7176) * CHOOSE(CONTROL!$C$21, $C$9, 100%, $E$9)</f>
        <v>56.717599999999997</v>
      </c>
      <c r="L841" s="10">
        <f>CHOOSE(CONTROL!$C$42, 57.4128, 57.4128) * CHOOSE(CONTROL!$C$21, $C$9, 100%, $E$9)</f>
        <v>57.412799999999997</v>
      </c>
      <c r="M841" s="10">
        <f>CHOOSE(CONTROL!$C$42, 56.1476, 56.1476) * CHOOSE(CONTROL!$C$21, $C$9, 100%, $E$9)</f>
        <v>56.147599999999997</v>
      </c>
      <c r="N841" s="10">
        <f>CHOOSE(CONTROL!$C$42, 56.1649, 56.1649) * CHOOSE(CONTROL!$C$21, $C$9, 100%, $E$9)</f>
        <v>56.164900000000003</v>
      </c>
      <c r="O841" s="10">
        <f>CHOOSE(CONTROL!$C$42, 56.2661, 56.2661) * CHOOSE(CONTROL!$C$21, $C$9, 100%, $E$9)</f>
        <v>56.266100000000002</v>
      </c>
      <c r="P841" s="10">
        <f>CHOOSE(CONTROL!$C$42, 56.163, 56.163) * CHOOSE(CONTROL!$C$21, $C$9, 100%, $E$9)</f>
        <v>56.162999999999997</v>
      </c>
      <c r="Q841" s="10">
        <f>CHOOSE(CONTROL!$C$42, 56.8614, 56.8614) * CHOOSE(CONTROL!$C$21, $C$9, 100%, $E$9)</f>
        <v>56.861400000000003</v>
      </c>
      <c r="R841" s="10">
        <f>CHOOSE(CONTROL!$C$42, 57.5906, 57.5906) * CHOOSE(CONTROL!$C$21, $C$9, 100%, $E$9)</f>
        <v>57.590600000000002</v>
      </c>
      <c r="S841" s="10">
        <f>CHOOSE(CONTROL!$C$42, 55.1055, 55.1055) * CHOOSE(CONTROL!$C$21, $C$9, 100%, $E$9)</f>
        <v>55.105499999999999</v>
      </c>
      <c r="T841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841" s="58">
        <f>(1000*CHOOSE(CONTROL!$C$42, 695, 695)*CHOOSE(CONTROL!$C$42, 0.5599, 0.5599)*CHOOSE(CONTROL!$C$42, 31, 31))/1000000</f>
        <v>12.063045499999998</v>
      </c>
      <c r="V841" s="58">
        <f>(1000*CHOOSE(CONTROL!$C$42, 500, 500)*CHOOSE(CONTROL!$C$42, 0.275, 0.275)*CHOOSE(CONTROL!$C$42, 31, 31))/1000000</f>
        <v>4.2625000000000002</v>
      </c>
      <c r="W841" s="58">
        <f>(1000*CHOOSE(CONTROL!$C$42, 0.1146, 0.1146)*CHOOSE(CONTROL!$C$42, 121.5, 121.5)*CHOOSE(CONTROL!$C$42, 31, 31))/1000000</f>
        <v>0.43164089999999994</v>
      </c>
      <c r="X841" s="58">
        <f>(31*0.1790888*100000/1000000)+(31*0.2374*100000/1000000)</f>
        <v>1.2911152800000001</v>
      </c>
      <c r="Y841" s="58"/>
      <c r="Z841" s="10"/>
      <c r="AA841" s="57"/>
      <c r="AB841" s="51">
        <f>(B841*122.58+C841*297.941+D841*89.177+E841*40.302+F841*40+G841*160+H841*0+I841*100+J841*300)/(122.58+297.941+89.177+40.302+0+40+160+100+300)</f>
        <v>56.739604481217391</v>
      </c>
      <c r="AC841" s="27">
        <f>(M841*'RAP TEMPLATE-GAS AVAILABILITY'!O840+N841*'RAP TEMPLATE-GAS AVAILABILITY'!P840+O841*'RAP TEMPLATE-GAS AVAILABILITY'!Q840+P841*'RAP TEMPLATE-GAS AVAILABILITY'!R840)/('RAP TEMPLATE-GAS AVAILABILITY'!O840+'RAP TEMPLATE-GAS AVAILABILITY'!P840+'RAP TEMPLATE-GAS AVAILABILITY'!Q840+'RAP TEMPLATE-GAS AVAILABILITY'!R840)</f>
        <v>56.204520143884892</v>
      </c>
    </row>
    <row r="842" spans="1:29" ht="15.75" x14ac:dyDescent="0.25">
      <c r="A842" s="13">
        <v>66535</v>
      </c>
      <c r="B842" s="10">
        <f>CHOOSE(CONTROL!$C$42, 57.7578, 57.7578) * CHOOSE(CONTROL!$C$21, $C$9, 100%, $E$9)</f>
        <v>57.757800000000003</v>
      </c>
      <c r="C842" s="10">
        <f>CHOOSE(CONTROL!$C$42, 57.7627, 57.7627) * CHOOSE(CONTROL!$C$21, $C$9, 100%, $E$9)</f>
        <v>57.762700000000002</v>
      </c>
      <c r="D842" s="10">
        <f>CHOOSE(CONTROL!$C$42, 57.8232, 57.8232) * CHOOSE(CONTROL!$C$21, $C$9, 100%, $E$9)</f>
        <v>57.8232</v>
      </c>
      <c r="E842" s="10">
        <f>CHOOSE(CONTROL!$C$42, 57.857, 57.857) * CHOOSE(CONTROL!$C$21, $C$9, 100%, $E$9)</f>
        <v>57.856999999999999</v>
      </c>
      <c r="F842" s="10">
        <f>CHOOSE(CONTROL!$C$42, 57.751, 57.751)*CHOOSE(CONTROL!$C$21, $C$9, 100%, $E$9)</f>
        <v>57.750999999999998</v>
      </c>
      <c r="G842" s="10">
        <f>CHOOSE(CONTROL!$C$42, 57.7683, 57.7683)*CHOOSE(CONTROL!$C$21, $C$9, 100%, $E$9)</f>
        <v>57.768300000000004</v>
      </c>
      <c r="H842" s="10">
        <f>CHOOSE(CONTROL!$C$42, 57.8462, 57.8462) * CHOOSE(CONTROL!$C$21, $C$9, 100%, $E$9)</f>
        <v>57.846200000000003</v>
      </c>
      <c r="I842" s="10">
        <f>CHOOSE(CONTROL!$C$42, 57.7445, 57.7445)* CHOOSE(CONTROL!$C$21, $C$9, 100%, $E$9)</f>
        <v>57.744500000000002</v>
      </c>
      <c r="J842" s="10">
        <f>CHOOSE(CONTROL!$C$42, 57.744, 57.744)* CHOOSE(CONTROL!$C$21, $C$9, 100%, $E$9)</f>
        <v>57.744</v>
      </c>
      <c r="K842" s="54">
        <f>CHOOSE(CONTROL!$C$42, 57.7407, 57.7407) * CHOOSE(CONTROL!$C$21, $C$9, 100%, $E$9)</f>
        <v>57.740699999999997</v>
      </c>
      <c r="L842" s="10">
        <f>CHOOSE(CONTROL!$C$42, 58.4332, 58.4332) * CHOOSE(CONTROL!$C$21, $C$9, 100%, $E$9)</f>
        <v>58.433199999999999</v>
      </c>
      <c r="M842" s="10">
        <f>CHOOSE(CONTROL!$C$42, 57.1751, 57.1751) * CHOOSE(CONTROL!$C$21, $C$9, 100%, $E$9)</f>
        <v>57.1751</v>
      </c>
      <c r="N842" s="10">
        <f>CHOOSE(CONTROL!$C$42, 57.1922, 57.1922) * CHOOSE(CONTROL!$C$21, $C$9, 100%, $E$9)</f>
        <v>57.1922</v>
      </c>
      <c r="O842" s="10">
        <f>CHOOSE(CONTROL!$C$42, 57.2763, 57.2763) * CHOOSE(CONTROL!$C$21, $C$9, 100%, $E$9)</f>
        <v>57.276299999999999</v>
      </c>
      <c r="P842" s="10">
        <f>CHOOSE(CONTROL!$C$42, 57.1757, 57.1757) * CHOOSE(CONTROL!$C$21, $C$9, 100%, $E$9)</f>
        <v>57.175699999999999</v>
      </c>
      <c r="Q842" s="10">
        <f>CHOOSE(CONTROL!$C$42, 57.8716, 57.8716) * CHOOSE(CONTROL!$C$21, $C$9, 100%, $E$9)</f>
        <v>57.871600000000001</v>
      </c>
      <c r="R842" s="10">
        <f>CHOOSE(CONTROL!$C$42, 58.6032, 58.6032) * CHOOSE(CONTROL!$C$21, $C$9, 100%, $E$9)</f>
        <v>58.603200000000001</v>
      </c>
      <c r="S842" s="10">
        <f>CHOOSE(CONTROL!$C$42, 56.0864, 56.0864) * CHOOSE(CONTROL!$C$21, $C$9, 100%, $E$9)</f>
        <v>56.086399999999998</v>
      </c>
      <c r="T842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842" s="58">
        <f>(1000*CHOOSE(CONTROL!$C$42, 695, 695)*CHOOSE(CONTROL!$C$42, 0.5599, 0.5599)*CHOOSE(CONTROL!$C$42, 28, 28))/1000000</f>
        <v>10.895653999999999</v>
      </c>
      <c r="V842" s="58">
        <f>(1000*CHOOSE(CONTROL!$C$42, 500, 500)*CHOOSE(CONTROL!$C$42, 0.275, 0.275)*CHOOSE(CONTROL!$C$42, 28, 28))/1000000</f>
        <v>3.85</v>
      </c>
      <c r="W842" s="58">
        <f>(1000*CHOOSE(CONTROL!$C$42, 0.1146, 0.1146)*CHOOSE(CONTROL!$C$42, 121.5, 121.5)*CHOOSE(CONTROL!$C$42, 28, 28))/1000000</f>
        <v>0.38986920000000003</v>
      </c>
      <c r="X842" s="58">
        <f>(28*0.1790888*100000/1000000)+(28*0.2374*100000/1000000)</f>
        <v>1.16616864</v>
      </c>
      <c r="Y842" s="58"/>
      <c r="Z842" s="10"/>
      <c r="AA842" s="57"/>
      <c r="AB842" s="51">
        <f>(B842*122.58+C842*297.941+D842*89.177+E842*40.302+F842*40+G842*160+H842*0+I842*100+J842*300)/(122.58+297.941+89.177+40.302+0+40+160+100+300)</f>
        <v>57.764085256608695</v>
      </c>
      <c r="AC842" s="27">
        <f>(M842*'RAP TEMPLATE-GAS AVAILABILITY'!O841+N842*'RAP TEMPLATE-GAS AVAILABILITY'!P841+O842*'RAP TEMPLATE-GAS AVAILABILITY'!Q841+P842*'RAP TEMPLATE-GAS AVAILABILITY'!R841)/('RAP TEMPLATE-GAS AVAILABILITY'!O841+'RAP TEMPLATE-GAS AVAILABILITY'!P841+'RAP TEMPLATE-GAS AVAILABILITY'!Q841+'RAP TEMPLATE-GAS AVAILABILITY'!R841)</f>
        <v>57.222038129496397</v>
      </c>
    </row>
    <row r="843" spans="1:29" ht="15.75" x14ac:dyDescent="0.25">
      <c r="A843" s="13">
        <v>66566</v>
      </c>
      <c r="B843" s="10">
        <f>CHOOSE(CONTROL!$C$42, 56.1181, 56.1181) * CHOOSE(CONTROL!$C$21, $C$9, 100%, $E$9)</f>
        <v>56.118099999999998</v>
      </c>
      <c r="C843" s="10">
        <f>CHOOSE(CONTROL!$C$42, 56.123, 56.123) * CHOOSE(CONTROL!$C$21, $C$9, 100%, $E$9)</f>
        <v>56.122999999999998</v>
      </c>
      <c r="D843" s="10">
        <f>CHOOSE(CONTROL!$C$42, 56.1835, 56.1835) * CHOOSE(CONTROL!$C$21, $C$9, 100%, $E$9)</f>
        <v>56.183500000000002</v>
      </c>
      <c r="E843" s="10">
        <f>CHOOSE(CONTROL!$C$42, 56.2173, 56.2173) * CHOOSE(CONTROL!$C$21, $C$9, 100%, $E$9)</f>
        <v>56.217300000000002</v>
      </c>
      <c r="F843" s="10">
        <f>CHOOSE(CONTROL!$C$42, 56.1058, 56.1058)*CHOOSE(CONTROL!$C$21, $C$9, 100%, $E$9)</f>
        <v>56.105800000000002</v>
      </c>
      <c r="G843" s="10">
        <f>CHOOSE(CONTROL!$C$42, 56.123, 56.123)*CHOOSE(CONTROL!$C$21, $C$9, 100%, $E$9)</f>
        <v>56.122999999999998</v>
      </c>
      <c r="H843" s="10">
        <f>CHOOSE(CONTROL!$C$42, 56.2065, 56.2065) * CHOOSE(CONTROL!$C$21, $C$9, 100%, $E$9)</f>
        <v>56.206499999999998</v>
      </c>
      <c r="I843" s="10">
        <f>CHOOSE(CONTROL!$C$42, 56.092, 56.092)* CHOOSE(CONTROL!$C$21, $C$9, 100%, $E$9)</f>
        <v>56.091999999999999</v>
      </c>
      <c r="J843" s="10">
        <f>CHOOSE(CONTROL!$C$42, 56.0988, 56.0988)* CHOOSE(CONTROL!$C$21, $C$9, 100%, $E$9)</f>
        <v>56.098799999999997</v>
      </c>
      <c r="K843" s="54">
        <f>CHOOSE(CONTROL!$C$42, 56.0881, 56.0881) * CHOOSE(CONTROL!$C$21, $C$9, 100%, $E$9)</f>
        <v>56.088099999999997</v>
      </c>
      <c r="L843" s="10">
        <f>CHOOSE(CONTROL!$C$42, 56.7935, 56.7935) * CHOOSE(CONTROL!$C$21, $C$9, 100%, $E$9)</f>
        <v>56.793500000000002</v>
      </c>
      <c r="M843" s="10">
        <f>CHOOSE(CONTROL!$C$42, 55.5465, 55.5465) * CHOOSE(CONTROL!$C$21, $C$9, 100%, $E$9)</f>
        <v>55.546500000000002</v>
      </c>
      <c r="N843" s="10">
        <f>CHOOSE(CONTROL!$C$42, 55.5635, 55.5635) * CHOOSE(CONTROL!$C$21, $C$9, 100%, $E$9)</f>
        <v>55.563499999999998</v>
      </c>
      <c r="O843" s="10">
        <f>CHOOSE(CONTROL!$C$42, 55.6531, 55.6531) * CHOOSE(CONTROL!$C$21, $C$9, 100%, $E$9)</f>
        <v>55.653100000000002</v>
      </c>
      <c r="P843" s="10">
        <f>CHOOSE(CONTROL!$C$42, 55.5398, 55.5398) * CHOOSE(CONTROL!$C$21, $C$9, 100%, $E$9)</f>
        <v>55.5398</v>
      </c>
      <c r="Q843" s="10">
        <f>CHOOSE(CONTROL!$C$42, 56.2484, 56.2484) * CHOOSE(CONTROL!$C$21, $C$9, 100%, $E$9)</f>
        <v>56.248399999999997</v>
      </c>
      <c r="R843" s="10">
        <f>CHOOSE(CONTROL!$C$42, 56.976, 56.976) * CHOOSE(CONTROL!$C$21, $C$9, 100%, $E$9)</f>
        <v>56.975999999999999</v>
      </c>
      <c r="S843" s="10">
        <f>CHOOSE(CONTROL!$C$42, 54.4941, 54.4941) * CHOOSE(CONTROL!$C$21, $C$9, 100%, $E$9)</f>
        <v>54.494100000000003</v>
      </c>
      <c r="T843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843" s="58">
        <f>(1000*CHOOSE(CONTROL!$C$42, 695, 695)*CHOOSE(CONTROL!$C$42, 0.5599, 0.5599)*CHOOSE(CONTROL!$C$42, 31, 31))/1000000</f>
        <v>12.063045499999998</v>
      </c>
      <c r="V843" s="58">
        <f>(1000*CHOOSE(CONTROL!$C$42, 500, 500)*CHOOSE(CONTROL!$C$42, 0.275, 0.275)*CHOOSE(CONTROL!$C$42, 31, 31))/1000000</f>
        <v>4.2625000000000002</v>
      </c>
      <c r="W843" s="58">
        <f>(1000*CHOOSE(CONTROL!$C$42, 0.1146, 0.1146)*CHOOSE(CONTROL!$C$42, 121.5, 121.5)*CHOOSE(CONTROL!$C$42, 31, 31))/1000000</f>
        <v>0.43164089999999994</v>
      </c>
      <c r="X843" s="58">
        <f>(31*0.1790888*100000/1000000)+(31*0.2374*100000/1000000)</f>
        <v>1.2911152800000001</v>
      </c>
      <c r="Y843" s="58"/>
      <c r="Z843" s="10"/>
      <c r="AA843" s="57"/>
      <c r="AB843" s="51">
        <f>(B843*122.58+C843*297.941+D843*89.177+E843*40.302+F843*40+G843*160+H843*0+I843*100+J843*300)/(122.58+297.941+89.177+40.302+0+40+160+100+300)</f>
        <v>56.120866995739121</v>
      </c>
      <c r="AC843" s="27">
        <f>(M843*'RAP TEMPLATE-GAS AVAILABILITY'!O842+N843*'RAP TEMPLATE-GAS AVAILABILITY'!P842+O843*'RAP TEMPLATE-GAS AVAILABILITY'!Q842+P843*'RAP TEMPLATE-GAS AVAILABILITY'!R842)/('RAP TEMPLATE-GAS AVAILABILITY'!O842+'RAP TEMPLATE-GAS AVAILABILITY'!P842+'RAP TEMPLATE-GAS AVAILABILITY'!Q842+'RAP TEMPLATE-GAS AVAILABILITY'!R842)</f>
        <v>55.594829496402873</v>
      </c>
    </row>
    <row r="844" spans="1:29" ht="15.75" x14ac:dyDescent="0.25">
      <c r="A844" s="13">
        <v>66596</v>
      </c>
      <c r="B844" s="10">
        <f>CHOOSE(CONTROL!$C$42, 55.9512, 55.9512) * CHOOSE(CONTROL!$C$21, $C$9, 100%, $E$9)</f>
        <v>55.9512</v>
      </c>
      <c r="C844" s="10">
        <f>CHOOSE(CONTROL!$C$42, 55.9556, 55.9556) * CHOOSE(CONTROL!$C$21, $C$9, 100%, $E$9)</f>
        <v>55.955599999999997</v>
      </c>
      <c r="D844" s="10">
        <f>CHOOSE(CONTROL!$C$42, 56.1512, 56.1512) * CHOOSE(CONTROL!$C$21, $C$9, 100%, $E$9)</f>
        <v>56.151200000000003</v>
      </c>
      <c r="E844" s="10">
        <f>CHOOSE(CONTROL!$C$42, 56.183, 56.183) * CHOOSE(CONTROL!$C$21, $C$9, 100%, $E$9)</f>
        <v>56.183</v>
      </c>
      <c r="F844" s="10">
        <f>CHOOSE(CONTROL!$C$42, 55.919, 55.919)*CHOOSE(CONTROL!$C$21, $C$9, 100%, $E$9)</f>
        <v>55.918999999999997</v>
      </c>
      <c r="G844" s="10">
        <f>CHOOSE(CONTROL!$C$42, 55.9358, 55.9358)*CHOOSE(CONTROL!$C$21, $C$9, 100%, $E$9)</f>
        <v>55.9358</v>
      </c>
      <c r="H844" s="10">
        <f>CHOOSE(CONTROL!$C$42, 56.1727, 56.1727) * CHOOSE(CONTROL!$C$21, $C$9, 100%, $E$9)</f>
        <v>56.172699999999999</v>
      </c>
      <c r="I844" s="10">
        <f>CHOOSE(CONTROL!$C$42, 55.9192, 55.9192)* CHOOSE(CONTROL!$C$21, $C$9, 100%, $E$9)</f>
        <v>55.919199999999996</v>
      </c>
      <c r="J844" s="10">
        <f>CHOOSE(CONTROL!$C$42, 55.912, 55.912)* CHOOSE(CONTROL!$C$21, $C$9, 100%, $E$9)</f>
        <v>55.911999999999999</v>
      </c>
      <c r="K844" s="54">
        <f>CHOOSE(CONTROL!$C$42, 55.9153, 55.9153) * CHOOSE(CONTROL!$C$21, $C$9, 100%, $E$9)</f>
        <v>55.915300000000002</v>
      </c>
      <c r="L844" s="10">
        <f>CHOOSE(CONTROL!$C$42, 56.7597, 56.7597) * CHOOSE(CONTROL!$C$21, $C$9, 100%, $E$9)</f>
        <v>56.759700000000002</v>
      </c>
      <c r="M844" s="10">
        <f>CHOOSE(CONTROL!$C$42, 55.3616, 55.3616) * CHOOSE(CONTROL!$C$21, $C$9, 100%, $E$9)</f>
        <v>55.361600000000003</v>
      </c>
      <c r="N844" s="10">
        <f>CHOOSE(CONTROL!$C$42, 55.3782, 55.3782) * CHOOSE(CONTROL!$C$21, $C$9, 100%, $E$9)</f>
        <v>55.3782</v>
      </c>
      <c r="O844" s="10">
        <f>CHOOSE(CONTROL!$C$42, 55.6197, 55.6197) * CHOOSE(CONTROL!$C$21, $C$9, 100%, $E$9)</f>
        <v>55.619700000000002</v>
      </c>
      <c r="P844" s="10">
        <f>CHOOSE(CONTROL!$C$42, 55.3687, 55.3687) * CHOOSE(CONTROL!$C$21, $C$9, 100%, $E$9)</f>
        <v>55.368699999999997</v>
      </c>
      <c r="Q844" s="10">
        <f>CHOOSE(CONTROL!$C$42, 56.215, 56.215) * CHOOSE(CONTROL!$C$21, $C$9, 100%, $E$9)</f>
        <v>56.215000000000003</v>
      </c>
      <c r="R844" s="10">
        <f>CHOOSE(CONTROL!$C$42, 56.9425, 56.9425) * CHOOSE(CONTROL!$C$21, $C$9, 100%, $E$9)</f>
        <v>56.942500000000003</v>
      </c>
      <c r="S844" s="10">
        <f>CHOOSE(CONTROL!$C$42, 54.3313, 54.3313) * CHOOSE(CONTROL!$C$21, $C$9, 100%, $E$9)</f>
        <v>54.331299999999999</v>
      </c>
      <c r="T844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844" s="58">
        <f>(1000*CHOOSE(CONTROL!$C$42, 695, 695)*CHOOSE(CONTROL!$C$42, 0.5599, 0.5599)*CHOOSE(CONTROL!$C$42, 30, 30))/1000000</f>
        <v>11.673914999999997</v>
      </c>
      <c r="V844" s="58">
        <f>(1000*CHOOSE(CONTROL!$C$42, 500, 500)*CHOOSE(CONTROL!$C$42, 0.275, 0.275)*CHOOSE(CONTROL!$C$42, 30, 30))/1000000</f>
        <v>4.125</v>
      </c>
      <c r="W844" s="58">
        <f>(1000*CHOOSE(CONTROL!$C$42, 0.1146, 0.1146)*CHOOSE(CONTROL!$C$42, 121.5, 121.5)*CHOOSE(CONTROL!$C$42, 30, 30))/1000000</f>
        <v>0.417717</v>
      </c>
      <c r="X844" s="58">
        <f>(30*0.1790888*245000/1000000)+(30*0.2374*100000/1000000)</f>
        <v>2.0285026799999999</v>
      </c>
      <c r="Y844" s="58"/>
      <c r="Z844" s="10"/>
      <c r="AA844" s="57"/>
      <c r="AB844" s="51">
        <f>(B844*141.293+C844*267.993+D844*115.016+E844*89.698+F844*40+G844*185+H844*0+I844*100+J844*300)/(141.293+267.993+115.016+89.698+0+40+185+100+300)</f>
        <v>55.972085686521389</v>
      </c>
      <c r="AC844" s="27">
        <f>(M844*'RAP TEMPLATE-GAS AVAILABILITY'!O843+N844*'RAP TEMPLATE-GAS AVAILABILITY'!P843+O844*'RAP TEMPLATE-GAS AVAILABILITY'!Q843+P844*'RAP TEMPLATE-GAS AVAILABILITY'!R843)/('RAP TEMPLATE-GAS AVAILABILITY'!O843+'RAP TEMPLATE-GAS AVAILABILITY'!P843+'RAP TEMPLATE-GAS AVAILABILITY'!Q843+'RAP TEMPLATE-GAS AVAILABILITY'!R843)</f>
        <v>55.480557553956835</v>
      </c>
    </row>
    <row r="845" spans="1:29" ht="15.75" x14ac:dyDescent="0.25">
      <c r="A845" s="13">
        <v>66627</v>
      </c>
      <c r="B845" s="10">
        <f>CHOOSE(CONTROL!$C$42, 56.4464, 56.4464) * CHOOSE(CONTROL!$C$21, $C$9, 100%, $E$9)</f>
        <v>56.446399999999997</v>
      </c>
      <c r="C845" s="10">
        <f>CHOOSE(CONTROL!$C$42, 56.4543, 56.4543) * CHOOSE(CONTROL!$C$21, $C$9, 100%, $E$9)</f>
        <v>56.454300000000003</v>
      </c>
      <c r="D845" s="10">
        <f>CHOOSE(CONTROL!$C$42, 56.6468, 56.6468) * CHOOSE(CONTROL!$C$21, $C$9, 100%, $E$9)</f>
        <v>56.646799999999999</v>
      </c>
      <c r="E845" s="10">
        <f>CHOOSE(CONTROL!$C$42, 56.6779, 56.6779) * CHOOSE(CONTROL!$C$21, $C$9, 100%, $E$9)</f>
        <v>56.677900000000001</v>
      </c>
      <c r="F845" s="10">
        <f>CHOOSE(CONTROL!$C$42, 56.4127, 56.4127)*CHOOSE(CONTROL!$C$21, $C$9, 100%, $E$9)</f>
        <v>56.412700000000001</v>
      </c>
      <c r="G845" s="10">
        <f>CHOOSE(CONTROL!$C$42, 56.4298, 56.4298)*CHOOSE(CONTROL!$C$21, $C$9, 100%, $E$9)</f>
        <v>56.4298</v>
      </c>
      <c r="H845" s="10">
        <f>CHOOSE(CONTROL!$C$42, 56.6665, 56.6665) * CHOOSE(CONTROL!$C$21, $C$9, 100%, $E$9)</f>
        <v>56.666499999999999</v>
      </c>
      <c r="I845" s="10">
        <f>CHOOSE(CONTROL!$C$42, 56.413, 56.413)* CHOOSE(CONTROL!$C$21, $C$9, 100%, $E$9)</f>
        <v>56.412999999999997</v>
      </c>
      <c r="J845" s="10">
        <f>CHOOSE(CONTROL!$C$42, 56.4057, 56.4057)* CHOOSE(CONTROL!$C$21, $C$9, 100%, $E$9)</f>
        <v>56.405700000000003</v>
      </c>
      <c r="K845" s="54">
        <f>CHOOSE(CONTROL!$C$42, 56.4091, 56.4091) * CHOOSE(CONTROL!$C$21, $C$9, 100%, $E$9)</f>
        <v>56.409100000000002</v>
      </c>
      <c r="L845" s="10">
        <f>CHOOSE(CONTROL!$C$42, 57.2535, 57.2535) * CHOOSE(CONTROL!$C$21, $C$9, 100%, $E$9)</f>
        <v>57.253500000000003</v>
      </c>
      <c r="M845" s="10">
        <f>CHOOSE(CONTROL!$C$42, 55.8503, 55.8503) * CHOOSE(CONTROL!$C$21, $C$9, 100%, $E$9)</f>
        <v>55.850299999999997</v>
      </c>
      <c r="N845" s="10">
        <f>CHOOSE(CONTROL!$C$42, 55.8672, 55.8672) * CHOOSE(CONTROL!$C$21, $C$9, 100%, $E$9)</f>
        <v>55.867199999999997</v>
      </c>
      <c r="O845" s="10">
        <f>CHOOSE(CONTROL!$C$42, 56.1085, 56.1085) * CHOOSE(CONTROL!$C$21, $C$9, 100%, $E$9)</f>
        <v>56.108499999999999</v>
      </c>
      <c r="P845" s="10">
        <f>CHOOSE(CONTROL!$C$42, 55.8576, 55.8576) * CHOOSE(CONTROL!$C$21, $C$9, 100%, $E$9)</f>
        <v>55.857599999999998</v>
      </c>
      <c r="Q845" s="10">
        <f>CHOOSE(CONTROL!$C$42, 56.7038, 56.7038) * CHOOSE(CONTROL!$C$21, $C$9, 100%, $E$9)</f>
        <v>56.703800000000001</v>
      </c>
      <c r="R845" s="10">
        <f>CHOOSE(CONTROL!$C$42, 57.4326, 57.4326) * CHOOSE(CONTROL!$C$21, $C$9, 100%, $E$9)</f>
        <v>57.432600000000001</v>
      </c>
      <c r="S845" s="10">
        <f>CHOOSE(CONTROL!$C$42, 54.8109, 54.8109) * CHOOSE(CONTROL!$C$21, $C$9, 100%, $E$9)</f>
        <v>54.810899999999997</v>
      </c>
      <c r="T845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845" s="58">
        <f>(1000*CHOOSE(CONTROL!$C$42, 695, 695)*CHOOSE(CONTROL!$C$42, 0.5599, 0.5599)*CHOOSE(CONTROL!$C$42, 31, 31))/1000000</f>
        <v>12.063045499999998</v>
      </c>
      <c r="V845" s="58">
        <f>(1000*CHOOSE(CONTROL!$C$42, 500, 500)*CHOOSE(CONTROL!$C$42, 0.275, 0.275)*CHOOSE(CONTROL!$C$42, 31, 31))/1000000</f>
        <v>4.2625000000000002</v>
      </c>
      <c r="W845" s="58">
        <f>(1000*CHOOSE(CONTROL!$C$42, 0.1146, 0.1146)*CHOOSE(CONTROL!$C$42, 121.5, 121.5)*CHOOSE(CONTROL!$C$42, 31, 31))/1000000</f>
        <v>0.43164089999999994</v>
      </c>
      <c r="X845" s="58">
        <f>(31*0.1790888*245000/1000000)+(31*0.2374*100000/1000000)</f>
        <v>2.0961194359999999</v>
      </c>
      <c r="Y845" s="58"/>
      <c r="Z845" s="10"/>
      <c r="AA845" s="57"/>
      <c r="AB845" s="51">
        <f>(B845*194.205+C845*267.466+D845*133.845+E845*53.484+F845*40+G845*185+H845*0+I845*100+J845*300)/(194.205+267.466+133.845+53.484+0+40+185+100+300)</f>
        <v>56.463156723233901</v>
      </c>
      <c r="AC845" s="27">
        <f>(M845*'RAP TEMPLATE-GAS AVAILABILITY'!O844+N845*'RAP TEMPLATE-GAS AVAILABILITY'!P844+O845*'RAP TEMPLATE-GAS AVAILABILITY'!Q844+P845*'RAP TEMPLATE-GAS AVAILABILITY'!R844)/('RAP TEMPLATE-GAS AVAILABILITY'!O844+'RAP TEMPLATE-GAS AVAILABILITY'!P844+'RAP TEMPLATE-GAS AVAILABILITY'!Q844+'RAP TEMPLATE-GAS AVAILABILITY'!R844)</f>
        <v>55.969348920863311</v>
      </c>
    </row>
    <row r="846" spans="1:29" ht="15.75" x14ac:dyDescent="0.25">
      <c r="A846" s="13">
        <v>66657</v>
      </c>
      <c r="B846" s="10">
        <f>CHOOSE(CONTROL!$C$42, 58.0474, 58.0474) * CHOOSE(CONTROL!$C$21, $C$9, 100%, $E$9)</f>
        <v>58.047400000000003</v>
      </c>
      <c r="C846" s="10">
        <f>CHOOSE(CONTROL!$C$42, 58.0554, 58.0554) * CHOOSE(CONTROL!$C$21, $C$9, 100%, $E$9)</f>
        <v>58.055399999999999</v>
      </c>
      <c r="D846" s="10">
        <f>CHOOSE(CONTROL!$C$42, 58.2478, 58.2478) * CHOOSE(CONTROL!$C$21, $C$9, 100%, $E$9)</f>
        <v>58.247799999999998</v>
      </c>
      <c r="E846" s="10">
        <f>CHOOSE(CONTROL!$C$42, 58.2789, 58.2789) * CHOOSE(CONTROL!$C$21, $C$9, 100%, $E$9)</f>
        <v>58.2789</v>
      </c>
      <c r="F846" s="10">
        <f>CHOOSE(CONTROL!$C$42, 58.0139, 58.0139)*CHOOSE(CONTROL!$C$21, $C$9, 100%, $E$9)</f>
        <v>58.0139</v>
      </c>
      <c r="G846" s="10">
        <f>CHOOSE(CONTROL!$C$42, 58.0311, 58.0311)*CHOOSE(CONTROL!$C$21, $C$9, 100%, $E$9)</f>
        <v>58.031100000000002</v>
      </c>
      <c r="H846" s="10">
        <f>CHOOSE(CONTROL!$C$42, 58.2676, 58.2676) * CHOOSE(CONTROL!$C$21, $C$9, 100%, $E$9)</f>
        <v>58.267600000000002</v>
      </c>
      <c r="I846" s="10">
        <f>CHOOSE(CONTROL!$C$42, 58.014, 58.014)* CHOOSE(CONTROL!$C$21, $C$9, 100%, $E$9)</f>
        <v>58.014000000000003</v>
      </c>
      <c r="J846" s="10">
        <f>CHOOSE(CONTROL!$C$42, 58.0069, 58.0069)* CHOOSE(CONTROL!$C$21, $C$9, 100%, $E$9)</f>
        <v>58.006900000000002</v>
      </c>
      <c r="K846" s="54">
        <f>CHOOSE(CONTROL!$C$42, 58.0101, 58.0101) * CHOOSE(CONTROL!$C$21, $C$9, 100%, $E$9)</f>
        <v>58.010100000000001</v>
      </c>
      <c r="L846" s="10">
        <f>CHOOSE(CONTROL!$C$42, 58.8546, 58.8546) * CHOOSE(CONTROL!$C$21, $C$9, 100%, $E$9)</f>
        <v>58.854599999999998</v>
      </c>
      <c r="M846" s="10">
        <f>CHOOSE(CONTROL!$C$42, 57.4354, 57.4354) * CHOOSE(CONTROL!$C$21, $C$9, 100%, $E$9)</f>
        <v>57.435400000000001</v>
      </c>
      <c r="N846" s="10">
        <f>CHOOSE(CONTROL!$C$42, 57.4524, 57.4524) * CHOOSE(CONTROL!$C$21, $C$9, 100%, $E$9)</f>
        <v>57.452399999999997</v>
      </c>
      <c r="O846" s="10">
        <f>CHOOSE(CONTROL!$C$42, 57.6934, 57.6934) * CHOOSE(CONTROL!$C$21, $C$9, 100%, $E$9)</f>
        <v>57.693399999999997</v>
      </c>
      <c r="P846" s="10">
        <f>CHOOSE(CONTROL!$C$42, 57.4424, 57.4424) * CHOOSE(CONTROL!$C$21, $C$9, 100%, $E$9)</f>
        <v>57.442399999999999</v>
      </c>
      <c r="Q846" s="10">
        <f>CHOOSE(CONTROL!$C$42, 58.2887, 58.2887) * CHOOSE(CONTROL!$C$21, $C$9, 100%, $E$9)</f>
        <v>58.288699999999999</v>
      </c>
      <c r="R846" s="10">
        <f>CHOOSE(CONTROL!$C$42, 59.0214, 59.0214) * CHOOSE(CONTROL!$C$21, $C$9, 100%, $E$9)</f>
        <v>59.0214</v>
      </c>
      <c r="S846" s="10">
        <f>CHOOSE(CONTROL!$C$42, 56.3656, 56.3656) * CHOOSE(CONTROL!$C$21, $C$9, 100%, $E$9)</f>
        <v>56.365600000000001</v>
      </c>
      <c r="T846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846" s="58">
        <f>(1000*CHOOSE(CONTROL!$C$42, 695, 695)*CHOOSE(CONTROL!$C$42, 0.5599, 0.5599)*CHOOSE(CONTROL!$C$42, 30, 30))/1000000</f>
        <v>11.673914999999997</v>
      </c>
      <c r="V846" s="58">
        <f>(1000*CHOOSE(CONTROL!$C$42, 500, 500)*CHOOSE(CONTROL!$C$42, 0.275, 0.275)*CHOOSE(CONTROL!$C$42, 30, 30))/1000000</f>
        <v>4.125</v>
      </c>
      <c r="W846" s="58">
        <f>(1000*CHOOSE(CONTROL!$C$42, 0.1146, 0.1146)*CHOOSE(CONTROL!$C$42, 121.5, 121.5)*CHOOSE(CONTROL!$C$42, 30, 30))/1000000</f>
        <v>0.417717</v>
      </c>
      <c r="X846" s="58">
        <f>(30*0.1790888*245000/1000000)+(30*0.2374*100000/1000000)</f>
        <v>2.0285026799999999</v>
      </c>
      <c r="Y846" s="58"/>
      <c r="Z846" s="10"/>
      <c r="AA846" s="57"/>
      <c r="AB846" s="51">
        <f>(B846*194.205+C846*267.466+D846*133.845+E846*53.484+F846*40+G846*185+H846*0+I846*100+J846*300)/(194.205+267.466+133.845+53.484+0+40+185+100+300)</f>
        <v>58.064274656200944</v>
      </c>
      <c r="AC846" s="27">
        <f>(M846*'RAP TEMPLATE-GAS AVAILABILITY'!O845+N846*'RAP TEMPLATE-GAS AVAILABILITY'!P845+O846*'RAP TEMPLATE-GAS AVAILABILITY'!Q845+P846*'RAP TEMPLATE-GAS AVAILABILITY'!R845)/('RAP TEMPLATE-GAS AVAILABILITY'!O845+'RAP TEMPLATE-GAS AVAILABILITY'!P845+'RAP TEMPLATE-GAS AVAILABILITY'!Q845+'RAP TEMPLATE-GAS AVAILABILITY'!R845)</f>
        <v>57.55432086330935</v>
      </c>
    </row>
    <row r="847" spans="1:29" ht="15.75" x14ac:dyDescent="0.25">
      <c r="A847" s="13">
        <v>66688</v>
      </c>
      <c r="B847" s="10">
        <f>CHOOSE(CONTROL!$C$42, 56.9339, 56.9339) * CHOOSE(CONTROL!$C$21, $C$9, 100%, $E$9)</f>
        <v>56.933900000000001</v>
      </c>
      <c r="C847" s="10">
        <f>CHOOSE(CONTROL!$C$42, 56.9418, 56.9418) * CHOOSE(CONTROL!$C$21, $C$9, 100%, $E$9)</f>
        <v>56.941800000000001</v>
      </c>
      <c r="D847" s="10">
        <f>CHOOSE(CONTROL!$C$42, 57.1343, 57.1343) * CHOOSE(CONTROL!$C$21, $C$9, 100%, $E$9)</f>
        <v>57.134300000000003</v>
      </c>
      <c r="E847" s="10">
        <f>CHOOSE(CONTROL!$C$42, 57.1654, 57.1654) * CHOOSE(CONTROL!$C$21, $C$9, 100%, $E$9)</f>
        <v>57.165399999999998</v>
      </c>
      <c r="F847" s="10">
        <f>CHOOSE(CONTROL!$C$42, 56.9008, 56.9008)*CHOOSE(CONTROL!$C$21, $C$9, 100%, $E$9)</f>
        <v>56.900799999999997</v>
      </c>
      <c r="G847" s="10">
        <f>CHOOSE(CONTROL!$C$42, 56.9181, 56.9181)*CHOOSE(CONTROL!$C$21, $C$9, 100%, $E$9)</f>
        <v>56.918100000000003</v>
      </c>
      <c r="H847" s="10">
        <f>CHOOSE(CONTROL!$C$42, 57.154, 57.154) * CHOOSE(CONTROL!$C$21, $C$9, 100%, $E$9)</f>
        <v>57.154000000000003</v>
      </c>
      <c r="I847" s="10">
        <f>CHOOSE(CONTROL!$C$42, 56.9005, 56.9005)* CHOOSE(CONTROL!$C$21, $C$9, 100%, $E$9)</f>
        <v>56.900500000000001</v>
      </c>
      <c r="J847" s="10">
        <f>CHOOSE(CONTROL!$C$42, 56.8938, 56.8938)* CHOOSE(CONTROL!$C$21, $C$9, 100%, $E$9)</f>
        <v>56.893799999999999</v>
      </c>
      <c r="K847" s="54">
        <f>CHOOSE(CONTROL!$C$42, 56.8966, 56.8966) * CHOOSE(CONTROL!$C$21, $C$9, 100%, $E$9)</f>
        <v>56.896599999999999</v>
      </c>
      <c r="L847" s="10">
        <f>CHOOSE(CONTROL!$C$42, 57.741, 57.741) * CHOOSE(CONTROL!$C$21, $C$9, 100%, $E$9)</f>
        <v>57.741</v>
      </c>
      <c r="M847" s="10">
        <f>CHOOSE(CONTROL!$C$42, 56.3335, 56.3335) * CHOOSE(CONTROL!$C$21, $C$9, 100%, $E$9)</f>
        <v>56.333500000000001</v>
      </c>
      <c r="N847" s="10">
        <f>CHOOSE(CONTROL!$C$42, 56.3506, 56.3506) * CHOOSE(CONTROL!$C$21, $C$9, 100%, $E$9)</f>
        <v>56.3506</v>
      </c>
      <c r="O847" s="10">
        <f>CHOOSE(CONTROL!$C$42, 56.5911, 56.5911) * CHOOSE(CONTROL!$C$21, $C$9, 100%, $E$9)</f>
        <v>56.591099999999997</v>
      </c>
      <c r="P847" s="10">
        <f>CHOOSE(CONTROL!$C$42, 56.3401, 56.3401) * CHOOSE(CONTROL!$C$21, $C$9, 100%, $E$9)</f>
        <v>56.3401</v>
      </c>
      <c r="Q847" s="10">
        <f>CHOOSE(CONTROL!$C$42, 57.1864, 57.1864) * CHOOSE(CONTROL!$C$21, $C$9, 100%, $E$9)</f>
        <v>57.186399999999999</v>
      </c>
      <c r="R847" s="10">
        <f>CHOOSE(CONTROL!$C$42, 57.9164, 57.9164) * CHOOSE(CONTROL!$C$21, $C$9, 100%, $E$9)</f>
        <v>57.916400000000003</v>
      </c>
      <c r="S847" s="10">
        <f>CHOOSE(CONTROL!$C$42, 55.2843, 55.2843) * CHOOSE(CONTROL!$C$21, $C$9, 100%, $E$9)</f>
        <v>55.284300000000002</v>
      </c>
      <c r="T847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847" s="58">
        <f>(1000*CHOOSE(CONTROL!$C$42, 695, 695)*CHOOSE(CONTROL!$C$42, 0.5599, 0.5599)*CHOOSE(CONTROL!$C$42, 31, 31))/1000000</f>
        <v>12.063045499999998</v>
      </c>
      <c r="V847" s="58">
        <f>(1000*CHOOSE(CONTROL!$C$42, 500, 500)*CHOOSE(CONTROL!$C$42, 0.275, 0.275)*CHOOSE(CONTROL!$C$42, 31, 31))/1000000</f>
        <v>4.2625000000000002</v>
      </c>
      <c r="W847" s="58">
        <f>(1000*CHOOSE(CONTROL!$C$42, 0.1146, 0.1146)*CHOOSE(CONTROL!$C$42, 121.5, 121.5)*CHOOSE(CONTROL!$C$42, 31, 31))/1000000</f>
        <v>0.43164089999999994</v>
      </c>
      <c r="X847" s="58">
        <f>(31*0.1790888*245000/1000000)+(31*0.2374*100000/1000000)</f>
        <v>2.0961194359999999</v>
      </c>
      <c r="Y847" s="58"/>
      <c r="Z847" s="10"/>
      <c r="AA847" s="57"/>
      <c r="AB847" s="51">
        <f>(B847*194.205+C847*267.466+D847*133.845+E847*53.484+F847*40+G847*185+H847*0+I847*100+J847*300)/(194.205+267.466+133.845+53.484+0+40+185+100+300)</f>
        <v>56.950933018367344</v>
      </c>
      <c r="AC847" s="27">
        <f>(M847*'RAP TEMPLATE-GAS AVAILABILITY'!O846+N847*'RAP TEMPLATE-GAS AVAILABILITY'!P846+O847*'RAP TEMPLATE-GAS AVAILABILITY'!Q846+P847*'RAP TEMPLATE-GAS AVAILABILITY'!R846)/('RAP TEMPLATE-GAS AVAILABILITY'!O846+'RAP TEMPLATE-GAS AVAILABILITY'!P846+'RAP TEMPLATE-GAS AVAILABILITY'!Q846+'RAP TEMPLATE-GAS AVAILABILITY'!R846)</f>
        <v>56.452187769784167</v>
      </c>
    </row>
    <row r="848" spans="1:29" ht="15.75" x14ac:dyDescent="0.25">
      <c r="A848" s="13">
        <v>66719</v>
      </c>
      <c r="B848" s="10">
        <f>CHOOSE(CONTROL!$C$42, 54.1219, 54.1219) * CHOOSE(CONTROL!$C$21, $C$9, 100%, $E$9)</f>
        <v>54.121899999999997</v>
      </c>
      <c r="C848" s="10">
        <f>CHOOSE(CONTROL!$C$42, 54.1298, 54.1298) * CHOOSE(CONTROL!$C$21, $C$9, 100%, $E$9)</f>
        <v>54.129800000000003</v>
      </c>
      <c r="D848" s="10">
        <f>CHOOSE(CONTROL!$C$42, 54.3223, 54.3223) * CHOOSE(CONTROL!$C$21, $C$9, 100%, $E$9)</f>
        <v>54.322299999999998</v>
      </c>
      <c r="E848" s="10">
        <f>CHOOSE(CONTROL!$C$42, 54.3534, 54.3534) * CHOOSE(CONTROL!$C$21, $C$9, 100%, $E$9)</f>
        <v>54.353400000000001</v>
      </c>
      <c r="F848" s="10">
        <f>CHOOSE(CONTROL!$C$42, 54.089, 54.089)*CHOOSE(CONTROL!$C$21, $C$9, 100%, $E$9)</f>
        <v>54.088999999999999</v>
      </c>
      <c r="G848" s="10">
        <f>CHOOSE(CONTROL!$C$42, 54.1063, 54.1063)*CHOOSE(CONTROL!$C$21, $C$9, 100%, $E$9)</f>
        <v>54.106299999999997</v>
      </c>
      <c r="H848" s="10">
        <f>CHOOSE(CONTROL!$C$42, 54.342, 54.342) * CHOOSE(CONTROL!$C$21, $C$9, 100%, $E$9)</f>
        <v>54.341999999999999</v>
      </c>
      <c r="I848" s="10">
        <f>CHOOSE(CONTROL!$C$42, 54.0885, 54.0885)* CHOOSE(CONTROL!$C$21, $C$9, 100%, $E$9)</f>
        <v>54.088500000000003</v>
      </c>
      <c r="J848" s="10">
        <f>CHOOSE(CONTROL!$C$42, 54.082, 54.082)* CHOOSE(CONTROL!$C$21, $C$9, 100%, $E$9)</f>
        <v>54.082000000000001</v>
      </c>
      <c r="K848" s="54">
        <f>CHOOSE(CONTROL!$C$42, 54.0846, 54.0846) * CHOOSE(CONTROL!$C$21, $C$9, 100%, $E$9)</f>
        <v>54.084600000000002</v>
      </c>
      <c r="L848" s="10">
        <f>CHOOSE(CONTROL!$C$42, 54.929, 54.929) * CHOOSE(CONTROL!$C$21, $C$9, 100%, $E$9)</f>
        <v>54.929000000000002</v>
      </c>
      <c r="M848" s="10">
        <f>CHOOSE(CONTROL!$C$42, 53.55, 53.55) * CHOOSE(CONTROL!$C$21, $C$9, 100%, $E$9)</f>
        <v>53.55</v>
      </c>
      <c r="N848" s="10">
        <f>CHOOSE(CONTROL!$C$42, 53.5672, 53.5672) * CHOOSE(CONTROL!$C$21, $C$9, 100%, $E$9)</f>
        <v>53.5672</v>
      </c>
      <c r="O848" s="10">
        <f>CHOOSE(CONTROL!$C$42, 53.8075, 53.8075) * CHOOSE(CONTROL!$C$21, $C$9, 100%, $E$9)</f>
        <v>53.807499999999997</v>
      </c>
      <c r="P848" s="10">
        <f>CHOOSE(CONTROL!$C$42, 53.5565, 53.5565) * CHOOSE(CONTROL!$C$21, $C$9, 100%, $E$9)</f>
        <v>53.5565</v>
      </c>
      <c r="Q848" s="10">
        <f>CHOOSE(CONTROL!$C$42, 54.4028, 54.4028) * CHOOSE(CONTROL!$C$21, $C$9, 100%, $E$9)</f>
        <v>54.402799999999999</v>
      </c>
      <c r="R848" s="10">
        <f>CHOOSE(CONTROL!$C$42, 55.1258, 55.1258) * CHOOSE(CONTROL!$C$21, $C$9, 100%, $E$9)</f>
        <v>55.125799999999998</v>
      </c>
      <c r="S848" s="10">
        <f>CHOOSE(CONTROL!$C$42, 52.5536, 52.5536) * CHOOSE(CONTROL!$C$21, $C$9, 100%, $E$9)</f>
        <v>52.553600000000003</v>
      </c>
      <c r="T848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848" s="58">
        <f>(1000*CHOOSE(CONTROL!$C$42, 695, 695)*CHOOSE(CONTROL!$C$42, 0.5599, 0.5599)*CHOOSE(CONTROL!$C$42, 31, 31))/1000000</f>
        <v>12.063045499999998</v>
      </c>
      <c r="V848" s="58">
        <f>(1000*CHOOSE(CONTROL!$C$42, 500, 500)*CHOOSE(CONTROL!$C$42, 0.275, 0.275)*CHOOSE(CONTROL!$C$42, 31, 31))/1000000</f>
        <v>4.2625000000000002</v>
      </c>
      <c r="W848" s="58">
        <f>(1000*CHOOSE(CONTROL!$C$42, 0.1146, 0.1146)*CHOOSE(CONTROL!$C$42, 121.5, 121.5)*CHOOSE(CONTROL!$C$42, 31, 31))/1000000</f>
        <v>0.43164089999999994</v>
      </c>
      <c r="X848" s="58">
        <f>(31*0.1790888*245000/1000000)+(31*0.2374*100000/1000000)</f>
        <v>2.0961194359999999</v>
      </c>
      <c r="Y848" s="58"/>
      <c r="Z848" s="10"/>
      <c r="AA848" s="57"/>
      <c r="AB848" s="51">
        <f>(B848*194.205+C848*267.466+D848*133.845+E848*53.484+F848*40+G848*185+H848*0+I848*100+J848*300)/(194.205+267.466+133.845+53.484+0+40+185+100+300)</f>
        <v>54.139015435949766</v>
      </c>
      <c r="AC848" s="27">
        <f>(M848*'RAP TEMPLATE-GAS AVAILABILITY'!O847+N848*'RAP TEMPLATE-GAS AVAILABILITY'!P847+O848*'RAP TEMPLATE-GAS AVAILABILITY'!Q847+P848*'RAP TEMPLATE-GAS AVAILABILITY'!R847)/('RAP TEMPLATE-GAS AVAILABILITY'!O847+'RAP TEMPLATE-GAS AVAILABILITY'!P847+'RAP TEMPLATE-GAS AVAILABILITY'!Q847+'RAP TEMPLATE-GAS AVAILABILITY'!R847)</f>
        <v>53.668633812949636</v>
      </c>
    </row>
    <row r="849" spans="1:29" ht="15.75" x14ac:dyDescent="0.25">
      <c r="A849" s="13">
        <v>66749</v>
      </c>
      <c r="B849" s="10">
        <f>CHOOSE(CONTROL!$C$42, 50.6858, 50.6858) * CHOOSE(CONTROL!$C$21, $C$9, 100%, $E$9)</f>
        <v>50.6858</v>
      </c>
      <c r="C849" s="10">
        <f>CHOOSE(CONTROL!$C$42, 50.6937, 50.6937) * CHOOSE(CONTROL!$C$21, $C$9, 100%, $E$9)</f>
        <v>50.6937</v>
      </c>
      <c r="D849" s="10">
        <f>CHOOSE(CONTROL!$C$42, 50.8861, 50.8861) * CHOOSE(CONTROL!$C$21, $C$9, 100%, $E$9)</f>
        <v>50.886099999999999</v>
      </c>
      <c r="E849" s="10">
        <f>CHOOSE(CONTROL!$C$42, 50.9173, 50.9173) * CHOOSE(CONTROL!$C$21, $C$9, 100%, $E$9)</f>
        <v>50.917299999999997</v>
      </c>
      <c r="F849" s="10">
        <f>CHOOSE(CONTROL!$C$42, 50.6527, 50.6527)*CHOOSE(CONTROL!$C$21, $C$9, 100%, $E$9)</f>
        <v>50.652700000000003</v>
      </c>
      <c r="G849" s="10">
        <f>CHOOSE(CONTROL!$C$42, 50.67, 50.67)*CHOOSE(CONTROL!$C$21, $C$9, 100%, $E$9)</f>
        <v>50.67</v>
      </c>
      <c r="H849" s="10">
        <f>CHOOSE(CONTROL!$C$42, 50.9059, 50.9059) * CHOOSE(CONTROL!$C$21, $C$9, 100%, $E$9)</f>
        <v>50.905900000000003</v>
      </c>
      <c r="I849" s="10">
        <f>CHOOSE(CONTROL!$C$42, 50.6524, 50.6524)* CHOOSE(CONTROL!$C$21, $C$9, 100%, $E$9)</f>
        <v>50.6524</v>
      </c>
      <c r="J849" s="10">
        <f>CHOOSE(CONTROL!$C$42, 50.6457, 50.6457)* CHOOSE(CONTROL!$C$21, $C$9, 100%, $E$9)</f>
        <v>50.645699999999998</v>
      </c>
      <c r="K849" s="54">
        <f>CHOOSE(CONTROL!$C$42, 50.6485, 50.6485) * CHOOSE(CONTROL!$C$21, $C$9, 100%, $E$9)</f>
        <v>50.648499999999999</v>
      </c>
      <c r="L849" s="10">
        <f>CHOOSE(CONTROL!$C$42, 51.4929, 51.4929) * CHOOSE(CONTROL!$C$21, $C$9, 100%, $E$9)</f>
        <v>51.492899999999999</v>
      </c>
      <c r="M849" s="10">
        <f>CHOOSE(CONTROL!$C$42, 50.1484, 50.1484) * CHOOSE(CONTROL!$C$21, $C$9, 100%, $E$9)</f>
        <v>50.148400000000002</v>
      </c>
      <c r="N849" s="10">
        <f>CHOOSE(CONTROL!$C$42, 50.1655, 50.1655) * CHOOSE(CONTROL!$C$21, $C$9, 100%, $E$9)</f>
        <v>50.165500000000002</v>
      </c>
      <c r="O849" s="10">
        <f>CHOOSE(CONTROL!$C$42, 50.406, 50.406) * CHOOSE(CONTROL!$C$21, $C$9, 100%, $E$9)</f>
        <v>50.405999999999999</v>
      </c>
      <c r="P849" s="10">
        <f>CHOOSE(CONTROL!$C$42, 50.1551, 50.1551) * CHOOSE(CONTROL!$C$21, $C$9, 100%, $E$9)</f>
        <v>50.155099999999997</v>
      </c>
      <c r="Q849" s="10">
        <f>CHOOSE(CONTROL!$C$42, 51.0013, 51.0013) * CHOOSE(CONTROL!$C$21, $C$9, 100%, $E$9)</f>
        <v>51.001300000000001</v>
      </c>
      <c r="R849" s="10">
        <f>CHOOSE(CONTROL!$C$42, 51.7158, 51.7158) * CHOOSE(CONTROL!$C$21, $C$9, 100%, $E$9)</f>
        <v>51.715800000000002</v>
      </c>
      <c r="S849" s="10">
        <f>CHOOSE(CONTROL!$C$42, 49.2167, 49.2167) * CHOOSE(CONTROL!$C$21, $C$9, 100%, $E$9)</f>
        <v>49.216700000000003</v>
      </c>
      <c r="T849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849" s="58">
        <f>(1000*CHOOSE(CONTROL!$C$42, 695, 695)*CHOOSE(CONTROL!$C$42, 0.5599, 0.5599)*CHOOSE(CONTROL!$C$42, 30, 30))/1000000</f>
        <v>11.673914999999997</v>
      </c>
      <c r="V849" s="58">
        <f>(1000*CHOOSE(CONTROL!$C$42, 500, 500)*CHOOSE(CONTROL!$C$42, 0.275, 0.275)*CHOOSE(CONTROL!$C$42, 30, 30))/1000000</f>
        <v>4.125</v>
      </c>
      <c r="W849" s="58">
        <f>(1000*CHOOSE(CONTROL!$C$42, 0.1146, 0.1146)*CHOOSE(CONTROL!$C$42, 121.5, 121.5)*CHOOSE(CONTROL!$C$42, 30, 30))/1000000</f>
        <v>0.417717</v>
      </c>
      <c r="X849" s="58">
        <f>(30*0.1790888*245000/1000000)+(30*0.2374*100000/1000000)</f>
        <v>2.0285026799999999</v>
      </c>
      <c r="Y849" s="58"/>
      <c r="Z849" s="10"/>
      <c r="AA849" s="57"/>
      <c r="AB849" s="51">
        <f>(B849*194.205+C849*267.466+D849*133.845+E849*53.484+F849*40+G849*185+H849*0+I849*100+J849*300)/(194.205+267.466+133.845+53.484+0+40+185+100+300)</f>
        <v>50.702822512480381</v>
      </c>
      <c r="AC849" s="27">
        <f>(M849*'RAP TEMPLATE-GAS AVAILABILITY'!O848+N849*'RAP TEMPLATE-GAS AVAILABILITY'!P848+O849*'RAP TEMPLATE-GAS AVAILABILITY'!Q848+P849*'RAP TEMPLATE-GAS AVAILABILITY'!R848)/('RAP TEMPLATE-GAS AVAILABILITY'!O848+'RAP TEMPLATE-GAS AVAILABILITY'!P848+'RAP TEMPLATE-GAS AVAILABILITY'!Q848+'RAP TEMPLATE-GAS AVAILABILITY'!R848)</f>
        <v>50.267102158273381</v>
      </c>
    </row>
    <row r="850" spans="1:29" ht="15.75" x14ac:dyDescent="0.25">
      <c r="A850" s="13">
        <v>66780</v>
      </c>
      <c r="B850" s="10">
        <f>CHOOSE(CONTROL!$C$42, 49.655, 49.655) * CHOOSE(CONTROL!$C$21, $C$9, 100%, $E$9)</f>
        <v>49.655000000000001</v>
      </c>
      <c r="C850" s="10">
        <f>CHOOSE(CONTROL!$C$42, 49.6602, 49.6602) * CHOOSE(CONTROL!$C$21, $C$9, 100%, $E$9)</f>
        <v>49.660200000000003</v>
      </c>
      <c r="D850" s="10">
        <f>CHOOSE(CONTROL!$C$42, 49.8576, 49.8576) * CHOOSE(CONTROL!$C$21, $C$9, 100%, $E$9)</f>
        <v>49.857599999999998</v>
      </c>
      <c r="E850" s="10">
        <f>CHOOSE(CONTROL!$C$42, 49.8864, 49.8864) * CHOOSE(CONTROL!$C$21, $C$9, 100%, $E$9)</f>
        <v>49.886400000000002</v>
      </c>
      <c r="F850" s="10">
        <f>CHOOSE(CONTROL!$C$42, 49.6239, 49.6239)*CHOOSE(CONTROL!$C$21, $C$9, 100%, $E$9)</f>
        <v>49.623899999999999</v>
      </c>
      <c r="G850" s="10">
        <f>CHOOSE(CONTROL!$C$42, 49.6409, 49.6409)*CHOOSE(CONTROL!$C$21, $C$9, 100%, $E$9)</f>
        <v>49.640900000000002</v>
      </c>
      <c r="H850" s="10">
        <f>CHOOSE(CONTROL!$C$42, 49.8769, 49.8769) * CHOOSE(CONTROL!$C$21, $C$9, 100%, $E$9)</f>
        <v>49.876899999999999</v>
      </c>
      <c r="I850" s="10">
        <f>CHOOSE(CONTROL!$C$42, 49.6233, 49.6233)* CHOOSE(CONTROL!$C$21, $C$9, 100%, $E$9)</f>
        <v>49.6233</v>
      </c>
      <c r="J850" s="10">
        <f>CHOOSE(CONTROL!$C$42, 49.6169, 49.6169)* CHOOSE(CONTROL!$C$21, $C$9, 100%, $E$9)</f>
        <v>49.616900000000001</v>
      </c>
      <c r="K850" s="54">
        <f>CHOOSE(CONTROL!$C$42, 49.6195, 49.6195) * CHOOSE(CONTROL!$C$21, $C$9, 100%, $E$9)</f>
        <v>49.619500000000002</v>
      </c>
      <c r="L850" s="10">
        <f>CHOOSE(CONTROL!$C$42, 50.4639, 50.4639) * CHOOSE(CONTROL!$C$21, $C$9, 100%, $E$9)</f>
        <v>50.463900000000002</v>
      </c>
      <c r="M850" s="10">
        <f>CHOOSE(CONTROL!$C$42, 49.13, 49.13) * CHOOSE(CONTROL!$C$21, $C$9, 100%, $E$9)</f>
        <v>49.13</v>
      </c>
      <c r="N850" s="10">
        <f>CHOOSE(CONTROL!$C$42, 49.1468, 49.1468) * CHOOSE(CONTROL!$C$21, $C$9, 100%, $E$9)</f>
        <v>49.146799999999999</v>
      </c>
      <c r="O850" s="10">
        <f>CHOOSE(CONTROL!$C$42, 49.3874, 49.3874) * CHOOSE(CONTROL!$C$21, $C$9, 100%, $E$9)</f>
        <v>49.3874</v>
      </c>
      <c r="P850" s="10">
        <f>CHOOSE(CONTROL!$C$42, 49.1364, 49.1364) * CHOOSE(CONTROL!$C$21, $C$9, 100%, $E$9)</f>
        <v>49.136400000000002</v>
      </c>
      <c r="Q850" s="10">
        <f>CHOOSE(CONTROL!$C$42, 49.9827, 49.9827) * CHOOSE(CONTROL!$C$21, $C$9, 100%, $E$9)</f>
        <v>49.982700000000001</v>
      </c>
      <c r="R850" s="10">
        <f>CHOOSE(CONTROL!$C$42, 50.6946, 50.6946) * CHOOSE(CONTROL!$C$21, $C$9, 100%, $E$9)</f>
        <v>50.694600000000001</v>
      </c>
      <c r="S850" s="10">
        <f>CHOOSE(CONTROL!$C$42, 48.2174, 48.2174) * CHOOSE(CONTROL!$C$21, $C$9, 100%, $E$9)</f>
        <v>48.217399999999998</v>
      </c>
      <c r="T850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850" s="58">
        <f>(1000*CHOOSE(CONTROL!$C$42, 695, 695)*CHOOSE(CONTROL!$C$42, 0.5599, 0.5599)*CHOOSE(CONTROL!$C$42, 31, 31))/1000000</f>
        <v>12.063045499999998</v>
      </c>
      <c r="V850" s="58">
        <f>(1000*CHOOSE(CONTROL!$C$42, 500, 500)*CHOOSE(CONTROL!$C$42, 0.275, 0.275)*CHOOSE(CONTROL!$C$42, 31, 31))/1000000</f>
        <v>4.2625000000000002</v>
      </c>
      <c r="W850" s="58">
        <f>(1000*CHOOSE(CONTROL!$C$42, 0.1146, 0.1146)*CHOOSE(CONTROL!$C$42, 121.5, 121.5)*CHOOSE(CONTROL!$C$42, 31, 31))/1000000</f>
        <v>0.43164089999999994</v>
      </c>
      <c r="X850" s="58">
        <f>(31*0.1790888*245000/1000000)+(31*0.2374*100000/1000000)</f>
        <v>2.0961194359999999</v>
      </c>
      <c r="Y850" s="58"/>
      <c r="Z850" s="10"/>
      <c r="AA850" s="57"/>
      <c r="AB850" s="51">
        <f>(B850*131.881+C850*277.167+D850*79.08+E850*125.872+F850*40+G850*185+H850*0+I850*100+J850*300)/(131.881+277.167+79.08+125.872+0+40+185+100+300)</f>
        <v>49.677709569975782</v>
      </c>
      <c r="AC850" s="27">
        <f>(M850*'RAP TEMPLATE-GAS AVAILABILITY'!O849+N850*'RAP TEMPLATE-GAS AVAILABILITY'!P849+O850*'RAP TEMPLATE-GAS AVAILABILITY'!Q849+P850*'RAP TEMPLATE-GAS AVAILABILITY'!R849)/('RAP TEMPLATE-GAS AVAILABILITY'!O849+'RAP TEMPLATE-GAS AVAILABILITY'!P849+'RAP TEMPLATE-GAS AVAILABILITY'!Q849+'RAP TEMPLATE-GAS AVAILABILITY'!R849)</f>
        <v>49.248551079136696</v>
      </c>
    </row>
    <row r="851" spans="1:29" ht="15.75" x14ac:dyDescent="0.25">
      <c r="A851" s="13">
        <v>66810</v>
      </c>
      <c r="B851" s="10">
        <f>CHOOSE(CONTROL!$C$42, 50.9627, 50.9627) * CHOOSE(CONTROL!$C$21, $C$9, 100%, $E$9)</f>
        <v>50.962699999999998</v>
      </c>
      <c r="C851" s="10">
        <f>CHOOSE(CONTROL!$C$42, 50.9676, 50.9676) * CHOOSE(CONTROL!$C$21, $C$9, 100%, $E$9)</f>
        <v>50.967599999999997</v>
      </c>
      <c r="D851" s="10">
        <f>CHOOSE(CONTROL!$C$42, 50.9972, 50.9972) * CHOOSE(CONTROL!$C$21, $C$9, 100%, $E$9)</f>
        <v>50.997199999999999</v>
      </c>
      <c r="E851" s="10">
        <f>CHOOSE(CONTROL!$C$42, 51.031, 51.031) * CHOOSE(CONTROL!$C$21, $C$9, 100%, $E$9)</f>
        <v>51.030999999999999</v>
      </c>
      <c r="F851" s="10">
        <f>CHOOSE(CONTROL!$C$42, 50.9295, 50.9295)*CHOOSE(CONTROL!$C$21, $C$9, 100%, $E$9)</f>
        <v>50.929499999999997</v>
      </c>
      <c r="G851" s="10">
        <f>CHOOSE(CONTROL!$C$42, 50.9466, 50.9466)*CHOOSE(CONTROL!$C$21, $C$9, 100%, $E$9)</f>
        <v>50.946599999999997</v>
      </c>
      <c r="H851" s="10">
        <f>CHOOSE(CONTROL!$C$42, 51.0202, 51.0202) * CHOOSE(CONTROL!$C$21, $C$9, 100%, $E$9)</f>
        <v>51.020200000000003</v>
      </c>
      <c r="I851" s="10">
        <f>CHOOSE(CONTROL!$C$42, 50.9263, 50.9263)* CHOOSE(CONTROL!$C$21, $C$9, 100%, $E$9)</f>
        <v>50.926299999999998</v>
      </c>
      <c r="J851" s="10">
        <f>CHOOSE(CONTROL!$C$42, 50.9225, 50.9225)* CHOOSE(CONTROL!$C$21, $C$9, 100%, $E$9)</f>
        <v>50.922499999999999</v>
      </c>
      <c r="K851" s="54">
        <f>CHOOSE(CONTROL!$C$42, 50.9224, 50.9224) * CHOOSE(CONTROL!$C$21, $C$9, 100%, $E$9)</f>
        <v>50.922400000000003</v>
      </c>
      <c r="L851" s="10">
        <f>CHOOSE(CONTROL!$C$42, 51.6072, 51.6072) * CHOOSE(CONTROL!$C$21, $C$9, 100%, $E$9)</f>
        <v>51.607199999999999</v>
      </c>
      <c r="M851" s="10">
        <f>CHOOSE(CONTROL!$C$42, 50.4224, 50.4224) * CHOOSE(CONTROL!$C$21, $C$9, 100%, $E$9)</f>
        <v>50.422400000000003</v>
      </c>
      <c r="N851" s="10">
        <f>CHOOSE(CONTROL!$C$42, 50.4393, 50.4393) * CHOOSE(CONTROL!$C$21, $C$9, 100%, $E$9)</f>
        <v>50.439300000000003</v>
      </c>
      <c r="O851" s="10">
        <f>CHOOSE(CONTROL!$C$42, 50.5191, 50.5191) * CHOOSE(CONTROL!$C$21, $C$9, 100%, $E$9)</f>
        <v>50.519100000000002</v>
      </c>
      <c r="P851" s="10">
        <f>CHOOSE(CONTROL!$C$42, 50.4262, 50.4262) * CHOOSE(CONTROL!$C$21, $C$9, 100%, $E$9)</f>
        <v>50.426200000000001</v>
      </c>
      <c r="Q851" s="10">
        <f>CHOOSE(CONTROL!$C$42, 51.1144, 51.1144) * CHOOSE(CONTROL!$C$21, $C$9, 100%, $E$9)</f>
        <v>51.114400000000003</v>
      </c>
      <c r="R851" s="10">
        <f>CHOOSE(CONTROL!$C$42, 51.8292, 51.8292) * CHOOSE(CONTROL!$C$21, $C$9, 100%, $E$9)</f>
        <v>51.8292</v>
      </c>
      <c r="S851" s="10">
        <f>CHOOSE(CONTROL!$C$42, 49.4877, 49.4877) * CHOOSE(CONTROL!$C$21, $C$9, 100%, $E$9)</f>
        <v>49.487699999999997</v>
      </c>
      <c r="T851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851" s="58">
        <f>(1000*CHOOSE(CONTROL!$C$42, 695, 695)*CHOOSE(CONTROL!$C$42, 0.5599, 0.5599)*CHOOSE(CONTROL!$C$42, 30, 30))/1000000</f>
        <v>11.673914999999997</v>
      </c>
      <c r="V851" s="58">
        <f>(1000*CHOOSE(CONTROL!$C$42, 500, 500)*CHOOSE(CONTROL!$C$42, 0.275, 0.275)*CHOOSE(CONTROL!$C$42, 30, 30))/1000000</f>
        <v>4.125</v>
      </c>
      <c r="W851" s="58">
        <f>(1000*CHOOSE(CONTROL!$C$42, 0.1146, 0.1146)*CHOOSE(CONTROL!$C$42, 121.5, 121.5)*CHOOSE(CONTROL!$C$42, 30, 30))/1000000</f>
        <v>0.417717</v>
      </c>
      <c r="X851" s="58">
        <f>(30*0.1790888*100000/1000000)+(30*0.2374*100000/1000000)</f>
        <v>1.2494664</v>
      </c>
      <c r="Y851" s="58"/>
      <c r="Z851" s="10"/>
      <c r="AA851" s="57"/>
      <c r="AB851" s="51">
        <f>(B851*122.58+C851*297.941+D851*89.177+E851*40.302+F851*40+G851*160+H851*0+I851*100+J851*300)/(122.58+297.941+89.177+40.302+0+40+160+100+300)</f>
        <v>50.951991429565219</v>
      </c>
      <c r="AC851" s="27">
        <f>(M851*'RAP TEMPLATE-GAS AVAILABILITY'!O850+N851*'RAP TEMPLATE-GAS AVAILABILITY'!P850+O851*'RAP TEMPLATE-GAS AVAILABILITY'!Q850+P851*'RAP TEMPLATE-GAS AVAILABILITY'!R850)/('RAP TEMPLATE-GAS AVAILABILITY'!O850+'RAP TEMPLATE-GAS AVAILABILITY'!P850+'RAP TEMPLATE-GAS AVAILABILITY'!Q850+'RAP TEMPLATE-GAS AVAILABILITY'!R850)</f>
        <v>50.467747482014396</v>
      </c>
    </row>
    <row r="852" spans="1:29" ht="15.75" x14ac:dyDescent="0.25">
      <c r="A852" s="13">
        <v>66841</v>
      </c>
      <c r="B852" s="10">
        <f>CHOOSE(CONTROL!$C$42, 54.4371, 54.4371) * CHOOSE(CONTROL!$C$21, $C$9, 100%, $E$9)</f>
        <v>54.437100000000001</v>
      </c>
      <c r="C852" s="10">
        <f>CHOOSE(CONTROL!$C$42, 54.442, 54.442) * CHOOSE(CONTROL!$C$21, $C$9, 100%, $E$9)</f>
        <v>54.442</v>
      </c>
      <c r="D852" s="10">
        <f>CHOOSE(CONTROL!$C$42, 54.4716, 54.4716) * CHOOSE(CONTROL!$C$21, $C$9, 100%, $E$9)</f>
        <v>54.471600000000002</v>
      </c>
      <c r="E852" s="10">
        <f>CHOOSE(CONTROL!$C$42, 54.5054, 54.5054) * CHOOSE(CONTROL!$C$21, $C$9, 100%, $E$9)</f>
        <v>54.505400000000002</v>
      </c>
      <c r="F852" s="10">
        <f>CHOOSE(CONTROL!$C$42, 54.4053, 54.4053)*CHOOSE(CONTROL!$C$21, $C$9, 100%, $E$9)</f>
        <v>54.405299999999997</v>
      </c>
      <c r="G852" s="10">
        <f>CHOOSE(CONTROL!$C$42, 54.4228, 54.4228)*CHOOSE(CONTROL!$C$21, $C$9, 100%, $E$9)</f>
        <v>54.422800000000002</v>
      </c>
      <c r="H852" s="10">
        <f>CHOOSE(CONTROL!$C$42, 54.4946, 54.4946) * CHOOSE(CONTROL!$C$21, $C$9, 100%, $E$9)</f>
        <v>54.494599999999998</v>
      </c>
      <c r="I852" s="10">
        <f>CHOOSE(CONTROL!$C$42, 54.4007, 54.4007)* CHOOSE(CONTROL!$C$21, $C$9, 100%, $E$9)</f>
        <v>54.400700000000001</v>
      </c>
      <c r="J852" s="10">
        <f>CHOOSE(CONTROL!$C$42, 54.3983, 54.3983)* CHOOSE(CONTROL!$C$21, $C$9, 100%, $E$9)</f>
        <v>54.398299999999999</v>
      </c>
      <c r="K852" s="54">
        <f>CHOOSE(CONTROL!$C$42, 54.3968, 54.3968) * CHOOSE(CONTROL!$C$21, $C$9, 100%, $E$9)</f>
        <v>54.396799999999999</v>
      </c>
      <c r="L852" s="10">
        <f>CHOOSE(CONTROL!$C$42, 55.0816, 55.0816) * CHOOSE(CONTROL!$C$21, $C$9, 100%, $E$9)</f>
        <v>55.081600000000002</v>
      </c>
      <c r="M852" s="10">
        <f>CHOOSE(CONTROL!$C$42, 53.8631, 53.8631) * CHOOSE(CONTROL!$C$21, $C$9, 100%, $E$9)</f>
        <v>53.863100000000003</v>
      </c>
      <c r="N852" s="10">
        <f>CHOOSE(CONTROL!$C$42, 53.8805, 53.8805) * CHOOSE(CONTROL!$C$21, $C$9, 100%, $E$9)</f>
        <v>53.880499999999998</v>
      </c>
      <c r="O852" s="10">
        <f>CHOOSE(CONTROL!$C$42, 53.9585, 53.9585) * CHOOSE(CONTROL!$C$21, $C$9, 100%, $E$9)</f>
        <v>53.958500000000001</v>
      </c>
      <c r="P852" s="10">
        <f>CHOOSE(CONTROL!$C$42, 53.8655, 53.8655) * CHOOSE(CONTROL!$C$21, $C$9, 100%, $E$9)</f>
        <v>53.865499999999997</v>
      </c>
      <c r="Q852" s="10">
        <f>CHOOSE(CONTROL!$C$42, 54.5538, 54.5538) * CHOOSE(CONTROL!$C$21, $C$9, 100%, $E$9)</f>
        <v>54.553800000000003</v>
      </c>
      <c r="R852" s="10">
        <f>CHOOSE(CONTROL!$C$42, 55.2772, 55.2772) * CHOOSE(CONTROL!$C$21, $C$9, 100%, $E$9)</f>
        <v>55.277200000000001</v>
      </c>
      <c r="S852" s="10">
        <f>CHOOSE(CONTROL!$C$42, 52.8617, 52.8617) * CHOOSE(CONTROL!$C$21, $C$9, 100%, $E$9)</f>
        <v>52.861699999999999</v>
      </c>
      <c r="T852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852" s="58">
        <f>(1000*CHOOSE(CONTROL!$C$42, 695, 695)*CHOOSE(CONTROL!$C$42, 0.5599, 0.5599)*CHOOSE(CONTROL!$C$42, 31, 31))/1000000</f>
        <v>12.063045499999998</v>
      </c>
      <c r="V852" s="58">
        <f>(1000*CHOOSE(CONTROL!$C$42, 500, 500)*CHOOSE(CONTROL!$C$42, 0.275, 0.275)*CHOOSE(CONTROL!$C$42, 31, 31))/1000000</f>
        <v>4.2625000000000002</v>
      </c>
      <c r="W852" s="58">
        <f>(1000*CHOOSE(CONTROL!$C$42, 0.1146, 0.1146)*CHOOSE(CONTROL!$C$42, 121.5, 121.5)*CHOOSE(CONTROL!$C$42, 31, 31))/1000000</f>
        <v>0.43164089999999994</v>
      </c>
      <c r="X852" s="58">
        <f>(31*0.1790888*100000/1000000)+(31*0.2374*100000/1000000)</f>
        <v>1.2911152800000001</v>
      </c>
      <c r="Y852" s="58"/>
      <c r="Z852" s="10"/>
      <c r="AA852" s="57"/>
      <c r="AB852" s="51">
        <f>(B852*122.58+C852*297.941+D852*89.177+E852*40.302+F852*40+G852*160+H852*0+I852*100+J852*300)/(122.58+297.941+89.177+40.302+0+40+160+100+300)</f>
        <v>54.427055777391296</v>
      </c>
      <c r="AC852" s="27">
        <f>(M852*'RAP TEMPLATE-GAS AVAILABILITY'!O851+N852*'RAP TEMPLATE-GAS AVAILABILITY'!P851+O852*'RAP TEMPLATE-GAS AVAILABILITY'!Q851+P852*'RAP TEMPLATE-GAS AVAILABILITY'!R851)/('RAP TEMPLATE-GAS AVAILABILITY'!O851+'RAP TEMPLATE-GAS AVAILABILITY'!P851+'RAP TEMPLATE-GAS AVAILABILITY'!Q851+'RAP TEMPLATE-GAS AVAILABILITY'!R851)</f>
        <v>53.907685611510786</v>
      </c>
    </row>
    <row r="853" spans="1:29" ht="15.75" x14ac:dyDescent="0.25">
      <c r="A853" s="13">
        <v>66872</v>
      </c>
      <c r="B853" s="10">
        <f>CHOOSE(CONTROL!$C$42, 58.8972, 58.8972) * CHOOSE(CONTROL!$C$21, $C$9, 100%, $E$9)</f>
        <v>58.897199999999998</v>
      </c>
      <c r="C853" s="10">
        <f>CHOOSE(CONTROL!$C$42, 58.9022, 58.9022) * CHOOSE(CONTROL!$C$21, $C$9, 100%, $E$9)</f>
        <v>58.902200000000001</v>
      </c>
      <c r="D853" s="10">
        <f>CHOOSE(CONTROL!$C$42, 58.9524, 58.9524) * CHOOSE(CONTROL!$C$21, $C$9, 100%, $E$9)</f>
        <v>58.952399999999997</v>
      </c>
      <c r="E853" s="10">
        <f>CHOOSE(CONTROL!$C$42, 58.9862, 58.9862) * CHOOSE(CONTROL!$C$21, $C$9, 100%, $E$9)</f>
        <v>58.986199999999997</v>
      </c>
      <c r="F853" s="10">
        <f>CHOOSE(CONTROL!$C$42, 58.8626, 58.8626)*CHOOSE(CONTROL!$C$21, $C$9, 100%, $E$9)</f>
        <v>58.8626</v>
      </c>
      <c r="G853" s="10">
        <f>CHOOSE(CONTROL!$C$42, 58.8802, 58.8802)*CHOOSE(CONTROL!$C$21, $C$9, 100%, $E$9)</f>
        <v>58.880200000000002</v>
      </c>
      <c r="H853" s="10">
        <f>CHOOSE(CONTROL!$C$42, 58.9754, 58.9754) * CHOOSE(CONTROL!$C$21, $C$9, 100%, $E$9)</f>
        <v>58.9754</v>
      </c>
      <c r="I853" s="10">
        <f>CHOOSE(CONTROL!$C$42, 58.8711, 58.8711)* CHOOSE(CONTROL!$C$21, $C$9, 100%, $E$9)</f>
        <v>58.871099999999998</v>
      </c>
      <c r="J853" s="10">
        <f>CHOOSE(CONTROL!$C$42, 58.8556, 58.8556)* CHOOSE(CONTROL!$C$21, $C$9, 100%, $E$9)</f>
        <v>58.855600000000003</v>
      </c>
      <c r="K853" s="54">
        <f>CHOOSE(CONTROL!$C$42, 58.8672, 58.8672) * CHOOSE(CONTROL!$C$21, $C$9, 100%, $E$9)</f>
        <v>58.867199999999997</v>
      </c>
      <c r="L853" s="10">
        <f>CHOOSE(CONTROL!$C$42, 59.5624, 59.5624) * CHOOSE(CONTROL!$C$21, $C$9, 100%, $E$9)</f>
        <v>59.562399999999997</v>
      </c>
      <c r="M853" s="10">
        <f>CHOOSE(CONTROL!$C$42, 58.2755, 58.2755) * CHOOSE(CONTROL!$C$21, $C$9, 100%, $E$9)</f>
        <v>58.275500000000001</v>
      </c>
      <c r="N853" s="10">
        <f>CHOOSE(CONTROL!$C$42, 58.2928, 58.2928) * CHOOSE(CONTROL!$C$21, $C$9, 100%, $E$9)</f>
        <v>58.2928</v>
      </c>
      <c r="O853" s="10">
        <f>CHOOSE(CONTROL!$C$42, 58.394, 58.394) * CHOOSE(CONTROL!$C$21, $C$9, 100%, $E$9)</f>
        <v>58.393999999999998</v>
      </c>
      <c r="P853" s="10">
        <f>CHOOSE(CONTROL!$C$42, 58.2909, 58.2909) * CHOOSE(CONTROL!$C$21, $C$9, 100%, $E$9)</f>
        <v>58.290900000000001</v>
      </c>
      <c r="Q853" s="10">
        <f>CHOOSE(CONTROL!$C$42, 58.9893, 58.9893) * CHOOSE(CONTROL!$C$21, $C$9, 100%, $E$9)</f>
        <v>58.9893</v>
      </c>
      <c r="R853" s="10">
        <f>CHOOSE(CONTROL!$C$42, 59.7238, 59.7238) * CHOOSE(CONTROL!$C$21, $C$9, 100%, $E$9)</f>
        <v>59.723799999999997</v>
      </c>
      <c r="S853" s="10">
        <f>CHOOSE(CONTROL!$C$42, 57.193, 57.193) * CHOOSE(CONTROL!$C$21, $C$9, 100%, $E$9)</f>
        <v>57.192999999999998</v>
      </c>
      <c r="T853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853" s="58">
        <f>(1000*CHOOSE(CONTROL!$C$42, 695, 695)*CHOOSE(CONTROL!$C$42, 0.5599, 0.5599)*CHOOSE(CONTROL!$C$42, 31, 31))/1000000</f>
        <v>12.063045499999998</v>
      </c>
      <c r="V853" s="58">
        <f>(1000*CHOOSE(CONTROL!$C$42, 500, 500)*CHOOSE(CONTROL!$C$42, 0.275, 0.275)*CHOOSE(CONTROL!$C$42, 31, 31))/1000000</f>
        <v>4.2625000000000002</v>
      </c>
      <c r="W853" s="58">
        <f>(1000*CHOOSE(CONTROL!$C$42, 0.1146, 0.1146)*CHOOSE(CONTROL!$C$42, 121.5, 121.5)*CHOOSE(CONTROL!$C$42, 31, 31))/1000000</f>
        <v>0.43164089999999994</v>
      </c>
      <c r="X853" s="58">
        <f>(31*0.1790888*100000/1000000)+(31*0.2374*100000/1000000)</f>
        <v>1.2911152800000001</v>
      </c>
      <c r="Y853" s="58"/>
      <c r="Z853" s="10"/>
      <c r="AA853" s="57"/>
      <c r="AB853" s="51">
        <f>(B853*122.58+C853*297.941+D853*89.177+E853*40.302+F853*40+G853*160+H853*0+I853*100+J853*300)/(122.58+297.941+89.177+40.302+0+40+160+100+300)</f>
        <v>58.889204481217391</v>
      </c>
      <c r="AC853" s="27">
        <f>(M853*'RAP TEMPLATE-GAS AVAILABILITY'!O852+N853*'RAP TEMPLATE-GAS AVAILABILITY'!P852+O853*'RAP TEMPLATE-GAS AVAILABILITY'!Q852+P853*'RAP TEMPLATE-GAS AVAILABILITY'!R852)/('RAP TEMPLATE-GAS AVAILABILITY'!O852+'RAP TEMPLATE-GAS AVAILABILITY'!P852+'RAP TEMPLATE-GAS AVAILABILITY'!Q852+'RAP TEMPLATE-GAS AVAILABILITY'!R852)</f>
        <v>58.332420143884903</v>
      </c>
    </row>
    <row r="854" spans="1:29" ht="15.75" x14ac:dyDescent="0.25">
      <c r="A854" s="13">
        <v>66900</v>
      </c>
      <c r="B854" s="10">
        <f>CHOOSE(CONTROL!$C$42, 59.9456, 59.9456) * CHOOSE(CONTROL!$C$21, $C$9, 100%, $E$9)</f>
        <v>59.945599999999999</v>
      </c>
      <c r="C854" s="10">
        <f>CHOOSE(CONTROL!$C$42, 59.9506, 59.9506) * CHOOSE(CONTROL!$C$21, $C$9, 100%, $E$9)</f>
        <v>59.950600000000001</v>
      </c>
      <c r="D854" s="10">
        <f>CHOOSE(CONTROL!$C$42, 60.0111, 60.0111) * CHOOSE(CONTROL!$C$21, $C$9, 100%, $E$9)</f>
        <v>60.011099999999999</v>
      </c>
      <c r="E854" s="10">
        <f>CHOOSE(CONTROL!$C$42, 60.0449, 60.0449) * CHOOSE(CONTROL!$C$21, $C$9, 100%, $E$9)</f>
        <v>60.044899999999998</v>
      </c>
      <c r="F854" s="10">
        <f>CHOOSE(CONTROL!$C$42, 59.9389, 59.9389)*CHOOSE(CONTROL!$C$21, $C$9, 100%, $E$9)</f>
        <v>59.938899999999997</v>
      </c>
      <c r="G854" s="10">
        <f>CHOOSE(CONTROL!$C$42, 59.9562, 59.9562)*CHOOSE(CONTROL!$C$21, $C$9, 100%, $E$9)</f>
        <v>59.956200000000003</v>
      </c>
      <c r="H854" s="10">
        <f>CHOOSE(CONTROL!$C$42, 60.0341, 60.0341) * CHOOSE(CONTROL!$C$21, $C$9, 100%, $E$9)</f>
        <v>60.034100000000002</v>
      </c>
      <c r="I854" s="10">
        <f>CHOOSE(CONTROL!$C$42, 59.9324, 59.9324)* CHOOSE(CONTROL!$C$21, $C$9, 100%, $E$9)</f>
        <v>59.932400000000001</v>
      </c>
      <c r="J854" s="10">
        <f>CHOOSE(CONTROL!$C$42, 59.9319, 59.9319)* CHOOSE(CONTROL!$C$21, $C$9, 100%, $E$9)</f>
        <v>59.931899999999999</v>
      </c>
      <c r="K854" s="54">
        <f>CHOOSE(CONTROL!$C$42, 59.9285, 59.9285) * CHOOSE(CONTROL!$C$21, $C$9, 100%, $E$9)</f>
        <v>59.9285</v>
      </c>
      <c r="L854" s="10">
        <f>CHOOSE(CONTROL!$C$42, 60.6211, 60.6211) * CHOOSE(CONTROL!$C$21, $C$9, 100%, $E$9)</f>
        <v>60.621099999999998</v>
      </c>
      <c r="M854" s="10">
        <f>CHOOSE(CONTROL!$C$42, 59.3409, 59.3409) * CHOOSE(CONTROL!$C$21, $C$9, 100%, $E$9)</f>
        <v>59.340899999999998</v>
      </c>
      <c r="N854" s="10">
        <f>CHOOSE(CONTROL!$C$42, 59.358, 59.358) * CHOOSE(CONTROL!$C$21, $C$9, 100%, $E$9)</f>
        <v>59.357999999999997</v>
      </c>
      <c r="O854" s="10">
        <f>CHOOSE(CONTROL!$C$42, 59.442, 59.442) * CHOOSE(CONTROL!$C$21, $C$9, 100%, $E$9)</f>
        <v>59.442</v>
      </c>
      <c r="P854" s="10">
        <f>CHOOSE(CONTROL!$C$42, 59.3415, 59.3415) * CHOOSE(CONTROL!$C$21, $C$9, 100%, $E$9)</f>
        <v>59.341500000000003</v>
      </c>
      <c r="Q854" s="10">
        <f>CHOOSE(CONTROL!$C$42, 60.0373, 60.0373) * CHOOSE(CONTROL!$C$21, $C$9, 100%, $E$9)</f>
        <v>60.037300000000002</v>
      </c>
      <c r="R854" s="10">
        <f>CHOOSE(CONTROL!$C$42, 60.7744, 60.7744) * CHOOSE(CONTROL!$C$21, $C$9, 100%, $E$9)</f>
        <v>60.7744</v>
      </c>
      <c r="S854" s="10">
        <f>CHOOSE(CONTROL!$C$42, 58.2111, 58.2111) * CHOOSE(CONTROL!$C$21, $C$9, 100%, $E$9)</f>
        <v>58.211100000000002</v>
      </c>
      <c r="T854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854" s="58">
        <f>(1000*CHOOSE(CONTROL!$C$42, 695, 695)*CHOOSE(CONTROL!$C$42, 0.5599, 0.5599)*CHOOSE(CONTROL!$C$42, 28, 28))/1000000</f>
        <v>10.895653999999999</v>
      </c>
      <c r="V854" s="58">
        <f>(1000*CHOOSE(CONTROL!$C$42, 500, 500)*CHOOSE(CONTROL!$C$42, 0.275, 0.275)*CHOOSE(CONTROL!$C$42, 28, 28))/1000000</f>
        <v>3.85</v>
      </c>
      <c r="W854" s="58">
        <f>(1000*CHOOSE(CONTROL!$C$42, 0.1146, 0.1146)*CHOOSE(CONTROL!$C$42, 121.5, 121.5)*CHOOSE(CONTROL!$C$42, 28, 28))/1000000</f>
        <v>0.38986920000000003</v>
      </c>
      <c r="X854" s="58">
        <f>(28*0.1790888*100000/1000000)+(28*0.2374*100000/1000000)</f>
        <v>1.16616864</v>
      </c>
      <c r="Y854" s="58"/>
      <c r="Z854" s="10"/>
      <c r="AA854" s="57"/>
      <c r="AB854" s="51">
        <f>(B854*122.58+C854*297.941+D854*89.177+E854*40.302+F854*40+G854*160+H854*0+I854*100+J854*300)/(122.58+297.941+89.177+40.302+0+40+160+100+300)</f>
        <v>59.951974597478248</v>
      </c>
      <c r="AC854" s="27">
        <f>(M854*'RAP TEMPLATE-GAS AVAILABILITY'!O853+N854*'RAP TEMPLATE-GAS AVAILABILITY'!P853+O854*'RAP TEMPLATE-GAS AVAILABILITY'!Q853+P854*'RAP TEMPLATE-GAS AVAILABILITY'!R853)/('RAP TEMPLATE-GAS AVAILABILITY'!O853+'RAP TEMPLATE-GAS AVAILABILITY'!P853+'RAP TEMPLATE-GAS AVAILABILITY'!Q853+'RAP TEMPLATE-GAS AVAILABILITY'!R853)</f>
        <v>59.387792805755389</v>
      </c>
    </row>
    <row r="855" spans="1:29" ht="15.75" x14ac:dyDescent="0.25">
      <c r="A855" s="13">
        <v>66931</v>
      </c>
      <c r="B855" s="10">
        <f>CHOOSE(CONTROL!$C$42, 58.2438, 58.2438) * CHOOSE(CONTROL!$C$21, $C$9, 100%, $E$9)</f>
        <v>58.2438</v>
      </c>
      <c r="C855" s="10">
        <f>CHOOSE(CONTROL!$C$42, 58.2488, 58.2488) * CHOOSE(CONTROL!$C$21, $C$9, 100%, $E$9)</f>
        <v>58.248800000000003</v>
      </c>
      <c r="D855" s="10">
        <f>CHOOSE(CONTROL!$C$42, 58.3093, 58.3093) * CHOOSE(CONTROL!$C$21, $C$9, 100%, $E$9)</f>
        <v>58.3093</v>
      </c>
      <c r="E855" s="10">
        <f>CHOOSE(CONTROL!$C$42, 58.3431, 58.3431) * CHOOSE(CONTROL!$C$21, $C$9, 100%, $E$9)</f>
        <v>58.3431</v>
      </c>
      <c r="F855" s="10">
        <f>CHOOSE(CONTROL!$C$42, 58.2315, 58.2315)*CHOOSE(CONTROL!$C$21, $C$9, 100%, $E$9)</f>
        <v>58.231499999999997</v>
      </c>
      <c r="G855" s="10">
        <f>CHOOSE(CONTROL!$C$42, 58.2488, 58.2488)*CHOOSE(CONTROL!$C$21, $C$9, 100%, $E$9)</f>
        <v>58.248800000000003</v>
      </c>
      <c r="H855" s="10">
        <f>CHOOSE(CONTROL!$C$42, 58.3323, 58.3323) * CHOOSE(CONTROL!$C$21, $C$9, 100%, $E$9)</f>
        <v>58.332299999999996</v>
      </c>
      <c r="I855" s="10">
        <f>CHOOSE(CONTROL!$C$42, 58.2177, 58.2177)* CHOOSE(CONTROL!$C$21, $C$9, 100%, $E$9)</f>
        <v>58.217700000000001</v>
      </c>
      <c r="J855" s="10">
        <f>CHOOSE(CONTROL!$C$42, 58.2245, 58.2245)* CHOOSE(CONTROL!$C$21, $C$9, 100%, $E$9)</f>
        <v>58.224499999999999</v>
      </c>
      <c r="K855" s="54">
        <f>CHOOSE(CONTROL!$C$42, 58.2138, 58.2138) * CHOOSE(CONTROL!$C$21, $C$9, 100%, $E$9)</f>
        <v>58.213799999999999</v>
      </c>
      <c r="L855" s="10">
        <f>CHOOSE(CONTROL!$C$42, 58.9193, 58.9193) * CHOOSE(CONTROL!$C$21, $C$9, 100%, $E$9)</f>
        <v>58.9193</v>
      </c>
      <c r="M855" s="10">
        <f>CHOOSE(CONTROL!$C$42, 57.6508, 57.6508) * CHOOSE(CONTROL!$C$21, $C$9, 100%, $E$9)</f>
        <v>57.650799999999997</v>
      </c>
      <c r="N855" s="10">
        <f>CHOOSE(CONTROL!$C$42, 57.6678, 57.6678) * CHOOSE(CONTROL!$C$21, $C$9, 100%, $E$9)</f>
        <v>57.6678</v>
      </c>
      <c r="O855" s="10">
        <f>CHOOSE(CONTROL!$C$42, 57.7574, 57.7574) * CHOOSE(CONTROL!$C$21, $C$9, 100%, $E$9)</f>
        <v>57.757399999999997</v>
      </c>
      <c r="P855" s="10">
        <f>CHOOSE(CONTROL!$C$42, 57.6441, 57.6441) * CHOOSE(CONTROL!$C$21, $C$9, 100%, $E$9)</f>
        <v>57.644100000000002</v>
      </c>
      <c r="Q855" s="10">
        <f>CHOOSE(CONTROL!$C$42, 58.3527, 58.3527) * CHOOSE(CONTROL!$C$21, $C$9, 100%, $E$9)</f>
        <v>58.352699999999999</v>
      </c>
      <c r="R855" s="10">
        <f>CHOOSE(CONTROL!$C$42, 59.0856, 59.0856) * CHOOSE(CONTROL!$C$21, $C$9, 100%, $E$9)</f>
        <v>59.085599999999999</v>
      </c>
      <c r="S855" s="10">
        <f>CHOOSE(CONTROL!$C$42, 56.5584, 56.5584) * CHOOSE(CONTROL!$C$21, $C$9, 100%, $E$9)</f>
        <v>56.558399999999999</v>
      </c>
      <c r="T855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855" s="58">
        <f>(1000*CHOOSE(CONTROL!$C$42, 695, 695)*CHOOSE(CONTROL!$C$42, 0.5599, 0.5599)*CHOOSE(CONTROL!$C$42, 31, 31))/1000000</f>
        <v>12.063045499999998</v>
      </c>
      <c r="V855" s="58">
        <f>(1000*CHOOSE(CONTROL!$C$42, 500, 500)*CHOOSE(CONTROL!$C$42, 0.275, 0.275)*CHOOSE(CONTROL!$C$42, 31, 31))/1000000</f>
        <v>4.2625000000000002</v>
      </c>
      <c r="W855" s="58">
        <f>(1000*CHOOSE(CONTROL!$C$42, 0.1146, 0.1146)*CHOOSE(CONTROL!$C$42, 121.5, 121.5)*CHOOSE(CONTROL!$C$42, 31, 31))/1000000</f>
        <v>0.43164089999999994</v>
      </c>
      <c r="X855" s="58">
        <f>(31*0.1790888*100000/1000000)+(31*0.2374*100000/1000000)</f>
        <v>1.2911152800000001</v>
      </c>
      <c r="Y855" s="58"/>
      <c r="Z855" s="10"/>
      <c r="AA855" s="57"/>
      <c r="AB855" s="51">
        <f>(B855*122.58+C855*297.941+D855*89.177+E855*40.302+F855*40+G855*160+H855*0+I855*100+J855*300)/(122.58+297.941+89.177+40.302+0+40+160+100+300)</f>
        <v>58.246618075739143</v>
      </c>
      <c r="AC855" s="27">
        <f>(M855*'RAP TEMPLATE-GAS AVAILABILITY'!O854+N855*'RAP TEMPLATE-GAS AVAILABILITY'!P854+O855*'RAP TEMPLATE-GAS AVAILABILITY'!Q854+P855*'RAP TEMPLATE-GAS AVAILABILITY'!R854)/('RAP TEMPLATE-GAS AVAILABILITY'!O854+'RAP TEMPLATE-GAS AVAILABILITY'!P854+'RAP TEMPLATE-GAS AVAILABILITY'!Q854+'RAP TEMPLATE-GAS AVAILABILITY'!R854)</f>
        <v>57.699129496402882</v>
      </c>
    </row>
    <row r="856" spans="1:29" ht="15.75" x14ac:dyDescent="0.25">
      <c r="A856" s="13">
        <v>66961</v>
      </c>
      <c r="B856" s="10">
        <f>CHOOSE(CONTROL!$C$42, 58.0706, 58.0706) * CHOOSE(CONTROL!$C$21, $C$9, 100%, $E$9)</f>
        <v>58.070599999999999</v>
      </c>
      <c r="C856" s="10">
        <f>CHOOSE(CONTROL!$C$42, 58.075, 58.075) * CHOOSE(CONTROL!$C$21, $C$9, 100%, $E$9)</f>
        <v>58.075000000000003</v>
      </c>
      <c r="D856" s="10">
        <f>CHOOSE(CONTROL!$C$42, 58.2706, 58.2706) * CHOOSE(CONTROL!$C$21, $C$9, 100%, $E$9)</f>
        <v>58.270600000000002</v>
      </c>
      <c r="E856" s="10">
        <f>CHOOSE(CONTROL!$C$42, 58.3023, 58.3023) * CHOOSE(CONTROL!$C$21, $C$9, 100%, $E$9)</f>
        <v>58.302300000000002</v>
      </c>
      <c r="F856" s="10">
        <f>CHOOSE(CONTROL!$C$42, 58.0384, 58.0384)*CHOOSE(CONTROL!$C$21, $C$9, 100%, $E$9)</f>
        <v>58.038400000000003</v>
      </c>
      <c r="G856" s="10">
        <f>CHOOSE(CONTROL!$C$42, 58.0552, 58.0552)*CHOOSE(CONTROL!$C$21, $C$9, 100%, $E$9)</f>
        <v>58.055199999999999</v>
      </c>
      <c r="H856" s="10">
        <f>CHOOSE(CONTROL!$C$42, 58.2921, 58.2921) * CHOOSE(CONTROL!$C$21, $C$9, 100%, $E$9)</f>
        <v>58.292099999999998</v>
      </c>
      <c r="I856" s="10">
        <f>CHOOSE(CONTROL!$C$42, 58.0386, 58.0386)* CHOOSE(CONTROL!$C$21, $C$9, 100%, $E$9)</f>
        <v>58.038600000000002</v>
      </c>
      <c r="J856" s="10">
        <f>CHOOSE(CONTROL!$C$42, 58.0314, 58.0314)* CHOOSE(CONTROL!$C$21, $C$9, 100%, $E$9)</f>
        <v>58.031399999999998</v>
      </c>
      <c r="K856" s="54">
        <f>CHOOSE(CONTROL!$C$42, 58.0347, 58.0347) * CHOOSE(CONTROL!$C$21, $C$9, 100%, $E$9)</f>
        <v>58.034700000000001</v>
      </c>
      <c r="L856" s="10">
        <f>CHOOSE(CONTROL!$C$42, 58.8791, 58.8791) * CHOOSE(CONTROL!$C$21, $C$9, 100%, $E$9)</f>
        <v>58.879100000000001</v>
      </c>
      <c r="M856" s="10">
        <f>CHOOSE(CONTROL!$C$42, 57.4596, 57.4596) * CHOOSE(CONTROL!$C$21, $C$9, 100%, $E$9)</f>
        <v>57.459600000000002</v>
      </c>
      <c r="N856" s="10">
        <f>CHOOSE(CONTROL!$C$42, 57.4762, 57.4762) * CHOOSE(CONTROL!$C$21, $C$9, 100%, $E$9)</f>
        <v>57.476199999999999</v>
      </c>
      <c r="O856" s="10">
        <f>CHOOSE(CONTROL!$C$42, 57.7177, 57.7177) * CHOOSE(CONTROL!$C$21, $C$9, 100%, $E$9)</f>
        <v>57.717700000000001</v>
      </c>
      <c r="P856" s="10">
        <f>CHOOSE(CONTROL!$C$42, 57.4667, 57.4667) * CHOOSE(CONTROL!$C$21, $C$9, 100%, $E$9)</f>
        <v>57.466700000000003</v>
      </c>
      <c r="Q856" s="10">
        <f>CHOOSE(CONTROL!$C$42, 58.313, 58.313) * CHOOSE(CONTROL!$C$21, $C$9, 100%, $E$9)</f>
        <v>58.313000000000002</v>
      </c>
      <c r="R856" s="10">
        <f>CHOOSE(CONTROL!$C$42, 59.0458, 59.0458) * CHOOSE(CONTROL!$C$21, $C$9, 100%, $E$9)</f>
        <v>59.0458</v>
      </c>
      <c r="S856" s="10">
        <f>CHOOSE(CONTROL!$C$42, 56.3895, 56.3895) * CHOOSE(CONTROL!$C$21, $C$9, 100%, $E$9)</f>
        <v>56.389499999999998</v>
      </c>
      <c r="T856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856" s="58">
        <f>(1000*CHOOSE(CONTROL!$C$42, 695, 695)*CHOOSE(CONTROL!$C$42, 0.5599, 0.5599)*CHOOSE(CONTROL!$C$42, 30, 30))/1000000</f>
        <v>11.673914999999997</v>
      </c>
      <c r="V856" s="58">
        <f>(1000*CHOOSE(CONTROL!$C$42, 500, 500)*CHOOSE(CONTROL!$C$42, 0.275, 0.275)*CHOOSE(CONTROL!$C$42, 30, 30))/1000000</f>
        <v>4.125</v>
      </c>
      <c r="W856" s="58">
        <f>(1000*CHOOSE(CONTROL!$C$42, 0.1146, 0.1146)*CHOOSE(CONTROL!$C$42, 121.5, 121.5)*CHOOSE(CONTROL!$C$42, 30, 30))/1000000</f>
        <v>0.417717</v>
      </c>
      <c r="X856" s="58">
        <f>(30*0.1790888*245000/1000000)+(30*0.2374*100000/1000000)</f>
        <v>2.0285026799999999</v>
      </c>
      <c r="Y856" s="58"/>
      <c r="Z856" s="10"/>
      <c r="AA856" s="57"/>
      <c r="AB856" s="51">
        <f>(B856*141.293+C856*267.993+D856*115.016+E856*89.698+F856*40+G856*185+H856*0+I856*100+J856*300)/(141.293+267.993+115.016+89.698+0+40+185+100+300)</f>
        <v>58.091478446973362</v>
      </c>
      <c r="AC856" s="27">
        <f>(M856*'RAP TEMPLATE-GAS AVAILABILITY'!O855+N856*'RAP TEMPLATE-GAS AVAILABILITY'!P855+O856*'RAP TEMPLATE-GAS AVAILABILITY'!Q855+P856*'RAP TEMPLATE-GAS AVAILABILITY'!R855)/('RAP TEMPLATE-GAS AVAILABILITY'!O855+'RAP TEMPLATE-GAS AVAILABILITY'!P855+'RAP TEMPLATE-GAS AVAILABILITY'!Q855+'RAP TEMPLATE-GAS AVAILABILITY'!R855)</f>
        <v>57.578557553956827</v>
      </c>
    </row>
    <row r="857" spans="1:29" ht="15.75" x14ac:dyDescent="0.25">
      <c r="A857" s="13">
        <v>66992</v>
      </c>
      <c r="B857" s="10">
        <f>CHOOSE(CONTROL!$C$42, 58.5845, 58.5845) * CHOOSE(CONTROL!$C$21, $C$9, 100%, $E$9)</f>
        <v>58.584499999999998</v>
      </c>
      <c r="C857" s="10">
        <f>CHOOSE(CONTROL!$C$42, 58.5924, 58.5924) * CHOOSE(CONTROL!$C$21, $C$9, 100%, $E$9)</f>
        <v>58.592399999999998</v>
      </c>
      <c r="D857" s="10">
        <f>CHOOSE(CONTROL!$C$42, 58.7849, 58.7849) * CHOOSE(CONTROL!$C$21, $C$9, 100%, $E$9)</f>
        <v>58.7849</v>
      </c>
      <c r="E857" s="10">
        <f>CHOOSE(CONTROL!$C$42, 58.816, 58.816) * CHOOSE(CONTROL!$C$21, $C$9, 100%, $E$9)</f>
        <v>58.816000000000003</v>
      </c>
      <c r="F857" s="10">
        <f>CHOOSE(CONTROL!$C$42, 58.5508, 58.5508)*CHOOSE(CONTROL!$C$21, $C$9, 100%, $E$9)</f>
        <v>58.550800000000002</v>
      </c>
      <c r="G857" s="10">
        <f>CHOOSE(CONTROL!$C$42, 58.5679, 58.5679)*CHOOSE(CONTROL!$C$21, $C$9, 100%, $E$9)</f>
        <v>58.567900000000002</v>
      </c>
      <c r="H857" s="10">
        <f>CHOOSE(CONTROL!$C$42, 58.8046, 58.8046) * CHOOSE(CONTROL!$C$21, $C$9, 100%, $E$9)</f>
        <v>58.804600000000001</v>
      </c>
      <c r="I857" s="10">
        <f>CHOOSE(CONTROL!$C$42, 58.5511, 58.5511)* CHOOSE(CONTROL!$C$21, $C$9, 100%, $E$9)</f>
        <v>58.551099999999998</v>
      </c>
      <c r="J857" s="10">
        <f>CHOOSE(CONTROL!$C$42, 58.5438, 58.5438)* CHOOSE(CONTROL!$C$21, $C$9, 100%, $E$9)</f>
        <v>58.543799999999997</v>
      </c>
      <c r="K857" s="54">
        <f>CHOOSE(CONTROL!$C$42, 58.5472, 58.5472) * CHOOSE(CONTROL!$C$21, $C$9, 100%, $E$9)</f>
        <v>58.547199999999997</v>
      </c>
      <c r="L857" s="10">
        <f>CHOOSE(CONTROL!$C$42, 59.3916, 59.3916) * CHOOSE(CONTROL!$C$21, $C$9, 100%, $E$9)</f>
        <v>59.391599999999997</v>
      </c>
      <c r="M857" s="10">
        <f>CHOOSE(CONTROL!$C$42, 57.9668, 57.9668) * CHOOSE(CONTROL!$C$21, $C$9, 100%, $E$9)</f>
        <v>57.966799999999999</v>
      </c>
      <c r="N857" s="10">
        <f>CHOOSE(CONTROL!$C$42, 57.9837, 57.9837) * CHOOSE(CONTROL!$C$21, $C$9, 100%, $E$9)</f>
        <v>57.983699999999999</v>
      </c>
      <c r="O857" s="10">
        <f>CHOOSE(CONTROL!$C$42, 58.225, 58.225) * CHOOSE(CONTROL!$C$21, $C$9, 100%, $E$9)</f>
        <v>58.225000000000001</v>
      </c>
      <c r="P857" s="10">
        <f>CHOOSE(CONTROL!$C$42, 57.9741, 57.9741) * CHOOSE(CONTROL!$C$21, $C$9, 100%, $E$9)</f>
        <v>57.9741</v>
      </c>
      <c r="Q857" s="10">
        <f>CHOOSE(CONTROL!$C$42, 58.8203, 58.8203) * CHOOSE(CONTROL!$C$21, $C$9, 100%, $E$9)</f>
        <v>58.820300000000003</v>
      </c>
      <c r="R857" s="10">
        <f>CHOOSE(CONTROL!$C$42, 59.5544, 59.5544) * CHOOSE(CONTROL!$C$21, $C$9, 100%, $E$9)</f>
        <v>59.554400000000001</v>
      </c>
      <c r="S857" s="10">
        <f>CHOOSE(CONTROL!$C$42, 56.8872, 56.8872) * CHOOSE(CONTROL!$C$21, $C$9, 100%, $E$9)</f>
        <v>56.8872</v>
      </c>
      <c r="T857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857" s="58">
        <f>(1000*CHOOSE(CONTROL!$C$42, 695, 695)*CHOOSE(CONTROL!$C$42, 0.5599, 0.5599)*CHOOSE(CONTROL!$C$42, 31, 31))/1000000</f>
        <v>12.063045499999998</v>
      </c>
      <c r="V857" s="58">
        <f>(1000*CHOOSE(CONTROL!$C$42, 500, 500)*CHOOSE(CONTROL!$C$42, 0.275, 0.275)*CHOOSE(CONTROL!$C$42, 31, 31))/1000000</f>
        <v>4.2625000000000002</v>
      </c>
      <c r="W857" s="58">
        <f>(1000*CHOOSE(CONTROL!$C$42, 0.1146, 0.1146)*CHOOSE(CONTROL!$C$42, 121.5, 121.5)*CHOOSE(CONTROL!$C$42, 31, 31))/1000000</f>
        <v>0.43164089999999994</v>
      </c>
      <c r="X857" s="58">
        <f>(31*0.1790888*245000/1000000)+(31*0.2374*100000/1000000)</f>
        <v>2.0961194359999999</v>
      </c>
      <c r="Y857" s="58"/>
      <c r="Z857" s="10"/>
      <c r="AA857" s="57"/>
      <c r="AB857" s="51">
        <f>(B857*194.205+C857*267.466+D857*133.845+E857*53.484+F857*40+G857*185+H857*0+I857*100+J857*300)/(194.205+267.466+133.845+53.484+0+40+185+100+300)</f>
        <v>58.601256723233902</v>
      </c>
      <c r="AC857" s="27">
        <f>(M857*'RAP TEMPLATE-GAS AVAILABILITY'!O856+N857*'RAP TEMPLATE-GAS AVAILABILITY'!P856+O857*'RAP TEMPLATE-GAS AVAILABILITY'!Q856+P857*'RAP TEMPLATE-GAS AVAILABILITY'!R856)/('RAP TEMPLATE-GAS AVAILABILITY'!O856+'RAP TEMPLATE-GAS AVAILABILITY'!P856+'RAP TEMPLATE-GAS AVAILABILITY'!Q856+'RAP TEMPLATE-GAS AVAILABILITY'!R856)</f>
        <v>58.085848920863299</v>
      </c>
    </row>
    <row r="858" spans="1:29" ht="15.75" x14ac:dyDescent="0.25">
      <c r="A858" s="13">
        <v>67022</v>
      </c>
      <c r="B858" s="10">
        <f>CHOOSE(CONTROL!$C$42, 60.2462, 60.2462) * CHOOSE(CONTROL!$C$21, $C$9, 100%, $E$9)</f>
        <v>60.246200000000002</v>
      </c>
      <c r="C858" s="10">
        <f>CHOOSE(CONTROL!$C$42, 60.2541, 60.2541) * CHOOSE(CONTROL!$C$21, $C$9, 100%, $E$9)</f>
        <v>60.254100000000001</v>
      </c>
      <c r="D858" s="10">
        <f>CHOOSE(CONTROL!$C$42, 60.4465, 60.4465) * CHOOSE(CONTROL!$C$21, $C$9, 100%, $E$9)</f>
        <v>60.4465</v>
      </c>
      <c r="E858" s="10">
        <f>CHOOSE(CONTROL!$C$42, 60.4777, 60.4777) * CHOOSE(CONTROL!$C$21, $C$9, 100%, $E$9)</f>
        <v>60.477699999999999</v>
      </c>
      <c r="F858" s="10">
        <f>CHOOSE(CONTROL!$C$42, 60.2127, 60.2127)*CHOOSE(CONTROL!$C$21, $C$9, 100%, $E$9)</f>
        <v>60.212699999999998</v>
      </c>
      <c r="G858" s="10">
        <f>CHOOSE(CONTROL!$C$42, 60.2299, 60.2299)*CHOOSE(CONTROL!$C$21, $C$9, 100%, $E$9)</f>
        <v>60.229900000000001</v>
      </c>
      <c r="H858" s="10">
        <f>CHOOSE(CONTROL!$C$42, 60.4663, 60.4663) * CHOOSE(CONTROL!$C$21, $C$9, 100%, $E$9)</f>
        <v>60.466299999999997</v>
      </c>
      <c r="I858" s="10">
        <f>CHOOSE(CONTROL!$C$42, 60.2128, 60.2128)* CHOOSE(CONTROL!$C$21, $C$9, 100%, $E$9)</f>
        <v>60.212800000000001</v>
      </c>
      <c r="J858" s="10">
        <f>CHOOSE(CONTROL!$C$42, 60.2057, 60.2057)* CHOOSE(CONTROL!$C$21, $C$9, 100%, $E$9)</f>
        <v>60.2057</v>
      </c>
      <c r="K858" s="54">
        <f>CHOOSE(CONTROL!$C$42, 60.2089, 60.2089) * CHOOSE(CONTROL!$C$21, $C$9, 100%, $E$9)</f>
        <v>60.2089</v>
      </c>
      <c r="L858" s="10">
        <f>CHOOSE(CONTROL!$C$42, 61.0533, 61.0533) * CHOOSE(CONTROL!$C$21, $C$9, 100%, $E$9)</f>
        <v>61.0533</v>
      </c>
      <c r="M858" s="10">
        <f>CHOOSE(CONTROL!$C$42, 59.6119, 59.6119) * CHOOSE(CONTROL!$C$21, $C$9, 100%, $E$9)</f>
        <v>59.611899999999999</v>
      </c>
      <c r="N858" s="10">
        <f>CHOOSE(CONTROL!$C$42, 59.6289, 59.6289) * CHOOSE(CONTROL!$C$21, $C$9, 100%, $E$9)</f>
        <v>59.628900000000002</v>
      </c>
      <c r="O858" s="10">
        <f>CHOOSE(CONTROL!$C$42, 59.8699, 59.8699) * CHOOSE(CONTROL!$C$21, $C$9, 100%, $E$9)</f>
        <v>59.869900000000001</v>
      </c>
      <c r="P858" s="10">
        <f>CHOOSE(CONTROL!$C$42, 59.619, 59.619) * CHOOSE(CONTROL!$C$21, $C$9, 100%, $E$9)</f>
        <v>59.619</v>
      </c>
      <c r="Q858" s="10">
        <f>CHOOSE(CONTROL!$C$42, 60.4652, 60.4652) * CHOOSE(CONTROL!$C$21, $C$9, 100%, $E$9)</f>
        <v>60.465200000000003</v>
      </c>
      <c r="R858" s="10">
        <f>CHOOSE(CONTROL!$C$42, 61.2034, 61.2034) * CHOOSE(CONTROL!$C$21, $C$9, 100%, $E$9)</f>
        <v>61.203400000000002</v>
      </c>
      <c r="S858" s="10">
        <f>CHOOSE(CONTROL!$C$42, 58.5008, 58.5008) * CHOOSE(CONTROL!$C$21, $C$9, 100%, $E$9)</f>
        <v>58.500799999999998</v>
      </c>
      <c r="T858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858" s="58">
        <f>(1000*CHOOSE(CONTROL!$C$42, 695, 695)*CHOOSE(CONTROL!$C$42, 0.5599, 0.5599)*CHOOSE(CONTROL!$C$42, 30, 30))/1000000</f>
        <v>11.673914999999997</v>
      </c>
      <c r="V858" s="58">
        <f>(1000*CHOOSE(CONTROL!$C$42, 500, 500)*CHOOSE(CONTROL!$C$42, 0.275, 0.275)*CHOOSE(CONTROL!$C$42, 30, 30))/1000000</f>
        <v>4.125</v>
      </c>
      <c r="W858" s="58">
        <f>(1000*CHOOSE(CONTROL!$C$42, 0.1146, 0.1146)*CHOOSE(CONTROL!$C$42, 121.5, 121.5)*CHOOSE(CONTROL!$C$42, 30, 30))/1000000</f>
        <v>0.417717</v>
      </c>
      <c r="X858" s="58">
        <f>(30*0.1790888*245000/1000000)+(30*0.2374*100000/1000000)</f>
        <v>2.0285026799999999</v>
      </c>
      <c r="Y858" s="58"/>
      <c r="Z858" s="10"/>
      <c r="AA858" s="57"/>
      <c r="AB858" s="51">
        <f>(B858*194.205+C858*267.466+D858*133.845+E858*53.484+F858*40+G858*185+H858*0+I858*100+J858*300)/(194.205+267.466+133.845+53.484+0+40+185+100+300)</f>
        <v>60.26304315612245</v>
      </c>
      <c r="AC858" s="27">
        <f>(M858*'RAP TEMPLATE-GAS AVAILABILITY'!O857+N858*'RAP TEMPLATE-GAS AVAILABILITY'!P857+O858*'RAP TEMPLATE-GAS AVAILABILITY'!Q857+P858*'RAP TEMPLATE-GAS AVAILABILITY'!R857)/('RAP TEMPLATE-GAS AVAILABILITY'!O857+'RAP TEMPLATE-GAS AVAILABILITY'!P857+'RAP TEMPLATE-GAS AVAILABILITY'!Q857+'RAP TEMPLATE-GAS AVAILABILITY'!R857)</f>
        <v>59.730835251798567</v>
      </c>
    </row>
    <row r="859" spans="1:29" ht="15.75" x14ac:dyDescent="0.25">
      <c r="A859" s="13">
        <v>67053</v>
      </c>
      <c r="B859" s="10">
        <f>CHOOSE(CONTROL!$C$42, 59.0905, 59.0905) * CHOOSE(CONTROL!$C$21, $C$9, 100%, $E$9)</f>
        <v>59.090499999999999</v>
      </c>
      <c r="C859" s="10">
        <f>CHOOSE(CONTROL!$C$42, 59.0984, 59.0984) * CHOOSE(CONTROL!$C$21, $C$9, 100%, $E$9)</f>
        <v>59.098399999999998</v>
      </c>
      <c r="D859" s="10">
        <f>CHOOSE(CONTROL!$C$42, 59.2908, 59.2908) * CHOOSE(CONTROL!$C$21, $C$9, 100%, $E$9)</f>
        <v>59.290799999999997</v>
      </c>
      <c r="E859" s="10">
        <f>CHOOSE(CONTROL!$C$42, 59.322, 59.322) * CHOOSE(CONTROL!$C$21, $C$9, 100%, $E$9)</f>
        <v>59.322000000000003</v>
      </c>
      <c r="F859" s="10">
        <f>CHOOSE(CONTROL!$C$42, 59.0574, 59.0574)*CHOOSE(CONTROL!$C$21, $C$9, 100%, $E$9)</f>
        <v>59.057400000000001</v>
      </c>
      <c r="G859" s="10">
        <f>CHOOSE(CONTROL!$C$42, 59.0747, 59.0747)*CHOOSE(CONTROL!$C$21, $C$9, 100%, $E$9)</f>
        <v>59.0747</v>
      </c>
      <c r="H859" s="10">
        <f>CHOOSE(CONTROL!$C$42, 59.3106, 59.3106) * CHOOSE(CONTROL!$C$21, $C$9, 100%, $E$9)</f>
        <v>59.310600000000001</v>
      </c>
      <c r="I859" s="10">
        <f>CHOOSE(CONTROL!$C$42, 59.0571, 59.0571)* CHOOSE(CONTROL!$C$21, $C$9, 100%, $E$9)</f>
        <v>59.057099999999998</v>
      </c>
      <c r="J859" s="10">
        <f>CHOOSE(CONTROL!$C$42, 59.0504, 59.0504)* CHOOSE(CONTROL!$C$21, $C$9, 100%, $E$9)</f>
        <v>59.050400000000003</v>
      </c>
      <c r="K859" s="54">
        <f>CHOOSE(CONTROL!$C$42, 59.0532, 59.0532) * CHOOSE(CONTROL!$C$21, $C$9, 100%, $E$9)</f>
        <v>59.053199999999997</v>
      </c>
      <c r="L859" s="10">
        <f>CHOOSE(CONTROL!$C$42, 59.8976, 59.8976) * CHOOSE(CONTROL!$C$21, $C$9, 100%, $E$9)</f>
        <v>59.897599999999997</v>
      </c>
      <c r="M859" s="10">
        <f>CHOOSE(CONTROL!$C$42, 58.4683, 58.4683) * CHOOSE(CONTROL!$C$21, $C$9, 100%, $E$9)</f>
        <v>58.468299999999999</v>
      </c>
      <c r="N859" s="10">
        <f>CHOOSE(CONTROL!$C$42, 58.4854, 58.4854) * CHOOSE(CONTROL!$C$21, $C$9, 100%, $E$9)</f>
        <v>58.485399999999998</v>
      </c>
      <c r="O859" s="10">
        <f>CHOOSE(CONTROL!$C$42, 58.7259, 58.7259) * CHOOSE(CONTROL!$C$21, $C$9, 100%, $E$9)</f>
        <v>58.725900000000003</v>
      </c>
      <c r="P859" s="10">
        <f>CHOOSE(CONTROL!$C$42, 58.4749, 58.4749) * CHOOSE(CONTROL!$C$21, $C$9, 100%, $E$9)</f>
        <v>58.474899999999998</v>
      </c>
      <c r="Q859" s="10">
        <f>CHOOSE(CONTROL!$C$42, 59.3212, 59.3212) * CHOOSE(CONTROL!$C$21, $C$9, 100%, $E$9)</f>
        <v>59.321199999999997</v>
      </c>
      <c r="R859" s="10">
        <f>CHOOSE(CONTROL!$C$42, 60.0565, 60.0565) * CHOOSE(CONTROL!$C$21, $C$9, 100%, $E$9)</f>
        <v>60.0565</v>
      </c>
      <c r="S859" s="10">
        <f>CHOOSE(CONTROL!$C$42, 57.3785, 57.3785) * CHOOSE(CONTROL!$C$21, $C$9, 100%, $E$9)</f>
        <v>57.378500000000003</v>
      </c>
      <c r="T859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859" s="58">
        <f>(1000*CHOOSE(CONTROL!$C$42, 695, 695)*CHOOSE(CONTROL!$C$42, 0.5599, 0.5599)*CHOOSE(CONTROL!$C$42, 31, 31))/1000000</f>
        <v>12.063045499999998</v>
      </c>
      <c r="V859" s="58">
        <f>(1000*CHOOSE(CONTROL!$C$42, 500, 500)*CHOOSE(CONTROL!$C$42, 0.275, 0.275)*CHOOSE(CONTROL!$C$42, 31, 31))/1000000</f>
        <v>4.2625000000000002</v>
      </c>
      <c r="W859" s="58">
        <f>(1000*CHOOSE(CONTROL!$C$42, 0.1146, 0.1146)*CHOOSE(CONTROL!$C$42, 121.5, 121.5)*CHOOSE(CONTROL!$C$42, 31, 31))/1000000</f>
        <v>0.43164089999999994</v>
      </c>
      <c r="X859" s="58">
        <f>(31*0.1790888*245000/1000000)+(31*0.2374*100000/1000000)</f>
        <v>2.0961194359999999</v>
      </c>
      <c r="Y859" s="58"/>
      <c r="Z859" s="10"/>
      <c r="AA859" s="57"/>
      <c r="AB859" s="51">
        <f>(B859*194.205+C859*267.466+D859*133.845+E859*53.484+F859*40+G859*185+H859*0+I859*100+J859*300)/(194.205+267.466+133.845+53.484+0+40+185+100+300)</f>
        <v>59.107522512480372</v>
      </c>
      <c r="AC859" s="27">
        <f>(M859*'RAP TEMPLATE-GAS AVAILABILITY'!O858+N859*'RAP TEMPLATE-GAS AVAILABILITY'!P858+O859*'RAP TEMPLATE-GAS AVAILABILITY'!Q858+P859*'RAP TEMPLATE-GAS AVAILABILITY'!R858)/('RAP TEMPLATE-GAS AVAILABILITY'!O858+'RAP TEMPLATE-GAS AVAILABILITY'!P858+'RAP TEMPLATE-GAS AVAILABILITY'!Q858+'RAP TEMPLATE-GAS AVAILABILITY'!R858)</f>
        <v>58.586987769784173</v>
      </c>
    </row>
    <row r="860" spans="1:29" ht="15.75" x14ac:dyDescent="0.25">
      <c r="A860" s="13">
        <v>67084</v>
      </c>
      <c r="B860" s="10">
        <f>CHOOSE(CONTROL!$C$42, 56.172, 56.172) * CHOOSE(CONTROL!$C$21, $C$9, 100%, $E$9)</f>
        <v>56.171999999999997</v>
      </c>
      <c r="C860" s="10">
        <f>CHOOSE(CONTROL!$C$42, 56.1799, 56.1799) * CHOOSE(CONTROL!$C$21, $C$9, 100%, $E$9)</f>
        <v>56.179900000000004</v>
      </c>
      <c r="D860" s="10">
        <f>CHOOSE(CONTROL!$C$42, 56.3723, 56.3723) * CHOOSE(CONTROL!$C$21, $C$9, 100%, $E$9)</f>
        <v>56.372300000000003</v>
      </c>
      <c r="E860" s="10">
        <f>CHOOSE(CONTROL!$C$42, 56.4034, 56.4034) * CHOOSE(CONTROL!$C$21, $C$9, 100%, $E$9)</f>
        <v>56.403399999999998</v>
      </c>
      <c r="F860" s="10">
        <f>CHOOSE(CONTROL!$C$42, 56.139, 56.139)*CHOOSE(CONTROL!$C$21, $C$9, 100%, $E$9)</f>
        <v>56.139000000000003</v>
      </c>
      <c r="G860" s="10">
        <f>CHOOSE(CONTROL!$C$42, 56.1564, 56.1564)*CHOOSE(CONTROL!$C$21, $C$9, 100%, $E$9)</f>
        <v>56.156399999999998</v>
      </c>
      <c r="H860" s="10">
        <f>CHOOSE(CONTROL!$C$42, 56.3921, 56.3921) * CHOOSE(CONTROL!$C$21, $C$9, 100%, $E$9)</f>
        <v>56.392099999999999</v>
      </c>
      <c r="I860" s="10">
        <f>CHOOSE(CONTROL!$C$42, 56.1385, 56.1385)* CHOOSE(CONTROL!$C$21, $C$9, 100%, $E$9)</f>
        <v>56.138500000000001</v>
      </c>
      <c r="J860" s="10">
        <f>CHOOSE(CONTROL!$C$42, 56.132, 56.132)* CHOOSE(CONTROL!$C$21, $C$9, 100%, $E$9)</f>
        <v>56.131999999999998</v>
      </c>
      <c r="K860" s="54">
        <f>CHOOSE(CONTROL!$C$42, 56.1346, 56.1346) * CHOOSE(CONTROL!$C$21, $C$9, 100%, $E$9)</f>
        <v>56.134599999999999</v>
      </c>
      <c r="L860" s="10">
        <f>CHOOSE(CONTROL!$C$42, 56.9791, 56.9791) * CHOOSE(CONTROL!$C$21, $C$9, 100%, $E$9)</f>
        <v>56.979100000000003</v>
      </c>
      <c r="M860" s="10">
        <f>CHOOSE(CONTROL!$C$42, 55.5794, 55.5794) * CHOOSE(CONTROL!$C$21, $C$9, 100%, $E$9)</f>
        <v>55.5794</v>
      </c>
      <c r="N860" s="10">
        <f>CHOOSE(CONTROL!$C$42, 55.5965, 55.5965) * CHOOSE(CONTROL!$C$21, $C$9, 100%, $E$9)</f>
        <v>55.596499999999999</v>
      </c>
      <c r="O860" s="10">
        <f>CHOOSE(CONTROL!$C$42, 55.8368, 55.8368) * CHOOSE(CONTROL!$C$21, $C$9, 100%, $E$9)</f>
        <v>55.836799999999997</v>
      </c>
      <c r="P860" s="10">
        <f>CHOOSE(CONTROL!$C$42, 55.5859, 55.5859) * CHOOSE(CONTROL!$C$21, $C$9, 100%, $E$9)</f>
        <v>55.585900000000002</v>
      </c>
      <c r="Q860" s="10">
        <f>CHOOSE(CONTROL!$C$42, 56.4321, 56.4321) * CHOOSE(CONTROL!$C$21, $C$9, 100%, $E$9)</f>
        <v>56.432099999999998</v>
      </c>
      <c r="R860" s="10">
        <f>CHOOSE(CONTROL!$C$42, 57.1602, 57.1602) * CHOOSE(CONTROL!$C$21, $C$9, 100%, $E$9)</f>
        <v>57.160200000000003</v>
      </c>
      <c r="S860" s="10">
        <f>CHOOSE(CONTROL!$C$42, 54.5443, 54.5443) * CHOOSE(CONTROL!$C$21, $C$9, 100%, $E$9)</f>
        <v>54.5443</v>
      </c>
      <c r="T860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860" s="58">
        <f>(1000*CHOOSE(CONTROL!$C$42, 695, 695)*CHOOSE(CONTROL!$C$42, 0.5599, 0.5599)*CHOOSE(CONTROL!$C$42, 31, 31))/1000000</f>
        <v>12.063045499999998</v>
      </c>
      <c r="V860" s="58">
        <f>(1000*CHOOSE(CONTROL!$C$42, 500, 500)*CHOOSE(CONTROL!$C$42, 0.275, 0.275)*CHOOSE(CONTROL!$C$42, 31, 31))/1000000</f>
        <v>4.2625000000000002</v>
      </c>
      <c r="W860" s="58">
        <f>(1000*CHOOSE(CONTROL!$C$42, 0.1146, 0.1146)*CHOOSE(CONTROL!$C$42, 121.5, 121.5)*CHOOSE(CONTROL!$C$42, 31, 31))/1000000</f>
        <v>0.43164089999999994</v>
      </c>
      <c r="X860" s="58">
        <f>(31*0.1790888*245000/1000000)+(31*0.2374*100000/1000000)</f>
        <v>2.0961194359999999</v>
      </c>
      <c r="Y860" s="58"/>
      <c r="Z860" s="10"/>
      <c r="AA860" s="57"/>
      <c r="AB860" s="51">
        <f>(B860*194.205+C860*267.466+D860*133.845+E860*53.484+F860*40+G860*185+H860*0+I860*100+J860*300)/(194.205+267.466+133.845+53.484+0+40+185+100+300)</f>
        <v>56.189066195054941</v>
      </c>
      <c r="AC860" s="27">
        <f>(M860*'RAP TEMPLATE-GAS AVAILABILITY'!O859+N860*'RAP TEMPLATE-GAS AVAILABILITY'!P859+O860*'RAP TEMPLATE-GAS AVAILABILITY'!Q859+P860*'RAP TEMPLATE-GAS AVAILABILITY'!R859)/('RAP TEMPLATE-GAS AVAILABILITY'!O859+'RAP TEMPLATE-GAS AVAILABILITY'!P859+'RAP TEMPLATE-GAS AVAILABILITY'!Q859+'RAP TEMPLATE-GAS AVAILABILITY'!R859)</f>
        <v>55.69798273381295</v>
      </c>
    </row>
    <row r="861" spans="1:29" ht="15.75" x14ac:dyDescent="0.25">
      <c r="A861" s="13">
        <v>67114</v>
      </c>
      <c r="B861" s="10">
        <f>CHOOSE(CONTROL!$C$42, 52.6057, 52.6057) * CHOOSE(CONTROL!$C$21, $C$9, 100%, $E$9)</f>
        <v>52.605699999999999</v>
      </c>
      <c r="C861" s="10">
        <f>CHOOSE(CONTROL!$C$42, 52.6136, 52.6136) * CHOOSE(CONTROL!$C$21, $C$9, 100%, $E$9)</f>
        <v>52.613599999999998</v>
      </c>
      <c r="D861" s="10">
        <f>CHOOSE(CONTROL!$C$42, 52.806, 52.806) * CHOOSE(CONTROL!$C$21, $C$9, 100%, $E$9)</f>
        <v>52.805999999999997</v>
      </c>
      <c r="E861" s="10">
        <f>CHOOSE(CONTROL!$C$42, 52.8372, 52.8372) * CHOOSE(CONTROL!$C$21, $C$9, 100%, $E$9)</f>
        <v>52.837200000000003</v>
      </c>
      <c r="F861" s="10">
        <f>CHOOSE(CONTROL!$C$42, 52.5726, 52.5726)*CHOOSE(CONTROL!$C$21, $C$9, 100%, $E$9)</f>
        <v>52.572600000000001</v>
      </c>
      <c r="G861" s="10">
        <f>CHOOSE(CONTROL!$C$42, 52.5899, 52.5899)*CHOOSE(CONTROL!$C$21, $C$9, 100%, $E$9)</f>
        <v>52.5899</v>
      </c>
      <c r="H861" s="10">
        <f>CHOOSE(CONTROL!$C$42, 52.8258, 52.8258) * CHOOSE(CONTROL!$C$21, $C$9, 100%, $E$9)</f>
        <v>52.825800000000001</v>
      </c>
      <c r="I861" s="10">
        <f>CHOOSE(CONTROL!$C$42, 52.5722, 52.5722)* CHOOSE(CONTROL!$C$21, $C$9, 100%, $E$9)</f>
        <v>52.572200000000002</v>
      </c>
      <c r="J861" s="10">
        <f>CHOOSE(CONTROL!$C$42, 52.5656, 52.5656)* CHOOSE(CONTROL!$C$21, $C$9, 100%, $E$9)</f>
        <v>52.565600000000003</v>
      </c>
      <c r="K861" s="54">
        <f>CHOOSE(CONTROL!$C$42, 52.5684, 52.5684) * CHOOSE(CONTROL!$C$21, $C$9, 100%, $E$9)</f>
        <v>52.568399999999997</v>
      </c>
      <c r="L861" s="10">
        <f>CHOOSE(CONTROL!$C$42, 53.4128, 53.4128) * CHOOSE(CONTROL!$C$21, $C$9, 100%, $E$9)</f>
        <v>53.412799999999997</v>
      </c>
      <c r="M861" s="10">
        <f>CHOOSE(CONTROL!$C$42, 52.0489, 52.0489) * CHOOSE(CONTROL!$C$21, $C$9, 100%, $E$9)</f>
        <v>52.048900000000003</v>
      </c>
      <c r="N861" s="10">
        <f>CHOOSE(CONTROL!$C$42, 52.066, 52.066) * CHOOSE(CONTROL!$C$21, $C$9, 100%, $E$9)</f>
        <v>52.066000000000003</v>
      </c>
      <c r="O861" s="10">
        <f>CHOOSE(CONTROL!$C$42, 52.3065, 52.3065) * CHOOSE(CONTROL!$C$21, $C$9, 100%, $E$9)</f>
        <v>52.3065</v>
      </c>
      <c r="P861" s="10">
        <f>CHOOSE(CONTROL!$C$42, 52.0556, 52.0556) * CHOOSE(CONTROL!$C$21, $C$9, 100%, $E$9)</f>
        <v>52.055599999999998</v>
      </c>
      <c r="Q861" s="10">
        <f>CHOOSE(CONTROL!$C$42, 52.9018, 52.9018) * CHOOSE(CONTROL!$C$21, $C$9, 100%, $E$9)</f>
        <v>52.901800000000001</v>
      </c>
      <c r="R861" s="10">
        <f>CHOOSE(CONTROL!$C$42, 53.6211, 53.6211) * CHOOSE(CONTROL!$C$21, $C$9, 100%, $E$9)</f>
        <v>53.621099999999998</v>
      </c>
      <c r="S861" s="10">
        <f>CHOOSE(CONTROL!$C$42, 51.0811, 51.0811) * CHOOSE(CONTROL!$C$21, $C$9, 100%, $E$9)</f>
        <v>51.081099999999999</v>
      </c>
      <c r="T861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861" s="58">
        <f>(1000*CHOOSE(CONTROL!$C$42, 695, 695)*CHOOSE(CONTROL!$C$42, 0.5599, 0.5599)*CHOOSE(CONTROL!$C$42, 30, 30))/1000000</f>
        <v>11.673914999999997</v>
      </c>
      <c r="V861" s="58">
        <f>(1000*CHOOSE(CONTROL!$C$42, 500, 500)*CHOOSE(CONTROL!$C$42, 0.275, 0.275)*CHOOSE(CONTROL!$C$42, 30, 30))/1000000</f>
        <v>4.125</v>
      </c>
      <c r="W861" s="58">
        <f>(1000*CHOOSE(CONTROL!$C$42, 0.1146, 0.1146)*CHOOSE(CONTROL!$C$42, 121.5, 121.5)*CHOOSE(CONTROL!$C$42, 30, 30))/1000000</f>
        <v>0.417717</v>
      </c>
      <c r="X861" s="58">
        <f>(30*0.1790888*245000/1000000)+(30*0.2374*100000/1000000)</f>
        <v>2.0285026799999999</v>
      </c>
      <c r="Y861" s="58"/>
      <c r="Z861" s="10"/>
      <c r="AA861" s="57"/>
      <c r="AB861" s="51">
        <f>(B861*194.205+C861*267.466+D861*133.845+E861*53.484+F861*40+G861*185+H861*0+I861*100+J861*300)/(194.205+267.466+133.845+53.484+0+40+185+100+300)</f>
        <v>52.622714663186827</v>
      </c>
      <c r="AC861" s="27">
        <f>(M861*'RAP TEMPLATE-GAS AVAILABILITY'!O860+N861*'RAP TEMPLATE-GAS AVAILABILITY'!P860+O861*'RAP TEMPLATE-GAS AVAILABILITY'!Q860+P861*'RAP TEMPLATE-GAS AVAILABILITY'!R860)/('RAP TEMPLATE-GAS AVAILABILITY'!O860+'RAP TEMPLATE-GAS AVAILABILITY'!P860+'RAP TEMPLATE-GAS AVAILABILITY'!Q860+'RAP TEMPLATE-GAS AVAILABILITY'!R860)</f>
        <v>52.167602158273382</v>
      </c>
    </row>
    <row r="862" spans="1:29" ht="15.75" x14ac:dyDescent="0.25">
      <c r="A862" s="13">
        <v>67145</v>
      </c>
      <c r="B862" s="10">
        <f>CHOOSE(CONTROL!$C$42, 51.5359, 51.5359) * CHOOSE(CONTROL!$C$21, $C$9, 100%, $E$9)</f>
        <v>51.535899999999998</v>
      </c>
      <c r="C862" s="10">
        <f>CHOOSE(CONTROL!$C$42, 51.5411, 51.5411) * CHOOSE(CONTROL!$C$21, $C$9, 100%, $E$9)</f>
        <v>51.5411</v>
      </c>
      <c r="D862" s="10">
        <f>CHOOSE(CONTROL!$C$42, 51.7385, 51.7385) * CHOOSE(CONTROL!$C$21, $C$9, 100%, $E$9)</f>
        <v>51.738500000000002</v>
      </c>
      <c r="E862" s="10">
        <f>CHOOSE(CONTROL!$C$42, 51.7673, 51.7673) * CHOOSE(CONTROL!$C$21, $C$9, 100%, $E$9)</f>
        <v>51.767299999999999</v>
      </c>
      <c r="F862" s="10">
        <f>CHOOSE(CONTROL!$C$42, 51.5048, 51.5048)*CHOOSE(CONTROL!$C$21, $C$9, 100%, $E$9)</f>
        <v>51.504800000000003</v>
      </c>
      <c r="G862" s="10">
        <f>CHOOSE(CONTROL!$C$42, 51.5218, 51.5218)*CHOOSE(CONTROL!$C$21, $C$9, 100%, $E$9)</f>
        <v>51.521799999999999</v>
      </c>
      <c r="H862" s="10">
        <f>CHOOSE(CONTROL!$C$42, 51.7578, 51.7578) * CHOOSE(CONTROL!$C$21, $C$9, 100%, $E$9)</f>
        <v>51.757800000000003</v>
      </c>
      <c r="I862" s="10">
        <f>CHOOSE(CONTROL!$C$42, 51.5042, 51.5042)* CHOOSE(CONTROL!$C$21, $C$9, 100%, $E$9)</f>
        <v>51.504199999999997</v>
      </c>
      <c r="J862" s="10">
        <f>CHOOSE(CONTROL!$C$42, 51.4978, 51.4978)* CHOOSE(CONTROL!$C$21, $C$9, 100%, $E$9)</f>
        <v>51.497799999999998</v>
      </c>
      <c r="K862" s="54">
        <f>CHOOSE(CONTROL!$C$42, 51.5004, 51.5004) * CHOOSE(CONTROL!$C$21, $C$9, 100%, $E$9)</f>
        <v>51.500399999999999</v>
      </c>
      <c r="L862" s="10">
        <f>CHOOSE(CONTROL!$C$42, 52.3448, 52.3448) * CHOOSE(CONTROL!$C$21, $C$9, 100%, $E$9)</f>
        <v>52.344799999999999</v>
      </c>
      <c r="M862" s="10">
        <f>CHOOSE(CONTROL!$C$42, 50.9919, 50.9919) * CHOOSE(CONTROL!$C$21, $C$9, 100%, $E$9)</f>
        <v>50.991900000000001</v>
      </c>
      <c r="N862" s="10">
        <f>CHOOSE(CONTROL!$C$42, 51.0087, 51.0087) * CHOOSE(CONTROL!$C$21, $C$9, 100%, $E$9)</f>
        <v>51.008699999999997</v>
      </c>
      <c r="O862" s="10">
        <f>CHOOSE(CONTROL!$C$42, 51.2493, 51.2493) * CHOOSE(CONTROL!$C$21, $C$9, 100%, $E$9)</f>
        <v>51.249299999999998</v>
      </c>
      <c r="P862" s="10">
        <f>CHOOSE(CONTROL!$C$42, 50.9983, 50.9983) * CHOOSE(CONTROL!$C$21, $C$9, 100%, $E$9)</f>
        <v>50.9983</v>
      </c>
      <c r="Q862" s="10">
        <f>CHOOSE(CONTROL!$C$42, 51.8446, 51.8446) * CHOOSE(CONTROL!$C$21, $C$9, 100%, $E$9)</f>
        <v>51.8446</v>
      </c>
      <c r="R862" s="10">
        <f>CHOOSE(CONTROL!$C$42, 52.5612, 52.5612) * CHOOSE(CONTROL!$C$21, $C$9, 100%, $E$9)</f>
        <v>52.561199999999999</v>
      </c>
      <c r="S862" s="10">
        <f>CHOOSE(CONTROL!$C$42, 50.044, 50.044) * CHOOSE(CONTROL!$C$21, $C$9, 100%, $E$9)</f>
        <v>50.043999999999997</v>
      </c>
      <c r="T862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862" s="58">
        <f>(1000*CHOOSE(CONTROL!$C$42, 695, 695)*CHOOSE(CONTROL!$C$42, 0.5599, 0.5599)*CHOOSE(CONTROL!$C$42, 31, 31))/1000000</f>
        <v>12.063045499999998</v>
      </c>
      <c r="V862" s="58">
        <f>(1000*CHOOSE(CONTROL!$C$42, 500, 500)*CHOOSE(CONTROL!$C$42, 0.275, 0.275)*CHOOSE(CONTROL!$C$42, 31, 31))/1000000</f>
        <v>4.2625000000000002</v>
      </c>
      <c r="W862" s="58">
        <f>(1000*CHOOSE(CONTROL!$C$42, 0.1146, 0.1146)*CHOOSE(CONTROL!$C$42, 121.5, 121.5)*CHOOSE(CONTROL!$C$42, 31, 31))/1000000</f>
        <v>0.43164089999999994</v>
      </c>
      <c r="X862" s="58">
        <f>(31*0.1790888*245000/1000000)+(31*0.2374*100000/1000000)</f>
        <v>2.0961194359999999</v>
      </c>
      <c r="Y862" s="58"/>
      <c r="Z862" s="10"/>
      <c r="AA862" s="57"/>
      <c r="AB862" s="51">
        <f>(B862*131.881+C862*277.167+D862*79.08+E862*125.872+F862*40+G862*185+H862*0+I862*100+J862*300)/(131.881+277.167+79.08+125.872+0+40+185+100+300)</f>
        <v>51.558609569975779</v>
      </c>
      <c r="AC862" s="27">
        <f>(M862*'RAP TEMPLATE-GAS AVAILABILITY'!O861+N862*'RAP TEMPLATE-GAS AVAILABILITY'!P861+O862*'RAP TEMPLATE-GAS AVAILABILITY'!Q861+P862*'RAP TEMPLATE-GAS AVAILABILITY'!R861)/('RAP TEMPLATE-GAS AVAILABILITY'!O861+'RAP TEMPLATE-GAS AVAILABILITY'!P861+'RAP TEMPLATE-GAS AVAILABILITY'!Q861+'RAP TEMPLATE-GAS AVAILABILITY'!R861)</f>
        <v>51.110451079136695</v>
      </c>
    </row>
    <row r="863" spans="1:29" ht="15.75" x14ac:dyDescent="0.25">
      <c r="A863" s="13">
        <v>67175</v>
      </c>
      <c r="B863" s="10">
        <f>CHOOSE(CONTROL!$C$42, 52.8931, 52.8931) * CHOOSE(CONTROL!$C$21, $C$9, 100%, $E$9)</f>
        <v>52.893099999999997</v>
      </c>
      <c r="C863" s="10">
        <f>CHOOSE(CONTROL!$C$42, 52.8981, 52.8981) * CHOOSE(CONTROL!$C$21, $C$9, 100%, $E$9)</f>
        <v>52.898099999999999</v>
      </c>
      <c r="D863" s="10">
        <f>CHOOSE(CONTROL!$C$42, 52.9277, 52.9277) * CHOOSE(CONTROL!$C$21, $C$9, 100%, $E$9)</f>
        <v>52.927700000000002</v>
      </c>
      <c r="E863" s="10">
        <f>CHOOSE(CONTROL!$C$42, 52.9615, 52.9615) * CHOOSE(CONTROL!$C$21, $C$9, 100%, $E$9)</f>
        <v>52.961500000000001</v>
      </c>
      <c r="F863" s="10">
        <f>CHOOSE(CONTROL!$C$42, 52.8599, 52.8599)*CHOOSE(CONTROL!$C$21, $C$9, 100%, $E$9)</f>
        <v>52.859900000000003</v>
      </c>
      <c r="G863" s="10">
        <f>CHOOSE(CONTROL!$C$42, 52.877, 52.877)*CHOOSE(CONTROL!$C$21, $C$9, 100%, $E$9)</f>
        <v>52.877000000000002</v>
      </c>
      <c r="H863" s="10">
        <f>CHOOSE(CONTROL!$C$42, 52.9506, 52.9506) * CHOOSE(CONTROL!$C$21, $C$9, 100%, $E$9)</f>
        <v>52.950600000000001</v>
      </c>
      <c r="I863" s="10">
        <f>CHOOSE(CONTROL!$C$42, 52.8567, 52.8567)* CHOOSE(CONTROL!$C$21, $C$9, 100%, $E$9)</f>
        <v>52.856699999999996</v>
      </c>
      <c r="J863" s="10">
        <f>CHOOSE(CONTROL!$C$42, 52.8529, 52.8529)* CHOOSE(CONTROL!$C$21, $C$9, 100%, $E$9)</f>
        <v>52.852899999999998</v>
      </c>
      <c r="K863" s="54">
        <f>CHOOSE(CONTROL!$C$42, 52.8528, 52.8528) * CHOOSE(CONTROL!$C$21, $C$9, 100%, $E$9)</f>
        <v>52.852800000000002</v>
      </c>
      <c r="L863" s="10">
        <f>CHOOSE(CONTROL!$C$42, 53.5376, 53.5376) * CHOOSE(CONTROL!$C$21, $C$9, 100%, $E$9)</f>
        <v>53.537599999999998</v>
      </c>
      <c r="M863" s="10">
        <f>CHOOSE(CONTROL!$C$42, 52.3334, 52.3334) * CHOOSE(CONTROL!$C$21, $C$9, 100%, $E$9)</f>
        <v>52.333399999999997</v>
      </c>
      <c r="N863" s="10">
        <f>CHOOSE(CONTROL!$C$42, 52.3503, 52.3503) * CHOOSE(CONTROL!$C$21, $C$9, 100%, $E$9)</f>
        <v>52.350299999999997</v>
      </c>
      <c r="O863" s="10">
        <f>CHOOSE(CONTROL!$C$42, 52.4301, 52.4301) * CHOOSE(CONTROL!$C$21, $C$9, 100%, $E$9)</f>
        <v>52.430100000000003</v>
      </c>
      <c r="P863" s="10">
        <f>CHOOSE(CONTROL!$C$42, 52.3372, 52.3372) * CHOOSE(CONTROL!$C$21, $C$9, 100%, $E$9)</f>
        <v>52.337200000000003</v>
      </c>
      <c r="Q863" s="10">
        <f>CHOOSE(CONTROL!$C$42, 53.0254, 53.0254) * CHOOSE(CONTROL!$C$21, $C$9, 100%, $E$9)</f>
        <v>53.025399999999998</v>
      </c>
      <c r="R863" s="10">
        <f>CHOOSE(CONTROL!$C$42, 53.745, 53.745) * CHOOSE(CONTROL!$C$21, $C$9, 100%, $E$9)</f>
        <v>53.744999999999997</v>
      </c>
      <c r="S863" s="10">
        <f>CHOOSE(CONTROL!$C$42, 51.3624, 51.3624) * CHOOSE(CONTROL!$C$21, $C$9, 100%, $E$9)</f>
        <v>51.362400000000001</v>
      </c>
      <c r="T863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863" s="58">
        <f>(1000*CHOOSE(CONTROL!$C$42, 695, 695)*CHOOSE(CONTROL!$C$42, 0.5599, 0.5599)*CHOOSE(CONTROL!$C$42, 30, 30))/1000000</f>
        <v>11.673914999999997</v>
      </c>
      <c r="V863" s="58">
        <f>(1000*CHOOSE(CONTROL!$C$42, 500, 500)*CHOOSE(CONTROL!$C$42, 0.275, 0.275)*CHOOSE(CONTROL!$C$42, 30, 30))/1000000</f>
        <v>4.125</v>
      </c>
      <c r="W863" s="58">
        <f>(1000*CHOOSE(CONTROL!$C$42, 0.1146, 0.1146)*CHOOSE(CONTROL!$C$42, 121.5, 121.5)*CHOOSE(CONTROL!$C$42, 30, 30))/1000000</f>
        <v>0.417717</v>
      </c>
      <c r="X863" s="58">
        <f>(30*0.1790888*100000/1000000)+(30*0.2374*100000/1000000)</f>
        <v>1.2494664</v>
      </c>
      <c r="Y863" s="58"/>
      <c r="Z863" s="10"/>
      <c r="AA863" s="57"/>
      <c r="AB863" s="51">
        <f>(B863*122.58+C863*297.941+D863*89.177+E863*40.302+F863*40+G863*160+H863*0+I863*100+J863*300)/(122.58+297.941+89.177+40.302+0+40+160+100+300)</f>
        <v>52.882428596521734</v>
      </c>
      <c r="AC863" s="27">
        <f>(M863*'RAP TEMPLATE-GAS AVAILABILITY'!O862+N863*'RAP TEMPLATE-GAS AVAILABILITY'!P862+O863*'RAP TEMPLATE-GAS AVAILABILITY'!Q862+P863*'RAP TEMPLATE-GAS AVAILABILITY'!R862)/('RAP TEMPLATE-GAS AVAILABILITY'!O862+'RAP TEMPLATE-GAS AVAILABILITY'!P862+'RAP TEMPLATE-GAS AVAILABILITY'!Q862+'RAP TEMPLATE-GAS AVAILABILITY'!R862)</f>
        <v>52.37874748201439</v>
      </c>
    </row>
    <row r="864" spans="1:29" ht="15.75" x14ac:dyDescent="0.25">
      <c r="A864" s="13">
        <v>67206</v>
      </c>
      <c r="B864" s="10">
        <f>CHOOSE(CONTROL!$C$42, 56.4991, 56.4991) * CHOOSE(CONTROL!$C$21, $C$9, 100%, $E$9)</f>
        <v>56.499099999999999</v>
      </c>
      <c r="C864" s="10">
        <f>CHOOSE(CONTROL!$C$42, 56.5041, 56.5041) * CHOOSE(CONTROL!$C$21, $C$9, 100%, $E$9)</f>
        <v>56.504100000000001</v>
      </c>
      <c r="D864" s="10">
        <f>CHOOSE(CONTROL!$C$42, 56.5337, 56.5337) * CHOOSE(CONTROL!$C$21, $C$9, 100%, $E$9)</f>
        <v>56.533700000000003</v>
      </c>
      <c r="E864" s="10">
        <f>CHOOSE(CONTROL!$C$42, 56.5675, 56.5675) * CHOOSE(CONTROL!$C$21, $C$9, 100%, $E$9)</f>
        <v>56.567500000000003</v>
      </c>
      <c r="F864" s="10">
        <f>CHOOSE(CONTROL!$C$42, 56.4673, 56.4673)*CHOOSE(CONTROL!$C$21, $C$9, 100%, $E$9)</f>
        <v>56.467300000000002</v>
      </c>
      <c r="G864" s="10">
        <f>CHOOSE(CONTROL!$C$42, 56.4848, 56.4848)*CHOOSE(CONTROL!$C$21, $C$9, 100%, $E$9)</f>
        <v>56.4848</v>
      </c>
      <c r="H864" s="10">
        <f>CHOOSE(CONTROL!$C$42, 56.5567, 56.5567) * CHOOSE(CONTROL!$C$21, $C$9, 100%, $E$9)</f>
        <v>56.556699999999999</v>
      </c>
      <c r="I864" s="10">
        <f>CHOOSE(CONTROL!$C$42, 56.4627, 56.4627)* CHOOSE(CONTROL!$C$21, $C$9, 100%, $E$9)</f>
        <v>56.462699999999998</v>
      </c>
      <c r="J864" s="10">
        <f>CHOOSE(CONTROL!$C$42, 56.4603, 56.4603)* CHOOSE(CONTROL!$C$21, $C$9, 100%, $E$9)</f>
        <v>56.460299999999997</v>
      </c>
      <c r="K864" s="54">
        <f>CHOOSE(CONTROL!$C$42, 56.4588, 56.4588) * CHOOSE(CONTROL!$C$21, $C$9, 100%, $E$9)</f>
        <v>56.458799999999997</v>
      </c>
      <c r="L864" s="10">
        <f>CHOOSE(CONTROL!$C$42, 57.1437, 57.1437) * CHOOSE(CONTROL!$C$21, $C$9, 100%, $E$9)</f>
        <v>57.143700000000003</v>
      </c>
      <c r="M864" s="10">
        <f>CHOOSE(CONTROL!$C$42, 55.9044, 55.9044) * CHOOSE(CONTROL!$C$21, $C$9, 100%, $E$9)</f>
        <v>55.904400000000003</v>
      </c>
      <c r="N864" s="10">
        <f>CHOOSE(CONTROL!$C$42, 55.9217, 55.9217) * CHOOSE(CONTROL!$C$21, $C$9, 100%, $E$9)</f>
        <v>55.921700000000001</v>
      </c>
      <c r="O864" s="10">
        <f>CHOOSE(CONTROL!$C$42, 55.9997, 55.9997) * CHOOSE(CONTROL!$C$21, $C$9, 100%, $E$9)</f>
        <v>55.999699999999997</v>
      </c>
      <c r="P864" s="10">
        <f>CHOOSE(CONTROL!$C$42, 55.9068, 55.9068) * CHOOSE(CONTROL!$C$21, $C$9, 100%, $E$9)</f>
        <v>55.906799999999997</v>
      </c>
      <c r="Q864" s="10">
        <f>CHOOSE(CONTROL!$C$42, 56.595, 56.595) * CHOOSE(CONTROL!$C$21, $C$9, 100%, $E$9)</f>
        <v>56.594999999999999</v>
      </c>
      <c r="R864" s="10">
        <f>CHOOSE(CONTROL!$C$42, 57.3235, 57.3235) * CHOOSE(CONTROL!$C$21, $C$9, 100%, $E$9)</f>
        <v>57.323500000000003</v>
      </c>
      <c r="S864" s="10">
        <f>CHOOSE(CONTROL!$C$42, 54.8642, 54.8642) * CHOOSE(CONTROL!$C$21, $C$9, 100%, $E$9)</f>
        <v>54.864199999999997</v>
      </c>
      <c r="T864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864" s="58">
        <f>(1000*CHOOSE(CONTROL!$C$42, 695, 695)*CHOOSE(CONTROL!$C$42, 0.5599, 0.5599)*CHOOSE(CONTROL!$C$42, 31, 31))/1000000</f>
        <v>12.063045499999998</v>
      </c>
      <c r="V864" s="58">
        <f>(1000*CHOOSE(CONTROL!$C$42, 500, 500)*CHOOSE(CONTROL!$C$42, 0.275, 0.275)*CHOOSE(CONTROL!$C$42, 31, 31))/1000000</f>
        <v>4.2625000000000002</v>
      </c>
      <c r="W864" s="58">
        <f>(1000*CHOOSE(CONTROL!$C$42, 0.1146, 0.1146)*CHOOSE(CONTROL!$C$42, 121.5, 121.5)*CHOOSE(CONTROL!$C$42, 31, 31))/1000000</f>
        <v>0.43164089999999994</v>
      </c>
      <c r="X864" s="58">
        <f>(31*0.1790888*100000/1000000)+(31*0.2374*100000/1000000)</f>
        <v>1.2911152800000001</v>
      </c>
      <c r="Y864" s="58"/>
      <c r="Z864" s="10"/>
      <c r="AA864" s="57"/>
      <c r="AB864" s="51">
        <f>(B864*122.58+C864*297.941+D864*89.177+E864*40.302+F864*40+G864*160+H864*0+I864*100+J864*300)/(122.58+297.941+89.177+40.302+0+40+160+100+300)</f>
        <v>56.489092944347824</v>
      </c>
      <c r="AC864" s="27">
        <f>(M864*'RAP TEMPLATE-GAS AVAILABILITY'!O863+N864*'RAP TEMPLATE-GAS AVAILABILITY'!P863+O864*'RAP TEMPLATE-GAS AVAILABILITY'!Q863+P864*'RAP TEMPLATE-GAS AVAILABILITY'!R863)/('RAP TEMPLATE-GAS AVAILABILITY'!O863+'RAP TEMPLATE-GAS AVAILABILITY'!P863+'RAP TEMPLATE-GAS AVAILABILITY'!Q863+'RAP TEMPLATE-GAS AVAILABILITY'!R863)</f>
        <v>55.948934532374103</v>
      </c>
    </row>
    <row r="865" spans="1:29" ht="15.75" x14ac:dyDescent="0.25">
      <c r="A865" s="13">
        <v>67237</v>
      </c>
      <c r="B865" s="10">
        <f>CHOOSE(CONTROL!$C$42, 61.1283, 61.1283) * CHOOSE(CONTROL!$C$21, $C$9, 100%, $E$9)</f>
        <v>61.128300000000003</v>
      </c>
      <c r="C865" s="10">
        <f>CHOOSE(CONTROL!$C$42, 61.1332, 61.1332) * CHOOSE(CONTROL!$C$21, $C$9, 100%, $E$9)</f>
        <v>61.133200000000002</v>
      </c>
      <c r="D865" s="10">
        <f>CHOOSE(CONTROL!$C$42, 61.1834, 61.1834) * CHOOSE(CONTROL!$C$21, $C$9, 100%, $E$9)</f>
        <v>61.183399999999999</v>
      </c>
      <c r="E865" s="10">
        <f>CHOOSE(CONTROL!$C$42, 61.2172, 61.2172) * CHOOSE(CONTROL!$C$21, $C$9, 100%, $E$9)</f>
        <v>61.217199999999998</v>
      </c>
      <c r="F865" s="10">
        <f>CHOOSE(CONTROL!$C$42, 61.0936, 61.0936)*CHOOSE(CONTROL!$C$21, $C$9, 100%, $E$9)</f>
        <v>61.093600000000002</v>
      </c>
      <c r="G865" s="10">
        <f>CHOOSE(CONTROL!$C$42, 61.1112, 61.1112)*CHOOSE(CONTROL!$C$21, $C$9, 100%, $E$9)</f>
        <v>61.111199999999997</v>
      </c>
      <c r="H865" s="10">
        <f>CHOOSE(CONTROL!$C$42, 61.2064, 61.2064) * CHOOSE(CONTROL!$C$21, $C$9, 100%, $E$9)</f>
        <v>61.206400000000002</v>
      </c>
      <c r="I865" s="10">
        <f>CHOOSE(CONTROL!$C$42, 61.1022, 61.1022)* CHOOSE(CONTROL!$C$21, $C$9, 100%, $E$9)</f>
        <v>61.102200000000003</v>
      </c>
      <c r="J865" s="10">
        <f>CHOOSE(CONTROL!$C$42, 61.0866, 61.0866)* CHOOSE(CONTROL!$C$21, $C$9, 100%, $E$9)</f>
        <v>61.086599999999997</v>
      </c>
      <c r="K865" s="54">
        <f>CHOOSE(CONTROL!$C$42, 61.0983, 61.0983) * CHOOSE(CONTROL!$C$21, $C$9, 100%, $E$9)</f>
        <v>61.098300000000002</v>
      </c>
      <c r="L865" s="10">
        <f>CHOOSE(CONTROL!$C$42, 61.7934, 61.7934) * CHOOSE(CONTROL!$C$21, $C$9, 100%, $E$9)</f>
        <v>61.793399999999998</v>
      </c>
      <c r="M865" s="10">
        <f>CHOOSE(CONTROL!$C$42, 60.484, 60.484) * CHOOSE(CONTROL!$C$21, $C$9, 100%, $E$9)</f>
        <v>60.484000000000002</v>
      </c>
      <c r="N865" s="10">
        <f>CHOOSE(CONTROL!$C$42, 60.5014, 60.5014) * CHOOSE(CONTROL!$C$21, $C$9, 100%, $E$9)</f>
        <v>60.501399999999997</v>
      </c>
      <c r="O865" s="10">
        <f>CHOOSE(CONTROL!$C$42, 60.6025, 60.6025) * CHOOSE(CONTROL!$C$21, $C$9, 100%, $E$9)</f>
        <v>60.602499999999999</v>
      </c>
      <c r="P865" s="10">
        <f>CHOOSE(CONTROL!$C$42, 60.4994, 60.4994) * CHOOSE(CONTROL!$C$21, $C$9, 100%, $E$9)</f>
        <v>60.499400000000001</v>
      </c>
      <c r="Q865" s="10">
        <f>CHOOSE(CONTROL!$C$42, 61.1978, 61.1978) * CHOOSE(CONTROL!$C$21, $C$9, 100%, $E$9)</f>
        <v>61.197800000000001</v>
      </c>
      <c r="R865" s="10">
        <f>CHOOSE(CONTROL!$C$42, 61.9378, 61.9378) * CHOOSE(CONTROL!$C$21, $C$9, 100%, $E$9)</f>
        <v>61.937800000000003</v>
      </c>
      <c r="S865" s="10">
        <f>CHOOSE(CONTROL!$C$42, 59.3595, 59.3595) * CHOOSE(CONTROL!$C$21, $C$9, 100%, $E$9)</f>
        <v>59.359499999999997</v>
      </c>
      <c r="T865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865" s="58">
        <f>(1000*CHOOSE(CONTROL!$C$42, 695, 695)*CHOOSE(CONTROL!$C$42, 0.5599, 0.5599)*CHOOSE(CONTROL!$C$42, 31, 31))/1000000</f>
        <v>12.063045499999998</v>
      </c>
      <c r="V865" s="58">
        <f>(1000*CHOOSE(CONTROL!$C$42, 500, 500)*CHOOSE(CONTROL!$C$42, 0.275, 0.275)*CHOOSE(CONTROL!$C$42, 31, 31))/1000000</f>
        <v>4.2625000000000002</v>
      </c>
      <c r="W865" s="58">
        <f>(1000*CHOOSE(CONTROL!$C$42, 0.1146, 0.1146)*CHOOSE(CONTROL!$C$42, 121.5, 121.5)*CHOOSE(CONTROL!$C$42, 31, 31))/1000000</f>
        <v>0.43164089999999994</v>
      </c>
      <c r="X865" s="58">
        <f>(31*0.1790888*100000/1000000)+(31*0.2374*100000/1000000)</f>
        <v>1.2911152800000001</v>
      </c>
      <c r="Y865" s="58"/>
      <c r="Z865" s="10"/>
      <c r="AA865" s="57"/>
      <c r="AB865" s="51">
        <f>(B865*122.58+C865*297.941+D865*89.177+E865*40.302+F865*40+G865*160+H865*0+I865*100+J865*300)/(122.58+297.941+89.177+40.302+0+40+160+100+300)</f>
        <v>61.120223836000001</v>
      </c>
      <c r="AC865" s="27">
        <f>(M865*'RAP TEMPLATE-GAS AVAILABILITY'!O864+N865*'RAP TEMPLATE-GAS AVAILABILITY'!P864+O865*'RAP TEMPLATE-GAS AVAILABILITY'!Q864+P865*'RAP TEMPLATE-GAS AVAILABILITY'!R864)/('RAP TEMPLATE-GAS AVAILABILITY'!O864+'RAP TEMPLATE-GAS AVAILABILITY'!P864+'RAP TEMPLATE-GAS AVAILABILITY'!Q864+'RAP TEMPLATE-GAS AVAILABILITY'!R864)</f>
        <v>60.54092589928058</v>
      </c>
    </row>
    <row r="866" spans="1:29" ht="15.75" x14ac:dyDescent="0.25">
      <c r="A866" s="13">
        <v>67266</v>
      </c>
      <c r="B866" s="10">
        <f>CHOOSE(CONTROL!$C$42, 62.2164, 62.2164) * CHOOSE(CONTROL!$C$21, $C$9, 100%, $E$9)</f>
        <v>62.2164</v>
      </c>
      <c r="C866" s="10">
        <f>CHOOSE(CONTROL!$C$42, 62.2213, 62.2213) * CHOOSE(CONTROL!$C$21, $C$9, 100%, $E$9)</f>
        <v>62.221299999999999</v>
      </c>
      <c r="D866" s="10">
        <f>CHOOSE(CONTROL!$C$42, 62.2818, 62.2818) * CHOOSE(CONTROL!$C$21, $C$9, 100%, $E$9)</f>
        <v>62.281799999999997</v>
      </c>
      <c r="E866" s="10">
        <f>CHOOSE(CONTROL!$C$42, 62.3156, 62.3156) * CHOOSE(CONTROL!$C$21, $C$9, 100%, $E$9)</f>
        <v>62.315600000000003</v>
      </c>
      <c r="F866" s="10">
        <f>CHOOSE(CONTROL!$C$42, 62.2096, 62.2096)*CHOOSE(CONTROL!$C$21, $C$9, 100%, $E$9)</f>
        <v>62.209600000000002</v>
      </c>
      <c r="G866" s="10">
        <f>CHOOSE(CONTROL!$C$42, 62.2269, 62.2269)*CHOOSE(CONTROL!$C$21, $C$9, 100%, $E$9)</f>
        <v>62.226900000000001</v>
      </c>
      <c r="H866" s="10">
        <f>CHOOSE(CONTROL!$C$42, 62.3048, 62.3048) * CHOOSE(CONTROL!$C$21, $C$9, 100%, $E$9)</f>
        <v>62.3048</v>
      </c>
      <c r="I866" s="10">
        <f>CHOOSE(CONTROL!$C$42, 62.2031, 62.2031)* CHOOSE(CONTROL!$C$21, $C$9, 100%, $E$9)</f>
        <v>62.203099999999999</v>
      </c>
      <c r="J866" s="10">
        <f>CHOOSE(CONTROL!$C$42, 62.2026, 62.2026)* CHOOSE(CONTROL!$C$21, $C$9, 100%, $E$9)</f>
        <v>62.202599999999997</v>
      </c>
      <c r="K866" s="54">
        <f>CHOOSE(CONTROL!$C$42, 62.1993, 62.1993) * CHOOSE(CONTROL!$C$21, $C$9, 100%, $E$9)</f>
        <v>62.199300000000001</v>
      </c>
      <c r="L866" s="10">
        <f>CHOOSE(CONTROL!$C$42, 62.8918, 62.8918) * CHOOSE(CONTROL!$C$21, $C$9, 100%, $E$9)</f>
        <v>62.891800000000003</v>
      </c>
      <c r="M866" s="10">
        <f>CHOOSE(CONTROL!$C$42, 61.5887, 61.5887) * CHOOSE(CONTROL!$C$21, $C$9, 100%, $E$9)</f>
        <v>61.588700000000003</v>
      </c>
      <c r="N866" s="10">
        <f>CHOOSE(CONTROL!$C$42, 61.6058, 61.6058) * CHOOSE(CONTROL!$C$21, $C$9, 100%, $E$9)</f>
        <v>61.605800000000002</v>
      </c>
      <c r="O866" s="10">
        <f>CHOOSE(CONTROL!$C$42, 61.6899, 61.6899) * CHOOSE(CONTROL!$C$21, $C$9, 100%, $E$9)</f>
        <v>61.689900000000002</v>
      </c>
      <c r="P866" s="10">
        <f>CHOOSE(CONTROL!$C$42, 61.5893, 61.5893) * CHOOSE(CONTROL!$C$21, $C$9, 100%, $E$9)</f>
        <v>61.589300000000001</v>
      </c>
      <c r="Q866" s="10">
        <f>CHOOSE(CONTROL!$C$42, 62.2852, 62.2852) * CHOOSE(CONTROL!$C$21, $C$9, 100%, $E$9)</f>
        <v>62.285200000000003</v>
      </c>
      <c r="R866" s="10">
        <f>CHOOSE(CONTROL!$C$42, 63.0279, 63.0279) * CHOOSE(CONTROL!$C$21, $C$9, 100%, $E$9)</f>
        <v>63.027900000000002</v>
      </c>
      <c r="S866" s="10">
        <f>CHOOSE(CONTROL!$C$42, 60.4162, 60.4162) * CHOOSE(CONTROL!$C$21, $C$9, 100%, $E$9)</f>
        <v>60.416200000000003</v>
      </c>
      <c r="T866" s="5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866" s="58">
        <f>(1000*CHOOSE(CONTROL!$C$42, 695, 695)*CHOOSE(CONTROL!$C$42, 0.5599, 0.5599)*CHOOSE(CONTROL!$C$42, 29, 29))/1000000</f>
        <v>11.284784499999999</v>
      </c>
      <c r="V866" s="58">
        <f>(1000*CHOOSE(CONTROL!$C$42, 500, 500)*CHOOSE(CONTROL!$C$42, 0.275, 0.275)*CHOOSE(CONTROL!$C$42, 29, 29))/1000000</f>
        <v>3.9874999999999998</v>
      </c>
      <c r="W866" s="58">
        <f>(1000*CHOOSE(CONTROL!$C$42, 0.1146, 0.1146)*CHOOSE(CONTROL!$C$42, 121.5, 121.5)*CHOOSE(CONTROL!$C$42, 29, 29))/1000000</f>
        <v>0.40379309999999996</v>
      </c>
      <c r="X866" s="58">
        <f>(29*0.1790888*100000/1000000)+(29*0.2374*100000/1000000)</f>
        <v>1.2078175199999999</v>
      </c>
      <c r="Y866" s="58"/>
      <c r="Z866" s="10"/>
      <c r="AA866" s="57"/>
      <c r="AB866" s="51">
        <f>(B866*122.58+C866*297.941+D866*89.177+E866*40.302+F866*40+G866*160+H866*0+I866*100+J866*300)/(122.58+297.941+89.177+40.302+0+40+160+100+300)</f>
        <v>62.222685256608692</v>
      </c>
      <c r="AC866" s="27">
        <f>(M866*'RAP TEMPLATE-GAS AVAILABILITY'!O865+N866*'RAP TEMPLATE-GAS AVAILABILITY'!P865+O866*'RAP TEMPLATE-GAS AVAILABILITY'!Q865+P866*'RAP TEMPLATE-GAS AVAILABILITY'!R865)/('RAP TEMPLATE-GAS AVAILABILITY'!O865+'RAP TEMPLATE-GAS AVAILABILITY'!P865+'RAP TEMPLATE-GAS AVAILABILITY'!Q865+'RAP TEMPLATE-GAS AVAILABILITY'!R865)</f>
        <v>61.6356381294964</v>
      </c>
    </row>
    <row r="867" spans="1:29" ht="15.75" x14ac:dyDescent="0.25">
      <c r="A867" s="13">
        <v>67297</v>
      </c>
      <c r="B867" s="10">
        <f>CHOOSE(CONTROL!$C$42, 60.4501, 60.4501) * CHOOSE(CONTROL!$C$21, $C$9, 100%, $E$9)</f>
        <v>60.450099999999999</v>
      </c>
      <c r="C867" s="10">
        <f>CHOOSE(CONTROL!$C$42, 60.4551, 60.4551) * CHOOSE(CONTROL!$C$21, $C$9, 100%, $E$9)</f>
        <v>60.455100000000002</v>
      </c>
      <c r="D867" s="10">
        <f>CHOOSE(CONTROL!$C$42, 60.5156, 60.5156) * CHOOSE(CONTROL!$C$21, $C$9, 100%, $E$9)</f>
        <v>60.515599999999999</v>
      </c>
      <c r="E867" s="10">
        <f>CHOOSE(CONTROL!$C$42, 60.5493, 60.5493) * CHOOSE(CONTROL!$C$21, $C$9, 100%, $E$9)</f>
        <v>60.549300000000002</v>
      </c>
      <c r="F867" s="10">
        <f>CHOOSE(CONTROL!$C$42, 60.4378, 60.4378)*CHOOSE(CONTROL!$C$21, $C$9, 100%, $E$9)</f>
        <v>60.437800000000003</v>
      </c>
      <c r="G867" s="10">
        <f>CHOOSE(CONTROL!$C$42, 60.455, 60.455)*CHOOSE(CONTROL!$C$21, $C$9, 100%, $E$9)</f>
        <v>60.454999999999998</v>
      </c>
      <c r="H867" s="10">
        <f>CHOOSE(CONTROL!$C$42, 60.5385, 60.5385) * CHOOSE(CONTROL!$C$21, $C$9, 100%, $E$9)</f>
        <v>60.538499999999999</v>
      </c>
      <c r="I867" s="10">
        <f>CHOOSE(CONTROL!$C$42, 60.424, 60.424)* CHOOSE(CONTROL!$C$21, $C$9, 100%, $E$9)</f>
        <v>60.423999999999999</v>
      </c>
      <c r="J867" s="10">
        <f>CHOOSE(CONTROL!$C$42, 60.4308, 60.4308)* CHOOSE(CONTROL!$C$21, $C$9, 100%, $E$9)</f>
        <v>60.430799999999998</v>
      </c>
      <c r="K867" s="54">
        <f>CHOOSE(CONTROL!$C$42, 60.4201, 60.4201) * CHOOSE(CONTROL!$C$21, $C$9, 100%, $E$9)</f>
        <v>60.420099999999998</v>
      </c>
      <c r="L867" s="10">
        <f>CHOOSE(CONTROL!$C$42, 61.1255, 61.1255) * CHOOSE(CONTROL!$C$21, $C$9, 100%, $E$9)</f>
        <v>61.125500000000002</v>
      </c>
      <c r="M867" s="10">
        <f>CHOOSE(CONTROL!$C$42, 59.8348, 59.8348) * CHOOSE(CONTROL!$C$21, $C$9, 100%, $E$9)</f>
        <v>59.834800000000001</v>
      </c>
      <c r="N867" s="10">
        <f>CHOOSE(CONTROL!$C$42, 59.8518, 59.8518) * CHOOSE(CONTROL!$C$21, $C$9, 100%, $E$9)</f>
        <v>59.851799999999997</v>
      </c>
      <c r="O867" s="10">
        <f>CHOOSE(CONTROL!$C$42, 59.9414, 59.9414) * CHOOSE(CONTROL!$C$21, $C$9, 100%, $E$9)</f>
        <v>59.941400000000002</v>
      </c>
      <c r="P867" s="10">
        <f>CHOOSE(CONTROL!$C$42, 59.8281, 59.8281) * CHOOSE(CONTROL!$C$21, $C$9, 100%, $E$9)</f>
        <v>59.828099999999999</v>
      </c>
      <c r="Q867" s="10">
        <f>CHOOSE(CONTROL!$C$42, 60.5367, 60.5367) * CHOOSE(CONTROL!$C$21, $C$9, 100%, $E$9)</f>
        <v>60.536700000000003</v>
      </c>
      <c r="R867" s="10">
        <f>CHOOSE(CONTROL!$C$42, 61.2751, 61.2751) * CHOOSE(CONTROL!$C$21, $C$9, 100%, $E$9)</f>
        <v>61.275100000000002</v>
      </c>
      <c r="S867" s="10">
        <f>CHOOSE(CONTROL!$C$42, 58.701, 58.701) * CHOOSE(CONTROL!$C$21, $C$9, 100%, $E$9)</f>
        <v>58.701000000000001</v>
      </c>
      <c r="T867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867" s="58">
        <f>(1000*CHOOSE(CONTROL!$C$42, 695, 695)*CHOOSE(CONTROL!$C$42, 0.5599, 0.5599)*CHOOSE(CONTROL!$C$42, 31, 31))/1000000</f>
        <v>12.063045499999998</v>
      </c>
      <c r="V867" s="58">
        <f>(1000*CHOOSE(CONTROL!$C$42, 500, 500)*CHOOSE(CONTROL!$C$42, 0.275, 0.275)*CHOOSE(CONTROL!$C$42, 31, 31))/1000000</f>
        <v>4.2625000000000002</v>
      </c>
      <c r="W867" s="58">
        <f>(1000*CHOOSE(CONTROL!$C$42, 0.1146, 0.1146)*CHOOSE(CONTROL!$C$42, 121.5, 121.5)*CHOOSE(CONTROL!$C$42, 31, 31))/1000000</f>
        <v>0.43164089999999994</v>
      </c>
      <c r="X867" s="58">
        <f>(31*0.1790888*100000/1000000)+(31*0.2374*100000/1000000)</f>
        <v>1.2911152800000001</v>
      </c>
      <c r="Y867" s="58"/>
      <c r="Z867" s="10"/>
      <c r="AA867" s="57"/>
      <c r="AB867" s="51">
        <f>(B867*122.58+C867*297.941+D867*89.177+E867*40.302+F867*40+G867*160+H867*0+I867*100+J867*300)/(122.58+297.941+89.177+40.302+0+40+160+100+300)</f>
        <v>60.45290065817391</v>
      </c>
      <c r="AC867" s="27">
        <f>(M867*'RAP TEMPLATE-GAS AVAILABILITY'!O866+N867*'RAP TEMPLATE-GAS AVAILABILITY'!P866+O867*'RAP TEMPLATE-GAS AVAILABILITY'!Q866+P867*'RAP TEMPLATE-GAS AVAILABILITY'!R866)/('RAP TEMPLATE-GAS AVAILABILITY'!O866+'RAP TEMPLATE-GAS AVAILABILITY'!P866+'RAP TEMPLATE-GAS AVAILABILITY'!Q866+'RAP TEMPLATE-GAS AVAILABILITY'!R866)</f>
        <v>59.883129496402873</v>
      </c>
    </row>
    <row r="868" spans="1:29" ht="15.75" x14ac:dyDescent="0.25">
      <c r="A868" s="13">
        <v>67327</v>
      </c>
      <c r="B868" s="10">
        <f>CHOOSE(CONTROL!$C$42, 60.2703, 60.2703) * CHOOSE(CONTROL!$C$21, $C$9, 100%, $E$9)</f>
        <v>60.270299999999999</v>
      </c>
      <c r="C868" s="10">
        <f>CHOOSE(CONTROL!$C$42, 60.2747, 60.2747) * CHOOSE(CONTROL!$C$21, $C$9, 100%, $E$9)</f>
        <v>60.274700000000003</v>
      </c>
      <c r="D868" s="10">
        <f>CHOOSE(CONTROL!$C$42, 60.4702, 60.4702) * CHOOSE(CONTROL!$C$21, $C$9, 100%, $E$9)</f>
        <v>60.470199999999998</v>
      </c>
      <c r="E868" s="10">
        <f>CHOOSE(CONTROL!$C$42, 60.502, 60.502) * CHOOSE(CONTROL!$C$21, $C$9, 100%, $E$9)</f>
        <v>60.502000000000002</v>
      </c>
      <c r="F868" s="10">
        <f>CHOOSE(CONTROL!$C$42, 60.2381, 60.2381)*CHOOSE(CONTROL!$C$21, $C$9, 100%, $E$9)</f>
        <v>60.238100000000003</v>
      </c>
      <c r="G868" s="10">
        <f>CHOOSE(CONTROL!$C$42, 60.2549, 60.2549)*CHOOSE(CONTROL!$C$21, $C$9, 100%, $E$9)</f>
        <v>60.254899999999999</v>
      </c>
      <c r="H868" s="10">
        <f>CHOOSE(CONTROL!$C$42, 60.4918, 60.4918) * CHOOSE(CONTROL!$C$21, $C$9, 100%, $E$9)</f>
        <v>60.491799999999998</v>
      </c>
      <c r="I868" s="10">
        <f>CHOOSE(CONTROL!$C$42, 60.2382, 60.2382)* CHOOSE(CONTROL!$C$21, $C$9, 100%, $E$9)</f>
        <v>60.238199999999999</v>
      </c>
      <c r="J868" s="10">
        <f>CHOOSE(CONTROL!$C$42, 60.2311, 60.2311)* CHOOSE(CONTROL!$C$21, $C$9, 100%, $E$9)</f>
        <v>60.231099999999998</v>
      </c>
      <c r="K868" s="54">
        <f>CHOOSE(CONTROL!$C$42, 60.2344, 60.2344) * CHOOSE(CONTROL!$C$21, $C$9, 100%, $E$9)</f>
        <v>60.234400000000001</v>
      </c>
      <c r="L868" s="10">
        <f>CHOOSE(CONTROL!$C$42, 61.0788, 61.0788) * CHOOSE(CONTROL!$C$21, $C$9, 100%, $E$9)</f>
        <v>61.078800000000001</v>
      </c>
      <c r="M868" s="10">
        <f>CHOOSE(CONTROL!$C$42, 59.6371, 59.6371) * CHOOSE(CONTROL!$C$21, $C$9, 100%, $E$9)</f>
        <v>59.637099999999997</v>
      </c>
      <c r="N868" s="10">
        <f>CHOOSE(CONTROL!$C$42, 59.6537, 59.6537) * CHOOSE(CONTROL!$C$21, $C$9, 100%, $E$9)</f>
        <v>59.653700000000001</v>
      </c>
      <c r="O868" s="10">
        <f>CHOOSE(CONTROL!$C$42, 59.8952, 59.8952) * CHOOSE(CONTROL!$C$21, $C$9, 100%, $E$9)</f>
        <v>59.895200000000003</v>
      </c>
      <c r="P868" s="10">
        <f>CHOOSE(CONTROL!$C$42, 59.6442, 59.6442) * CHOOSE(CONTROL!$C$21, $C$9, 100%, $E$9)</f>
        <v>59.644199999999998</v>
      </c>
      <c r="Q868" s="10">
        <f>CHOOSE(CONTROL!$C$42, 60.4905, 60.4905) * CHOOSE(CONTROL!$C$21, $C$9, 100%, $E$9)</f>
        <v>60.490499999999997</v>
      </c>
      <c r="R868" s="10">
        <f>CHOOSE(CONTROL!$C$42, 61.2287, 61.2287) * CHOOSE(CONTROL!$C$21, $C$9, 100%, $E$9)</f>
        <v>61.228700000000003</v>
      </c>
      <c r="S868" s="10">
        <f>CHOOSE(CONTROL!$C$42, 58.5256, 58.5256) * CHOOSE(CONTROL!$C$21, $C$9, 100%, $E$9)</f>
        <v>58.525599999999997</v>
      </c>
      <c r="T868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868" s="58">
        <f>(1000*CHOOSE(CONTROL!$C$42, 695, 695)*CHOOSE(CONTROL!$C$42, 0.5599, 0.5599)*CHOOSE(CONTROL!$C$42, 30, 30))/1000000</f>
        <v>11.673914999999997</v>
      </c>
      <c r="V868" s="58">
        <f>(1000*CHOOSE(CONTROL!$C$42, 500, 500)*CHOOSE(CONTROL!$C$42, 0.275, 0.275)*CHOOSE(CONTROL!$C$42, 30, 30))/1000000</f>
        <v>4.125</v>
      </c>
      <c r="W868" s="58">
        <f>(1000*CHOOSE(CONTROL!$C$42, 0.1146, 0.1146)*CHOOSE(CONTROL!$C$42, 121.5, 121.5)*CHOOSE(CONTROL!$C$42, 30, 30))/1000000</f>
        <v>0.417717</v>
      </c>
      <c r="X868" s="58">
        <f>(30*0.1790888*245000/1000000)+(30*0.2374*100000/1000000)</f>
        <v>2.0285026799999999</v>
      </c>
      <c r="Y868" s="58"/>
      <c r="Z868" s="10"/>
      <c r="AA868" s="57"/>
      <c r="AB868" s="51">
        <f>(B868*141.293+C868*267.993+D868*115.016+E868*89.698+F868*40+G868*185+H868*0+I868*100+J868*300)/(141.293+267.993+115.016+89.698+0+40+185+100+300)</f>
        <v>60.2911610929782</v>
      </c>
      <c r="AC868" s="27">
        <f>(M868*'RAP TEMPLATE-GAS AVAILABILITY'!O867+N868*'RAP TEMPLATE-GAS AVAILABILITY'!P867+O868*'RAP TEMPLATE-GAS AVAILABILITY'!Q867+P868*'RAP TEMPLATE-GAS AVAILABILITY'!R867)/('RAP TEMPLATE-GAS AVAILABILITY'!O867+'RAP TEMPLATE-GAS AVAILABILITY'!P867+'RAP TEMPLATE-GAS AVAILABILITY'!Q867+'RAP TEMPLATE-GAS AVAILABILITY'!R867)</f>
        <v>59.756057553956836</v>
      </c>
    </row>
    <row r="869" spans="1:29" ht="15.75" x14ac:dyDescent="0.25">
      <c r="A869" s="13">
        <v>67358</v>
      </c>
      <c r="B869" s="10">
        <f>CHOOSE(CONTROL!$C$42, 60.8036, 60.8036) * CHOOSE(CONTROL!$C$21, $C$9, 100%, $E$9)</f>
        <v>60.803600000000003</v>
      </c>
      <c r="C869" s="10">
        <f>CHOOSE(CONTROL!$C$42, 60.8115, 60.8115) * CHOOSE(CONTROL!$C$21, $C$9, 100%, $E$9)</f>
        <v>60.811500000000002</v>
      </c>
      <c r="D869" s="10">
        <f>CHOOSE(CONTROL!$C$42, 61.0039, 61.0039) * CHOOSE(CONTROL!$C$21, $C$9, 100%, $E$9)</f>
        <v>61.003900000000002</v>
      </c>
      <c r="E869" s="10">
        <f>CHOOSE(CONTROL!$C$42, 61.0351, 61.0351) * CHOOSE(CONTROL!$C$21, $C$9, 100%, $E$9)</f>
        <v>61.0351</v>
      </c>
      <c r="F869" s="10">
        <f>CHOOSE(CONTROL!$C$42, 60.7698, 60.7698)*CHOOSE(CONTROL!$C$21, $C$9, 100%, $E$9)</f>
        <v>60.769799999999996</v>
      </c>
      <c r="G869" s="10">
        <f>CHOOSE(CONTROL!$C$42, 60.787, 60.787)*CHOOSE(CONTROL!$C$21, $C$9, 100%, $E$9)</f>
        <v>60.786999999999999</v>
      </c>
      <c r="H869" s="10">
        <f>CHOOSE(CONTROL!$C$42, 61.0237, 61.0237) * CHOOSE(CONTROL!$C$21, $C$9, 100%, $E$9)</f>
        <v>61.023699999999998</v>
      </c>
      <c r="I869" s="10">
        <f>CHOOSE(CONTROL!$C$42, 60.7702, 60.7702)* CHOOSE(CONTROL!$C$21, $C$9, 100%, $E$9)</f>
        <v>60.770200000000003</v>
      </c>
      <c r="J869" s="10">
        <f>CHOOSE(CONTROL!$C$42, 60.7628, 60.7628)* CHOOSE(CONTROL!$C$21, $C$9, 100%, $E$9)</f>
        <v>60.762799999999999</v>
      </c>
      <c r="K869" s="54">
        <f>CHOOSE(CONTROL!$C$42, 60.7663, 60.7663) * CHOOSE(CONTROL!$C$21, $C$9, 100%, $E$9)</f>
        <v>60.766300000000001</v>
      </c>
      <c r="L869" s="10">
        <f>CHOOSE(CONTROL!$C$42, 61.6107, 61.6107) * CHOOSE(CONTROL!$C$21, $C$9, 100%, $E$9)</f>
        <v>61.610700000000001</v>
      </c>
      <c r="M869" s="10">
        <f>CHOOSE(CONTROL!$C$42, 60.1635, 60.1635) * CHOOSE(CONTROL!$C$21, $C$9, 100%, $E$9)</f>
        <v>60.163499999999999</v>
      </c>
      <c r="N869" s="10">
        <f>CHOOSE(CONTROL!$C$42, 60.1804, 60.1804) * CHOOSE(CONTROL!$C$21, $C$9, 100%, $E$9)</f>
        <v>60.180399999999999</v>
      </c>
      <c r="O869" s="10">
        <f>CHOOSE(CONTROL!$C$42, 60.4217, 60.4217) * CHOOSE(CONTROL!$C$21, $C$9, 100%, $E$9)</f>
        <v>60.421700000000001</v>
      </c>
      <c r="P869" s="10">
        <f>CHOOSE(CONTROL!$C$42, 60.1708, 60.1708) * CHOOSE(CONTROL!$C$21, $C$9, 100%, $E$9)</f>
        <v>60.1708</v>
      </c>
      <c r="Q869" s="10">
        <f>CHOOSE(CONTROL!$C$42, 61.017, 61.017) * CHOOSE(CONTROL!$C$21, $C$9, 100%, $E$9)</f>
        <v>61.017000000000003</v>
      </c>
      <c r="R869" s="10">
        <f>CHOOSE(CONTROL!$C$42, 61.7565, 61.7565) * CHOOSE(CONTROL!$C$21, $C$9, 100%, $E$9)</f>
        <v>61.756500000000003</v>
      </c>
      <c r="S869" s="10">
        <f>CHOOSE(CONTROL!$C$42, 59.0421, 59.0421) * CHOOSE(CONTROL!$C$21, $C$9, 100%, $E$9)</f>
        <v>59.042099999999998</v>
      </c>
      <c r="T869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869" s="58">
        <f>(1000*CHOOSE(CONTROL!$C$42, 695, 695)*CHOOSE(CONTROL!$C$42, 0.5599, 0.5599)*CHOOSE(CONTROL!$C$42, 31, 31))/1000000</f>
        <v>12.063045499999998</v>
      </c>
      <c r="V869" s="58">
        <f>(1000*CHOOSE(CONTROL!$C$42, 500, 500)*CHOOSE(CONTROL!$C$42, 0.275, 0.275)*CHOOSE(CONTROL!$C$42, 31, 31))/1000000</f>
        <v>4.2625000000000002</v>
      </c>
      <c r="W869" s="58">
        <f>(1000*CHOOSE(CONTROL!$C$42, 0.1146, 0.1146)*CHOOSE(CONTROL!$C$42, 121.5, 121.5)*CHOOSE(CONTROL!$C$42, 31, 31))/1000000</f>
        <v>0.43164089999999994</v>
      </c>
      <c r="X869" s="58">
        <f>(31*0.1790888*245000/1000000)+(31*0.2374*100000/1000000)</f>
        <v>2.0961194359999999</v>
      </c>
      <c r="Y869" s="58"/>
      <c r="Z869" s="10"/>
      <c r="AA869" s="57"/>
      <c r="AB869" s="51">
        <f>(B869*194.205+C869*267.466+D869*133.845+E869*53.484+F869*40+G869*185+H869*0+I869*100+J869*300)/(194.205+267.466+133.845+53.484+0+40+185+100+300)</f>
        <v>60.820319529748815</v>
      </c>
      <c r="AC869" s="27">
        <f>(M869*'RAP TEMPLATE-GAS AVAILABILITY'!O868+N869*'RAP TEMPLATE-GAS AVAILABILITY'!P868+O869*'RAP TEMPLATE-GAS AVAILABILITY'!Q868+P869*'RAP TEMPLATE-GAS AVAILABILITY'!R868)/('RAP TEMPLATE-GAS AVAILABILITY'!O868+'RAP TEMPLATE-GAS AVAILABILITY'!P868+'RAP TEMPLATE-GAS AVAILABILITY'!Q868+'RAP TEMPLATE-GAS AVAILABILITY'!R868)</f>
        <v>60.282548920863313</v>
      </c>
    </row>
    <row r="870" spans="1:29" ht="15.75" x14ac:dyDescent="0.25">
      <c r="A870" s="13">
        <v>67388</v>
      </c>
      <c r="B870" s="10">
        <f>CHOOSE(CONTROL!$C$42, 62.5282, 62.5282) * CHOOSE(CONTROL!$C$21, $C$9, 100%, $E$9)</f>
        <v>62.528199999999998</v>
      </c>
      <c r="C870" s="10">
        <f>CHOOSE(CONTROL!$C$42, 62.5361, 62.5361) * CHOOSE(CONTROL!$C$21, $C$9, 100%, $E$9)</f>
        <v>62.536099999999998</v>
      </c>
      <c r="D870" s="10">
        <f>CHOOSE(CONTROL!$C$42, 62.7286, 62.7286) * CHOOSE(CONTROL!$C$21, $C$9, 100%, $E$9)</f>
        <v>62.7286</v>
      </c>
      <c r="E870" s="10">
        <f>CHOOSE(CONTROL!$C$42, 62.7597, 62.7597) * CHOOSE(CONTROL!$C$21, $C$9, 100%, $E$9)</f>
        <v>62.759700000000002</v>
      </c>
      <c r="F870" s="10">
        <f>CHOOSE(CONTROL!$C$42, 62.4947, 62.4947)*CHOOSE(CONTROL!$C$21, $C$9, 100%, $E$9)</f>
        <v>62.494700000000002</v>
      </c>
      <c r="G870" s="10">
        <f>CHOOSE(CONTROL!$C$42, 62.5119, 62.5119)*CHOOSE(CONTROL!$C$21, $C$9, 100%, $E$9)</f>
        <v>62.511899999999997</v>
      </c>
      <c r="H870" s="10">
        <f>CHOOSE(CONTROL!$C$42, 62.7483, 62.7483) * CHOOSE(CONTROL!$C$21, $C$9, 100%, $E$9)</f>
        <v>62.7483</v>
      </c>
      <c r="I870" s="10">
        <f>CHOOSE(CONTROL!$C$42, 62.4948, 62.4948)* CHOOSE(CONTROL!$C$21, $C$9, 100%, $E$9)</f>
        <v>62.494799999999998</v>
      </c>
      <c r="J870" s="10">
        <f>CHOOSE(CONTROL!$C$42, 62.4877, 62.4877)* CHOOSE(CONTROL!$C$21, $C$9, 100%, $E$9)</f>
        <v>62.487699999999997</v>
      </c>
      <c r="K870" s="54">
        <f>CHOOSE(CONTROL!$C$42, 62.4909, 62.4909) * CHOOSE(CONTROL!$C$21, $C$9, 100%, $E$9)</f>
        <v>62.490900000000003</v>
      </c>
      <c r="L870" s="10">
        <f>CHOOSE(CONTROL!$C$42, 63.3353, 63.3353) * CHOOSE(CONTROL!$C$21, $C$9, 100%, $E$9)</f>
        <v>63.335299999999997</v>
      </c>
      <c r="M870" s="10">
        <f>CHOOSE(CONTROL!$C$42, 61.8709, 61.8709) * CHOOSE(CONTROL!$C$21, $C$9, 100%, $E$9)</f>
        <v>61.870899999999999</v>
      </c>
      <c r="N870" s="10">
        <f>CHOOSE(CONTROL!$C$42, 61.8879, 61.8879) * CHOOSE(CONTROL!$C$21, $C$9, 100%, $E$9)</f>
        <v>61.887900000000002</v>
      </c>
      <c r="O870" s="10">
        <f>CHOOSE(CONTROL!$C$42, 62.1289, 62.1289) * CHOOSE(CONTROL!$C$21, $C$9, 100%, $E$9)</f>
        <v>62.128900000000002</v>
      </c>
      <c r="P870" s="10">
        <f>CHOOSE(CONTROL!$C$42, 61.878, 61.878) * CHOOSE(CONTROL!$C$21, $C$9, 100%, $E$9)</f>
        <v>61.878</v>
      </c>
      <c r="Q870" s="10">
        <f>CHOOSE(CONTROL!$C$42, 62.7242, 62.7242) * CHOOSE(CONTROL!$C$21, $C$9, 100%, $E$9)</f>
        <v>62.724200000000003</v>
      </c>
      <c r="R870" s="10">
        <f>CHOOSE(CONTROL!$C$42, 63.468, 63.468) * CHOOSE(CONTROL!$C$21, $C$9, 100%, $E$9)</f>
        <v>63.468000000000004</v>
      </c>
      <c r="S870" s="10">
        <f>CHOOSE(CONTROL!$C$42, 60.7169, 60.7169) * CHOOSE(CONTROL!$C$21, $C$9, 100%, $E$9)</f>
        <v>60.716900000000003</v>
      </c>
      <c r="T870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870" s="58">
        <f>(1000*CHOOSE(CONTROL!$C$42, 695, 695)*CHOOSE(CONTROL!$C$42, 0.5599, 0.5599)*CHOOSE(CONTROL!$C$42, 30, 30))/1000000</f>
        <v>11.673914999999997</v>
      </c>
      <c r="V870" s="58">
        <f>(1000*CHOOSE(CONTROL!$C$42, 500, 500)*CHOOSE(CONTROL!$C$42, 0.275, 0.275)*CHOOSE(CONTROL!$C$42, 30, 30))/1000000</f>
        <v>4.125</v>
      </c>
      <c r="W870" s="58">
        <f>(1000*CHOOSE(CONTROL!$C$42, 0.1146, 0.1146)*CHOOSE(CONTROL!$C$42, 121.5, 121.5)*CHOOSE(CONTROL!$C$42, 30, 30))/1000000</f>
        <v>0.417717</v>
      </c>
      <c r="X870" s="58">
        <f>(30*0.1790888*245000/1000000)+(30*0.2374*100000/1000000)</f>
        <v>2.0285026799999999</v>
      </c>
      <c r="Y870" s="58"/>
      <c r="Z870" s="10"/>
      <c r="AA870" s="57"/>
      <c r="AB870" s="51">
        <f>(B870*194.205+C870*267.466+D870*133.845+E870*53.484+F870*40+G870*185+H870*0+I870*100+J870*300)/(194.205+267.466+133.845+53.484+0+40+185+100+300)</f>
        <v>62.545053662009408</v>
      </c>
      <c r="AC870" s="27">
        <f>(M870*'RAP TEMPLATE-GAS AVAILABILITY'!O869+N870*'RAP TEMPLATE-GAS AVAILABILITY'!P869+O870*'RAP TEMPLATE-GAS AVAILABILITY'!Q869+P870*'RAP TEMPLATE-GAS AVAILABILITY'!R869)/('RAP TEMPLATE-GAS AVAILABILITY'!O869+'RAP TEMPLATE-GAS AVAILABILITY'!P869+'RAP TEMPLATE-GAS AVAILABILITY'!Q869+'RAP TEMPLATE-GAS AVAILABILITY'!R869)</f>
        <v>61.989835251798574</v>
      </c>
    </row>
    <row r="871" spans="1:29" ht="15.75" x14ac:dyDescent="0.25">
      <c r="A871" s="13">
        <v>67419</v>
      </c>
      <c r="B871" s="10">
        <f>CHOOSE(CONTROL!$C$42, 61.3287, 61.3287) * CHOOSE(CONTROL!$C$21, $C$9, 100%, $E$9)</f>
        <v>61.328699999999998</v>
      </c>
      <c r="C871" s="10">
        <f>CHOOSE(CONTROL!$C$42, 61.3366, 61.3366) * CHOOSE(CONTROL!$C$21, $C$9, 100%, $E$9)</f>
        <v>61.336599999999997</v>
      </c>
      <c r="D871" s="10">
        <f>CHOOSE(CONTROL!$C$42, 61.5291, 61.5291) * CHOOSE(CONTROL!$C$21, $C$9, 100%, $E$9)</f>
        <v>61.5291</v>
      </c>
      <c r="E871" s="10">
        <f>CHOOSE(CONTROL!$C$42, 61.5602, 61.5602) * CHOOSE(CONTROL!$C$21, $C$9, 100%, $E$9)</f>
        <v>61.560200000000002</v>
      </c>
      <c r="F871" s="10">
        <f>CHOOSE(CONTROL!$C$42, 61.2956, 61.2956)*CHOOSE(CONTROL!$C$21, $C$9, 100%, $E$9)</f>
        <v>61.2956</v>
      </c>
      <c r="G871" s="10">
        <f>CHOOSE(CONTROL!$C$42, 61.3129, 61.3129)*CHOOSE(CONTROL!$C$21, $C$9, 100%, $E$9)</f>
        <v>61.312899999999999</v>
      </c>
      <c r="H871" s="10">
        <f>CHOOSE(CONTROL!$C$42, 61.5489, 61.5489) * CHOOSE(CONTROL!$C$21, $C$9, 100%, $E$9)</f>
        <v>61.548900000000003</v>
      </c>
      <c r="I871" s="10">
        <f>CHOOSE(CONTROL!$C$42, 61.2953, 61.2953)* CHOOSE(CONTROL!$C$21, $C$9, 100%, $E$9)</f>
        <v>61.295299999999997</v>
      </c>
      <c r="J871" s="10">
        <f>CHOOSE(CONTROL!$C$42, 61.2886, 61.2886)* CHOOSE(CONTROL!$C$21, $C$9, 100%, $E$9)</f>
        <v>61.288600000000002</v>
      </c>
      <c r="K871" s="54">
        <f>CHOOSE(CONTROL!$C$42, 61.2914, 61.2914) * CHOOSE(CONTROL!$C$21, $C$9, 100%, $E$9)</f>
        <v>61.291400000000003</v>
      </c>
      <c r="L871" s="10">
        <f>CHOOSE(CONTROL!$C$42, 62.1359, 62.1359) * CHOOSE(CONTROL!$C$21, $C$9, 100%, $E$9)</f>
        <v>62.135899999999999</v>
      </c>
      <c r="M871" s="10">
        <f>CHOOSE(CONTROL!$C$42, 60.6839, 60.6839) * CHOOSE(CONTROL!$C$21, $C$9, 100%, $E$9)</f>
        <v>60.683900000000001</v>
      </c>
      <c r="N871" s="10">
        <f>CHOOSE(CONTROL!$C$42, 60.7011, 60.7011) * CHOOSE(CONTROL!$C$21, $C$9, 100%, $E$9)</f>
        <v>60.701099999999997</v>
      </c>
      <c r="O871" s="10">
        <f>CHOOSE(CONTROL!$C$42, 60.9415, 60.9415) * CHOOSE(CONTROL!$C$21, $C$9, 100%, $E$9)</f>
        <v>60.941499999999998</v>
      </c>
      <c r="P871" s="10">
        <f>CHOOSE(CONTROL!$C$42, 60.6906, 60.6906) * CHOOSE(CONTROL!$C$21, $C$9, 100%, $E$9)</f>
        <v>60.690600000000003</v>
      </c>
      <c r="Q871" s="10">
        <f>CHOOSE(CONTROL!$C$42, 61.5368, 61.5368) * CHOOSE(CONTROL!$C$21, $C$9, 100%, $E$9)</f>
        <v>61.536799999999999</v>
      </c>
      <c r="R871" s="10">
        <f>CHOOSE(CONTROL!$C$42, 62.2777, 62.2777) * CHOOSE(CONTROL!$C$21, $C$9, 100%, $E$9)</f>
        <v>62.277700000000003</v>
      </c>
      <c r="S871" s="10">
        <f>CHOOSE(CONTROL!$C$42, 59.5521, 59.5521) * CHOOSE(CONTROL!$C$21, $C$9, 100%, $E$9)</f>
        <v>59.552100000000003</v>
      </c>
      <c r="T871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871" s="58">
        <f>(1000*CHOOSE(CONTROL!$C$42, 695, 695)*CHOOSE(CONTROL!$C$42, 0.5599, 0.5599)*CHOOSE(CONTROL!$C$42, 31, 31))/1000000</f>
        <v>12.063045499999998</v>
      </c>
      <c r="V871" s="58">
        <f>(1000*CHOOSE(CONTROL!$C$42, 500, 500)*CHOOSE(CONTROL!$C$42, 0.275, 0.275)*CHOOSE(CONTROL!$C$42, 31, 31))/1000000</f>
        <v>4.2625000000000002</v>
      </c>
      <c r="W871" s="58">
        <f>(1000*CHOOSE(CONTROL!$C$42, 0.1146, 0.1146)*CHOOSE(CONTROL!$C$42, 121.5, 121.5)*CHOOSE(CONTROL!$C$42, 31, 31))/1000000</f>
        <v>0.43164089999999994</v>
      </c>
      <c r="X871" s="58">
        <f>(31*0.1790888*245000/1000000)+(31*0.2374*100000/1000000)</f>
        <v>2.0961194359999999</v>
      </c>
      <c r="Y871" s="58"/>
      <c r="Z871" s="10"/>
      <c r="AA871" s="57"/>
      <c r="AB871" s="51">
        <f>(B871*194.205+C871*267.466+D871*133.845+E871*53.484+F871*40+G871*185+H871*0+I871*100+J871*300)/(194.205+267.466+133.845+53.484+0+40+185+100+300)</f>
        <v>61.345733018367348</v>
      </c>
      <c r="AC871" s="27">
        <f>(M871*'RAP TEMPLATE-GAS AVAILABILITY'!O870+N871*'RAP TEMPLATE-GAS AVAILABILITY'!P870+O871*'RAP TEMPLATE-GAS AVAILABILITY'!Q870+P871*'RAP TEMPLATE-GAS AVAILABILITY'!R870)/('RAP TEMPLATE-GAS AVAILABILITY'!O870+'RAP TEMPLATE-GAS AVAILABILITY'!P870+'RAP TEMPLATE-GAS AVAILABILITY'!Q870+'RAP TEMPLATE-GAS AVAILABILITY'!R870)</f>
        <v>60.802607913669064</v>
      </c>
    </row>
    <row r="872" spans="1:29" ht="15.75" x14ac:dyDescent="0.25">
      <c r="A872" s="13">
        <v>67450</v>
      </c>
      <c r="B872" s="10">
        <f>CHOOSE(CONTROL!$C$42, 58.2997, 58.2997) * CHOOSE(CONTROL!$C$21, $C$9, 100%, $E$9)</f>
        <v>58.299700000000001</v>
      </c>
      <c r="C872" s="10">
        <f>CHOOSE(CONTROL!$C$42, 58.3076, 58.3076) * CHOOSE(CONTROL!$C$21, $C$9, 100%, $E$9)</f>
        <v>58.307600000000001</v>
      </c>
      <c r="D872" s="10">
        <f>CHOOSE(CONTROL!$C$42, 58.5, 58.5) * CHOOSE(CONTROL!$C$21, $C$9, 100%, $E$9)</f>
        <v>58.5</v>
      </c>
      <c r="E872" s="10">
        <f>CHOOSE(CONTROL!$C$42, 58.5311, 58.5311) * CHOOSE(CONTROL!$C$21, $C$9, 100%, $E$9)</f>
        <v>58.531100000000002</v>
      </c>
      <c r="F872" s="10">
        <f>CHOOSE(CONTROL!$C$42, 58.2667, 58.2667)*CHOOSE(CONTROL!$C$21, $C$9, 100%, $E$9)</f>
        <v>58.2667</v>
      </c>
      <c r="G872" s="10">
        <f>CHOOSE(CONTROL!$C$42, 58.284, 58.284)*CHOOSE(CONTROL!$C$21, $C$9, 100%, $E$9)</f>
        <v>58.283999999999999</v>
      </c>
      <c r="H872" s="10">
        <f>CHOOSE(CONTROL!$C$42, 58.5198, 58.5198) * CHOOSE(CONTROL!$C$21, $C$9, 100%, $E$9)</f>
        <v>58.519799999999996</v>
      </c>
      <c r="I872" s="10">
        <f>CHOOSE(CONTROL!$C$42, 58.2662, 58.2662)* CHOOSE(CONTROL!$C$21, $C$9, 100%, $E$9)</f>
        <v>58.266199999999998</v>
      </c>
      <c r="J872" s="10">
        <f>CHOOSE(CONTROL!$C$42, 58.2597, 58.2597)* CHOOSE(CONTROL!$C$21, $C$9, 100%, $E$9)</f>
        <v>58.259700000000002</v>
      </c>
      <c r="K872" s="54">
        <f>CHOOSE(CONTROL!$C$42, 58.2623, 58.2623) * CHOOSE(CONTROL!$C$21, $C$9, 100%, $E$9)</f>
        <v>58.262300000000003</v>
      </c>
      <c r="L872" s="10">
        <f>CHOOSE(CONTROL!$C$42, 59.1068, 59.1068) * CHOOSE(CONTROL!$C$21, $C$9, 100%, $E$9)</f>
        <v>59.1068</v>
      </c>
      <c r="M872" s="10">
        <f>CHOOSE(CONTROL!$C$42, 57.6856, 57.6856) * CHOOSE(CONTROL!$C$21, $C$9, 100%, $E$9)</f>
        <v>57.685600000000001</v>
      </c>
      <c r="N872" s="10">
        <f>CHOOSE(CONTROL!$C$42, 57.7028, 57.7028) * CHOOSE(CONTROL!$C$21, $C$9, 100%, $E$9)</f>
        <v>57.702800000000003</v>
      </c>
      <c r="O872" s="10">
        <f>CHOOSE(CONTROL!$C$42, 57.943, 57.943) * CHOOSE(CONTROL!$C$21, $C$9, 100%, $E$9)</f>
        <v>57.942999999999998</v>
      </c>
      <c r="P872" s="10">
        <f>CHOOSE(CONTROL!$C$42, 57.6921, 57.6921) * CHOOSE(CONTROL!$C$21, $C$9, 100%, $E$9)</f>
        <v>57.692100000000003</v>
      </c>
      <c r="Q872" s="10">
        <f>CHOOSE(CONTROL!$C$42, 58.5383, 58.5383) * CHOOSE(CONTROL!$C$21, $C$9, 100%, $E$9)</f>
        <v>58.5383</v>
      </c>
      <c r="R872" s="10">
        <f>CHOOSE(CONTROL!$C$42, 59.2717, 59.2717) * CHOOSE(CONTROL!$C$21, $C$9, 100%, $E$9)</f>
        <v>59.271700000000003</v>
      </c>
      <c r="S872" s="10">
        <f>CHOOSE(CONTROL!$C$42, 56.6105, 56.6105) * CHOOSE(CONTROL!$C$21, $C$9, 100%, $E$9)</f>
        <v>56.610500000000002</v>
      </c>
      <c r="T872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872" s="58">
        <f>(1000*CHOOSE(CONTROL!$C$42, 695, 695)*CHOOSE(CONTROL!$C$42, 0.5599, 0.5599)*CHOOSE(CONTROL!$C$42, 31, 31))/1000000</f>
        <v>12.063045499999998</v>
      </c>
      <c r="V872" s="58">
        <f>(1000*CHOOSE(CONTROL!$C$42, 500, 500)*CHOOSE(CONTROL!$C$42, 0.275, 0.275)*CHOOSE(CONTROL!$C$42, 31, 31))/1000000</f>
        <v>4.2625000000000002</v>
      </c>
      <c r="W872" s="58">
        <f>(1000*CHOOSE(CONTROL!$C$42, 0.1146, 0.1146)*CHOOSE(CONTROL!$C$42, 121.5, 121.5)*CHOOSE(CONTROL!$C$42, 31, 31))/1000000</f>
        <v>0.43164089999999994</v>
      </c>
      <c r="X872" s="58">
        <f>(31*0.1790888*245000/1000000)+(31*0.2374*100000/1000000)</f>
        <v>2.0961194359999999</v>
      </c>
      <c r="Y872" s="58"/>
      <c r="Z872" s="10"/>
      <c r="AA872" s="57"/>
      <c r="AB872" s="51">
        <f>(B872*194.205+C872*267.466+D872*133.845+E872*53.484+F872*40+G872*185+H872*0+I872*100+J872*300)/(194.205+267.466+133.845+53.484+0+40+185+100+300)</f>
        <v>58.316751673861852</v>
      </c>
      <c r="AC872" s="27">
        <f>(M872*'RAP TEMPLATE-GAS AVAILABILITY'!O871+N872*'RAP TEMPLATE-GAS AVAILABILITY'!P871+O872*'RAP TEMPLATE-GAS AVAILABILITY'!Q871+P872*'RAP TEMPLATE-GAS AVAILABILITY'!R871)/('RAP TEMPLATE-GAS AVAILABILITY'!O871+'RAP TEMPLATE-GAS AVAILABILITY'!P871+'RAP TEMPLATE-GAS AVAILABILITY'!Q871+'RAP TEMPLATE-GAS AVAILABILITY'!R871)</f>
        <v>57.804188489208634</v>
      </c>
    </row>
    <row r="873" spans="1:29" ht="15.75" x14ac:dyDescent="0.25">
      <c r="A873" s="13">
        <v>67480</v>
      </c>
      <c r="B873" s="10">
        <f>CHOOSE(CONTROL!$C$42, 54.5983, 54.5983) * CHOOSE(CONTROL!$C$21, $C$9, 100%, $E$9)</f>
        <v>54.598300000000002</v>
      </c>
      <c r="C873" s="10">
        <f>CHOOSE(CONTROL!$C$42, 54.6062, 54.6062) * CHOOSE(CONTROL!$C$21, $C$9, 100%, $E$9)</f>
        <v>54.606200000000001</v>
      </c>
      <c r="D873" s="10">
        <f>CHOOSE(CONTROL!$C$42, 54.7986, 54.7986) * CHOOSE(CONTROL!$C$21, $C$9, 100%, $E$9)</f>
        <v>54.7986</v>
      </c>
      <c r="E873" s="10">
        <f>CHOOSE(CONTROL!$C$42, 54.8298, 54.8298) * CHOOSE(CONTROL!$C$21, $C$9, 100%, $E$9)</f>
        <v>54.829799999999999</v>
      </c>
      <c r="F873" s="10">
        <f>CHOOSE(CONTROL!$C$42, 54.5652, 54.5652)*CHOOSE(CONTROL!$C$21, $C$9, 100%, $E$9)</f>
        <v>54.565199999999997</v>
      </c>
      <c r="G873" s="10">
        <f>CHOOSE(CONTROL!$C$42, 54.5825, 54.5825)*CHOOSE(CONTROL!$C$21, $C$9, 100%, $E$9)</f>
        <v>54.582500000000003</v>
      </c>
      <c r="H873" s="10">
        <f>CHOOSE(CONTROL!$C$42, 54.8184, 54.8184) * CHOOSE(CONTROL!$C$21, $C$9, 100%, $E$9)</f>
        <v>54.818399999999997</v>
      </c>
      <c r="I873" s="10">
        <f>CHOOSE(CONTROL!$C$42, 54.5649, 54.5649)* CHOOSE(CONTROL!$C$21, $C$9, 100%, $E$9)</f>
        <v>54.564900000000002</v>
      </c>
      <c r="J873" s="10">
        <f>CHOOSE(CONTROL!$C$42, 54.5582, 54.5582)* CHOOSE(CONTROL!$C$21, $C$9, 100%, $E$9)</f>
        <v>54.558199999999999</v>
      </c>
      <c r="K873" s="54">
        <f>CHOOSE(CONTROL!$C$42, 54.561, 54.561) * CHOOSE(CONTROL!$C$21, $C$9, 100%, $E$9)</f>
        <v>54.561</v>
      </c>
      <c r="L873" s="10">
        <f>CHOOSE(CONTROL!$C$42, 55.4054, 55.4054) * CHOOSE(CONTROL!$C$21, $C$9, 100%, $E$9)</f>
        <v>55.4054</v>
      </c>
      <c r="M873" s="10">
        <f>CHOOSE(CONTROL!$C$42, 54.0214, 54.0214) * CHOOSE(CONTROL!$C$21, $C$9, 100%, $E$9)</f>
        <v>54.0214</v>
      </c>
      <c r="N873" s="10">
        <f>CHOOSE(CONTROL!$C$42, 54.0385, 54.0385) * CHOOSE(CONTROL!$C$21, $C$9, 100%, $E$9)</f>
        <v>54.038499999999999</v>
      </c>
      <c r="O873" s="10">
        <f>CHOOSE(CONTROL!$C$42, 54.279, 54.279) * CHOOSE(CONTROL!$C$21, $C$9, 100%, $E$9)</f>
        <v>54.279000000000003</v>
      </c>
      <c r="P873" s="10">
        <f>CHOOSE(CONTROL!$C$42, 54.0281, 54.0281) * CHOOSE(CONTROL!$C$21, $C$9, 100%, $E$9)</f>
        <v>54.028100000000002</v>
      </c>
      <c r="Q873" s="10">
        <f>CHOOSE(CONTROL!$C$42, 54.8743, 54.8743) * CHOOSE(CONTROL!$C$21, $C$9, 100%, $E$9)</f>
        <v>54.874299999999998</v>
      </c>
      <c r="R873" s="10">
        <f>CHOOSE(CONTROL!$C$42, 55.5985, 55.5985) * CHOOSE(CONTROL!$C$21, $C$9, 100%, $E$9)</f>
        <v>55.598500000000001</v>
      </c>
      <c r="S873" s="10">
        <f>CHOOSE(CONTROL!$C$42, 53.0161, 53.0161) * CHOOSE(CONTROL!$C$21, $C$9, 100%, $E$9)</f>
        <v>53.016100000000002</v>
      </c>
      <c r="T873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873" s="58">
        <f>(1000*CHOOSE(CONTROL!$C$42, 695, 695)*CHOOSE(CONTROL!$C$42, 0.5599, 0.5599)*CHOOSE(CONTROL!$C$42, 30, 30))/1000000</f>
        <v>11.673914999999997</v>
      </c>
      <c r="V873" s="58">
        <f>(1000*CHOOSE(CONTROL!$C$42, 500, 500)*CHOOSE(CONTROL!$C$42, 0.275, 0.275)*CHOOSE(CONTROL!$C$42, 30, 30))/1000000</f>
        <v>4.125</v>
      </c>
      <c r="W873" s="58">
        <f>(1000*CHOOSE(CONTROL!$C$42, 0.1146, 0.1146)*CHOOSE(CONTROL!$C$42, 121.5, 121.5)*CHOOSE(CONTROL!$C$42, 30, 30))/1000000</f>
        <v>0.417717</v>
      </c>
      <c r="X873" s="58">
        <f>(30*0.1790888*245000/1000000)+(30*0.2374*100000/1000000)</f>
        <v>2.0285026799999999</v>
      </c>
      <c r="Y873" s="58"/>
      <c r="Z873" s="10"/>
      <c r="AA873" s="57"/>
      <c r="AB873" s="51">
        <f>(B873*194.205+C873*267.466+D873*133.845+E873*53.484+F873*40+G873*185+H873*0+I873*100+J873*300)/(194.205+267.466+133.845+53.484+0+40+185+100+300)</f>
        <v>54.615322512480375</v>
      </c>
      <c r="AC873" s="27">
        <f>(M873*'RAP TEMPLATE-GAS AVAILABILITY'!O872+N873*'RAP TEMPLATE-GAS AVAILABILITY'!P872+O873*'RAP TEMPLATE-GAS AVAILABILITY'!Q872+P873*'RAP TEMPLATE-GAS AVAILABILITY'!R872)/('RAP TEMPLATE-GAS AVAILABILITY'!O872+'RAP TEMPLATE-GAS AVAILABILITY'!P872+'RAP TEMPLATE-GAS AVAILABILITY'!Q872+'RAP TEMPLATE-GAS AVAILABILITY'!R872)</f>
        <v>54.140102158273379</v>
      </c>
    </row>
    <row r="874" spans="1:29" ht="15.75" x14ac:dyDescent="0.25">
      <c r="A874" s="13">
        <v>67511</v>
      </c>
      <c r="B874" s="10">
        <f>CHOOSE(CONTROL!$C$42, 53.4881, 53.4881) * CHOOSE(CONTROL!$C$21, $C$9, 100%, $E$9)</f>
        <v>53.488100000000003</v>
      </c>
      <c r="C874" s="10">
        <f>CHOOSE(CONTROL!$C$42, 53.4933, 53.4933) * CHOOSE(CONTROL!$C$21, $C$9, 100%, $E$9)</f>
        <v>53.493299999999998</v>
      </c>
      <c r="D874" s="10">
        <f>CHOOSE(CONTROL!$C$42, 53.6907, 53.6907) * CHOOSE(CONTROL!$C$21, $C$9, 100%, $E$9)</f>
        <v>53.6907</v>
      </c>
      <c r="E874" s="10">
        <f>CHOOSE(CONTROL!$C$42, 53.7195, 53.7195) * CHOOSE(CONTROL!$C$21, $C$9, 100%, $E$9)</f>
        <v>53.719499999999996</v>
      </c>
      <c r="F874" s="10">
        <f>CHOOSE(CONTROL!$C$42, 53.457, 53.457)*CHOOSE(CONTROL!$C$21, $C$9, 100%, $E$9)</f>
        <v>53.457000000000001</v>
      </c>
      <c r="G874" s="10">
        <f>CHOOSE(CONTROL!$C$42, 53.4739, 53.4739)*CHOOSE(CONTROL!$C$21, $C$9, 100%, $E$9)</f>
        <v>53.4739</v>
      </c>
      <c r="H874" s="10">
        <f>CHOOSE(CONTROL!$C$42, 53.7099, 53.7099) * CHOOSE(CONTROL!$C$21, $C$9, 100%, $E$9)</f>
        <v>53.709899999999998</v>
      </c>
      <c r="I874" s="10">
        <f>CHOOSE(CONTROL!$C$42, 53.4564, 53.4564)* CHOOSE(CONTROL!$C$21, $C$9, 100%, $E$9)</f>
        <v>53.456400000000002</v>
      </c>
      <c r="J874" s="10">
        <f>CHOOSE(CONTROL!$C$42, 53.45, 53.45)* CHOOSE(CONTROL!$C$21, $C$9, 100%, $E$9)</f>
        <v>53.45</v>
      </c>
      <c r="K874" s="54">
        <f>CHOOSE(CONTROL!$C$42, 53.4525, 53.4525) * CHOOSE(CONTROL!$C$21, $C$9, 100%, $E$9)</f>
        <v>53.452500000000001</v>
      </c>
      <c r="L874" s="10">
        <f>CHOOSE(CONTROL!$C$42, 54.2969, 54.2969) * CHOOSE(CONTROL!$C$21, $C$9, 100%, $E$9)</f>
        <v>54.296900000000001</v>
      </c>
      <c r="M874" s="10">
        <f>CHOOSE(CONTROL!$C$42, 52.9244, 52.9244) * CHOOSE(CONTROL!$C$21, $C$9, 100%, $E$9)</f>
        <v>52.924399999999999</v>
      </c>
      <c r="N874" s="10">
        <f>CHOOSE(CONTROL!$C$42, 52.9412, 52.9412) * CHOOSE(CONTROL!$C$21, $C$9, 100%, $E$9)</f>
        <v>52.941200000000002</v>
      </c>
      <c r="O874" s="10">
        <f>CHOOSE(CONTROL!$C$42, 53.1817, 53.1817) * CHOOSE(CONTROL!$C$21, $C$9, 100%, $E$9)</f>
        <v>53.181699999999999</v>
      </c>
      <c r="P874" s="10">
        <f>CHOOSE(CONTROL!$C$42, 52.9308, 52.9308) * CHOOSE(CONTROL!$C$21, $C$9, 100%, $E$9)</f>
        <v>52.930799999999998</v>
      </c>
      <c r="Q874" s="10">
        <f>CHOOSE(CONTROL!$C$42, 53.777, 53.777) * CHOOSE(CONTROL!$C$21, $C$9, 100%, $E$9)</f>
        <v>53.777000000000001</v>
      </c>
      <c r="R874" s="10">
        <f>CHOOSE(CONTROL!$C$42, 54.4985, 54.4985) * CHOOSE(CONTROL!$C$21, $C$9, 100%, $E$9)</f>
        <v>54.4985</v>
      </c>
      <c r="S874" s="10">
        <f>CHOOSE(CONTROL!$C$42, 51.9397, 51.9397) * CHOOSE(CONTROL!$C$21, $C$9, 100%, $E$9)</f>
        <v>51.939700000000002</v>
      </c>
      <c r="T874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874" s="58">
        <f>(1000*CHOOSE(CONTROL!$C$42, 695, 695)*CHOOSE(CONTROL!$C$42, 0.5599, 0.5599)*CHOOSE(CONTROL!$C$42, 31, 31))/1000000</f>
        <v>12.063045499999998</v>
      </c>
      <c r="V874" s="58">
        <f>(1000*CHOOSE(CONTROL!$C$42, 500, 500)*CHOOSE(CONTROL!$C$42, 0.275, 0.275)*CHOOSE(CONTROL!$C$42, 31, 31))/1000000</f>
        <v>4.2625000000000002</v>
      </c>
      <c r="W874" s="58">
        <f>(1000*CHOOSE(CONTROL!$C$42, 0.1146, 0.1146)*CHOOSE(CONTROL!$C$42, 121.5, 121.5)*CHOOSE(CONTROL!$C$42, 31, 31))/1000000</f>
        <v>0.43164089999999994</v>
      </c>
      <c r="X874" s="58">
        <f>(31*0.1790888*245000/1000000)+(31*0.2374*100000/1000000)</f>
        <v>2.0961194359999999</v>
      </c>
      <c r="Y874" s="58"/>
      <c r="Z874" s="10"/>
      <c r="AA874" s="57"/>
      <c r="AB874" s="51">
        <f>(B874*131.881+C874*277.167+D874*79.08+E874*125.872+F874*40+G874*185+H874*0+I874*100+J874*300)/(131.881+277.167+79.08+125.872+0+40+185+100+300)</f>
        <v>53.51079463857949</v>
      </c>
      <c r="AC874" s="27">
        <f>(M874*'RAP TEMPLATE-GAS AVAILABILITY'!O873+N874*'RAP TEMPLATE-GAS AVAILABILITY'!P873+O874*'RAP TEMPLATE-GAS AVAILABILITY'!Q873+P874*'RAP TEMPLATE-GAS AVAILABILITY'!R873)/('RAP TEMPLATE-GAS AVAILABILITY'!O873+'RAP TEMPLATE-GAS AVAILABILITY'!P873+'RAP TEMPLATE-GAS AVAILABILITY'!Q873+'RAP TEMPLATE-GAS AVAILABILITY'!R873)</f>
        <v>53.04290575539568</v>
      </c>
    </row>
    <row r="875" spans="1:29" ht="15.75" x14ac:dyDescent="0.25">
      <c r="A875" s="13">
        <v>67541</v>
      </c>
      <c r="B875" s="10">
        <f>CHOOSE(CONTROL!$C$42, 54.8967, 54.8967) * CHOOSE(CONTROL!$C$21, $C$9, 100%, $E$9)</f>
        <v>54.896700000000003</v>
      </c>
      <c r="C875" s="10">
        <f>CHOOSE(CONTROL!$C$42, 54.9016, 54.9016) * CHOOSE(CONTROL!$C$21, $C$9, 100%, $E$9)</f>
        <v>54.901600000000002</v>
      </c>
      <c r="D875" s="10">
        <f>CHOOSE(CONTROL!$C$42, 54.9313, 54.9313) * CHOOSE(CONTROL!$C$21, $C$9, 100%, $E$9)</f>
        <v>54.9313</v>
      </c>
      <c r="E875" s="10">
        <f>CHOOSE(CONTROL!$C$42, 54.965, 54.965) * CHOOSE(CONTROL!$C$21, $C$9, 100%, $E$9)</f>
        <v>54.965000000000003</v>
      </c>
      <c r="F875" s="10">
        <f>CHOOSE(CONTROL!$C$42, 54.8635, 54.8635)*CHOOSE(CONTROL!$C$21, $C$9, 100%, $E$9)</f>
        <v>54.863500000000002</v>
      </c>
      <c r="G875" s="10">
        <f>CHOOSE(CONTROL!$C$42, 54.8806, 54.8806)*CHOOSE(CONTROL!$C$21, $C$9, 100%, $E$9)</f>
        <v>54.880600000000001</v>
      </c>
      <c r="H875" s="10">
        <f>CHOOSE(CONTROL!$C$42, 54.9542, 54.9542) * CHOOSE(CONTROL!$C$21, $C$9, 100%, $E$9)</f>
        <v>54.9542</v>
      </c>
      <c r="I875" s="10">
        <f>CHOOSE(CONTROL!$C$42, 54.8603, 54.8603)* CHOOSE(CONTROL!$C$21, $C$9, 100%, $E$9)</f>
        <v>54.860300000000002</v>
      </c>
      <c r="J875" s="10">
        <f>CHOOSE(CONTROL!$C$42, 54.8565, 54.8565)* CHOOSE(CONTROL!$C$21, $C$9, 100%, $E$9)</f>
        <v>54.856499999999997</v>
      </c>
      <c r="K875" s="54">
        <f>CHOOSE(CONTROL!$C$42, 54.8564, 54.8564) * CHOOSE(CONTROL!$C$21, $C$9, 100%, $E$9)</f>
        <v>54.856400000000001</v>
      </c>
      <c r="L875" s="10">
        <f>CHOOSE(CONTROL!$C$42, 55.5412, 55.5412) * CHOOSE(CONTROL!$C$21, $C$9, 100%, $E$9)</f>
        <v>55.541200000000003</v>
      </c>
      <c r="M875" s="10">
        <f>CHOOSE(CONTROL!$C$42, 54.3167, 54.3167) * CHOOSE(CONTROL!$C$21, $C$9, 100%, $E$9)</f>
        <v>54.316699999999997</v>
      </c>
      <c r="N875" s="10">
        <f>CHOOSE(CONTROL!$C$42, 54.3337, 54.3337) * CHOOSE(CONTROL!$C$21, $C$9, 100%, $E$9)</f>
        <v>54.3337</v>
      </c>
      <c r="O875" s="10">
        <f>CHOOSE(CONTROL!$C$42, 54.4135, 54.4135) * CHOOSE(CONTROL!$C$21, $C$9, 100%, $E$9)</f>
        <v>54.413499999999999</v>
      </c>
      <c r="P875" s="10">
        <f>CHOOSE(CONTROL!$C$42, 54.3205, 54.3205) * CHOOSE(CONTROL!$C$21, $C$9, 100%, $E$9)</f>
        <v>54.320500000000003</v>
      </c>
      <c r="Q875" s="10">
        <f>CHOOSE(CONTROL!$C$42, 55.0088, 55.0088) * CHOOSE(CONTROL!$C$21, $C$9, 100%, $E$9)</f>
        <v>55.008800000000001</v>
      </c>
      <c r="R875" s="10">
        <f>CHOOSE(CONTROL!$C$42, 55.7333, 55.7333) * CHOOSE(CONTROL!$C$21, $C$9, 100%, $E$9)</f>
        <v>55.7333</v>
      </c>
      <c r="S875" s="10">
        <f>CHOOSE(CONTROL!$C$42, 53.308, 53.308) * CHOOSE(CONTROL!$C$21, $C$9, 100%, $E$9)</f>
        <v>53.308</v>
      </c>
      <c r="T875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875" s="58">
        <f>(1000*CHOOSE(CONTROL!$C$42, 695, 695)*CHOOSE(CONTROL!$C$42, 0.5599, 0.5599)*CHOOSE(CONTROL!$C$42, 30, 30))/1000000</f>
        <v>11.673914999999997</v>
      </c>
      <c r="V875" s="58">
        <f>(1000*CHOOSE(CONTROL!$C$42, 500, 500)*CHOOSE(CONTROL!$C$42, 0.275, 0.275)*CHOOSE(CONTROL!$C$42, 30, 30))/1000000</f>
        <v>4.125</v>
      </c>
      <c r="W875" s="58">
        <f>(1000*CHOOSE(CONTROL!$C$42, 0.1146, 0.1146)*CHOOSE(CONTROL!$C$42, 121.5, 121.5)*CHOOSE(CONTROL!$C$42, 30, 30))/1000000</f>
        <v>0.417717</v>
      </c>
      <c r="X875" s="58">
        <f>(30*0.1790888*100000/1000000)+(30*0.2374*100000/1000000)</f>
        <v>1.2494664</v>
      </c>
      <c r="Y875" s="58"/>
      <c r="Z875" s="10"/>
      <c r="AA875" s="57"/>
      <c r="AB875" s="51">
        <f>(B875*122.58+C875*297.941+D875*89.177+E875*40.302+F875*40+G875*160+H875*0+I875*100+J875*300)/(122.58+297.941+89.177+40.302+0+40+160+100+300)</f>
        <v>54.885999184086948</v>
      </c>
      <c r="AC875" s="27">
        <f>(M875*'RAP TEMPLATE-GAS AVAILABILITY'!O874+N875*'RAP TEMPLATE-GAS AVAILABILITY'!P874+O875*'RAP TEMPLATE-GAS AVAILABILITY'!Q874+P875*'RAP TEMPLATE-GAS AVAILABILITY'!R874)/('RAP TEMPLATE-GAS AVAILABILITY'!O874+'RAP TEMPLATE-GAS AVAILABILITY'!P874+'RAP TEMPLATE-GAS AVAILABILITY'!Q874+'RAP TEMPLATE-GAS AVAILABILITY'!R874)</f>
        <v>54.362098561151079</v>
      </c>
    </row>
    <row r="876" spans="1:29" ht="15.75" x14ac:dyDescent="0.25">
      <c r="A876" s="13">
        <v>67572</v>
      </c>
      <c r="B876" s="10">
        <f>CHOOSE(CONTROL!$C$42, 58.6393, 58.6393) * CHOOSE(CONTROL!$C$21, $C$9, 100%, $E$9)</f>
        <v>58.639299999999999</v>
      </c>
      <c r="C876" s="10">
        <f>CHOOSE(CONTROL!$C$42, 58.6443, 58.6443) * CHOOSE(CONTROL!$C$21, $C$9, 100%, $E$9)</f>
        <v>58.644300000000001</v>
      </c>
      <c r="D876" s="10">
        <f>CHOOSE(CONTROL!$C$42, 58.6739, 58.6739) * CHOOSE(CONTROL!$C$21, $C$9, 100%, $E$9)</f>
        <v>58.673900000000003</v>
      </c>
      <c r="E876" s="10">
        <f>CHOOSE(CONTROL!$C$42, 58.7077, 58.7077) * CHOOSE(CONTROL!$C$21, $C$9, 100%, $E$9)</f>
        <v>58.707700000000003</v>
      </c>
      <c r="F876" s="10">
        <f>CHOOSE(CONTROL!$C$42, 58.6075, 58.6075)*CHOOSE(CONTROL!$C$21, $C$9, 100%, $E$9)</f>
        <v>58.607500000000002</v>
      </c>
      <c r="G876" s="10">
        <f>CHOOSE(CONTROL!$C$42, 58.625, 58.625)*CHOOSE(CONTROL!$C$21, $C$9, 100%, $E$9)</f>
        <v>58.625</v>
      </c>
      <c r="H876" s="10">
        <f>CHOOSE(CONTROL!$C$42, 58.6969, 58.6969) * CHOOSE(CONTROL!$C$21, $C$9, 100%, $E$9)</f>
        <v>58.696899999999999</v>
      </c>
      <c r="I876" s="10">
        <f>CHOOSE(CONTROL!$C$42, 58.6029, 58.6029)* CHOOSE(CONTROL!$C$21, $C$9, 100%, $E$9)</f>
        <v>58.602899999999998</v>
      </c>
      <c r="J876" s="10">
        <f>CHOOSE(CONTROL!$C$42, 58.6005, 58.6005)* CHOOSE(CONTROL!$C$21, $C$9, 100%, $E$9)</f>
        <v>58.600499999999997</v>
      </c>
      <c r="K876" s="54">
        <f>CHOOSE(CONTROL!$C$42, 58.599, 58.599) * CHOOSE(CONTROL!$C$21, $C$9, 100%, $E$9)</f>
        <v>58.598999999999997</v>
      </c>
      <c r="L876" s="10">
        <f>CHOOSE(CONTROL!$C$42, 59.2839, 59.2839) * CHOOSE(CONTROL!$C$21, $C$9, 100%, $E$9)</f>
        <v>59.283900000000003</v>
      </c>
      <c r="M876" s="10">
        <f>CHOOSE(CONTROL!$C$42, 58.023, 58.023) * CHOOSE(CONTROL!$C$21, $C$9, 100%, $E$9)</f>
        <v>58.023000000000003</v>
      </c>
      <c r="N876" s="10">
        <f>CHOOSE(CONTROL!$C$42, 58.0403, 58.0403) * CHOOSE(CONTROL!$C$21, $C$9, 100%, $E$9)</f>
        <v>58.040300000000002</v>
      </c>
      <c r="O876" s="10">
        <f>CHOOSE(CONTROL!$C$42, 58.1183, 58.1183) * CHOOSE(CONTROL!$C$21, $C$9, 100%, $E$9)</f>
        <v>58.118299999999998</v>
      </c>
      <c r="P876" s="10">
        <f>CHOOSE(CONTROL!$C$42, 58.0254, 58.0254) * CHOOSE(CONTROL!$C$21, $C$9, 100%, $E$9)</f>
        <v>58.025399999999998</v>
      </c>
      <c r="Q876" s="10">
        <f>CHOOSE(CONTROL!$C$42, 58.7136, 58.7136) * CHOOSE(CONTROL!$C$21, $C$9, 100%, $E$9)</f>
        <v>58.7136</v>
      </c>
      <c r="R876" s="10">
        <f>CHOOSE(CONTROL!$C$42, 59.4474, 59.4474) * CHOOSE(CONTROL!$C$21, $C$9, 100%, $E$9)</f>
        <v>59.447400000000002</v>
      </c>
      <c r="S876" s="10">
        <f>CHOOSE(CONTROL!$C$42, 56.9425, 56.9425) * CHOOSE(CONTROL!$C$21, $C$9, 100%, $E$9)</f>
        <v>56.942500000000003</v>
      </c>
      <c r="T876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876" s="58">
        <f>(1000*CHOOSE(CONTROL!$C$42, 695, 695)*CHOOSE(CONTROL!$C$42, 0.5599, 0.5599)*CHOOSE(CONTROL!$C$42, 31, 31))/1000000</f>
        <v>12.063045499999998</v>
      </c>
      <c r="V876" s="58">
        <f>(1000*CHOOSE(CONTROL!$C$42, 500, 500)*CHOOSE(CONTROL!$C$42, 0.275, 0.275)*CHOOSE(CONTROL!$C$42, 31, 31))/1000000</f>
        <v>4.2625000000000002</v>
      </c>
      <c r="W876" s="58">
        <f>(1000*CHOOSE(CONTROL!$C$42, 0.1146, 0.1146)*CHOOSE(CONTROL!$C$42, 121.5, 121.5)*CHOOSE(CONTROL!$C$42, 31, 31))/1000000</f>
        <v>0.43164089999999994</v>
      </c>
      <c r="X876" s="58">
        <f>(31*0.1790888*100000/1000000)+(31*0.2374*100000/1000000)</f>
        <v>1.2911152800000001</v>
      </c>
      <c r="Y876" s="58"/>
      <c r="Z876" s="10"/>
      <c r="AA876" s="57"/>
      <c r="AB876" s="51">
        <f>(B876*122.58+C876*297.941+D876*89.177+E876*40.302+F876*40+G876*160+H876*0+I876*100+J876*300)/(122.58+297.941+89.177+40.302+0+40+160+100+300)</f>
        <v>58.629292944347824</v>
      </c>
      <c r="AC876" s="27">
        <f>(M876*'RAP TEMPLATE-GAS AVAILABILITY'!O875+N876*'RAP TEMPLATE-GAS AVAILABILITY'!P875+O876*'RAP TEMPLATE-GAS AVAILABILITY'!Q875+P876*'RAP TEMPLATE-GAS AVAILABILITY'!R875)/('RAP TEMPLATE-GAS AVAILABILITY'!O875+'RAP TEMPLATE-GAS AVAILABILITY'!P875+'RAP TEMPLATE-GAS AVAILABILITY'!Q875+'RAP TEMPLATE-GAS AVAILABILITY'!R875)</f>
        <v>58.067534532374104</v>
      </c>
    </row>
    <row r="877" spans="1:29" ht="15.75" x14ac:dyDescent="0.25">
      <c r="A877" s="13">
        <v>67603</v>
      </c>
      <c r="B877" s="10">
        <f>CHOOSE(CONTROL!$C$42, 63.4438, 63.4438) * CHOOSE(CONTROL!$C$21, $C$9, 100%, $E$9)</f>
        <v>63.443800000000003</v>
      </c>
      <c r="C877" s="10">
        <f>CHOOSE(CONTROL!$C$42, 63.4488, 63.4488) * CHOOSE(CONTROL!$C$21, $C$9, 100%, $E$9)</f>
        <v>63.448799999999999</v>
      </c>
      <c r="D877" s="10">
        <f>CHOOSE(CONTROL!$C$42, 63.499, 63.499) * CHOOSE(CONTROL!$C$21, $C$9, 100%, $E$9)</f>
        <v>63.499000000000002</v>
      </c>
      <c r="E877" s="10">
        <f>CHOOSE(CONTROL!$C$42, 63.5327, 63.5327) * CHOOSE(CONTROL!$C$21, $C$9, 100%, $E$9)</f>
        <v>63.532699999999998</v>
      </c>
      <c r="F877" s="10">
        <f>CHOOSE(CONTROL!$C$42, 63.4092, 63.4092)*CHOOSE(CONTROL!$C$21, $C$9, 100%, $E$9)</f>
        <v>63.409199999999998</v>
      </c>
      <c r="G877" s="10">
        <f>CHOOSE(CONTROL!$C$42, 63.4267, 63.4267)*CHOOSE(CONTROL!$C$21, $C$9, 100%, $E$9)</f>
        <v>63.426699999999997</v>
      </c>
      <c r="H877" s="10">
        <f>CHOOSE(CONTROL!$C$42, 63.5219, 63.5219) * CHOOSE(CONTROL!$C$21, $C$9, 100%, $E$9)</f>
        <v>63.521900000000002</v>
      </c>
      <c r="I877" s="10">
        <f>CHOOSE(CONTROL!$C$42, 63.4177, 63.4177)* CHOOSE(CONTROL!$C$21, $C$9, 100%, $E$9)</f>
        <v>63.417700000000004</v>
      </c>
      <c r="J877" s="10">
        <f>CHOOSE(CONTROL!$C$42, 63.4022, 63.4022)* CHOOSE(CONTROL!$C$21, $C$9, 100%, $E$9)</f>
        <v>63.402200000000001</v>
      </c>
      <c r="K877" s="54">
        <f>CHOOSE(CONTROL!$C$42, 63.4138, 63.4138) * CHOOSE(CONTROL!$C$21, $C$9, 100%, $E$9)</f>
        <v>63.413800000000002</v>
      </c>
      <c r="L877" s="10">
        <f>CHOOSE(CONTROL!$C$42, 64.1089, 64.1089) * CHOOSE(CONTROL!$C$21, $C$9, 100%, $E$9)</f>
        <v>64.108900000000006</v>
      </c>
      <c r="M877" s="10">
        <f>CHOOSE(CONTROL!$C$42, 62.7762, 62.7762) * CHOOSE(CONTROL!$C$21, $C$9, 100%, $E$9)</f>
        <v>62.776200000000003</v>
      </c>
      <c r="N877" s="10">
        <f>CHOOSE(CONTROL!$C$42, 62.7935, 62.7935) * CHOOSE(CONTROL!$C$21, $C$9, 100%, $E$9)</f>
        <v>62.793500000000002</v>
      </c>
      <c r="O877" s="10">
        <f>CHOOSE(CONTROL!$C$42, 62.8947, 62.8947) * CHOOSE(CONTROL!$C$21, $C$9, 100%, $E$9)</f>
        <v>62.8947</v>
      </c>
      <c r="P877" s="10">
        <f>CHOOSE(CONTROL!$C$42, 62.7916, 62.7916) * CHOOSE(CONTROL!$C$21, $C$9, 100%, $E$9)</f>
        <v>62.791600000000003</v>
      </c>
      <c r="Q877" s="10">
        <f>CHOOSE(CONTROL!$C$42, 63.49, 63.49) * CHOOSE(CONTROL!$C$21, $C$9, 100%, $E$9)</f>
        <v>63.49</v>
      </c>
      <c r="R877" s="10">
        <f>CHOOSE(CONTROL!$C$42, 64.2357, 64.2357) * CHOOSE(CONTROL!$C$21, $C$9, 100%, $E$9)</f>
        <v>64.235699999999994</v>
      </c>
      <c r="S877" s="10">
        <f>CHOOSE(CONTROL!$C$42, 61.6081, 61.6081) * CHOOSE(CONTROL!$C$21, $C$9, 100%, $E$9)</f>
        <v>61.6081</v>
      </c>
      <c r="T877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877" s="58">
        <f>(1000*CHOOSE(CONTROL!$C$42, 695, 695)*CHOOSE(CONTROL!$C$42, 0.5599, 0.5599)*CHOOSE(CONTROL!$C$42, 31, 31))/1000000</f>
        <v>12.063045499999998</v>
      </c>
      <c r="V877" s="58">
        <f>(1000*CHOOSE(CONTROL!$C$42, 500, 500)*CHOOSE(CONTROL!$C$42, 0.275, 0.275)*CHOOSE(CONTROL!$C$42, 31, 31))/1000000</f>
        <v>4.2625000000000002</v>
      </c>
      <c r="W877" s="58">
        <f>(1000*CHOOSE(CONTROL!$C$42, 0.1146, 0.1146)*CHOOSE(CONTROL!$C$42, 121.5, 121.5)*CHOOSE(CONTROL!$C$42, 31, 31))/1000000</f>
        <v>0.43164089999999994</v>
      </c>
      <c r="X877" s="58">
        <f>(31*0.1790888*100000/1000000)+(31*0.2374*100000/1000000)</f>
        <v>1.2911152800000001</v>
      </c>
      <c r="Y877" s="58"/>
      <c r="Z877" s="10"/>
      <c r="AA877" s="57"/>
      <c r="AB877" s="51">
        <f>(B877*122.58+C877*297.941+D877*89.177+E877*40.302+F877*40+G877*160+H877*0+I877*100+J877*300)/(122.58+297.941+89.177+40.302+0+40+160+100+300)</f>
        <v>63.435787063652178</v>
      </c>
      <c r="AC877" s="27">
        <f>(M877*'RAP TEMPLATE-GAS AVAILABILITY'!O876+N877*'RAP TEMPLATE-GAS AVAILABILITY'!P876+O877*'RAP TEMPLATE-GAS AVAILABILITY'!Q876+P877*'RAP TEMPLATE-GAS AVAILABILITY'!R876)/('RAP TEMPLATE-GAS AVAILABILITY'!O876+'RAP TEMPLATE-GAS AVAILABILITY'!P876+'RAP TEMPLATE-GAS AVAILABILITY'!Q876+'RAP TEMPLATE-GAS AVAILABILITY'!R876)</f>
        <v>62.833120143884898</v>
      </c>
    </row>
    <row r="878" spans="1:29" ht="15.75" x14ac:dyDescent="0.25">
      <c r="A878" s="13">
        <v>67631</v>
      </c>
      <c r="B878" s="10">
        <f>CHOOSE(CONTROL!$C$42, 64.5731, 64.5731) * CHOOSE(CONTROL!$C$21, $C$9, 100%, $E$9)</f>
        <v>64.573099999999997</v>
      </c>
      <c r="C878" s="10">
        <f>CHOOSE(CONTROL!$C$42, 64.5781, 64.5781) * CHOOSE(CONTROL!$C$21, $C$9, 100%, $E$9)</f>
        <v>64.578100000000006</v>
      </c>
      <c r="D878" s="10">
        <f>CHOOSE(CONTROL!$C$42, 64.6386, 64.6386) * CHOOSE(CONTROL!$C$21, $C$9, 100%, $E$9)</f>
        <v>64.638599999999997</v>
      </c>
      <c r="E878" s="10">
        <f>CHOOSE(CONTROL!$C$42, 64.6724, 64.6724) * CHOOSE(CONTROL!$C$21, $C$9, 100%, $E$9)</f>
        <v>64.672399999999996</v>
      </c>
      <c r="F878" s="10">
        <f>CHOOSE(CONTROL!$C$42, 64.5664, 64.5664)*CHOOSE(CONTROL!$C$21, $C$9, 100%, $E$9)</f>
        <v>64.566400000000002</v>
      </c>
      <c r="G878" s="10">
        <f>CHOOSE(CONTROL!$C$42, 64.5837, 64.5837)*CHOOSE(CONTROL!$C$21, $C$9, 100%, $E$9)</f>
        <v>64.583699999999993</v>
      </c>
      <c r="H878" s="10">
        <f>CHOOSE(CONTROL!$C$42, 64.6616, 64.6616) * CHOOSE(CONTROL!$C$21, $C$9, 100%, $E$9)</f>
        <v>64.661600000000007</v>
      </c>
      <c r="I878" s="10">
        <f>CHOOSE(CONTROL!$C$42, 64.5599, 64.5599)* CHOOSE(CONTROL!$C$21, $C$9, 100%, $E$9)</f>
        <v>64.559899999999999</v>
      </c>
      <c r="J878" s="10">
        <f>CHOOSE(CONTROL!$C$42, 64.5594, 64.5594)* CHOOSE(CONTROL!$C$21, $C$9, 100%, $E$9)</f>
        <v>64.559399999999997</v>
      </c>
      <c r="K878" s="54">
        <f>CHOOSE(CONTROL!$C$42, 64.556, 64.556) * CHOOSE(CONTROL!$C$21, $C$9, 100%, $E$9)</f>
        <v>64.555999999999997</v>
      </c>
      <c r="L878" s="10">
        <f>CHOOSE(CONTROL!$C$42, 65.2486, 65.2486) * CHOOSE(CONTROL!$C$21, $C$9, 100%, $E$9)</f>
        <v>65.248599999999996</v>
      </c>
      <c r="M878" s="10">
        <f>CHOOSE(CONTROL!$C$42, 63.9217, 63.9217) * CHOOSE(CONTROL!$C$21, $C$9, 100%, $E$9)</f>
        <v>63.921700000000001</v>
      </c>
      <c r="N878" s="10">
        <f>CHOOSE(CONTROL!$C$42, 63.9388, 63.9388) * CHOOSE(CONTROL!$C$21, $C$9, 100%, $E$9)</f>
        <v>63.938800000000001</v>
      </c>
      <c r="O878" s="10">
        <f>CHOOSE(CONTROL!$C$42, 64.0229, 64.0229) * CHOOSE(CONTROL!$C$21, $C$9, 100%, $E$9)</f>
        <v>64.022900000000007</v>
      </c>
      <c r="P878" s="10">
        <f>CHOOSE(CONTROL!$C$42, 63.9223, 63.9223) * CHOOSE(CONTROL!$C$21, $C$9, 100%, $E$9)</f>
        <v>63.9223</v>
      </c>
      <c r="Q878" s="10">
        <f>CHOOSE(CONTROL!$C$42, 64.6182, 64.6182) * CHOOSE(CONTROL!$C$21, $C$9, 100%, $E$9)</f>
        <v>64.618200000000002</v>
      </c>
      <c r="R878" s="10">
        <f>CHOOSE(CONTROL!$C$42, 65.3667, 65.3667) * CHOOSE(CONTROL!$C$21, $C$9, 100%, $E$9)</f>
        <v>65.366699999999994</v>
      </c>
      <c r="S878" s="10">
        <f>CHOOSE(CONTROL!$C$42, 62.7048, 62.7048) * CHOOSE(CONTROL!$C$21, $C$9, 100%, $E$9)</f>
        <v>62.704799999999999</v>
      </c>
      <c r="T878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878" s="58">
        <f>(1000*CHOOSE(CONTROL!$C$42, 695, 695)*CHOOSE(CONTROL!$C$42, 0.5599, 0.5599)*CHOOSE(CONTROL!$C$42, 28, 28))/1000000</f>
        <v>10.895653999999999</v>
      </c>
      <c r="V878" s="58">
        <f>(1000*CHOOSE(CONTROL!$C$42, 500, 500)*CHOOSE(CONTROL!$C$42, 0.275, 0.275)*CHOOSE(CONTROL!$C$42, 28, 28))/1000000</f>
        <v>3.85</v>
      </c>
      <c r="W878" s="58">
        <f>(1000*CHOOSE(CONTROL!$C$42, 0.1146, 0.1146)*CHOOSE(CONTROL!$C$42, 121.5, 121.5)*CHOOSE(CONTROL!$C$42, 28, 28))/1000000</f>
        <v>0.38986920000000003</v>
      </c>
      <c r="X878" s="58">
        <f>(28*0.1790888*100000/1000000)+(28*0.2374*100000/1000000)</f>
        <v>1.16616864</v>
      </c>
      <c r="Y878" s="58"/>
      <c r="Z878" s="10"/>
      <c r="AA878" s="57"/>
      <c r="AB878" s="51">
        <f>(B878*122.58+C878*297.941+D878*89.177+E878*40.302+F878*40+G878*160+H878*0+I878*100+J878*300)/(122.58+297.941+89.177+40.302+0+40+160+100+300)</f>
        <v>64.579474597478267</v>
      </c>
      <c r="AC878" s="27">
        <f>(M878*'RAP TEMPLATE-GAS AVAILABILITY'!O877+N878*'RAP TEMPLATE-GAS AVAILABILITY'!P877+O878*'RAP TEMPLATE-GAS AVAILABILITY'!Q877+P878*'RAP TEMPLATE-GAS AVAILABILITY'!R877)/('RAP TEMPLATE-GAS AVAILABILITY'!O877+'RAP TEMPLATE-GAS AVAILABILITY'!P877+'RAP TEMPLATE-GAS AVAILABILITY'!Q877+'RAP TEMPLATE-GAS AVAILABILITY'!R877)</f>
        <v>63.968638129496405</v>
      </c>
    </row>
    <row r="879" spans="1:29" ht="15.75" x14ac:dyDescent="0.25">
      <c r="A879" s="13">
        <v>67662</v>
      </c>
      <c r="B879" s="10">
        <f>CHOOSE(CONTROL!$C$42, 62.74, 62.74) * CHOOSE(CONTROL!$C$21, $C$9, 100%, $E$9)</f>
        <v>62.74</v>
      </c>
      <c r="C879" s="10">
        <f>CHOOSE(CONTROL!$C$42, 62.7449, 62.7449) * CHOOSE(CONTROL!$C$21, $C$9, 100%, $E$9)</f>
        <v>62.744900000000001</v>
      </c>
      <c r="D879" s="10">
        <f>CHOOSE(CONTROL!$C$42, 62.8054, 62.8054) * CHOOSE(CONTROL!$C$21, $C$9, 100%, $E$9)</f>
        <v>62.805399999999999</v>
      </c>
      <c r="E879" s="10">
        <f>CHOOSE(CONTROL!$C$42, 62.8392, 62.8392) * CHOOSE(CONTROL!$C$21, $C$9, 100%, $E$9)</f>
        <v>62.839199999999998</v>
      </c>
      <c r="F879" s="10">
        <f>CHOOSE(CONTROL!$C$42, 62.7277, 62.7277)*CHOOSE(CONTROL!$C$21, $C$9, 100%, $E$9)</f>
        <v>62.727699999999999</v>
      </c>
      <c r="G879" s="10">
        <f>CHOOSE(CONTROL!$C$42, 62.7449, 62.7449)*CHOOSE(CONTROL!$C$21, $C$9, 100%, $E$9)</f>
        <v>62.744900000000001</v>
      </c>
      <c r="H879" s="10">
        <f>CHOOSE(CONTROL!$C$42, 62.8284, 62.8284) * CHOOSE(CONTROL!$C$21, $C$9, 100%, $E$9)</f>
        <v>62.828400000000002</v>
      </c>
      <c r="I879" s="10">
        <f>CHOOSE(CONTROL!$C$42, 62.7138, 62.7138)* CHOOSE(CONTROL!$C$21, $C$9, 100%, $E$9)</f>
        <v>62.713799999999999</v>
      </c>
      <c r="J879" s="10">
        <f>CHOOSE(CONTROL!$C$42, 62.7207, 62.7207)* CHOOSE(CONTROL!$C$21, $C$9, 100%, $E$9)</f>
        <v>62.720700000000001</v>
      </c>
      <c r="K879" s="54">
        <f>CHOOSE(CONTROL!$C$42, 62.71, 62.71) * CHOOSE(CONTROL!$C$21, $C$9, 100%, $E$9)</f>
        <v>62.71</v>
      </c>
      <c r="L879" s="10">
        <f>CHOOSE(CONTROL!$C$42, 63.4154, 63.4154) * CHOOSE(CONTROL!$C$21, $C$9, 100%, $E$9)</f>
        <v>63.415399999999998</v>
      </c>
      <c r="M879" s="10">
        <f>CHOOSE(CONTROL!$C$42, 62.1015, 62.1015) * CHOOSE(CONTROL!$C$21, $C$9, 100%, $E$9)</f>
        <v>62.101500000000001</v>
      </c>
      <c r="N879" s="10">
        <f>CHOOSE(CONTROL!$C$42, 62.1186, 62.1186) * CHOOSE(CONTROL!$C$21, $C$9, 100%, $E$9)</f>
        <v>62.118600000000001</v>
      </c>
      <c r="O879" s="10">
        <f>CHOOSE(CONTROL!$C$42, 62.2082, 62.2082) * CHOOSE(CONTROL!$C$21, $C$9, 100%, $E$9)</f>
        <v>62.208199999999998</v>
      </c>
      <c r="P879" s="10">
        <f>CHOOSE(CONTROL!$C$42, 62.0948, 62.0948) * CHOOSE(CONTROL!$C$21, $C$9, 100%, $E$9)</f>
        <v>62.094799999999999</v>
      </c>
      <c r="Q879" s="10">
        <f>CHOOSE(CONTROL!$C$42, 62.8035, 62.8035) * CHOOSE(CONTROL!$C$21, $C$9, 100%, $E$9)</f>
        <v>62.8035</v>
      </c>
      <c r="R879" s="10">
        <f>CHOOSE(CONTROL!$C$42, 63.5475, 63.5475) * CHOOSE(CONTROL!$C$21, $C$9, 100%, $E$9)</f>
        <v>63.547499999999999</v>
      </c>
      <c r="S879" s="10">
        <f>CHOOSE(CONTROL!$C$42, 60.9246, 60.9246) * CHOOSE(CONTROL!$C$21, $C$9, 100%, $E$9)</f>
        <v>60.924599999999998</v>
      </c>
      <c r="T879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879" s="58">
        <f>(1000*CHOOSE(CONTROL!$C$42, 695, 695)*CHOOSE(CONTROL!$C$42, 0.5599, 0.5599)*CHOOSE(CONTROL!$C$42, 31, 31))/1000000</f>
        <v>12.063045499999998</v>
      </c>
      <c r="V879" s="58">
        <f>(1000*CHOOSE(CONTROL!$C$42, 500, 500)*CHOOSE(CONTROL!$C$42, 0.275, 0.275)*CHOOSE(CONTROL!$C$42, 31, 31))/1000000</f>
        <v>4.2625000000000002</v>
      </c>
      <c r="W879" s="58">
        <f>(1000*CHOOSE(CONTROL!$C$42, 0.1146, 0.1146)*CHOOSE(CONTROL!$C$42, 121.5, 121.5)*CHOOSE(CONTROL!$C$42, 31, 31))/1000000</f>
        <v>0.43164089999999994</v>
      </c>
      <c r="X879" s="58">
        <f>(31*0.1790888*100000/1000000)+(31*0.2374*100000/1000000)</f>
        <v>1.2911152800000001</v>
      </c>
      <c r="Y879" s="58"/>
      <c r="Z879" s="10"/>
      <c r="AA879" s="57"/>
      <c r="AB879" s="51">
        <f>(B879*122.58+C879*297.941+D879*89.177+E879*40.302+F879*40+G879*160+H879*0+I879*100+J879*300)/(122.58+297.941+89.177+40.302+0+40+160+100+300)</f>
        <v>62.74275830008694</v>
      </c>
      <c r="AC879" s="27">
        <f>(M879*'RAP TEMPLATE-GAS AVAILABILITY'!O878+N879*'RAP TEMPLATE-GAS AVAILABILITY'!P878+O879*'RAP TEMPLATE-GAS AVAILABILITY'!Q878+P879*'RAP TEMPLATE-GAS AVAILABILITY'!R878)/('RAP TEMPLATE-GAS AVAILABILITY'!O878+'RAP TEMPLATE-GAS AVAILABILITY'!P878+'RAP TEMPLATE-GAS AVAILABILITY'!Q878+'RAP TEMPLATE-GAS AVAILABILITY'!R878)</f>
        <v>62.149880575539569</v>
      </c>
    </row>
    <row r="880" spans="1:29" ht="15.75" x14ac:dyDescent="0.25">
      <c r="A880" s="13">
        <v>67692</v>
      </c>
      <c r="B880" s="10">
        <f>CHOOSE(CONTROL!$C$42, 62.5533, 62.5533) * CHOOSE(CONTROL!$C$21, $C$9, 100%, $E$9)</f>
        <v>62.5533</v>
      </c>
      <c r="C880" s="10">
        <f>CHOOSE(CONTROL!$C$42, 62.5576, 62.5576) * CHOOSE(CONTROL!$C$21, $C$9, 100%, $E$9)</f>
        <v>62.557600000000001</v>
      </c>
      <c r="D880" s="10">
        <f>CHOOSE(CONTROL!$C$42, 62.7532, 62.7532) * CHOOSE(CONTROL!$C$21, $C$9, 100%, $E$9)</f>
        <v>62.7532</v>
      </c>
      <c r="E880" s="10">
        <f>CHOOSE(CONTROL!$C$42, 62.785, 62.785) * CHOOSE(CONTROL!$C$21, $C$9, 100%, $E$9)</f>
        <v>62.784999999999997</v>
      </c>
      <c r="F880" s="10">
        <f>CHOOSE(CONTROL!$C$42, 62.5211, 62.5211)*CHOOSE(CONTROL!$C$21, $C$9, 100%, $E$9)</f>
        <v>62.521099999999997</v>
      </c>
      <c r="G880" s="10">
        <f>CHOOSE(CONTROL!$C$42, 62.5379, 62.5379)*CHOOSE(CONTROL!$C$21, $C$9, 100%, $E$9)</f>
        <v>62.5379</v>
      </c>
      <c r="H880" s="10">
        <f>CHOOSE(CONTROL!$C$42, 62.7748, 62.7748) * CHOOSE(CONTROL!$C$21, $C$9, 100%, $E$9)</f>
        <v>62.774799999999999</v>
      </c>
      <c r="I880" s="10">
        <f>CHOOSE(CONTROL!$C$42, 62.5212, 62.5212)* CHOOSE(CONTROL!$C$21, $C$9, 100%, $E$9)</f>
        <v>62.5212</v>
      </c>
      <c r="J880" s="10">
        <f>CHOOSE(CONTROL!$C$42, 62.5141, 62.5141)* CHOOSE(CONTROL!$C$21, $C$9, 100%, $E$9)</f>
        <v>62.514099999999999</v>
      </c>
      <c r="K880" s="54">
        <f>CHOOSE(CONTROL!$C$42, 62.5174, 62.5174) * CHOOSE(CONTROL!$C$21, $C$9, 100%, $E$9)</f>
        <v>62.517400000000002</v>
      </c>
      <c r="L880" s="10">
        <f>CHOOSE(CONTROL!$C$42, 63.3618, 63.3618) * CHOOSE(CONTROL!$C$21, $C$9, 100%, $E$9)</f>
        <v>63.361800000000002</v>
      </c>
      <c r="M880" s="10">
        <f>CHOOSE(CONTROL!$C$42, 61.897, 61.897) * CHOOSE(CONTROL!$C$21, $C$9, 100%, $E$9)</f>
        <v>61.896999999999998</v>
      </c>
      <c r="N880" s="10">
        <f>CHOOSE(CONTROL!$C$42, 61.9136, 61.9136) * CHOOSE(CONTROL!$C$21, $C$9, 100%, $E$9)</f>
        <v>61.913600000000002</v>
      </c>
      <c r="O880" s="10">
        <f>CHOOSE(CONTROL!$C$42, 62.1551, 62.1551) * CHOOSE(CONTROL!$C$21, $C$9, 100%, $E$9)</f>
        <v>62.155099999999997</v>
      </c>
      <c r="P880" s="10">
        <f>CHOOSE(CONTROL!$C$42, 61.9042, 61.9042) * CHOOSE(CONTROL!$C$21, $C$9, 100%, $E$9)</f>
        <v>61.904200000000003</v>
      </c>
      <c r="Q880" s="10">
        <f>CHOOSE(CONTROL!$C$42, 62.7504, 62.7504) * CHOOSE(CONTROL!$C$21, $C$9, 100%, $E$9)</f>
        <v>62.750399999999999</v>
      </c>
      <c r="R880" s="10">
        <f>CHOOSE(CONTROL!$C$42, 63.4943, 63.4943) * CHOOSE(CONTROL!$C$21, $C$9, 100%, $E$9)</f>
        <v>63.494300000000003</v>
      </c>
      <c r="S880" s="10">
        <f>CHOOSE(CONTROL!$C$42, 60.7426, 60.7426) * CHOOSE(CONTROL!$C$21, $C$9, 100%, $E$9)</f>
        <v>60.742600000000003</v>
      </c>
      <c r="T880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880" s="58">
        <f>(1000*CHOOSE(CONTROL!$C$42, 695, 695)*CHOOSE(CONTROL!$C$42, 0.5599, 0.5599)*CHOOSE(CONTROL!$C$42, 30, 30))/1000000</f>
        <v>11.673914999999997</v>
      </c>
      <c r="V880" s="58">
        <f>(1000*CHOOSE(CONTROL!$C$42, 500, 500)*CHOOSE(CONTROL!$C$42, 0.275, 0.275)*CHOOSE(CONTROL!$C$42, 30, 30))/1000000</f>
        <v>4.125</v>
      </c>
      <c r="W880" s="58">
        <f>(1000*CHOOSE(CONTROL!$C$42, 0.1146, 0.1146)*CHOOSE(CONTROL!$C$42, 121.5, 121.5)*CHOOSE(CONTROL!$C$42, 30, 30))/1000000</f>
        <v>0.417717</v>
      </c>
      <c r="X880" s="58">
        <f>(30*0.1790888*245000/1000000)+(30*0.2374*100000/1000000)</f>
        <v>2.0285026799999999</v>
      </c>
      <c r="Y880" s="58"/>
      <c r="Z880" s="10"/>
      <c r="AA880" s="57"/>
      <c r="AB880" s="51">
        <f>(B880*141.293+C880*267.993+D880*115.016+E880*89.698+F880*40+G880*185+H880*0+I880*100+J880*300)/(141.293+267.993+115.016+89.698+0+40+185+100+300)</f>
        <v>62.574139463196119</v>
      </c>
      <c r="AC880" s="27">
        <f>(M880*'RAP TEMPLATE-GAS AVAILABILITY'!O879+N880*'RAP TEMPLATE-GAS AVAILABILITY'!P879+O880*'RAP TEMPLATE-GAS AVAILABILITY'!Q879+P880*'RAP TEMPLATE-GAS AVAILABILITY'!R879)/('RAP TEMPLATE-GAS AVAILABILITY'!O879+'RAP TEMPLATE-GAS AVAILABILITY'!P879+'RAP TEMPLATE-GAS AVAILABILITY'!Q879+'RAP TEMPLATE-GAS AVAILABILITY'!R879)</f>
        <v>62.015971942446043</v>
      </c>
    </row>
    <row r="881" spans="1:29" ht="15.75" x14ac:dyDescent="0.25">
      <c r="A881" s="13">
        <v>67723</v>
      </c>
      <c r="B881" s="10">
        <f>CHOOSE(CONTROL!$C$42, 63.1067, 63.1067) * CHOOSE(CONTROL!$C$21, $C$9, 100%, $E$9)</f>
        <v>63.106699999999996</v>
      </c>
      <c r="C881" s="10">
        <f>CHOOSE(CONTROL!$C$42, 63.1147, 63.1147) * CHOOSE(CONTROL!$C$21, $C$9, 100%, $E$9)</f>
        <v>63.114699999999999</v>
      </c>
      <c r="D881" s="10">
        <f>CHOOSE(CONTROL!$C$42, 63.3071, 63.3071) * CHOOSE(CONTROL!$C$21, $C$9, 100%, $E$9)</f>
        <v>63.307099999999998</v>
      </c>
      <c r="E881" s="10">
        <f>CHOOSE(CONTROL!$C$42, 63.3382, 63.3382) * CHOOSE(CONTROL!$C$21, $C$9, 100%, $E$9)</f>
        <v>63.338200000000001</v>
      </c>
      <c r="F881" s="10">
        <f>CHOOSE(CONTROL!$C$42, 63.073, 63.073)*CHOOSE(CONTROL!$C$21, $C$9, 100%, $E$9)</f>
        <v>63.073</v>
      </c>
      <c r="G881" s="10">
        <f>CHOOSE(CONTROL!$C$42, 63.0901, 63.0901)*CHOOSE(CONTROL!$C$21, $C$9, 100%, $E$9)</f>
        <v>63.0901</v>
      </c>
      <c r="H881" s="10">
        <f>CHOOSE(CONTROL!$C$42, 63.3269, 63.3269) * CHOOSE(CONTROL!$C$21, $C$9, 100%, $E$9)</f>
        <v>63.326900000000002</v>
      </c>
      <c r="I881" s="10">
        <f>CHOOSE(CONTROL!$C$42, 63.0733, 63.0733)* CHOOSE(CONTROL!$C$21, $C$9, 100%, $E$9)</f>
        <v>63.073300000000003</v>
      </c>
      <c r="J881" s="10">
        <f>CHOOSE(CONTROL!$C$42, 63.066, 63.066)* CHOOSE(CONTROL!$C$21, $C$9, 100%, $E$9)</f>
        <v>63.066000000000003</v>
      </c>
      <c r="K881" s="54">
        <f>CHOOSE(CONTROL!$C$42, 63.0694, 63.0694) * CHOOSE(CONTROL!$C$21, $C$9, 100%, $E$9)</f>
        <v>63.069400000000002</v>
      </c>
      <c r="L881" s="10">
        <f>CHOOSE(CONTROL!$C$42, 63.9139, 63.9139) * CHOOSE(CONTROL!$C$21, $C$9, 100%, $E$9)</f>
        <v>63.913899999999998</v>
      </c>
      <c r="M881" s="10">
        <f>CHOOSE(CONTROL!$C$42, 62.4434, 62.4434) * CHOOSE(CONTROL!$C$21, $C$9, 100%, $E$9)</f>
        <v>62.443399999999997</v>
      </c>
      <c r="N881" s="10">
        <f>CHOOSE(CONTROL!$C$42, 62.4603, 62.4603) * CHOOSE(CONTROL!$C$21, $C$9, 100%, $E$9)</f>
        <v>62.460299999999997</v>
      </c>
      <c r="O881" s="10">
        <f>CHOOSE(CONTROL!$C$42, 62.7016, 62.7016) * CHOOSE(CONTROL!$C$21, $C$9, 100%, $E$9)</f>
        <v>62.701599999999999</v>
      </c>
      <c r="P881" s="10">
        <f>CHOOSE(CONTROL!$C$42, 62.4507, 62.4507) * CHOOSE(CONTROL!$C$21, $C$9, 100%, $E$9)</f>
        <v>62.450699999999998</v>
      </c>
      <c r="Q881" s="10">
        <f>CHOOSE(CONTROL!$C$42, 63.2969, 63.2969) * CHOOSE(CONTROL!$C$21, $C$9, 100%, $E$9)</f>
        <v>63.296900000000001</v>
      </c>
      <c r="R881" s="10">
        <f>CHOOSE(CONTROL!$C$42, 64.0422, 64.0422) * CHOOSE(CONTROL!$C$21, $C$9, 100%, $E$9)</f>
        <v>64.042199999999994</v>
      </c>
      <c r="S881" s="10">
        <f>CHOOSE(CONTROL!$C$42, 61.2787, 61.2787) * CHOOSE(CONTROL!$C$21, $C$9, 100%, $E$9)</f>
        <v>61.278700000000001</v>
      </c>
      <c r="T881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881" s="58">
        <f>(1000*CHOOSE(CONTROL!$C$42, 695, 695)*CHOOSE(CONTROL!$C$42, 0.5599, 0.5599)*CHOOSE(CONTROL!$C$42, 31, 31))/1000000</f>
        <v>12.063045499999998</v>
      </c>
      <c r="V881" s="58">
        <f>(1000*CHOOSE(CONTROL!$C$42, 500, 500)*CHOOSE(CONTROL!$C$42, 0.275, 0.275)*CHOOSE(CONTROL!$C$42, 31, 31))/1000000</f>
        <v>4.2625000000000002</v>
      </c>
      <c r="W881" s="58">
        <f>(1000*CHOOSE(CONTROL!$C$42, 0.1146, 0.1146)*CHOOSE(CONTROL!$C$42, 121.5, 121.5)*CHOOSE(CONTROL!$C$42, 31, 31))/1000000</f>
        <v>0.43164089999999994</v>
      </c>
      <c r="X881" s="58">
        <f>(31*0.1790888*245000/1000000)+(31*0.2374*100000/1000000)</f>
        <v>2.0961194359999999</v>
      </c>
      <c r="Y881" s="58"/>
      <c r="Z881" s="10"/>
      <c r="AA881" s="57"/>
      <c r="AB881" s="51">
        <f>(B881*194.205+C881*267.466+D881*133.845+E881*53.484+F881*40+G881*185+H881*0+I881*100+J881*300)/(194.205+267.466+133.845+53.484+0+40+185+100+300)</f>
        <v>63.12347771742543</v>
      </c>
      <c r="AC881" s="27">
        <f>(M881*'RAP TEMPLATE-GAS AVAILABILITY'!O880+N881*'RAP TEMPLATE-GAS AVAILABILITY'!P880+O881*'RAP TEMPLATE-GAS AVAILABILITY'!Q880+P881*'RAP TEMPLATE-GAS AVAILABILITY'!R880)/('RAP TEMPLATE-GAS AVAILABILITY'!O880+'RAP TEMPLATE-GAS AVAILABILITY'!P880+'RAP TEMPLATE-GAS AVAILABILITY'!Q880+'RAP TEMPLATE-GAS AVAILABILITY'!R880)</f>
        <v>62.562448920863304</v>
      </c>
    </row>
    <row r="882" spans="1:29" ht="15.75" x14ac:dyDescent="0.25">
      <c r="A882" s="13">
        <v>67753</v>
      </c>
      <c r="B882" s="10">
        <f>CHOOSE(CONTROL!$C$42, 64.8967, 64.8967) * CHOOSE(CONTROL!$C$21, $C$9, 100%, $E$9)</f>
        <v>64.896699999999996</v>
      </c>
      <c r="C882" s="10">
        <f>CHOOSE(CONTROL!$C$42, 64.9046, 64.9046) * CHOOSE(CONTROL!$C$21, $C$9, 100%, $E$9)</f>
        <v>64.904600000000002</v>
      </c>
      <c r="D882" s="10">
        <f>CHOOSE(CONTROL!$C$42, 65.097, 65.097) * CHOOSE(CONTROL!$C$21, $C$9, 100%, $E$9)</f>
        <v>65.096999999999994</v>
      </c>
      <c r="E882" s="10">
        <f>CHOOSE(CONTROL!$C$42, 65.1282, 65.1282) * CHOOSE(CONTROL!$C$21, $C$9, 100%, $E$9)</f>
        <v>65.128200000000007</v>
      </c>
      <c r="F882" s="10">
        <f>CHOOSE(CONTROL!$C$42, 64.8632, 64.8632)*CHOOSE(CONTROL!$C$21, $C$9, 100%, $E$9)</f>
        <v>64.863200000000006</v>
      </c>
      <c r="G882" s="10">
        <f>CHOOSE(CONTROL!$C$42, 64.8804, 64.8804)*CHOOSE(CONTROL!$C$21, $C$9, 100%, $E$9)</f>
        <v>64.880399999999995</v>
      </c>
      <c r="H882" s="10">
        <f>CHOOSE(CONTROL!$C$42, 65.1168, 65.1168) * CHOOSE(CONTROL!$C$21, $C$9, 100%, $E$9)</f>
        <v>65.116799999999998</v>
      </c>
      <c r="I882" s="10">
        <f>CHOOSE(CONTROL!$C$42, 64.8633, 64.8633)* CHOOSE(CONTROL!$C$21, $C$9, 100%, $E$9)</f>
        <v>64.863299999999995</v>
      </c>
      <c r="J882" s="10">
        <f>CHOOSE(CONTROL!$C$42, 64.8562, 64.8562)* CHOOSE(CONTROL!$C$21, $C$9, 100%, $E$9)</f>
        <v>64.856200000000001</v>
      </c>
      <c r="K882" s="54">
        <f>CHOOSE(CONTROL!$C$42, 64.8594, 64.8594) * CHOOSE(CONTROL!$C$21, $C$9, 100%, $E$9)</f>
        <v>64.859399999999994</v>
      </c>
      <c r="L882" s="10">
        <f>CHOOSE(CONTROL!$C$42, 65.7038, 65.7038) * CHOOSE(CONTROL!$C$21, $C$9, 100%, $E$9)</f>
        <v>65.703800000000001</v>
      </c>
      <c r="M882" s="10">
        <f>CHOOSE(CONTROL!$C$42, 64.2155, 64.2155) * CHOOSE(CONTROL!$C$21, $C$9, 100%, $E$9)</f>
        <v>64.215500000000006</v>
      </c>
      <c r="N882" s="10">
        <f>CHOOSE(CONTROL!$C$42, 64.2325, 64.2325) * CHOOSE(CONTROL!$C$21, $C$9, 100%, $E$9)</f>
        <v>64.232500000000002</v>
      </c>
      <c r="O882" s="10">
        <f>CHOOSE(CONTROL!$C$42, 64.4735, 64.4735) * CHOOSE(CONTROL!$C$21, $C$9, 100%, $E$9)</f>
        <v>64.473500000000001</v>
      </c>
      <c r="P882" s="10">
        <f>CHOOSE(CONTROL!$C$42, 64.2226, 64.2226) * CHOOSE(CONTROL!$C$21, $C$9, 100%, $E$9)</f>
        <v>64.2226</v>
      </c>
      <c r="Q882" s="10">
        <f>CHOOSE(CONTROL!$C$42, 65.0688, 65.0688) * CHOOSE(CONTROL!$C$21, $C$9, 100%, $E$9)</f>
        <v>65.068799999999996</v>
      </c>
      <c r="R882" s="10">
        <f>CHOOSE(CONTROL!$C$42, 65.8185, 65.8185) * CHOOSE(CONTROL!$C$21, $C$9, 100%, $E$9)</f>
        <v>65.8185</v>
      </c>
      <c r="S882" s="10">
        <f>CHOOSE(CONTROL!$C$42, 63.0169, 63.0169) * CHOOSE(CONTROL!$C$21, $C$9, 100%, $E$9)</f>
        <v>63.0169</v>
      </c>
      <c r="T882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882" s="58">
        <f>(1000*CHOOSE(CONTROL!$C$42, 695, 695)*CHOOSE(CONTROL!$C$42, 0.5599, 0.5599)*CHOOSE(CONTROL!$C$42, 30, 30))/1000000</f>
        <v>11.673914999999997</v>
      </c>
      <c r="V882" s="58">
        <f>(1000*CHOOSE(CONTROL!$C$42, 500, 500)*CHOOSE(CONTROL!$C$42, 0.275, 0.275)*CHOOSE(CONTROL!$C$42, 30, 30))/1000000</f>
        <v>4.125</v>
      </c>
      <c r="W882" s="58">
        <f>(1000*CHOOSE(CONTROL!$C$42, 0.1146, 0.1146)*CHOOSE(CONTROL!$C$42, 121.5, 121.5)*CHOOSE(CONTROL!$C$42, 30, 30))/1000000</f>
        <v>0.417717</v>
      </c>
      <c r="X882" s="58">
        <f>(30*0.1790888*245000/1000000)+(30*0.2374*100000/1000000)</f>
        <v>2.0285026799999999</v>
      </c>
      <c r="Y882" s="58"/>
      <c r="Z882" s="10"/>
      <c r="AA882" s="57"/>
      <c r="AB882" s="51">
        <f>(B882*194.205+C882*267.466+D882*133.845+E882*53.484+F882*40+G882*185+H882*0+I882*100+J882*300)/(194.205+267.466+133.845+53.484+0+40+185+100+300)</f>
        <v>64.913543156122458</v>
      </c>
      <c r="AC882" s="27">
        <f>(M882*'RAP TEMPLATE-GAS AVAILABILITY'!O881+N882*'RAP TEMPLATE-GAS AVAILABILITY'!P881+O882*'RAP TEMPLATE-GAS AVAILABILITY'!Q881+P882*'RAP TEMPLATE-GAS AVAILABILITY'!R881)/('RAP TEMPLATE-GAS AVAILABILITY'!O881+'RAP TEMPLATE-GAS AVAILABILITY'!P881+'RAP TEMPLATE-GAS AVAILABILITY'!Q881+'RAP TEMPLATE-GAS AVAILABILITY'!R881)</f>
        <v>64.334435251798567</v>
      </c>
    </row>
    <row r="883" spans="1:29" ht="15.75" x14ac:dyDescent="0.25">
      <c r="A883" s="13">
        <v>67784</v>
      </c>
      <c r="B883" s="10">
        <f>CHOOSE(CONTROL!$C$42, 63.6518, 63.6518) * CHOOSE(CONTROL!$C$21, $C$9, 100%, $E$9)</f>
        <v>63.651800000000001</v>
      </c>
      <c r="C883" s="10">
        <f>CHOOSE(CONTROL!$C$42, 63.6597, 63.6597) * CHOOSE(CONTROL!$C$21, $C$9, 100%, $E$9)</f>
        <v>63.659700000000001</v>
      </c>
      <c r="D883" s="10">
        <f>CHOOSE(CONTROL!$C$42, 63.8521, 63.8521) * CHOOSE(CONTROL!$C$21, $C$9, 100%, $E$9)</f>
        <v>63.8521</v>
      </c>
      <c r="E883" s="10">
        <f>CHOOSE(CONTROL!$C$42, 63.8833, 63.8833) * CHOOSE(CONTROL!$C$21, $C$9, 100%, $E$9)</f>
        <v>63.883299999999998</v>
      </c>
      <c r="F883" s="10">
        <f>CHOOSE(CONTROL!$C$42, 63.6187, 63.6187)*CHOOSE(CONTROL!$C$21, $C$9, 100%, $E$9)</f>
        <v>63.618699999999997</v>
      </c>
      <c r="G883" s="10">
        <f>CHOOSE(CONTROL!$C$42, 63.636, 63.636)*CHOOSE(CONTROL!$C$21, $C$9, 100%, $E$9)</f>
        <v>63.636000000000003</v>
      </c>
      <c r="H883" s="10">
        <f>CHOOSE(CONTROL!$C$42, 63.8719, 63.8719) * CHOOSE(CONTROL!$C$21, $C$9, 100%, $E$9)</f>
        <v>63.871899999999997</v>
      </c>
      <c r="I883" s="10">
        <f>CHOOSE(CONTROL!$C$42, 63.6183, 63.6183)* CHOOSE(CONTROL!$C$21, $C$9, 100%, $E$9)</f>
        <v>63.618299999999998</v>
      </c>
      <c r="J883" s="10">
        <f>CHOOSE(CONTROL!$C$42, 63.6117, 63.6117)* CHOOSE(CONTROL!$C$21, $C$9, 100%, $E$9)</f>
        <v>63.611699999999999</v>
      </c>
      <c r="K883" s="54">
        <f>CHOOSE(CONTROL!$C$42, 63.6145, 63.6145) * CHOOSE(CONTROL!$C$21, $C$9, 100%, $E$9)</f>
        <v>63.6145</v>
      </c>
      <c r="L883" s="10">
        <f>CHOOSE(CONTROL!$C$42, 64.4589, 64.4589) * CHOOSE(CONTROL!$C$21, $C$9, 100%, $E$9)</f>
        <v>64.4589</v>
      </c>
      <c r="M883" s="10">
        <f>CHOOSE(CONTROL!$C$42, 62.9835, 62.9835) * CHOOSE(CONTROL!$C$21, $C$9, 100%, $E$9)</f>
        <v>62.983499999999999</v>
      </c>
      <c r="N883" s="10">
        <f>CHOOSE(CONTROL!$C$42, 63.0007, 63.0007) * CHOOSE(CONTROL!$C$21, $C$9, 100%, $E$9)</f>
        <v>63.000700000000002</v>
      </c>
      <c r="O883" s="10">
        <f>CHOOSE(CONTROL!$C$42, 63.2411, 63.2411) * CHOOSE(CONTROL!$C$21, $C$9, 100%, $E$9)</f>
        <v>63.241100000000003</v>
      </c>
      <c r="P883" s="10">
        <f>CHOOSE(CONTROL!$C$42, 62.9902, 62.9902) * CHOOSE(CONTROL!$C$21, $C$9, 100%, $E$9)</f>
        <v>62.990200000000002</v>
      </c>
      <c r="Q883" s="10">
        <f>CHOOSE(CONTROL!$C$42, 63.8364, 63.8364) * CHOOSE(CONTROL!$C$21, $C$9, 100%, $E$9)</f>
        <v>63.836399999999998</v>
      </c>
      <c r="R883" s="10">
        <f>CHOOSE(CONTROL!$C$42, 64.583, 64.583) * CHOOSE(CONTROL!$C$21, $C$9, 100%, $E$9)</f>
        <v>64.582999999999998</v>
      </c>
      <c r="S883" s="10">
        <f>CHOOSE(CONTROL!$C$42, 61.808, 61.808) * CHOOSE(CONTROL!$C$21, $C$9, 100%, $E$9)</f>
        <v>61.808</v>
      </c>
      <c r="T883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883" s="58">
        <f>(1000*CHOOSE(CONTROL!$C$42, 695, 695)*CHOOSE(CONTROL!$C$42, 0.5599, 0.5599)*CHOOSE(CONTROL!$C$42, 31, 31))/1000000</f>
        <v>12.063045499999998</v>
      </c>
      <c r="V883" s="58">
        <f>(1000*CHOOSE(CONTROL!$C$42, 500, 500)*CHOOSE(CONTROL!$C$42, 0.275, 0.275)*CHOOSE(CONTROL!$C$42, 31, 31))/1000000</f>
        <v>4.2625000000000002</v>
      </c>
      <c r="W883" s="58">
        <f>(1000*CHOOSE(CONTROL!$C$42, 0.1146, 0.1146)*CHOOSE(CONTROL!$C$42, 121.5, 121.5)*CHOOSE(CONTROL!$C$42, 31, 31))/1000000</f>
        <v>0.43164089999999994</v>
      </c>
      <c r="X883" s="58">
        <f>(31*0.1790888*245000/1000000)+(31*0.2374*100000/1000000)</f>
        <v>2.0961194359999999</v>
      </c>
      <c r="Y883" s="58"/>
      <c r="Z883" s="10"/>
      <c r="AA883" s="57"/>
      <c r="AB883" s="51">
        <f>(B883*194.205+C883*267.466+D883*133.845+E883*53.484+F883*40+G883*185+H883*0+I883*100+J883*300)/(194.205+267.466+133.845+53.484+0+40+185+100+300)</f>
        <v>63.668814663186815</v>
      </c>
      <c r="AC883" s="27">
        <f>(M883*'RAP TEMPLATE-GAS AVAILABILITY'!O882+N883*'RAP TEMPLATE-GAS AVAILABILITY'!P882+O883*'RAP TEMPLATE-GAS AVAILABILITY'!Q882+P883*'RAP TEMPLATE-GAS AVAILABILITY'!R882)/('RAP TEMPLATE-GAS AVAILABILITY'!O882+'RAP TEMPLATE-GAS AVAILABILITY'!P882+'RAP TEMPLATE-GAS AVAILABILITY'!Q882+'RAP TEMPLATE-GAS AVAILABILITY'!R882)</f>
        <v>63.102207913669076</v>
      </c>
    </row>
    <row r="884" spans="1:29" ht="15.75" x14ac:dyDescent="0.25">
      <c r="A884" s="13">
        <v>67815</v>
      </c>
      <c r="B884" s="10">
        <f>CHOOSE(CONTROL!$C$42, 60.5079, 60.5079) * CHOOSE(CONTROL!$C$21, $C$9, 100%, $E$9)</f>
        <v>60.507899999999999</v>
      </c>
      <c r="C884" s="10">
        <f>CHOOSE(CONTROL!$C$42, 60.5159, 60.5159) * CHOOSE(CONTROL!$C$21, $C$9, 100%, $E$9)</f>
        <v>60.515900000000002</v>
      </c>
      <c r="D884" s="10">
        <f>CHOOSE(CONTROL!$C$42, 60.7083, 60.7083) * CHOOSE(CONTROL!$C$21, $C$9, 100%, $E$9)</f>
        <v>60.708300000000001</v>
      </c>
      <c r="E884" s="10">
        <f>CHOOSE(CONTROL!$C$42, 60.7394, 60.7394) * CHOOSE(CONTROL!$C$21, $C$9, 100%, $E$9)</f>
        <v>60.739400000000003</v>
      </c>
      <c r="F884" s="10">
        <f>CHOOSE(CONTROL!$C$42, 60.475, 60.475)*CHOOSE(CONTROL!$C$21, $C$9, 100%, $E$9)</f>
        <v>60.475000000000001</v>
      </c>
      <c r="G884" s="10">
        <f>CHOOSE(CONTROL!$C$42, 60.4923, 60.4923)*CHOOSE(CONTROL!$C$21, $C$9, 100%, $E$9)</f>
        <v>60.4923</v>
      </c>
      <c r="H884" s="10">
        <f>CHOOSE(CONTROL!$C$42, 60.7281, 60.7281) * CHOOSE(CONTROL!$C$21, $C$9, 100%, $E$9)</f>
        <v>60.728099999999998</v>
      </c>
      <c r="I884" s="10">
        <f>CHOOSE(CONTROL!$C$42, 60.4745, 60.4745)* CHOOSE(CONTROL!$C$21, $C$9, 100%, $E$9)</f>
        <v>60.474499999999999</v>
      </c>
      <c r="J884" s="10">
        <f>CHOOSE(CONTROL!$C$42, 60.468, 60.468)* CHOOSE(CONTROL!$C$21, $C$9, 100%, $E$9)</f>
        <v>60.468000000000004</v>
      </c>
      <c r="K884" s="54">
        <f>CHOOSE(CONTROL!$C$42, 60.4706, 60.4706) * CHOOSE(CONTROL!$C$21, $C$9, 100%, $E$9)</f>
        <v>60.470599999999997</v>
      </c>
      <c r="L884" s="10">
        <f>CHOOSE(CONTROL!$C$42, 61.3151, 61.3151) * CHOOSE(CONTROL!$C$21, $C$9, 100%, $E$9)</f>
        <v>61.315100000000001</v>
      </c>
      <c r="M884" s="10">
        <f>CHOOSE(CONTROL!$C$42, 59.8716, 59.8716) * CHOOSE(CONTROL!$C$21, $C$9, 100%, $E$9)</f>
        <v>59.871600000000001</v>
      </c>
      <c r="N884" s="10">
        <f>CHOOSE(CONTROL!$C$42, 59.8888, 59.8888) * CHOOSE(CONTROL!$C$21, $C$9, 100%, $E$9)</f>
        <v>59.888800000000003</v>
      </c>
      <c r="O884" s="10">
        <f>CHOOSE(CONTROL!$C$42, 60.129, 60.129) * CHOOSE(CONTROL!$C$21, $C$9, 100%, $E$9)</f>
        <v>60.128999999999998</v>
      </c>
      <c r="P884" s="10">
        <f>CHOOSE(CONTROL!$C$42, 59.8781, 59.8781) * CHOOSE(CONTROL!$C$21, $C$9, 100%, $E$9)</f>
        <v>59.878100000000003</v>
      </c>
      <c r="Q884" s="10">
        <f>CHOOSE(CONTROL!$C$42, 60.7243, 60.7243) * CHOOSE(CONTROL!$C$21, $C$9, 100%, $E$9)</f>
        <v>60.724299999999999</v>
      </c>
      <c r="R884" s="10">
        <f>CHOOSE(CONTROL!$C$42, 61.4631, 61.4631) * CHOOSE(CONTROL!$C$21, $C$9, 100%, $E$9)</f>
        <v>61.463099999999997</v>
      </c>
      <c r="S884" s="10">
        <f>CHOOSE(CONTROL!$C$42, 58.755, 58.755) * CHOOSE(CONTROL!$C$21, $C$9, 100%, $E$9)</f>
        <v>58.755000000000003</v>
      </c>
      <c r="T884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884" s="58">
        <f>(1000*CHOOSE(CONTROL!$C$42, 695, 695)*CHOOSE(CONTROL!$C$42, 0.5599, 0.5599)*CHOOSE(CONTROL!$C$42, 31, 31))/1000000</f>
        <v>12.063045499999998</v>
      </c>
      <c r="V884" s="58">
        <f>(1000*CHOOSE(CONTROL!$C$42, 500, 500)*CHOOSE(CONTROL!$C$42, 0.275, 0.275)*CHOOSE(CONTROL!$C$42, 31, 31))/1000000</f>
        <v>4.2625000000000002</v>
      </c>
      <c r="W884" s="58">
        <f>(1000*CHOOSE(CONTROL!$C$42, 0.1146, 0.1146)*CHOOSE(CONTROL!$C$42, 121.5, 121.5)*CHOOSE(CONTROL!$C$42, 31, 31))/1000000</f>
        <v>0.43164089999999994</v>
      </c>
      <c r="X884" s="58">
        <f>(31*0.1790888*245000/1000000)+(31*0.2374*100000/1000000)</f>
        <v>2.0961194359999999</v>
      </c>
      <c r="Y884" s="58"/>
      <c r="Z884" s="10"/>
      <c r="AA884" s="57"/>
      <c r="AB884" s="51">
        <f>(B884*194.205+C884*267.466+D884*133.845+E884*53.484+F884*40+G884*185+H884*0+I884*100+J884*300)/(194.205+267.466+133.845+53.484+0+40+185+100+300)</f>
        <v>60.525036430141292</v>
      </c>
      <c r="AC884" s="27">
        <f>(M884*'RAP TEMPLATE-GAS AVAILABILITY'!O883+N884*'RAP TEMPLATE-GAS AVAILABILITY'!P883+O884*'RAP TEMPLATE-GAS AVAILABILITY'!Q883+P884*'RAP TEMPLATE-GAS AVAILABILITY'!R883)/('RAP TEMPLATE-GAS AVAILABILITY'!O883+'RAP TEMPLATE-GAS AVAILABILITY'!P883+'RAP TEMPLATE-GAS AVAILABILITY'!Q883+'RAP TEMPLATE-GAS AVAILABILITY'!R883)</f>
        <v>59.990188489208627</v>
      </c>
    </row>
    <row r="885" spans="1:29" ht="15.75" x14ac:dyDescent="0.25">
      <c r="A885" s="13">
        <v>67845</v>
      </c>
      <c r="B885" s="10">
        <f>CHOOSE(CONTROL!$C$42, 56.6664, 56.6664) * CHOOSE(CONTROL!$C$21, $C$9, 100%, $E$9)</f>
        <v>56.666400000000003</v>
      </c>
      <c r="C885" s="10">
        <f>CHOOSE(CONTROL!$C$42, 56.6743, 56.6743) * CHOOSE(CONTROL!$C$21, $C$9, 100%, $E$9)</f>
        <v>56.674300000000002</v>
      </c>
      <c r="D885" s="10">
        <f>CHOOSE(CONTROL!$C$42, 56.8667, 56.8667) * CHOOSE(CONTROL!$C$21, $C$9, 100%, $E$9)</f>
        <v>56.866700000000002</v>
      </c>
      <c r="E885" s="10">
        <f>CHOOSE(CONTROL!$C$42, 56.8979, 56.8979) * CHOOSE(CONTROL!$C$21, $C$9, 100%, $E$9)</f>
        <v>56.8979</v>
      </c>
      <c r="F885" s="10">
        <f>CHOOSE(CONTROL!$C$42, 56.6333, 56.6333)*CHOOSE(CONTROL!$C$21, $C$9, 100%, $E$9)</f>
        <v>56.633299999999998</v>
      </c>
      <c r="G885" s="10">
        <f>CHOOSE(CONTROL!$C$42, 56.6506, 56.6506)*CHOOSE(CONTROL!$C$21, $C$9, 100%, $E$9)</f>
        <v>56.650599999999997</v>
      </c>
      <c r="H885" s="10">
        <f>CHOOSE(CONTROL!$C$42, 56.8865, 56.8865) * CHOOSE(CONTROL!$C$21, $C$9, 100%, $E$9)</f>
        <v>56.886499999999998</v>
      </c>
      <c r="I885" s="10">
        <f>CHOOSE(CONTROL!$C$42, 56.6329, 56.6329)* CHOOSE(CONTROL!$C$21, $C$9, 100%, $E$9)</f>
        <v>56.632899999999999</v>
      </c>
      <c r="J885" s="10">
        <f>CHOOSE(CONTROL!$C$42, 56.6263, 56.6263)* CHOOSE(CONTROL!$C$21, $C$9, 100%, $E$9)</f>
        <v>56.626300000000001</v>
      </c>
      <c r="K885" s="54">
        <f>CHOOSE(CONTROL!$C$42, 56.6291, 56.6291) * CHOOSE(CONTROL!$C$21, $C$9, 100%, $E$9)</f>
        <v>56.629100000000001</v>
      </c>
      <c r="L885" s="10">
        <f>CHOOSE(CONTROL!$C$42, 57.4735, 57.4735) * CHOOSE(CONTROL!$C$21, $C$9, 100%, $E$9)</f>
        <v>57.473500000000001</v>
      </c>
      <c r="M885" s="10">
        <f>CHOOSE(CONTROL!$C$42, 56.0686, 56.0686) * CHOOSE(CONTROL!$C$21, $C$9, 100%, $E$9)</f>
        <v>56.068600000000004</v>
      </c>
      <c r="N885" s="10">
        <f>CHOOSE(CONTROL!$C$42, 56.0858, 56.0858) * CHOOSE(CONTROL!$C$21, $C$9, 100%, $E$9)</f>
        <v>56.085799999999999</v>
      </c>
      <c r="O885" s="10">
        <f>CHOOSE(CONTROL!$C$42, 56.3262, 56.3262) * CHOOSE(CONTROL!$C$21, $C$9, 100%, $E$9)</f>
        <v>56.3262</v>
      </c>
      <c r="P885" s="10">
        <f>CHOOSE(CONTROL!$C$42, 56.0753, 56.0753) * CHOOSE(CONTROL!$C$21, $C$9, 100%, $E$9)</f>
        <v>56.075299999999999</v>
      </c>
      <c r="Q885" s="10">
        <f>CHOOSE(CONTROL!$C$42, 56.9215, 56.9215) * CHOOSE(CONTROL!$C$21, $C$9, 100%, $E$9)</f>
        <v>56.921500000000002</v>
      </c>
      <c r="R885" s="10">
        <f>CHOOSE(CONTROL!$C$42, 57.6508, 57.6508) * CHOOSE(CONTROL!$C$21, $C$9, 100%, $E$9)</f>
        <v>57.650799999999997</v>
      </c>
      <c r="S885" s="10">
        <f>CHOOSE(CONTROL!$C$42, 55.0245, 55.0245) * CHOOSE(CONTROL!$C$21, $C$9, 100%, $E$9)</f>
        <v>55.024500000000003</v>
      </c>
      <c r="T885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885" s="58">
        <f>(1000*CHOOSE(CONTROL!$C$42, 695, 695)*CHOOSE(CONTROL!$C$42, 0.5599, 0.5599)*CHOOSE(CONTROL!$C$42, 30, 30))/1000000</f>
        <v>11.673914999999997</v>
      </c>
      <c r="V885" s="58">
        <f>(1000*CHOOSE(CONTROL!$C$42, 500, 500)*CHOOSE(CONTROL!$C$42, 0.275, 0.275)*CHOOSE(CONTROL!$C$42, 30, 30))/1000000</f>
        <v>4.125</v>
      </c>
      <c r="W885" s="58">
        <f>(1000*CHOOSE(CONTROL!$C$42, 0.1146, 0.1146)*CHOOSE(CONTROL!$C$42, 121.5, 121.5)*CHOOSE(CONTROL!$C$42, 30, 30))/1000000</f>
        <v>0.417717</v>
      </c>
      <c r="X885" s="58">
        <f>(30*0.1790888*245000/1000000)+(30*0.2374*100000/1000000)</f>
        <v>2.0285026799999999</v>
      </c>
      <c r="Y885" s="58"/>
      <c r="Z885" s="10"/>
      <c r="AA885" s="57"/>
      <c r="AB885" s="51">
        <f>(B885*194.205+C885*267.466+D885*133.845+E885*53.484+F885*40+G885*185+H885*0+I885*100+J885*300)/(194.205+267.466+133.845+53.484+0+40+185+100+300)</f>
        <v>56.683414663186809</v>
      </c>
      <c r="AC885" s="27">
        <f>(M885*'RAP TEMPLATE-GAS AVAILABILITY'!O884+N885*'RAP TEMPLATE-GAS AVAILABILITY'!P884+O885*'RAP TEMPLATE-GAS AVAILABILITY'!Q884+P885*'RAP TEMPLATE-GAS AVAILABILITY'!R884)/('RAP TEMPLATE-GAS AVAILABILITY'!O884+'RAP TEMPLATE-GAS AVAILABILITY'!P884+'RAP TEMPLATE-GAS AVAILABILITY'!Q884+'RAP TEMPLATE-GAS AVAILABILITY'!R884)</f>
        <v>56.187307913669073</v>
      </c>
    </row>
    <row r="886" spans="1:29" ht="15.75" x14ac:dyDescent="0.25">
      <c r="A886" s="13">
        <v>67876</v>
      </c>
      <c r="B886" s="10">
        <f>CHOOSE(CONTROL!$C$42, 55.5142, 55.5142) * CHOOSE(CONTROL!$C$21, $C$9, 100%, $E$9)</f>
        <v>55.514200000000002</v>
      </c>
      <c r="C886" s="10">
        <f>CHOOSE(CONTROL!$C$42, 55.5194, 55.5194) * CHOOSE(CONTROL!$C$21, $C$9, 100%, $E$9)</f>
        <v>55.519399999999997</v>
      </c>
      <c r="D886" s="10">
        <f>CHOOSE(CONTROL!$C$42, 55.7168, 55.7168) * CHOOSE(CONTROL!$C$21, $C$9, 100%, $E$9)</f>
        <v>55.716799999999999</v>
      </c>
      <c r="E886" s="10">
        <f>CHOOSE(CONTROL!$C$42, 55.7456, 55.7456) * CHOOSE(CONTROL!$C$21, $C$9, 100%, $E$9)</f>
        <v>55.745600000000003</v>
      </c>
      <c r="F886" s="10">
        <f>CHOOSE(CONTROL!$C$42, 55.4831, 55.4831)*CHOOSE(CONTROL!$C$21, $C$9, 100%, $E$9)</f>
        <v>55.4831</v>
      </c>
      <c r="G886" s="10">
        <f>CHOOSE(CONTROL!$C$42, 55.5, 55.5)*CHOOSE(CONTROL!$C$21, $C$9, 100%, $E$9)</f>
        <v>55.5</v>
      </c>
      <c r="H886" s="10">
        <f>CHOOSE(CONTROL!$C$42, 55.736, 55.736) * CHOOSE(CONTROL!$C$21, $C$9, 100%, $E$9)</f>
        <v>55.735999999999997</v>
      </c>
      <c r="I886" s="10">
        <f>CHOOSE(CONTROL!$C$42, 55.4825, 55.4825)* CHOOSE(CONTROL!$C$21, $C$9, 100%, $E$9)</f>
        <v>55.482500000000002</v>
      </c>
      <c r="J886" s="10">
        <f>CHOOSE(CONTROL!$C$42, 55.4761, 55.4761)* CHOOSE(CONTROL!$C$21, $C$9, 100%, $E$9)</f>
        <v>55.476100000000002</v>
      </c>
      <c r="K886" s="54">
        <f>CHOOSE(CONTROL!$C$42, 55.4786, 55.4786) * CHOOSE(CONTROL!$C$21, $C$9, 100%, $E$9)</f>
        <v>55.4786</v>
      </c>
      <c r="L886" s="10">
        <f>CHOOSE(CONTROL!$C$42, 56.323, 56.323) * CHOOSE(CONTROL!$C$21, $C$9, 100%, $E$9)</f>
        <v>56.323</v>
      </c>
      <c r="M886" s="10">
        <f>CHOOSE(CONTROL!$C$42, 54.93, 54.93) * CHOOSE(CONTROL!$C$21, $C$9, 100%, $E$9)</f>
        <v>54.93</v>
      </c>
      <c r="N886" s="10">
        <f>CHOOSE(CONTROL!$C$42, 54.9468, 54.9468) * CHOOSE(CONTROL!$C$21, $C$9, 100%, $E$9)</f>
        <v>54.946800000000003</v>
      </c>
      <c r="O886" s="10">
        <f>CHOOSE(CONTROL!$C$42, 55.1874, 55.1874) * CHOOSE(CONTROL!$C$21, $C$9, 100%, $E$9)</f>
        <v>55.187399999999997</v>
      </c>
      <c r="P886" s="10">
        <f>CHOOSE(CONTROL!$C$42, 54.9364, 54.9364) * CHOOSE(CONTROL!$C$21, $C$9, 100%, $E$9)</f>
        <v>54.936399999999999</v>
      </c>
      <c r="Q886" s="10">
        <f>CHOOSE(CONTROL!$C$42, 55.7827, 55.7827) * CHOOSE(CONTROL!$C$21, $C$9, 100%, $E$9)</f>
        <v>55.782699999999998</v>
      </c>
      <c r="R886" s="10">
        <f>CHOOSE(CONTROL!$C$42, 56.5092, 56.5092) * CHOOSE(CONTROL!$C$21, $C$9, 100%, $E$9)</f>
        <v>56.5092</v>
      </c>
      <c r="S886" s="10">
        <f>CHOOSE(CONTROL!$C$42, 53.9073, 53.9073) * CHOOSE(CONTROL!$C$21, $C$9, 100%, $E$9)</f>
        <v>53.907299999999999</v>
      </c>
      <c r="T886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886" s="58">
        <f>(1000*CHOOSE(CONTROL!$C$42, 695, 695)*CHOOSE(CONTROL!$C$42, 0.5599, 0.5599)*CHOOSE(CONTROL!$C$42, 31, 31))/1000000</f>
        <v>12.063045499999998</v>
      </c>
      <c r="V886" s="58">
        <f>(1000*CHOOSE(CONTROL!$C$42, 500, 500)*CHOOSE(CONTROL!$C$42, 0.275, 0.275)*CHOOSE(CONTROL!$C$42, 31, 31))/1000000</f>
        <v>4.2625000000000002</v>
      </c>
      <c r="W886" s="58">
        <f>(1000*CHOOSE(CONTROL!$C$42, 0.1146, 0.1146)*CHOOSE(CONTROL!$C$42, 121.5, 121.5)*CHOOSE(CONTROL!$C$42, 31, 31))/1000000</f>
        <v>0.43164089999999994</v>
      </c>
      <c r="X886" s="58">
        <f>(31*0.1790888*245000/1000000)+(31*0.2374*100000/1000000)</f>
        <v>2.0961194359999999</v>
      </c>
      <c r="Y886" s="58"/>
      <c r="Z886" s="10"/>
      <c r="AA886" s="57"/>
      <c r="AB886" s="51">
        <f>(B886*131.881+C886*277.167+D886*79.08+E886*125.872+F886*40+G886*185+H886*0+I886*100+J886*300)/(131.881+277.167+79.08+125.872+0+40+185+100+300)</f>
        <v>55.536894638579504</v>
      </c>
      <c r="AC886" s="27">
        <f>(M886*'RAP TEMPLATE-GAS AVAILABILITY'!O885+N886*'RAP TEMPLATE-GAS AVAILABILITY'!P885+O886*'RAP TEMPLATE-GAS AVAILABILITY'!Q885+P886*'RAP TEMPLATE-GAS AVAILABILITY'!R885)/('RAP TEMPLATE-GAS AVAILABILITY'!O885+'RAP TEMPLATE-GAS AVAILABILITY'!P885+'RAP TEMPLATE-GAS AVAILABILITY'!Q885+'RAP TEMPLATE-GAS AVAILABILITY'!R885)</f>
        <v>55.048551079136693</v>
      </c>
    </row>
    <row r="887" spans="1:29" ht="15.75" x14ac:dyDescent="0.25">
      <c r="A887" s="13">
        <v>67906</v>
      </c>
      <c r="B887" s="10">
        <f>CHOOSE(CONTROL!$C$42, 56.9762, 56.9762) * CHOOSE(CONTROL!$C$21, $C$9, 100%, $E$9)</f>
        <v>56.976199999999999</v>
      </c>
      <c r="C887" s="10">
        <f>CHOOSE(CONTROL!$C$42, 56.9811, 56.9811) * CHOOSE(CONTROL!$C$21, $C$9, 100%, $E$9)</f>
        <v>56.981099999999998</v>
      </c>
      <c r="D887" s="10">
        <f>CHOOSE(CONTROL!$C$42, 57.0107, 57.0107) * CHOOSE(CONTROL!$C$21, $C$9, 100%, $E$9)</f>
        <v>57.0107</v>
      </c>
      <c r="E887" s="10">
        <f>CHOOSE(CONTROL!$C$42, 57.0445, 57.0445) * CHOOSE(CONTROL!$C$21, $C$9, 100%, $E$9)</f>
        <v>57.044499999999999</v>
      </c>
      <c r="F887" s="10">
        <f>CHOOSE(CONTROL!$C$42, 56.943, 56.943)*CHOOSE(CONTROL!$C$21, $C$9, 100%, $E$9)</f>
        <v>56.942999999999998</v>
      </c>
      <c r="G887" s="10">
        <f>CHOOSE(CONTROL!$C$42, 56.9601, 56.9601)*CHOOSE(CONTROL!$C$21, $C$9, 100%, $E$9)</f>
        <v>56.960099999999997</v>
      </c>
      <c r="H887" s="10">
        <f>CHOOSE(CONTROL!$C$42, 57.0337, 57.0337) * CHOOSE(CONTROL!$C$21, $C$9, 100%, $E$9)</f>
        <v>57.033700000000003</v>
      </c>
      <c r="I887" s="10">
        <f>CHOOSE(CONTROL!$C$42, 56.9398, 56.9398)* CHOOSE(CONTROL!$C$21, $C$9, 100%, $E$9)</f>
        <v>56.939799999999998</v>
      </c>
      <c r="J887" s="10">
        <f>CHOOSE(CONTROL!$C$42, 56.936, 56.936)* CHOOSE(CONTROL!$C$21, $C$9, 100%, $E$9)</f>
        <v>56.936</v>
      </c>
      <c r="K887" s="54">
        <f>CHOOSE(CONTROL!$C$42, 56.9359, 56.9359) * CHOOSE(CONTROL!$C$21, $C$9, 100%, $E$9)</f>
        <v>56.935899999999997</v>
      </c>
      <c r="L887" s="10">
        <f>CHOOSE(CONTROL!$C$42, 57.6207, 57.6207) * CHOOSE(CONTROL!$C$21, $C$9, 100%, $E$9)</f>
        <v>57.620699999999999</v>
      </c>
      <c r="M887" s="10">
        <f>CHOOSE(CONTROL!$C$42, 56.3752, 56.3752) * CHOOSE(CONTROL!$C$21, $C$9, 100%, $E$9)</f>
        <v>56.3752</v>
      </c>
      <c r="N887" s="10">
        <f>CHOOSE(CONTROL!$C$42, 56.3922, 56.3922) * CHOOSE(CONTROL!$C$21, $C$9, 100%, $E$9)</f>
        <v>56.392200000000003</v>
      </c>
      <c r="O887" s="10">
        <f>CHOOSE(CONTROL!$C$42, 56.472, 56.472) * CHOOSE(CONTROL!$C$21, $C$9, 100%, $E$9)</f>
        <v>56.472000000000001</v>
      </c>
      <c r="P887" s="10">
        <f>CHOOSE(CONTROL!$C$42, 56.379, 56.379) * CHOOSE(CONTROL!$C$21, $C$9, 100%, $E$9)</f>
        <v>56.378999999999998</v>
      </c>
      <c r="Q887" s="10">
        <f>CHOOSE(CONTROL!$C$42, 57.0673, 57.0673) * CHOOSE(CONTROL!$C$21, $C$9, 100%, $E$9)</f>
        <v>57.067300000000003</v>
      </c>
      <c r="R887" s="10">
        <f>CHOOSE(CONTROL!$C$42, 57.7969, 57.7969) * CHOOSE(CONTROL!$C$21, $C$9, 100%, $E$9)</f>
        <v>57.796900000000001</v>
      </c>
      <c r="S887" s="10">
        <f>CHOOSE(CONTROL!$C$42, 55.3274, 55.3274) * CHOOSE(CONTROL!$C$21, $C$9, 100%, $E$9)</f>
        <v>55.327399999999997</v>
      </c>
      <c r="T887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887" s="58">
        <f>(1000*CHOOSE(CONTROL!$C$42, 695, 695)*CHOOSE(CONTROL!$C$42, 0.5599, 0.5599)*CHOOSE(CONTROL!$C$42, 30, 30))/1000000</f>
        <v>11.673914999999997</v>
      </c>
      <c r="V887" s="58">
        <f>(1000*CHOOSE(CONTROL!$C$42, 500, 500)*CHOOSE(CONTROL!$C$42, 0.275, 0.275)*CHOOSE(CONTROL!$C$42, 30, 30))/1000000</f>
        <v>4.125</v>
      </c>
      <c r="W887" s="58">
        <f>(1000*CHOOSE(CONTROL!$C$42, 0.1146, 0.1146)*CHOOSE(CONTROL!$C$42, 121.5, 121.5)*CHOOSE(CONTROL!$C$42, 30, 30))/1000000</f>
        <v>0.417717</v>
      </c>
      <c r="X887" s="58">
        <f>(30*0.1790888*100000/1000000)+(30*0.2374*100000/1000000)</f>
        <v>1.2494664</v>
      </c>
      <c r="Y887" s="58"/>
      <c r="Z887" s="10"/>
      <c r="AA887" s="57"/>
      <c r="AB887" s="51">
        <f>(B887*122.58+C887*297.941+D887*89.177+E887*40.302+F887*40+G887*160+H887*0+I887*100+J887*300)/(122.58+297.941+89.177+40.302+0+40+160+100+300)</f>
        <v>56.965491429565226</v>
      </c>
      <c r="AC887" s="27">
        <f>(M887*'RAP TEMPLATE-GAS AVAILABILITY'!O886+N887*'RAP TEMPLATE-GAS AVAILABILITY'!P886+O887*'RAP TEMPLATE-GAS AVAILABILITY'!Q886+P887*'RAP TEMPLATE-GAS AVAILABILITY'!R886)/('RAP TEMPLATE-GAS AVAILABILITY'!O886+'RAP TEMPLATE-GAS AVAILABILITY'!P886+'RAP TEMPLATE-GAS AVAILABILITY'!Q886+'RAP TEMPLATE-GAS AVAILABILITY'!R886)</f>
        <v>56.420598561151074</v>
      </c>
    </row>
    <row r="888" spans="1:29" ht="15.75" x14ac:dyDescent="0.25">
      <c r="A888" s="13">
        <v>67937</v>
      </c>
      <c r="B888" s="10">
        <f>CHOOSE(CONTROL!$C$42, 60.8606, 60.8606) * CHOOSE(CONTROL!$C$21, $C$9, 100%, $E$9)</f>
        <v>60.860599999999998</v>
      </c>
      <c r="C888" s="10">
        <f>CHOOSE(CONTROL!$C$42, 60.8655, 60.8655) * CHOOSE(CONTROL!$C$21, $C$9, 100%, $E$9)</f>
        <v>60.865499999999997</v>
      </c>
      <c r="D888" s="10">
        <f>CHOOSE(CONTROL!$C$42, 60.8951, 60.8951) * CHOOSE(CONTROL!$C$21, $C$9, 100%, $E$9)</f>
        <v>60.895099999999999</v>
      </c>
      <c r="E888" s="10">
        <f>CHOOSE(CONTROL!$C$42, 60.9289, 60.9289) * CHOOSE(CONTROL!$C$21, $C$9, 100%, $E$9)</f>
        <v>60.928899999999999</v>
      </c>
      <c r="F888" s="10">
        <f>CHOOSE(CONTROL!$C$42, 60.8288, 60.8288)*CHOOSE(CONTROL!$C$21, $C$9, 100%, $E$9)</f>
        <v>60.828800000000001</v>
      </c>
      <c r="G888" s="10">
        <f>CHOOSE(CONTROL!$C$42, 60.8463, 60.8463)*CHOOSE(CONTROL!$C$21, $C$9, 100%, $E$9)</f>
        <v>60.846299999999999</v>
      </c>
      <c r="H888" s="10">
        <f>CHOOSE(CONTROL!$C$42, 60.9181, 60.9181) * CHOOSE(CONTROL!$C$21, $C$9, 100%, $E$9)</f>
        <v>60.918100000000003</v>
      </c>
      <c r="I888" s="10">
        <f>CHOOSE(CONTROL!$C$42, 60.8242, 60.8242)* CHOOSE(CONTROL!$C$21, $C$9, 100%, $E$9)</f>
        <v>60.824199999999998</v>
      </c>
      <c r="J888" s="10">
        <f>CHOOSE(CONTROL!$C$42, 60.8218, 60.8218)* CHOOSE(CONTROL!$C$21, $C$9, 100%, $E$9)</f>
        <v>60.821800000000003</v>
      </c>
      <c r="K888" s="54">
        <f>CHOOSE(CONTROL!$C$42, 60.8203, 60.8203) * CHOOSE(CONTROL!$C$21, $C$9, 100%, $E$9)</f>
        <v>60.820300000000003</v>
      </c>
      <c r="L888" s="10">
        <f>CHOOSE(CONTROL!$C$42, 61.5051, 61.5051) * CHOOSE(CONTROL!$C$21, $C$9, 100%, $E$9)</f>
        <v>61.505099999999999</v>
      </c>
      <c r="M888" s="10">
        <f>CHOOSE(CONTROL!$C$42, 60.2218, 60.2218) * CHOOSE(CONTROL!$C$21, $C$9, 100%, $E$9)</f>
        <v>60.221800000000002</v>
      </c>
      <c r="N888" s="10">
        <f>CHOOSE(CONTROL!$C$42, 60.2391, 60.2391) * CHOOSE(CONTROL!$C$21, $C$9, 100%, $E$9)</f>
        <v>60.239100000000001</v>
      </c>
      <c r="O888" s="10">
        <f>CHOOSE(CONTROL!$C$42, 60.3172, 60.3172) * CHOOSE(CONTROL!$C$21, $C$9, 100%, $E$9)</f>
        <v>60.3172</v>
      </c>
      <c r="P888" s="10">
        <f>CHOOSE(CONTROL!$C$42, 60.2242, 60.2242) * CHOOSE(CONTROL!$C$21, $C$9, 100%, $E$9)</f>
        <v>60.224200000000003</v>
      </c>
      <c r="Q888" s="10">
        <f>CHOOSE(CONTROL!$C$42, 60.9125, 60.9125) * CHOOSE(CONTROL!$C$21, $C$9, 100%, $E$9)</f>
        <v>60.912500000000001</v>
      </c>
      <c r="R888" s="10">
        <f>CHOOSE(CONTROL!$C$42, 61.6518, 61.6518) * CHOOSE(CONTROL!$C$21, $C$9, 100%, $E$9)</f>
        <v>61.651800000000001</v>
      </c>
      <c r="S888" s="10">
        <f>CHOOSE(CONTROL!$C$42, 59.0996, 59.0996) * CHOOSE(CONTROL!$C$21, $C$9, 100%, $E$9)</f>
        <v>59.099600000000002</v>
      </c>
      <c r="T888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888" s="58">
        <f>(1000*CHOOSE(CONTROL!$C$42, 695, 695)*CHOOSE(CONTROL!$C$42, 0.5599, 0.5599)*CHOOSE(CONTROL!$C$42, 31, 31))/1000000</f>
        <v>12.063045499999998</v>
      </c>
      <c r="V888" s="58">
        <f>(1000*CHOOSE(CONTROL!$C$42, 500, 500)*CHOOSE(CONTROL!$C$42, 0.275, 0.275)*CHOOSE(CONTROL!$C$42, 31, 31))/1000000</f>
        <v>4.2625000000000002</v>
      </c>
      <c r="W888" s="58">
        <f>(1000*CHOOSE(CONTROL!$C$42, 0.1146, 0.1146)*CHOOSE(CONTROL!$C$42, 121.5, 121.5)*CHOOSE(CONTROL!$C$42, 31, 31))/1000000</f>
        <v>0.43164089999999994</v>
      </c>
      <c r="X888" s="58">
        <f>(31*0.1790888*100000/1000000)+(31*0.2374*100000/1000000)</f>
        <v>1.2911152800000001</v>
      </c>
      <c r="Y888" s="58"/>
      <c r="Z888" s="10"/>
      <c r="AA888" s="57"/>
      <c r="AB888" s="51">
        <f>(B888*122.58+C888*297.941+D888*89.177+E888*40.302+F888*40+G888*160+H888*0+I888*100+J888*300)/(122.58+297.941+89.177+40.302+0+40+160+100+300)</f>
        <v>60.850555777391293</v>
      </c>
      <c r="AC888" s="27">
        <f>(M888*'RAP TEMPLATE-GAS AVAILABILITY'!O887+N888*'RAP TEMPLATE-GAS AVAILABILITY'!P887+O888*'RAP TEMPLATE-GAS AVAILABILITY'!Q887+P888*'RAP TEMPLATE-GAS AVAILABILITY'!R887)/('RAP TEMPLATE-GAS AVAILABILITY'!O887+'RAP TEMPLATE-GAS AVAILABILITY'!P887+'RAP TEMPLATE-GAS AVAILABILITY'!Q887+'RAP TEMPLATE-GAS AVAILABILITY'!R887)</f>
        <v>60.266379856115108</v>
      </c>
    </row>
    <row r="889" spans="1:29" ht="15.75" x14ac:dyDescent="0.25">
      <c r="A889" s="13">
        <v>67968</v>
      </c>
      <c r="B889" s="10">
        <f>CHOOSE(CONTROL!$C$42, 65.8471, 65.8471) * CHOOSE(CONTROL!$C$21, $C$9, 100%, $E$9)</f>
        <v>65.847099999999998</v>
      </c>
      <c r="C889" s="10">
        <f>CHOOSE(CONTROL!$C$42, 65.852, 65.852) * CHOOSE(CONTROL!$C$21, $C$9, 100%, $E$9)</f>
        <v>65.852000000000004</v>
      </c>
      <c r="D889" s="10">
        <f>CHOOSE(CONTROL!$C$42, 65.9022, 65.9022) * CHOOSE(CONTROL!$C$21, $C$9, 100%, $E$9)</f>
        <v>65.902199999999993</v>
      </c>
      <c r="E889" s="10">
        <f>CHOOSE(CONTROL!$C$42, 65.936, 65.936) * CHOOSE(CONTROL!$C$21, $C$9, 100%, $E$9)</f>
        <v>65.936000000000007</v>
      </c>
      <c r="F889" s="10">
        <f>CHOOSE(CONTROL!$C$42, 65.8124, 65.8124)*CHOOSE(CONTROL!$C$21, $C$9, 100%, $E$9)</f>
        <v>65.812399999999997</v>
      </c>
      <c r="G889" s="10">
        <f>CHOOSE(CONTROL!$C$42, 65.83, 65.83)*CHOOSE(CONTROL!$C$21, $C$9, 100%, $E$9)</f>
        <v>65.83</v>
      </c>
      <c r="H889" s="10">
        <f>CHOOSE(CONTROL!$C$42, 65.9252, 65.9252) * CHOOSE(CONTROL!$C$21, $C$9, 100%, $E$9)</f>
        <v>65.925200000000004</v>
      </c>
      <c r="I889" s="10">
        <f>CHOOSE(CONTROL!$C$42, 65.821, 65.821)* CHOOSE(CONTROL!$C$21, $C$9, 100%, $E$9)</f>
        <v>65.820999999999998</v>
      </c>
      <c r="J889" s="10">
        <f>CHOOSE(CONTROL!$C$42, 65.8054, 65.8054)* CHOOSE(CONTROL!$C$21, $C$9, 100%, $E$9)</f>
        <v>65.805400000000006</v>
      </c>
      <c r="K889" s="54">
        <f>CHOOSE(CONTROL!$C$42, 65.8171, 65.8171) * CHOOSE(CONTROL!$C$21, $C$9, 100%, $E$9)</f>
        <v>65.817099999999996</v>
      </c>
      <c r="L889" s="10">
        <f>CHOOSE(CONTROL!$C$42, 66.5122, 66.5122) * CHOOSE(CONTROL!$C$21, $C$9, 100%, $E$9)</f>
        <v>66.512200000000007</v>
      </c>
      <c r="M889" s="10">
        <f>CHOOSE(CONTROL!$C$42, 65.1552, 65.1552) * CHOOSE(CONTROL!$C$21, $C$9, 100%, $E$9)</f>
        <v>65.155199999999994</v>
      </c>
      <c r="N889" s="10">
        <f>CHOOSE(CONTROL!$C$42, 65.1725, 65.1725) * CHOOSE(CONTROL!$C$21, $C$9, 100%, $E$9)</f>
        <v>65.172499999999999</v>
      </c>
      <c r="O889" s="10">
        <f>CHOOSE(CONTROL!$C$42, 65.2737, 65.2737) * CHOOSE(CONTROL!$C$21, $C$9, 100%, $E$9)</f>
        <v>65.273700000000005</v>
      </c>
      <c r="P889" s="10">
        <f>CHOOSE(CONTROL!$C$42, 65.1706, 65.1706) * CHOOSE(CONTROL!$C$21, $C$9, 100%, $E$9)</f>
        <v>65.170599999999993</v>
      </c>
      <c r="Q889" s="10">
        <f>CHOOSE(CONTROL!$C$42, 65.869, 65.869) * CHOOSE(CONTROL!$C$21, $C$9, 100%, $E$9)</f>
        <v>65.869</v>
      </c>
      <c r="R889" s="10">
        <f>CHOOSE(CONTROL!$C$42, 66.6207, 66.6207) * CHOOSE(CONTROL!$C$21, $C$9, 100%, $E$9)</f>
        <v>66.620699999999999</v>
      </c>
      <c r="S889" s="10">
        <f>CHOOSE(CONTROL!$C$42, 63.942, 63.942) * CHOOSE(CONTROL!$C$21, $C$9, 100%, $E$9)</f>
        <v>63.942</v>
      </c>
      <c r="T889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889" s="58">
        <f>(1000*CHOOSE(CONTROL!$C$42, 695, 695)*CHOOSE(CONTROL!$C$42, 0.5599, 0.5599)*CHOOSE(CONTROL!$C$42, 31, 31))/1000000</f>
        <v>12.063045499999998</v>
      </c>
      <c r="V889" s="58">
        <f>(1000*CHOOSE(CONTROL!$C$42, 500, 500)*CHOOSE(CONTROL!$C$42, 0.275, 0.275)*CHOOSE(CONTROL!$C$42, 31, 31))/1000000</f>
        <v>4.2625000000000002</v>
      </c>
      <c r="W889" s="58">
        <f>(1000*CHOOSE(CONTROL!$C$42, 0.1146, 0.1146)*CHOOSE(CONTROL!$C$42, 121.5, 121.5)*CHOOSE(CONTROL!$C$42, 31, 31))/1000000</f>
        <v>0.43164089999999994</v>
      </c>
      <c r="X889" s="58">
        <f>(31*0.1790888*100000/1000000)+(31*0.2374*100000/1000000)</f>
        <v>1.2911152800000001</v>
      </c>
      <c r="Y889" s="58"/>
      <c r="Z889" s="10"/>
      <c r="AA889" s="57"/>
      <c r="AB889" s="51">
        <f>(B889*122.58+C889*297.941+D889*89.177+E889*40.302+F889*40+G889*160+H889*0+I889*100+J889*300)/(122.58+297.941+89.177+40.302+0+40+160+100+300)</f>
        <v>65.839023835999996</v>
      </c>
      <c r="AC889" s="27">
        <f>(M889*'RAP TEMPLATE-GAS AVAILABILITY'!O888+N889*'RAP TEMPLATE-GAS AVAILABILITY'!P888+O889*'RAP TEMPLATE-GAS AVAILABILITY'!Q888+P889*'RAP TEMPLATE-GAS AVAILABILITY'!R888)/('RAP TEMPLATE-GAS AVAILABILITY'!O888+'RAP TEMPLATE-GAS AVAILABILITY'!P888+'RAP TEMPLATE-GAS AVAILABILITY'!Q888+'RAP TEMPLATE-GAS AVAILABILITY'!R888)</f>
        <v>65.212120143884889</v>
      </c>
    </row>
    <row r="890" spans="1:29" ht="15.75" x14ac:dyDescent="0.25">
      <c r="A890" s="13">
        <v>67996</v>
      </c>
      <c r="B890" s="10">
        <f>CHOOSE(CONTROL!$C$42, 67.0192, 67.0192) * CHOOSE(CONTROL!$C$21, $C$9, 100%, $E$9)</f>
        <v>67.019199999999998</v>
      </c>
      <c r="C890" s="10">
        <f>CHOOSE(CONTROL!$C$42, 67.0241, 67.0241) * CHOOSE(CONTROL!$C$21, $C$9, 100%, $E$9)</f>
        <v>67.024100000000004</v>
      </c>
      <c r="D890" s="10">
        <f>CHOOSE(CONTROL!$C$42, 67.0846, 67.0846) * CHOOSE(CONTROL!$C$21, $C$9, 100%, $E$9)</f>
        <v>67.084599999999995</v>
      </c>
      <c r="E890" s="10">
        <f>CHOOSE(CONTROL!$C$42, 67.1184, 67.1184) * CHOOSE(CONTROL!$C$21, $C$9, 100%, $E$9)</f>
        <v>67.118399999999994</v>
      </c>
      <c r="F890" s="10">
        <f>CHOOSE(CONTROL!$C$42, 67.0124, 67.0124)*CHOOSE(CONTROL!$C$21, $C$9, 100%, $E$9)</f>
        <v>67.0124</v>
      </c>
      <c r="G890" s="10">
        <f>CHOOSE(CONTROL!$C$42, 67.0297, 67.0297)*CHOOSE(CONTROL!$C$21, $C$9, 100%, $E$9)</f>
        <v>67.029700000000005</v>
      </c>
      <c r="H890" s="10">
        <f>CHOOSE(CONTROL!$C$42, 67.1076, 67.1076) * CHOOSE(CONTROL!$C$21, $C$9, 100%, $E$9)</f>
        <v>67.107600000000005</v>
      </c>
      <c r="I890" s="10">
        <f>CHOOSE(CONTROL!$C$42, 67.006, 67.006)* CHOOSE(CONTROL!$C$21, $C$9, 100%, $E$9)</f>
        <v>67.006</v>
      </c>
      <c r="J890" s="10">
        <f>CHOOSE(CONTROL!$C$42, 67.0054, 67.0054)* CHOOSE(CONTROL!$C$21, $C$9, 100%, $E$9)</f>
        <v>67.005399999999995</v>
      </c>
      <c r="K890" s="54">
        <f>CHOOSE(CONTROL!$C$42, 67.0021, 67.0021) * CHOOSE(CONTROL!$C$21, $C$9, 100%, $E$9)</f>
        <v>67.002099999999999</v>
      </c>
      <c r="L890" s="10">
        <f>CHOOSE(CONTROL!$C$42, 67.6946, 67.6946) * CHOOSE(CONTROL!$C$21, $C$9, 100%, $E$9)</f>
        <v>67.694599999999994</v>
      </c>
      <c r="M890" s="10">
        <f>CHOOSE(CONTROL!$C$42, 66.343, 66.343) * CHOOSE(CONTROL!$C$21, $C$9, 100%, $E$9)</f>
        <v>66.343000000000004</v>
      </c>
      <c r="N890" s="10">
        <f>CHOOSE(CONTROL!$C$42, 66.3602, 66.3602) * CHOOSE(CONTROL!$C$21, $C$9, 100%, $E$9)</f>
        <v>66.360200000000006</v>
      </c>
      <c r="O890" s="10">
        <f>CHOOSE(CONTROL!$C$42, 66.4442, 66.4442) * CHOOSE(CONTROL!$C$21, $C$9, 100%, $E$9)</f>
        <v>66.444199999999995</v>
      </c>
      <c r="P890" s="10">
        <f>CHOOSE(CONTROL!$C$42, 66.3436, 66.3436) * CHOOSE(CONTROL!$C$21, $C$9, 100%, $E$9)</f>
        <v>66.343599999999995</v>
      </c>
      <c r="Q890" s="10">
        <f>CHOOSE(CONTROL!$C$42, 67.0395, 67.0395) * CHOOSE(CONTROL!$C$21, $C$9, 100%, $E$9)</f>
        <v>67.039500000000004</v>
      </c>
      <c r="R890" s="10">
        <f>CHOOSE(CONTROL!$C$42, 67.7941, 67.7941) * CHOOSE(CONTROL!$C$21, $C$9, 100%, $E$9)</f>
        <v>67.7941</v>
      </c>
      <c r="S890" s="10">
        <f>CHOOSE(CONTROL!$C$42, 65.0802, 65.0802) * CHOOSE(CONTROL!$C$21, $C$9, 100%, $E$9)</f>
        <v>65.080200000000005</v>
      </c>
      <c r="T890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890" s="58">
        <f>(1000*CHOOSE(CONTROL!$C$42, 695, 695)*CHOOSE(CONTROL!$C$42, 0.5599, 0.5599)*CHOOSE(CONTROL!$C$42, 28, 28))/1000000</f>
        <v>10.895653999999999</v>
      </c>
      <c r="V890" s="58">
        <f>(1000*CHOOSE(CONTROL!$C$42, 500, 500)*CHOOSE(CONTROL!$C$42, 0.275, 0.275)*CHOOSE(CONTROL!$C$42, 28, 28))/1000000</f>
        <v>3.85</v>
      </c>
      <c r="W890" s="58">
        <f>(1000*CHOOSE(CONTROL!$C$42, 0.1146, 0.1146)*CHOOSE(CONTROL!$C$42, 121.5, 121.5)*CHOOSE(CONTROL!$C$42, 28, 28))/1000000</f>
        <v>0.38986920000000003</v>
      </c>
      <c r="X890" s="58">
        <f>(28*0.1790888*100000/1000000)+(28*0.2374*100000/1000000)</f>
        <v>1.16616864</v>
      </c>
      <c r="Y890" s="58"/>
      <c r="Z890" s="10"/>
      <c r="AA890" s="57"/>
      <c r="AB890" s="51">
        <f>(B890*122.58+C890*297.941+D890*89.177+E890*40.302+F890*40+G890*160+H890*0+I890*100+J890*300)/(122.58+297.941+89.177+40.302+0+40+160+100+300)</f>
        <v>67.025493952260859</v>
      </c>
      <c r="AC890" s="27">
        <f>(M890*'RAP TEMPLATE-GAS AVAILABILITY'!O889+N890*'RAP TEMPLATE-GAS AVAILABILITY'!P889+O890*'RAP TEMPLATE-GAS AVAILABILITY'!Q889+P890*'RAP TEMPLATE-GAS AVAILABILITY'!R889)/('RAP TEMPLATE-GAS AVAILABILITY'!O889+'RAP TEMPLATE-GAS AVAILABILITY'!P889+'RAP TEMPLATE-GAS AVAILABILITY'!Q889+'RAP TEMPLATE-GAS AVAILABILITY'!R889)</f>
        <v>66.389943884892091</v>
      </c>
    </row>
    <row r="891" spans="1:29" ht="15.75" x14ac:dyDescent="0.25">
      <c r="A891" s="13">
        <v>68027</v>
      </c>
      <c r="B891" s="10">
        <f>CHOOSE(CONTROL!$C$42, 65.1165, 65.1165) * CHOOSE(CONTROL!$C$21, $C$9, 100%, $E$9)</f>
        <v>65.116500000000002</v>
      </c>
      <c r="C891" s="10">
        <f>CHOOSE(CONTROL!$C$42, 65.1215, 65.1215) * CHOOSE(CONTROL!$C$21, $C$9, 100%, $E$9)</f>
        <v>65.121499999999997</v>
      </c>
      <c r="D891" s="10">
        <f>CHOOSE(CONTROL!$C$42, 65.182, 65.182) * CHOOSE(CONTROL!$C$21, $C$9, 100%, $E$9)</f>
        <v>65.182000000000002</v>
      </c>
      <c r="E891" s="10">
        <f>CHOOSE(CONTROL!$C$42, 65.2158, 65.2158) * CHOOSE(CONTROL!$C$21, $C$9, 100%, $E$9)</f>
        <v>65.215800000000002</v>
      </c>
      <c r="F891" s="10">
        <f>CHOOSE(CONTROL!$C$42, 65.1043, 65.1043)*CHOOSE(CONTROL!$C$21, $C$9, 100%, $E$9)</f>
        <v>65.104299999999995</v>
      </c>
      <c r="G891" s="10">
        <f>CHOOSE(CONTROL!$C$42, 65.1215, 65.1215)*CHOOSE(CONTROL!$C$21, $C$9, 100%, $E$9)</f>
        <v>65.121499999999997</v>
      </c>
      <c r="H891" s="10">
        <f>CHOOSE(CONTROL!$C$42, 65.205, 65.205) * CHOOSE(CONTROL!$C$21, $C$9, 100%, $E$9)</f>
        <v>65.204999999999998</v>
      </c>
      <c r="I891" s="10">
        <f>CHOOSE(CONTROL!$C$42, 65.0904, 65.0904)* CHOOSE(CONTROL!$C$21, $C$9, 100%, $E$9)</f>
        <v>65.090400000000002</v>
      </c>
      <c r="J891" s="10">
        <f>CHOOSE(CONTROL!$C$42, 65.0973, 65.0973)* CHOOSE(CONTROL!$C$21, $C$9, 100%, $E$9)</f>
        <v>65.097300000000004</v>
      </c>
      <c r="K891" s="54">
        <f>CHOOSE(CONTROL!$C$42, 65.0866, 65.0866) * CHOOSE(CONTROL!$C$21, $C$9, 100%, $E$9)</f>
        <v>65.086600000000004</v>
      </c>
      <c r="L891" s="10">
        <f>CHOOSE(CONTROL!$C$42, 65.792, 65.792) * CHOOSE(CONTROL!$C$21, $C$9, 100%, $E$9)</f>
        <v>65.792000000000002</v>
      </c>
      <c r="M891" s="10">
        <f>CHOOSE(CONTROL!$C$42, 64.4542, 64.4542) * CHOOSE(CONTROL!$C$21, $C$9, 100%, $E$9)</f>
        <v>64.4542</v>
      </c>
      <c r="N891" s="10">
        <f>CHOOSE(CONTROL!$C$42, 64.4712, 64.4712) * CHOOSE(CONTROL!$C$21, $C$9, 100%, $E$9)</f>
        <v>64.471199999999996</v>
      </c>
      <c r="O891" s="10">
        <f>CHOOSE(CONTROL!$C$42, 64.5608, 64.5608) * CHOOSE(CONTROL!$C$21, $C$9, 100%, $E$9)</f>
        <v>64.5608</v>
      </c>
      <c r="P891" s="10">
        <f>CHOOSE(CONTROL!$C$42, 64.4474, 64.4474) * CHOOSE(CONTROL!$C$21, $C$9, 100%, $E$9)</f>
        <v>64.447400000000002</v>
      </c>
      <c r="Q891" s="10">
        <f>CHOOSE(CONTROL!$C$42, 65.1561, 65.1561) * CHOOSE(CONTROL!$C$21, $C$9, 100%, $E$9)</f>
        <v>65.156099999999995</v>
      </c>
      <c r="R891" s="10">
        <f>CHOOSE(CONTROL!$C$42, 65.906, 65.906) * CHOOSE(CONTROL!$C$21, $C$9, 100%, $E$9)</f>
        <v>65.906000000000006</v>
      </c>
      <c r="S891" s="10">
        <f>CHOOSE(CONTROL!$C$42, 63.2325, 63.2325) * CHOOSE(CONTROL!$C$21, $C$9, 100%, $E$9)</f>
        <v>63.232500000000002</v>
      </c>
      <c r="T891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891" s="58">
        <f>(1000*CHOOSE(CONTROL!$C$42, 695, 695)*CHOOSE(CONTROL!$C$42, 0.5599, 0.5599)*CHOOSE(CONTROL!$C$42, 31, 31))/1000000</f>
        <v>12.063045499999998</v>
      </c>
      <c r="V891" s="58">
        <f>(1000*CHOOSE(CONTROL!$C$42, 500, 500)*CHOOSE(CONTROL!$C$42, 0.275, 0.275)*CHOOSE(CONTROL!$C$42, 31, 31))/1000000</f>
        <v>4.2625000000000002</v>
      </c>
      <c r="W891" s="58">
        <f>(1000*CHOOSE(CONTROL!$C$42, 0.1146, 0.1146)*CHOOSE(CONTROL!$C$42, 121.5, 121.5)*CHOOSE(CONTROL!$C$42, 31, 31))/1000000</f>
        <v>0.43164089999999994</v>
      </c>
      <c r="X891" s="58">
        <f>(31*0.1790888*100000/1000000)+(31*0.2374*100000/1000000)</f>
        <v>1.2911152800000001</v>
      </c>
      <c r="Y891" s="58"/>
      <c r="Z891" s="10"/>
      <c r="AA891" s="57"/>
      <c r="AB891" s="51">
        <f>(B891*122.58+C891*297.941+D891*89.177+E891*40.302+F891*40+G891*160+H891*0+I891*100+J891*300)/(122.58+297.941+89.177+40.302+0+40+160+100+300)</f>
        <v>65.119347640956533</v>
      </c>
      <c r="AC891" s="27">
        <f>(M891*'RAP TEMPLATE-GAS AVAILABILITY'!O890+N891*'RAP TEMPLATE-GAS AVAILABILITY'!P890+O891*'RAP TEMPLATE-GAS AVAILABILITY'!Q890+P891*'RAP TEMPLATE-GAS AVAILABILITY'!R890)/('RAP TEMPLATE-GAS AVAILABILITY'!O890+'RAP TEMPLATE-GAS AVAILABILITY'!P890+'RAP TEMPLATE-GAS AVAILABILITY'!Q890+'RAP TEMPLATE-GAS AVAILABILITY'!R890)</f>
        <v>64.502515107913666</v>
      </c>
    </row>
    <row r="892" spans="1:29" ht="15.75" x14ac:dyDescent="0.25">
      <c r="A892" s="13">
        <v>68057</v>
      </c>
      <c r="B892" s="10">
        <f>CHOOSE(CONTROL!$C$42, 64.9228, 64.9228) * CHOOSE(CONTROL!$C$21, $C$9, 100%, $E$9)</f>
        <v>64.922799999999995</v>
      </c>
      <c r="C892" s="10">
        <f>CHOOSE(CONTROL!$C$42, 64.9271, 64.9271) * CHOOSE(CONTROL!$C$21, $C$9, 100%, $E$9)</f>
        <v>64.927099999999996</v>
      </c>
      <c r="D892" s="10">
        <f>CHOOSE(CONTROL!$C$42, 65.1227, 65.1227) * CHOOSE(CONTROL!$C$21, $C$9, 100%, $E$9)</f>
        <v>65.122699999999995</v>
      </c>
      <c r="E892" s="10">
        <f>CHOOSE(CONTROL!$C$42, 65.1545, 65.1545) * CHOOSE(CONTROL!$C$21, $C$9, 100%, $E$9)</f>
        <v>65.154499999999999</v>
      </c>
      <c r="F892" s="10">
        <f>CHOOSE(CONTROL!$C$42, 64.8906, 64.8906)*CHOOSE(CONTROL!$C$21, $C$9, 100%, $E$9)</f>
        <v>64.890600000000006</v>
      </c>
      <c r="G892" s="10">
        <f>CHOOSE(CONTROL!$C$42, 64.9073, 64.9073)*CHOOSE(CONTROL!$C$21, $C$9, 100%, $E$9)</f>
        <v>64.907300000000006</v>
      </c>
      <c r="H892" s="10">
        <f>CHOOSE(CONTROL!$C$42, 65.1443, 65.1443) * CHOOSE(CONTROL!$C$21, $C$9, 100%, $E$9)</f>
        <v>65.144300000000001</v>
      </c>
      <c r="I892" s="10">
        <f>CHOOSE(CONTROL!$C$42, 64.8907, 64.8907)* CHOOSE(CONTROL!$C$21, $C$9, 100%, $E$9)</f>
        <v>64.890699999999995</v>
      </c>
      <c r="J892" s="10">
        <f>CHOOSE(CONTROL!$C$42, 64.8836, 64.8836)* CHOOSE(CONTROL!$C$21, $C$9, 100%, $E$9)</f>
        <v>64.883600000000001</v>
      </c>
      <c r="K892" s="54">
        <f>CHOOSE(CONTROL!$C$42, 64.8868, 64.8868) * CHOOSE(CONTROL!$C$21, $C$9, 100%, $E$9)</f>
        <v>64.886799999999994</v>
      </c>
      <c r="L892" s="10">
        <f>CHOOSE(CONTROL!$C$42, 65.7313, 65.7313) * CHOOSE(CONTROL!$C$21, $C$9, 100%, $E$9)</f>
        <v>65.731300000000005</v>
      </c>
      <c r="M892" s="10">
        <f>CHOOSE(CONTROL!$C$42, 64.2426, 64.2426) * CHOOSE(CONTROL!$C$21, $C$9, 100%, $E$9)</f>
        <v>64.242599999999996</v>
      </c>
      <c r="N892" s="10">
        <f>CHOOSE(CONTROL!$C$42, 64.2592, 64.2592) * CHOOSE(CONTROL!$C$21, $C$9, 100%, $E$9)</f>
        <v>64.259200000000007</v>
      </c>
      <c r="O892" s="10">
        <f>CHOOSE(CONTROL!$C$42, 64.5007, 64.5007) * CHOOSE(CONTROL!$C$21, $C$9, 100%, $E$9)</f>
        <v>64.500699999999995</v>
      </c>
      <c r="P892" s="10">
        <f>CHOOSE(CONTROL!$C$42, 64.2497, 64.2497) * CHOOSE(CONTROL!$C$21, $C$9, 100%, $E$9)</f>
        <v>64.249700000000004</v>
      </c>
      <c r="Q892" s="10">
        <f>CHOOSE(CONTROL!$C$42, 65.096, 65.096) * CHOOSE(CONTROL!$C$21, $C$9, 100%, $E$9)</f>
        <v>65.096000000000004</v>
      </c>
      <c r="R892" s="10">
        <f>CHOOSE(CONTROL!$C$42, 65.8457, 65.8457) * CHOOSE(CONTROL!$C$21, $C$9, 100%, $E$9)</f>
        <v>65.845699999999994</v>
      </c>
      <c r="S892" s="10">
        <f>CHOOSE(CONTROL!$C$42, 63.0436, 63.0436) * CHOOSE(CONTROL!$C$21, $C$9, 100%, $E$9)</f>
        <v>63.043599999999998</v>
      </c>
      <c r="T892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892" s="58">
        <f>(1000*CHOOSE(CONTROL!$C$42, 695, 695)*CHOOSE(CONTROL!$C$42, 0.5599, 0.5599)*CHOOSE(CONTROL!$C$42, 30, 30))/1000000</f>
        <v>11.673914999999997</v>
      </c>
      <c r="V892" s="58">
        <f>(1000*CHOOSE(CONTROL!$C$42, 500, 500)*CHOOSE(CONTROL!$C$42, 0.275, 0.275)*CHOOSE(CONTROL!$C$42, 30, 30))/1000000</f>
        <v>4.125</v>
      </c>
      <c r="W892" s="58">
        <f>(1000*CHOOSE(CONTROL!$C$42, 0.1146, 0.1146)*CHOOSE(CONTROL!$C$42, 121.5, 121.5)*CHOOSE(CONTROL!$C$42, 30, 30))/1000000</f>
        <v>0.417717</v>
      </c>
      <c r="X892" s="58">
        <f>(30*0.1790888*245000/1000000)+(30*0.2374*100000/1000000)</f>
        <v>2.0285026799999999</v>
      </c>
      <c r="Y892" s="58"/>
      <c r="Z892" s="10"/>
      <c r="AA892" s="57"/>
      <c r="AB892" s="51">
        <f>(B892*141.293+C892*267.993+D892*115.016+E892*89.698+F892*40+G892*185+H892*0+I892*100+J892*300)/(141.293+267.993+115.016+89.698+0+40+185+100+300)</f>
        <v>64.943624531799841</v>
      </c>
      <c r="AC892" s="27">
        <f>(M892*'RAP TEMPLATE-GAS AVAILABILITY'!O891+N892*'RAP TEMPLATE-GAS AVAILABILITY'!P891+O892*'RAP TEMPLATE-GAS AVAILABILITY'!Q891+P892*'RAP TEMPLATE-GAS AVAILABILITY'!R891)/('RAP TEMPLATE-GAS AVAILABILITY'!O891+'RAP TEMPLATE-GAS AVAILABILITY'!P891+'RAP TEMPLATE-GAS AVAILABILITY'!Q891+'RAP TEMPLATE-GAS AVAILABILITY'!R891)</f>
        <v>64.361557553956843</v>
      </c>
    </row>
    <row r="893" spans="1:29" ht="15.75" x14ac:dyDescent="0.25">
      <c r="A893" s="13">
        <v>68088</v>
      </c>
      <c r="B893" s="10">
        <f>CHOOSE(CONTROL!$C$42, 65.4971, 65.4971) * CHOOSE(CONTROL!$C$21, $C$9, 100%, $E$9)</f>
        <v>65.497100000000003</v>
      </c>
      <c r="C893" s="10">
        <f>CHOOSE(CONTROL!$C$42, 65.5051, 65.5051) * CHOOSE(CONTROL!$C$21, $C$9, 100%, $E$9)</f>
        <v>65.505099999999999</v>
      </c>
      <c r="D893" s="10">
        <f>CHOOSE(CONTROL!$C$42, 65.6975, 65.6975) * CHOOSE(CONTROL!$C$21, $C$9, 100%, $E$9)</f>
        <v>65.697500000000005</v>
      </c>
      <c r="E893" s="10">
        <f>CHOOSE(CONTROL!$C$42, 65.7286, 65.7286) * CHOOSE(CONTROL!$C$21, $C$9, 100%, $E$9)</f>
        <v>65.7286</v>
      </c>
      <c r="F893" s="10">
        <f>CHOOSE(CONTROL!$C$42, 65.4634, 65.4634)*CHOOSE(CONTROL!$C$21, $C$9, 100%, $E$9)</f>
        <v>65.463399999999993</v>
      </c>
      <c r="G893" s="10">
        <f>CHOOSE(CONTROL!$C$42, 65.4805, 65.4805)*CHOOSE(CONTROL!$C$21, $C$9, 100%, $E$9)</f>
        <v>65.480500000000006</v>
      </c>
      <c r="H893" s="10">
        <f>CHOOSE(CONTROL!$C$42, 65.7173, 65.7173) * CHOOSE(CONTROL!$C$21, $C$9, 100%, $E$9)</f>
        <v>65.717299999999994</v>
      </c>
      <c r="I893" s="10">
        <f>CHOOSE(CONTROL!$C$42, 65.4637, 65.4637)* CHOOSE(CONTROL!$C$21, $C$9, 100%, $E$9)</f>
        <v>65.463700000000003</v>
      </c>
      <c r="J893" s="10">
        <f>CHOOSE(CONTROL!$C$42, 65.4564, 65.4564)* CHOOSE(CONTROL!$C$21, $C$9, 100%, $E$9)</f>
        <v>65.456400000000002</v>
      </c>
      <c r="K893" s="54">
        <f>CHOOSE(CONTROL!$C$42, 65.4598, 65.4598) * CHOOSE(CONTROL!$C$21, $C$9, 100%, $E$9)</f>
        <v>65.459800000000001</v>
      </c>
      <c r="L893" s="10">
        <f>CHOOSE(CONTROL!$C$42, 66.3043, 66.3043) * CHOOSE(CONTROL!$C$21, $C$9, 100%, $E$9)</f>
        <v>66.304299999999998</v>
      </c>
      <c r="M893" s="10">
        <f>CHOOSE(CONTROL!$C$42, 64.8096, 64.8096) * CHOOSE(CONTROL!$C$21, $C$9, 100%, $E$9)</f>
        <v>64.809600000000003</v>
      </c>
      <c r="N893" s="10">
        <f>CHOOSE(CONTROL!$C$42, 64.8266, 64.8266) * CHOOSE(CONTROL!$C$21, $C$9, 100%, $E$9)</f>
        <v>64.826599999999999</v>
      </c>
      <c r="O893" s="10">
        <f>CHOOSE(CONTROL!$C$42, 65.0679, 65.0679) * CHOOSE(CONTROL!$C$21, $C$9, 100%, $E$9)</f>
        <v>65.067899999999995</v>
      </c>
      <c r="P893" s="10">
        <f>CHOOSE(CONTROL!$C$42, 64.8169, 64.8169) * CHOOSE(CONTROL!$C$21, $C$9, 100%, $E$9)</f>
        <v>64.816900000000004</v>
      </c>
      <c r="Q893" s="10">
        <f>CHOOSE(CONTROL!$C$42, 65.6632, 65.6632) * CHOOSE(CONTROL!$C$21, $C$9, 100%, $E$9)</f>
        <v>65.663200000000003</v>
      </c>
      <c r="R893" s="10">
        <f>CHOOSE(CONTROL!$C$42, 66.4143, 66.4143) * CHOOSE(CONTROL!$C$21, $C$9, 100%, $E$9)</f>
        <v>66.414299999999997</v>
      </c>
      <c r="S893" s="10">
        <f>CHOOSE(CONTROL!$C$42, 63.6, 63.6) * CHOOSE(CONTROL!$C$21, $C$9, 100%, $E$9)</f>
        <v>63.6</v>
      </c>
      <c r="T893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893" s="58">
        <f>(1000*CHOOSE(CONTROL!$C$42, 695, 695)*CHOOSE(CONTROL!$C$42, 0.5599, 0.5599)*CHOOSE(CONTROL!$C$42, 31, 31))/1000000</f>
        <v>12.063045499999998</v>
      </c>
      <c r="V893" s="58">
        <f>(1000*CHOOSE(CONTROL!$C$42, 500, 500)*CHOOSE(CONTROL!$C$42, 0.275, 0.275)*CHOOSE(CONTROL!$C$42, 31, 31))/1000000</f>
        <v>4.2625000000000002</v>
      </c>
      <c r="W893" s="58">
        <f>(1000*CHOOSE(CONTROL!$C$42, 0.1146, 0.1146)*CHOOSE(CONTROL!$C$42, 121.5, 121.5)*CHOOSE(CONTROL!$C$42, 31, 31))/1000000</f>
        <v>0.43164089999999994</v>
      </c>
      <c r="X893" s="58">
        <f>(31*0.1790888*245000/1000000)+(31*0.2374*100000/1000000)</f>
        <v>2.0961194359999999</v>
      </c>
      <c r="Y893" s="58"/>
      <c r="Z893" s="10"/>
      <c r="AA893" s="57"/>
      <c r="AB893" s="51">
        <f>(B893*194.205+C893*267.466+D893*133.845+E893*53.484+F893*40+G893*185+H893*0+I893*100+J893*300)/(194.205+267.466+133.845+53.484+0+40+185+100+300)</f>
        <v>65.51387771742543</v>
      </c>
      <c r="AC893" s="27">
        <f>(M893*'RAP TEMPLATE-GAS AVAILABILITY'!O892+N893*'RAP TEMPLATE-GAS AVAILABILITY'!P892+O893*'RAP TEMPLATE-GAS AVAILABILITY'!Q892+P893*'RAP TEMPLATE-GAS AVAILABILITY'!R892)/('RAP TEMPLATE-GAS AVAILABILITY'!O892+'RAP TEMPLATE-GAS AVAILABILITY'!P892+'RAP TEMPLATE-GAS AVAILABILITY'!Q892+'RAP TEMPLATE-GAS AVAILABILITY'!R892)</f>
        <v>64.928699999999992</v>
      </c>
    </row>
    <row r="894" spans="1:29" ht="15.75" x14ac:dyDescent="0.25">
      <c r="A894" s="13">
        <v>68118</v>
      </c>
      <c r="B894" s="10">
        <f>CHOOSE(CONTROL!$C$42, 67.3549, 67.3549) * CHOOSE(CONTROL!$C$21, $C$9, 100%, $E$9)</f>
        <v>67.354900000000001</v>
      </c>
      <c r="C894" s="10">
        <f>CHOOSE(CONTROL!$C$42, 67.3628, 67.3628) * CHOOSE(CONTROL!$C$21, $C$9, 100%, $E$9)</f>
        <v>67.362799999999993</v>
      </c>
      <c r="D894" s="10">
        <f>CHOOSE(CONTROL!$C$42, 67.5553, 67.5553) * CHOOSE(CONTROL!$C$21, $C$9, 100%, $E$9)</f>
        <v>67.555300000000003</v>
      </c>
      <c r="E894" s="10">
        <f>CHOOSE(CONTROL!$C$42, 67.5864, 67.5864) * CHOOSE(CONTROL!$C$21, $C$9, 100%, $E$9)</f>
        <v>67.586399999999998</v>
      </c>
      <c r="F894" s="10">
        <f>CHOOSE(CONTROL!$C$42, 67.3214, 67.3214)*CHOOSE(CONTROL!$C$21, $C$9, 100%, $E$9)</f>
        <v>67.321399999999997</v>
      </c>
      <c r="G894" s="10">
        <f>CHOOSE(CONTROL!$C$42, 67.3386, 67.3386)*CHOOSE(CONTROL!$C$21, $C$9, 100%, $E$9)</f>
        <v>67.3386</v>
      </c>
      <c r="H894" s="10">
        <f>CHOOSE(CONTROL!$C$42, 67.575, 67.575) * CHOOSE(CONTROL!$C$21, $C$9, 100%, $E$9)</f>
        <v>67.575000000000003</v>
      </c>
      <c r="I894" s="10">
        <f>CHOOSE(CONTROL!$C$42, 67.3215, 67.3215)* CHOOSE(CONTROL!$C$21, $C$9, 100%, $E$9)</f>
        <v>67.3215</v>
      </c>
      <c r="J894" s="10">
        <f>CHOOSE(CONTROL!$C$42, 67.3144, 67.3144)* CHOOSE(CONTROL!$C$21, $C$9, 100%, $E$9)</f>
        <v>67.314400000000006</v>
      </c>
      <c r="K894" s="54">
        <f>CHOOSE(CONTROL!$C$42, 67.3176, 67.3176) * CHOOSE(CONTROL!$C$21, $C$9, 100%, $E$9)</f>
        <v>67.317599999999999</v>
      </c>
      <c r="L894" s="10">
        <f>CHOOSE(CONTROL!$C$42, 68.162, 68.162) * CHOOSE(CONTROL!$C$21, $C$9, 100%, $E$9)</f>
        <v>68.162000000000006</v>
      </c>
      <c r="M894" s="10">
        <f>CHOOSE(CONTROL!$C$42, 66.6489, 66.6489) * CHOOSE(CONTROL!$C$21, $C$9, 100%, $E$9)</f>
        <v>66.648899999999998</v>
      </c>
      <c r="N894" s="10">
        <f>CHOOSE(CONTROL!$C$42, 66.6659, 66.6659) * CHOOSE(CONTROL!$C$21, $C$9, 100%, $E$9)</f>
        <v>66.665899999999993</v>
      </c>
      <c r="O894" s="10">
        <f>CHOOSE(CONTROL!$C$42, 66.9069, 66.9069) * CHOOSE(CONTROL!$C$21, $C$9, 100%, $E$9)</f>
        <v>66.906899999999993</v>
      </c>
      <c r="P894" s="10">
        <f>CHOOSE(CONTROL!$C$42, 66.6559, 66.6559) * CHOOSE(CONTROL!$C$21, $C$9, 100%, $E$9)</f>
        <v>66.655900000000003</v>
      </c>
      <c r="Q894" s="10">
        <f>CHOOSE(CONTROL!$C$42, 67.5022, 67.5022) * CHOOSE(CONTROL!$C$21, $C$9, 100%, $E$9)</f>
        <v>67.502200000000002</v>
      </c>
      <c r="R894" s="10">
        <f>CHOOSE(CONTROL!$C$42, 68.258, 68.258) * CHOOSE(CONTROL!$C$21, $C$9, 100%, $E$9)</f>
        <v>68.257999999999996</v>
      </c>
      <c r="S894" s="10">
        <f>CHOOSE(CONTROL!$C$42, 65.4041, 65.4041) * CHOOSE(CONTROL!$C$21, $C$9, 100%, $E$9)</f>
        <v>65.4041</v>
      </c>
      <c r="T894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894" s="58">
        <f>(1000*CHOOSE(CONTROL!$C$42, 695, 695)*CHOOSE(CONTROL!$C$42, 0.5599, 0.5599)*CHOOSE(CONTROL!$C$42, 30, 30))/1000000</f>
        <v>11.673914999999997</v>
      </c>
      <c r="V894" s="58">
        <f>(1000*CHOOSE(CONTROL!$C$42, 500, 500)*CHOOSE(CONTROL!$C$42, 0.275, 0.275)*CHOOSE(CONTROL!$C$42, 30, 30))/1000000</f>
        <v>4.125</v>
      </c>
      <c r="W894" s="58">
        <f>(1000*CHOOSE(CONTROL!$C$42, 0.1146, 0.1146)*CHOOSE(CONTROL!$C$42, 121.5, 121.5)*CHOOSE(CONTROL!$C$42, 30, 30))/1000000</f>
        <v>0.417717</v>
      </c>
      <c r="X894" s="58">
        <f>(30*0.1790888*245000/1000000)+(30*0.2374*100000/1000000)</f>
        <v>2.0285026799999999</v>
      </c>
      <c r="Y894" s="58"/>
      <c r="Z894" s="10"/>
      <c r="AA894" s="57"/>
      <c r="AB894" s="51">
        <f>(B894*194.205+C894*267.466+D894*133.845+E894*53.484+F894*40+G894*185+H894*0+I894*100+J894*300)/(194.205+267.466+133.845+53.484+0+40+185+100+300)</f>
        <v>67.371753662009425</v>
      </c>
      <c r="AC894" s="27">
        <f>(M894*'RAP TEMPLATE-GAS AVAILABILITY'!O893+N894*'RAP TEMPLATE-GAS AVAILABILITY'!P893+O894*'RAP TEMPLATE-GAS AVAILABILITY'!Q893+P894*'RAP TEMPLATE-GAS AVAILABILITY'!R893)/('RAP TEMPLATE-GAS AVAILABILITY'!O893+'RAP TEMPLATE-GAS AVAILABILITY'!P893+'RAP TEMPLATE-GAS AVAILABILITY'!Q893+'RAP TEMPLATE-GAS AVAILABILITY'!R893)</f>
        <v>66.767820863309339</v>
      </c>
    </row>
    <row r="895" spans="1:29" ht="15.75" x14ac:dyDescent="0.25">
      <c r="A895" s="13">
        <v>68149</v>
      </c>
      <c r="B895" s="10">
        <f>CHOOSE(CONTROL!$C$42, 66.0628, 66.0628) * CHOOSE(CONTROL!$C$21, $C$9, 100%, $E$9)</f>
        <v>66.062799999999996</v>
      </c>
      <c r="C895" s="10">
        <f>CHOOSE(CONTROL!$C$42, 66.0707, 66.0707) * CHOOSE(CONTROL!$C$21, $C$9, 100%, $E$9)</f>
        <v>66.070700000000002</v>
      </c>
      <c r="D895" s="10">
        <f>CHOOSE(CONTROL!$C$42, 66.2632, 66.2632) * CHOOSE(CONTROL!$C$21, $C$9, 100%, $E$9)</f>
        <v>66.263199999999998</v>
      </c>
      <c r="E895" s="10">
        <f>CHOOSE(CONTROL!$C$42, 66.2943, 66.2943) * CHOOSE(CONTROL!$C$21, $C$9, 100%, $E$9)</f>
        <v>66.294300000000007</v>
      </c>
      <c r="F895" s="10">
        <f>CHOOSE(CONTROL!$C$42, 66.0297, 66.0297)*CHOOSE(CONTROL!$C$21, $C$9, 100%, $E$9)</f>
        <v>66.029700000000005</v>
      </c>
      <c r="G895" s="10">
        <f>CHOOSE(CONTROL!$C$42, 66.047, 66.047)*CHOOSE(CONTROL!$C$21, $C$9, 100%, $E$9)</f>
        <v>66.046999999999997</v>
      </c>
      <c r="H895" s="10">
        <f>CHOOSE(CONTROL!$C$42, 66.2829, 66.2829) * CHOOSE(CONTROL!$C$21, $C$9, 100%, $E$9)</f>
        <v>66.282899999999998</v>
      </c>
      <c r="I895" s="10">
        <f>CHOOSE(CONTROL!$C$42, 66.0294, 66.0294)* CHOOSE(CONTROL!$C$21, $C$9, 100%, $E$9)</f>
        <v>66.029399999999995</v>
      </c>
      <c r="J895" s="10">
        <f>CHOOSE(CONTROL!$C$42, 66.0227, 66.0227)* CHOOSE(CONTROL!$C$21, $C$9, 100%, $E$9)</f>
        <v>66.0227</v>
      </c>
      <c r="K895" s="54">
        <f>CHOOSE(CONTROL!$C$42, 66.0255, 66.0255) * CHOOSE(CONTROL!$C$21, $C$9, 100%, $E$9)</f>
        <v>66.025499999999994</v>
      </c>
      <c r="L895" s="10">
        <f>CHOOSE(CONTROL!$C$42, 66.8699, 66.8699) * CHOOSE(CONTROL!$C$21, $C$9, 100%, $E$9)</f>
        <v>66.869900000000001</v>
      </c>
      <c r="M895" s="10">
        <f>CHOOSE(CONTROL!$C$42, 65.3702, 65.3702) * CHOOSE(CONTROL!$C$21, $C$9, 100%, $E$9)</f>
        <v>65.370199999999997</v>
      </c>
      <c r="N895" s="10">
        <f>CHOOSE(CONTROL!$C$42, 65.3874, 65.3874) * CHOOSE(CONTROL!$C$21, $C$9, 100%, $E$9)</f>
        <v>65.3874</v>
      </c>
      <c r="O895" s="10">
        <f>CHOOSE(CONTROL!$C$42, 65.6279, 65.6279) * CHOOSE(CONTROL!$C$21, $C$9, 100%, $E$9)</f>
        <v>65.627899999999997</v>
      </c>
      <c r="P895" s="10">
        <f>CHOOSE(CONTROL!$C$42, 65.3769, 65.3769) * CHOOSE(CONTROL!$C$21, $C$9, 100%, $E$9)</f>
        <v>65.376900000000006</v>
      </c>
      <c r="Q895" s="10">
        <f>CHOOSE(CONTROL!$C$42, 66.2232, 66.2232) * CHOOSE(CONTROL!$C$21, $C$9, 100%, $E$9)</f>
        <v>66.223200000000006</v>
      </c>
      <c r="R895" s="10">
        <f>CHOOSE(CONTROL!$C$42, 66.9757, 66.9757) * CHOOSE(CONTROL!$C$21, $C$9, 100%, $E$9)</f>
        <v>66.975700000000003</v>
      </c>
      <c r="S895" s="10">
        <f>CHOOSE(CONTROL!$C$42, 64.1493, 64.1493) * CHOOSE(CONTROL!$C$21, $C$9, 100%, $E$9)</f>
        <v>64.149299999999997</v>
      </c>
      <c r="T895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895" s="58">
        <f>(1000*CHOOSE(CONTROL!$C$42, 695, 695)*CHOOSE(CONTROL!$C$42, 0.5599, 0.5599)*CHOOSE(CONTROL!$C$42, 31, 31))/1000000</f>
        <v>12.063045499999998</v>
      </c>
      <c r="V895" s="58">
        <f>(1000*CHOOSE(CONTROL!$C$42, 500, 500)*CHOOSE(CONTROL!$C$42, 0.275, 0.275)*CHOOSE(CONTROL!$C$42, 31, 31))/1000000</f>
        <v>4.2625000000000002</v>
      </c>
      <c r="W895" s="58">
        <f>(1000*CHOOSE(CONTROL!$C$42, 0.1146, 0.1146)*CHOOSE(CONTROL!$C$42, 121.5, 121.5)*CHOOSE(CONTROL!$C$42, 31, 31))/1000000</f>
        <v>0.43164089999999994</v>
      </c>
      <c r="X895" s="58">
        <f>(31*0.1790888*245000/1000000)+(31*0.2374*100000/1000000)</f>
        <v>2.0961194359999999</v>
      </c>
      <c r="Y895" s="58"/>
      <c r="Z895" s="10"/>
      <c r="AA895" s="57"/>
      <c r="AB895" s="51">
        <f>(B895*194.205+C895*267.466+D895*133.845+E895*53.484+F895*40+G895*185+H895*0+I895*100+J895*300)/(194.205+267.466+133.845+53.484+0+40+185+100+300)</f>
        <v>66.079833018367353</v>
      </c>
      <c r="AC895" s="27">
        <f>(M895*'RAP TEMPLATE-GAS AVAILABILITY'!O894+N895*'RAP TEMPLATE-GAS AVAILABILITY'!P894+O895*'RAP TEMPLATE-GAS AVAILABILITY'!Q894+P895*'RAP TEMPLATE-GAS AVAILABILITY'!R894)/('RAP TEMPLATE-GAS AVAILABILITY'!O894+'RAP TEMPLATE-GAS AVAILABILITY'!P894+'RAP TEMPLATE-GAS AVAILABILITY'!Q894+'RAP TEMPLATE-GAS AVAILABILITY'!R894)</f>
        <v>65.488953237410072</v>
      </c>
    </row>
    <row r="896" spans="1:29" ht="15.75" x14ac:dyDescent="0.25">
      <c r="A896" s="13">
        <v>68180</v>
      </c>
      <c r="B896" s="10">
        <f>CHOOSE(CONTROL!$C$42, 62.7999, 62.7999) * CHOOSE(CONTROL!$C$21, $C$9, 100%, $E$9)</f>
        <v>62.799900000000001</v>
      </c>
      <c r="C896" s="10">
        <f>CHOOSE(CONTROL!$C$42, 62.8078, 62.8078) * CHOOSE(CONTROL!$C$21, $C$9, 100%, $E$9)</f>
        <v>62.8078</v>
      </c>
      <c r="D896" s="10">
        <f>CHOOSE(CONTROL!$C$42, 63.0002, 63.0002) * CHOOSE(CONTROL!$C$21, $C$9, 100%, $E$9)</f>
        <v>63.0002</v>
      </c>
      <c r="E896" s="10">
        <f>CHOOSE(CONTROL!$C$42, 63.0314, 63.0314) * CHOOSE(CONTROL!$C$21, $C$9, 100%, $E$9)</f>
        <v>63.031399999999998</v>
      </c>
      <c r="F896" s="10">
        <f>CHOOSE(CONTROL!$C$42, 62.7669, 62.7669)*CHOOSE(CONTROL!$C$21, $C$9, 100%, $E$9)</f>
        <v>62.7669</v>
      </c>
      <c r="G896" s="10">
        <f>CHOOSE(CONTROL!$C$42, 62.7843, 62.7843)*CHOOSE(CONTROL!$C$21, $C$9, 100%, $E$9)</f>
        <v>62.784300000000002</v>
      </c>
      <c r="H896" s="10">
        <f>CHOOSE(CONTROL!$C$42, 63.02, 63.02) * CHOOSE(CONTROL!$C$21, $C$9, 100%, $E$9)</f>
        <v>63.02</v>
      </c>
      <c r="I896" s="10">
        <f>CHOOSE(CONTROL!$C$42, 62.7665, 62.7665)* CHOOSE(CONTROL!$C$21, $C$9, 100%, $E$9)</f>
        <v>62.766500000000001</v>
      </c>
      <c r="J896" s="10">
        <f>CHOOSE(CONTROL!$C$42, 62.7599, 62.7599)* CHOOSE(CONTROL!$C$21, $C$9, 100%, $E$9)</f>
        <v>62.759900000000002</v>
      </c>
      <c r="K896" s="54">
        <f>CHOOSE(CONTROL!$C$42, 62.7626, 62.7626) * CHOOSE(CONTROL!$C$21, $C$9, 100%, $E$9)</f>
        <v>62.762599999999999</v>
      </c>
      <c r="L896" s="10">
        <f>CHOOSE(CONTROL!$C$42, 63.607, 63.607) * CHOOSE(CONTROL!$C$21, $C$9, 100%, $E$9)</f>
        <v>63.606999999999999</v>
      </c>
      <c r="M896" s="10">
        <f>CHOOSE(CONTROL!$C$42, 62.1404, 62.1404) * CHOOSE(CONTROL!$C$21, $C$9, 100%, $E$9)</f>
        <v>62.1404</v>
      </c>
      <c r="N896" s="10">
        <f>CHOOSE(CONTROL!$C$42, 62.1576, 62.1576) * CHOOSE(CONTROL!$C$21, $C$9, 100%, $E$9)</f>
        <v>62.157600000000002</v>
      </c>
      <c r="O896" s="10">
        <f>CHOOSE(CONTROL!$C$42, 62.3979, 62.3979) * CHOOSE(CONTROL!$C$21, $C$9, 100%, $E$9)</f>
        <v>62.3979</v>
      </c>
      <c r="P896" s="10">
        <f>CHOOSE(CONTROL!$C$42, 62.1469, 62.1469) * CHOOSE(CONTROL!$C$21, $C$9, 100%, $E$9)</f>
        <v>62.146900000000002</v>
      </c>
      <c r="Q896" s="10">
        <f>CHOOSE(CONTROL!$C$42, 62.9932, 62.9932) * CHOOSE(CONTROL!$C$21, $C$9, 100%, $E$9)</f>
        <v>62.993200000000002</v>
      </c>
      <c r="R896" s="10">
        <f>CHOOSE(CONTROL!$C$42, 63.7376, 63.7376) * CHOOSE(CONTROL!$C$21, $C$9, 100%, $E$9)</f>
        <v>63.7376</v>
      </c>
      <c r="S896" s="10">
        <f>CHOOSE(CONTROL!$C$42, 60.9807, 60.9807) * CHOOSE(CONTROL!$C$21, $C$9, 100%, $E$9)</f>
        <v>60.980699999999999</v>
      </c>
      <c r="T896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896" s="58">
        <f>(1000*CHOOSE(CONTROL!$C$42, 695, 695)*CHOOSE(CONTROL!$C$42, 0.5599, 0.5599)*CHOOSE(CONTROL!$C$42, 31, 31))/1000000</f>
        <v>12.063045499999998</v>
      </c>
      <c r="V896" s="58">
        <f>(1000*CHOOSE(CONTROL!$C$42, 500, 500)*CHOOSE(CONTROL!$C$42, 0.275, 0.275)*CHOOSE(CONTROL!$C$42, 31, 31))/1000000</f>
        <v>4.2625000000000002</v>
      </c>
      <c r="W896" s="58">
        <f>(1000*CHOOSE(CONTROL!$C$42, 0.1146, 0.1146)*CHOOSE(CONTROL!$C$42, 121.5, 121.5)*CHOOSE(CONTROL!$C$42, 31, 31))/1000000</f>
        <v>0.43164089999999994</v>
      </c>
      <c r="X896" s="58">
        <f>(31*0.1790888*245000/1000000)+(31*0.2374*100000/1000000)</f>
        <v>2.0961194359999999</v>
      </c>
      <c r="Y896" s="58"/>
      <c r="Z896" s="10"/>
      <c r="AA896" s="57"/>
      <c r="AB896" s="51">
        <f>(B896*194.205+C896*267.466+D896*133.845+E896*53.484+F896*40+G896*185+H896*0+I896*100+J896*300)/(194.205+267.466+133.845+53.484+0+40+185+100+300)</f>
        <v>62.816978242464678</v>
      </c>
      <c r="AC896" s="27">
        <f>(M896*'RAP TEMPLATE-GAS AVAILABILITY'!O895+N896*'RAP TEMPLATE-GAS AVAILABILITY'!P895+O896*'RAP TEMPLATE-GAS AVAILABILITY'!Q895+P896*'RAP TEMPLATE-GAS AVAILABILITY'!R895)/('RAP TEMPLATE-GAS AVAILABILITY'!O895+'RAP TEMPLATE-GAS AVAILABILITY'!P895+'RAP TEMPLATE-GAS AVAILABILITY'!Q895+'RAP TEMPLATE-GAS AVAILABILITY'!R895)</f>
        <v>62.259033812949639</v>
      </c>
    </row>
    <row r="897" spans="1:29" ht="15.75" x14ac:dyDescent="0.25">
      <c r="A897" s="13">
        <v>68210</v>
      </c>
      <c r="B897" s="10">
        <f>CHOOSE(CONTROL!$C$42, 58.8128, 58.8128) * CHOOSE(CONTROL!$C$21, $C$9, 100%, $E$9)</f>
        <v>58.812800000000003</v>
      </c>
      <c r="C897" s="10">
        <f>CHOOSE(CONTROL!$C$42, 58.8207, 58.8207) * CHOOSE(CONTROL!$C$21, $C$9, 100%, $E$9)</f>
        <v>58.820700000000002</v>
      </c>
      <c r="D897" s="10">
        <f>CHOOSE(CONTROL!$C$42, 59.0132, 59.0132) * CHOOSE(CONTROL!$C$21, $C$9, 100%, $E$9)</f>
        <v>59.013199999999998</v>
      </c>
      <c r="E897" s="10">
        <f>CHOOSE(CONTROL!$C$42, 59.0443, 59.0443) * CHOOSE(CONTROL!$C$21, $C$9, 100%, $E$9)</f>
        <v>59.0443</v>
      </c>
      <c r="F897" s="10">
        <f>CHOOSE(CONTROL!$C$42, 58.7797, 58.7797)*CHOOSE(CONTROL!$C$21, $C$9, 100%, $E$9)</f>
        <v>58.779699999999998</v>
      </c>
      <c r="G897" s="10">
        <f>CHOOSE(CONTROL!$C$42, 58.797, 58.797)*CHOOSE(CONTROL!$C$21, $C$9, 100%, $E$9)</f>
        <v>58.796999999999997</v>
      </c>
      <c r="H897" s="10">
        <f>CHOOSE(CONTROL!$C$42, 59.0329, 59.0329) * CHOOSE(CONTROL!$C$21, $C$9, 100%, $E$9)</f>
        <v>59.032899999999998</v>
      </c>
      <c r="I897" s="10">
        <f>CHOOSE(CONTROL!$C$42, 58.7794, 58.7794)* CHOOSE(CONTROL!$C$21, $C$9, 100%, $E$9)</f>
        <v>58.779400000000003</v>
      </c>
      <c r="J897" s="10">
        <f>CHOOSE(CONTROL!$C$42, 58.7727, 58.7727)* CHOOSE(CONTROL!$C$21, $C$9, 100%, $E$9)</f>
        <v>58.7727</v>
      </c>
      <c r="K897" s="54">
        <f>CHOOSE(CONTROL!$C$42, 58.7755, 58.7755) * CHOOSE(CONTROL!$C$21, $C$9, 100%, $E$9)</f>
        <v>58.775500000000001</v>
      </c>
      <c r="L897" s="10">
        <f>CHOOSE(CONTROL!$C$42, 59.6199, 59.6199) * CHOOSE(CONTROL!$C$21, $C$9, 100%, $E$9)</f>
        <v>59.619900000000001</v>
      </c>
      <c r="M897" s="10">
        <f>CHOOSE(CONTROL!$C$42, 58.1934, 58.1934) * CHOOSE(CONTROL!$C$21, $C$9, 100%, $E$9)</f>
        <v>58.193399999999997</v>
      </c>
      <c r="N897" s="10">
        <f>CHOOSE(CONTROL!$C$42, 58.2105, 58.2105) * CHOOSE(CONTROL!$C$21, $C$9, 100%, $E$9)</f>
        <v>58.210500000000003</v>
      </c>
      <c r="O897" s="10">
        <f>CHOOSE(CONTROL!$C$42, 58.451, 58.451) * CHOOSE(CONTROL!$C$21, $C$9, 100%, $E$9)</f>
        <v>58.451000000000001</v>
      </c>
      <c r="P897" s="10">
        <f>CHOOSE(CONTROL!$C$42, 58.2001, 58.2001) * CHOOSE(CONTROL!$C$21, $C$9, 100%, $E$9)</f>
        <v>58.200099999999999</v>
      </c>
      <c r="Q897" s="10">
        <f>CHOOSE(CONTROL!$C$42, 59.0463, 59.0463) * CHOOSE(CONTROL!$C$21, $C$9, 100%, $E$9)</f>
        <v>59.046300000000002</v>
      </c>
      <c r="R897" s="10">
        <f>CHOOSE(CONTROL!$C$42, 59.7809, 59.7809) * CHOOSE(CONTROL!$C$21, $C$9, 100%, $E$9)</f>
        <v>59.780900000000003</v>
      </c>
      <c r="S897" s="10">
        <f>CHOOSE(CONTROL!$C$42, 57.1089, 57.1089) * CHOOSE(CONTROL!$C$21, $C$9, 100%, $E$9)</f>
        <v>57.108899999999998</v>
      </c>
      <c r="T897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897" s="58">
        <f>(1000*CHOOSE(CONTROL!$C$42, 695, 695)*CHOOSE(CONTROL!$C$42, 0.5599, 0.5599)*CHOOSE(CONTROL!$C$42, 30, 30))/1000000</f>
        <v>11.673914999999997</v>
      </c>
      <c r="V897" s="58">
        <f>(1000*CHOOSE(CONTROL!$C$42, 500, 500)*CHOOSE(CONTROL!$C$42, 0.275, 0.275)*CHOOSE(CONTROL!$C$42, 30, 30))/1000000</f>
        <v>4.125</v>
      </c>
      <c r="W897" s="58">
        <f>(1000*CHOOSE(CONTROL!$C$42, 0.1146, 0.1146)*CHOOSE(CONTROL!$C$42, 121.5, 121.5)*CHOOSE(CONTROL!$C$42, 30, 30))/1000000</f>
        <v>0.417717</v>
      </c>
      <c r="X897" s="58">
        <f>(30*0.1790888*245000/1000000)+(30*0.2374*100000/1000000)</f>
        <v>2.0285026799999999</v>
      </c>
      <c r="Y897" s="58"/>
      <c r="Z897" s="10"/>
      <c r="AA897" s="57"/>
      <c r="AB897" s="51">
        <f>(B897*194.205+C897*267.466+D897*133.845+E897*53.484+F897*40+G897*185+H897*0+I897*100+J897*300)/(194.205+267.466+133.845+53.484+0+40+185+100+300)</f>
        <v>58.829833018367353</v>
      </c>
      <c r="AC897" s="27">
        <f>(M897*'RAP TEMPLATE-GAS AVAILABILITY'!O896+N897*'RAP TEMPLATE-GAS AVAILABILITY'!P896+O897*'RAP TEMPLATE-GAS AVAILABILITY'!Q896+P897*'RAP TEMPLATE-GAS AVAILABILITY'!R896)/('RAP TEMPLATE-GAS AVAILABILITY'!O896+'RAP TEMPLATE-GAS AVAILABILITY'!P896+'RAP TEMPLATE-GAS AVAILABILITY'!Q896+'RAP TEMPLATE-GAS AVAILABILITY'!R896)</f>
        <v>58.312102158273383</v>
      </c>
    </row>
    <row r="898" spans="1:29" ht="15.75" x14ac:dyDescent="0.25">
      <c r="A898" s="13">
        <v>68241</v>
      </c>
      <c r="B898" s="10">
        <f>CHOOSE(CONTROL!$C$42, 57.617, 57.617) * CHOOSE(CONTROL!$C$21, $C$9, 100%, $E$9)</f>
        <v>57.616999999999997</v>
      </c>
      <c r="C898" s="10">
        <f>CHOOSE(CONTROL!$C$42, 57.6222, 57.6222) * CHOOSE(CONTROL!$C$21, $C$9, 100%, $E$9)</f>
        <v>57.622199999999999</v>
      </c>
      <c r="D898" s="10">
        <f>CHOOSE(CONTROL!$C$42, 57.8196, 57.8196) * CHOOSE(CONTROL!$C$21, $C$9, 100%, $E$9)</f>
        <v>57.819600000000001</v>
      </c>
      <c r="E898" s="10">
        <f>CHOOSE(CONTROL!$C$42, 57.8484, 57.8484) * CHOOSE(CONTROL!$C$21, $C$9, 100%, $E$9)</f>
        <v>57.848399999999998</v>
      </c>
      <c r="F898" s="10">
        <f>CHOOSE(CONTROL!$C$42, 57.5859, 57.5859)*CHOOSE(CONTROL!$C$21, $C$9, 100%, $E$9)</f>
        <v>57.585900000000002</v>
      </c>
      <c r="G898" s="10">
        <f>CHOOSE(CONTROL!$C$42, 57.6029, 57.6029)*CHOOSE(CONTROL!$C$21, $C$9, 100%, $E$9)</f>
        <v>57.602899999999998</v>
      </c>
      <c r="H898" s="10">
        <f>CHOOSE(CONTROL!$C$42, 57.8389, 57.8389) * CHOOSE(CONTROL!$C$21, $C$9, 100%, $E$9)</f>
        <v>57.838900000000002</v>
      </c>
      <c r="I898" s="10">
        <f>CHOOSE(CONTROL!$C$42, 57.5854, 57.5854)* CHOOSE(CONTROL!$C$21, $C$9, 100%, $E$9)</f>
        <v>57.5854</v>
      </c>
      <c r="J898" s="10">
        <f>CHOOSE(CONTROL!$C$42, 57.5789, 57.5789)* CHOOSE(CONTROL!$C$21, $C$9, 100%, $E$9)</f>
        <v>57.578899999999997</v>
      </c>
      <c r="K898" s="54">
        <f>CHOOSE(CONTROL!$C$42, 57.5815, 57.5815) * CHOOSE(CONTROL!$C$21, $C$9, 100%, $E$9)</f>
        <v>57.581499999999998</v>
      </c>
      <c r="L898" s="10">
        <f>CHOOSE(CONTROL!$C$42, 58.4259, 58.4259) * CHOOSE(CONTROL!$C$21, $C$9, 100%, $E$9)</f>
        <v>58.425899999999999</v>
      </c>
      <c r="M898" s="10">
        <f>CHOOSE(CONTROL!$C$42, 57.0117, 57.0117) * CHOOSE(CONTROL!$C$21, $C$9, 100%, $E$9)</f>
        <v>57.011699999999998</v>
      </c>
      <c r="N898" s="10">
        <f>CHOOSE(CONTROL!$C$42, 57.0285, 57.0285) * CHOOSE(CONTROL!$C$21, $C$9, 100%, $E$9)</f>
        <v>57.028500000000001</v>
      </c>
      <c r="O898" s="10">
        <f>CHOOSE(CONTROL!$C$42, 57.269, 57.269) * CHOOSE(CONTROL!$C$21, $C$9, 100%, $E$9)</f>
        <v>57.268999999999998</v>
      </c>
      <c r="P898" s="10">
        <f>CHOOSE(CONTROL!$C$42, 57.0181, 57.0181) * CHOOSE(CONTROL!$C$21, $C$9, 100%, $E$9)</f>
        <v>57.018099999999997</v>
      </c>
      <c r="Q898" s="10">
        <f>CHOOSE(CONTROL!$C$42, 57.8643, 57.8643) * CHOOSE(CONTROL!$C$21, $C$9, 100%, $E$9)</f>
        <v>57.8643</v>
      </c>
      <c r="R898" s="10">
        <f>CHOOSE(CONTROL!$C$42, 58.596, 58.596) * CHOOSE(CONTROL!$C$21, $C$9, 100%, $E$9)</f>
        <v>58.595999999999997</v>
      </c>
      <c r="S898" s="10">
        <f>CHOOSE(CONTROL!$C$42, 55.9494, 55.9494) * CHOOSE(CONTROL!$C$21, $C$9, 100%, $E$9)</f>
        <v>55.949399999999997</v>
      </c>
      <c r="T898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898" s="58">
        <f>(1000*CHOOSE(CONTROL!$C$42, 695, 695)*CHOOSE(CONTROL!$C$42, 0.5599, 0.5599)*CHOOSE(CONTROL!$C$42, 31, 31))/1000000</f>
        <v>12.063045499999998</v>
      </c>
      <c r="V898" s="58">
        <f>(1000*CHOOSE(CONTROL!$C$42, 500, 500)*CHOOSE(CONTROL!$C$42, 0.275, 0.275)*CHOOSE(CONTROL!$C$42, 31, 31))/1000000</f>
        <v>4.2625000000000002</v>
      </c>
      <c r="W898" s="58">
        <f>(1000*CHOOSE(CONTROL!$C$42, 0.1146, 0.1146)*CHOOSE(CONTROL!$C$42, 121.5, 121.5)*CHOOSE(CONTROL!$C$42, 31, 31))/1000000</f>
        <v>0.43164089999999994</v>
      </c>
      <c r="X898" s="58">
        <f>(31*0.1790888*245000/1000000)+(31*0.2374*100000/1000000)</f>
        <v>2.0961194359999999</v>
      </c>
      <c r="Y898" s="58"/>
      <c r="Z898" s="10"/>
      <c r="AA898" s="57"/>
      <c r="AB898" s="51">
        <f>(B898*131.881+C898*277.167+D898*79.08+E898*125.872+F898*40+G898*185+H898*0+I898*100+J898*300)/(131.881+277.167+79.08+125.872+0+40+185+100+300)</f>
        <v>57.6397176410008</v>
      </c>
      <c r="AC898" s="27">
        <f>(M898*'RAP TEMPLATE-GAS AVAILABILITY'!O897+N898*'RAP TEMPLATE-GAS AVAILABILITY'!P897+O898*'RAP TEMPLATE-GAS AVAILABILITY'!Q897+P898*'RAP TEMPLATE-GAS AVAILABILITY'!R897)/('RAP TEMPLATE-GAS AVAILABILITY'!O897+'RAP TEMPLATE-GAS AVAILABILITY'!P897+'RAP TEMPLATE-GAS AVAILABILITY'!Q897+'RAP TEMPLATE-GAS AVAILABILITY'!R897)</f>
        <v>57.130205755395679</v>
      </c>
    </row>
    <row r="899" spans="1:29" ht="15.75" x14ac:dyDescent="0.25">
      <c r="A899" s="13">
        <v>68271</v>
      </c>
      <c r="B899" s="10">
        <f>CHOOSE(CONTROL!$C$42, 59.1344, 59.1344) * CHOOSE(CONTROL!$C$21, $C$9, 100%, $E$9)</f>
        <v>59.134399999999999</v>
      </c>
      <c r="C899" s="10">
        <f>CHOOSE(CONTROL!$C$42, 59.1394, 59.1394) * CHOOSE(CONTROL!$C$21, $C$9, 100%, $E$9)</f>
        <v>59.139400000000002</v>
      </c>
      <c r="D899" s="10">
        <f>CHOOSE(CONTROL!$C$42, 59.169, 59.169) * CHOOSE(CONTROL!$C$21, $C$9, 100%, $E$9)</f>
        <v>59.168999999999997</v>
      </c>
      <c r="E899" s="10">
        <f>CHOOSE(CONTROL!$C$42, 59.2028, 59.2028) * CHOOSE(CONTROL!$C$21, $C$9, 100%, $E$9)</f>
        <v>59.202800000000003</v>
      </c>
      <c r="F899" s="10">
        <f>CHOOSE(CONTROL!$C$42, 59.1012, 59.1012)*CHOOSE(CONTROL!$C$21, $C$9, 100%, $E$9)</f>
        <v>59.101199999999999</v>
      </c>
      <c r="G899" s="10">
        <f>CHOOSE(CONTROL!$C$42, 59.1183, 59.1183)*CHOOSE(CONTROL!$C$21, $C$9, 100%, $E$9)</f>
        <v>59.118299999999998</v>
      </c>
      <c r="H899" s="10">
        <f>CHOOSE(CONTROL!$C$42, 59.192, 59.192) * CHOOSE(CONTROL!$C$21, $C$9, 100%, $E$9)</f>
        <v>59.192</v>
      </c>
      <c r="I899" s="10">
        <f>CHOOSE(CONTROL!$C$42, 59.098, 59.098)* CHOOSE(CONTROL!$C$21, $C$9, 100%, $E$9)</f>
        <v>59.097999999999999</v>
      </c>
      <c r="J899" s="10">
        <f>CHOOSE(CONTROL!$C$42, 59.0942, 59.0942)* CHOOSE(CONTROL!$C$21, $C$9, 100%, $E$9)</f>
        <v>59.094200000000001</v>
      </c>
      <c r="K899" s="54">
        <f>CHOOSE(CONTROL!$C$42, 59.0941, 59.0941) * CHOOSE(CONTROL!$C$21, $C$9, 100%, $E$9)</f>
        <v>59.094099999999997</v>
      </c>
      <c r="L899" s="10">
        <f>CHOOSE(CONTROL!$C$42, 59.779, 59.779) * CHOOSE(CONTROL!$C$21, $C$9, 100%, $E$9)</f>
        <v>59.779000000000003</v>
      </c>
      <c r="M899" s="10">
        <f>CHOOSE(CONTROL!$C$42, 58.5117, 58.5117) * CHOOSE(CONTROL!$C$21, $C$9, 100%, $E$9)</f>
        <v>58.511699999999998</v>
      </c>
      <c r="N899" s="10">
        <f>CHOOSE(CONTROL!$C$42, 58.5286, 58.5286) * CHOOSE(CONTROL!$C$21, $C$9, 100%, $E$9)</f>
        <v>58.528599999999997</v>
      </c>
      <c r="O899" s="10">
        <f>CHOOSE(CONTROL!$C$42, 58.6084, 58.6084) * CHOOSE(CONTROL!$C$21, $C$9, 100%, $E$9)</f>
        <v>58.608400000000003</v>
      </c>
      <c r="P899" s="10">
        <f>CHOOSE(CONTROL!$C$42, 58.5155, 58.5155) * CHOOSE(CONTROL!$C$21, $C$9, 100%, $E$9)</f>
        <v>58.515500000000003</v>
      </c>
      <c r="Q899" s="10">
        <f>CHOOSE(CONTROL!$C$42, 59.2037, 59.2037) * CHOOSE(CONTROL!$C$21, $C$9, 100%, $E$9)</f>
        <v>59.203699999999998</v>
      </c>
      <c r="R899" s="10">
        <f>CHOOSE(CONTROL!$C$42, 59.9387, 59.9387) * CHOOSE(CONTROL!$C$21, $C$9, 100%, $E$9)</f>
        <v>59.938699999999997</v>
      </c>
      <c r="S899" s="10">
        <f>CHOOSE(CONTROL!$C$42, 57.4233, 57.4233) * CHOOSE(CONTROL!$C$21, $C$9, 100%, $E$9)</f>
        <v>57.423299999999998</v>
      </c>
      <c r="T899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899" s="58">
        <f>(1000*CHOOSE(CONTROL!$C$42, 695, 695)*CHOOSE(CONTROL!$C$42, 0.5599, 0.5599)*CHOOSE(CONTROL!$C$42, 30, 30))/1000000</f>
        <v>11.673914999999997</v>
      </c>
      <c r="V899" s="58">
        <f>(1000*CHOOSE(CONTROL!$C$42, 500, 500)*CHOOSE(CONTROL!$C$42, 0.275, 0.275)*CHOOSE(CONTROL!$C$42, 30, 30))/1000000</f>
        <v>4.125</v>
      </c>
      <c r="W899" s="58">
        <f>(1000*CHOOSE(CONTROL!$C$42, 0.1146, 0.1146)*CHOOSE(CONTROL!$C$42, 121.5, 121.5)*CHOOSE(CONTROL!$C$42, 30, 30))/1000000</f>
        <v>0.417717</v>
      </c>
      <c r="X899" s="58">
        <f>(30*0.1790888*100000/1000000)+(30*0.2374*100000/1000000)</f>
        <v>1.2494664</v>
      </c>
      <c r="Y899" s="58"/>
      <c r="Z899" s="10"/>
      <c r="AA899" s="57"/>
      <c r="AB899" s="51">
        <f>(B899*122.58+C899*297.941+D899*89.177+E899*40.302+F899*40+G899*160+H899*0+I899*100+J899*300)/(122.58+297.941+89.177+40.302+0+40+160+100+300)</f>
        <v>59.123728596521744</v>
      </c>
      <c r="AC899" s="27">
        <f>(M899*'RAP TEMPLATE-GAS AVAILABILITY'!O898+N899*'RAP TEMPLATE-GAS AVAILABILITY'!P898+O899*'RAP TEMPLATE-GAS AVAILABILITY'!Q898+P899*'RAP TEMPLATE-GAS AVAILABILITY'!R898)/('RAP TEMPLATE-GAS AVAILABILITY'!O898+'RAP TEMPLATE-GAS AVAILABILITY'!P898+'RAP TEMPLATE-GAS AVAILABILITY'!Q898+'RAP TEMPLATE-GAS AVAILABILITY'!R898)</f>
        <v>58.55704748201439</v>
      </c>
    </row>
    <row r="900" spans="1:29" ht="15.75" x14ac:dyDescent="0.25">
      <c r="A900" s="13">
        <v>68302</v>
      </c>
      <c r="B900" s="10">
        <f>CHOOSE(CONTROL!$C$42, 63.166, 63.166) * CHOOSE(CONTROL!$C$21, $C$9, 100%, $E$9)</f>
        <v>63.165999999999997</v>
      </c>
      <c r="C900" s="10">
        <f>CHOOSE(CONTROL!$C$42, 63.1709, 63.1709) * CHOOSE(CONTROL!$C$21, $C$9, 100%, $E$9)</f>
        <v>63.170900000000003</v>
      </c>
      <c r="D900" s="10">
        <f>CHOOSE(CONTROL!$C$42, 63.2005, 63.2005) * CHOOSE(CONTROL!$C$21, $C$9, 100%, $E$9)</f>
        <v>63.200499999999998</v>
      </c>
      <c r="E900" s="10">
        <f>CHOOSE(CONTROL!$C$42, 63.2343, 63.2343) * CHOOSE(CONTROL!$C$21, $C$9, 100%, $E$9)</f>
        <v>63.234299999999998</v>
      </c>
      <c r="F900" s="10">
        <f>CHOOSE(CONTROL!$C$42, 63.1342, 63.1342)*CHOOSE(CONTROL!$C$21, $C$9, 100%, $E$9)</f>
        <v>63.1342</v>
      </c>
      <c r="G900" s="10">
        <f>CHOOSE(CONTROL!$C$42, 63.1517, 63.1517)*CHOOSE(CONTROL!$C$21, $C$9, 100%, $E$9)</f>
        <v>63.151699999999998</v>
      </c>
      <c r="H900" s="10">
        <f>CHOOSE(CONTROL!$C$42, 63.2235, 63.2235) * CHOOSE(CONTROL!$C$21, $C$9, 100%, $E$9)</f>
        <v>63.223500000000001</v>
      </c>
      <c r="I900" s="10">
        <f>CHOOSE(CONTROL!$C$42, 63.1296, 63.1296)* CHOOSE(CONTROL!$C$21, $C$9, 100%, $E$9)</f>
        <v>63.129600000000003</v>
      </c>
      <c r="J900" s="10">
        <f>CHOOSE(CONTROL!$C$42, 63.1272, 63.1272)* CHOOSE(CONTROL!$C$21, $C$9, 100%, $E$9)</f>
        <v>63.127200000000002</v>
      </c>
      <c r="K900" s="54">
        <f>CHOOSE(CONTROL!$C$42, 63.1257, 63.1257) * CHOOSE(CONTROL!$C$21, $C$9, 100%, $E$9)</f>
        <v>63.125700000000002</v>
      </c>
      <c r="L900" s="10">
        <f>CHOOSE(CONTROL!$C$42, 63.8105, 63.8105) * CHOOSE(CONTROL!$C$21, $C$9, 100%, $E$9)</f>
        <v>63.810499999999998</v>
      </c>
      <c r="M900" s="10">
        <f>CHOOSE(CONTROL!$C$42, 62.504, 62.504) * CHOOSE(CONTROL!$C$21, $C$9, 100%, $E$9)</f>
        <v>62.503999999999998</v>
      </c>
      <c r="N900" s="10">
        <f>CHOOSE(CONTROL!$C$42, 62.5213, 62.5213) * CHOOSE(CONTROL!$C$21, $C$9, 100%, $E$9)</f>
        <v>62.521299999999997</v>
      </c>
      <c r="O900" s="10">
        <f>CHOOSE(CONTROL!$C$42, 62.5993, 62.5993) * CHOOSE(CONTROL!$C$21, $C$9, 100%, $E$9)</f>
        <v>62.599299999999999</v>
      </c>
      <c r="P900" s="10">
        <f>CHOOSE(CONTROL!$C$42, 62.5064, 62.5064) * CHOOSE(CONTROL!$C$21, $C$9, 100%, $E$9)</f>
        <v>62.506399999999999</v>
      </c>
      <c r="Q900" s="10">
        <f>CHOOSE(CONTROL!$C$42, 63.1946, 63.1946) * CHOOSE(CONTROL!$C$21, $C$9, 100%, $E$9)</f>
        <v>63.194600000000001</v>
      </c>
      <c r="R900" s="10">
        <f>CHOOSE(CONTROL!$C$42, 63.9396, 63.9396) * CHOOSE(CONTROL!$C$21, $C$9, 100%, $E$9)</f>
        <v>63.939599999999999</v>
      </c>
      <c r="S900" s="10">
        <f>CHOOSE(CONTROL!$C$42, 61.3383, 61.3383) * CHOOSE(CONTROL!$C$21, $C$9, 100%, $E$9)</f>
        <v>61.338299999999997</v>
      </c>
      <c r="T900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900" s="58">
        <f>(1000*CHOOSE(CONTROL!$C$42, 695, 695)*CHOOSE(CONTROL!$C$42, 0.5599, 0.5599)*CHOOSE(CONTROL!$C$42, 31, 31))/1000000</f>
        <v>12.063045499999998</v>
      </c>
      <c r="V900" s="58">
        <f>(1000*CHOOSE(CONTROL!$C$42, 500, 500)*CHOOSE(CONTROL!$C$42, 0.275, 0.275)*CHOOSE(CONTROL!$C$42, 31, 31))/1000000</f>
        <v>4.2625000000000002</v>
      </c>
      <c r="W900" s="58">
        <f>(1000*CHOOSE(CONTROL!$C$42, 0.1146, 0.1146)*CHOOSE(CONTROL!$C$42, 121.5, 121.5)*CHOOSE(CONTROL!$C$42, 31, 31))/1000000</f>
        <v>0.43164089999999994</v>
      </c>
      <c r="X900" s="58">
        <f>(31*0.1790888*100000/1000000)+(31*0.2374*100000/1000000)</f>
        <v>1.2911152800000001</v>
      </c>
      <c r="Y900" s="58"/>
      <c r="Z900" s="10"/>
      <c r="AA900" s="57"/>
      <c r="AB900" s="51">
        <f>(B900*122.58+C900*297.941+D900*89.177+E900*40.302+F900*40+G900*160+H900*0+I900*100+J900*300)/(122.58+297.941+89.177+40.302+0+40+160+100+300)</f>
        <v>63.155955777391299</v>
      </c>
      <c r="AC900" s="27">
        <f>(M900*'RAP TEMPLATE-GAS AVAILABILITY'!O899+N900*'RAP TEMPLATE-GAS AVAILABILITY'!P899+O900*'RAP TEMPLATE-GAS AVAILABILITY'!Q899+P900*'RAP TEMPLATE-GAS AVAILABILITY'!R899)/('RAP TEMPLATE-GAS AVAILABILITY'!O899+'RAP TEMPLATE-GAS AVAILABILITY'!P899+'RAP TEMPLATE-GAS AVAILABILITY'!Q899+'RAP TEMPLATE-GAS AVAILABILITY'!R899)</f>
        <v>62.548534532374092</v>
      </c>
    </row>
    <row r="901" spans="1:29" ht="15.75" x14ac:dyDescent="0.25">
      <c r="A901" s="13">
        <v>68333</v>
      </c>
      <c r="B901" s="10">
        <f>CHOOSE(CONTROL!$C$42, 68.3414, 68.3414) * CHOOSE(CONTROL!$C$21, $C$9, 100%, $E$9)</f>
        <v>68.341399999999993</v>
      </c>
      <c r="C901" s="10">
        <f>CHOOSE(CONTROL!$C$42, 68.3463, 68.3463) * CHOOSE(CONTROL!$C$21, $C$9, 100%, $E$9)</f>
        <v>68.346299999999999</v>
      </c>
      <c r="D901" s="10">
        <f>CHOOSE(CONTROL!$C$42, 68.3965, 68.3965) * CHOOSE(CONTROL!$C$21, $C$9, 100%, $E$9)</f>
        <v>68.396500000000003</v>
      </c>
      <c r="E901" s="10">
        <f>CHOOSE(CONTROL!$C$42, 68.4303, 68.4303) * CHOOSE(CONTROL!$C$21, $C$9, 100%, $E$9)</f>
        <v>68.430300000000003</v>
      </c>
      <c r="F901" s="10">
        <f>CHOOSE(CONTROL!$C$42, 68.3067, 68.3067)*CHOOSE(CONTROL!$C$21, $C$9, 100%, $E$9)</f>
        <v>68.306700000000006</v>
      </c>
      <c r="G901" s="10">
        <f>CHOOSE(CONTROL!$C$42, 68.3243, 68.3243)*CHOOSE(CONTROL!$C$21, $C$9, 100%, $E$9)</f>
        <v>68.324299999999994</v>
      </c>
      <c r="H901" s="10">
        <f>CHOOSE(CONTROL!$C$42, 68.4195, 68.4195) * CHOOSE(CONTROL!$C$21, $C$9, 100%, $E$9)</f>
        <v>68.419499999999999</v>
      </c>
      <c r="I901" s="10">
        <f>CHOOSE(CONTROL!$C$42, 68.3153, 68.3153)* CHOOSE(CONTROL!$C$21, $C$9, 100%, $E$9)</f>
        <v>68.315299999999993</v>
      </c>
      <c r="J901" s="10">
        <f>CHOOSE(CONTROL!$C$42, 68.2997, 68.2997)* CHOOSE(CONTROL!$C$21, $C$9, 100%, $E$9)</f>
        <v>68.299700000000001</v>
      </c>
      <c r="K901" s="54">
        <f>CHOOSE(CONTROL!$C$42, 68.3114, 68.3114) * CHOOSE(CONTROL!$C$21, $C$9, 100%, $E$9)</f>
        <v>68.311400000000006</v>
      </c>
      <c r="L901" s="10">
        <f>CHOOSE(CONTROL!$C$42, 69.0065, 69.0065) * CHOOSE(CONTROL!$C$21, $C$9, 100%, $E$9)</f>
        <v>69.006500000000003</v>
      </c>
      <c r="M901" s="10">
        <f>CHOOSE(CONTROL!$C$42, 67.6243, 67.6243) * CHOOSE(CONTROL!$C$21, $C$9, 100%, $E$9)</f>
        <v>67.624300000000005</v>
      </c>
      <c r="N901" s="10">
        <f>CHOOSE(CONTROL!$C$42, 67.6417, 67.6417) * CHOOSE(CONTROL!$C$21, $C$9, 100%, $E$9)</f>
        <v>67.6417</v>
      </c>
      <c r="O901" s="10">
        <f>CHOOSE(CONTROL!$C$42, 67.7429, 67.7429) * CHOOSE(CONTROL!$C$21, $C$9, 100%, $E$9)</f>
        <v>67.742900000000006</v>
      </c>
      <c r="P901" s="10">
        <f>CHOOSE(CONTROL!$C$42, 67.6397, 67.6397) * CHOOSE(CONTROL!$C$21, $C$9, 100%, $E$9)</f>
        <v>67.639700000000005</v>
      </c>
      <c r="Q901" s="10">
        <f>CHOOSE(CONTROL!$C$42, 68.3382, 68.3382) * CHOOSE(CONTROL!$C$21, $C$9, 100%, $E$9)</f>
        <v>68.338200000000001</v>
      </c>
      <c r="R901" s="10">
        <f>CHOOSE(CONTROL!$C$42, 69.096, 69.096) * CHOOSE(CONTROL!$C$21, $C$9, 100%, $E$9)</f>
        <v>69.096000000000004</v>
      </c>
      <c r="S901" s="10">
        <f>CHOOSE(CONTROL!$C$42, 66.3642, 66.3642) * CHOOSE(CONTROL!$C$21, $C$9, 100%, $E$9)</f>
        <v>66.364199999999997</v>
      </c>
      <c r="T901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901" s="58">
        <f>(1000*CHOOSE(CONTROL!$C$42, 695, 695)*CHOOSE(CONTROL!$C$42, 0.5599, 0.5599)*CHOOSE(CONTROL!$C$42, 31, 31))/1000000</f>
        <v>12.063045499999998</v>
      </c>
      <c r="V901" s="58">
        <f>(1000*CHOOSE(CONTROL!$C$42, 500, 500)*CHOOSE(CONTROL!$C$42, 0.275, 0.275)*CHOOSE(CONTROL!$C$42, 31, 31))/1000000</f>
        <v>4.2625000000000002</v>
      </c>
      <c r="W901" s="58">
        <f>(1000*CHOOSE(CONTROL!$C$42, 0.1146, 0.1146)*CHOOSE(CONTROL!$C$42, 121.5, 121.5)*CHOOSE(CONTROL!$C$42, 31, 31))/1000000</f>
        <v>0.43164089999999994</v>
      </c>
      <c r="X901" s="58">
        <f>(31*0.1790888*100000/1000000)+(31*0.2374*100000/1000000)</f>
        <v>1.2911152800000001</v>
      </c>
      <c r="Y901" s="58"/>
      <c r="Z901" s="10"/>
      <c r="AA901" s="57"/>
      <c r="AB901" s="51">
        <f>(B901*122.58+C901*297.941+D901*89.177+E901*40.302+F901*40+G901*160+H901*0+I901*100+J901*300)/(122.58+297.941+89.177+40.302+0+40+160+100+300)</f>
        <v>68.333323835999991</v>
      </c>
      <c r="AC901" s="27">
        <f>(M901*'RAP TEMPLATE-GAS AVAILABILITY'!O900+N901*'RAP TEMPLATE-GAS AVAILABILITY'!P900+O901*'RAP TEMPLATE-GAS AVAILABILITY'!Q900+P901*'RAP TEMPLATE-GAS AVAILABILITY'!R900)/('RAP TEMPLATE-GAS AVAILABILITY'!O900+'RAP TEMPLATE-GAS AVAILABILITY'!P900+'RAP TEMPLATE-GAS AVAILABILITY'!Q900+'RAP TEMPLATE-GAS AVAILABILITY'!R900)</f>
        <v>67.681271223021582</v>
      </c>
    </row>
    <row r="902" spans="1:29" ht="15.75" x14ac:dyDescent="0.25">
      <c r="A902" s="13">
        <v>68361</v>
      </c>
      <c r="B902" s="10">
        <f>CHOOSE(CONTROL!$C$42, 69.5579, 69.5579) * CHOOSE(CONTROL!$C$21, $C$9, 100%, $E$9)</f>
        <v>69.557900000000004</v>
      </c>
      <c r="C902" s="10">
        <f>CHOOSE(CONTROL!$C$42, 69.5628, 69.5628) * CHOOSE(CONTROL!$C$21, $C$9, 100%, $E$9)</f>
        <v>69.562799999999996</v>
      </c>
      <c r="D902" s="10">
        <f>CHOOSE(CONTROL!$C$42, 69.6233, 69.6233) * CHOOSE(CONTROL!$C$21, $C$9, 100%, $E$9)</f>
        <v>69.6233</v>
      </c>
      <c r="E902" s="10">
        <f>CHOOSE(CONTROL!$C$42, 69.6571, 69.6571) * CHOOSE(CONTROL!$C$21, $C$9, 100%, $E$9)</f>
        <v>69.6571</v>
      </c>
      <c r="F902" s="10">
        <f>CHOOSE(CONTROL!$C$42, 69.5511, 69.5511)*CHOOSE(CONTROL!$C$21, $C$9, 100%, $E$9)</f>
        <v>69.551100000000005</v>
      </c>
      <c r="G902" s="10">
        <f>CHOOSE(CONTROL!$C$42, 69.5684, 69.5684)*CHOOSE(CONTROL!$C$21, $C$9, 100%, $E$9)</f>
        <v>69.568399999999997</v>
      </c>
      <c r="H902" s="10">
        <f>CHOOSE(CONTROL!$C$42, 69.6463, 69.6463) * CHOOSE(CONTROL!$C$21, $C$9, 100%, $E$9)</f>
        <v>69.646299999999997</v>
      </c>
      <c r="I902" s="10">
        <f>CHOOSE(CONTROL!$C$42, 69.5447, 69.5447)* CHOOSE(CONTROL!$C$21, $C$9, 100%, $E$9)</f>
        <v>69.544700000000006</v>
      </c>
      <c r="J902" s="10">
        <f>CHOOSE(CONTROL!$C$42, 69.5441, 69.5441)* CHOOSE(CONTROL!$C$21, $C$9, 100%, $E$9)</f>
        <v>69.5441</v>
      </c>
      <c r="K902" s="54">
        <f>CHOOSE(CONTROL!$C$42, 69.5408, 69.5408) * CHOOSE(CONTROL!$C$21, $C$9, 100%, $E$9)</f>
        <v>69.540800000000004</v>
      </c>
      <c r="L902" s="10">
        <f>CHOOSE(CONTROL!$C$42, 70.2333, 70.2333) * CHOOSE(CONTROL!$C$21, $C$9, 100%, $E$9)</f>
        <v>70.2333</v>
      </c>
      <c r="M902" s="10">
        <f>CHOOSE(CONTROL!$C$42, 68.8561, 68.8561) * CHOOSE(CONTROL!$C$21, $C$9, 100%, $E$9)</f>
        <v>68.856099999999998</v>
      </c>
      <c r="N902" s="10">
        <f>CHOOSE(CONTROL!$C$42, 68.8733, 68.8733) * CHOOSE(CONTROL!$C$21, $C$9, 100%, $E$9)</f>
        <v>68.8733</v>
      </c>
      <c r="O902" s="10">
        <f>CHOOSE(CONTROL!$C$42, 68.9573, 68.9573) * CHOOSE(CONTROL!$C$21, $C$9, 100%, $E$9)</f>
        <v>68.957300000000004</v>
      </c>
      <c r="P902" s="10">
        <f>CHOOSE(CONTROL!$C$42, 68.8567, 68.8567) * CHOOSE(CONTROL!$C$21, $C$9, 100%, $E$9)</f>
        <v>68.856700000000004</v>
      </c>
      <c r="Q902" s="10">
        <f>CHOOSE(CONTROL!$C$42, 69.5526, 69.5526) * CHOOSE(CONTROL!$C$21, $C$9, 100%, $E$9)</f>
        <v>69.552599999999998</v>
      </c>
      <c r="R902" s="10">
        <f>CHOOSE(CONTROL!$C$42, 70.3135, 70.3135) * CHOOSE(CONTROL!$C$21, $C$9, 100%, $E$9)</f>
        <v>70.313500000000005</v>
      </c>
      <c r="S902" s="10">
        <f>CHOOSE(CONTROL!$C$42, 67.5455, 67.5455) * CHOOSE(CONTROL!$C$21, $C$9, 100%, $E$9)</f>
        <v>67.545500000000004</v>
      </c>
      <c r="T902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902" s="58">
        <f>(1000*CHOOSE(CONTROL!$C$42, 695, 695)*CHOOSE(CONTROL!$C$42, 0.5599, 0.5599)*CHOOSE(CONTROL!$C$42, 28, 28))/1000000</f>
        <v>10.895653999999999</v>
      </c>
      <c r="V902" s="58">
        <f>(1000*CHOOSE(CONTROL!$C$42, 500, 500)*CHOOSE(CONTROL!$C$42, 0.275, 0.275)*CHOOSE(CONTROL!$C$42, 28, 28))/1000000</f>
        <v>3.85</v>
      </c>
      <c r="W902" s="58">
        <f>(1000*CHOOSE(CONTROL!$C$42, 0.1146, 0.1146)*CHOOSE(CONTROL!$C$42, 121.5, 121.5)*CHOOSE(CONTROL!$C$42, 28, 28))/1000000</f>
        <v>0.38986920000000003</v>
      </c>
      <c r="X902" s="58">
        <f>(28*0.1790888*100000/1000000)+(28*0.2374*100000/1000000)</f>
        <v>1.16616864</v>
      </c>
      <c r="Y902" s="58"/>
      <c r="Z902" s="10"/>
      <c r="AA902" s="57"/>
      <c r="AB902" s="51">
        <f>(B902*122.58+C902*297.941+D902*89.177+E902*40.302+F902*40+G902*160+H902*0+I902*100+J902*300)/(122.58+297.941+89.177+40.302+0+40+160+100+300)</f>
        <v>69.564193952260865</v>
      </c>
      <c r="AC902" s="27">
        <f>(M902*'RAP TEMPLATE-GAS AVAILABILITY'!O901+N902*'RAP TEMPLATE-GAS AVAILABILITY'!P901+O902*'RAP TEMPLATE-GAS AVAILABILITY'!Q901+P902*'RAP TEMPLATE-GAS AVAILABILITY'!R901)/('RAP TEMPLATE-GAS AVAILABILITY'!O901+'RAP TEMPLATE-GAS AVAILABILITY'!P901+'RAP TEMPLATE-GAS AVAILABILITY'!Q901+'RAP TEMPLATE-GAS AVAILABILITY'!R901)</f>
        <v>68.903043884892085</v>
      </c>
    </row>
    <row r="903" spans="1:29" ht="15.75" x14ac:dyDescent="0.25">
      <c r="A903" s="13">
        <v>68392</v>
      </c>
      <c r="B903" s="10">
        <f>CHOOSE(CONTROL!$C$42, 67.5832, 67.5832) * CHOOSE(CONTROL!$C$21, $C$9, 100%, $E$9)</f>
        <v>67.583200000000005</v>
      </c>
      <c r="C903" s="10">
        <f>CHOOSE(CONTROL!$C$42, 67.5881, 67.5881) * CHOOSE(CONTROL!$C$21, $C$9, 100%, $E$9)</f>
        <v>67.588099999999997</v>
      </c>
      <c r="D903" s="10">
        <f>CHOOSE(CONTROL!$C$42, 67.6486, 67.6486) * CHOOSE(CONTROL!$C$21, $C$9, 100%, $E$9)</f>
        <v>67.648600000000002</v>
      </c>
      <c r="E903" s="10">
        <f>CHOOSE(CONTROL!$C$42, 67.6824, 67.6824) * CHOOSE(CONTROL!$C$21, $C$9, 100%, $E$9)</f>
        <v>67.682400000000001</v>
      </c>
      <c r="F903" s="10">
        <f>CHOOSE(CONTROL!$C$42, 67.5709, 67.5709)*CHOOSE(CONTROL!$C$21, $C$9, 100%, $E$9)</f>
        <v>67.570899999999995</v>
      </c>
      <c r="G903" s="10">
        <f>CHOOSE(CONTROL!$C$42, 67.5881, 67.5881)*CHOOSE(CONTROL!$C$21, $C$9, 100%, $E$9)</f>
        <v>67.588099999999997</v>
      </c>
      <c r="H903" s="10">
        <f>CHOOSE(CONTROL!$C$42, 67.6716, 67.6716) * CHOOSE(CONTROL!$C$21, $C$9, 100%, $E$9)</f>
        <v>67.671599999999998</v>
      </c>
      <c r="I903" s="10">
        <f>CHOOSE(CONTROL!$C$42, 67.5571, 67.5571)* CHOOSE(CONTROL!$C$21, $C$9, 100%, $E$9)</f>
        <v>67.557100000000005</v>
      </c>
      <c r="J903" s="10">
        <f>CHOOSE(CONTROL!$C$42, 67.5639, 67.5639)* CHOOSE(CONTROL!$C$21, $C$9, 100%, $E$9)</f>
        <v>67.563900000000004</v>
      </c>
      <c r="K903" s="54">
        <f>CHOOSE(CONTROL!$C$42, 67.5532, 67.5532) * CHOOSE(CONTROL!$C$21, $C$9, 100%, $E$9)</f>
        <v>67.553200000000004</v>
      </c>
      <c r="L903" s="10">
        <f>CHOOSE(CONTROL!$C$42, 68.2586, 68.2586) * CHOOSE(CONTROL!$C$21, $C$9, 100%, $E$9)</f>
        <v>68.258600000000001</v>
      </c>
      <c r="M903" s="10">
        <f>CHOOSE(CONTROL!$C$42, 66.8959, 66.8959) * CHOOSE(CONTROL!$C$21, $C$9, 100%, $E$9)</f>
        <v>66.895899999999997</v>
      </c>
      <c r="N903" s="10">
        <f>CHOOSE(CONTROL!$C$42, 66.9129, 66.9129) * CHOOSE(CONTROL!$C$21, $C$9, 100%, $E$9)</f>
        <v>66.912899999999993</v>
      </c>
      <c r="O903" s="10">
        <f>CHOOSE(CONTROL!$C$42, 67.0025, 67.0025) * CHOOSE(CONTROL!$C$21, $C$9, 100%, $E$9)</f>
        <v>67.002499999999998</v>
      </c>
      <c r="P903" s="10">
        <f>CHOOSE(CONTROL!$C$42, 66.8892, 66.8892) * CHOOSE(CONTROL!$C$21, $C$9, 100%, $E$9)</f>
        <v>66.889200000000002</v>
      </c>
      <c r="Q903" s="10">
        <f>CHOOSE(CONTROL!$C$42, 67.5978, 67.5978) * CHOOSE(CONTROL!$C$21, $C$9, 100%, $E$9)</f>
        <v>67.597800000000007</v>
      </c>
      <c r="R903" s="10">
        <f>CHOOSE(CONTROL!$C$42, 68.3538, 68.3538) * CHOOSE(CONTROL!$C$21, $C$9, 100%, $E$9)</f>
        <v>68.353800000000007</v>
      </c>
      <c r="S903" s="10">
        <f>CHOOSE(CONTROL!$C$42, 65.6279, 65.6279) * CHOOSE(CONTROL!$C$21, $C$9, 100%, $E$9)</f>
        <v>65.627899999999997</v>
      </c>
      <c r="T903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903" s="58">
        <f>(1000*CHOOSE(CONTROL!$C$42, 695, 695)*CHOOSE(CONTROL!$C$42, 0.5599, 0.5599)*CHOOSE(CONTROL!$C$42, 31, 31))/1000000</f>
        <v>12.063045499999998</v>
      </c>
      <c r="V903" s="58">
        <f>(1000*CHOOSE(CONTROL!$C$42, 500, 500)*CHOOSE(CONTROL!$C$42, 0.275, 0.275)*CHOOSE(CONTROL!$C$42, 31, 31))/1000000</f>
        <v>4.2625000000000002</v>
      </c>
      <c r="W903" s="58">
        <f>(1000*CHOOSE(CONTROL!$C$42, 0.1146, 0.1146)*CHOOSE(CONTROL!$C$42, 121.5, 121.5)*CHOOSE(CONTROL!$C$42, 31, 31))/1000000</f>
        <v>0.43164089999999994</v>
      </c>
      <c r="X903" s="58">
        <f>(31*0.1790888*100000/1000000)+(31*0.2374*100000/1000000)</f>
        <v>1.2911152800000001</v>
      </c>
      <c r="Y903" s="58"/>
      <c r="Z903" s="10"/>
      <c r="AA903" s="57"/>
      <c r="AB903" s="51">
        <f>(B903*122.58+C903*297.941+D903*89.177+E903*40.302+F903*40+G903*160+H903*0+I903*100+J903*300)/(122.58+297.941+89.177+40.302+0+40+160+100+300)</f>
        <v>67.585966995739128</v>
      </c>
      <c r="AC903" s="27">
        <f>(M903*'RAP TEMPLATE-GAS AVAILABILITY'!O902+N903*'RAP TEMPLATE-GAS AVAILABILITY'!P902+O903*'RAP TEMPLATE-GAS AVAILABILITY'!Q902+P903*'RAP TEMPLATE-GAS AVAILABILITY'!R902)/('RAP TEMPLATE-GAS AVAILABILITY'!O902+'RAP TEMPLATE-GAS AVAILABILITY'!P902+'RAP TEMPLATE-GAS AVAILABILITY'!Q902+'RAP TEMPLATE-GAS AVAILABILITY'!R902)</f>
        <v>66.944229496402869</v>
      </c>
    </row>
    <row r="904" spans="1:29" ht="15.75" x14ac:dyDescent="0.25">
      <c r="A904" s="13">
        <v>68422</v>
      </c>
      <c r="B904" s="10">
        <f>CHOOSE(CONTROL!$C$42, 67.382, 67.382) * CHOOSE(CONTROL!$C$21, $C$9, 100%, $E$9)</f>
        <v>67.382000000000005</v>
      </c>
      <c r="C904" s="10">
        <f>CHOOSE(CONTROL!$C$42, 67.3864, 67.3864) * CHOOSE(CONTROL!$C$21, $C$9, 100%, $E$9)</f>
        <v>67.386399999999995</v>
      </c>
      <c r="D904" s="10">
        <f>CHOOSE(CONTROL!$C$42, 67.582, 67.582) * CHOOSE(CONTROL!$C$21, $C$9, 100%, $E$9)</f>
        <v>67.581999999999994</v>
      </c>
      <c r="E904" s="10">
        <f>CHOOSE(CONTROL!$C$42, 67.6137, 67.6137) * CHOOSE(CONTROL!$C$21, $C$9, 100%, $E$9)</f>
        <v>67.613699999999994</v>
      </c>
      <c r="F904" s="10">
        <f>CHOOSE(CONTROL!$C$42, 67.3498, 67.3498)*CHOOSE(CONTROL!$C$21, $C$9, 100%, $E$9)</f>
        <v>67.349800000000002</v>
      </c>
      <c r="G904" s="10">
        <f>CHOOSE(CONTROL!$C$42, 67.3666, 67.3666)*CHOOSE(CONTROL!$C$21, $C$9, 100%, $E$9)</f>
        <v>67.366600000000005</v>
      </c>
      <c r="H904" s="10">
        <f>CHOOSE(CONTROL!$C$42, 67.6035, 67.6035) * CHOOSE(CONTROL!$C$21, $C$9, 100%, $E$9)</f>
        <v>67.603499999999997</v>
      </c>
      <c r="I904" s="10">
        <f>CHOOSE(CONTROL!$C$42, 67.35, 67.35)* CHOOSE(CONTROL!$C$21, $C$9, 100%, $E$9)</f>
        <v>67.349999999999994</v>
      </c>
      <c r="J904" s="10">
        <f>CHOOSE(CONTROL!$C$42, 67.3428, 67.3428)* CHOOSE(CONTROL!$C$21, $C$9, 100%, $E$9)</f>
        <v>67.342799999999997</v>
      </c>
      <c r="K904" s="54">
        <f>CHOOSE(CONTROL!$C$42, 67.3461, 67.3461) * CHOOSE(CONTROL!$C$21, $C$9, 100%, $E$9)</f>
        <v>67.346100000000007</v>
      </c>
      <c r="L904" s="10">
        <f>CHOOSE(CONTROL!$C$42, 68.1905, 68.1905) * CHOOSE(CONTROL!$C$21, $C$9, 100%, $E$9)</f>
        <v>68.1905</v>
      </c>
      <c r="M904" s="10">
        <f>CHOOSE(CONTROL!$C$42, 66.677, 66.677) * CHOOSE(CONTROL!$C$21, $C$9, 100%, $E$9)</f>
        <v>66.677000000000007</v>
      </c>
      <c r="N904" s="10">
        <f>CHOOSE(CONTROL!$C$42, 66.6936, 66.6936) * CHOOSE(CONTROL!$C$21, $C$9, 100%, $E$9)</f>
        <v>66.693600000000004</v>
      </c>
      <c r="O904" s="10">
        <f>CHOOSE(CONTROL!$C$42, 66.9351, 66.9351) * CHOOSE(CONTROL!$C$21, $C$9, 100%, $E$9)</f>
        <v>66.935100000000006</v>
      </c>
      <c r="P904" s="10">
        <f>CHOOSE(CONTROL!$C$42, 66.6842, 66.6842) * CHOOSE(CONTROL!$C$21, $C$9, 100%, $E$9)</f>
        <v>66.684200000000004</v>
      </c>
      <c r="Q904" s="10">
        <f>CHOOSE(CONTROL!$C$42, 67.5304, 67.5304) * CHOOSE(CONTROL!$C$21, $C$9, 100%, $E$9)</f>
        <v>67.5304</v>
      </c>
      <c r="R904" s="10">
        <f>CHOOSE(CONTROL!$C$42, 68.2862, 68.2862) * CHOOSE(CONTROL!$C$21, $C$9, 100%, $E$9)</f>
        <v>68.286199999999994</v>
      </c>
      <c r="S904" s="10">
        <f>CHOOSE(CONTROL!$C$42, 65.4318, 65.4318) * CHOOSE(CONTROL!$C$21, $C$9, 100%, $E$9)</f>
        <v>65.431799999999996</v>
      </c>
      <c r="T904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904" s="58">
        <f>(1000*CHOOSE(CONTROL!$C$42, 695, 695)*CHOOSE(CONTROL!$C$42, 0.5599, 0.5599)*CHOOSE(CONTROL!$C$42, 30, 30))/1000000</f>
        <v>11.673914999999997</v>
      </c>
      <c r="V904" s="58">
        <f>(1000*CHOOSE(CONTROL!$C$42, 500, 500)*CHOOSE(CONTROL!$C$42, 0.275, 0.275)*CHOOSE(CONTROL!$C$42, 30, 30))/1000000</f>
        <v>4.125</v>
      </c>
      <c r="W904" s="58">
        <f>(1000*CHOOSE(CONTROL!$C$42, 0.1146, 0.1146)*CHOOSE(CONTROL!$C$42, 121.5, 121.5)*CHOOSE(CONTROL!$C$42, 30, 30))/1000000</f>
        <v>0.417717</v>
      </c>
      <c r="X904" s="58">
        <f>(30*0.1790888*245000/1000000)+(30*0.2374*100000/1000000)</f>
        <v>2.0285026799999999</v>
      </c>
      <c r="Y904" s="58"/>
      <c r="Z904" s="10"/>
      <c r="AA904" s="57"/>
      <c r="AB904" s="51">
        <f>(B904*141.293+C904*267.993+D904*115.016+E904*89.698+F904*40+G904*185+H904*0+I904*100+J904*300)/(141.293+267.993+115.016+89.698+0+40+185+100+300)</f>
        <v>67.402878446973361</v>
      </c>
      <c r="AC904" s="27">
        <f>(M904*'RAP TEMPLATE-GAS AVAILABILITY'!O903+N904*'RAP TEMPLATE-GAS AVAILABILITY'!P903+O904*'RAP TEMPLATE-GAS AVAILABILITY'!Q903+P904*'RAP TEMPLATE-GAS AVAILABILITY'!R903)/('RAP TEMPLATE-GAS AVAILABILITY'!O903+'RAP TEMPLATE-GAS AVAILABILITY'!P903+'RAP TEMPLATE-GAS AVAILABILITY'!Q903+'RAP TEMPLATE-GAS AVAILABILITY'!R903)</f>
        <v>66.795971942446059</v>
      </c>
    </row>
    <row r="905" spans="1:29" ht="15.75" x14ac:dyDescent="0.25">
      <c r="A905" s="13">
        <v>68453</v>
      </c>
      <c r="B905" s="10">
        <f>CHOOSE(CONTROL!$C$42, 67.9781, 67.9781) * CHOOSE(CONTROL!$C$21, $C$9, 100%, $E$9)</f>
        <v>67.978099999999998</v>
      </c>
      <c r="C905" s="10">
        <f>CHOOSE(CONTROL!$C$42, 67.986, 67.986) * CHOOSE(CONTROL!$C$21, $C$9, 100%, $E$9)</f>
        <v>67.986000000000004</v>
      </c>
      <c r="D905" s="10">
        <f>CHOOSE(CONTROL!$C$42, 68.1784, 68.1784) * CHOOSE(CONTROL!$C$21, $C$9, 100%, $E$9)</f>
        <v>68.178399999999996</v>
      </c>
      <c r="E905" s="10">
        <f>CHOOSE(CONTROL!$C$42, 68.2096, 68.2096) * CHOOSE(CONTROL!$C$21, $C$9, 100%, $E$9)</f>
        <v>68.209599999999995</v>
      </c>
      <c r="F905" s="10">
        <f>CHOOSE(CONTROL!$C$42, 67.9443, 67.9443)*CHOOSE(CONTROL!$C$21, $C$9, 100%, $E$9)</f>
        <v>67.944299999999998</v>
      </c>
      <c r="G905" s="10">
        <f>CHOOSE(CONTROL!$C$42, 67.9615, 67.9615)*CHOOSE(CONTROL!$C$21, $C$9, 100%, $E$9)</f>
        <v>67.961500000000001</v>
      </c>
      <c r="H905" s="10">
        <f>CHOOSE(CONTROL!$C$42, 68.1982, 68.1982) * CHOOSE(CONTROL!$C$21, $C$9, 100%, $E$9)</f>
        <v>68.1982</v>
      </c>
      <c r="I905" s="10">
        <f>CHOOSE(CONTROL!$C$42, 67.9447, 67.9447)* CHOOSE(CONTROL!$C$21, $C$9, 100%, $E$9)</f>
        <v>67.944699999999997</v>
      </c>
      <c r="J905" s="10">
        <f>CHOOSE(CONTROL!$C$42, 67.9373, 67.9373)* CHOOSE(CONTROL!$C$21, $C$9, 100%, $E$9)</f>
        <v>67.937299999999993</v>
      </c>
      <c r="K905" s="54">
        <f>CHOOSE(CONTROL!$C$42, 67.9408, 67.9408) * CHOOSE(CONTROL!$C$21, $C$9, 100%, $E$9)</f>
        <v>67.940799999999996</v>
      </c>
      <c r="L905" s="10">
        <f>CHOOSE(CONTROL!$C$42, 68.7852, 68.7852) * CHOOSE(CONTROL!$C$21, $C$9, 100%, $E$9)</f>
        <v>68.785200000000003</v>
      </c>
      <c r="M905" s="10">
        <f>CHOOSE(CONTROL!$C$42, 67.2656, 67.2656) * CHOOSE(CONTROL!$C$21, $C$9, 100%, $E$9)</f>
        <v>67.265600000000006</v>
      </c>
      <c r="N905" s="10">
        <f>CHOOSE(CONTROL!$C$42, 67.2825, 67.2825) * CHOOSE(CONTROL!$C$21, $C$9, 100%, $E$9)</f>
        <v>67.282499999999999</v>
      </c>
      <c r="O905" s="10">
        <f>CHOOSE(CONTROL!$C$42, 67.5238, 67.5238) * CHOOSE(CONTROL!$C$21, $C$9, 100%, $E$9)</f>
        <v>67.523799999999994</v>
      </c>
      <c r="P905" s="10">
        <f>CHOOSE(CONTROL!$C$42, 67.2728, 67.2728) * CHOOSE(CONTROL!$C$21, $C$9, 100%, $E$9)</f>
        <v>67.272800000000004</v>
      </c>
      <c r="Q905" s="10">
        <f>CHOOSE(CONTROL!$C$42, 68.1191, 68.1191) * CHOOSE(CONTROL!$C$21, $C$9, 100%, $E$9)</f>
        <v>68.119100000000003</v>
      </c>
      <c r="R905" s="10">
        <f>CHOOSE(CONTROL!$C$42, 68.8764, 68.8764) * CHOOSE(CONTROL!$C$21, $C$9, 100%, $E$9)</f>
        <v>68.876400000000004</v>
      </c>
      <c r="S905" s="10">
        <f>CHOOSE(CONTROL!$C$42, 66.0093, 66.0093) * CHOOSE(CONTROL!$C$21, $C$9, 100%, $E$9)</f>
        <v>66.009299999999996</v>
      </c>
      <c r="T905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905" s="58">
        <f>(1000*CHOOSE(CONTROL!$C$42, 695, 695)*CHOOSE(CONTROL!$C$42, 0.5599, 0.5599)*CHOOSE(CONTROL!$C$42, 31, 31))/1000000</f>
        <v>12.063045499999998</v>
      </c>
      <c r="V905" s="58">
        <f>(1000*CHOOSE(CONTROL!$C$42, 500, 500)*CHOOSE(CONTROL!$C$42, 0.275, 0.275)*CHOOSE(CONTROL!$C$42, 31, 31))/1000000</f>
        <v>4.2625000000000002</v>
      </c>
      <c r="W905" s="58">
        <f>(1000*CHOOSE(CONTROL!$C$42, 0.1146, 0.1146)*CHOOSE(CONTROL!$C$42, 121.5, 121.5)*CHOOSE(CONTROL!$C$42, 31, 31))/1000000</f>
        <v>0.43164089999999994</v>
      </c>
      <c r="X905" s="58">
        <f>(31*0.1790888*245000/1000000)+(31*0.2374*100000/1000000)</f>
        <v>2.0961194359999999</v>
      </c>
      <c r="Y905" s="58"/>
      <c r="Z905" s="10"/>
      <c r="AA905" s="57"/>
      <c r="AB905" s="51">
        <f>(B905*194.205+C905*267.466+D905*133.845+E905*53.484+F905*40+G905*185+H905*0+I905*100+J905*300)/(194.205+267.466+133.845+53.484+0+40+185+100+300)</f>
        <v>67.994819529748824</v>
      </c>
      <c r="AC905" s="27">
        <f>(M905*'RAP TEMPLATE-GAS AVAILABILITY'!O904+N905*'RAP TEMPLATE-GAS AVAILABILITY'!P904+O905*'RAP TEMPLATE-GAS AVAILABILITY'!Q904+P905*'RAP TEMPLATE-GAS AVAILABILITY'!R904)/('RAP TEMPLATE-GAS AVAILABILITY'!O904+'RAP TEMPLATE-GAS AVAILABILITY'!P904+'RAP TEMPLATE-GAS AVAILABILITY'!Q904+'RAP TEMPLATE-GAS AVAILABILITY'!R904)</f>
        <v>67.384634532374093</v>
      </c>
    </row>
    <row r="906" spans="1:29" ht="15.75" x14ac:dyDescent="0.25">
      <c r="A906" s="13">
        <v>68483</v>
      </c>
      <c r="B906" s="10">
        <f>CHOOSE(CONTROL!$C$42, 69.9062, 69.9062) * CHOOSE(CONTROL!$C$21, $C$9, 100%, $E$9)</f>
        <v>69.906199999999998</v>
      </c>
      <c r="C906" s="10">
        <f>CHOOSE(CONTROL!$C$42, 69.9141, 69.9141) * CHOOSE(CONTROL!$C$21, $C$9, 100%, $E$9)</f>
        <v>69.914100000000005</v>
      </c>
      <c r="D906" s="10">
        <f>CHOOSE(CONTROL!$C$42, 70.1066, 70.1066) * CHOOSE(CONTROL!$C$21, $C$9, 100%, $E$9)</f>
        <v>70.1066</v>
      </c>
      <c r="E906" s="10">
        <f>CHOOSE(CONTROL!$C$42, 70.1377, 70.1377) * CHOOSE(CONTROL!$C$21, $C$9, 100%, $E$9)</f>
        <v>70.137699999999995</v>
      </c>
      <c r="F906" s="10">
        <f>CHOOSE(CONTROL!$C$42, 69.8727, 69.8727)*CHOOSE(CONTROL!$C$21, $C$9, 100%, $E$9)</f>
        <v>69.872699999999995</v>
      </c>
      <c r="G906" s="10">
        <f>CHOOSE(CONTROL!$C$42, 69.8899, 69.8899)*CHOOSE(CONTROL!$C$21, $C$9, 100%, $E$9)</f>
        <v>69.889899999999997</v>
      </c>
      <c r="H906" s="10">
        <f>CHOOSE(CONTROL!$C$42, 70.1263, 70.1263) * CHOOSE(CONTROL!$C$21, $C$9, 100%, $E$9)</f>
        <v>70.126300000000001</v>
      </c>
      <c r="I906" s="10">
        <f>CHOOSE(CONTROL!$C$42, 69.8728, 69.8728)* CHOOSE(CONTROL!$C$21, $C$9, 100%, $E$9)</f>
        <v>69.872799999999998</v>
      </c>
      <c r="J906" s="10">
        <f>CHOOSE(CONTROL!$C$42, 69.8657, 69.8657)* CHOOSE(CONTROL!$C$21, $C$9, 100%, $E$9)</f>
        <v>69.865700000000004</v>
      </c>
      <c r="K906" s="54">
        <f>CHOOSE(CONTROL!$C$42, 69.8689, 69.8689) * CHOOSE(CONTROL!$C$21, $C$9, 100%, $E$9)</f>
        <v>69.868899999999996</v>
      </c>
      <c r="L906" s="10">
        <f>CHOOSE(CONTROL!$C$42, 70.7133, 70.7133) * CHOOSE(CONTROL!$C$21, $C$9, 100%, $E$9)</f>
        <v>70.713300000000004</v>
      </c>
      <c r="M906" s="10">
        <f>CHOOSE(CONTROL!$C$42, 69.1745, 69.1745) * CHOOSE(CONTROL!$C$21, $C$9, 100%, $E$9)</f>
        <v>69.174499999999995</v>
      </c>
      <c r="N906" s="10">
        <f>CHOOSE(CONTROL!$C$42, 69.1915, 69.1915) * CHOOSE(CONTROL!$C$21, $C$9, 100%, $E$9)</f>
        <v>69.191500000000005</v>
      </c>
      <c r="O906" s="10">
        <f>CHOOSE(CONTROL!$C$42, 69.4325, 69.4325) * CHOOSE(CONTROL!$C$21, $C$9, 100%, $E$9)</f>
        <v>69.432500000000005</v>
      </c>
      <c r="P906" s="10">
        <f>CHOOSE(CONTROL!$C$42, 69.1815, 69.1815) * CHOOSE(CONTROL!$C$21, $C$9, 100%, $E$9)</f>
        <v>69.1815</v>
      </c>
      <c r="Q906" s="10">
        <f>CHOOSE(CONTROL!$C$42, 70.0278, 70.0278) * CHOOSE(CONTROL!$C$21, $C$9, 100%, $E$9)</f>
        <v>70.027799999999999</v>
      </c>
      <c r="R906" s="10">
        <f>CHOOSE(CONTROL!$C$42, 70.7898, 70.7898) * CHOOSE(CONTROL!$C$21, $C$9, 100%, $E$9)</f>
        <v>70.7898</v>
      </c>
      <c r="S906" s="10">
        <f>CHOOSE(CONTROL!$C$42, 67.8817, 67.8817) * CHOOSE(CONTROL!$C$21, $C$9, 100%, $E$9)</f>
        <v>67.881699999999995</v>
      </c>
      <c r="T906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906" s="58">
        <f>(1000*CHOOSE(CONTROL!$C$42, 695, 695)*CHOOSE(CONTROL!$C$42, 0.5599, 0.5599)*CHOOSE(CONTROL!$C$42, 30, 30))/1000000</f>
        <v>11.673914999999997</v>
      </c>
      <c r="V906" s="58">
        <f>(1000*CHOOSE(CONTROL!$C$42, 500, 500)*CHOOSE(CONTROL!$C$42, 0.275, 0.275)*CHOOSE(CONTROL!$C$42, 30, 30))/1000000</f>
        <v>4.125</v>
      </c>
      <c r="W906" s="58">
        <f>(1000*CHOOSE(CONTROL!$C$42, 0.1146, 0.1146)*CHOOSE(CONTROL!$C$42, 121.5, 121.5)*CHOOSE(CONTROL!$C$42, 30, 30))/1000000</f>
        <v>0.417717</v>
      </c>
      <c r="X906" s="58">
        <f>(30*0.1790888*245000/1000000)+(30*0.2374*100000/1000000)</f>
        <v>2.0285026799999999</v>
      </c>
      <c r="Y906" s="58"/>
      <c r="Z906" s="10"/>
      <c r="AA906" s="57"/>
      <c r="AB906" s="51">
        <f>(B906*194.205+C906*267.466+D906*133.845+E906*53.484+F906*40+G906*185+H906*0+I906*100+J906*300)/(194.205+267.466+133.845+53.484+0+40+185+100+300)</f>
        <v>69.923053662009437</v>
      </c>
      <c r="AC906" s="27">
        <f>(M906*'RAP TEMPLATE-GAS AVAILABILITY'!O905+N906*'RAP TEMPLATE-GAS AVAILABILITY'!P905+O906*'RAP TEMPLATE-GAS AVAILABILITY'!Q905+P906*'RAP TEMPLATE-GAS AVAILABILITY'!R905)/('RAP TEMPLATE-GAS AVAILABILITY'!O905+'RAP TEMPLATE-GAS AVAILABILITY'!P905+'RAP TEMPLATE-GAS AVAILABILITY'!Q905+'RAP TEMPLATE-GAS AVAILABILITY'!R905)</f>
        <v>69.29342086330935</v>
      </c>
    </row>
    <row r="907" spans="1:29" ht="15.75" x14ac:dyDescent="0.25">
      <c r="A907" s="13">
        <v>68514</v>
      </c>
      <c r="B907" s="10">
        <f>CHOOSE(CONTROL!$C$42, 68.5652, 68.5652) * CHOOSE(CONTROL!$C$21, $C$9, 100%, $E$9)</f>
        <v>68.565200000000004</v>
      </c>
      <c r="C907" s="10">
        <f>CHOOSE(CONTROL!$C$42, 68.5731, 68.5731) * CHOOSE(CONTROL!$C$21, $C$9, 100%, $E$9)</f>
        <v>68.573099999999997</v>
      </c>
      <c r="D907" s="10">
        <f>CHOOSE(CONTROL!$C$42, 68.7655, 68.7655) * CHOOSE(CONTROL!$C$21, $C$9, 100%, $E$9)</f>
        <v>68.765500000000003</v>
      </c>
      <c r="E907" s="10">
        <f>CHOOSE(CONTROL!$C$42, 68.7967, 68.7967) * CHOOSE(CONTROL!$C$21, $C$9, 100%, $E$9)</f>
        <v>68.796700000000001</v>
      </c>
      <c r="F907" s="10">
        <f>CHOOSE(CONTROL!$C$42, 68.5321, 68.5321)*CHOOSE(CONTROL!$C$21, $C$9, 100%, $E$9)</f>
        <v>68.5321</v>
      </c>
      <c r="G907" s="10">
        <f>CHOOSE(CONTROL!$C$42, 68.5494, 68.5494)*CHOOSE(CONTROL!$C$21, $C$9, 100%, $E$9)</f>
        <v>68.549400000000006</v>
      </c>
      <c r="H907" s="10">
        <f>CHOOSE(CONTROL!$C$42, 68.7853, 68.7853) * CHOOSE(CONTROL!$C$21, $C$9, 100%, $E$9)</f>
        <v>68.785300000000007</v>
      </c>
      <c r="I907" s="10">
        <f>CHOOSE(CONTROL!$C$42, 68.5318, 68.5318)* CHOOSE(CONTROL!$C$21, $C$9, 100%, $E$9)</f>
        <v>68.531800000000004</v>
      </c>
      <c r="J907" s="10">
        <f>CHOOSE(CONTROL!$C$42, 68.5251, 68.5251)* CHOOSE(CONTROL!$C$21, $C$9, 100%, $E$9)</f>
        <v>68.525099999999995</v>
      </c>
      <c r="K907" s="54">
        <f>CHOOSE(CONTROL!$C$42, 68.5279, 68.5279) * CHOOSE(CONTROL!$C$21, $C$9, 100%, $E$9)</f>
        <v>68.527900000000002</v>
      </c>
      <c r="L907" s="10">
        <f>CHOOSE(CONTROL!$C$42, 69.3723, 69.3723) * CHOOSE(CONTROL!$C$21, $C$9, 100%, $E$9)</f>
        <v>69.372299999999996</v>
      </c>
      <c r="M907" s="10">
        <f>CHOOSE(CONTROL!$C$42, 67.8474, 67.8474) * CHOOSE(CONTROL!$C$21, $C$9, 100%, $E$9)</f>
        <v>67.847399999999993</v>
      </c>
      <c r="N907" s="10">
        <f>CHOOSE(CONTROL!$C$42, 67.8645, 67.8645) * CHOOSE(CONTROL!$C$21, $C$9, 100%, $E$9)</f>
        <v>67.864500000000007</v>
      </c>
      <c r="O907" s="10">
        <f>CHOOSE(CONTROL!$C$42, 68.105, 68.105) * CHOOSE(CONTROL!$C$21, $C$9, 100%, $E$9)</f>
        <v>68.105000000000004</v>
      </c>
      <c r="P907" s="10">
        <f>CHOOSE(CONTROL!$C$42, 67.854, 67.854) * CHOOSE(CONTROL!$C$21, $C$9, 100%, $E$9)</f>
        <v>67.853999999999999</v>
      </c>
      <c r="Q907" s="10">
        <f>CHOOSE(CONTROL!$C$42, 68.7003, 68.7003) * CHOOSE(CONTROL!$C$21, $C$9, 100%, $E$9)</f>
        <v>68.700299999999999</v>
      </c>
      <c r="R907" s="10">
        <f>CHOOSE(CONTROL!$C$42, 69.459, 69.459) * CHOOSE(CONTROL!$C$21, $C$9, 100%, $E$9)</f>
        <v>69.459000000000003</v>
      </c>
      <c r="S907" s="10">
        <f>CHOOSE(CONTROL!$C$42, 66.5794, 66.5794) * CHOOSE(CONTROL!$C$21, $C$9, 100%, $E$9)</f>
        <v>66.579400000000007</v>
      </c>
      <c r="T907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907" s="58">
        <f>(1000*CHOOSE(CONTROL!$C$42, 695, 695)*CHOOSE(CONTROL!$C$42, 0.5599, 0.5599)*CHOOSE(CONTROL!$C$42, 31, 31))/1000000</f>
        <v>12.063045499999998</v>
      </c>
      <c r="V907" s="58">
        <f>(1000*CHOOSE(CONTROL!$C$42, 500, 500)*CHOOSE(CONTROL!$C$42, 0.275, 0.275)*CHOOSE(CONTROL!$C$42, 31, 31))/1000000</f>
        <v>4.2625000000000002</v>
      </c>
      <c r="W907" s="58">
        <f>(1000*CHOOSE(CONTROL!$C$42, 0.1146, 0.1146)*CHOOSE(CONTROL!$C$42, 121.5, 121.5)*CHOOSE(CONTROL!$C$42, 31, 31))/1000000</f>
        <v>0.43164089999999994</v>
      </c>
      <c r="X907" s="58">
        <f>(31*0.1790888*245000/1000000)+(31*0.2374*100000/1000000)</f>
        <v>2.0961194359999999</v>
      </c>
      <c r="Y907" s="58"/>
      <c r="Z907" s="10"/>
      <c r="AA907" s="57"/>
      <c r="AB907" s="51">
        <f>(B907*194.205+C907*267.466+D907*133.845+E907*53.484+F907*40+G907*185+H907*0+I907*100+J907*300)/(194.205+267.466+133.845+53.484+0+40+185+100+300)</f>
        <v>68.582222512480385</v>
      </c>
      <c r="AC907" s="27">
        <f>(M907*'RAP TEMPLATE-GAS AVAILABILITY'!O906+N907*'RAP TEMPLATE-GAS AVAILABILITY'!P906+O907*'RAP TEMPLATE-GAS AVAILABILITY'!Q906+P907*'RAP TEMPLATE-GAS AVAILABILITY'!R906)/('RAP TEMPLATE-GAS AVAILABILITY'!O906+'RAP TEMPLATE-GAS AVAILABILITY'!P906+'RAP TEMPLATE-GAS AVAILABILITY'!Q906+'RAP TEMPLATE-GAS AVAILABILITY'!R906)</f>
        <v>67.966087769784181</v>
      </c>
    </row>
    <row r="908" spans="1:29" ht="15.75" x14ac:dyDescent="0.25">
      <c r="A908" s="13">
        <v>68545</v>
      </c>
      <c r="B908" s="10">
        <f>CHOOSE(CONTROL!$C$42, 65.1787, 65.1787) * CHOOSE(CONTROL!$C$21, $C$9, 100%, $E$9)</f>
        <v>65.178700000000006</v>
      </c>
      <c r="C908" s="10">
        <f>CHOOSE(CONTROL!$C$42, 65.1866, 65.1866) * CHOOSE(CONTROL!$C$21, $C$9, 100%, $E$9)</f>
        <v>65.186599999999999</v>
      </c>
      <c r="D908" s="10">
        <f>CHOOSE(CONTROL!$C$42, 65.379, 65.379) * CHOOSE(CONTROL!$C$21, $C$9, 100%, $E$9)</f>
        <v>65.379000000000005</v>
      </c>
      <c r="E908" s="10">
        <f>CHOOSE(CONTROL!$C$42, 65.4101, 65.4101) * CHOOSE(CONTROL!$C$21, $C$9, 100%, $E$9)</f>
        <v>65.4101</v>
      </c>
      <c r="F908" s="10">
        <f>CHOOSE(CONTROL!$C$42, 65.1457, 65.1457)*CHOOSE(CONTROL!$C$21, $C$9, 100%, $E$9)</f>
        <v>65.145700000000005</v>
      </c>
      <c r="G908" s="10">
        <f>CHOOSE(CONTROL!$C$42, 65.1631, 65.1631)*CHOOSE(CONTROL!$C$21, $C$9, 100%, $E$9)</f>
        <v>65.1631</v>
      </c>
      <c r="H908" s="10">
        <f>CHOOSE(CONTROL!$C$42, 65.3988, 65.3988) * CHOOSE(CONTROL!$C$21, $C$9, 100%, $E$9)</f>
        <v>65.398799999999994</v>
      </c>
      <c r="I908" s="10">
        <f>CHOOSE(CONTROL!$C$42, 65.1452, 65.1452)* CHOOSE(CONTROL!$C$21, $C$9, 100%, $E$9)</f>
        <v>65.145200000000003</v>
      </c>
      <c r="J908" s="10">
        <f>CHOOSE(CONTROL!$C$42, 65.1387, 65.1387)* CHOOSE(CONTROL!$C$21, $C$9, 100%, $E$9)</f>
        <v>65.1387</v>
      </c>
      <c r="K908" s="54">
        <f>CHOOSE(CONTROL!$C$42, 65.1413, 65.1413) * CHOOSE(CONTROL!$C$21, $C$9, 100%, $E$9)</f>
        <v>65.141300000000001</v>
      </c>
      <c r="L908" s="10">
        <f>CHOOSE(CONTROL!$C$42, 65.9858, 65.9858) * CHOOSE(CONTROL!$C$21, $C$9, 100%, $E$9)</f>
        <v>65.985799999999998</v>
      </c>
      <c r="M908" s="10">
        <f>CHOOSE(CONTROL!$C$42, 64.4952, 64.4952) * CHOOSE(CONTROL!$C$21, $C$9, 100%, $E$9)</f>
        <v>64.495199999999997</v>
      </c>
      <c r="N908" s="10">
        <f>CHOOSE(CONTROL!$C$42, 64.5123, 64.5123) * CHOOSE(CONTROL!$C$21, $C$9, 100%, $E$9)</f>
        <v>64.512299999999996</v>
      </c>
      <c r="O908" s="10">
        <f>CHOOSE(CONTROL!$C$42, 64.7526, 64.7526) * CHOOSE(CONTROL!$C$21, $C$9, 100%, $E$9)</f>
        <v>64.752600000000001</v>
      </c>
      <c r="P908" s="10">
        <f>CHOOSE(CONTROL!$C$42, 64.5017, 64.5017) * CHOOSE(CONTROL!$C$21, $C$9, 100%, $E$9)</f>
        <v>64.5017</v>
      </c>
      <c r="Q908" s="10">
        <f>CHOOSE(CONTROL!$C$42, 65.3479, 65.3479) * CHOOSE(CONTROL!$C$21, $C$9, 100%, $E$9)</f>
        <v>65.347899999999996</v>
      </c>
      <c r="R908" s="10">
        <f>CHOOSE(CONTROL!$C$42, 66.0983, 66.0983) * CHOOSE(CONTROL!$C$21, $C$9, 100%, $E$9)</f>
        <v>66.098299999999995</v>
      </c>
      <c r="S908" s="10">
        <f>CHOOSE(CONTROL!$C$42, 63.2907, 63.2907) * CHOOSE(CONTROL!$C$21, $C$9, 100%, $E$9)</f>
        <v>63.290700000000001</v>
      </c>
      <c r="T908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908" s="58">
        <f>(1000*CHOOSE(CONTROL!$C$42, 695, 695)*CHOOSE(CONTROL!$C$42, 0.5599, 0.5599)*CHOOSE(CONTROL!$C$42, 31, 31))/1000000</f>
        <v>12.063045499999998</v>
      </c>
      <c r="V908" s="58">
        <f>(1000*CHOOSE(CONTROL!$C$42, 500, 500)*CHOOSE(CONTROL!$C$42, 0.275, 0.275)*CHOOSE(CONTROL!$C$42, 31, 31))/1000000</f>
        <v>4.2625000000000002</v>
      </c>
      <c r="W908" s="58">
        <f>(1000*CHOOSE(CONTROL!$C$42, 0.1146, 0.1146)*CHOOSE(CONTROL!$C$42, 121.5, 121.5)*CHOOSE(CONTROL!$C$42, 31, 31))/1000000</f>
        <v>0.43164089999999994</v>
      </c>
      <c r="X908" s="58">
        <f>(31*0.1790888*245000/1000000)+(31*0.2374*100000/1000000)</f>
        <v>2.0961194359999999</v>
      </c>
      <c r="Y908" s="58"/>
      <c r="Z908" s="10"/>
      <c r="AA908" s="57"/>
      <c r="AB908" s="51">
        <f>(B908*194.205+C908*267.466+D908*133.845+E908*53.484+F908*40+G908*185+H908*0+I908*100+J908*300)/(194.205+267.466+133.845+53.484+0+40+185+100+300)</f>
        <v>65.195766195054958</v>
      </c>
      <c r="AC908" s="27">
        <f>(M908*'RAP TEMPLATE-GAS AVAILABILITY'!O907+N908*'RAP TEMPLATE-GAS AVAILABILITY'!P907+O908*'RAP TEMPLATE-GAS AVAILABILITY'!Q907+P908*'RAP TEMPLATE-GAS AVAILABILITY'!R907)/('RAP TEMPLATE-GAS AVAILABILITY'!O907+'RAP TEMPLATE-GAS AVAILABILITY'!P907+'RAP TEMPLATE-GAS AVAILABILITY'!Q907+'RAP TEMPLATE-GAS AVAILABILITY'!R907)</f>
        <v>64.61378273381294</v>
      </c>
    </row>
    <row r="909" spans="1:29" ht="15.75" x14ac:dyDescent="0.25">
      <c r="A909" s="13">
        <v>68575</v>
      </c>
      <c r="B909" s="10">
        <f>CHOOSE(CONTROL!$C$42, 61.0406, 61.0406) * CHOOSE(CONTROL!$C$21, $C$9, 100%, $E$9)</f>
        <v>61.040599999999998</v>
      </c>
      <c r="C909" s="10">
        <f>CHOOSE(CONTROL!$C$42, 61.0485, 61.0485) * CHOOSE(CONTROL!$C$21, $C$9, 100%, $E$9)</f>
        <v>61.048499999999997</v>
      </c>
      <c r="D909" s="10">
        <f>CHOOSE(CONTROL!$C$42, 61.2409, 61.2409) * CHOOSE(CONTROL!$C$21, $C$9, 100%, $E$9)</f>
        <v>61.240900000000003</v>
      </c>
      <c r="E909" s="10">
        <f>CHOOSE(CONTROL!$C$42, 61.2721, 61.2721) * CHOOSE(CONTROL!$C$21, $C$9, 100%, $E$9)</f>
        <v>61.272100000000002</v>
      </c>
      <c r="F909" s="10">
        <f>CHOOSE(CONTROL!$C$42, 61.0075, 61.0075)*CHOOSE(CONTROL!$C$21, $C$9, 100%, $E$9)</f>
        <v>61.0075</v>
      </c>
      <c r="G909" s="10">
        <f>CHOOSE(CONTROL!$C$42, 61.0248, 61.0248)*CHOOSE(CONTROL!$C$21, $C$9, 100%, $E$9)</f>
        <v>61.024799999999999</v>
      </c>
      <c r="H909" s="10">
        <f>CHOOSE(CONTROL!$C$42, 61.2607, 61.2607) * CHOOSE(CONTROL!$C$21, $C$9, 100%, $E$9)</f>
        <v>61.2607</v>
      </c>
      <c r="I909" s="10">
        <f>CHOOSE(CONTROL!$C$42, 61.0071, 61.0071)* CHOOSE(CONTROL!$C$21, $C$9, 100%, $E$9)</f>
        <v>61.007100000000001</v>
      </c>
      <c r="J909" s="10">
        <f>CHOOSE(CONTROL!$C$42, 61.0005, 61.0005)* CHOOSE(CONTROL!$C$21, $C$9, 100%, $E$9)</f>
        <v>61.000500000000002</v>
      </c>
      <c r="K909" s="54">
        <f>CHOOSE(CONTROL!$C$42, 61.0032, 61.0032) * CHOOSE(CONTROL!$C$21, $C$9, 100%, $E$9)</f>
        <v>61.0032</v>
      </c>
      <c r="L909" s="10">
        <f>CHOOSE(CONTROL!$C$42, 61.8477, 61.8477) * CHOOSE(CONTROL!$C$21, $C$9, 100%, $E$9)</f>
        <v>61.847700000000003</v>
      </c>
      <c r="M909" s="10">
        <f>CHOOSE(CONTROL!$C$42, 60.3987, 60.3987) * CHOOSE(CONTROL!$C$21, $C$9, 100%, $E$9)</f>
        <v>60.398699999999998</v>
      </c>
      <c r="N909" s="10">
        <f>CHOOSE(CONTROL!$C$42, 60.4158, 60.4158) * CHOOSE(CONTROL!$C$21, $C$9, 100%, $E$9)</f>
        <v>60.415799999999997</v>
      </c>
      <c r="O909" s="10">
        <f>CHOOSE(CONTROL!$C$42, 60.6563, 60.6563) * CHOOSE(CONTROL!$C$21, $C$9, 100%, $E$9)</f>
        <v>60.656300000000002</v>
      </c>
      <c r="P909" s="10">
        <f>CHOOSE(CONTROL!$C$42, 60.4053, 60.4053) * CHOOSE(CONTROL!$C$21, $C$9, 100%, $E$9)</f>
        <v>60.405299999999997</v>
      </c>
      <c r="Q909" s="10">
        <f>CHOOSE(CONTROL!$C$42, 61.2516, 61.2516) * CHOOSE(CONTROL!$C$21, $C$9, 100%, $E$9)</f>
        <v>61.251600000000003</v>
      </c>
      <c r="R909" s="10">
        <f>CHOOSE(CONTROL!$C$42, 61.9917, 61.9917) * CHOOSE(CONTROL!$C$21, $C$9, 100%, $E$9)</f>
        <v>61.991700000000002</v>
      </c>
      <c r="S909" s="10">
        <f>CHOOSE(CONTROL!$C$42, 59.2722, 59.2722) * CHOOSE(CONTROL!$C$21, $C$9, 100%, $E$9)</f>
        <v>59.272199999999998</v>
      </c>
      <c r="T909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909" s="58">
        <f>(1000*CHOOSE(CONTROL!$C$42, 695, 695)*CHOOSE(CONTROL!$C$42, 0.5599, 0.5599)*CHOOSE(CONTROL!$C$42, 30, 30))/1000000</f>
        <v>11.673914999999997</v>
      </c>
      <c r="V909" s="58">
        <f>(1000*CHOOSE(CONTROL!$C$42, 500, 500)*CHOOSE(CONTROL!$C$42, 0.275, 0.275)*CHOOSE(CONTROL!$C$42, 30, 30))/1000000</f>
        <v>4.125</v>
      </c>
      <c r="W909" s="58">
        <f>(1000*CHOOSE(CONTROL!$C$42, 0.1146, 0.1146)*CHOOSE(CONTROL!$C$42, 121.5, 121.5)*CHOOSE(CONTROL!$C$42, 30, 30))/1000000</f>
        <v>0.417717</v>
      </c>
      <c r="X909" s="58">
        <f>(30*0.1790888*245000/1000000)+(30*0.2374*100000/1000000)</f>
        <v>2.0285026799999999</v>
      </c>
      <c r="Y909" s="58"/>
      <c r="Z909" s="10"/>
      <c r="AA909" s="57"/>
      <c r="AB909" s="51">
        <f>(B909*194.205+C909*267.466+D909*133.845+E909*53.484+F909*40+G909*185+H909*0+I909*100+J909*300)/(194.205+267.466+133.845+53.484+0+40+185+100+300)</f>
        <v>61.057614663186818</v>
      </c>
      <c r="AC909" s="27">
        <f>(M909*'RAP TEMPLATE-GAS AVAILABILITY'!O908+N909*'RAP TEMPLATE-GAS AVAILABILITY'!P908+O909*'RAP TEMPLATE-GAS AVAILABILITY'!Q908+P909*'RAP TEMPLATE-GAS AVAILABILITY'!R908)/('RAP TEMPLATE-GAS AVAILABILITY'!O908+'RAP TEMPLATE-GAS AVAILABILITY'!P908+'RAP TEMPLATE-GAS AVAILABILITY'!Q908+'RAP TEMPLATE-GAS AVAILABILITY'!R908)</f>
        <v>60.517387769784172</v>
      </c>
    </row>
    <row r="910" spans="1:29" ht="15.75" x14ac:dyDescent="0.25">
      <c r="A910" s="13">
        <v>68606</v>
      </c>
      <c r="B910" s="10">
        <f>CHOOSE(CONTROL!$C$42, 59.7995, 59.7995) * CHOOSE(CONTROL!$C$21, $C$9, 100%, $E$9)</f>
        <v>59.799500000000002</v>
      </c>
      <c r="C910" s="10">
        <f>CHOOSE(CONTROL!$C$42, 59.8047, 59.8047) * CHOOSE(CONTROL!$C$21, $C$9, 100%, $E$9)</f>
        <v>59.804699999999997</v>
      </c>
      <c r="D910" s="10">
        <f>CHOOSE(CONTROL!$C$42, 60.0022, 60.0022) * CHOOSE(CONTROL!$C$21, $C$9, 100%, $E$9)</f>
        <v>60.002200000000002</v>
      </c>
      <c r="E910" s="10">
        <f>CHOOSE(CONTROL!$C$42, 60.0309, 60.0309) * CHOOSE(CONTROL!$C$21, $C$9, 100%, $E$9)</f>
        <v>60.030900000000003</v>
      </c>
      <c r="F910" s="10">
        <f>CHOOSE(CONTROL!$C$42, 59.7684, 59.7684)*CHOOSE(CONTROL!$C$21, $C$9, 100%, $E$9)</f>
        <v>59.7684</v>
      </c>
      <c r="G910" s="10">
        <f>CHOOSE(CONTROL!$C$42, 59.7854, 59.7854)*CHOOSE(CONTROL!$C$21, $C$9, 100%, $E$9)</f>
        <v>59.785400000000003</v>
      </c>
      <c r="H910" s="10">
        <f>CHOOSE(CONTROL!$C$42, 60.0214, 60.0214) * CHOOSE(CONTROL!$C$21, $C$9, 100%, $E$9)</f>
        <v>60.0214</v>
      </c>
      <c r="I910" s="10">
        <f>CHOOSE(CONTROL!$C$42, 59.7679, 59.7679)* CHOOSE(CONTROL!$C$21, $C$9, 100%, $E$9)</f>
        <v>59.767899999999997</v>
      </c>
      <c r="J910" s="10">
        <f>CHOOSE(CONTROL!$C$42, 59.7614, 59.7614)* CHOOSE(CONTROL!$C$21, $C$9, 100%, $E$9)</f>
        <v>59.761400000000002</v>
      </c>
      <c r="K910" s="54">
        <f>CHOOSE(CONTROL!$C$42, 59.764, 59.764) * CHOOSE(CONTROL!$C$21, $C$9, 100%, $E$9)</f>
        <v>59.764000000000003</v>
      </c>
      <c r="L910" s="10">
        <f>CHOOSE(CONTROL!$C$42, 60.6084, 60.6084) * CHOOSE(CONTROL!$C$21, $C$9, 100%, $E$9)</f>
        <v>60.608400000000003</v>
      </c>
      <c r="M910" s="10">
        <f>CHOOSE(CONTROL!$C$42, 59.1722, 59.1722) * CHOOSE(CONTROL!$C$21, $C$9, 100%, $E$9)</f>
        <v>59.172199999999997</v>
      </c>
      <c r="N910" s="10">
        <f>CHOOSE(CONTROL!$C$42, 59.189, 59.189) * CHOOSE(CONTROL!$C$21, $C$9, 100%, $E$9)</f>
        <v>59.189</v>
      </c>
      <c r="O910" s="10">
        <f>CHOOSE(CONTROL!$C$42, 59.4295, 59.4295) * CHOOSE(CONTROL!$C$21, $C$9, 100%, $E$9)</f>
        <v>59.429499999999997</v>
      </c>
      <c r="P910" s="10">
        <f>CHOOSE(CONTROL!$C$42, 59.1786, 59.1786) * CHOOSE(CONTROL!$C$21, $C$9, 100%, $E$9)</f>
        <v>59.178600000000003</v>
      </c>
      <c r="Q910" s="10">
        <f>CHOOSE(CONTROL!$C$42, 60.0248, 60.0248) * CHOOSE(CONTROL!$C$21, $C$9, 100%, $E$9)</f>
        <v>60.024799999999999</v>
      </c>
      <c r="R910" s="10">
        <f>CHOOSE(CONTROL!$C$42, 60.7619, 60.7619) * CHOOSE(CONTROL!$C$21, $C$9, 100%, $E$9)</f>
        <v>60.761899999999997</v>
      </c>
      <c r="S910" s="10">
        <f>CHOOSE(CONTROL!$C$42, 58.0688, 58.0688) * CHOOSE(CONTROL!$C$21, $C$9, 100%, $E$9)</f>
        <v>58.068800000000003</v>
      </c>
      <c r="T910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910" s="58">
        <f>(1000*CHOOSE(CONTROL!$C$42, 695, 695)*CHOOSE(CONTROL!$C$42, 0.5599, 0.5599)*CHOOSE(CONTROL!$C$42, 31, 31))/1000000</f>
        <v>12.063045499999998</v>
      </c>
      <c r="V910" s="58">
        <f>(1000*CHOOSE(CONTROL!$C$42, 500, 500)*CHOOSE(CONTROL!$C$42, 0.275, 0.275)*CHOOSE(CONTROL!$C$42, 31, 31))/1000000</f>
        <v>4.2625000000000002</v>
      </c>
      <c r="W910" s="58">
        <f>(1000*CHOOSE(CONTROL!$C$42, 0.1146, 0.1146)*CHOOSE(CONTROL!$C$42, 121.5, 121.5)*CHOOSE(CONTROL!$C$42, 31, 31))/1000000</f>
        <v>0.43164089999999994</v>
      </c>
      <c r="X910" s="58">
        <f>(31*0.1790888*245000/1000000)+(31*0.2374*100000/1000000)</f>
        <v>2.0961194359999999</v>
      </c>
      <c r="Y910" s="58"/>
      <c r="Z910" s="10"/>
      <c r="AA910" s="57"/>
      <c r="AB910" s="51">
        <f>(B910*131.881+C910*277.167+D910*79.08+E910*125.872+F910*40+G910*185+H910*0+I910*100+J910*300)/(131.881+277.167+79.08+125.872+0+40+185+100+300)</f>
        <v>59.822224023567394</v>
      </c>
      <c r="AC910" s="27">
        <f>(M910*'RAP TEMPLATE-GAS AVAILABILITY'!O909+N910*'RAP TEMPLATE-GAS AVAILABILITY'!P909+O910*'RAP TEMPLATE-GAS AVAILABILITY'!Q909+P910*'RAP TEMPLATE-GAS AVAILABILITY'!R909)/('RAP TEMPLATE-GAS AVAILABILITY'!O909+'RAP TEMPLATE-GAS AVAILABILITY'!P909+'RAP TEMPLATE-GAS AVAILABILITY'!Q909+'RAP TEMPLATE-GAS AVAILABILITY'!R909)</f>
        <v>59.290705755395685</v>
      </c>
    </row>
    <row r="911" spans="1:29" ht="15.75" x14ac:dyDescent="0.25">
      <c r="A911" s="13">
        <v>68636</v>
      </c>
      <c r="B911" s="10">
        <f>CHOOSE(CONTROL!$C$42, 61.3744, 61.3744) * CHOOSE(CONTROL!$C$21, $C$9, 100%, $E$9)</f>
        <v>61.374400000000001</v>
      </c>
      <c r="C911" s="10">
        <f>CHOOSE(CONTROL!$C$42, 61.3794, 61.3794) * CHOOSE(CONTROL!$C$21, $C$9, 100%, $E$9)</f>
        <v>61.379399999999997</v>
      </c>
      <c r="D911" s="10">
        <f>CHOOSE(CONTROL!$C$42, 61.409, 61.409) * CHOOSE(CONTROL!$C$21, $C$9, 100%, $E$9)</f>
        <v>61.408999999999999</v>
      </c>
      <c r="E911" s="10">
        <f>CHOOSE(CONTROL!$C$42, 61.4428, 61.4428) * CHOOSE(CONTROL!$C$21, $C$9, 100%, $E$9)</f>
        <v>61.442799999999998</v>
      </c>
      <c r="F911" s="10">
        <f>CHOOSE(CONTROL!$C$42, 61.3412, 61.3412)*CHOOSE(CONTROL!$C$21, $C$9, 100%, $E$9)</f>
        <v>61.341200000000001</v>
      </c>
      <c r="G911" s="10">
        <f>CHOOSE(CONTROL!$C$42, 61.3584, 61.3584)*CHOOSE(CONTROL!$C$21, $C$9, 100%, $E$9)</f>
        <v>61.358400000000003</v>
      </c>
      <c r="H911" s="10">
        <f>CHOOSE(CONTROL!$C$42, 61.432, 61.432) * CHOOSE(CONTROL!$C$21, $C$9, 100%, $E$9)</f>
        <v>61.432000000000002</v>
      </c>
      <c r="I911" s="10">
        <f>CHOOSE(CONTROL!$C$42, 61.338, 61.338)* CHOOSE(CONTROL!$C$21, $C$9, 100%, $E$9)</f>
        <v>61.338000000000001</v>
      </c>
      <c r="J911" s="10">
        <f>CHOOSE(CONTROL!$C$42, 61.3342, 61.3342)* CHOOSE(CONTROL!$C$21, $C$9, 100%, $E$9)</f>
        <v>61.334200000000003</v>
      </c>
      <c r="K911" s="54">
        <f>CHOOSE(CONTROL!$C$42, 61.3341, 61.3341) * CHOOSE(CONTROL!$C$21, $C$9, 100%, $E$9)</f>
        <v>61.334099999999999</v>
      </c>
      <c r="L911" s="10">
        <f>CHOOSE(CONTROL!$C$42, 62.019, 62.019) * CHOOSE(CONTROL!$C$21, $C$9, 100%, $E$9)</f>
        <v>62.018999999999998</v>
      </c>
      <c r="M911" s="10">
        <f>CHOOSE(CONTROL!$C$42, 60.7291, 60.7291) * CHOOSE(CONTROL!$C$21, $C$9, 100%, $E$9)</f>
        <v>60.729100000000003</v>
      </c>
      <c r="N911" s="10">
        <f>CHOOSE(CONTROL!$C$42, 60.746, 60.746) * CHOOSE(CONTROL!$C$21, $C$9, 100%, $E$9)</f>
        <v>60.746000000000002</v>
      </c>
      <c r="O911" s="10">
        <f>CHOOSE(CONTROL!$C$42, 60.8258, 60.8258) * CHOOSE(CONTROL!$C$21, $C$9, 100%, $E$9)</f>
        <v>60.825800000000001</v>
      </c>
      <c r="P911" s="10">
        <f>CHOOSE(CONTROL!$C$42, 60.7329, 60.7329) * CHOOSE(CONTROL!$C$21, $C$9, 100%, $E$9)</f>
        <v>60.732900000000001</v>
      </c>
      <c r="Q911" s="10">
        <f>CHOOSE(CONTROL!$C$42, 61.4211, 61.4211) * CHOOSE(CONTROL!$C$21, $C$9, 100%, $E$9)</f>
        <v>61.421100000000003</v>
      </c>
      <c r="R911" s="10">
        <f>CHOOSE(CONTROL!$C$42, 62.1617, 62.1617) * CHOOSE(CONTROL!$C$21, $C$9, 100%, $E$9)</f>
        <v>62.161700000000003</v>
      </c>
      <c r="S911" s="10">
        <f>CHOOSE(CONTROL!$C$42, 59.5986, 59.5986) * CHOOSE(CONTROL!$C$21, $C$9, 100%, $E$9)</f>
        <v>59.598599999999998</v>
      </c>
      <c r="T911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911" s="58">
        <f>(1000*CHOOSE(CONTROL!$C$42, 695, 695)*CHOOSE(CONTROL!$C$42, 0.5599, 0.5599)*CHOOSE(CONTROL!$C$42, 30, 30))/1000000</f>
        <v>11.673914999999997</v>
      </c>
      <c r="V911" s="58">
        <f>(1000*CHOOSE(CONTROL!$C$42, 500, 500)*CHOOSE(CONTROL!$C$42, 0.275, 0.275)*CHOOSE(CONTROL!$C$42, 30, 30))/1000000</f>
        <v>4.125</v>
      </c>
      <c r="W911" s="58">
        <f>(1000*CHOOSE(CONTROL!$C$42, 0.1146, 0.1146)*CHOOSE(CONTROL!$C$42, 121.5, 121.5)*CHOOSE(CONTROL!$C$42, 30, 30))/1000000</f>
        <v>0.417717</v>
      </c>
      <c r="X911" s="58">
        <f>(30*0.1790888*100000/1000000)+(30*0.2374*100000/1000000)</f>
        <v>1.2494664</v>
      </c>
      <c r="Y911" s="58"/>
      <c r="Z911" s="10"/>
      <c r="AA911" s="57"/>
      <c r="AB911" s="51">
        <f>(B911*122.58+C911*297.941+D911*89.177+E911*40.302+F911*40+G911*160+H911*0+I911*100+J911*300)/(122.58+297.941+89.177+40.302+0+40+160+100+300)</f>
        <v>61.363742509565228</v>
      </c>
      <c r="AC911" s="27">
        <f>(M911*'RAP TEMPLATE-GAS AVAILABILITY'!O910+N911*'RAP TEMPLATE-GAS AVAILABILITY'!P910+O911*'RAP TEMPLATE-GAS AVAILABILITY'!Q910+P911*'RAP TEMPLATE-GAS AVAILABILITY'!R910)/('RAP TEMPLATE-GAS AVAILABILITY'!O910+'RAP TEMPLATE-GAS AVAILABILITY'!P910+'RAP TEMPLATE-GAS AVAILABILITY'!Q910+'RAP TEMPLATE-GAS AVAILABILITY'!R910)</f>
        <v>60.774447482014388</v>
      </c>
    </row>
    <row r="912" spans="1:29" ht="15.75" x14ac:dyDescent="0.25">
      <c r="A912" s="13">
        <v>68667</v>
      </c>
      <c r="B912" s="10">
        <f>CHOOSE(CONTROL!$C$42, 65.5587, 65.5587) * CHOOSE(CONTROL!$C$21, $C$9, 100%, $E$9)</f>
        <v>65.558700000000002</v>
      </c>
      <c r="C912" s="10">
        <f>CHOOSE(CONTROL!$C$42, 65.5637, 65.5637) * CHOOSE(CONTROL!$C$21, $C$9, 100%, $E$9)</f>
        <v>65.563699999999997</v>
      </c>
      <c r="D912" s="10">
        <f>CHOOSE(CONTROL!$C$42, 65.5933, 65.5933) * CHOOSE(CONTROL!$C$21, $C$9, 100%, $E$9)</f>
        <v>65.593299999999999</v>
      </c>
      <c r="E912" s="10">
        <f>CHOOSE(CONTROL!$C$42, 65.6271, 65.6271) * CHOOSE(CONTROL!$C$21, $C$9, 100%, $E$9)</f>
        <v>65.627099999999999</v>
      </c>
      <c r="F912" s="10">
        <f>CHOOSE(CONTROL!$C$42, 65.5269, 65.5269)*CHOOSE(CONTROL!$C$21, $C$9, 100%, $E$9)</f>
        <v>65.526899999999998</v>
      </c>
      <c r="G912" s="10">
        <f>CHOOSE(CONTROL!$C$42, 65.5444, 65.5444)*CHOOSE(CONTROL!$C$21, $C$9, 100%, $E$9)</f>
        <v>65.544399999999996</v>
      </c>
      <c r="H912" s="10">
        <f>CHOOSE(CONTROL!$C$42, 65.6163, 65.6163) * CHOOSE(CONTROL!$C$21, $C$9, 100%, $E$9)</f>
        <v>65.616299999999995</v>
      </c>
      <c r="I912" s="10">
        <f>CHOOSE(CONTROL!$C$42, 65.5223, 65.5223)* CHOOSE(CONTROL!$C$21, $C$9, 100%, $E$9)</f>
        <v>65.522300000000001</v>
      </c>
      <c r="J912" s="10">
        <f>CHOOSE(CONTROL!$C$42, 65.5199, 65.5199)* CHOOSE(CONTROL!$C$21, $C$9, 100%, $E$9)</f>
        <v>65.519900000000007</v>
      </c>
      <c r="K912" s="54">
        <f>CHOOSE(CONTROL!$C$42, 65.5184, 65.5184) * CHOOSE(CONTROL!$C$21, $C$9, 100%, $E$9)</f>
        <v>65.5184</v>
      </c>
      <c r="L912" s="10">
        <f>CHOOSE(CONTROL!$C$42, 66.2033, 66.2033) * CHOOSE(CONTROL!$C$21, $C$9, 100%, $E$9)</f>
        <v>66.203299999999999</v>
      </c>
      <c r="M912" s="10">
        <f>CHOOSE(CONTROL!$C$42, 64.8725, 64.8725) * CHOOSE(CONTROL!$C$21, $C$9, 100%, $E$9)</f>
        <v>64.872500000000002</v>
      </c>
      <c r="N912" s="10">
        <f>CHOOSE(CONTROL!$C$42, 64.8899, 64.8899) * CHOOSE(CONTROL!$C$21, $C$9, 100%, $E$9)</f>
        <v>64.889899999999997</v>
      </c>
      <c r="O912" s="10">
        <f>CHOOSE(CONTROL!$C$42, 64.9679, 64.9679) * CHOOSE(CONTROL!$C$21, $C$9, 100%, $E$9)</f>
        <v>64.9679</v>
      </c>
      <c r="P912" s="10">
        <f>CHOOSE(CONTROL!$C$42, 64.8749, 64.8749) * CHOOSE(CONTROL!$C$21, $C$9, 100%, $E$9)</f>
        <v>64.874899999999997</v>
      </c>
      <c r="Q912" s="10">
        <f>CHOOSE(CONTROL!$C$42, 65.5632, 65.5632) * CHOOSE(CONTROL!$C$21, $C$9, 100%, $E$9)</f>
        <v>65.563199999999995</v>
      </c>
      <c r="R912" s="10">
        <f>CHOOSE(CONTROL!$C$42, 66.3141, 66.3141) * CHOOSE(CONTROL!$C$21, $C$9, 100%, $E$9)</f>
        <v>66.314099999999996</v>
      </c>
      <c r="S912" s="10">
        <f>CHOOSE(CONTROL!$C$42, 63.6619, 63.6619) * CHOOSE(CONTROL!$C$21, $C$9, 100%, $E$9)</f>
        <v>63.661900000000003</v>
      </c>
      <c r="T912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912" s="58">
        <f>(1000*CHOOSE(CONTROL!$C$42, 695, 695)*CHOOSE(CONTROL!$C$42, 0.5599, 0.5599)*CHOOSE(CONTROL!$C$42, 31, 31))/1000000</f>
        <v>12.063045499999998</v>
      </c>
      <c r="V912" s="58">
        <f>(1000*CHOOSE(CONTROL!$C$42, 500, 500)*CHOOSE(CONTROL!$C$42, 0.275, 0.275)*CHOOSE(CONTROL!$C$42, 31, 31))/1000000</f>
        <v>4.2625000000000002</v>
      </c>
      <c r="W912" s="58">
        <f>(1000*CHOOSE(CONTROL!$C$42, 0.1146, 0.1146)*CHOOSE(CONTROL!$C$42, 121.5, 121.5)*CHOOSE(CONTROL!$C$42, 31, 31))/1000000</f>
        <v>0.43164089999999994</v>
      </c>
      <c r="X912" s="58">
        <f>(31*0.1790888*100000/1000000)+(31*0.2374*100000/1000000)</f>
        <v>1.2911152800000001</v>
      </c>
      <c r="Y912" s="58"/>
      <c r="Z912" s="10"/>
      <c r="AA912" s="57"/>
      <c r="AB912" s="51">
        <f>(B912*122.58+C912*297.941+D912*89.177+E912*40.302+F912*40+G912*160+H912*0+I912*100+J912*300)/(122.58+297.941+89.177+40.302+0+40+160+100+300)</f>
        <v>65.548692944347835</v>
      </c>
      <c r="AC912" s="27">
        <f>(M912*'RAP TEMPLATE-GAS AVAILABILITY'!O911+N912*'RAP TEMPLATE-GAS AVAILABILITY'!P911+O912*'RAP TEMPLATE-GAS AVAILABILITY'!Q911+P912*'RAP TEMPLATE-GAS AVAILABILITY'!R911)/('RAP TEMPLATE-GAS AVAILABILITY'!O911+'RAP TEMPLATE-GAS AVAILABILITY'!P911+'RAP TEMPLATE-GAS AVAILABILITY'!Q911+'RAP TEMPLATE-GAS AVAILABILITY'!R911)</f>
        <v>64.917085611510785</v>
      </c>
    </row>
    <row r="913" spans="1:29" ht="15.75" x14ac:dyDescent="0.25">
      <c r="A913" s="13">
        <v>68698</v>
      </c>
      <c r="B913" s="10">
        <f>CHOOSE(CONTROL!$C$42, 70.9302, 70.9302) * CHOOSE(CONTROL!$C$21, $C$9, 100%, $E$9)</f>
        <v>70.930199999999999</v>
      </c>
      <c r="C913" s="10">
        <f>CHOOSE(CONTROL!$C$42, 70.9351, 70.9351) * CHOOSE(CONTROL!$C$21, $C$9, 100%, $E$9)</f>
        <v>70.935100000000006</v>
      </c>
      <c r="D913" s="10">
        <f>CHOOSE(CONTROL!$C$42, 70.9853, 70.9853) * CHOOSE(CONTROL!$C$21, $C$9, 100%, $E$9)</f>
        <v>70.985299999999995</v>
      </c>
      <c r="E913" s="10">
        <f>CHOOSE(CONTROL!$C$42, 71.0191, 71.0191) * CHOOSE(CONTROL!$C$21, $C$9, 100%, $E$9)</f>
        <v>71.019099999999995</v>
      </c>
      <c r="F913" s="10">
        <f>CHOOSE(CONTROL!$C$42, 70.8955, 70.8955)*CHOOSE(CONTROL!$C$21, $C$9, 100%, $E$9)</f>
        <v>70.895499999999998</v>
      </c>
      <c r="G913" s="10">
        <f>CHOOSE(CONTROL!$C$42, 70.9131, 70.9131)*CHOOSE(CONTROL!$C$21, $C$9, 100%, $E$9)</f>
        <v>70.9131</v>
      </c>
      <c r="H913" s="10">
        <f>CHOOSE(CONTROL!$C$42, 71.0083, 71.0083) * CHOOSE(CONTROL!$C$21, $C$9, 100%, $E$9)</f>
        <v>71.008300000000006</v>
      </c>
      <c r="I913" s="10">
        <f>CHOOSE(CONTROL!$C$42, 70.9041, 70.9041)* CHOOSE(CONTROL!$C$21, $C$9, 100%, $E$9)</f>
        <v>70.9041</v>
      </c>
      <c r="J913" s="10">
        <f>CHOOSE(CONTROL!$C$42, 70.8885, 70.8885)* CHOOSE(CONTROL!$C$21, $C$9, 100%, $E$9)</f>
        <v>70.888499999999993</v>
      </c>
      <c r="K913" s="54">
        <f>CHOOSE(CONTROL!$C$42, 70.9002, 70.9002) * CHOOSE(CONTROL!$C$21, $C$9, 100%, $E$9)</f>
        <v>70.900199999999998</v>
      </c>
      <c r="L913" s="10">
        <f>CHOOSE(CONTROL!$C$42, 71.5953, 71.5953) * CHOOSE(CONTROL!$C$21, $C$9, 100%, $E$9)</f>
        <v>71.595299999999995</v>
      </c>
      <c r="M913" s="10">
        <f>CHOOSE(CONTROL!$C$42, 70.187, 70.187) * CHOOSE(CONTROL!$C$21, $C$9, 100%, $E$9)</f>
        <v>70.186999999999998</v>
      </c>
      <c r="N913" s="10">
        <f>CHOOSE(CONTROL!$C$42, 70.2043, 70.2043) * CHOOSE(CONTROL!$C$21, $C$9, 100%, $E$9)</f>
        <v>70.204300000000003</v>
      </c>
      <c r="O913" s="10">
        <f>CHOOSE(CONTROL!$C$42, 70.3055, 70.3055) * CHOOSE(CONTROL!$C$21, $C$9, 100%, $E$9)</f>
        <v>70.305499999999995</v>
      </c>
      <c r="P913" s="10">
        <f>CHOOSE(CONTROL!$C$42, 70.2024, 70.2024) * CHOOSE(CONTROL!$C$21, $C$9, 100%, $E$9)</f>
        <v>70.202399999999997</v>
      </c>
      <c r="Q913" s="10">
        <f>CHOOSE(CONTROL!$C$42, 70.9008, 70.9008) * CHOOSE(CONTROL!$C$21, $C$9, 100%, $E$9)</f>
        <v>70.900800000000004</v>
      </c>
      <c r="R913" s="10">
        <f>CHOOSE(CONTROL!$C$42, 71.6651, 71.6651) * CHOOSE(CONTROL!$C$21, $C$9, 100%, $E$9)</f>
        <v>71.665099999999995</v>
      </c>
      <c r="S913" s="10">
        <f>CHOOSE(CONTROL!$C$42, 68.8781, 68.8781) * CHOOSE(CONTROL!$C$21, $C$9, 100%, $E$9)</f>
        <v>68.878100000000003</v>
      </c>
      <c r="T913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913" s="58">
        <f>(1000*CHOOSE(CONTROL!$C$42, 695, 695)*CHOOSE(CONTROL!$C$42, 0.5599, 0.5599)*CHOOSE(CONTROL!$C$42, 31, 31))/1000000</f>
        <v>12.063045499999998</v>
      </c>
      <c r="V913" s="58">
        <f>(1000*CHOOSE(CONTROL!$C$42, 500, 500)*CHOOSE(CONTROL!$C$42, 0.275, 0.275)*CHOOSE(CONTROL!$C$42, 31, 31))/1000000</f>
        <v>4.2625000000000002</v>
      </c>
      <c r="W913" s="58">
        <f>(1000*CHOOSE(CONTROL!$C$42, 0.1146, 0.1146)*CHOOSE(CONTROL!$C$42, 121.5, 121.5)*CHOOSE(CONTROL!$C$42, 31, 31))/1000000</f>
        <v>0.43164089999999994</v>
      </c>
      <c r="X913" s="58">
        <f>(31*0.1790888*100000/1000000)+(31*0.2374*100000/1000000)</f>
        <v>1.2911152800000001</v>
      </c>
      <c r="Y913" s="58"/>
      <c r="Z913" s="10"/>
      <c r="AA913" s="57"/>
      <c r="AB913" s="51">
        <f>(B913*122.58+C913*297.941+D913*89.177+E913*40.302+F913*40+G913*160+H913*0+I913*100+J913*300)/(122.58+297.941+89.177+40.302+0+40+160+100+300)</f>
        <v>70.922123835999997</v>
      </c>
      <c r="AC913" s="27">
        <f>(M913*'RAP TEMPLATE-GAS AVAILABILITY'!O912+N913*'RAP TEMPLATE-GAS AVAILABILITY'!P912+O913*'RAP TEMPLATE-GAS AVAILABILITY'!Q912+P913*'RAP TEMPLATE-GAS AVAILABILITY'!R912)/('RAP TEMPLATE-GAS AVAILABILITY'!O912+'RAP TEMPLATE-GAS AVAILABILITY'!P912+'RAP TEMPLATE-GAS AVAILABILITY'!Q912+'RAP TEMPLATE-GAS AVAILABILITY'!R912)</f>
        <v>70.243920143884878</v>
      </c>
    </row>
    <row r="914" spans="1:29" ht="15.75" x14ac:dyDescent="0.25">
      <c r="A914" s="13">
        <v>68727</v>
      </c>
      <c r="B914" s="10">
        <f>CHOOSE(CONTROL!$C$42, 72.1928, 72.1928) * CHOOSE(CONTROL!$C$21, $C$9, 100%, $E$9)</f>
        <v>72.192800000000005</v>
      </c>
      <c r="C914" s="10">
        <f>CHOOSE(CONTROL!$C$42, 72.1977, 72.1977) * CHOOSE(CONTROL!$C$21, $C$9, 100%, $E$9)</f>
        <v>72.197699999999998</v>
      </c>
      <c r="D914" s="10">
        <f>CHOOSE(CONTROL!$C$42, 72.2582, 72.2582) * CHOOSE(CONTROL!$C$21, $C$9, 100%, $E$9)</f>
        <v>72.258200000000002</v>
      </c>
      <c r="E914" s="10">
        <f>CHOOSE(CONTROL!$C$42, 72.292, 72.292) * CHOOSE(CONTROL!$C$21, $C$9, 100%, $E$9)</f>
        <v>72.292000000000002</v>
      </c>
      <c r="F914" s="10">
        <f>CHOOSE(CONTROL!$C$42, 72.186, 72.186)*CHOOSE(CONTROL!$C$21, $C$9, 100%, $E$9)</f>
        <v>72.186000000000007</v>
      </c>
      <c r="G914" s="10">
        <f>CHOOSE(CONTROL!$C$42, 72.2033, 72.2033)*CHOOSE(CONTROL!$C$21, $C$9, 100%, $E$9)</f>
        <v>72.203299999999999</v>
      </c>
      <c r="H914" s="10">
        <f>CHOOSE(CONTROL!$C$42, 72.2812, 72.2812) * CHOOSE(CONTROL!$C$21, $C$9, 100%, $E$9)</f>
        <v>72.281199999999998</v>
      </c>
      <c r="I914" s="10">
        <f>CHOOSE(CONTROL!$C$42, 72.1795, 72.1795)* CHOOSE(CONTROL!$C$21, $C$9, 100%, $E$9)</f>
        <v>72.179500000000004</v>
      </c>
      <c r="J914" s="10">
        <f>CHOOSE(CONTROL!$C$42, 72.179, 72.179)* CHOOSE(CONTROL!$C$21, $C$9, 100%, $E$9)</f>
        <v>72.179000000000002</v>
      </c>
      <c r="K914" s="54">
        <f>CHOOSE(CONTROL!$C$42, 72.1756, 72.1756) * CHOOSE(CONTROL!$C$21, $C$9, 100%, $E$9)</f>
        <v>72.175600000000003</v>
      </c>
      <c r="L914" s="10">
        <f>CHOOSE(CONTROL!$C$42, 72.8682, 72.8682) * CHOOSE(CONTROL!$C$21, $C$9, 100%, $E$9)</f>
        <v>72.868200000000002</v>
      </c>
      <c r="M914" s="10">
        <f>CHOOSE(CONTROL!$C$42, 71.4644, 71.4644) * CHOOSE(CONTROL!$C$21, $C$9, 100%, $E$9)</f>
        <v>71.464399999999998</v>
      </c>
      <c r="N914" s="10">
        <f>CHOOSE(CONTROL!$C$42, 71.4815, 71.4815) * CHOOSE(CONTROL!$C$21, $C$9, 100%, $E$9)</f>
        <v>71.481499999999997</v>
      </c>
      <c r="O914" s="10">
        <f>CHOOSE(CONTROL!$C$42, 71.5656, 71.5656) * CHOOSE(CONTROL!$C$21, $C$9, 100%, $E$9)</f>
        <v>71.565600000000003</v>
      </c>
      <c r="P914" s="10">
        <f>CHOOSE(CONTROL!$C$42, 71.465, 71.465) * CHOOSE(CONTROL!$C$21, $C$9, 100%, $E$9)</f>
        <v>71.465000000000003</v>
      </c>
      <c r="Q914" s="10">
        <f>CHOOSE(CONTROL!$C$42, 72.1609, 72.1609) * CHOOSE(CONTROL!$C$21, $C$9, 100%, $E$9)</f>
        <v>72.160899999999998</v>
      </c>
      <c r="R914" s="10">
        <f>CHOOSE(CONTROL!$C$42, 72.9283, 72.9283) * CHOOSE(CONTROL!$C$21, $C$9, 100%, $E$9)</f>
        <v>72.928299999999993</v>
      </c>
      <c r="S914" s="10">
        <f>CHOOSE(CONTROL!$C$42, 70.1043, 70.1043) * CHOOSE(CONTROL!$C$21, $C$9, 100%, $E$9)</f>
        <v>70.104299999999995</v>
      </c>
      <c r="T914" s="5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914" s="58">
        <f>(1000*CHOOSE(CONTROL!$C$42, 695, 695)*CHOOSE(CONTROL!$C$42, 0.5599, 0.5599)*CHOOSE(CONTROL!$C$42, 29, 29))/1000000</f>
        <v>11.284784499999999</v>
      </c>
      <c r="V914" s="58">
        <f>(1000*CHOOSE(CONTROL!$C$42, 500, 500)*CHOOSE(CONTROL!$C$42, 0.275, 0.275)*CHOOSE(CONTROL!$C$42, 29, 29))/1000000</f>
        <v>3.9874999999999998</v>
      </c>
      <c r="W914" s="58">
        <f>(1000*CHOOSE(CONTROL!$C$42, 0.1146, 0.1146)*CHOOSE(CONTROL!$C$42, 121.5, 121.5)*CHOOSE(CONTROL!$C$42, 29, 29))/1000000</f>
        <v>0.40379309999999996</v>
      </c>
      <c r="X914" s="58">
        <f>(29*0.1790888*100000/1000000)+(29*0.2374*100000/1000000)</f>
        <v>1.2078175199999999</v>
      </c>
      <c r="Y914" s="58"/>
      <c r="Z914" s="10"/>
      <c r="AA914" s="57"/>
      <c r="AB914" s="51">
        <f>(B914*122.58+C914*297.941+D914*89.177+E914*40.302+F914*40+G914*160+H914*0+I914*100+J914*300)/(122.58+297.941+89.177+40.302+0+40+160+100+300)</f>
        <v>72.199085256608697</v>
      </c>
      <c r="AC914" s="27">
        <f>(M914*'RAP TEMPLATE-GAS AVAILABILITY'!O913+N914*'RAP TEMPLATE-GAS AVAILABILITY'!P913+O914*'RAP TEMPLATE-GAS AVAILABILITY'!Q913+P914*'RAP TEMPLATE-GAS AVAILABILITY'!R913)/('RAP TEMPLATE-GAS AVAILABILITY'!O913+'RAP TEMPLATE-GAS AVAILABILITY'!P913+'RAP TEMPLATE-GAS AVAILABILITY'!Q913+'RAP TEMPLATE-GAS AVAILABILITY'!R913)</f>
        <v>71.511338129496394</v>
      </c>
    </row>
    <row r="915" spans="1:29" ht="15.75" x14ac:dyDescent="0.25">
      <c r="A915" s="13">
        <v>68758</v>
      </c>
      <c r="B915" s="10">
        <f>CHOOSE(CONTROL!$C$42, 70.1432, 70.1432) * CHOOSE(CONTROL!$C$21, $C$9, 100%, $E$9)</f>
        <v>70.143199999999993</v>
      </c>
      <c r="C915" s="10">
        <f>CHOOSE(CONTROL!$C$42, 70.1482, 70.1482) * CHOOSE(CONTROL!$C$21, $C$9, 100%, $E$9)</f>
        <v>70.148200000000003</v>
      </c>
      <c r="D915" s="10">
        <f>CHOOSE(CONTROL!$C$42, 70.2087, 70.2087) * CHOOSE(CONTROL!$C$21, $C$9, 100%, $E$9)</f>
        <v>70.208699999999993</v>
      </c>
      <c r="E915" s="10">
        <f>CHOOSE(CONTROL!$C$42, 70.2425, 70.2425) * CHOOSE(CONTROL!$C$21, $C$9, 100%, $E$9)</f>
        <v>70.242500000000007</v>
      </c>
      <c r="F915" s="10">
        <f>CHOOSE(CONTROL!$C$42, 70.131, 70.131)*CHOOSE(CONTROL!$C$21, $C$9, 100%, $E$9)</f>
        <v>70.131</v>
      </c>
      <c r="G915" s="10">
        <f>CHOOSE(CONTROL!$C$42, 70.1482, 70.1482)*CHOOSE(CONTROL!$C$21, $C$9, 100%, $E$9)</f>
        <v>70.148200000000003</v>
      </c>
      <c r="H915" s="10">
        <f>CHOOSE(CONTROL!$C$42, 70.2317, 70.2317) * CHOOSE(CONTROL!$C$21, $C$9, 100%, $E$9)</f>
        <v>70.231700000000004</v>
      </c>
      <c r="I915" s="10">
        <f>CHOOSE(CONTROL!$C$42, 70.1171, 70.1171)* CHOOSE(CONTROL!$C$21, $C$9, 100%, $E$9)</f>
        <v>70.117099999999994</v>
      </c>
      <c r="J915" s="10">
        <f>CHOOSE(CONTROL!$C$42, 70.124, 70.124)* CHOOSE(CONTROL!$C$21, $C$9, 100%, $E$9)</f>
        <v>70.123999999999995</v>
      </c>
      <c r="K915" s="54">
        <f>CHOOSE(CONTROL!$C$42, 70.1133, 70.1133) * CHOOSE(CONTROL!$C$21, $C$9, 100%, $E$9)</f>
        <v>70.113299999999995</v>
      </c>
      <c r="L915" s="10">
        <f>CHOOSE(CONTROL!$C$42, 70.8187, 70.8187) * CHOOSE(CONTROL!$C$21, $C$9, 100%, $E$9)</f>
        <v>70.818700000000007</v>
      </c>
      <c r="M915" s="10">
        <f>CHOOSE(CONTROL!$C$42, 69.4301, 69.4301) * CHOOSE(CONTROL!$C$21, $C$9, 100%, $E$9)</f>
        <v>69.430099999999996</v>
      </c>
      <c r="N915" s="10">
        <f>CHOOSE(CONTROL!$C$42, 69.4472, 69.4472) * CHOOSE(CONTROL!$C$21, $C$9, 100%, $E$9)</f>
        <v>69.447199999999995</v>
      </c>
      <c r="O915" s="10">
        <f>CHOOSE(CONTROL!$C$42, 69.5367, 69.5367) * CHOOSE(CONTROL!$C$21, $C$9, 100%, $E$9)</f>
        <v>69.536699999999996</v>
      </c>
      <c r="P915" s="10">
        <f>CHOOSE(CONTROL!$C$42, 69.4234, 69.4234) * CHOOSE(CONTROL!$C$21, $C$9, 100%, $E$9)</f>
        <v>69.423400000000001</v>
      </c>
      <c r="Q915" s="10">
        <f>CHOOSE(CONTROL!$C$42, 70.132, 70.132) * CHOOSE(CONTROL!$C$21, $C$9, 100%, $E$9)</f>
        <v>70.132000000000005</v>
      </c>
      <c r="R915" s="10">
        <f>CHOOSE(CONTROL!$C$42, 70.8944, 70.8944) * CHOOSE(CONTROL!$C$21, $C$9, 100%, $E$9)</f>
        <v>70.894400000000005</v>
      </c>
      <c r="S915" s="10">
        <f>CHOOSE(CONTROL!$C$42, 68.114, 68.114) * CHOOSE(CONTROL!$C$21, $C$9, 100%, $E$9)</f>
        <v>68.114000000000004</v>
      </c>
      <c r="T915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915" s="58">
        <f>(1000*CHOOSE(CONTROL!$C$42, 695, 695)*CHOOSE(CONTROL!$C$42, 0.5599, 0.5599)*CHOOSE(CONTROL!$C$42, 31, 31))/1000000</f>
        <v>12.063045499999998</v>
      </c>
      <c r="V915" s="58">
        <f>(1000*CHOOSE(CONTROL!$C$42, 500, 500)*CHOOSE(CONTROL!$C$42, 0.275, 0.275)*CHOOSE(CONTROL!$C$42, 31, 31))/1000000</f>
        <v>4.2625000000000002</v>
      </c>
      <c r="W915" s="58">
        <f>(1000*CHOOSE(CONTROL!$C$42, 0.1146, 0.1146)*CHOOSE(CONTROL!$C$42, 121.5, 121.5)*CHOOSE(CONTROL!$C$42, 31, 31))/1000000</f>
        <v>0.43164089999999994</v>
      </c>
      <c r="X915" s="58">
        <f>(31*0.1790888*100000/1000000)+(31*0.2374*100000/1000000)</f>
        <v>1.2911152800000001</v>
      </c>
      <c r="Y915" s="58"/>
      <c r="Z915" s="10"/>
      <c r="AA915" s="57"/>
      <c r="AB915" s="51">
        <f>(B915*122.58+C915*297.941+D915*89.177+E915*40.302+F915*40+G915*160+H915*0+I915*100+J915*300)/(122.58+297.941+89.177+40.302+0+40+160+100+300)</f>
        <v>70.146047640956525</v>
      </c>
      <c r="AC915" s="27">
        <f>(M915*'RAP TEMPLATE-GAS AVAILABILITY'!O914+N915*'RAP TEMPLATE-GAS AVAILABILITY'!P914+O915*'RAP TEMPLATE-GAS AVAILABILITY'!Q914+P915*'RAP TEMPLATE-GAS AVAILABILITY'!R914)/('RAP TEMPLATE-GAS AVAILABILITY'!O914+'RAP TEMPLATE-GAS AVAILABILITY'!P914+'RAP TEMPLATE-GAS AVAILABILITY'!Q914+'RAP TEMPLATE-GAS AVAILABILITY'!R914)</f>
        <v>69.478435251798558</v>
      </c>
    </row>
    <row r="916" spans="1:29" ht="15.75" x14ac:dyDescent="0.25">
      <c r="A916" s="13">
        <v>68788</v>
      </c>
      <c r="B916" s="10">
        <f>CHOOSE(CONTROL!$C$42, 69.9344, 69.9344) * CHOOSE(CONTROL!$C$21, $C$9, 100%, $E$9)</f>
        <v>69.934399999999997</v>
      </c>
      <c r="C916" s="10">
        <f>CHOOSE(CONTROL!$C$42, 69.9388, 69.9388) * CHOOSE(CONTROL!$C$21, $C$9, 100%, $E$9)</f>
        <v>69.938800000000001</v>
      </c>
      <c r="D916" s="10">
        <f>CHOOSE(CONTROL!$C$42, 70.1344, 70.1344) * CHOOSE(CONTROL!$C$21, $C$9, 100%, $E$9)</f>
        <v>70.134399999999999</v>
      </c>
      <c r="E916" s="10">
        <f>CHOOSE(CONTROL!$C$42, 70.1661, 70.1661) * CHOOSE(CONTROL!$C$21, $C$9, 100%, $E$9)</f>
        <v>70.1661</v>
      </c>
      <c r="F916" s="10">
        <f>CHOOSE(CONTROL!$C$42, 69.9022, 69.9022)*CHOOSE(CONTROL!$C$21, $C$9, 100%, $E$9)</f>
        <v>69.902199999999993</v>
      </c>
      <c r="G916" s="10">
        <f>CHOOSE(CONTROL!$C$42, 69.919, 69.919)*CHOOSE(CONTROL!$C$21, $C$9, 100%, $E$9)</f>
        <v>69.918999999999997</v>
      </c>
      <c r="H916" s="10">
        <f>CHOOSE(CONTROL!$C$42, 70.1559, 70.1559) * CHOOSE(CONTROL!$C$21, $C$9, 100%, $E$9)</f>
        <v>70.155900000000003</v>
      </c>
      <c r="I916" s="10">
        <f>CHOOSE(CONTROL!$C$42, 69.9024, 69.9024)* CHOOSE(CONTROL!$C$21, $C$9, 100%, $E$9)</f>
        <v>69.9024</v>
      </c>
      <c r="J916" s="10">
        <f>CHOOSE(CONTROL!$C$42, 69.8952, 69.8952)* CHOOSE(CONTROL!$C$21, $C$9, 100%, $E$9)</f>
        <v>69.895200000000003</v>
      </c>
      <c r="K916" s="54">
        <f>CHOOSE(CONTROL!$C$42, 69.8985, 69.8985) * CHOOSE(CONTROL!$C$21, $C$9, 100%, $E$9)</f>
        <v>69.898499999999999</v>
      </c>
      <c r="L916" s="10">
        <f>CHOOSE(CONTROL!$C$42, 70.7429, 70.7429) * CHOOSE(CONTROL!$C$21, $C$9, 100%, $E$9)</f>
        <v>70.742900000000006</v>
      </c>
      <c r="M916" s="10">
        <f>CHOOSE(CONTROL!$C$42, 69.2037, 69.2037) * CHOOSE(CONTROL!$C$21, $C$9, 100%, $E$9)</f>
        <v>69.203699999999998</v>
      </c>
      <c r="N916" s="10">
        <f>CHOOSE(CONTROL!$C$42, 69.2203, 69.2203) * CHOOSE(CONTROL!$C$21, $C$9, 100%, $E$9)</f>
        <v>69.220299999999995</v>
      </c>
      <c r="O916" s="10">
        <f>CHOOSE(CONTROL!$C$42, 69.4618, 69.4618) * CHOOSE(CONTROL!$C$21, $C$9, 100%, $E$9)</f>
        <v>69.461799999999997</v>
      </c>
      <c r="P916" s="10">
        <f>CHOOSE(CONTROL!$C$42, 69.2108, 69.2108) * CHOOSE(CONTROL!$C$21, $C$9, 100%, $E$9)</f>
        <v>69.210800000000006</v>
      </c>
      <c r="Q916" s="10">
        <f>CHOOSE(CONTROL!$C$42, 70.0571, 70.0571) * CHOOSE(CONTROL!$C$21, $C$9, 100%, $E$9)</f>
        <v>70.057100000000005</v>
      </c>
      <c r="R916" s="10">
        <f>CHOOSE(CONTROL!$C$42, 70.8192, 70.8192) * CHOOSE(CONTROL!$C$21, $C$9, 100%, $E$9)</f>
        <v>70.819199999999995</v>
      </c>
      <c r="S916" s="10">
        <f>CHOOSE(CONTROL!$C$42, 67.9104, 67.9104) * CHOOSE(CONTROL!$C$21, $C$9, 100%, $E$9)</f>
        <v>67.910399999999996</v>
      </c>
      <c r="T916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916" s="58">
        <f>(1000*CHOOSE(CONTROL!$C$42, 695, 695)*CHOOSE(CONTROL!$C$42, 0.5599, 0.5599)*CHOOSE(CONTROL!$C$42, 30, 30))/1000000</f>
        <v>11.673914999999997</v>
      </c>
      <c r="V916" s="58">
        <f>(1000*CHOOSE(CONTROL!$C$42, 500, 500)*CHOOSE(CONTROL!$C$42, 0.275, 0.275)*CHOOSE(CONTROL!$C$42, 30, 30))/1000000</f>
        <v>4.125</v>
      </c>
      <c r="W916" s="58">
        <f>(1000*CHOOSE(CONTROL!$C$42, 0.1146, 0.1146)*CHOOSE(CONTROL!$C$42, 121.5, 121.5)*CHOOSE(CONTROL!$C$42, 30, 30))/1000000</f>
        <v>0.417717</v>
      </c>
      <c r="X916" s="58">
        <f>(30*0.1790888*245000/1000000)+(30*0.2374*100000/1000000)</f>
        <v>2.0285026799999999</v>
      </c>
      <c r="Y916" s="58"/>
      <c r="Z916" s="10"/>
      <c r="AA916" s="57"/>
      <c r="AB916" s="51">
        <f>(B916*141.293+C916*267.993+D916*115.016+E916*89.698+F916*40+G916*185+H916*0+I916*100+J916*300)/(141.293+267.993+115.016+89.698+0+40+185+100+300)</f>
        <v>69.955278446973367</v>
      </c>
      <c r="AC916" s="27">
        <f>(M916*'RAP TEMPLATE-GAS AVAILABILITY'!O915+N916*'RAP TEMPLATE-GAS AVAILABILITY'!P915+O916*'RAP TEMPLATE-GAS AVAILABILITY'!Q915+P916*'RAP TEMPLATE-GAS AVAILABILITY'!R915)/('RAP TEMPLATE-GAS AVAILABILITY'!O915+'RAP TEMPLATE-GAS AVAILABILITY'!P915+'RAP TEMPLATE-GAS AVAILABILITY'!Q915+'RAP TEMPLATE-GAS AVAILABILITY'!R915)</f>
        <v>69.322657553956844</v>
      </c>
    </row>
    <row r="917" spans="1:29" ht="15.75" x14ac:dyDescent="0.25">
      <c r="A917" s="13">
        <v>68819</v>
      </c>
      <c r="B917" s="10">
        <f>CHOOSE(CONTROL!$C$42, 70.553, 70.553) * CHOOSE(CONTROL!$C$21, $C$9, 100%, $E$9)</f>
        <v>70.552999999999997</v>
      </c>
      <c r="C917" s="10">
        <f>CHOOSE(CONTROL!$C$42, 70.5609, 70.5609) * CHOOSE(CONTROL!$C$21, $C$9, 100%, $E$9)</f>
        <v>70.560900000000004</v>
      </c>
      <c r="D917" s="10">
        <f>CHOOSE(CONTROL!$C$42, 70.7534, 70.7534) * CHOOSE(CONTROL!$C$21, $C$9, 100%, $E$9)</f>
        <v>70.753399999999999</v>
      </c>
      <c r="E917" s="10">
        <f>CHOOSE(CONTROL!$C$42, 70.7845, 70.7845) * CHOOSE(CONTROL!$C$21, $C$9, 100%, $E$9)</f>
        <v>70.784499999999994</v>
      </c>
      <c r="F917" s="10">
        <f>CHOOSE(CONTROL!$C$42, 70.5193, 70.5193)*CHOOSE(CONTROL!$C$21, $C$9, 100%, $E$9)</f>
        <v>70.519300000000001</v>
      </c>
      <c r="G917" s="10">
        <f>CHOOSE(CONTROL!$C$42, 70.5364, 70.5364)*CHOOSE(CONTROL!$C$21, $C$9, 100%, $E$9)</f>
        <v>70.5364</v>
      </c>
      <c r="H917" s="10">
        <f>CHOOSE(CONTROL!$C$42, 70.7731, 70.7731) * CHOOSE(CONTROL!$C$21, $C$9, 100%, $E$9)</f>
        <v>70.773099999999999</v>
      </c>
      <c r="I917" s="10">
        <f>CHOOSE(CONTROL!$C$42, 70.5196, 70.5196)* CHOOSE(CONTROL!$C$21, $C$9, 100%, $E$9)</f>
        <v>70.519599999999997</v>
      </c>
      <c r="J917" s="10">
        <f>CHOOSE(CONTROL!$C$42, 70.5123, 70.5123)* CHOOSE(CONTROL!$C$21, $C$9, 100%, $E$9)</f>
        <v>70.512299999999996</v>
      </c>
      <c r="K917" s="54">
        <f>CHOOSE(CONTROL!$C$42, 70.5157, 70.5157) * CHOOSE(CONTROL!$C$21, $C$9, 100%, $E$9)</f>
        <v>70.515699999999995</v>
      </c>
      <c r="L917" s="10">
        <f>CHOOSE(CONTROL!$C$42, 71.3601, 71.3601) * CHOOSE(CONTROL!$C$21, $C$9, 100%, $E$9)</f>
        <v>71.360100000000003</v>
      </c>
      <c r="M917" s="10">
        <f>CHOOSE(CONTROL!$C$42, 69.8145, 69.8145) * CHOOSE(CONTROL!$C$21, $C$9, 100%, $E$9)</f>
        <v>69.814499999999995</v>
      </c>
      <c r="N917" s="10">
        <f>CHOOSE(CONTROL!$C$42, 69.8315, 69.8315) * CHOOSE(CONTROL!$C$21, $C$9, 100%, $E$9)</f>
        <v>69.831500000000005</v>
      </c>
      <c r="O917" s="10">
        <f>CHOOSE(CONTROL!$C$42, 70.0727, 70.0727) * CHOOSE(CONTROL!$C$21, $C$9, 100%, $E$9)</f>
        <v>70.072699999999998</v>
      </c>
      <c r="P917" s="10">
        <f>CHOOSE(CONTROL!$C$42, 69.8218, 69.8218) * CHOOSE(CONTROL!$C$21, $C$9, 100%, $E$9)</f>
        <v>69.821799999999996</v>
      </c>
      <c r="Q917" s="10">
        <f>CHOOSE(CONTROL!$C$42, 70.668, 70.668) * CHOOSE(CONTROL!$C$21, $C$9, 100%, $E$9)</f>
        <v>70.668000000000006</v>
      </c>
      <c r="R917" s="10">
        <f>CHOOSE(CONTROL!$C$42, 71.4317, 71.4317) * CHOOSE(CONTROL!$C$21, $C$9, 100%, $E$9)</f>
        <v>71.431700000000006</v>
      </c>
      <c r="S917" s="10">
        <f>CHOOSE(CONTROL!$C$42, 68.5098, 68.5098) * CHOOSE(CONTROL!$C$21, $C$9, 100%, $E$9)</f>
        <v>68.509799999999998</v>
      </c>
      <c r="T917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917" s="58">
        <f>(1000*CHOOSE(CONTROL!$C$42, 695, 695)*CHOOSE(CONTROL!$C$42, 0.5599, 0.5599)*CHOOSE(CONTROL!$C$42, 31, 31))/1000000</f>
        <v>12.063045499999998</v>
      </c>
      <c r="V917" s="58">
        <f>(1000*CHOOSE(CONTROL!$C$42, 500, 500)*CHOOSE(CONTROL!$C$42, 0.275, 0.275)*CHOOSE(CONTROL!$C$42, 31, 31))/1000000</f>
        <v>4.2625000000000002</v>
      </c>
      <c r="W917" s="58">
        <f>(1000*CHOOSE(CONTROL!$C$42, 0.1146, 0.1146)*CHOOSE(CONTROL!$C$42, 121.5, 121.5)*CHOOSE(CONTROL!$C$42, 31, 31))/1000000</f>
        <v>0.43164089999999994</v>
      </c>
      <c r="X917" s="58">
        <f>(31*0.1790888*245000/1000000)+(31*0.2374*100000/1000000)</f>
        <v>2.0961194359999999</v>
      </c>
      <c r="Y917" s="58"/>
      <c r="Z917" s="10"/>
      <c r="AA917" s="57"/>
      <c r="AB917" s="51">
        <f>(B917*194.205+C917*267.466+D917*133.845+E917*53.484+F917*40+G917*185+H917*0+I917*100+J917*300)/(194.205+267.466+133.845+53.484+0+40+185+100+300)</f>
        <v>70.569756723233922</v>
      </c>
      <c r="AC917" s="27">
        <f>(M917*'RAP TEMPLATE-GAS AVAILABILITY'!O916+N917*'RAP TEMPLATE-GAS AVAILABILITY'!P916+O917*'RAP TEMPLATE-GAS AVAILABILITY'!Q916+P917*'RAP TEMPLATE-GAS AVAILABILITY'!R916)/('RAP TEMPLATE-GAS AVAILABILITY'!O916+'RAP TEMPLATE-GAS AVAILABILITY'!P916+'RAP TEMPLATE-GAS AVAILABILITY'!Q916+'RAP TEMPLATE-GAS AVAILABILITY'!R916)</f>
        <v>69.933554676258979</v>
      </c>
    </row>
    <row r="918" spans="1:29" ht="15.75" x14ac:dyDescent="0.25">
      <c r="A918" s="13">
        <v>68849</v>
      </c>
      <c r="B918" s="10">
        <f>CHOOSE(CONTROL!$C$42, 72.5542, 72.5542) * CHOOSE(CONTROL!$C$21, $C$9, 100%, $E$9)</f>
        <v>72.554199999999994</v>
      </c>
      <c r="C918" s="10">
        <f>CHOOSE(CONTROL!$C$42, 72.5621, 72.5621) * CHOOSE(CONTROL!$C$21, $C$9, 100%, $E$9)</f>
        <v>72.562100000000001</v>
      </c>
      <c r="D918" s="10">
        <f>CHOOSE(CONTROL!$C$42, 72.7545, 72.7545) * CHOOSE(CONTROL!$C$21, $C$9, 100%, $E$9)</f>
        <v>72.754499999999993</v>
      </c>
      <c r="E918" s="10">
        <f>CHOOSE(CONTROL!$C$42, 72.7857, 72.7857) * CHOOSE(CONTROL!$C$21, $C$9, 100%, $E$9)</f>
        <v>72.785700000000006</v>
      </c>
      <c r="F918" s="10">
        <f>CHOOSE(CONTROL!$C$42, 72.5207, 72.5207)*CHOOSE(CONTROL!$C$21, $C$9, 100%, $E$9)</f>
        <v>72.520700000000005</v>
      </c>
      <c r="G918" s="10">
        <f>CHOOSE(CONTROL!$C$42, 72.5379, 72.5379)*CHOOSE(CONTROL!$C$21, $C$9, 100%, $E$9)</f>
        <v>72.537899999999993</v>
      </c>
      <c r="H918" s="10">
        <f>CHOOSE(CONTROL!$C$42, 72.7743, 72.7743) * CHOOSE(CONTROL!$C$21, $C$9, 100%, $E$9)</f>
        <v>72.774299999999997</v>
      </c>
      <c r="I918" s="10">
        <f>CHOOSE(CONTROL!$C$42, 72.5208, 72.5208)* CHOOSE(CONTROL!$C$21, $C$9, 100%, $E$9)</f>
        <v>72.520799999999994</v>
      </c>
      <c r="J918" s="10">
        <f>CHOOSE(CONTROL!$C$42, 72.5137, 72.5137)* CHOOSE(CONTROL!$C$21, $C$9, 100%, $E$9)</f>
        <v>72.5137</v>
      </c>
      <c r="K918" s="54">
        <f>CHOOSE(CONTROL!$C$42, 72.5169, 72.5169) * CHOOSE(CONTROL!$C$21, $C$9, 100%, $E$9)</f>
        <v>72.516900000000007</v>
      </c>
      <c r="L918" s="10">
        <f>CHOOSE(CONTROL!$C$42, 73.3613, 73.3613) * CHOOSE(CONTROL!$C$21, $C$9, 100%, $E$9)</f>
        <v>73.3613</v>
      </c>
      <c r="M918" s="10">
        <f>CHOOSE(CONTROL!$C$42, 71.7957, 71.7957) * CHOOSE(CONTROL!$C$21, $C$9, 100%, $E$9)</f>
        <v>71.795699999999997</v>
      </c>
      <c r="N918" s="10">
        <f>CHOOSE(CONTROL!$C$42, 71.8127, 71.8127) * CHOOSE(CONTROL!$C$21, $C$9, 100%, $E$9)</f>
        <v>71.812700000000007</v>
      </c>
      <c r="O918" s="10">
        <f>CHOOSE(CONTROL!$C$42, 72.0537, 72.0537) * CHOOSE(CONTROL!$C$21, $C$9, 100%, $E$9)</f>
        <v>72.053700000000006</v>
      </c>
      <c r="P918" s="10">
        <f>CHOOSE(CONTROL!$C$42, 71.8028, 71.8028) * CHOOSE(CONTROL!$C$21, $C$9, 100%, $E$9)</f>
        <v>71.802800000000005</v>
      </c>
      <c r="Q918" s="10">
        <f>CHOOSE(CONTROL!$C$42, 72.649, 72.649) * CHOOSE(CONTROL!$C$21, $C$9, 100%, $E$9)</f>
        <v>72.649000000000001</v>
      </c>
      <c r="R918" s="10">
        <f>CHOOSE(CONTROL!$C$42, 73.4176, 73.4176) * CHOOSE(CONTROL!$C$21, $C$9, 100%, $E$9)</f>
        <v>73.417599999999993</v>
      </c>
      <c r="S918" s="10">
        <f>CHOOSE(CONTROL!$C$42, 70.4531, 70.4531) * CHOOSE(CONTROL!$C$21, $C$9, 100%, $E$9)</f>
        <v>70.453100000000006</v>
      </c>
      <c r="T918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918" s="58">
        <f>(1000*CHOOSE(CONTROL!$C$42, 695, 695)*CHOOSE(CONTROL!$C$42, 0.5599, 0.5599)*CHOOSE(CONTROL!$C$42, 30, 30))/1000000</f>
        <v>11.673914999999997</v>
      </c>
      <c r="V918" s="58">
        <f>(1000*CHOOSE(CONTROL!$C$42, 500, 500)*CHOOSE(CONTROL!$C$42, 0.275, 0.275)*CHOOSE(CONTROL!$C$42, 30, 30))/1000000</f>
        <v>4.125</v>
      </c>
      <c r="W918" s="58">
        <f>(1000*CHOOSE(CONTROL!$C$42, 0.1146, 0.1146)*CHOOSE(CONTROL!$C$42, 121.5, 121.5)*CHOOSE(CONTROL!$C$42, 30, 30))/1000000</f>
        <v>0.417717</v>
      </c>
      <c r="X918" s="58">
        <f>(30*0.1790888*245000/1000000)+(30*0.2374*100000/1000000)</f>
        <v>2.0285026799999999</v>
      </c>
      <c r="Y918" s="58"/>
      <c r="Z918" s="10"/>
      <c r="AA918" s="57"/>
      <c r="AB918" s="51">
        <f>(B918*194.205+C918*267.466+D918*133.845+E918*53.484+F918*40+G918*185+H918*0+I918*100+J918*300)/(194.205+267.466+133.845+53.484+0+40+185+100+300)</f>
        <v>72.571043156122457</v>
      </c>
      <c r="AC918" s="27">
        <f>(M918*'RAP TEMPLATE-GAS AVAILABILITY'!O917+N918*'RAP TEMPLATE-GAS AVAILABILITY'!P917+O918*'RAP TEMPLATE-GAS AVAILABILITY'!Q917+P918*'RAP TEMPLATE-GAS AVAILABILITY'!R917)/('RAP TEMPLATE-GAS AVAILABILITY'!O917+'RAP TEMPLATE-GAS AVAILABILITY'!P917+'RAP TEMPLATE-GAS AVAILABILITY'!Q917+'RAP TEMPLATE-GAS AVAILABILITY'!R917)</f>
        <v>71.914635251798572</v>
      </c>
    </row>
    <row r="919" spans="1:29" ht="15.75" x14ac:dyDescent="0.25">
      <c r="A919" s="13">
        <v>68880</v>
      </c>
      <c r="B919" s="10">
        <f>CHOOSE(CONTROL!$C$42, 71.1624, 71.1624) * CHOOSE(CONTROL!$C$21, $C$9, 100%, $E$9)</f>
        <v>71.162400000000005</v>
      </c>
      <c r="C919" s="10">
        <f>CHOOSE(CONTROL!$C$42, 71.1703, 71.1703) * CHOOSE(CONTROL!$C$21, $C$9, 100%, $E$9)</f>
        <v>71.170299999999997</v>
      </c>
      <c r="D919" s="10">
        <f>CHOOSE(CONTROL!$C$42, 71.3627, 71.3627) * CHOOSE(CONTROL!$C$21, $C$9, 100%, $E$9)</f>
        <v>71.362700000000004</v>
      </c>
      <c r="E919" s="10">
        <f>CHOOSE(CONTROL!$C$42, 71.3939, 71.3939) * CHOOSE(CONTROL!$C$21, $C$9, 100%, $E$9)</f>
        <v>71.393900000000002</v>
      </c>
      <c r="F919" s="10">
        <f>CHOOSE(CONTROL!$C$42, 71.1292, 71.1292)*CHOOSE(CONTROL!$C$21, $C$9, 100%, $E$9)</f>
        <v>71.129199999999997</v>
      </c>
      <c r="G919" s="10">
        <f>CHOOSE(CONTROL!$C$42, 71.1465, 71.1465)*CHOOSE(CONTROL!$C$21, $C$9, 100%, $E$9)</f>
        <v>71.146500000000003</v>
      </c>
      <c r="H919" s="10">
        <f>CHOOSE(CONTROL!$C$42, 71.3825, 71.3825) * CHOOSE(CONTROL!$C$21, $C$9, 100%, $E$9)</f>
        <v>71.382499999999993</v>
      </c>
      <c r="I919" s="10">
        <f>CHOOSE(CONTROL!$C$42, 71.1289, 71.1289)* CHOOSE(CONTROL!$C$21, $C$9, 100%, $E$9)</f>
        <v>71.128900000000002</v>
      </c>
      <c r="J919" s="10">
        <f>CHOOSE(CONTROL!$C$42, 71.1222, 71.1222)* CHOOSE(CONTROL!$C$21, $C$9, 100%, $E$9)</f>
        <v>71.122200000000007</v>
      </c>
      <c r="K919" s="54">
        <f>CHOOSE(CONTROL!$C$42, 71.125, 71.125) * CHOOSE(CONTROL!$C$21, $C$9, 100%, $E$9)</f>
        <v>71.125</v>
      </c>
      <c r="L919" s="10">
        <f>CHOOSE(CONTROL!$C$42, 71.9695, 71.9695) * CHOOSE(CONTROL!$C$21, $C$9, 100%, $E$9)</f>
        <v>71.969499999999996</v>
      </c>
      <c r="M919" s="10">
        <f>CHOOSE(CONTROL!$C$42, 70.4183, 70.4183) * CHOOSE(CONTROL!$C$21, $C$9, 100%, $E$9)</f>
        <v>70.418300000000002</v>
      </c>
      <c r="N919" s="10">
        <f>CHOOSE(CONTROL!$C$42, 70.4354, 70.4354) * CHOOSE(CONTROL!$C$21, $C$9, 100%, $E$9)</f>
        <v>70.435400000000001</v>
      </c>
      <c r="O919" s="10">
        <f>CHOOSE(CONTROL!$C$42, 70.6759, 70.6759) * CHOOSE(CONTROL!$C$21, $C$9, 100%, $E$9)</f>
        <v>70.675899999999999</v>
      </c>
      <c r="P919" s="10">
        <f>CHOOSE(CONTROL!$C$42, 70.425, 70.425) * CHOOSE(CONTROL!$C$21, $C$9, 100%, $E$9)</f>
        <v>70.424999999999997</v>
      </c>
      <c r="Q919" s="10">
        <f>CHOOSE(CONTROL!$C$42, 71.2712, 71.2712) * CHOOSE(CONTROL!$C$21, $C$9, 100%, $E$9)</f>
        <v>71.271199999999993</v>
      </c>
      <c r="R919" s="10">
        <f>CHOOSE(CONTROL!$C$42, 72.0364, 72.0364) * CHOOSE(CONTROL!$C$21, $C$9, 100%, $E$9)</f>
        <v>72.0364</v>
      </c>
      <c r="S919" s="10">
        <f>CHOOSE(CONTROL!$C$42, 69.1015, 69.1015) * CHOOSE(CONTROL!$C$21, $C$9, 100%, $E$9)</f>
        <v>69.101500000000001</v>
      </c>
      <c r="T919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919" s="58">
        <f>(1000*CHOOSE(CONTROL!$C$42, 695, 695)*CHOOSE(CONTROL!$C$42, 0.5599, 0.5599)*CHOOSE(CONTROL!$C$42, 31, 31))/1000000</f>
        <v>12.063045499999998</v>
      </c>
      <c r="V919" s="58">
        <f>(1000*CHOOSE(CONTROL!$C$42, 500, 500)*CHOOSE(CONTROL!$C$42, 0.275, 0.275)*CHOOSE(CONTROL!$C$42, 31, 31))/1000000</f>
        <v>4.2625000000000002</v>
      </c>
      <c r="W919" s="58">
        <f>(1000*CHOOSE(CONTROL!$C$42, 0.1146, 0.1146)*CHOOSE(CONTROL!$C$42, 121.5, 121.5)*CHOOSE(CONTROL!$C$42, 31, 31))/1000000</f>
        <v>0.43164089999999994</v>
      </c>
      <c r="X919" s="58">
        <f>(31*0.1790888*245000/1000000)+(31*0.2374*100000/1000000)</f>
        <v>2.0961194359999999</v>
      </c>
      <c r="Y919" s="58"/>
      <c r="Z919" s="10"/>
      <c r="AA919" s="57"/>
      <c r="AB919" s="51">
        <f>(B919*194.205+C919*267.466+D919*133.845+E919*53.484+F919*40+G919*185+H919*0+I919*100+J919*300)/(194.205+267.466+133.845+53.484+0+40+185+100+300)</f>
        <v>71.179373454395616</v>
      </c>
      <c r="AC919" s="27">
        <f>(M919*'RAP TEMPLATE-GAS AVAILABILITY'!O918+N919*'RAP TEMPLATE-GAS AVAILABILITY'!P918+O919*'RAP TEMPLATE-GAS AVAILABILITY'!Q918+P919*'RAP TEMPLATE-GAS AVAILABILITY'!R918)/('RAP TEMPLATE-GAS AVAILABILITY'!O918+'RAP TEMPLATE-GAS AVAILABILITY'!P918+'RAP TEMPLATE-GAS AVAILABILITY'!Q918+'RAP TEMPLATE-GAS AVAILABILITY'!R918)</f>
        <v>70.537002158273381</v>
      </c>
    </row>
    <row r="920" spans="1:29" ht="15.75" x14ac:dyDescent="0.25">
      <c r="A920" s="13">
        <v>68911</v>
      </c>
      <c r="B920" s="10">
        <f>CHOOSE(CONTROL!$C$42, 67.6475, 67.6475) * CHOOSE(CONTROL!$C$21, $C$9, 100%, $E$9)</f>
        <v>67.647499999999994</v>
      </c>
      <c r="C920" s="10">
        <f>CHOOSE(CONTROL!$C$42, 67.6555, 67.6555) * CHOOSE(CONTROL!$C$21, $C$9, 100%, $E$9)</f>
        <v>67.655500000000004</v>
      </c>
      <c r="D920" s="10">
        <f>CHOOSE(CONTROL!$C$42, 67.8479, 67.8479) * CHOOSE(CONTROL!$C$21, $C$9, 100%, $E$9)</f>
        <v>67.847899999999996</v>
      </c>
      <c r="E920" s="10">
        <f>CHOOSE(CONTROL!$C$42, 67.879, 67.879) * CHOOSE(CONTROL!$C$21, $C$9, 100%, $E$9)</f>
        <v>67.879000000000005</v>
      </c>
      <c r="F920" s="10">
        <f>CHOOSE(CONTROL!$C$42, 67.6146, 67.6146)*CHOOSE(CONTROL!$C$21, $C$9, 100%, $E$9)</f>
        <v>67.614599999999996</v>
      </c>
      <c r="G920" s="10">
        <f>CHOOSE(CONTROL!$C$42, 67.6319, 67.6319)*CHOOSE(CONTROL!$C$21, $C$9, 100%, $E$9)</f>
        <v>67.631900000000002</v>
      </c>
      <c r="H920" s="10">
        <f>CHOOSE(CONTROL!$C$42, 67.8677, 67.8677) * CHOOSE(CONTROL!$C$21, $C$9, 100%, $E$9)</f>
        <v>67.867699999999999</v>
      </c>
      <c r="I920" s="10">
        <f>CHOOSE(CONTROL!$C$42, 67.6141, 67.6141)* CHOOSE(CONTROL!$C$21, $C$9, 100%, $E$9)</f>
        <v>67.614099999999993</v>
      </c>
      <c r="J920" s="10">
        <f>CHOOSE(CONTROL!$C$42, 67.6076, 67.6076)* CHOOSE(CONTROL!$C$21, $C$9, 100%, $E$9)</f>
        <v>67.607600000000005</v>
      </c>
      <c r="K920" s="54">
        <f>CHOOSE(CONTROL!$C$42, 67.6102, 67.6102) * CHOOSE(CONTROL!$C$21, $C$9, 100%, $E$9)</f>
        <v>67.610200000000006</v>
      </c>
      <c r="L920" s="10">
        <f>CHOOSE(CONTROL!$C$42, 68.4547, 68.4547) * CHOOSE(CONTROL!$C$21, $C$9, 100%, $E$9)</f>
        <v>68.454700000000003</v>
      </c>
      <c r="M920" s="10">
        <f>CHOOSE(CONTROL!$C$42, 66.9392, 66.9392) * CHOOSE(CONTROL!$C$21, $C$9, 100%, $E$9)</f>
        <v>66.9392</v>
      </c>
      <c r="N920" s="10">
        <f>CHOOSE(CONTROL!$C$42, 66.9563, 66.9563) * CHOOSE(CONTROL!$C$21, $C$9, 100%, $E$9)</f>
        <v>66.956299999999999</v>
      </c>
      <c r="O920" s="10">
        <f>CHOOSE(CONTROL!$C$42, 67.1966, 67.1966) * CHOOSE(CONTROL!$C$21, $C$9, 100%, $E$9)</f>
        <v>67.196600000000004</v>
      </c>
      <c r="P920" s="10">
        <f>CHOOSE(CONTROL!$C$42, 66.9456, 66.9456) * CHOOSE(CONTROL!$C$21, $C$9, 100%, $E$9)</f>
        <v>66.945599999999999</v>
      </c>
      <c r="Q920" s="10">
        <f>CHOOSE(CONTROL!$C$42, 67.7919, 67.7919) * CHOOSE(CONTROL!$C$21, $C$9, 100%, $E$9)</f>
        <v>67.791899999999998</v>
      </c>
      <c r="R920" s="10">
        <f>CHOOSE(CONTROL!$C$42, 68.5484, 68.5484) * CHOOSE(CONTROL!$C$21, $C$9, 100%, $E$9)</f>
        <v>68.548400000000001</v>
      </c>
      <c r="S920" s="10">
        <f>CHOOSE(CONTROL!$C$42, 65.6883, 65.6883) * CHOOSE(CONTROL!$C$21, $C$9, 100%, $E$9)</f>
        <v>65.688299999999998</v>
      </c>
      <c r="T920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920" s="58">
        <f>(1000*CHOOSE(CONTROL!$C$42, 695, 695)*CHOOSE(CONTROL!$C$42, 0.5599, 0.5599)*CHOOSE(CONTROL!$C$42, 31, 31))/1000000</f>
        <v>12.063045499999998</v>
      </c>
      <c r="V920" s="58">
        <f>(1000*CHOOSE(CONTROL!$C$42, 500, 500)*CHOOSE(CONTROL!$C$42, 0.275, 0.275)*CHOOSE(CONTROL!$C$42, 31, 31))/1000000</f>
        <v>4.2625000000000002</v>
      </c>
      <c r="W920" s="58">
        <f>(1000*CHOOSE(CONTROL!$C$42, 0.1146, 0.1146)*CHOOSE(CONTROL!$C$42, 121.5, 121.5)*CHOOSE(CONTROL!$C$42, 31, 31))/1000000</f>
        <v>0.43164089999999994</v>
      </c>
      <c r="X920" s="58">
        <f>(31*0.1790888*245000/1000000)+(31*0.2374*100000/1000000)</f>
        <v>2.0961194359999999</v>
      </c>
      <c r="Y920" s="58"/>
      <c r="Z920" s="10"/>
      <c r="AA920" s="57"/>
      <c r="AB920" s="51">
        <f>(B920*194.205+C920*267.466+D920*133.845+E920*53.484+F920*40+G920*185+H920*0+I920*100+J920*300)/(194.205+267.466+133.845+53.484+0+40+185+100+300)</f>
        <v>67.664636430141286</v>
      </c>
      <c r="AC920" s="27">
        <f>(M920*'RAP TEMPLATE-GAS AVAILABILITY'!O919+N920*'RAP TEMPLATE-GAS AVAILABILITY'!P919+O920*'RAP TEMPLATE-GAS AVAILABILITY'!Q919+P920*'RAP TEMPLATE-GAS AVAILABILITY'!R919)/('RAP TEMPLATE-GAS AVAILABILITY'!O919+'RAP TEMPLATE-GAS AVAILABILITY'!P919+'RAP TEMPLATE-GAS AVAILABILITY'!Q919+'RAP TEMPLATE-GAS AVAILABILITY'!R919)</f>
        <v>67.057768345323737</v>
      </c>
    </row>
    <row r="921" spans="1:29" ht="15.75" x14ac:dyDescent="0.25">
      <c r="A921" s="13">
        <v>68941</v>
      </c>
      <c r="B921" s="10">
        <f>CHOOSE(CONTROL!$C$42, 63.3527, 63.3527) * CHOOSE(CONTROL!$C$21, $C$9, 100%, $E$9)</f>
        <v>63.352699999999999</v>
      </c>
      <c r="C921" s="10">
        <f>CHOOSE(CONTROL!$C$42, 63.3606, 63.3606) * CHOOSE(CONTROL!$C$21, $C$9, 100%, $E$9)</f>
        <v>63.360599999999998</v>
      </c>
      <c r="D921" s="10">
        <f>CHOOSE(CONTROL!$C$42, 63.5531, 63.5531) * CHOOSE(CONTROL!$C$21, $C$9, 100%, $E$9)</f>
        <v>63.553100000000001</v>
      </c>
      <c r="E921" s="10">
        <f>CHOOSE(CONTROL!$C$42, 63.5842, 63.5842) * CHOOSE(CONTROL!$C$21, $C$9, 100%, $E$9)</f>
        <v>63.584200000000003</v>
      </c>
      <c r="F921" s="10">
        <f>CHOOSE(CONTROL!$C$42, 63.3196, 63.3196)*CHOOSE(CONTROL!$C$21, $C$9, 100%, $E$9)</f>
        <v>63.319600000000001</v>
      </c>
      <c r="G921" s="10">
        <f>CHOOSE(CONTROL!$C$42, 63.3369, 63.3369)*CHOOSE(CONTROL!$C$21, $C$9, 100%, $E$9)</f>
        <v>63.3369</v>
      </c>
      <c r="H921" s="10">
        <f>CHOOSE(CONTROL!$C$42, 63.5728, 63.5728) * CHOOSE(CONTROL!$C$21, $C$9, 100%, $E$9)</f>
        <v>63.572800000000001</v>
      </c>
      <c r="I921" s="10">
        <f>CHOOSE(CONTROL!$C$42, 63.3193, 63.3193)* CHOOSE(CONTROL!$C$21, $C$9, 100%, $E$9)</f>
        <v>63.319299999999998</v>
      </c>
      <c r="J921" s="10">
        <f>CHOOSE(CONTROL!$C$42, 63.3126, 63.3126)* CHOOSE(CONTROL!$C$21, $C$9, 100%, $E$9)</f>
        <v>63.312600000000003</v>
      </c>
      <c r="K921" s="54">
        <f>CHOOSE(CONTROL!$C$42, 63.3154, 63.3154) * CHOOSE(CONTROL!$C$21, $C$9, 100%, $E$9)</f>
        <v>63.315399999999997</v>
      </c>
      <c r="L921" s="10">
        <f>CHOOSE(CONTROL!$C$42, 64.1598, 64.1598) * CHOOSE(CONTROL!$C$21, $C$9, 100%, $E$9)</f>
        <v>64.159800000000004</v>
      </c>
      <c r="M921" s="10">
        <f>CHOOSE(CONTROL!$C$42, 62.6875, 62.6875) * CHOOSE(CONTROL!$C$21, $C$9, 100%, $E$9)</f>
        <v>62.6875</v>
      </c>
      <c r="N921" s="10">
        <f>CHOOSE(CONTROL!$C$42, 62.7046, 62.7046) * CHOOSE(CONTROL!$C$21, $C$9, 100%, $E$9)</f>
        <v>62.704599999999999</v>
      </c>
      <c r="O921" s="10">
        <f>CHOOSE(CONTROL!$C$42, 62.9451, 62.9451) * CHOOSE(CONTROL!$C$21, $C$9, 100%, $E$9)</f>
        <v>62.945099999999996</v>
      </c>
      <c r="P921" s="10">
        <f>CHOOSE(CONTROL!$C$42, 62.6941, 62.6941) * CHOOSE(CONTROL!$C$21, $C$9, 100%, $E$9)</f>
        <v>62.694099999999999</v>
      </c>
      <c r="Q921" s="10">
        <f>CHOOSE(CONTROL!$C$42, 63.5404, 63.5404) * CHOOSE(CONTROL!$C$21, $C$9, 100%, $E$9)</f>
        <v>63.540399999999998</v>
      </c>
      <c r="R921" s="10">
        <f>CHOOSE(CONTROL!$C$42, 64.2862, 64.2862) * CHOOSE(CONTROL!$C$21, $C$9, 100%, $E$9)</f>
        <v>64.286199999999994</v>
      </c>
      <c r="S921" s="10">
        <f>CHOOSE(CONTROL!$C$42, 61.5176, 61.5176) * CHOOSE(CONTROL!$C$21, $C$9, 100%, $E$9)</f>
        <v>61.517600000000002</v>
      </c>
      <c r="T921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921" s="58">
        <f>(1000*CHOOSE(CONTROL!$C$42, 695, 695)*CHOOSE(CONTROL!$C$42, 0.5599, 0.5599)*CHOOSE(CONTROL!$C$42, 30, 30))/1000000</f>
        <v>11.673914999999997</v>
      </c>
      <c r="V921" s="58">
        <f>(1000*CHOOSE(CONTROL!$C$42, 500, 500)*CHOOSE(CONTROL!$C$42, 0.275, 0.275)*CHOOSE(CONTROL!$C$42, 30, 30))/1000000</f>
        <v>4.125</v>
      </c>
      <c r="W921" s="58">
        <f>(1000*CHOOSE(CONTROL!$C$42, 0.1146, 0.1146)*CHOOSE(CONTROL!$C$42, 121.5, 121.5)*CHOOSE(CONTROL!$C$42, 30, 30))/1000000</f>
        <v>0.417717</v>
      </c>
      <c r="X921" s="58">
        <f>(30*0.1790888*245000/1000000)+(30*0.2374*100000/1000000)</f>
        <v>2.0285026799999999</v>
      </c>
      <c r="Y921" s="58"/>
      <c r="Z921" s="10"/>
      <c r="AA921" s="57"/>
      <c r="AB921" s="51">
        <f>(B921*194.205+C921*267.466+D921*133.845+E921*53.484+F921*40+G921*185+H921*0+I921*100+J921*300)/(194.205+267.466+133.845+53.484+0+40+185+100+300)</f>
        <v>63.369733018367349</v>
      </c>
      <c r="AC921" s="27">
        <f>(M921*'RAP TEMPLATE-GAS AVAILABILITY'!O920+N921*'RAP TEMPLATE-GAS AVAILABILITY'!P920+O921*'RAP TEMPLATE-GAS AVAILABILITY'!Q920+P921*'RAP TEMPLATE-GAS AVAILABILITY'!R920)/('RAP TEMPLATE-GAS AVAILABILITY'!O920+'RAP TEMPLATE-GAS AVAILABILITY'!P920+'RAP TEMPLATE-GAS AVAILABILITY'!Q920+'RAP TEMPLATE-GAS AVAILABILITY'!R920)</f>
        <v>62.806187769784167</v>
      </c>
    </row>
    <row r="922" spans="1:29" ht="15.75" x14ac:dyDescent="0.25">
      <c r="A922" s="13">
        <v>68972</v>
      </c>
      <c r="B922" s="10">
        <f>CHOOSE(CONTROL!$C$42, 62.0647, 62.0647) * CHOOSE(CONTROL!$C$21, $C$9, 100%, $E$9)</f>
        <v>62.064700000000002</v>
      </c>
      <c r="C922" s="10">
        <f>CHOOSE(CONTROL!$C$42, 62.0699, 62.0699) * CHOOSE(CONTROL!$C$21, $C$9, 100%, $E$9)</f>
        <v>62.069899999999997</v>
      </c>
      <c r="D922" s="10">
        <f>CHOOSE(CONTROL!$C$42, 62.2673, 62.2673) * CHOOSE(CONTROL!$C$21, $C$9, 100%, $E$9)</f>
        <v>62.267299999999999</v>
      </c>
      <c r="E922" s="10">
        <f>CHOOSE(CONTROL!$C$42, 62.2961, 62.2961) * CHOOSE(CONTROL!$C$21, $C$9, 100%, $E$9)</f>
        <v>62.296100000000003</v>
      </c>
      <c r="F922" s="10">
        <f>CHOOSE(CONTROL!$C$42, 62.0336, 62.0336)*CHOOSE(CONTROL!$C$21, $C$9, 100%, $E$9)</f>
        <v>62.0336</v>
      </c>
      <c r="G922" s="10">
        <f>CHOOSE(CONTROL!$C$42, 62.0506, 62.0506)*CHOOSE(CONTROL!$C$21, $C$9, 100%, $E$9)</f>
        <v>62.050600000000003</v>
      </c>
      <c r="H922" s="10">
        <f>CHOOSE(CONTROL!$C$42, 62.2866, 62.2866) * CHOOSE(CONTROL!$C$21, $C$9, 100%, $E$9)</f>
        <v>62.2866</v>
      </c>
      <c r="I922" s="10">
        <f>CHOOSE(CONTROL!$C$42, 62.0331, 62.0331)* CHOOSE(CONTROL!$C$21, $C$9, 100%, $E$9)</f>
        <v>62.033099999999997</v>
      </c>
      <c r="J922" s="10">
        <f>CHOOSE(CONTROL!$C$42, 62.0266, 62.0266)* CHOOSE(CONTROL!$C$21, $C$9, 100%, $E$9)</f>
        <v>62.026600000000002</v>
      </c>
      <c r="K922" s="54">
        <f>CHOOSE(CONTROL!$C$42, 62.0292, 62.0292) * CHOOSE(CONTROL!$C$21, $C$9, 100%, $E$9)</f>
        <v>62.029200000000003</v>
      </c>
      <c r="L922" s="10">
        <f>CHOOSE(CONTROL!$C$42, 62.8736, 62.8736) * CHOOSE(CONTROL!$C$21, $C$9, 100%, $E$9)</f>
        <v>62.873600000000003</v>
      </c>
      <c r="M922" s="10">
        <f>CHOOSE(CONTROL!$C$42, 61.4145, 61.4145) * CHOOSE(CONTROL!$C$21, $C$9, 100%, $E$9)</f>
        <v>61.414499999999997</v>
      </c>
      <c r="N922" s="10">
        <f>CHOOSE(CONTROL!$C$42, 61.4313, 61.4313) * CHOOSE(CONTROL!$C$21, $C$9, 100%, $E$9)</f>
        <v>61.4313</v>
      </c>
      <c r="O922" s="10">
        <f>CHOOSE(CONTROL!$C$42, 61.6719, 61.6719) * CHOOSE(CONTROL!$C$21, $C$9, 100%, $E$9)</f>
        <v>61.671900000000001</v>
      </c>
      <c r="P922" s="10">
        <f>CHOOSE(CONTROL!$C$42, 61.4209, 61.4209) * CHOOSE(CONTROL!$C$21, $C$9, 100%, $E$9)</f>
        <v>61.420900000000003</v>
      </c>
      <c r="Q922" s="10">
        <f>CHOOSE(CONTROL!$C$42, 62.2672, 62.2672) * CHOOSE(CONTROL!$C$21, $C$9, 100%, $E$9)</f>
        <v>62.267200000000003</v>
      </c>
      <c r="R922" s="10">
        <f>CHOOSE(CONTROL!$C$42, 63.0098, 63.0098) * CHOOSE(CONTROL!$C$21, $C$9, 100%, $E$9)</f>
        <v>63.009799999999998</v>
      </c>
      <c r="S922" s="10">
        <f>CHOOSE(CONTROL!$C$42, 60.2685, 60.2685) * CHOOSE(CONTROL!$C$21, $C$9, 100%, $E$9)</f>
        <v>60.268500000000003</v>
      </c>
      <c r="T922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922" s="58">
        <f>(1000*CHOOSE(CONTROL!$C$42, 695, 695)*CHOOSE(CONTROL!$C$42, 0.5599, 0.5599)*CHOOSE(CONTROL!$C$42, 31, 31))/1000000</f>
        <v>12.063045499999998</v>
      </c>
      <c r="V922" s="58">
        <f>(1000*CHOOSE(CONTROL!$C$42, 500, 500)*CHOOSE(CONTROL!$C$42, 0.275, 0.275)*CHOOSE(CONTROL!$C$42, 31, 31))/1000000</f>
        <v>4.2625000000000002</v>
      </c>
      <c r="W922" s="58">
        <f>(1000*CHOOSE(CONTROL!$C$42, 0.1146, 0.1146)*CHOOSE(CONTROL!$C$42, 121.5, 121.5)*CHOOSE(CONTROL!$C$42, 31, 31))/1000000</f>
        <v>0.43164089999999994</v>
      </c>
      <c r="X922" s="58">
        <f>(31*0.1790888*245000/1000000)+(31*0.2374*100000/1000000)</f>
        <v>2.0961194359999999</v>
      </c>
      <c r="Y922" s="58"/>
      <c r="Z922" s="10"/>
      <c r="AA922" s="57"/>
      <c r="AB922" s="51">
        <f>(B922*131.881+C922*277.167+D922*79.08+E922*125.872+F922*40+G922*185+H922*0+I922*100+J922*300)/(131.881+277.167+79.08+125.872+0+40+185+100+300)</f>
        <v>62.087417641000798</v>
      </c>
      <c r="AC922" s="27">
        <f>(M922*'RAP TEMPLATE-GAS AVAILABILITY'!O921+N922*'RAP TEMPLATE-GAS AVAILABILITY'!P921+O922*'RAP TEMPLATE-GAS AVAILABILITY'!Q921+P922*'RAP TEMPLATE-GAS AVAILABILITY'!R921)/('RAP TEMPLATE-GAS AVAILABILITY'!O921+'RAP TEMPLATE-GAS AVAILABILITY'!P921+'RAP TEMPLATE-GAS AVAILABILITY'!Q921+'RAP TEMPLATE-GAS AVAILABILITY'!R921)</f>
        <v>61.533051079136683</v>
      </c>
    </row>
    <row r="923" spans="1:29" ht="15.75" x14ac:dyDescent="0.25">
      <c r="A923" s="13">
        <v>69002</v>
      </c>
      <c r="B923" s="10">
        <f>CHOOSE(CONTROL!$C$42, 63.6993, 63.6993) * CHOOSE(CONTROL!$C$21, $C$9, 100%, $E$9)</f>
        <v>63.699300000000001</v>
      </c>
      <c r="C923" s="10">
        <f>CHOOSE(CONTROL!$C$42, 63.7043, 63.7043) * CHOOSE(CONTROL!$C$21, $C$9, 100%, $E$9)</f>
        <v>63.704300000000003</v>
      </c>
      <c r="D923" s="10">
        <f>CHOOSE(CONTROL!$C$42, 63.7339, 63.7339) * CHOOSE(CONTROL!$C$21, $C$9, 100%, $E$9)</f>
        <v>63.733899999999998</v>
      </c>
      <c r="E923" s="10">
        <f>CHOOSE(CONTROL!$C$42, 63.7676, 63.7676) * CHOOSE(CONTROL!$C$21, $C$9, 100%, $E$9)</f>
        <v>63.767600000000002</v>
      </c>
      <c r="F923" s="10">
        <f>CHOOSE(CONTROL!$C$42, 63.6661, 63.6661)*CHOOSE(CONTROL!$C$21, $C$9, 100%, $E$9)</f>
        <v>63.6661</v>
      </c>
      <c r="G923" s="10">
        <f>CHOOSE(CONTROL!$C$42, 63.6832, 63.6832)*CHOOSE(CONTROL!$C$21, $C$9, 100%, $E$9)</f>
        <v>63.683199999999999</v>
      </c>
      <c r="H923" s="10">
        <f>CHOOSE(CONTROL!$C$42, 63.7568, 63.7568) * CHOOSE(CONTROL!$C$21, $C$9, 100%, $E$9)</f>
        <v>63.756799999999998</v>
      </c>
      <c r="I923" s="10">
        <f>CHOOSE(CONTROL!$C$42, 63.6629, 63.6629)* CHOOSE(CONTROL!$C$21, $C$9, 100%, $E$9)</f>
        <v>63.6629</v>
      </c>
      <c r="J923" s="10">
        <f>CHOOSE(CONTROL!$C$42, 63.6591, 63.6591)* CHOOSE(CONTROL!$C$21, $C$9, 100%, $E$9)</f>
        <v>63.659100000000002</v>
      </c>
      <c r="K923" s="54">
        <f>CHOOSE(CONTROL!$C$42, 63.659, 63.659) * CHOOSE(CONTROL!$C$21, $C$9, 100%, $E$9)</f>
        <v>63.658999999999999</v>
      </c>
      <c r="L923" s="10">
        <f>CHOOSE(CONTROL!$C$42, 64.3438, 64.3438) * CHOOSE(CONTROL!$C$21, $C$9, 100%, $E$9)</f>
        <v>64.343800000000002</v>
      </c>
      <c r="M923" s="10">
        <f>CHOOSE(CONTROL!$C$42, 63.0305, 63.0305) * CHOOSE(CONTROL!$C$21, $C$9, 100%, $E$9)</f>
        <v>63.030500000000004</v>
      </c>
      <c r="N923" s="10">
        <f>CHOOSE(CONTROL!$C$42, 63.0474, 63.0474) * CHOOSE(CONTROL!$C$21, $C$9, 100%, $E$9)</f>
        <v>63.047400000000003</v>
      </c>
      <c r="O923" s="10">
        <f>CHOOSE(CONTROL!$C$42, 63.1273, 63.1273) * CHOOSE(CONTROL!$C$21, $C$9, 100%, $E$9)</f>
        <v>63.127299999999998</v>
      </c>
      <c r="P923" s="10">
        <f>CHOOSE(CONTROL!$C$42, 63.0343, 63.0343) * CHOOSE(CONTROL!$C$21, $C$9, 100%, $E$9)</f>
        <v>63.034300000000002</v>
      </c>
      <c r="Q923" s="10">
        <f>CHOOSE(CONTROL!$C$42, 63.7226, 63.7226) * CHOOSE(CONTROL!$C$21, $C$9, 100%, $E$9)</f>
        <v>63.7226</v>
      </c>
      <c r="R923" s="10">
        <f>CHOOSE(CONTROL!$C$42, 64.4689, 64.4689) * CHOOSE(CONTROL!$C$21, $C$9, 100%, $E$9)</f>
        <v>64.468900000000005</v>
      </c>
      <c r="S923" s="10">
        <f>CHOOSE(CONTROL!$C$42, 61.8563, 61.8563) * CHOOSE(CONTROL!$C$21, $C$9, 100%, $E$9)</f>
        <v>61.856299999999997</v>
      </c>
      <c r="T923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923" s="58">
        <f>(1000*CHOOSE(CONTROL!$C$42, 695, 695)*CHOOSE(CONTROL!$C$42, 0.5599, 0.5599)*CHOOSE(CONTROL!$C$42, 30, 30))/1000000</f>
        <v>11.673914999999997</v>
      </c>
      <c r="V923" s="58">
        <f>(1000*CHOOSE(CONTROL!$C$42, 500, 500)*CHOOSE(CONTROL!$C$42, 0.275, 0.275)*CHOOSE(CONTROL!$C$42, 30, 30))/1000000</f>
        <v>4.125</v>
      </c>
      <c r="W923" s="58">
        <f>(1000*CHOOSE(CONTROL!$C$42, 0.1146, 0.1146)*CHOOSE(CONTROL!$C$42, 121.5, 121.5)*CHOOSE(CONTROL!$C$42, 30, 30))/1000000</f>
        <v>0.417717</v>
      </c>
      <c r="X923" s="58">
        <f>(30*0.1790888*100000/1000000)+(30*0.2374*100000/1000000)</f>
        <v>1.2494664</v>
      </c>
      <c r="Y923" s="58"/>
      <c r="Z923" s="10"/>
      <c r="AA923" s="57"/>
      <c r="AB923" s="51">
        <f>(B923*122.58+C923*297.941+D923*89.177+E923*40.302+F923*40+G923*160+H923*0+I923*100+J923*300)/(122.58+297.941+89.177+40.302+0+40+160+100+300)</f>
        <v>63.688625092000002</v>
      </c>
      <c r="AC923" s="27">
        <f>(M923*'RAP TEMPLATE-GAS AVAILABILITY'!O922+N923*'RAP TEMPLATE-GAS AVAILABILITY'!P922+O923*'RAP TEMPLATE-GAS AVAILABILITY'!Q922+P923*'RAP TEMPLATE-GAS AVAILABILITY'!R922)/('RAP TEMPLATE-GAS AVAILABILITY'!O922+'RAP TEMPLATE-GAS AVAILABILITY'!P922+'RAP TEMPLATE-GAS AVAILABILITY'!Q922+'RAP TEMPLATE-GAS AVAILABILITY'!R922)</f>
        <v>63.075892805755394</v>
      </c>
    </row>
    <row r="924" spans="1:29" ht="15.75" x14ac:dyDescent="0.25">
      <c r="A924" s="13">
        <v>69033</v>
      </c>
      <c r="B924" s="10">
        <f>CHOOSE(CONTROL!$C$42, 68.0421, 68.0421) * CHOOSE(CONTROL!$C$21, $C$9, 100%, $E$9)</f>
        <v>68.042100000000005</v>
      </c>
      <c r="C924" s="10">
        <f>CHOOSE(CONTROL!$C$42, 68.047, 68.047) * CHOOSE(CONTROL!$C$21, $C$9, 100%, $E$9)</f>
        <v>68.046999999999997</v>
      </c>
      <c r="D924" s="10">
        <f>CHOOSE(CONTROL!$C$42, 68.0767, 68.0767) * CHOOSE(CONTROL!$C$21, $C$9, 100%, $E$9)</f>
        <v>68.076700000000002</v>
      </c>
      <c r="E924" s="10">
        <f>CHOOSE(CONTROL!$C$42, 68.1104, 68.1104) * CHOOSE(CONTROL!$C$21, $C$9, 100%, $E$9)</f>
        <v>68.110399999999998</v>
      </c>
      <c r="F924" s="10">
        <f>CHOOSE(CONTROL!$C$42, 68.0103, 68.0103)*CHOOSE(CONTROL!$C$21, $C$9, 100%, $E$9)</f>
        <v>68.010300000000001</v>
      </c>
      <c r="G924" s="10">
        <f>CHOOSE(CONTROL!$C$42, 68.0278, 68.0278)*CHOOSE(CONTROL!$C$21, $C$9, 100%, $E$9)</f>
        <v>68.027799999999999</v>
      </c>
      <c r="H924" s="10">
        <f>CHOOSE(CONTROL!$C$42, 68.0996, 68.0996) * CHOOSE(CONTROL!$C$21, $C$9, 100%, $E$9)</f>
        <v>68.099599999999995</v>
      </c>
      <c r="I924" s="10">
        <f>CHOOSE(CONTROL!$C$42, 68.0057, 68.0057)* CHOOSE(CONTROL!$C$21, $C$9, 100%, $E$9)</f>
        <v>68.005700000000004</v>
      </c>
      <c r="J924" s="10">
        <f>CHOOSE(CONTROL!$C$42, 68.0033, 68.0033)* CHOOSE(CONTROL!$C$21, $C$9, 100%, $E$9)</f>
        <v>68.003299999999996</v>
      </c>
      <c r="K924" s="54">
        <f>CHOOSE(CONTROL!$C$42, 68.0018, 68.0018) * CHOOSE(CONTROL!$C$21, $C$9, 100%, $E$9)</f>
        <v>68.001800000000003</v>
      </c>
      <c r="L924" s="10">
        <f>CHOOSE(CONTROL!$C$42, 68.6866, 68.6866) * CHOOSE(CONTROL!$C$21, $C$9, 100%, $E$9)</f>
        <v>68.686599999999999</v>
      </c>
      <c r="M924" s="10">
        <f>CHOOSE(CONTROL!$C$42, 67.3309, 67.3309) * CHOOSE(CONTROL!$C$21, $C$9, 100%, $E$9)</f>
        <v>67.3309</v>
      </c>
      <c r="N924" s="10">
        <f>CHOOSE(CONTROL!$C$42, 67.3482, 67.3482) * CHOOSE(CONTROL!$C$21, $C$9, 100%, $E$9)</f>
        <v>67.348200000000006</v>
      </c>
      <c r="O924" s="10">
        <f>CHOOSE(CONTROL!$C$42, 67.4262, 67.4262) * CHOOSE(CONTROL!$C$21, $C$9, 100%, $E$9)</f>
        <v>67.426199999999994</v>
      </c>
      <c r="P924" s="10">
        <f>CHOOSE(CONTROL!$C$42, 67.3333, 67.3333) * CHOOSE(CONTROL!$C$21, $C$9, 100%, $E$9)</f>
        <v>67.333299999999994</v>
      </c>
      <c r="Q924" s="10">
        <f>CHOOSE(CONTROL!$C$42, 68.0215, 68.0215) * CHOOSE(CONTROL!$C$21, $C$9, 100%, $E$9)</f>
        <v>68.021500000000003</v>
      </c>
      <c r="R924" s="10">
        <f>CHOOSE(CONTROL!$C$42, 68.7786, 68.7786) * CHOOSE(CONTROL!$C$21, $C$9, 100%, $E$9)</f>
        <v>68.778599999999997</v>
      </c>
      <c r="S924" s="10">
        <f>CHOOSE(CONTROL!$C$42, 66.0735, 66.0735) * CHOOSE(CONTROL!$C$21, $C$9, 100%, $E$9)</f>
        <v>66.073499999999996</v>
      </c>
      <c r="T924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924" s="58">
        <f>(1000*CHOOSE(CONTROL!$C$42, 695, 695)*CHOOSE(CONTROL!$C$42, 0.5599, 0.5599)*CHOOSE(CONTROL!$C$42, 31, 31))/1000000</f>
        <v>12.063045499999998</v>
      </c>
      <c r="V924" s="58">
        <f>(1000*CHOOSE(CONTROL!$C$42, 500, 500)*CHOOSE(CONTROL!$C$42, 0.275, 0.275)*CHOOSE(CONTROL!$C$42, 31, 31))/1000000</f>
        <v>4.2625000000000002</v>
      </c>
      <c r="W924" s="58">
        <f>(1000*CHOOSE(CONTROL!$C$42, 0.1146, 0.1146)*CHOOSE(CONTROL!$C$42, 121.5, 121.5)*CHOOSE(CONTROL!$C$42, 31, 31))/1000000</f>
        <v>0.43164089999999994</v>
      </c>
      <c r="X924" s="58">
        <f>(31*0.1790888*100000/1000000)+(31*0.2374*100000/1000000)</f>
        <v>1.2911152800000001</v>
      </c>
      <c r="Y924" s="58"/>
      <c r="Z924" s="10"/>
      <c r="AA924" s="57"/>
      <c r="AB924" s="51">
        <f>(B924*122.58+C924*297.941+D924*89.177+E924*40.302+F924*40+G924*160+H924*0+I924*100+J924*300)/(122.58+297.941+89.177+40.302+0+40+160+100+300)</f>
        <v>68.032063531913039</v>
      </c>
      <c r="AC924" s="27">
        <f>(M924*'RAP TEMPLATE-GAS AVAILABILITY'!O923+N924*'RAP TEMPLATE-GAS AVAILABILITY'!P923+O924*'RAP TEMPLATE-GAS AVAILABILITY'!Q923+P924*'RAP TEMPLATE-GAS AVAILABILITY'!R923)/('RAP TEMPLATE-GAS AVAILABILITY'!O923+'RAP TEMPLATE-GAS AVAILABILITY'!P923+'RAP TEMPLATE-GAS AVAILABILITY'!Q923+'RAP TEMPLATE-GAS AVAILABILITY'!R923)</f>
        <v>67.375434532374101</v>
      </c>
    </row>
    <row r="925" spans="1:29" ht="15.75" x14ac:dyDescent="0.25">
      <c r="A925" s="13">
        <v>69064</v>
      </c>
      <c r="B925" s="10">
        <f>CHOOSE(CONTROL!$C$42, 73.617, 73.617) * CHOOSE(CONTROL!$C$21, $C$9, 100%, $E$9)</f>
        <v>73.617000000000004</v>
      </c>
      <c r="C925" s="10">
        <f>CHOOSE(CONTROL!$C$42, 73.622, 73.622) * CHOOSE(CONTROL!$C$21, $C$9, 100%, $E$9)</f>
        <v>73.622</v>
      </c>
      <c r="D925" s="10">
        <f>CHOOSE(CONTROL!$C$42, 73.6722, 73.6722) * CHOOSE(CONTROL!$C$21, $C$9, 100%, $E$9)</f>
        <v>73.672200000000004</v>
      </c>
      <c r="E925" s="10">
        <f>CHOOSE(CONTROL!$C$42, 73.706, 73.706) * CHOOSE(CONTROL!$C$21, $C$9, 100%, $E$9)</f>
        <v>73.706000000000003</v>
      </c>
      <c r="F925" s="10">
        <f>CHOOSE(CONTROL!$C$42, 73.5824, 73.5824)*CHOOSE(CONTROL!$C$21, $C$9, 100%, $E$9)</f>
        <v>73.582400000000007</v>
      </c>
      <c r="G925" s="10">
        <f>CHOOSE(CONTROL!$C$42, 73.5999, 73.5999)*CHOOSE(CONTROL!$C$21, $C$9, 100%, $E$9)</f>
        <v>73.599900000000005</v>
      </c>
      <c r="H925" s="10">
        <f>CHOOSE(CONTROL!$C$42, 73.6951, 73.6951) * CHOOSE(CONTROL!$C$21, $C$9, 100%, $E$9)</f>
        <v>73.695099999999996</v>
      </c>
      <c r="I925" s="10">
        <f>CHOOSE(CONTROL!$C$42, 73.5909, 73.5909)* CHOOSE(CONTROL!$C$21, $C$9, 100%, $E$9)</f>
        <v>73.590900000000005</v>
      </c>
      <c r="J925" s="10">
        <f>CHOOSE(CONTROL!$C$42, 73.5754, 73.5754)* CHOOSE(CONTROL!$C$21, $C$9, 100%, $E$9)</f>
        <v>73.575400000000002</v>
      </c>
      <c r="K925" s="54">
        <f>CHOOSE(CONTROL!$C$42, 73.587, 73.587) * CHOOSE(CONTROL!$C$21, $C$9, 100%, $E$9)</f>
        <v>73.587000000000003</v>
      </c>
      <c r="L925" s="10">
        <f>CHOOSE(CONTROL!$C$42, 74.2821, 74.2821) * CHOOSE(CONTROL!$C$21, $C$9, 100%, $E$9)</f>
        <v>74.2821</v>
      </c>
      <c r="M925" s="10">
        <f>CHOOSE(CONTROL!$C$42, 72.8467, 72.8467) * CHOOSE(CONTROL!$C$21, $C$9, 100%, $E$9)</f>
        <v>72.846699999999998</v>
      </c>
      <c r="N925" s="10">
        <f>CHOOSE(CONTROL!$C$42, 72.8641, 72.8641) * CHOOSE(CONTROL!$C$21, $C$9, 100%, $E$9)</f>
        <v>72.864099999999993</v>
      </c>
      <c r="O925" s="10">
        <f>CHOOSE(CONTROL!$C$42, 72.9653, 72.9653) * CHOOSE(CONTROL!$C$21, $C$9, 100%, $E$9)</f>
        <v>72.965299999999999</v>
      </c>
      <c r="P925" s="10">
        <f>CHOOSE(CONTROL!$C$42, 72.8621, 72.8621) * CHOOSE(CONTROL!$C$21, $C$9, 100%, $E$9)</f>
        <v>72.862099999999998</v>
      </c>
      <c r="Q925" s="10">
        <f>CHOOSE(CONTROL!$C$42, 73.5606, 73.5606) * CHOOSE(CONTROL!$C$21, $C$9, 100%, $E$9)</f>
        <v>73.560599999999994</v>
      </c>
      <c r="R925" s="10">
        <f>CHOOSE(CONTROL!$C$42, 74.3315, 74.3315) * CHOOSE(CONTROL!$C$21, $C$9, 100%, $E$9)</f>
        <v>74.331500000000005</v>
      </c>
      <c r="S925" s="10">
        <f>CHOOSE(CONTROL!$C$42, 71.4873, 71.4873) * CHOOSE(CONTROL!$C$21, $C$9, 100%, $E$9)</f>
        <v>71.487300000000005</v>
      </c>
      <c r="T925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925" s="58">
        <f>(1000*CHOOSE(CONTROL!$C$42, 695, 695)*CHOOSE(CONTROL!$C$42, 0.5599, 0.5599)*CHOOSE(CONTROL!$C$42, 31, 31))/1000000</f>
        <v>12.063045499999998</v>
      </c>
      <c r="V925" s="58">
        <f>(1000*CHOOSE(CONTROL!$C$42, 500, 500)*CHOOSE(CONTROL!$C$42, 0.275, 0.275)*CHOOSE(CONTROL!$C$42, 31, 31))/1000000</f>
        <v>4.2625000000000002</v>
      </c>
      <c r="W925" s="58">
        <f>(1000*CHOOSE(CONTROL!$C$42, 0.1146, 0.1146)*CHOOSE(CONTROL!$C$42, 121.5, 121.5)*CHOOSE(CONTROL!$C$42, 31, 31))/1000000</f>
        <v>0.43164089999999994</v>
      </c>
      <c r="X925" s="58">
        <f>(31*0.1790888*100000/1000000)+(31*0.2374*100000/1000000)</f>
        <v>1.2911152800000001</v>
      </c>
      <c r="Y925" s="58"/>
      <c r="Z925" s="10"/>
      <c r="AA925" s="57"/>
      <c r="AB925" s="51">
        <f>(B925*122.58+C925*297.941+D925*89.177+E925*40.302+F925*40+G925*160+H925*0+I925*100+J925*300)/(122.58+297.941+89.177+40.302+0+40+160+100+300)</f>
        <v>73.608990568173908</v>
      </c>
      <c r="AC925" s="27">
        <f>(M925*'RAP TEMPLATE-GAS AVAILABILITY'!O924+N925*'RAP TEMPLATE-GAS AVAILABILITY'!P924+O925*'RAP TEMPLATE-GAS AVAILABILITY'!Q924+P925*'RAP TEMPLATE-GAS AVAILABILITY'!R924)/('RAP TEMPLATE-GAS AVAILABILITY'!O924+'RAP TEMPLATE-GAS AVAILABILITY'!P924+'RAP TEMPLATE-GAS AVAILABILITY'!Q924+'RAP TEMPLATE-GAS AVAILABILITY'!R924)</f>
        <v>72.903671223021576</v>
      </c>
    </row>
    <row r="926" spans="1:29" ht="15.75" x14ac:dyDescent="0.25">
      <c r="A926" s="13">
        <v>69092</v>
      </c>
      <c r="B926" s="10">
        <f>CHOOSE(CONTROL!$C$42, 74.9275, 74.9275) * CHOOSE(CONTROL!$C$21, $C$9, 100%, $E$9)</f>
        <v>74.927499999999995</v>
      </c>
      <c r="C926" s="10">
        <f>CHOOSE(CONTROL!$C$42, 74.9324, 74.9324) * CHOOSE(CONTROL!$C$21, $C$9, 100%, $E$9)</f>
        <v>74.932400000000001</v>
      </c>
      <c r="D926" s="10">
        <f>CHOOSE(CONTROL!$C$42, 74.9929, 74.9929) * CHOOSE(CONTROL!$C$21, $C$9, 100%, $E$9)</f>
        <v>74.992900000000006</v>
      </c>
      <c r="E926" s="10">
        <f>CHOOSE(CONTROL!$C$42, 75.0267, 75.0267) * CHOOSE(CONTROL!$C$21, $C$9, 100%, $E$9)</f>
        <v>75.026700000000005</v>
      </c>
      <c r="F926" s="10">
        <f>CHOOSE(CONTROL!$C$42, 74.9207, 74.9207)*CHOOSE(CONTROL!$C$21, $C$9, 100%, $E$9)</f>
        <v>74.920699999999997</v>
      </c>
      <c r="G926" s="10">
        <f>CHOOSE(CONTROL!$C$42, 74.938, 74.938)*CHOOSE(CONTROL!$C$21, $C$9, 100%, $E$9)</f>
        <v>74.938000000000002</v>
      </c>
      <c r="H926" s="10">
        <f>CHOOSE(CONTROL!$C$42, 75.0159, 75.0159) * CHOOSE(CONTROL!$C$21, $C$9, 100%, $E$9)</f>
        <v>75.015900000000002</v>
      </c>
      <c r="I926" s="10">
        <f>CHOOSE(CONTROL!$C$42, 74.9142, 74.9142)* CHOOSE(CONTROL!$C$21, $C$9, 100%, $E$9)</f>
        <v>74.914199999999994</v>
      </c>
      <c r="J926" s="10">
        <f>CHOOSE(CONTROL!$C$42, 74.9137, 74.9137)* CHOOSE(CONTROL!$C$21, $C$9, 100%, $E$9)</f>
        <v>74.913700000000006</v>
      </c>
      <c r="K926" s="54">
        <f>CHOOSE(CONTROL!$C$42, 74.9103, 74.9103) * CHOOSE(CONTROL!$C$21, $C$9, 100%, $E$9)</f>
        <v>74.910300000000007</v>
      </c>
      <c r="L926" s="10">
        <f>CHOOSE(CONTROL!$C$42, 75.6029, 75.6029) * CHOOSE(CONTROL!$C$21, $C$9, 100%, $E$9)</f>
        <v>75.602900000000005</v>
      </c>
      <c r="M926" s="10">
        <f>CHOOSE(CONTROL!$C$42, 74.1715, 74.1715) * CHOOSE(CONTROL!$C$21, $C$9, 100%, $E$9)</f>
        <v>74.171499999999995</v>
      </c>
      <c r="N926" s="10">
        <f>CHOOSE(CONTROL!$C$42, 74.1886, 74.1886) * CHOOSE(CONTROL!$C$21, $C$9, 100%, $E$9)</f>
        <v>74.188599999999994</v>
      </c>
      <c r="O926" s="10">
        <f>CHOOSE(CONTROL!$C$42, 74.2727, 74.2727) * CHOOSE(CONTROL!$C$21, $C$9, 100%, $E$9)</f>
        <v>74.2727</v>
      </c>
      <c r="P926" s="10">
        <f>CHOOSE(CONTROL!$C$42, 74.1721, 74.1721) * CHOOSE(CONTROL!$C$21, $C$9, 100%, $E$9)</f>
        <v>74.1721</v>
      </c>
      <c r="Q926" s="10">
        <f>CHOOSE(CONTROL!$C$42, 74.868, 74.868) * CHOOSE(CONTROL!$C$21, $C$9, 100%, $E$9)</f>
        <v>74.867999999999995</v>
      </c>
      <c r="R926" s="10">
        <f>CHOOSE(CONTROL!$C$42, 75.6421, 75.6421) * CHOOSE(CONTROL!$C$21, $C$9, 100%, $E$9)</f>
        <v>75.642099999999999</v>
      </c>
      <c r="S926" s="10">
        <f>CHOOSE(CONTROL!$C$42, 72.7599, 72.7599) * CHOOSE(CONTROL!$C$21, $C$9, 100%, $E$9)</f>
        <v>72.759900000000002</v>
      </c>
      <c r="T926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926" s="58">
        <f>(1000*CHOOSE(CONTROL!$C$42, 695, 695)*CHOOSE(CONTROL!$C$42, 0.5599, 0.5599)*CHOOSE(CONTROL!$C$42, 28, 28))/1000000</f>
        <v>10.895653999999999</v>
      </c>
      <c r="V926" s="58">
        <f>(1000*CHOOSE(CONTROL!$C$42, 500, 500)*CHOOSE(CONTROL!$C$42, 0.275, 0.275)*CHOOSE(CONTROL!$C$42, 28, 28))/1000000</f>
        <v>3.85</v>
      </c>
      <c r="W926" s="58">
        <f>(1000*CHOOSE(CONTROL!$C$42, 0.1146, 0.1146)*CHOOSE(CONTROL!$C$42, 121.5, 121.5)*CHOOSE(CONTROL!$C$42, 28, 28))/1000000</f>
        <v>0.38986920000000003</v>
      </c>
      <c r="X926" s="58">
        <f>(28*0.1790888*100000/1000000)+(28*0.2374*100000/1000000)</f>
        <v>1.16616864</v>
      </c>
      <c r="Y926" s="58"/>
      <c r="Z926" s="10"/>
      <c r="AA926" s="57"/>
      <c r="AB926" s="51">
        <f>(B926*122.58+C926*297.941+D926*89.177+E926*40.302+F926*40+G926*160+H926*0+I926*100+J926*300)/(122.58+297.941+89.177+40.302+0+40+160+100+300)</f>
        <v>74.933785256608687</v>
      </c>
      <c r="AC926" s="27">
        <f>(M926*'RAP TEMPLATE-GAS AVAILABILITY'!O925+N926*'RAP TEMPLATE-GAS AVAILABILITY'!P925+O926*'RAP TEMPLATE-GAS AVAILABILITY'!Q925+P926*'RAP TEMPLATE-GAS AVAILABILITY'!R925)/('RAP TEMPLATE-GAS AVAILABILITY'!O925+'RAP TEMPLATE-GAS AVAILABILITY'!P925+'RAP TEMPLATE-GAS AVAILABILITY'!Q925+'RAP TEMPLATE-GAS AVAILABILITY'!R925)</f>
        <v>74.218438129496406</v>
      </c>
    </row>
    <row r="927" spans="1:29" ht="15.75" x14ac:dyDescent="0.25">
      <c r="A927" s="13">
        <v>69123</v>
      </c>
      <c r="B927" s="10">
        <f>CHOOSE(CONTROL!$C$42, 72.8003, 72.8003) * CHOOSE(CONTROL!$C$21, $C$9, 100%, $E$9)</f>
        <v>72.800299999999993</v>
      </c>
      <c r="C927" s="10">
        <f>CHOOSE(CONTROL!$C$42, 72.8052, 72.8052) * CHOOSE(CONTROL!$C$21, $C$9, 100%, $E$9)</f>
        <v>72.805199999999999</v>
      </c>
      <c r="D927" s="10">
        <f>CHOOSE(CONTROL!$C$42, 72.8658, 72.8658) * CHOOSE(CONTROL!$C$21, $C$9, 100%, $E$9)</f>
        <v>72.865799999999993</v>
      </c>
      <c r="E927" s="10">
        <f>CHOOSE(CONTROL!$C$42, 72.8995, 72.8995) * CHOOSE(CONTROL!$C$21, $C$9, 100%, $E$9)</f>
        <v>72.899500000000003</v>
      </c>
      <c r="F927" s="10">
        <f>CHOOSE(CONTROL!$C$42, 72.788, 72.788)*CHOOSE(CONTROL!$C$21, $C$9, 100%, $E$9)</f>
        <v>72.787999999999997</v>
      </c>
      <c r="G927" s="10">
        <f>CHOOSE(CONTROL!$C$42, 72.8052, 72.8052)*CHOOSE(CONTROL!$C$21, $C$9, 100%, $E$9)</f>
        <v>72.805199999999999</v>
      </c>
      <c r="H927" s="10">
        <f>CHOOSE(CONTROL!$C$42, 72.8887, 72.8887) * CHOOSE(CONTROL!$C$21, $C$9, 100%, $E$9)</f>
        <v>72.8887</v>
      </c>
      <c r="I927" s="10">
        <f>CHOOSE(CONTROL!$C$42, 72.7742, 72.7742)* CHOOSE(CONTROL!$C$21, $C$9, 100%, $E$9)</f>
        <v>72.774199999999993</v>
      </c>
      <c r="J927" s="10">
        <f>CHOOSE(CONTROL!$C$42, 72.781, 72.781)* CHOOSE(CONTROL!$C$21, $C$9, 100%, $E$9)</f>
        <v>72.781000000000006</v>
      </c>
      <c r="K927" s="54">
        <f>CHOOSE(CONTROL!$C$42, 72.7703, 72.7703) * CHOOSE(CONTROL!$C$21, $C$9, 100%, $E$9)</f>
        <v>72.770300000000006</v>
      </c>
      <c r="L927" s="10">
        <f>CHOOSE(CONTROL!$C$42, 73.4757, 73.4757) * CHOOSE(CONTROL!$C$21, $C$9, 100%, $E$9)</f>
        <v>73.475700000000003</v>
      </c>
      <c r="M927" s="10">
        <f>CHOOSE(CONTROL!$C$42, 72.0604, 72.0604) * CHOOSE(CONTROL!$C$21, $C$9, 100%, $E$9)</f>
        <v>72.060400000000001</v>
      </c>
      <c r="N927" s="10">
        <f>CHOOSE(CONTROL!$C$42, 72.0774, 72.0774) * CHOOSE(CONTROL!$C$21, $C$9, 100%, $E$9)</f>
        <v>72.077399999999997</v>
      </c>
      <c r="O927" s="10">
        <f>CHOOSE(CONTROL!$C$42, 72.167, 72.167) * CHOOSE(CONTROL!$C$21, $C$9, 100%, $E$9)</f>
        <v>72.167000000000002</v>
      </c>
      <c r="P927" s="10">
        <f>CHOOSE(CONTROL!$C$42, 72.0536, 72.0536) * CHOOSE(CONTROL!$C$21, $C$9, 100%, $E$9)</f>
        <v>72.053600000000003</v>
      </c>
      <c r="Q927" s="10">
        <f>CHOOSE(CONTROL!$C$42, 72.7623, 72.7623) * CHOOSE(CONTROL!$C$21, $C$9, 100%, $E$9)</f>
        <v>72.762299999999996</v>
      </c>
      <c r="R927" s="10">
        <f>CHOOSE(CONTROL!$C$42, 73.5312, 73.5312) * CHOOSE(CONTROL!$C$21, $C$9, 100%, $E$9)</f>
        <v>73.531199999999998</v>
      </c>
      <c r="S927" s="10">
        <f>CHOOSE(CONTROL!$C$42, 70.6942, 70.6942) * CHOOSE(CONTROL!$C$21, $C$9, 100%, $E$9)</f>
        <v>70.694199999999995</v>
      </c>
      <c r="T927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927" s="58">
        <f>(1000*CHOOSE(CONTROL!$C$42, 695, 695)*CHOOSE(CONTROL!$C$42, 0.5599, 0.5599)*CHOOSE(CONTROL!$C$42, 31, 31))/1000000</f>
        <v>12.063045499999998</v>
      </c>
      <c r="V927" s="58">
        <f>(1000*CHOOSE(CONTROL!$C$42, 500, 500)*CHOOSE(CONTROL!$C$42, 0.275, 0.275)*CHOOSE(CONTROL!$C$42, 31, 31))/1000000</f>
        <v>4.2625000000000002</v>
      </c>
      <c r="W927" s="58">
        <f>(1000*CHOOSE(CONTROL!$C$42, 0.1146, 0.1146)*CHOOSE(CONTROL!$C$42, 121.5, 121.5)*CHOOSE(CONTROL!$C$42, 31, 31))/1000000</f>
        <v>0.43164089999999994</v>
      </c>
      <c r="X927" s="58">
        <f>(31*0.1790888*100000/1000000)+(31*0.2374*100000/1000000)</f>
        <v>1.2911152800000001</v>
      </c>
      <c r="Y927" s="58"/>
      <c r="Z927" s="10"/>
      <c r="AA927" s="57"/>
      <c r="AB927" s="51">
        <f>(B927*122.58+C927*297.941+D927*89.177+E927*40.302+F927*40+G927*160+H927*0+I927*100+J927*300)/(122.58+297.941+89.177+40.302+0+40+160+100+300)</f>
        <v>72.803074750260876</v>
      </c>
      <c r="AC927" s="27">
        <f>(M927*'RAP TEMPLATE-GAS AVAILABILITY'!O926+N927*'RAP TEMPLATE-GAS AVAILABILITY'!P926+O927*'RAP TEMPLATE-GAS AVAILABILITY'!Q926+P927*'RAP TEMPLATE-GAS AVAILABILITY'!R926)/('RAP TEMPLATE-GAS AVAILABILITY'!O926+'RAP TEMPLATE-GAS AVAILABILITY'!P926+'RAP TEMPLATE-GAS AVAILABILITY'!Q926+'RAP TEMPLATE-GAS AVAILABILITY'!R926)</f>
        <v>72.108715107913667</v>
      </c>
    </row>
    <row r="928" spans="1:29" ht="15.75" x14ac:dyDescent="0.25">
      <c r="A928" s="13">
        <v>69153</v>
      </c>
      <c r="B928" s="10">
        <f>CHOOSE(CONTROL!$C$42, 72.5835, 72.5835) * CHOOSE(CONTROL!$C$21, $C$9, 100%, $E$9)</f>
        <v>72.583500000000001</v>
      </c>
      <c r="C928" s="10">
        <f>CHOOSE(CONTROL!$C$42, 72.5879, 72.5879) * CHOOSE(CONTROL!$C$21, $C$9, 100%, $E$9)</f>
        <v>72.587900000000005</v>
      </c>
      <c r="D928" s="10">
        <f>CHOOSE(CONTROL!$C$42, 72.7834, 72.7834) * CHOOSE(CONTROL!$C$21, $C$9, 100%, $E$9)</f>
        <v>72.7834</v>
      </c>
      <c r="E928" s="10">
        <f>CHOOSE(CONTROL!$C$42, 72.8152, 72.8152) * CHOOSE(CONTROL!$C$21, $C$9, 100%, $E$9)</f>
        <v>72.815200000000004</v>
      </c>
      <c r="F928" s="10">
        <f>CHOOSE(CONTROL!$C$42, 72.5513, 72.5513)*CHOOSE(CONTROL!$C$21, $C$9, 100%, $E$9)</f>
        <v>72.551299999999998</v>
      </c>
      <c r="G928" s="10">
        <f>CHOOSE(CONTROL!$C$42, 72.5681, 72.5681)*CHOOSE(CONTROL!$C$21, $C$9, 100%, $E$9)</f>
        <v>72.568100000000001</v>
      </c>
      <c r="H928" s="10">
        <f>CHOOSE(CONTROL!$C$42, 72.805, 72.805) * CHOOSE(CONTROL!$C$21, $C$9, 100%, $E$9)</f>
        <v>72.805000000000007</v>
      </c>
      <c r="I928" s="10">
        <f>CHOOSE(CONTROL!$C$42, 72.5515, 72.5515)* CHOOSE(CONTROL!$C$21, $C$9, 100%, $E$9)</f>
        <v>72.551500000000004</v>
      </c>
      <c r="J928" s="10">
        <f>CHOOSE(CONTROL!$C$42, 72.5443, 72.5443)* CHOOSE(CONTROL!$C$21, $C$9, 100%, $E$9)</f>
        <v>72.544300000000007</v>
      </c>
      <c r="K928" s="54">
        <f>CHOOSE(CONTROL!$C$42, 72.5476, 72.5476) * CHOOSE(CONTROL!$C$21, $C$9, 100%, $E$9)</f>
        <v>72.547600000000003</v>
      </c>
      <c r="L928" s="10">
        <f>CHOOSE(CONTROL!$C$42, 73.392, 73.392) * CHOOSE(CONTROL!$C$21, $C$9, 100%, $E$9)</f>
        <v>73.391999999999996</v>
      </c>
      <c r="M928" s="10">
        <f>CHOOSE(CONTROL!$C$42, 71.826, 71.826) * CHOOSE(CONTROL!$C$21, $C$9, 100%, $E$9)</f>
        <v>71.825999999999993</v>
      </c>
      <c r="N928" s="10">
        <f>CHOOSE(CONTROL!$C$42, 71.8426, 71.8426) * CHOOSE(CONTROL!$C$21, $C$9, 100%, $E$9)</f>
        <v>71.842600000000004</v>
      </c>
      <c r="O928" s="10">
        <f>CHOOSE(CONTROL!$C$42, 72.0841, 72.0841) * CHOOSE(CONTROL!$C$21, $C$9, 100%, $E$9)</f>
        <v>72.084100000000007</v>
      </c>
      <c r="P928" s="10">
        <f>CHOOSE(CONTROL!$C$42, 71.8332, 71.8332) * CHOOSE(CONTROL!$C$21, $C$9, 100%, $E$9)</f>
        <v>71.833200000000005</v>
      </c>
      <c r="Q928" s="10">
        <f>CHOOSE(CONTROL!$C$42, 72.6794, 72.6794) * CHOOSE(CONTROL!$C$21, $C$9, 100%, $E$9)</f>
        <v>72.679400000000001</v>
      </c>
      <c r="R928" s="10">
        <f>CHOOSE(CONTROL!$C$42, 73.4481, 73.4481) * CHOOSE(CONTROL!$C$21, $C$9, 100%, $E$9)</f>
        <v>73.448099999999997</v>
      </c>
      <c r="S928" s="10">
        <f>CHOOSE(CONTROL!$C$42, 70.4829, 70.4829) * CHOOSE(CONTROL!$C$21, $C$9, 100%, $E$9)</f>
        <v>70.482900000000001</v>
      </c>
      <c r="T928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928" s="58">
        <f>(1000*CHOOSE(CONTROL!$C$42, 695, 695)*CHOOSE(CONTROL!$C$42, 0.5599, 0.5599)*CHOOSE(CONTROL!$C$42, 30, 30))/1000000</f>
        <v>11.673914999999997</v>
      </c>
      <c r="V928" s="58">
        <f>(1000*CHOOSE(CONTROL!$C$42, 500, 500)*CHOOSE(CONTROL!$C$42, 0.275, 0.275)*CHOOSE(CONTROL!$C$42, 30, 30))/1000000</f>
        <v>4.125</v>
      </c>
      <c r="W928" s="58">
        <f>(1000*CHOOSE(CONTROL!$C$42, 0.1146, 0.1146)*CHOOSE(CONTROL!$C$42, 121.5, 121.5)*CHOOSE(CONTROL!$C$42, 30, 30))/1000000</f>
        <v>0.417717</v>
      </c>
      <c r="X928" s="58">
        <f>(30*0.1790888*245000/1000000)+(30*0.2374*100000/1000000)</f>
        <v>2.0285026799999999</v>
      </c>
      <c r="Y928" s="58"/>
      <c r="Z928" s="10"/>
      <c r="AA928" s="57"/>
      <c r="AB928" s="51">
        <f>(B928*141.293+C928*267.993+D928*115.016+E928*89.698+F928*40+G928*185+H928*0+I928*100+J928*300)/(141.293+267.993+115.016+89.698+0+40+185+100+300)</f>
        <v>72.604369164003231</v>
      </c>
      <c r="AC928" s="27">
        <f>(M928*'RAP TEMPLATE-GAS AVAILABILITY'!O927+N928*'RAP TEMPLATE-GAS AVAILABILITY'!P927+O928*'RAP TEMPLATE-GAS AVAILABILITY'!Q927+P928*'RAP TEMPLATE-GAS AVAILABILITY'!R927)/('RAP TEMPLATE-GAS AVAILABILITY'!O927+'RAP TEMPLATE-GAS AVAILABILITY'!P927+'RAP TEMPLATE-GAS AVAILABILITY'!Q927+'RAP TEMPLATE-GAS AVAILABILITY'!R927)</f>
        <v>71.94497194244606</v>
      </c>
    </row>
    <row r="929" spans="1:29" ht="15.75" x14ac:dyDescent="0.25">
      <c r="A929" s="13">
        <v>69184</v>
      </c>
      <c r="B929" s="10">
        <f>CHOOSE(CONTROL!$C$42, 73.2255, 73.2255) * CHOOSE(CONTROL!$C$21, $C$9, 100%, $E$9)</f>
        <v>73.225499999999997</v>
      </c>
      <c r="C929" s="10">
        <f>CHOOSE(CONTROL!$C$42, 73.2334, 73.2334) * CHOOSE(CONTROL!$C$21, $C$9, 100%, $E$9)</f>
        <v>73.233400000000003</v>
      </c>
      <c r="D929" s="10">
        <f>CHOOSE(CONTROL!$C$42, 73.4258, 73.4258) * CHOOSE(CONTROL!$C$21, $C$9, 100%, $E$9)</f>
        <v>73.425799999999995</v>
      </c>
      <c r="E929" s="10">
        <f>CHOOSE(CONTROL!$C$42, 73.457, 73.457) * CHOOSE(CONTROL!$C$21, $C$9, 100%, $E$9)</f>
        <v>73.456999999999994</v>
      </c>
      <c r="F929" s="10">
        <f>CHOOSE(CONTROL!$C$42, 73.1917, 73.1917)*CHOOSE(CONTROL!$C$21, $C$9, 100%, $E$9)</f>
        <v>73.191699999999997</v>
      </c>
      <c r="G929" s="10">
        <f>CHOOSE(CONTROL!$C$42, 73.2089, 73.2089)*CHOOSE(CONTROL!$C$21, $C$9, 100%, $E$9)</f>
        <v>73.2089</v>
      </c>
      <c r="H929" s="10">
        <f>CHOOSE(CONTROL!$C$42, 73.4456, 73.4456) * CHOOSE(CONTROL!$C$21, $C$9, 100%, $E$9)</f>
        <v>73.445599999999999</v>
      </c>
      <c r="I929" s="10">
        <f>CHOOSE(CONTROL!$C$42, 73.1921, 73.1921)* CHOOSE(CONTROL!$C$21, $C$9, 100%, $E$9)</f>
        <v>73.192099999999996</v>
      </c>
      <c r="J929" s="10">
        <f>CHOOSE(CONTROL!$C$42, 73.1847, 73.1847)* CHOOSE(CONTROL!$C$21, $C$9, 100%, $E$9)</f>
        <v>73.184700000000007</v>
      </c>
      <c r="K929" s="54">
        <f>CHOOSE(CONTROL!$C$42, 73.1882, 73.1882) * CHOOSE(CONTROL!$C$21, $C$9, 100%, $E$9)</f>
        <v>73.188199999999995</v>
      </c>
      <c r="L929" s="10">
        <f>CHOOSE(CONTROL!$C$42, 74.0326, 74.0326) * CHOOSE(CONTROL!$C$21, $C$9, 100%, $E$9)</f>
        <v>74.032600000000002</v>
      </c>
      <c r="M929" s="10">
        <f>CHOOSE(CONTROL!$C$42, 72.46, 72.46) * CHOOSE(CONTROL!$C$21, $C$9, 100%, $E$9)</f>
        <v>72.459999999999994</v>
      </c>
      <c r="N929" s="10">
        <f>CHOOSE(CONTROL!$C$42, 72.477, 72.477) * CHOOSE(CONTROL!$C$21, $C$9, 100%, $E$9)</f>
        <v>72.477000000000004</v>
      </c>
      <c r="O929" s="10">
        <f>CHOOSE(CONTROL!$C$42, 72.7182, 72.7182) * CHOOSE(CONTROL!$C$21, $C$9, 100%, $E$9)</f>
        <v>72.718199999999996</v>
      </c>
      <c r="P929" s="10">
        <f>CHOOSE(CONTROL!$C$42, 72.4673, 72.4673) * CHOOSE(CONTROL!$C$21, $C$9, 100%, $E$9)</f>
        <v>72.467299999999994</v>
      </c>
      <c r="Q929" s="10">
        <f>CHOOSE(CONTROL!$C$42, 73.3135, 73.3135) * CHOOSE(CONTROL!$C$21, $C$9, 100%, $E$9)</f>
        <v>73.313500000000005</v>
      </c>
      <c r="R929" s="10">
        <f>CHOOSE(CONTROL!$C$42, 74.0838, 74.0838) * CHOOSE(CONTROL!$C$21, $C$9, 100%, $E$9)</f>
        <v>74.083799999999997</v>
      </c>
      <c r="S929" s="10">
        <f>CHOOSE(CONTROL!$C$42, 71.105, 71.105) * CHOOSE(CONTROL!$C$21, $C$9, 100%, $E$9)</f>
        <v>71.105000000000004</v>
      </c>
      <c r="T929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929" s="58">
        <f>(1000*CHOOSE(CONTROL!$C$42, 695, 695)*CHOOSE(CONTROL!$C$42, 0.5599, 0.5599)*CHOOSE(CONTROL!$C$42, 31, 31))/1000000</f>
        <v>12.063045499999998</v>
      </c>
      <c r="V929" s="58">
        <f>(1000*CHOOSE(CONTROL!$C$42, 500, 500)*CHOOSE(CONTROL!$C$42, 0.275, 0.275)*CHOOSE(CONTROL!$C$42, 31, 31))/1000000</f>
        <v>4.2625000000000002</v>
      </c>
      <c r="W929" s="58">
        <f>(1000*CHOOSE(CONTROL!$C$42, 0.1146, 0.1146)*CHOOSE(CONTROL!$C$42, 121.5, 121.5)*CHOOSE(CONTROL!$C$42, 31, 31))/1000000</f>
        <v>0.43164089999999994</v>
      </c>
      <c r="X929" s="58">
        <f>(31*0.1790888*245000/1000000)+(31*0.2374*100000/1000000)</f>
        <v>2.0961194359999999</v>
      </c>
      <c r="Y929" s="58"/>
      <c r="Z929" s="10"/>
      <c r="AA929" s="57"/>
      <c r="AB929" s="51">
        <f>(B929*194.205+C929*267.466+D929*133.845+E929*53.484+F929*40+G929*185+H929*0+I929*100+J929*300)/(194.205+267.466+133.845+53.484+0+40+185+100+300)</f>
        <v>73.242219529748837</v>
      </c>
      <c r="AC929" s="27">
        <f>(M929*'RAP TEMPLATE-GAS AVAILABILITY'!O928+N929*'RAP TEMPLATE-GAS AVAILABILITY'!P928+O929*'RAP TEMPLATE-GAS AVAILABILITY'!Q928+P929*'RAP TEMPLATE-GAS AVAILABILITY'!R928)/('RAP TEMPLATE-GAS AVAILABILITY'!O928+'RAP TEMPLATE-GAS AVAILABILITY'!P928+'RAP TEMPLATE-GAS AVAILABILITY'!Q928+'RAP TEMPLATE-GAS AVAILABILITY'!R928)</f>
        <v>72.579054676258991</v>
      </c>
    </row>
    <row r="930" spans="1:29" ht="15.75" x14ac:dyDescent="0.25">
      <c r="A930" s="13">
        <v>69214</v>
      </c>
      <c r="B930" s="10">
        <f>CHOOSE(CONTROL!$C$42, 75.3025, 75.3025) * CHOOSE(CONTROL!$C$21, $C$9, 100%, $E$9)</f>
        <v>75.302499999999995</v>
      </c>
      <c r="C930" s="10">
        <f>CHOOSE(CONTROL!$C$42, 75.3104, 75.3104) * CHOOSE(CONTROL!$C$21, $C$9, 100%, $E$9)</f>
        <v>75.310400000000001</v>
      </c>
      <c r="D930" s="10">
        <f>CHOOSE(CONTROL!$C$42, 75.5028, 75.5028) * CHOOSE(CONTROL!$C$21, $C$9, 100%, $E$9)</f>
        <v>75.502799999999993</v>
      </c>
      <c r="E930" s="10">
        <f>CHOOSE(CONTROL!$C$42, 75.534, 75.534) * CHOOSE(CONTROL!$C$21, $C$9, 100%, $E$9)</f>
        <v>75.534000000000006</v>
      </c>
      <c r="F930" s="10">
        <f>CHOOSE(CONTROL!$C$42, 75.269, 75.269)*CHOOSE(CONTROL!$C$21, $C$9, 100%, $E$9)</f>
        <v>75.269000000000005</v>
      </c>
      <c r="G930" s="10">
        <f>CHOOSE(CONTROL!$C$42, 75.2862, 75.2862)*CHOOSE(CONTROL!$C$21, $C$9, 100%, $E$9)</f>
        <v>75.286199999999994</v>
      </c>
      <c r="H930" s="10">
        <f>CHOOSE(CONTROL!$C$42, 75.5226, 75.5226) * CHOOSE(CONTROL!$C$21, $C$9, 100%, $E$9)</f>
        <v>75.522599999999997</v>
      </c>
      <c r="I930" s="10">
        <f>CHOOSE(CONTROL!$C$42, 75.2691, 75.2691)* CHOOSE(CONTROL!$C$21, $C$9, 100%, $E$9)</f>
        <v>75.269099999999995</v>
      </c>
      <c r="J930" s="10">
        <f>CHOOSE(CONTROL!$C$42, 75.262, 75.262)* CHOOSE(CONTROL!$C$21, $C$9, 100%, $E$9)</f>
        <v>75.262</v>
      </c>
      <c r="K930" s="54">
        <f>CHOOSE(CONTROL!$C$42, 75.2652, 75.2652) * CHOOSE(CONTROL!$C$21, $C$9, 100%, $E$9)</f>
        <v>75.265199999999993</v>
      </c>
      <c r="L930" s="10">
        <f>CHOOSE(CONTROL!$C$42, 76.1096, 76.1096) * CHOOSE(CONTROL!$C$21, $C$9, 100%, $E$9)</f>
        <v>76.1096</v>
      </c>
      <c r="M930" s="10">
        <f>CHOOSE(CONTROL!$C$42, 74.5163, 74.5163) * CHOOSE(CONTROL!$C$21, $C$9, 100%, $E$9)</f>
        <v>74.516300000000001</v>
      </c>
      <c r="N930" s="10">
        <f>CHOOSE(CONTROL!$C$42, 74.5333, 74.5333) * CHOOSE(CONTROL!$C$21, $C$9, 100%, $E$9)</f>
        <v>74.533299999999997</v>
      </c>
      <c r="O930" s="10">
        <f>CHOOSE(CONTROL!$C$42, 74.7743, 74.7743) * CHOOSE(CONTROL!$C$21, $C$9, 100%, $E$9)</f>
        <v>74.774299999999997</v>
      </c>
      <c r="P930" s="10">
        <f>CHOOSE(CONTROL!$C$42, 74.5233, 74.5233) * CHOOSE(CONTROL!$C$21, $C$9, 100%, $E$9)</f>
        <v>74.523300000000006</v>
      </c>
      <c r="Q930" s="10">
        <f>CHOOSE(CONTROL!$C$42, 75.3696, 75.3696) * CHOOSE(CONTROL!$C$21, $C$9, 100%, $E$9)</f>
        <v>75.369600000000005</v>
      </c>
      <c r="R930" s="10">
        <f>CHOOSE(CONTROL!$C$42, 76.145, 76.145) * CHOOSE(CONTROL!$C$21, $C$9, 100%, $E$9)</f>
        <v>76.144999999999996</v>
      </c>
      <c r="S930" s="10">
        <f>CHOOSE(CONTROL!$C$42, 73.122, 73.122) * CHOOSE(CONTROL!$C$21, $C$9, 100%, $E$9)</f>
        <v>73.122</v>
      </c>
      <c r="T930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930" s="58">
        <f>(1000*CHOOSE(CONTROL!$C$42, 695, 695)*CHOOSE(CONTROL!$C$42, 0.5599, 0.5599)*CHOOSE(CONTROL!$C$42, 30, 30))/1000000</f>
        <v>11.673914999999997</v>
      </c>
      <c r="V930" s="58">
        <f>(1000*CHOOSE(CONTROL!$C$42, 500, 500)*CHOOSE(CONTROL!$C$42, 0.275, 0.275)*CHOOSE(CONTROL!$C$42, 30, 30))/1000000</f>
        <v>4.125</v>
      </c>
      <c r="W930" s="58">
        <f>(1000*CHOOSE(CONTROL!$C$42, 0.1146, 0.1146)*CHOOSE(CONTROL!$C$42, 121.5, 121.5)*CHOOSE(CONTROL!$C$42, 30, 30))/1000000</f>
        <v>0.417717</v>
      </c>
      <c r="X930" s="58">
        <f>(30*0.1790888*245000/1000000)+(30*0.2374*100000/1000000)</f>
        <v>2.0285026799999999</v>
      </c>
      <c r="Y930" s="58"/>
      <c r="Z930" s="10"/>
      <c r="AA930" s="57"/>
      <c r="AB930" s="51">
        <f>(B930*194.205+C930*267.466+D930*133.845+E930*53.484+F930*40+G930*185+H930*0+I930*100+J930*300)/(194.205+267.466+133.845+53.484+0+40+185+100+300)</f>
        <v>75.319343156122457</v>
      </c>
      <c r="AC930" s="27">
        <f>(M930*'RAP TEMPLATE-GAS AVAILABILITY'!O929+N930*'RAP TEMPLATE-GAS AVAILABILITY'!P929+O930*'RAP TEMPLATE-GAS AVAILABILITY'!Q929+P930*'RAP TEMPLATE-GAS AVAILABILITY'!R929)/('RAP TEMPLATE-GAS AVAILABILITY'!O929+'RAP TEMPLATE-GAS AVAILABILITY'!P929+'RAP TEMPLATE-GAS AVAILABILITY'!Q929+'RAP TEMPLATE-GAS AVAILABILITY'!R929)</f>
        <v>74.635220863309343</v>
      </c>
    </row>
    <row r="931" spans="1:29" ht="15.75" x14ac:dyDescent="0.25">
      <c r="A931" s="13">
        <v>69245</v>
      </c>
      <c r="B931" s="10">
        <f>CHOOSE(CONTROL!$C$42, 73.8579, 73.8579) * CHOOSE(CONTROL!$C$21, $C$9, 100%, $E$9)</f>
        <v>73.857900000000001</v>
      </c>
      <c r="C931" s="10">
        <f>CHOOSE(CONTROL!$C$42, 73.8658, 73.8658) * CHOOSE(CONTROL!$C$21, $C$9, 100%, $E$9)</f>
        <v>73.865799999999993</v>
      </c>
      <c r="D931" s="10">
        <f>CHOOSE(CONTROL!$C$42, 74.0583, 74.0583) * CHOOSE(CONTROL!$C$21, $C$9, 100%, $E$9)</f>
        <v>74.058300000000003</v>
      </c>
      <c r="E931" s="10">
        <f>CHOOSE(CONTROL!$C$42, 74.0894, 74.0894) * CHOOSE(CONTROL!$C$21, $C$9, 100%, $E$9)</f>
        <v>74.089399999999998</v>
      </c>
      <c r="F931" s="10">
        <f>CHOOSE(CONTROL!$C$42, 73.8248, 73.8248)*CHOOSE(CONTROL!$C$21, $C$9, 100%, $E$9)</f>
        <v>73.824799999999996</v>
      </c>
      <c r="G931" s="10">
        <f>CHOOSE(CONTROL!$C$42, 73.8421, 73.8421)*CHOOSE(CONTROL!$C$21, $C$9, 100%, $E$9)</f>
        <v>73.842100000000002</v>
      </c>
      <c r="H931" s="10">
        <f>CHOOSE(CONTROL!$C$42, 74.078, 74.078) * CHOOSE(CONTROL!$C$21, $C$9, 100%, $E$9)</f>
        <v>74.078000000000003</v>
      </c>
      <c r="I931" s="10">
        <f>CHOOSE(CONTROL!$C$42, 73.8245, 73.8245)* CHOOSE(CONTROL!$C$21, $C$9, 100%, $E$9)</f>
        <v>73.8245</v>
      </c>
      <c r="J931" s="10">
        <f>CHOOSE(CONTROL!$C$42, 73.8178, 73.8178)* CHOOSE(CONTROL!$C$21, $C$9, 100%, $E$9)</f>
        <v>73.817800000000005</v>
      </c>
      <c r="K931" s="54">
        <f>CHOOSE(CONTROL!$C$42, 73.8206, 73.8206) * CHOOSE(CONTROL!$C$21, $C$9, 100%, $E$9)</f>
        <v>73.820599999999999</v>
      </c>
      <c r="L931" s="10">
        <f>CHOOSE(CONTROL!$C$42, 74.665, 74.665) * CHOOSE(CONTROL!$C$21, $C$9, 100%, $E$9)</f>
        <v>74.665000000000006</v>
      </c>
      <c r="M931" s="10">
        <f>CHOOSE(CONTROL!$C$42, 73.0867, 73.0867) * CHOOSE(CONTROL!$C$21, $C$9, 100%, $E$9)</f>
        <v>73.086699999999993</v>
      </c>
      <c r="N931" s="10">
        <f>CHOOSE(CONTROL!$C$42, 73.1038, 73.1038) * CHOOSE(CONTROL!$C$21, $C$9, 100%, $E$9)</f>
        <v>73.103800000000007</v>
      </c>
      <c r="O931" s="10">
        <f>CHOOSE(CONTROL!$C$42, 73.3443, 73.3443) * CHOOSE(CONTROL!$C$21, $C$9, 100%, $E$9)</f>
        <v>73.344300000000004</v>
      </c>
      <c r="P931" s="10">
        <f>CHOOSE(CONTROL!$C$42, 73.0933, 73.0933) * CHOOSE(CONTROL!$C$21, $C$9, 100%, $E$9)</f>
        <v>73.093299999999999</v>
      </c>
      <c r="Q931" s="10">
        <f>CHOOSE(CONTROL!$C$42, 73.9396, 73.9396) * CHOOSE(CONTROL!$C$21, $C$9, 100%, $E$9)</f>
        <v>73.939599999999999</v>
      </c>
      <c r="R931" s="10">
        <f>CHOOSE(CONTROL!$C$42, 74.7114, 74.7114) * CHOOSE(CONTROL!$C$21, $C$9, 100%, $E$9)</f>
        <v>74.711399999999998</v>
      </c>
      <c r="S931" s="10">
        <f>CHOOSE(CONTROL!$C$42, 71.7192, 71.7192) * CHOOSE(CONTROL!$C$21, $C$9, 100%, $E$9)</f>
        <v>71.719200000000001</v>
      </c>
      <c r="T931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931" s="58">
        <f>(1000*CHOOSE(CONTROL!$C$42, 695, 695)*CHOOSE(CONTROL!$C$42, 0.5599, 0.5599)*CHOOSE(CONTROL!$C$42, 31, 31))/1000000</f>
        <v>12.063045499999998</v>
      </c>
      <c r="V931" s="58">
        <f>(1000*CHOOSE(CONTROL!$C$42, 500, 500)*CHOOSE(CONTROL!$C$42, 0.275, 0.275)*CHOOSE(CONTROL!$C$42, 31, 31))/1000000</f>
        <v>4.2625000000000002</v>
      </c>
      <c r="W931" s="58">
        <f>(1000*CHOOSE(CONTROL!$C$42, 0.1146, 0.1146)*CHOOSE(CONTROL!$C$42, 121.5, 121.5)*CHOOSE(CONTROL!$C$42, 31, 31))/1000000</f>
        <v>0.43164089999999994</v>
      </c>
      <c r="X931" s="58">
        <f>(31*0.1790888*245000/1000000)+(31*0.2374*100000/1000000)</f>
        <v>2.0961194359999999</v>
      </c>
      <c r="Y931" s="58"/>
      <c r="Z931" s="10"/>
      <c r="AA931" s="57"/>
      <c r="AB931" s="51">
        <f>(B931*194.205+C931*267.466+D931*133.845+E931*53.484+F931*40+G931*185+H931*0+I931*100+J931*300)/(194.205+267.466+133.845+53.484+0+40+185+100+300)</f>
        <v>73.874933018367344</v>
      </c>
      <c r="AC931" s="27">
        <f>(M931*'RAP TEMPLATE-GAS AVAILABILITY'!O930+N931*'RAP TEMPLATE-GAS AVAILABILITY'!P930+O931*'RAP TEMPLATE-GAS AVAILABILITY'!Q930+P931*'RAP TEMPLATE-GAS AVAILABILITY'!R930)/('RAP TEMPLATE-GAS AVAILABILITY'!O930+'RAP TEMPLATE-GAS AVAILABILITY'!P930+'RAP TEMPLATE-GAS AVAILABILITY'!Q930+'RAP TEMPLATE-GAS AVAILABILITY'!R930)</f>
        <v>73.205387769784167</v>
      </c>
    </row>
    <row r="932" spans="1:29" ht="15.75" x14ac:dyDescent="0.25">
      <c r="A932" s="13">
        <v>69276</v>
      </c>
      <c r="B932" s="10">
        <f>CHOOSE(CONTROL!$C$42, 70.21, 70.21) * CHOOSE(CONTROL!$C$21, $C$9, 100%, $E$9)</f>
        <v>70.209999999999994</v>
      </c>
      <c r="C932" s="10">
        <f>CHOOSE(CONTROL!$C$42, 70.2179, 70.2179) * CHOOSE(CONTROL!$C$21, $C$9, 100%, $E$9)</f>
        <v>70.2179</v>
      </c>
      <c r="D932" s="10">
        <f>CHOOSE(CONTROL!$C$42, 70.4103, 70.4103) * CHOOSE(CONTROL!$C$21, $C$9, 100%, $E$9)</f>
        <v>70.410300000000007</v>
      </c>
      <c r="E932" s="10">
        <f>CHOOSE(CONTROL!$C$42, 70.4414, 70.4414) * CHOOSE(CONTROL!$C$21, $C$9, 100%, $E$9)</f>
        <v>70.441400000000002</v>
      </c>
      <c r="F932" s="10">
        <f>CHOOSE(CONTROL!$C$42, 70.177, 70.177)*CHOOSE(CONTROL!$C$21, $C$9, 100%, $E$9)</f>
        <v>70.177000000000007</v>
      </c>
      <c r="G932" s="10">
        <f>CHOOSE(CONTROL!$C$42, 70.1944, 70.1944)*CHOOSE(CONTROL!$C$21, $C$9, 100%, $E$9)</f>
        <v>70.194400000000002</v>
      </c>
      <c r="H932" s="10">
        <f>CHOOSE(CONTROL!$C$42, 70.4301, 70.4301) * CHOOSE(CONTROL!$C$21, $C$9, 100%, $E$9)</f>
        <v>70.430099999999996</v>
      </c>
      <c r="I932" s="10">
        <f>CHOOSE(CONTROL!$C$42, 70.1765, 70.1765)* CHOOSE(CONTROL!$C$21, $C$9, 100%, $E$9)</f>
        <v>70.176500000000004</v>
      </c>
      <c r="J932" s="10">
        <f>CHOOSE(CONTROL!$C$42, 70.17, 70.17)* CHOOSE(CONTROL!$C$21, $C$9, 100%, $E$9)</f>
        <v>70.17</v>
      </c>
      <c r="K932" s="54">
        <f>CHOOSE(CONTROL!$C$42, 70.1726, 70.1726) * CHOOSE(CONTROL!$C$21, $C$9, 100%, $E$9)</f>
        <v>70.172600000000003</v>
      </c>
      <c r="L932" s="10">
        <f>CHOOSE(CONTROL!$C$42, 71.0171, 71.0171) * CHOOSE(CONTROL!$C$21, $C$9, 100%, $E$9)</f>
        <v>71.017099999999999</v>
      </c>
      <c r="M932" s="10">
        <f>CHOOSE(CONTROL!$C$42, 69.4757, 69.4757) * CHOOSE(CONTROL!$C$21, $C$9, 100%, $E$9)</f>
        <v>69.475700000000003</v>
      </c>
      <c r="N932" s="10">
        <f>CHOOSE(CONTROL!$C$42, 69.4929, 69.4929) * CHOOSE(CONTROL!$C$21, $C$9, 100%, $E$9)</f>
        <v>69.492900000000006</v>
      </c>
      <c r="O932" s="10">
        <f>CHOOSE(CONTROL!$C$42, 69.7331, 69.7331) * CHOOSE(CONTROL!$C$21, $C$9, 100%, $E$9)</f>
        <v>69.733099999999993</v>
      </c>
      <c r="P932" s="10">
        <f>CHOOSE(CONTROL!$C$42, 69.4822, 69.4822) * CHOOSE(CONTROL!$C$21, $C$9, 100%, $E$9)</f>
        <v>69.482200000000006</v>
      </c>
      <c r="Q932" s="10">
        <f>CHOOSE(CONTROL!$C$42, 70.3284, 70.3284) * CHOOSE(CONTROL!$C$21, $C$9, 100%, $E$9)</f>
        <v>70.328400000000002</v>
      </c>
      <c r="R932" s="10">
        <f>CHOOSE(CONTROL!$C$42, 71.0913, 71.0913) * CHOOSE(CONTROL!$C$21, $C$9, 100%, $E$9)</f>
        <v>71.091300000000004</v>
      </c>
      <c r="S932" s="10">
        <f>CHOOSE(CONTROL!$C$42, 68.1766, 68.1766) * CHOOSE(CONTROL!$C$21, $C$9, 100%, $E$9)</f>
        <v>68.176599999999993</v>
      </c>
      <c r="T932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932" s="58">
        <f>(1000*CHOOSE(CONTROL!$C$42, 695, 695)*CHOOSE(CONTROL!$C$42, 0.5599, 0.5599)*CHOOSE(CONTROL!$C$42, 31, 31))/1000000</f>
        <v>12.063045499999998</v>
      </c>
      <c r="V932" s="58">
        <f>(1000*CHOOSE(CONTROL!$C$42, 500, 500)*CHOOSE(CONTROL!$C$42, 0.275, 0.275)*CHOOSE(CONTROL!$C$42, 31, 31))/1000000</f>
        <v>4.2625000000000002</v>
      </c>
      <c r="W932" s="58">
        <f>(1000*CHOOSE(CONTROL!$C$42, 0.1146, 0.1146)*CHOOSE(CONTROL!$C$42, 121.5, 121.5)*CHOOSE(CONTROL!$C$42, 31, 31))/1000000</f>
        <v>0.43164089999999994</v>
      </c>
      <c r="X932" s="58">
        <f>(31*0.1790888*245000/1000000)+(31*0.2374*100000/1000000)</f>
        <v>2.0961194359999999</v>
      </c>
      <c r="Y932" s="58"/>
      <c r="Z932" s="10"/>
      <c r="AA932" s="57"/>
      <c r="AB932" s="51">
        <f>(B932*194.205+C932*267.466+D932*133.845+E932*53.484+F932*40+G932*185+H932*0+I932*100+J932*300)/(194.205+267.466+133.845+53.484+0+40+185+100+300)</f>
        <v>70.227066195054945</v>
      </c>
      <c r="AC932" s="27">
        <f>(M932*'RAP TEMPLATE-GAS AVAILABILITY'!O931+N932*'RAP TEMPLATE-GAS AVAILABILITY'!P931+O932*'RAP TEMPLATE-GAS AVAILABILITY'!Q931+P932*'RAP TEMPLATE-GAS AVAILABILITY'!R931)/('RAP TEMPLATE-GAS AVAILABILITY'!O931+'RAP TEMPLATE-GAS AVAILABILITY'!P931+'RAP TEMPLATE-GAS AVAILABILITY'!Q931+'RAP TEMPLATE-GAS AVAILABILITY'!R931)</f>
        <v>69.594288489208637</v>
      </c>
    </row>
    <row r="933" spans="1:29" ht="15.75" x14ac:dyDescent="0.25">
      <c r="A933" s="13">
        <v>69306</v>
      </c>
      <c r="B933" s="10">
        <f>CHOOSE(CONTROL!$C$42, 65.7524, 65.7524) * CHOOSE(CONTROL!$C$21, $C$9, 100%, $E$9)</f>
        <v>65.752399999999994</v>
      </c>
      <c r="C933" s="10">
        <f>CHOOSE(CONTROL!$C$42, 65.7603, 65.7603) * CHOOSE(CONTROL!$C$21, $C$9, 100%, $E$9)</f>
        <v>65.760300000000001</v>
      </c>
      <c r="D933" s="10">
        <f>CHOOSE(CONTROL!$C$42, 65.9528, 65.9528) * CHOOSE(CONTROL!$C$21, $C$9, 100%, $E$9)</f>
        <v>65.952799999999996</v>
      </c>
      <c r="E933" s="10">
        <f>CHOOSE(CONTROL!$C$42, 65.9839, 65.9839) * CHOOSE(CONTROL!$C$21, $C$9, 100%, $E$9)</f>
        <v>65.983900000000006</v>
      </c>
      <c r="F933" s="10">
        <f>CHOOSE(CONTROL!$C$42, 65.7193, 65.7193)*CHOOSE(CONTROL!$C$21, $C$9, 100%, $E$9)</f>
        <v>65.719300000000004</v>
      </c>
      <c r="G933" s="10">
        <f>CHOOSE(CONTROL!$C$42, 65.7366, 65.7366)*CHOOSE(CONTROL!$C$21, $C$9, 100%, $E$9)</f>
        <v>65.736599999999996</v>
      </c>
      <c r="H933" s="10">
        <f>CHOOSE(CONTROL!$C$42, 65.9725, 65.9725) * CHOOSE(CONTROL!$C$21, $C$9, 100%, $E$9)</f>
        <v>65.972499999999997</v>
      </c>
      <c r="I933" s="10">
        <f>CHOOSE(CONTROL!$C$42, 65.719, 65.719)* CHOOSE(CONTROL!$C$21, $C$9, 100%, $E$9)</f>
        <v>65.718999999999994</v>
      </c>
      <c r="J933" s="10">
        <f>CHOOSE(CONTROL!$C$42, 65.7123, 65.7123)* CHOOSE(CONTROL!$C$21, $C$9, 100%, $E$9)</f>
        <v>65.712299999999999</v>
      </c>
      <c r="K933" s="54">
        <f>CHOOSE(CONTROL!$C$42, 65.7151, 65.7151) * CHOOSE(CONTROL!$C$21, $C$9, 100%, $E$9)</f>
        <v>65.715100000000007</v>
      </c>
      <c r="L933" s="10">
        <f>CHOOSE(CONTROL!$C$42, 66.5595, 66.5595) * CHOOSE(CONTROL!$C$21, $C$9, 100%, $E$9)</f>
        <v>66.5595</v>
      </c>
      <c r="M933" s="10">
        <f>CHOOSE(CONTROL!$C$42, 65.063, 65.063) * CHOOSE(CONTROL!$C$21, $C$9, 100%, $E$9)</f>
        <v>65.063000000000002</v>
      </c>
      <c r="N933" s="10">
        <f>CHOOSE(CONTROL!$C$42, 65.0801, 65.0801) * CHOOSE(CONTROL!$C$21, $C$9, 100%, $E$9)</f>
        <v>65.080100000000002</v>
      </c>
      <c r="O933" s="10">
        <f>CHOOSE(CONTROL!$C$42, 65.3206, 65.3206) * CHOOSE(CONTROL!$C$21, $C$9, 100%, $E$9)</f>
        <v>65.320599999999999</v>
      </c>
      <c r="P933" s="10">
        <f>CHOOSE(CONTROL!$C$42, 65.0696, 65.0696) * CHOOSE(CONTROL!$C$21, $C$9, 100%, $E$9)</f>
        <v>65.069599999999994</v>
      </c>
      <c r="Q933" s="10">
        <f>CHOOSE(CONTROL!$C$42, 65.9159, 65.9159) * CHOOSE(CONTROL!$C$21, $C$9, 100%, $E$9)</f>
        <v>65.915899999999993</v>
      </c>
      <c r="R933" s="10">
        <f>CHOOSE(CONTROL!$C$42, 66.6677, 66.6677) * CHOOSE(CONTROL!$C$21, $C$9, 100%, $E$9)</f>
        <v>66.667699999999996</v>
      </c>
      <c r="S933" s="10">
        <f>CHOOSE(CONTROL!$C$42, 63.8479, 63.8479) * CHOOSE(CONTROL!$C$21, $C$9, 100%, $E$9)</f>
        <v>63.847900000000003</v>
      </c>
      <c r="T933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933" s="58">
        <f>(1000*CHOOSE(CONTROL!$C$42, 695, 695)*CHOOSE(CONTROL!$C$42, 0.5599, 0.5599)*CHOOSE(CONTROL!$C$42, 30, 30))/1000000</f>
        <v>11.673914999999997</v>
      </c>
      <c r="V933" s="58">
        <f>(1000*CHOOSE(CONTROL!$C$42, 500, 500)*CHOOSE(CONTROL!$C$42, 0.275, 0.275)*CHOOSE(CONTROL!$C$42, 30, 30))/1000000</f>
        <v>4.125</v>
      </c>
      <c r="W933" s="58">
        <f>(1000*CHOOSE(CONTROL!$C$42, 0.1146, 0.1146)*CHOOSE(CONTROL!$C$42, 121.5, 121.5)*CHOOSE(CONTROL!$C$42, 30, 30))/1000000</f>
        <v>0.417717</v>
      </c>
      <c r="X933" s="58">
        <f>(30*0.1790888*245000/1000000)+(30*0.2374*100000/1000000)</f>
        <v>2.0285026799999999</v>
      </c>
      <c r="Y933" s="58"/>
      <c r="Z933" s="10"/>
      <c r="AA933" s="57"/>
      <c r="AB933" s="51">
        <f>(B933*194.205+C933*267.466+D933*133.845+E933*53.484+F933*40+G933*185+H933*0+I933*100+J933*300)/(194.205+267.466+133.845+53.484+0+40+185+100+300)</f>
        <v>65.769433018367351</v>
      </c>
      <c r="AC933" s="27">
        <f>(M933*'RAP TEMPLATE-GAS AVAILABILITY'!O932+N933*'RAP TEMPLATE-GAS AVAILABILITY'!P932+O933*'RAP TEMPLATE-GAS AVAILABILITY'!Q932+P933*'RAP TEMPLATE-GAS AVAILABILITY'!R932)/('RAP TEMPLATE-GAS AVAILABILITY'!O932+'RAP TEMPLATE-GAS AVAILABILITY'!P932+'RAP TEMPLATE-GAS AVAILABILITY'!Q932+'RAP TEMPLATE-GAS AVAILABILITY'!R932)</f>
        <v>65.181687769784176</v>
      </c>
    </row>
    <row r="934" spans="1:29" ht="15.75" x14ac:dyDescent="0.25">
      <c r="A934" s="13">
        <v>69337</v>
      </c>
      <c r="B934" s="10">
        <f>CHOOSE(CONTROL!$C$42, 64.4157, 64.4157) * CHOOSE(CONTROL!$C$21, $C$9, 100%, $E$9)</f>
        <v>64.415700000000001</v>
      </c>
      <c r="C934" s="10">
        <f>CHOOSE(CONTROL!$C$42, 64.4209, 64.4209) * CHOOSE(CONTROL!$C$21, $C$9, 100%, $E$9)</f>
        <v>64.420900000000003</v>
      </c>
      <c r="D934" s="10">
        <f>CHOOSE(CONTROL!$C$42, 64.6183, 64.6183) * CHOOSE(CONTROL!$C$21, $C$9, 100%, $E$9)</f>
        <v>64.618300000000005</v>
      </c>
      <c r="E934" s="10">
        <f>CHOOSE(CONTROL!$C$42, 64.6471, 64.6471) * CHOOSE(CONTROL!$C$21, $C$9, 100%, $E$9)</f>
        <v>64.647099999999995</v>
      </c>
      <c r="F934" s="10">
        <f>CHOOSE(CONTROL!$C$42, 64.3846, 64.3846)*CHOOSE(CONTROL!$C$21, $C$9, 100%, $E$9)</f>
        <v>64.384600000000006</v>
      </c>
      <c r="G934" s="10">
        <f>CHOOSE(CONTROL!$C$42, 64.4016, 64.4016)*CHOOSE(CONTROL!$C$21, $C$9, 100%, $E$9)</f>
        <v>64.401600000000002</v>
      </c>
      <c r="H934" s="10">
        <f>CHOOSE(CONTROL!$C$42, 64.6376, 64.6376) * CHOOSE(CONTROL!$C$21, $C$9, 100%, $E$9)</f>
        <v>64.637600000000006</v>
      </c>
      <c r="I934" s="10">
        <f>CHOOSE(CONTROL!$C$42, 64.3841, 64.3841)* CHOOSE(CONTROL!$C$21, $C$9, 100%, $E$9)</f>
        <v>64.384100000000004</v>
      </c>
      <c r="J934" s="10">
        <f>CHOOSE(CONTROL!$C$42, 64.3776, 64.3776)* CHOOSE(CONTROL!$C$21, $C$9, 100%, $E$9)</f>
        <v>64.377600000000001</v>
      </c>
      <c r="K934" s="54">
        <f>CHOOSE(CONTROL!$C$42, 64.3802, 64.3802) * CHOOSE(CONTROL!$C$21, $C$9, 100%, $E$9)</f>
        <v>64.380200000000002</v>
      </c>
      <c r="L934" s="10">
        <f>CHOOSE(CONTROL!$C$42, 65.2246, 65.2246) * CHOOSE(CONTROL!$C$21, $C$9, 100%, $E$9)</f>
        <v>65.224599999999995</v>
      </c>
      <c r="M934" s="10">
        <f>CHOOSE(CONTROL!$C$42, 63.7418, 63.7418) * CHOOSE(CONTROL!$C$21, $C$9, 100%, $E$9)</f>
        <v>63.741799999999998</v>
      </c>
      <c r="N934" s="10">
        <f>CHOOSE(CONTROL!$C$42, 63.7586, 63.7586) * CHOOSE(CONTROL!$C$21, $C$9, 100%, $E$9)</f>
        <v>63.758600000000001</v>
      </c>
      <c r="O934" s="10">
        <f>CHOOSE(CONTROL!$C$42, 63.9991, 63.9991) * CHOOSE(CONTROL!$C$21, $C$9, 100%, $E$9)</f>
        <v>63.999099999999999</v>
      </c>
      <c r="P934" s="10">
        <f>CHOOSE(CONTROL!$C$42, 63.7482, 63.7482) * CHOOSE(CONTROL!$C$21, $C$9, 100%, $E$9)</f>
        <v>63.748199999999997</v>
      </c>
      <c r="Q934" s="10">
        <f>CHOOSE(CONTROL!$C$42, 64.5944, 64.5944) * CHOOSE(CONTROL!$C$21, $C$9, 100%, $E$9)</f>
        <v>64.594399999999993</v>
      </c>
      <c r="R934" s="10">
        <f>CHOOSE(CONTROL!$C$42, 65.3429, 65.3429) * CHOOSE(CONTROL!$C$21, $C$9, 100%, $E$9)</f>
        <v>65.3429</v>
      </c>
      <c r="S934" s="10">
        <f>CHOOSE(CONTROL!$C$42, 62.5516, 62.5516) * CHOOSE(CONTROL!$C$21, $C$9, 100%, $E$9)</f>
        <v>62.551600000000001</v>
      </c>
      <c r="T934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934" s="58">
        <f>(1000*CHOOSE(CONTROL!$C$42, 695, 695)*CHOOSE(CONTROL!$C$42, 0.5599, 0.5599)*CHOOSE(CONTROL!$C$42, 31, 31))/1000000</f>
        <v>12.063045499999998</v>
      </c>
      <c r="V934" s="58">
        <f>(1000*CHOOSE(CONTROL!$C$42, 500, 500)*CHOOSE(CONTROL!$C$42, 0.275, 0.275)*CHOOSE(CONTROL!$C$42, 31, 31))/1000000</f>
        <v>4.2625000000000002</v>
      </c>
      <c r="W934" s="58">
        <f>(1000*CHOOSE(CONTROL!$C$42, 0.1146, 0.1146)*CHOOSE(CONTROL!$C$42, 121.5, 121.5)*CHOOSE(CONTROL!$C$42, 31, 31))/1000000</f>
        <v>0.43164089999999994</v>
      </c>
      <c r="X934" s="58">
        <f>(31*0.1790888*245000/1000000)+(31*0.2374*100000/1000000)</f>
        <v>2.0961194359999999</v>
      </c>
      <c r="Y934" s="58"/>
      <c r="Z934" s="10"/>
      <c r="AA934" s="57"/>
      <c r="AB934" s="51">
        <f>(B934*131.881+C934*277.167+D934*79.08+E934*125.872+F934*40+G934*185+H934*0+I934*100+J934*300)/(131.881+277.167+79.08+125.872+0+40+185+100+300)</f>
        <v>64.438417641000811</v>
      </c>
      <c r="AC934" s="27">
        <f>(M934*'RAP TEMPLATE-GAS AVAILABILITY'!O933+N934*'RAP TEMPLATE-GAS AVAILABILITY'!P933+O934*'RAP TEMPLATE-GAS AVAILABILITY'!Q933+P934*'RAP TEMPLATE-GAS AVAILABILITY'!R933)/('RAP TEMPLATE-GAS AVAILABILITY'!O933+'RAP TEMPLATE-GAS AVAILABILITY'!P933+'RAP TEMPLATE-GAS AVAILABILITY'!Q933+'RAP TEMPLATE-GAS AVAILABILITY'!R933)</f>
        <v>63.860305755395679</v>
      </c>
    </row>
    <row r="935" spans="1:29" ht="15.75" x14ac:dyDescent="0.25">
      <c r="A935" s="13">
        <v>69367</v>
      </c>
      <c r="B935" s="10">
        <f>CHOOSE(CONTROL!$C$42, 66.1122, 66.1122) * CHOOSE(CONTROL!$C$21, $C$9, 100%, $E$9)</f>
        <v>66.112200000000001</v>
      </c>
      <c r="C935" s="10">
        <f>CHOOSE(CONTROL!$C$42, 66.1172, 66.1172) * CHOOSE(CONTROL!$C$21, $C$9, 100%, $E$9)</f>
        <v>66.117199999999997</v>
      </c>
      <c r="D935" s="10">
        <f>CHOOSE(CONTROL!$C$42, 66.1468, 66.1468) * CHOOSE(CONTROL!$C$21, $C$9, 100%, $E$9)</f>
        <v>66.146799999999999</v>
      </c>
      <c r="E935" s="10">
        <f>CHOOSE(CONTROL!$C$42, 66.1806, 66.1806) * CHOOSE(CONTROL!$C$21, $C$9, 100%, $E$9)</f>
        <v>66.180599999999998</v>
      </c>
      <c r="F935" s="10">
        <f>CHOOSE(CONTROL!$C$42, 66.079, 66.079)*CHOOSE(CONTROL!$C$21, $C$9, 100%, $E$9)</f>
        <v>66.078999999999994</v>
      </c>
      <c r="G935" s="10">
        <f>CHOOSE(CONTROL!$C$42, 66.0962, 66.0962)*CHOOSE(CONTROL!$C$21, $C$9, 100%, $E$9)</f>
        <v>66.096199999999996</v>
      </c>
      <c r="H935" s="10">
        <f>CHOOSE(CONTROL!$C$42, 66.1698, 66.1698) * CHOOSE(CONTROL!$C$21, $C$9, 100%, $E$9)</f>
        <v>66.169799999999995</v>
      </c>
      <c r="I935" s="10">
        <f>CHOOSE(CONTROL!$C$42, 66.0758, 66.0758)* CHOOSE(CONTROL!$C$21, $C$9, 100%, $E$9)</f>
        <v>66.075800000000001</v>
      </c>
      <c r="J935" s="10">
        <f>CHOOSE(CONTROL!$C$42, 66.072, 66.072)* CHOOSE(CONTROL!$C$21, $C$9, 100%, $E$9)</f>
        <v>66.072000000000003</v>
      </c>
      <c r="K935" s="54">
        <f>CHOOSE(CONTROL!$C$42, 66.072, 66.072) * CHOOSE(CONTROL!$C$21, $C$9, 100%, $E$9)</f>
        <v>66.072000000000003</v>
      </c>
      <c r="L935" s="10">
        <f>CHOOSE(CONTROL!$C$42, 66.7568, 66.7568) * CHOOSE(CONTROL!$C$21, $C$9, 100%, $E$9)</f>
        <v>66.756799999999998</v>
      </c>
      <c r="M935" s="10">
        <f>CHOOSE(CONTROL!$C$42, 65.4191, 65.4191) * CHOOSE(CONTROL!$C$21, $C$9, 100%, $E$9)</f>
        <v>65.4191</v>
      </c>
      <c r="N935" s="10">
        <f>CHOOSE(CONTROL!$C$42, 65.436, 65.436) * CHOOSE(CONTROL!$C$21, $C$9, 100%, $E$9)</f>
        <v>65.436000000000007</v>
      </c>
      <c r="O935" s="10">
        <f>CHOOSE(CONTROL!$C$42, 65.5158, 65.5158) * CHOOSE(CONTROL!$C$21, $C$9, 100%, $E$9)</f>
        <v>65.515799999999999</v>
      </c>
      <c r="P935" s="10">
        <f>CHOOSE(CONTROL!$C$42, 65.4229, 65.4229) * CHOOSE(CONTROL!$C$21, $C$9, 100%, $E$9)</f>
        <v>65.422899999999998</v>
      </c>
      <c r="Q935" s="10">
        <f>CHOOSE(CONTROL!$C$42, 66.1111, 66.1111) * CHOOSE(CONTROL!$C$21, $C$9, 100%, $E$9)</f>
        <v>66.111099999999993</v>
      </c>
      <c r="R935" s="10">
        <f>CHOOSE(CONTROL!$C$42, 66.8634, 66.8634) * CHOOSE(CONTROL!$C$21, $C$9, 100%, $E$9)</f>
        <v>66.863399999999999</v>
      </c>
      <c r="S935" s="10">
        <f>CHOOSE(CONTROL!$C$42, 64.1995, 64.1995) * CHOOSE(CONTROL!$C$21, $C$9, 100%, $E$9)</f>
        <v>64.1995</v>
      </c>
      <c r="T935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935" s="58">
        <f>(1000*CHOOSE(CONTROL!$C$42, 695, 695)*CHOOSE(CONTROL!$C$42, 0.5599, 0.5599)*CHOOSE(CONTROL!$C$42, 30, 30))/1000000</f>
        <v>11.673914999999997</v>
      </c>
      <c r="V935" s="58">
        <f>(1000*CHOOSE(CONTROL!$C$42, 500, 500)*CHOOSE(CONTROL!$C$42, 0.275, 0.275)*CHOOSE(CONTROL!$C$42, 30, 30))/1000000</f>
        <v>4.125</v>
      </c>
      <c r="W935" s="58">
        <f>(1000*CHOOSE(CONTROL!$C$42, 0.1146, 0.1146)*CHOOSE(CONTROL!$C$42, 121.5, 121.5)*CHOOSE(CONTROL!$C$42, 30, 30))/1000000</f>
        <v>0.417717</v>
      </c>
      <c r="X935" s="58">
        <f>(30*0.1790888*100000/1000000)+(30*0.2374*100000/1000000)</f>
        <v>1.2494664</v>
      </c>
      <c r="Y935" s="58"/>
      <c r="Z935" s="10"/>
      <c r="AA935" s="57"/>
      <c r="AB935" s="51">
        <f>(B935*122.58+C935*297.941+D935*89.177+E935*40.302+F935*40+G935*160+H935*0+I935*100+J935*300)/(122.58+297.941+89.177+40.302+0+40+160+100+300)</f>
        <v>66.10154250956522</v>
      </c>
      <c r="AC935" s="27">
        <f>(M935*'RAP TEMPLATE-GAS AVAILABILITY'!O934+N935*'RAP TEMPLATE-GAS AVAILABILITY'!P934+O935*'RAP TEMPLATE-GAS AVAILABILITY'!Q934+P935*'RAP TEMPLATE-GAS AVAILABILITY'!R934)/('RAP TEMPLATE-GAS AVAILABILITY'!O934+'RAP TEMPLATE-GAS AVAILABILITY'!P934+'RAP TEMPLATE-GAS AVAILABILITY'!Q934+'RAP TEMPLATE-GAS AVAILABILITY'!R934)</f>
        <v>65.464447482014393</v>
      </c>
    </row>
    <row r="936" spans="1:29" ht="15.75" x14ac:dyDescent="0.25">
      <c r="A936" s="13">
        <v>69398</v>
      </c>
      <c r="B936" s="10">
        <f>CHOOSE(CONTROL!$C$42, 70.6195, 70.6195) * CHOOSE(CONTROL!$C$21, $C$9, 100%, $E$9)</f>
        <v>70.619500000000002</v>
      </c>
      <c r="C936" s="10">
        <f>CHOOSE(CONTROL!$C$42, 70.6245, 70.6245) * CHOOSE(CONTROL!$C$21, $C$9, 100%, $E$9)</f>
        <v>70.624499999999998</v>
      </c>
      <c r="D936" s="10">
        <f>CHOOSE(CONTROL!$C$42, 70.6541, 70.6541) * CHOOSE(CONTROL!$C$21, $C$9, 100%, $E$9)</f>
        <v>70.6541</v>
      </c>
      <c r="E936" s="10">
        <f>CHOOSE(CONTROL!$C$42, 70.6879, 70.6879) * CHOOSE(CONTROL!$C$21, $C$9, 100%, $E$9)</f>
        <v>70.687899999999999</v>
      </c>
      <c r="F936" s="10">
        <f>CHOOSE(CONTROL!$C$42, 70.5878, 70.5878)*CHOOSE(CONTROL!$C$21, $C$9, 100%, $E$9)</f>
        <v>70.587800000000001</v>
      </c>
      <c r="G936" s="10">
        <f>CHOOSE(CONTROL!$C$42, 70.6053, 70.6053)*CHOOSE(CONTROL!$C$21, $C$9, 100%, $E$9)</f>
        <v>70.6053</v>
      </c>
      <c r="H936" s="10">
        <f>CHOOSE(CONTROL!$C$42, 70.6771, 70.6771) * CHOOSE(CONTROL!$C$21, $C$9, 100%, $E$9)</f>
        <v>70.677099999999996</v>
      </c>
      <c r="I936" s="10">
        <f>CHOOSE(CONTROL!$C$42, 70.5831, 70.5831)* CHOOSE(CONTROL!$C$21, $C$9, 100%, $E$9)</f>
        <v>70.583100000000002</v>
      </c>
      <c r="J936" s="10">
        <f>CHOOSE(CONTROL!$C$42, 70.5808, 70.5808)* CHOOSE(CONTROL!$C$21, $C$9, 100%, $E$9)</f>
        <v>70.580799999999996</v>
      </c>
      <c r="K936" s="54">
        <f>CHOOSE(CONTROL!$C$42, 70.5793, 70.5793) * CHOOSE(CONTROL!$C$21, $C$9, 100%, $E$9)</f>
        <v>70.579300000000003</v>
      </c>
      <c r="L936" s="10">
        <f>CHOOSE(CONTROL!$C$42, 71.2641, 71.2641) * CHOOSE(CONTROL!$C$21, $C$9, 100%, $E$9)</f>
        <v>71.264099999999999</v>
      </c>
      <c r="M936" s="10">
        <f>CHOOSE(CONTROL!$C$42, 69.8823, 69.8823) * CHOOSE(CONTROL!$C$21, $C$9, 100%, $E$9)</f>
        <v>69.882300000000001</v>
      </c>
      <c r="N936" s="10">
        <f>CHOOSE(CONTROL!$C$42, 69.8996, 69.8996) * CHOOSE(CONTROL!$C$21, $C$9, 100%, $E$9)</f>
        <v>69.899600000000007</v>
      </c>
      <c r="O936" s="10">
        <f>CHOOSE(CONTROL!$C$42, 69.9777, 69.9777) * CHOOSE(CONTROL!$C$21, $C$9, 100%, $E$9)</f>
        <v>69.977699999999999</v>
      </c>
      <c r="P936" s="10">
        <f>CHOOSE(CONTROL!$C$42, 69.8847, 69.8847) * CHOOSE(CONTROL!$C$21, $C$9, 100%, $E$9)</f>
        <v>69.884699999999995</v>
      </c>
      <c r="Q936" s="10">
        <f>CHOOSE(CONTROL!$C$42, 70.573, 70.573) * CHOOSE(CONTROL!$C$21, $C$9, 100%, $E$9)</f>
        <v>70.572999999999993</v>
      </c>
      <c r="R936" s="10">
        <f>CHOOSE(CONTROL!$C$42, 71.3364, 71.3364) * CHOOSE(CONTROL!$C$21, $C$9, 100%, $E$9)</f>
        <v>71.336399999999998</v>
      </c>
      <c r="S936" s="10">
        <f>CHOOSE(CONTROL!$C$42, 68.5765, 68.5765) * CHOOSE(CONTROL!$C$21, $C$9, 100%, $E$9)</f>
        <v>68.576499999999996</v>
      </c>
      <c r="T936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936" s="58">
        <f>(1000*CHOOSE(CONTROL!$C$42, 695, 695)*CHOOSE(CONTROL!$C$42, 0.5599, 0.5599)*CHOOSE(CONTROL!$C$42, 31, 31))/1000000</f>
        <v>12.063045499999998</v>
      </c>
      <c r="V936" s="58">
        <f>(1000*CHOOSE(CONTROL!$C$42, 500, 500)*CHOOSE(CONTROL!$C$42, 0.275, 0.275)*CHOOSE(CONTROL!$C$42, 31, 31))/1000000</f>
        <v>4.2625000000000002</v>
      </c>
      <c r="W936" s="58">
        <f>(1000*CHOOSE(CONTROL!$C$42, 0.1146, 0.1146)*CHOOSE(CONTROL!$C$42, 121.5, 121.5)*CHOOSE(CONTROL!$C$42, 31, 31))/1000000</f>
        <v>0.43164089999999994</v>
      </c>
      <c r="X936" s="58">
        <f>(31*0.1790888*100000/1000000)+(31*0.2374*100000/1000000)</f>
        <v>1.2911152800000001</v>
      </c>
      <c r="Y936" s="58"/>
      <c r="Z936" s="10"/>
      <c r="AA936" s="57"/>
      <c r="AB936" s="51">
        <f>(B936*122.58+C936*297.941+D936*89.177+E936*40.302+F936*40+G936*160+H936*0+I936*100+J936*300)/(122.58+297.941+89.177+40.302+0+40+160+100+300)</f>
        <v>70.609536422608684</v>
      </c>
      <c r="AC936" s="27">
        <f>(M936*'RAP TEMPLATE-GAS AVAILABILITY'!O935+N936*'RAP TEMPLATE-GAS AVAILABILITY'!P935+O936*'RAP TEMPLATE-GAS AVAILABILITY'!Q935+P936*'RAP TEMPLATE-GAS AVAILABILITY'!R935)/('RAP TEMPLATE-GAS AVAILABILITY'!O935+'RAP TEMPLATE-GAS AVAILABILITY'!P935+'RAP TEMPLATE-GAS AVAILABILITY'!Q935+'RAP TEMPLATE-GAS AVAILABILITY'!R935)</f>
        <v>69.926879856115121</v>
      </c>
    </row>
    <row r="937" spans="1:29" ht="15.75" x14ac:dyDescent="0.25">
      <c r="A937" s="13">
        <v>69429</v>
      </c>
      <c r="B937" s="10">
        <f>CHOOSE(CONTROL!$C$42, 76.4057, 76.4057) * CHOOSE(CONTROL!$C$21, $C$9, 100%, $E$9)</f>
        <v>76.405699999999996</v>
      </c>
      <c r="C937" s="10">
        <f>CHOOSE(CONTROL!$C$42, 76.4106, 76.4106) * CHOOSE(CONTROL!$C$21, $C$9, 100%, $E$9)</f>
        <v>76.410600000000002</v>
      </c>
      <c r="D937" s="10">
        <f>CHOOSE(CONTROL!$C$42, 76.4608, 76.4608) * CHOOSE(CONTROL!$C$21, $C$9, 100%, $E$9)</f>
        <v>76.460800000000006</v>
      </c>
      <c r="E937" s="10">
        <f>CHOOSE(CONTROL!$C$42, 76.4946, 76.4946) * CHOOSE(CONTROL!$C$21, $C$9, 100%, $E$9)</f>
        <v>76.494600000000005</v>
      </c>
      <c r="F937" s="10">
        <f>CHOOSE(CONTROL!$C$42, 76.371, 76.371)*CHOOSE(CONTROL!$C$21, $C$9, 100%, $E$9)</f>
        <v>76.370999999999995</v>
      </c>
      <c r="G937" s="10">
        <f>CHOOSE(CONTROL!$C$42, 76.3886, 76.3886)*CHOOSE(CONTROL!$C$21, $C$9, 100%, $E$9)</f>
        <v>76.388599999999997</v>
      </c>
      <c r="H937" s="10">
        <f>CHOOSE(CONTROL!$C$42, 76.4838, 76.4838) * CHOOSE(CONTROL!$C$21, $C$9, 100%, $E$9)</f>
        <v>76.483800000000002</v>
      </c>
      <c r="I937" s="10">
        <f>CHOOSE(CONTROL!$C$42, 76.3796, 76.3796)* CHOOSE(CONTROL!$C$21, $C$9, 100%, $E$9)</f>
        <v>76.379599999999996</v>
      </c>
      <c r="J937" s="10">
        <f>CHOOSE(CONTROL!$C$42, 76.364, 76.364)* CHOOSE(CONTROL!$C$21, $C$9, 100%, $E$9)</f>
        <v>76.364000000000004</v>
      </c>
      <c r="K937" s="54">
        <f>CHOOSE(CONTROL!$C$42, 76.3757, 76.3757) * CHOOSE(CONTROL!$C$21, $C$9, 100%, $E$9)</f>
        <v>76.375699999999995</v>
      </c>
      <c r="L937" s="10">
        <f>CHOOSE(CONTROL!$C$42, 77.0708, 77.0708) * CHOOSE(CONTROL!$C$21, $C$9, 100%, $E$9)</f>
        <v>77.070800000000006</v>
      </c>
      <c r="M937" s="10">
        <f>CHOOSE(CONTROL!$C$42, 75.6072, 75.6072) * CHOOSE(CONTROL!$C$21, $C$9, 100%, $E$9)</f>
        <v>75.607200000000006</v>
      </c>
      <c r="N937" s="10">
        <f>CHOOSE(CONTROL!$C$42, 75.6246, 75.6246) * CHOOSE(CONTROL!$C$21, $C$9, 100%, $E$9)</f>
        <v>75.624600000000001</v>
      </c>
      <c r="O937" s="10">
        <f>CHOOSE(CONTROL!$C$42, 75.7258, 75.7258) * CHOOSE(CONTROL!$C$21, $C$9, 100%, $E$9)</f>
        <v>75.725800000000007</v>
      </c>
      <c r="P937" s="10">
        <f>CHOOSE(CONTROL!$C$42, 75.6226, 75.6226) * CHOOSE(CONTROL!$C$21, $C$9, 100%, $E$9)</f>
        <v>75.622600000000006</v>
      </c>
      <c r="Q937" s="10">
        <f>CHOOSE(CONTROL!$C$42, 76.3211, 76.3211) * CHOOSE(CONTROL!$C$21, $C$9, 100%, $E$9)</f>
        <v>76.321100000000001</v>
      </c>
      <c r="R937" s="10">
        <f>CHOOSE(CONTROL!$C$42, 77.0989, 77.0989) * CHOOSE(CONTROL!$C$21, $C$9, 100%, $E$9)</f>
        <v>77.0989</v>
      </c>
      <c r="S937" s="10">
        <f>CHOOSE(CONTROL!$C$42, 74.1954, 74.1954) * CHOOSE(CONTROL!$C$21, $C$9, 100%, $E$9)</f>
        <v>74.195400000000006</v>
      </c>
      <c r="T937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937" s="58">
        <f>(1000*CHOOSE(CONTROL!$C$42, 695, 695)*CHOOSE(CONTROL!$C$42, 0.5599, 0.5599)*CHOOSE(CONTROL!$C$42, 31, 31))/1000000</f>
        <v>12.063045499999998</v>
      </c>
      <c r="V937" s="58">
        <f>(1000*CHOOSE(CONTROL!$C$42, 500, 500)*CHOOSE(CONTROL!$C$42, 0.275, 0.275)*CHOOSE(CONTROL!$C$42, 31, 31))/1000000</f>
        <v>4.2625000000000002</v>
      </c>
      <c r="W937" s="58">
        <f>(1000*CHOOSE(CONTROL!$C$42, 0.1146, 0.1146)*CHOOSE(CONTROL!$C$42, 121.5, 121.5)*CHOOSE(CONTROL!$C$42, 31, 31))/1000000</f>
        <v>0.43164089999999994</v>
      </c>
      <c r="X937" s="58">
        <f>(31*0.1790888*100000/1000000)+(31*0.2374*100000/1000000)</f>
        <v>1.2911152800000001</v>
      </c>
      <c r="Y937" s="58"/>
      <c r="Z937" s="10"/>
      <c r="AA937" s="57"/>
      <c r="AB937" s="51">
        <f>(B937*122.58+C937*297.941+D937*89.177+E937*40.302+F937*40+G937*160+H937*0+I937*100+J937*300)/(122.58+297.941+89.177+40.302+0+40+160+100+300)</f>
        <v>76.397623835999994</v>
      </c>
      <c r="AC937" s="27">
        <f>(M937*'RAP TEMPLATE-GAS AVAILABILITY'!O936+N937*'RAP TEMPLATE-GAS AVAILABILITY'!P936+O937*'RAP TEMPLATE-GAS AVAILABILITY'!Q936+P937*'RAP TEMPLATE-GAS AVAILABILITY'!R936)/('RAP TEMPLATE-GAS AVAILABILITY'!O936+'RAP TEMPLATE-GAS AVAILABILITY'!P936+'RAP TEMPLATE-GAS AVAILABILITY'!Q936+'RAP TEMPLATE-GAS AVAILABILITY'!R936)</f>
        <v>75.664171223021597</v>
      </c>
    </row>
    <row r="938" spans="1:29" ht="15.75" x14ac:dyDescent="0.25">
      <c r="A938" s="13">
        <v>69457</v>
      </c>
      <c r="B938" s="10">
        <f>CHOOSE(CONTROL!$C$42, 77.7657, 77.7657) * CHOOSE(CONTROL!$C$21, $C$9, 100%, $E$9)</f>
        <v>77.765699999999995</v>
      </c>
      <c r="C938" s="10">
        <f>CHOOSE(CONTROL!$C$42, 77.7707, 77.7707) * CHOOSE(CONTROL!$C$21, $C$9, 100%, $E$9)</f>
        <v>77.770700000000005</v>
      </c>
      <c r="D938" s="10">
        <f>CHOOSE(CONTROL!$C$42, 77.8312, 77.8312) * CHOOSE(CONTROL!$C$21, $C$9, 100%, $E$9)</f>
        <v>77.831199999999995</v>
      </c>
      <c r="E938" s="10">
        <f>CHOOSE(CONTROL!$C$42, 77.865, 77.865) * CHOOSE(CONTROL!$C$21, $C$9, 100%, $E$9)</f>
        <v>77.864999999999995</v>
      </c>
      <c r="F938" s="10">
        <f>CHOOSE(CONTROL!$C$42, 77.759, 77.759)*CHOOSE(CONTROL!$C$21, $C$9, 100%, $E$9)</f>
        <v>77.759</v>
      </c>
      <c r="G938" s="10">
        <f>CHOOSE(CONTROL!$C$42, 77.7763, 77.7763)*CHOOSE(CONTROL!$C$21, $C$9, 100%, $E$9)</f>
        <v>77.776300000000006</v>
      </c>
      <c r="H938" s="10">
        <f>CHOOSE(CONTROL!$C$42, 77.8542, 77.8542) * CHOOSE(CONTROL!$C$21, $C$9, 100%, $E$9)</f>
        <v>77.854200000000006</v>
      </c>
      <c r="I938" s="10">
        <f>CHOOSE(CONTROL!$C$42, 77.7525, 77.7525)* CHOOSE(CONTROL!$C$21, $C$9, 100%, $E$9)</f>
        <v>77.752499999999998</v>
      </c>
      <c r="J938" s="10">
        <f>CHOOSE(CONTROL!$C$42, 77.752, 77.752)* CHOOSE(CONTROL!$C$21, $C$9, 100%, $E$9)</f>
        <v>77.751999999999995</v>
      </c>
      <c r="K938" s="54">
        <f>CHOOSE(CONTROL!$C$42, 77.7486, 77.7486) * CHOOSE(CONTROL!$C$21, $C$9, 100%, $E$9)</f>
        <v>77.748599999999996</v>
      </c>
      <c r="L938" s="10">
        <f>CHOOSE(CONTROL!$C$42, 78.4412, 78.4412) * CHOOSE(CONTROL!$C$21, $C$9, 100%, $E$9)</f>
        <v>78.441199999999995</v>
      </c>
      <c r="M938" s="10">
        <f>CHOOSE(CONTROL!$C$42, 76.9811, 76.9811) * CHOOSE(CONTROL!$C$21, $C$9, 100%, $E$9)</f>
        <v>76.981099999999998</v>
      </c>
      <c r="N938" s="10">
        <f>CHOOSE(CONTROL!$C$42, 76.9983, 76.9983) * CHOOSE(CONTROL!$C$21, $C$9, 100%, $E$9)</f>
        <v>76.9983</v>
      </c>
      <c r="O938" s="10">
        <f>CHOOSE(CONTROL!$C$42, 77.0823, 77.0823) * CHOOSE(CONTROL!$C$21, $C$9, 100%, $E$9)</f>
        <v>77.082300000000004</v>
      </c>
      <c r="P938" s="10">
        <f>CHOOSE(CONTROL!$C$42, 76.9817, 76.9817) * CHOOSE(CONTROL!$C$21, $C$9, 100%, $E$9)</f>
        <v>76.981700000000004</v>
      </c>
      <c r="Q938" s="10">
        <f>CHOOSE(CONTROL!$C$42, 77.6776, 77.6776) * CHOOSE(CONTROL!$C$21, $C$9, 100%, $E$9)</f>
        <v>77.677599999999998</v>
      </c>
      <c r="R938" s="10">
        <f>CHOOSE(CONTROL!$C$42, 78.4588, 78.4588) * CHOOSE(CONTROL!$C$21, $C$9, 100%, $E$9)</f>
        <v>78.458799999999997</v>
      </c>
      <c r="S938" s="10">
        <f>CHOOSE(CONTROL!$C$42, 75.5162, 75.5162) * CHOOSE(CONTROL!$C$21, $C$9, 100%, $E$9)</f>
        <v>75.516199999999998</v>
      </c>
      <c r="T938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938" s="58">
        <f>(1000*CHOOSE(CONTROL!$C$42, 695, 695)*CHOOSE(CONTROL!$C$42, 0.5599, 0.5599)*CHOOSE(CONTROL!$C$42, 28, 28))/1000000</f>
        <v>10.895653999999999</v>
      </c>
      <c r="V938" s="58">
        <f>(1000*CHOOSE(CONTROL!$C$42, 500, 500)*CHOOSE(CONTROL!$C$42, 0.275, 0.275)*CHOOSE(CONTROL!$C$42, 28, 28))/1000000</f>
        <v>3.85</v>
      </c>
      <c r="W938" s="58">
        <f>(1000*CHOOSE(CONTROL!$C$42, 0.1146, 0.1146)*CHOOSE(CONTROL!$C$42, 121.5, 121.5)*CHOOSE(CONTROL!$C$42, 28, 28))/1000000</f>
        <v>0.38986920000000003</v>
      </c>
      <c r="X938" s="58">
        <f>(28*0.1790888*100000/1000000)+(28*0.2374*100000/1000000)</f>
        <v>1.16616864</v>
      </c>
      <c r="Y938" s="58"/>
      <c r="Z938" s="10"/>
      <c r="AA938" s="57"/>
      <c r="AB938" s="51">
        <f>(B938*122.58+C938*297.941+D938*89.177+E938*40.302+F938*40+G938*160+H938*0+I938*100+J938*300)/(122.58+297.941+89.177+40.302+0+40+160+100+300)</f>
        <v>77.772074597478266</v>
      </c>
      <c r="AC938" s="27">
        <f>(M938*'RAP TEMPLATE-GAS AVAILABILITY'!O937+N938*'RAP TEMPLATE-GAS AVAILABILITY'!P937+O938*'RAP TEMPLATE-GAS AVAILABILITY'!Q937+P938*'RAP TEMPLATE-GAS AVAILABILITY'!R937)/('RAP TEMPLATE-GAS AVAILABILITY'!O937+'RAP TEMPLATE-GAS AVAILABILITY'!P937+'RAP TEMPLATE-GAS AVAILABILITY'!Q937+'RAP TEMPLATE-GAS AVAILABILITY'!R937)</f>
        <v>77.028043884892085</v>
      </c>
    </row>
    <row r="939" spans="1:29" ht="15.75" x14ac:dyDescent="0.25">
      <c r="A939" s="13">
        <v>69488</v>
      </c>
      <c r="B939" s="10">
        <f>CHOOSE(CONTROL!$C$42, 75.558, 75.558) * CHOOSE(CONTROL!$C$21, $C$9, 100%, $E$9)</f>
        <v>75.558000000000007</v>
      </c>
      <c r="C939" s="10">
        <f>CHOOSE(CONTROL!$C$42, 75.563, 75.563) * CHOOSE(CONTROL!$C$21, $C$9, 100%, $E$9)</f>
        <v>75.563000000000002</v>
      </c>
      <c r="D939" s="10">
        <f>CHOOSE(CONTROL!$C$42, 75.6235, 75.6235) * CHOOSE(CONTROL!$C$21, $C$9, 100%, $E$9)</f>
        <v>75.623500000000007</v>
      </c>
      <c r="E939" s="10">
        <f>CHOOSE(CONTROL!$C$42, 75.6572, 75.6572) * CHOOSE(CONTROL!$C$21, $C$9, 100%, $E$9)</f>
        <v>75.657200000000003</v>
      </c>
      <c r="F939" s="10">
        <f>CHOOSE(CONTROL!$C$42, 75.5457, 75.5457)*CHOOSE(CONTROL!$C$21, $C$9, 100%, $E$9)</f>
        <v>75.545699999999997</v>
      </c>
      <c r="G939" s="10">
        <f>CHOOSE(CONTROL!$C$42, 75.5629, 75.5629)*CHOOSE(CONTROL!$C$21, $C$9, 100%, $E$9)</f>
        <v>75.562899999999999</v>
      </c>
      <c r="H939" s="10">
        <f>CHOOSE(CONTROL!$C$42, 75.6464, 75.6464) * CHOOSE(CONTROL!$C$21, $C$9, 100%, $E$9)</f>
        <v>75.6464</v>
      </c>
      <c r="I939" s="10">
        <f>CHOOSE(CONTROL!$C$42, 75.5319, 75.5319)* CHOOSE(CONTROL!$C$21, $C$9, 100%, $E$9)</f>
        <v>75.531899999999993</v>
      </c>
      <c r="J939" s="10">
        <f>CHOOSE(CONTROL!$C$42, 75.5387, 75.5387)* CHOOSE(CONTROL!$C$21, $C$9, 100%, $E$9)</f>
        <v>75.538700000000006</v>
      </c>
      <c r="K939" s="54">
        <f>CHOOSE(CONTROL!$C$42, 75.528, 75.528) * CHOOSE(CONTROL!$C$21, $C$9, 100%, $E$9)</f>
        <v>75.528000000000006</v>
      </c>
      <c r="L939" s="10">
        <f>CHOOSE(CONTROL!$C$42, 76.2334, 76.2334) * CHOOSE(CONTROL!$C$21, $C$9, 100%, $E$9)</f>
        <v>76.233400000000003</v>
      </c>
      <c r="M939" s="10">
        <f>CHOOSE(CONTROL!$C$42, 74.7902, 74.7902) * CHOOSE(CONTROL!$C$21, $C$9, 100%, $E$9)</f>
        <v>74.790199999999999</v>
      </c>
      <c r="N939" s="10">
        <f>CHOOSE(CONTROL!$C$42, 74.8073, 74.8073) * CHOOSE(CONTROL!$C$21, $C$9, 100%, $E$9)</f>
        <v>74.807299999999998</v>
      </c>
      <c r="O939" s="10">
        <f>CHOOSE(CONTROL!$C$42, 74.8968, 74.8968) * CHOOSE(CONTROL!$C$21, $C$9, 100%, $E$9)</f>
        <v>74.896799999999999</v>
      </c>
      <c r="P939" s="10">
        <f>CHOOSE(CONTROL!$C$42, 74.7835, 74.7835) * CHOOSE(CONTROL!$C$21, $C$9, 100%, $E$9)</f>
        <v>74.783500000000004</v>
      </c>
      <c r="Q939" s="10">
        <f>CHOOSE(CONTROL!$C$42, 75.4921, 75.4921) * CHOOSE(CONTROL!$C$21, $C$9, 100%, $E$9)</f>
        <v>75.492099999999994</v>
      </c>
      <c r="R939" s="10">
        <f>CHOOSE(CONTROL!$C$42, 76.2679, 76.2679) * CHOOSE(CONTROL!$C$21, $C$9, 100%, $E$9)</f>
        <v>76.267899999999997</v>
      </c>
      <c r="S939" s="10">
        <f>CHOOSE(CONTROL!$C$42, 73.3722, 73.3722) * CHOOSE(CONTROL!$C$21, $C$9, 100%, $E$9)</f>
        <v>73.372200000000007</v>
      </c>
      <c r="T939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939" s="58">
        <f>(1000*CHOOSE(CONTROL!$C$42, 695, 695)*CHOOSE(CONTROL!$C$42, 0.5599, 0.5599)*CHOOSE(CONTROL!$C$42, 31, 31))/1000000</f>
        <v>12.063045499999998</v>
      </c>
      <c r="V939" s="58">
        <f>(1000*CHOOSE(CONTROL!$C$42, 500, 500)*CHOOSE(CONTROL!$C$42, 0.275, 0.275)*CHOOSE(CONTROL!$C$42, 31, 31))/1000000</f>
        <v>4.2625000000000002</v>
      </c>
      <c r="W939" s="58">
        <f>(1000*CHOOSE(CONTROL!$C$42, 0.1146, 0.1146)*CHOOSE(CONTROL!$C$42, 121.5, 121.5)*CHOOSE(CONTROL!$C$42, 31, 31))/1000000</f>
        <v>0.43164089999999994</v>
      </c>
      <c r="X939" s="58">
        <f>(31*0.1790888*100000/1000000)+(31*0.2374*100000/1000000)</f>
        <v>1.2911152800000001</v>
      </c>
      <c r="Y939" s="58"/>
      <c r="Z939" s="10"/>
      <c r="AA939" s="57"/>
      <c r="AB939" s="51">
        <f>(B939*122.58+C939*297.941+D939*89.177+E939*40.302+F939*40+G939*160+H939*0+I939*100+J939*300)/(122.58+297.941+89.177+40.302+0+40+160+100+300)</f>
        <v>75.560800658173932</v>
      </c>
      <c r="AC939" s="27">
        <f>(M939*'RAP TEMPLATE-GAS AVAILABILITY'!O938+N939*'RAP TEMPLATE-GAS AVAILABILITY'!P938+O939*'RAP TEMPLATE-GAS AVAILABILITY'!Q938+P939*'RAP TEMPLATE-GAS AVAILABILITY'!R938)/('RAP TEMPLATE-GAS AVAILABILITY'!O938+'RAP TEMPLATE-GAS AVAILABILITY'!P938+'RAP TEMPLATE-GAS AVAILABILITY'!Q938+'RAP TEMPLATE-GAS AVAILABILITY'!R938)</f>
        <v>74.838535251798561</v>
      </c>
    </row>
    <row r="940" spans="1:29" ht="15.75" x14ac:dyDescent="0.25">
      <c r="A940" s="13">
        <v>69518</v>
      </c>
      <c r="B940" s="10">
        <f>CHOOSE(CONTROL!$C$42, 75.3329, 75.3329) * CHOOSE(CONTROL!$C$21, $C$9, 100%, $E$9)</f>
        <v>75.332899999999995</v>
      </c>
      <c r="C940" s="10">
        <f>CHOOSE(CONTROL!$C$42, 75.3373, 75.3373) * CHOOSE(CONTROL!$C$21, $C$9, 100%, $E$9)</f>
        <v>75.337299999999999</v>
      </c>
      <c r="D940" s="10">
        <f>CHOOSE(CONTROL!$C$42, 75.5329, 75.5329) * CHOOSE(CONTROL!$C$21, $C$9, 100%, $E$9)</f>
        <v>75.532899999999998</v>
      </c>
      <c r="E940" s="10">
        <f>CHOOSE(CONTROL!$C$42, 75.5647, 75.5647) * CHOOSE(CONTROL!$C$21, $C$9, 100%, $E$9)</f>
        <v>75.564700000000002</v>
      </c>
      <c r="F940" s="10">
        <f>CHOOSE(CONTROL!$C$42, 75.3007, 75.3007)*CHOOSE(CONTROL!$C$21, $C$9, 100%, $E$9)</f>
        <v>75.300700000000006</v>
      </c>
      <c r="G940" s="10">
        <f>CHOOSE(CONTROL!$C$42, 75.3175, 75.3175)*CHOOSE(CONTROL!$C$21, $C$9, 100%, $E$9)</f>
        <v>75.317499999999995</v>
      </c>
      <c r="H940" s="10">
        <f>CHOOSE(CONTROL!$C$42, 75.5545, 75.5545) * CHOOSE(CONTROL!$C$21, $C$9, 100%, $E$9)</f>
        <v>75.554500000000004</v>
      </c>
      <c r="I940" s="10">
        <f>CHOOSE(CONTROL!$C$42, 75.3009, 75.3009)* CHOOSE(CONTROL!$C$21, $C$9, 100%, $E$9)</f>
        <v>75.300899999999999</v>
      </c>
      <c r="J940" s="10">
        <f>CHOOSE(CONTROL!$C$42, 75.2937, 75.2937)* CHOOSE(CONTROL!$C$21, $C$9, 100%, $E$9)</f>
        <v>75.293700000000001</v>
      </c>
      <c r="K940" s="54">
        <f>CHOOSE(CONTROL!$C$42, 75.297, 75.297) * CHOOSE(CONTROL!$C$21, $C$9, 100%, $E$9)</f>
        <v>75.296999999999997</v>
      </c>
      <c r="L940" s="10">
        <f>CHOOSE(CONTROL!$C$42, 76.1415, 76.1415) * CHOOSE(CONTROL!$C$21, $C$9, 100%, $E$9)</f>
        <v>76.141499999999994</v>
      </c>
      <c r="M940" s="10">
        <f>CHOOSE(CONTROL!$C$42, 74.5477, 74.5477) * CHOOSE(CONTROL!$C$21, $C$9, 100%, $E$9)</f>
        <v>74.547700000000006</v>
      </c>
      <c r="N940" s="10">
        <f>CHOOSE(CONTROL!$C$42, 74.5643, 74.5643) * CHOOSE(CONTROL!$C$21, $C$9, 100%, $E$9)</f>
        <v>74.564300000000003</v>
      </c>
      <c r="O940" s="10">
        <f>CHOOSE(CONTROL!$C$42, 74.8058, 74.8058) * CHOOSE(CONTROL!$C$21, $C$9, 100%, $E$9)</f>
        <v>74.805800000000005</v>
      </c>
      <c r="P940" s="10">
        <f>CHOOSE(CONTROL!$C$42, 74.5549, 74.5549) * CHOOSE(CONTROL!$C$21, $C$9, 100%, $E$9)</f>
        <v>74.554900000000004</v>
      </c>
      <c r="Q940" s="10">
        <f>CHOOSE(CONTROL!$C$42, 75.4011, 75.4011) * CHOOSE(CONTROL!$C$21, $C$9, 100%, $E$9)</f>
        <v>75.4011</v>
      </c>
      <c r="R940" s="10">
        <f>CHOOSE(CONTROL!$C$42, 76.1766, 76.1766) * CHOOSE(CONTROL!$C$21, $C$9, 100%, $E$9)</f>
        <v>76.176599999999993</v>
      </c>
      <c r="S940" s="10">
        <f>CHOOSE(CONTROL!$C$42, 73.1529, 73.1529) * CHOOSE(CONTROL!$C$21, $C$9, 100%, $E$9)</f>
        <v>73.152900000000002</v>
      </c>
      <c r="T940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940" s="58">
        <f>(1000*CHOOSE(CONTROL!$C$42, 695, 695)*CHOOSE(CONTROL!$C$42, 0.5599, 0.5599)*CHOOSE(CONTROL!$C$42, 30, 30))/1000000</f>
        <v>11.673914999999997</v>
      </c>
      <c r="V940" s="58">
        <f>(1000*CHOOSE(CONTROL!$C$42, 500, 500)*CHOOSE(CONTROL!$C$42, 0.275, 0.275)*CHOOSE(CONTROL!$C$42, 30, 30))/1000000</f>
        <v>4.125</v>
      </c>
      <c r="W940" s="58">
        <f>(1000*CHOOSE(CONTROL!$C$42, 0.1146, 0.1146)*CHOOSE(CONTROL!$C$42, 121.5, 121.5)*CHOOSE(CONTROL!$C$42, 30, 30))/1000000</f>
        <v>0.417717</v>
      </c>
      <c r="X940" s="58">
        <f>(30*0.1790888*245000/1000000)+(30*0.2374*100000/1000000)</f>
        <v>2.0285026799999999</v>
      </c>
      <c r="Y940" s="58"/>
      <c r="Z940" s="10"/>
      <c r="AA940" s="57"/>
      <c r="AB940" s="51">
        <f>(B940*141.293+C940*267.993+D940*115.016+E940*89.698+F940*40+G940*185+H940*0+I940*100+J940*300)/(141.293+267.993+115.016+89.698+0+40+185+100+300)</f>
        <v>75.353785686521377</v>
      </c>
      <c r="AC940" s="27">
        <f>(M940*'RAP TEMPLATE-GAS AVAILABILITY'!O939+N940*'RAP TEMPLATE-GAS AVAILABILITY'!P939+O940*'RAP TEMPLATE-GAS AVAILABILITY'!Q939+P940*'RAP TEMPLATE-GAS AVAILABILITY'!R939)/('RAP TEMPLATE-GAS AVAILABILITY'!O939+'RAP TEMPLATE-GAS AVAILABILITY'!P939+'RAP TEMPLATE-GAS AVAILABILITY'!Q939+'RAP TEMPLATE-GAS AVAILABILITY'!R939)</f>
        <v>74.666671942446044</v>
      </c>
    </row>
    <row r="941" spans="1:29" ht="15.75" x14ac:dyDescent="0.25">
      <c r="A941" s="13">
        <v>69549</v>
      </c>
      <c r="B941" s="10">
        <f>CHOOSE(CONTROL!$C$42, 75.9992, 75.9992) * CHOOSE(CONTROL!$C$21, $C$9, 100%, $E$9)</f>
        <v>75.999200000000002</v>
      </c>
      <c r="C941" s="10">
        <f>CHOOSE(CONTROL!$C$42, 76.0071, 76.0071) * CHOOSE(CONTROL!$C$21, $C$9, 100%, $E$9)</f>
        <v>76.007099999999994</v>
      </c>
      <c r="D941" s="10">
        <f>CHOOSE(CONTROL!$C$42, 76.1996, 76.1996) * CHOOSE(CONTROL!$C$21, $C$9, 100%, $E$9)</f>
        <v>76.199600000000004</v>
      </c>
      <c r="E941" s="10">
        <f>CHOOSE(CONTROL!$C$42, 76.2307, 76.2307) * CHOOSE(CONTROL!$C$21, $C$9, 100%, $E$9)</f>
        <v>76.230699999999999</v>
      </c>
      <c r="F941" s="10">
        <f>CHOOSE(CONTROL!$C$42, 75.9655, 75.9655)*CHOOSE(CONTROL!$C$21, $C$9, 100%, $E$9)</f>
        <v>75.965500000000006</v>
      </c>
      <c r="G941" s="10">
        <f>CHOOSE(CONTROL!$C$42, 75.9826, 75.9826)*CHOOSE(CONTROL!$C$21, $C$9, 100%, $E$9)</f>
        <v>75.982600000000005</v>
      </c>
      <c r="H941" s="10">
        <f>CHOOSE(CONTROL!$C$42, 76.2193, 76.2193) * CHOOSE(CONTROL!$C$21, $C$9, 100%, $E$9)</f>
        <v>76.219300000000004</v>
      </c>
      <c r="I941" s="10">
        <f>CHOOSE(CONTROL!$C$42, 75.9658, 75.9658)* CHOOSE(CONTROL!$C$21, $C$9, 100%, $E$9)</f>
        <v>75.965800000000002</v>
      </c>
      <c r="J941" s="10">
        <f>CHOOSE(CONTROL!$C$42, 75.9585, 75.9585)* CHOOSE(CONTROL!$C$21, $C$9, 100%, $E$9)</f>
        <v>75.958500000000001</v>
      </c>
      <c r="K941" s="54">
        <f>CHOOSE(CONTROL!$C$42, 75.9619, 75.9619) * CHOOSE(CONTROL!$C$21, $C$9, 100%, $E$9)</f>
        <v>75.9619</v>
      </c>
      <c r="L941" s="10">
        <f>CHOOSE(CONTROL!$C$42, 76.8063, 76.8063) * CHOOSE(CONTROL!$C$21, $C$9, 100%, $E$9)</f>
        <v>76.806299999999993</v>
      </c>
      <c r="M941" s="10">
        <f>CHOOSE(CONTROL!$C$42, 75.2057, 75.2057) * CHOOSE(CONTROL!$C$21, $C$9, 100%, $E$9)</f>
        <v>75.205699999999993</v>
      </c>
      <c r="N941" s="10">
        <f>CHOOSE(CONTROL!$C$42, 75.2227, 75.2227) * CHOOSE(CONTROL!$C$21, $C$9, 100%, $E$9)</f>
        <v>75.222700000000003</v>
      </c>
      <c r="O941" s="10">
        <f>CHOOSE(CONTROL!$C$42, 75.464, 75.464) * CHOOSE(CONTROL!$C$21, $C$9, 100%, $E$9)</f>
        <v>75.463999999999999</v>
      </c>
      <c r="P941" s="10">
        <f>CHOOSE(CONTROL!$C$42, 75.213, 75.213) * CHOOSE(CONTROL!$C$21, $C$9, 100%, $E$9)</f>
        <v>75.212999999999994</v>
      </c>
      <c r="Q941" s="10">
        <f>CHOOSE(CONTROL!$C$42, 76.0593, 76.0593) * CHOOSE(CONTROL!$C$21, $C$9, 100%, $E$9)</f>
        <v>76.059299999999993</v>
      </c>
      <c r="R941" s="10">
        <f>CHOOSE(CONTROL!$C$42, 76.8364, 76.8364) * CHOOSE(CONTROL!$C$21, $C$9, 100%, $E$9)</f>
        <v>76.836399999999998</v>
      </c>
      <c r="S941" s="10">
        <f>CHOOSE(CONTROL!$C$42, 73.7986, 73.7986) * CHOOSE(CONTROL!$C$21, $C$9, 100%, $E$9)</f>
        <v>73.798599999999993</v>
      </c>
      <c r="T941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941" s="58">
        <f>(1000*CHOOSE(CONTROL!$C$42, 695, 695)*CHOOSE(CONTROL!$C$42, 0.5599, 0.5599)*CHOOSE(CONTROL!$C$42, 31, 31))/1000000</f>
        <v>12.063045499999998</v>
      </c>
      <c r="V941" s="58">
        <f>(1000*CHOOSE(CONTROL!$C$42, 500, 500)*CHOOSE(CONTROL!$C$42, 0.275, 0.275)*CHOOSE(CONTROL!$C$42, 31, 31))/1000000</f>
        <v>4.2625000000000002</v>
      </c>
      <c r="W941" s="58">
        <f>(1000*CHOOSE(CONTROL!$C$42, 0.1146, 0.1146)*CHOOSE(CONTROL!$C$42, 121.5, 121.5)*CHOOSE(CONTROL!$C$42, 31, 31))/1000000</f>
        <v>0.43164089999999994</v>
      </c>
      <c r="X941" s="58">
        <f>(31*0.1790888*245000/1000000)+(31*0.2374*100000/1000000)</f>
        <v>2.0961194359999999</v>
      </c>
      <c r="Y941" s="58"/>
      <c r="Z941" s="10"/>
      <c r="AA941" s="57"/>
      <c r="AB941" s="51">
        <f>(B941*194.205+C941*267.466+D941*133.845+E941*53.484+F941*40+G941*185+H941*0+I941*100+J941*300)/(194.205+267.466+133.845+53.484+0+40+185+100+300)</f>
        <v>76.015956723233913</v>
      </c>
      <c r="AC941" s="27">
        <f>(M941*'RAP TEMPLATE-GAS AVAILABILITY'!O940+N941*'RAP TEMPLATE-GAS AVAILABILITY'!P940+O941*'RAP TEMPLATE-GAS AVAILABILITY'!Q940+P941*'RAP TEMPLATE-GAS AVAILABILITY'!R940)/('RAP TEMPLATE-GAS AVAILABILITY'!O940+'RAP TEMPLATE-GAS AVAILABILITY'!P940+'RAP TEMPLATE-GAS AVAILABILITY'!Q940+'RAP TEMPLATE-GAS AVAILABILITY'!R940)</f>
        <v>75.32480000000001</v>
      </c>
    </row>
    <row r="942" spans="1:29" ht="15.75" x14ac:dyDescent="0.25">
      <c r="A942" s="13">
        <v>69579</v>
      </c>
      <c r="B942" s="10">
        <f>CHOOSE(CONTROL!$C$42, 78.1549, 78.1549) * CHOOSE(CONTROL!$C$21, $C$9, 100%, $E$9)</f>
        <v>78.154899999999998</v>
      </c>
      <c r="C942" s="10">
        <f>CHOOSE(CONTROL!$C$42, 78.1628, 78.1628) * CHOOSE(CONTROL!$C$21, $C$9, 100%, $E$9)</f>
        <v>78.162800000000004</v>
      </c>
      <c r="D942" s="10">
        <f>CHOOSE(CONTROL!$C$42, 78.3552, 78.3552) * CHOOSE(CONTROL!$C$21, $C$9, 100%, $E$9)</f>
        <v>78.355199999999996</v>
      </c>
      <c r="E942" s="10">
        <f>CHOOSE(CONTROL!$C$42, 78.3864, 78.3864) * CHOOSE(CONTROL!$C$21, $C$9, 100%, $E$9)</f>
        <v>78.386399999999995</v>
      </c>
      <c r="F942" s="10">
        <f>CHOOSE(CONTROL!$C$42, 78.1214, 78.1214)*CHOOSE(CONTROL!$C$21, $C$9, 100%, $E$9)</f>
        <v>78.121399999999994</v>
      </c>
      <c r="G942" s="10">
        <f>CHOOSE(CONTROL!$C$42, 78.1386, 78.1386)*CHOOSE(CONTROL!$C$21, $C$9, 100%, $E$9)</f>
        <v>78.138599999999997</v>
      </c>
      <c r="H942" s="10">
        <f>CHOOSE(CONTROL!$C$42, 78.375, 78.375) * CHOOSE(CONTROL!$C$21, $C$9, 100%, $E$9)</f>
        <v>78.375</v>
      </c>
      <c r="I942" s="10">
        <f>CHOOSE(CONTROL!$C$42, 78.1214, 78.1214)* CHOOSE(CONTROL!$C$21, $C$9, 100%, $E$9)</f>
        <v>78.121399999999994</v>
      </c>
      <c r="J942" s="10">
        <f>CHOOSE(CONTROL!$C$42, 78.1144, 78.1144)* CHOOSE(CONTROL!$C$21, $C$9, 100%, $E$9)</f>
        <v>78.114400000000003</v>
      </c>
      <c r="K942" s="54">
        <f>CHOOSE(CONTROL!$C$42, 78.1176, 78.1176) * CHOOSE(CONTROL!$C$21, $C$9, 100%, $E$9)</f>
        <v>78.117599999999996</v>
      </c>
      <c r="L942" s="10">
        <f>CHOOSE(CONTROL!$C$42, 78.962, 78.962) * CHOOSE(CONTROL!$C$21, $C$9, 100%, $E$9)</f>
        <v>78.962000000000003</v>
      </c>
      <c r="M942" s="10">
        <f>CHOOSE(CONTROL!$C$42, 77.3399, 77.3399) * CHOOSE(CONTROL!$C$21, $C$9, 100%, $E$9)</f>
        <v>77.3399</v>
      </c>
      <c r="N942" s="10">
        <f>CHOOSE(CONTROL!$C$42, 77.3569, 77.3569) * CHOOSE(CONTROL!$C$21, $C$9, 100%, $E$9)</f>
        <v>77.356899999999996</v>
      </c>
      <c r="O942" s="10">
        <f>CHOOSE(CONTROL!$C$42, 77.5979, 77.5979) * CHOOSE(CONTROL!$C$21, $C$9, 100%, $E$9)</f>
        <v>77.597899999999996</v>
      </c>
      <c r="P942" s="10">
        <f>CHOOSE(CONTROL!$C$42, 77.3469, 77.3469) * CHOOSE(CONTROL!$C$21, $C$9, 100%, $E$9)</f>
        <v>77.346900000000005</v>
      </c>
      <c r="Q942" s="10">
        <f>CHOOSE(CONTROL!$C$42, 78.1932, 78.1932) * CHOOSE(CONTROL!$C$21, $C$9, 100%, $E$9)</f>
        <v>78.193200000000004</v>
      </c>
      <c r="R942" s="10">
        <f>CHOOSE(CONTROL!$C$42, 78.9757, 78.9757) * CHOOSE(CONTROL!$C$21, $C$9, 100%, $E$9)</f>
        <v>78.975700000000003</v>
      </c>
      <c r="S942" s="10">
        <f>CHOOSE(CONTROL!$C$42, 75.8919, 75.8919) * CHOOSE(CONTROL!$C$21, $C$9, 100%, $E$9)</f>
        <v>75.891900000000007</v>
      </c>
      <c r="T942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942" s="58">
        <f>(1000*CHOOSE(CONTROL!$C$42, 695, 695)*CHOOSE(CONTROL!$C$42, 0.5599, 0.5599)*CHOOSE(CONTROL!$C$42, 30, 30))/1000000</f>
        <v>11.673914999999997</v>
      </c>
      <c r="V942" s="58">
        <f>(1000*CHOOSE(CONTROL!$C$42, 500, 500)*CHOOSE(CONTROL!$C$42, 0.275, 0.275)*CHOOSE(CONTROL!$C$42, 30, 30))/1000000</f>
        <v>4.125</v>
      </c>
      <c r="W942" s="58">
        <f>(1000*CHOOSE(CONTROL!$C$42, 0.1146, 0.1146)*CHOOSE(CONTROL!$C$42, 121.5, 121.5)*CHOOSE(CONTROL!$C$42, 30, 30))/1000000</f>
        <v>0.417717</v>
      </c>
      <c r="X942" s="58">
        <f>(30*0.1790888*245000/1000000)+(30*0.2374*100000/1000000)</f>
        <v>2.0285026799999999</v>
      </c>
      <c r="Y942" s="58"/>
      <c r="Z942" s="10"/>
      <c r="AA942" s="57"/>
      <c r="AB942" s="51">
        <f>(B942*194.205+C942*267.466+D942*133.845+E942*53.484+F942*40+G942*185+H942*0+I942*100+J942*300)/(194.205+267.466+133.845+53.484+0+40+185+100+300)</f>
        <v>78.171735306828879</v>
      </c>
      <c r="AC942" s="27">
        <f>(M942*'RAP TEMPLATE-GAS AVAILABILITY'!O941+N942*'RAP TEMPLATE-GAS AVAILABILITY'!P941+O942*'RAP TEMPLATE-GAS AVAILABILITY'!Q941+P942*'RAP TEMPLATE-GAS AVAILABILITY'!R941)/('RAP TEMPLATE-GAS AVAILABILITY'!O941+'RAP TEMPLATE-GAS AVAILABILITY'!P941+'RAP TEMPLATE-GAS AVAILABILITY'!Q941+'RAP TEMPLATE-GAS AVAILABILITY'!R941)</f>
        <v>77.458820863309356</v>
      </c>
    </row>
    <row r="943" spans="1:29" ht="15.75" x14ac:dyDescent="0.25">
      <c r="A943" s="13">
        <v>69610</v>
      </c>
      <c r="B943" s="10">
        <f>CHOOSE(CONTROL!$C$42, 76.6556, 76.6556) * CHOOSE(CONTROL!$C$21, $C$9, 100%, $E$9)</f>
        <v>76.655600000000007</v>
      </c>
      <c r="C943" s="10">
        <f>CHOOSE(CONTROL!$C$42, 76.6635, 76.6635) * CHOOSE(CONTROL!$C$21, $C$9, 100%, $E$9)</f>
        <v>76.663499999999999</v>
      </c>
      <c r="D943" s="10">
        <f>CHOOSE(CONTROL!$C$42, 76.8559, 76.8559) * CHOOSE(CONTROL!$C$21, $C$9, 100%, $E$9)</f>
        <v>76.855900000000005</v>
      </c>
      <c r="E943" s="10">
        <f>CHOOSE(CONTROL!$C$42, 76.8871, 76.8871) * CHOOSE(CONTROL!$C$21, $C$9, 100%, $E$9)</f>
        <v>76.887100000000004</v>
      </c>
      <c r="F943" s="10">
        <f>CHOOSE(CONTROL!$C$42, 76.6225, 76.6225)*CHOOSE(CONTROL!$C$21, $C$9, 100%, $E$9)</f>
        <v>76.622500000000002</v>
      </c>
      <c r="G943" s="10">
        <f>CHOOSE(CONTROL!$C$42, 76.6398, 76.6398)*CHOOSE(CONTROL!$C$21, $C$9, 100%, $E$9)</f>
        <v>76.639799999999994</v>
      </c>
      <c r="H943" s="10">
        <f>CHOOSE(CONTROL!$C$42, 76.8757, 76.8757) * CHOOSE(CONTROL!$C$21, $C$9, 100%, $E$9)</f>
        <v>76.875699999999995</v>
      </c>
      <c r="I943" s="10">
        <f>CHOOSE(CONTROL!$C$42, 76.6222, 76.6222)* CHOOSE(CONTROL!$C$21, $C$9, 100%, $E$9)</f>
        <v>76.622200000000007</v>
      </c>
      <c r="J943" s="10">
        <f>CHOOSE(CONTROL!$C$42, 76.6155, 76.6155)* CHOOSE(CONTROL!$C$21, $C$9, 100%, $E$9)</f>
        <v>76.615499999999997</v>
      </c>
      <c r="K943" s="54">
        <f>CHOOSE(CONTROL!$C$42, 76.6183, 76.6183) * CHOOSE(CONTROL!$C$21, $C$9, 100%, $E$9)</f>
        <v>76.618300000000005</v>
      </c>
      <c r="L943" s="10">
        <f>CHOOSE(CONTROL!$C$42, 77.4627, 77.4627) * CHOOSE(CONTROL!$C$21, $C$9, 100%, $E$9)</f>
        <v>77.462699999999998</v>
      </c>
      <c r="M943" s="10">
        <f>CHOOSE(CONTROL!$C$42, 75.8561, 75.8561) * CHOOSE(CONTROL!$C$21, $C$9, 100%, $E$9)</f>
        <v>75.856099999999998</v>
      </c>
      <c r="N943" s="10">
        <f>CHOOSE(CONTROL!$C$42, 75.8732, 75.8732) * CHOOSE(CONTROL!$C$21, $C$9, 100%, $E$9)</f>
        <v>75.873199999999997</v>
      </c>
      <c r="O943" s="10">
        <f>CHOOSE(CONTROL!$C$42, 76.1137, 76.1137) * CHOOSE(CONTROL!$C$21, $C$9, 100%, $E$9)</f>
        <v>76.113699999999994</v>
      </c>
      <c r="P943" s="10">
        <f>CHOOSE(CONTROL!$C$42, 75.8628, 75.8628) * CHOOSE(CONTROL!$C$21, $C$9, 100%, $E$9)</f>
        <v>75.862799999999993</v>
      </c>
      <c r="Q943" s="10">
        <f>CHOOSE(CONTROL!$C$42, 76.709, 76.709) * CHOOSE(CONTROL!$C$21, $C$9, 100%, $E$9)</f>
        <v>76.709000000000003</v>
      </c>
      <c r="R943" s="10">
        <f>CHOOSE(CONTROL!$C$42, 77.4878, 77.4878) * CHOOSE(CONTROL!$C$21, $C$9, 100%, $E$9)</f>
        <v>77.487799999999993</v>
      </c>
      <c r="S943" s="10">
        <f>CHOOSE(CONTROL!$C$42, 74.436, 74.436) * CHOOSE(CONTROL!$C$21, $C$9, 100%, $E$9)</f>
        <v>74.436000000000007</v>
      </c>
      <c r="T943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943" s="58">
        <f>(1000*CHOOSE(CONTROL!$C$42, 695, 695)*CHOOSE(CONTROL!$C$42, 0.5599, 0.5599)*CHOOSE(CONTROL!$C$42, 31, 31))/1000000</f>
        <v>12.063045499999998</v>
      </c>
      <c r="V943" s="58">
        <f>(1000*CHOOSE(CONTROL!$C$42, 500, 500)*CHOOSE(CONTROL!$C$42, 0.275, 0.275)*CHOOSE(CONTROL!$C$42, 31, 31))/1000000</f>
        <v>4.2625000000000002</v>
      </c>
      <c r="W943" s="58">
        <f>(1000*CHOOSE(CONTROL!$C$42, 0.1146, 0.1146)*CHOOSE(CONTROL!$C$42, 121.5, 121.5)*CHOOSE(CONTROL!$C$42, 31, 31))/1000000</f>
        <v>0.43164089999999994</v>
      </c>
      <c r="X943" s="58">
        <f>(31*0.1790888*245000/1000000)+(31*0.2374*100000/1000000)</f>
        <v>2.0961194359999999</v>
      </c>
      <c r="Y943" s="58"/>
      <c r="Z943" s="10"/>
      <c r="AA943" s="57"/>
      <c r="AB943" s="51">
        <f>(B943*194.205+C943*267.466+D943*133.845+E943*53.484+F943*40+G943*185+H943*0+I943*100+J943*300)/(194.205+267.466+133.845+53.484+0+40+185+100+300)</f>
        <v>76.672622512480388</v>
      </c>
      <c r="AC943" s="27">
        <f>(M943*'RAP TEMPLATE-GAS AVAILABILITY'!O942+N943*'RAP TEMPLATE-GAS AVAILABILITY'!P942+O943*'RAP TEMPLATE-GAS AVAILABILITY'!Q942+P943*'RAP TEMPLATE-GAS AVAILABILITY'!R942)/('RAP TEMPLATE-GAS AVAILABILITY'!O942+'RAP TEMPLATE-GAS AVAILABILITY'!P942+'RAP TEMPLATE-GAS AVAILABILITY'!Q942+'RAP TEMPLATE-GAS AVAILABILITY'!R942)</f>
        <v>75.974802158273377</v>
      </c>
    </row>
    <row r="944" spans="1:29" ht="15.75" x14ac:dyDescent="0.25">
      <c r="A944" s="13">
        <v>69641</v>
      </c>
      <c r="B944" s="10">
        <f>CHOOSE(CONTROL!$C$42, 72.8694, 72.8694) * CHOOSE(CONTROL!$C$21, $C$9, 100%, $E$9)</f>
        <v>72.869399999999999</v>
      </c>
      <c r="C944" s="10">
        <f>CHOOSE(CONTROL!$C$42, 72.8773, 72.8773) * CHOOSE(CONTROL!$C$21, $C$9, 100%, $E$9)</f>
        <v>72.877300000000005</v>
      </c>
      <c r="D944" s="10">
        <f>CHOOSE(CONTROL!$C$42, 73.0698, 73.0698) * CHOOSE(CONTROL!$C$21, $C$9, 100%, $E$9)</f>
        <v>73.069800000000001</v>
      </c>
      <c r="E944" s="10">
        <f>CHOOSE(CONTROL!$C$42, 73.1009, 73.1009) * CHOOSE(CONTROL!$C$21, $C$9, 100%, $E$9)</f>
        <v>73.100899999999996</v>
      </c>
      <c r="F944" s="10">
        <f>CHOOSE(CONTROL!$C$42, 72.8365, 72.8365)*CHOOSE(CONTROL!$C$21, $C$9, 100%, $E$9)</f>
        <v>72.836500000000001</v>
      </c>
      <c r="G944" s="10">
        <f>CHOOSE(CONTROL!$C$42, 72.8538, 72.8538)*CHOOSE(CONTROL!$C$21, $C$9, 100%, $E$9)</f>
        <v>72.853800000000007</v>
      </c>
      <c r="H944" s="10">
        <f>CHOOSE(CONTROL!$C$42, 73.0896, 73.0896) * CHOOSE(CONTROL!$C$21, $C$9, 100%, $E$9)</f>
        <v>73.089600000000004</v>
      </c>
      <c r="I944" s="10">
        <f>CHOOSE(CONTROL!$C$42, 72.836, 72.836)* CHOOSE(CONTROL!$C$21, $C$9, 100%, $E$9)</f>
        <v>72.835999999999999</v>
      </c>
      <c r="J944" s="10">
        <f>CHOOSE(CONTROL!$C$42, 72.8295, 72.8295)* CHOOSE(CONTROL!$C$21, $C$9, 100%, $E$9)</f>
        <v>72.829499999999996</v>
      </c>
      <c r="K944" s="54">
        <f>CHOOSE(CONTROL!$C$42, 72.8321, 72.8321) * CHOOSE(CONTROL!$C$21, $C$9, 100%, $E$9)</f>
        <v>72.832099999999997</v>
      </c>
      <c r="L944" s="10">
        <f>CHOOSE(CONTROL!$C$42, 73.6766, 73.6766) * CHOOSE(CONTROL!$C$21, $C$9, 100%, $E$9)</f>
        <v>73.676599999999993</v>
      </c>
      <c r="M944" s="10">
        <f>CHOOSE(CONTROL!$C$42, 72.1083, 72.1083) * CHOOSE(CONTROL!$C$21, $C$9, 100%, $E$9)</f>
        <v>72.1083</v>
      </c>
      <c r="N944" s="10">
        <f>CHOOSE(CONTROL!$C$42, 72.1255, 72.1255) * CHOOSE(CONTROL!$C$21, $C$9, 100%, $E$9)</f>
        <v>72.125500000000002</v>
      </c>
      <c r="O944" s="10">
        <f>CHOOSE(CONTROL!$C$42, 72.3658, 72.3658) * CHOOSE(CONTROL!$C$21, $C$9, 100%, $E$9)</f>
        <v>72.365799999999993</v>
      </c>
      <c r="P944" s="10">
        <f>CHOOSE(CONTROL!$C$42, 72.1148, 72.1148) * CHOOSE(CONTROL!$C$21, $C$9, 100%, $E$9)</f>
        <v>72.114800000000002</v>
      </c>
      <c r="Q944" s="10">
        <f>CHOOSE(CONTROL!$C$42, 72.9611, 72.9611) * CHOOSE(CONTROL!$C$21, $C$9, 100%, $E$9)</f>
        <v>72.961100000000002</v>
      </c>
      <c r="R944" s="10">
        <f>CHOOSE(CONTROL!$C$42, 73.7305, 73.7305) * CHOOSE(CONTROL!$C$21, $C$9, 100%, $E$9)</f>
        <v>73.730500000000006</v>
      </c>
      <c r="S944" s="10">
        <f>CHOOSE(CONTROL!$C$42, 70.7593, 70.7593) * CHOOSE(CONTROL!$C$21, $C$9, 100%, $E$9)</f>
        <v>70.759299999999996</v>
      </c>
      <c r="T944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944" s="58">
        <f>(1000*CHOOSE(CONTROL!$C$42, 695, 695)*CHOOSE(CONTROL!$C$42, 0.5599, 0.5599)*CHOOSE(CONTROL!$C$42, 31, 31))/1000000</f>
        <v>12.063045499999998</v>
      </c>
      <c r="V944" s="58">
        <f>(1000*CHOOSE(CONTROL!$C$42, 500, 500)*CHOOSE(CONTROL!$C$42, 0.275, 0.275)*CHOOSE(CONTROL!$C$42, 31, 31))/1000000</f>
        <v>4.2625000000000002</v>
      </c>
      <c r="W944" s="58">
        <f>(1000*CHOOSE(CONTROL!$C$42, 0.1146, 0.1146)*CHOOSE(CONTROL!$C$42, 121.5, 121.5)*CHOOSE(CONTROL!$C$42, 31, 31))/1000000</f>
        <v>0.43164089999999994</v>
      </c>
      <c r="X944" s="58">
        <f>(31*0.1790888*245000/1000000)+(31*0.2374*100000/1000000)</f>
        <v>2.0961194359999999</v>
      </c>
      <c r="Y944" s="58"/>
      <c r="Z944" s="10"/>
      <c r="AA944" s="57"/>
      <c r="AB944" s="51">
        <f>(B944*194.205+C944*267.466+D944*133.845+E944*53.484+F944*40+G944*185+H944*0+I944*100+J944*300)/(194.205+267.466+133.845+53.484+0+40+185+100+300)</f>
        <v>72.886515435949775</v>
      </c>
      <c r="AC944" s="27">
        <f>(M944*'RAP TEMPLATE-GAS AVAILABILITY'!O943+N944*'RAP TEMPLATE-GAS AVAILABILITY'!P943+O944*'RAP TEMPLATE-GAS AVAILABILITY'!Q943+P944*'RAP TEMPLATE-GAS AVAILABILITY'!R943)/('RAP TEMPLATE-GAS AVAILABILITY'!O943+'RAP TEMPLATE-GAS AVAILABILITY'!P943+'RAP TEMPLATE-GAS AVAILABILITY'!Q943+'RAP TEMPLATE-GAS AVAILABILITY'!R943)</f>
        <v>72.226933812949653</v>
      </c>
    </row>
    <row r="945" spans="1:29" ht="15.75" x14ac:dyDescent="0.25">
      <c r="A945" s="13">
        <v>69671</v>
      </c>
      <c r="B945" s="10">
        <f>CHOOSE(CONTROL!$C$42, 68.2431, 68.2431) * CHOOSE(CONTROL!$C$21, $C$9, 100%, $E$9)</f>
        <v>68.243099999999998</v>
      </c>
      <c r="C945" s="10">
        <f>CHOOSE(CONTROL!$C$42, 68.251, 68.251) * CHOOSE(CONTROL!$C$21, $C$9, 100%, $E$9)</f>
        <v>68.251000000000005</v>
      </c>
      <c r="D945" s="10">
        <f>CHOOSE(CONTROL!$C$42, 68.4434, 68.4434) * CHOOSE(CONTROL!$C$21, $C$9, 100%, $E$9)</f>
        <v>68.443399999999997</v>
      </c>
      <c r="E945" s="10">
        <f>CHOOSE(CONTROL!$C$42, 68.4746, 68.4746) * CHOOSE(CONTROL!$C$21, $C$9, 100%, $E$9)</f>
        <v>68.474599999999995</v>
      </c>
      <c r="F945" s="10">
        <f>CHOOSE(CONTROL!$C$42, 68.21, 68.21)*CHOOSE(CONTROL!$C$21, $C$9, 100%, $E$9)</f>
        <v>68.209999999999994</v>
      </c>
      <c r="G945" s="10">
        <f>CHOOSE(CONTROL!$C$42, 68.2273, 68.2273)*CHOOSE(CONTROL!$C$21, $C$9, 100%, $E$9)</f>
        <v>68.2273</v>
      </c>
      <c r="H945" s="10">
        <f>CHOOSE(CONTROL!$C$42, 68.4632, 68.4632) * CHOOSE(CONTROL!$C$21, $C$9, 100%, $E$9)</f>
        <v>68.463200000000001</v>
      </c>
      <c r="I945" s="10">
        <f>CHOOSE(CONTROL!$C$42, 68.2096, 68.2096)* CHOOSE(CONTROL!$C$21, $C$9, 100%, $E$9)</f>
        <v>68.209599999999995</v>
      </c>
      <c r="J945" s="10">
        <f>CHOOSE(CONTROL!$C$42, 68.203, 68.203)* CHOOSE(CONTROL!$C$21, $C$9, 100%, $E$9)</f>
        <v>68.203000000000003</v>
      </c>
      <c r="K945" s="54">
        <f>CHOOSE(CONTROL!$C$42, 68.2057, 68.2057) * CHOOSE(CONTROL!$C$21, $C$9, 100%, $E$9)</f>
        <v>68.205699999999993</v>
      </c>
      <c r="L945" s="10">
        <f>CHOOSE(CONTROL!$C$42, 69.0502, 69.0502) * CHOOSE(CONTROL!$C$21, $C$9, 100%, $E$9)</f>
        <v>69.050200000000004</v>
      </c>
      <c r="M945" s="10">
        <f>CHOOSE(CONTROL!$C$42, 67.5285, 67.5285) * CHOOSE(CONTROL!$C$21, $C$9, 100%, $E$9)</f>
        <v>67.528499999999994</v>
      </c>
      <c r="N945" s="10">
        <f>CHOOSE(CONTROL!$C$42, 67.5456, 67.5456) * CHOOSE(CONTROL!$C$21, $C$9, 100%, $E$9)</f>
        <v>67.545599999999993</v>
      </c>
      <c r="O945" s="10">
        <f>CHOOSE(CONTROL!$C$42, 67.7861, 67.7861) * CHOOSE(CONTROL!$C$21, $C$9, 100%, $E$9)</f>
        <v>67.786100000000005</v>
      </c>
      <c r="P945" s="10">
        <f>CHOOSE(CONTROL!$C$42, 67.5351, 67.5351) * CHOOSE(CONTROL!$C$21, $C$9, 100%, $E$9)</f>
        <v>67.5351</v>
      </c>
      <c r="Q945" s="10">
        <f>CHOOSE(CONTROL!$C$42, 68.3814, 68.3814) * CHOOSE(CONTROL!$C$21, $C$9, 100%, $E$9)</f>
        <v>68.381399999999999</v>
      </c>
      <c r="R945" s="10">
        <f>CHOOSE(CONTROL!$C$42, 69.1394, 69.1394) * CHOOSE(CONTROL!$C$21, $C$9, 100%, $E$9)</f>
        <v>69.139399999999995</v>
      </c>
      <c r="S945" s="10">
        <f>CHOOSE(CONTROL!$C$42, 66.2666, 66.2666) * CHOOSE(CONTROL!$C$21, $C$9, 100%, $E$9)</f>
        <v>66.266599999999997</v>
      </c>
      <c r="T945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945" s="58">
        <f>(1000*CHOOSE(CONTROL!$C$42, 695, 695)*CHOOSE(CONTROL!$C$42, 0.5599, 0.5599)*CHOOSE(CONTROL!$C$42, 30, 30))/1000000</f>
        <v>11.673914999999997</v>
      </c>
      <c r="V945" s="58">
        <f>(1000*CHOOSE(CONTROL!$C$42, 500, 500)*CHOOSE(CONTROL!$C$42, 0.275, 0.275)*CHOOSE(CONTROL!$C$42, 30, 30))/1000000</f>
        <v>4.125</v>
      </c>
      <c r="W945" s="58">
        <f>(1000*CHOOSE(CONTROL!$C$42, 0.1146, 0.1146)*CHOOSE(CONTROL!$C$42, 121.5, 121.5)*CHOOSE(CONTROL!$C$42, 30, 30))/1000000</f>
        <v>0.417717</v>
      </c>
      <c r="X945" s="58">
        <f>(30*0.1790888*245000/1000000)+(30*0.2374*100000/1000000)</f>
        <v>2.0285026799999999</v>
      </c>
      <c r="Y945" s="58"/>
      <c r="Z945" s="10"/>
      <c r="AA945" s="57"/>
      <c r="AB945" s="51">
        <f>(B945*194.205+C945*267.466+D945*133.845+E945*53.484+F945*40+G945*185+H945*0+I945*100+J945*300)/(194.205+267.466+133.845+53.484+0+40+185+100+300)</f>
        <v>68.260114663186812</v>
      </c>
      <c r="AC945" s="27">
        <f>(M945*'RAP TEMPLATE-GAS AVAILABILITY'!O944+N945*'RAP TEMPLATE-GAS AVAILABILITY'!P944+O945*'RAP TEMPLATE-GAS AVAILABILITY'!Q944+P945*'RAP TEMPLATE-GAS AVAILABILITY'!R944)/('RAP TEMPLATE-GAS AVAILABILITY'!O944+'RAP TEMPLATE-GAS AVAILABILITY'!P944+'RAP TEMPLATE-GAS AVAILABILITY'!Q944+'RAP TEMPLATE-GAS AVAILABILITY'!R944)</f>
        <v>67.647187769784168</v>
      </c>
    </row>
    <row r="946" spans="1:29" ht="15.75" x14ac:dyDescent="0.25">
      <c r="A946" s="13">
        <v>69702</v>
      </c>
      <c r="B946" s="10">
        <f>CHOOSE(CONTROL!$C$42, 66.8558, 66.8558) * CHOOSE(CONTROL!$C$21, $C$9, 100%, $E$9)</f>
        <v>66.855800000000002</v>
      </c>
      <c r="C946" s="10">
        <f>CHOOSE(CONTROL!$C$42, 66.861, 66.861) * CHOOSE(CONTROL!$C$21, $C$9, 100%, $E$9)</f>
        <v>66.861000000000004</v>
      </c>
      <c r="D946" s="10">
        <f>CHOOSE(CONTROL!$C$42, 67.0584, 67.0584) * CHOOSE(CONTROL!$C$21, $C$9, 100%, $E$9)</f>
        <v>67.058400000000006</v>
      </c>
      <c r="E946" s="10">
        <f>CHOOSE(CONTROL!$C$42, 67.0872, 67.0872) * CHOOSE(CONTROL!$C$21, $C$9, 100%, $E$9)</f>
        <v>67.087199999999996</v>
      </c>
      <c r="F946" s="10">
        <f>CHOOSE(CONTROL!$C$42, 66.8247, 66.8247)*CHOOSE(CONTROL!$C$21, $C$9, 100%, $E$9)</f>
        <v>66.824700000000007</v>
      </c>
      <c r="G946" s="10">
        <f>CHOOSE(CONTROL!$C$42, 66.8417, 66.8417)*CHOOSE(CONTROL!$C$21, $C$9, 100%, $E$9)</f>
        <v>66.841700000000003</v>
      </c>
      <c r="H946" s="10">
        <f>CHOOSE(CONTROL!$C$42, 67.0777, 67.0777) * CHOOSE(CONTROL!$C$21, $C$9, 100%, $E$9)</f>
        <v>67.077699999999993</v>
      </c>
      <c r="I946" s="10">
        <f>CHOOSE(CONTROL!$C$42, 66.8241, 66.8241)* CHOOSE(CONTROL!$C$21, $C$9, 100%, $E$9)</f>
        <v>66.824100000000001</v>
      </c>
      <c r="J946" s="10">
        <f>CHOOSE(CONTROL!$C$42, 66.8177, 66.8177)* CHOOSE(CONTROL!$C$21, $C$9, 100%, $E$9)</f>
        <v>66.817700000000002</v>
      </c>
      <c r="K946" s="54">
        <f>CHOOSE(CONTROL!$C$42, 66.8202, 66.8202) * CHOOSE(CONTROL!$C$21, $C$9, 100%, $E$9)</f>
        <v>66.8202</v>
      </c>
      <c r="L946" s="10">
        <f>CHOOSE(CONTROL!$C$42, 67.6647, 67.6647) * CHOOSE(CONTROL!$C$21, $C$9, 100%, $E$9)</f>
        <v>67.664699999999996</v>
      </c>
      <c r="M946" s="10">
        <f>CHOOSE(CONTROL!$C$42, 66.1572, 66.1572) * CHOOSE(CONTROL!$C$21, $C$9, 100%, $E$9)</f>
        <v>66.157200000000003</v>
      </c>
      <c r="N946" s="10">
        <f>CHOOSE(CONTROL!$C$42, 66.174, 66.174) * CHOOSE(CONTROL!$C$21, $C$9, 100%, $E$9)</f>
        <v>66.174000000000007</v>
      </c>
      <c r="O946" s="10">
        <f>CHOOSE(CONTROL!$C$42, 66.4146, 66.4146) * CHOOSE(CONTROL!$C$21, $C$9, 100%, $E$9)</f>
        <v>66.414599999999993</v>
      </c>
      <c r="P946" s="10">
        <f>CHOOSE(CONTROL!$C$42, 66.1636, 66.1636) * CHOOSE(CONTROL!$C$21, $C$9, 100%, $E$9)</f>
        <v>66.163600000000002</v>
      </c>
      <c r="Q946" s="10">
        <f>CHOOSE(CONTROL!$C$42, 67.0099, 67.0099) * CHOOSE(CONTROL!$C$21, $C$9, 100%, $E$9)</f>
        <v>67.009900000000002</v>
      </c>
      <c r="R946" s="10">
        <f>CHOOSE(CONTROL!$C$42, 67.7644, 67.7644) * CHOOSE(CONTROL!$C$21, $C$9, 100%, $E$9)</f>
        <v>67.764399999999995</v>
      </c>
      <c r="S946" s="10">
        <f>CHOOSE(CONTROL!$C$42, 64.9211, 64.9211) * CHOOSE(CONTROL!$C$21, $C$9, 100%, $E$9)</f>
        <v>64.921099999999996</v>
      </c>
      <c r="T946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946" s="58">
        <f>(1000*CHOOSE(CONTROL!$C$42, 695, 695)*CHOOSE(CONTROL!$C$42, 0.5599, 0.5599)*CHOOSE(CONTROL!$C$42, 31, 31))/1000000</f>
        <v>12.063045499999998</v>
      </c>
      <c r="V946" s="58">
        <f>(1000*CHOOSE(CONTROL!$C$42, 500, 500)*CHOOSE(CONTROL!$C$42, 0.275, 0.275)*CHOOSE(CONTROL!$C$42, 31, 31))/1000000</f>
        <v>4.2625000000000002</v>
      </c>
      <c r="W946" s="58">
        <f>(1000*CHOOSE(CONTROL!$C$42, 0.1146, 0.1146)*CHOOSE(CONTROL!$C$42, 121.5, 121.5)*CHOOSE(CONTROL!$C$42, 31, 31))/1000000</f>
        <v>0.43164089999999994</v>
      </c>
      <c r="X946" s="58">
        <f>(31*0.1790888*245000/1000000)+(31*0.2374*100000/1000000)</f>
        <v>2.0961194359999999</v>
      </c>
      <c r="Y946" s="58"/>
      <c r="Z946" s="10"/>
      <c r="AA946" s="57"/>
      <c r="AB946" s="51">
        <f>(B946*131.881+C946*277.167+D946*79.08+E946*125.872+F946*40+G946*185+H946*0+I946*100+J946*300)/(131.881+277.167+79.08+125.872+0+40+185+100+300)</f>
        <v>66.87850956997579</v>
      </c>
      <c r="AC946" s="27">
        <f>(M946*'RAP TEMPLATE-GAS AVAILABILITY'!O945+N946*'RAP TEMPLATE-GAS AVAILABILITY'!P945+O946*'RAP TEMPLATE-GAS AVAILABILITY'!Q945+P946*'RAP TEMPLATE-GAS AVAILABILITY'!R945)/('RAP TEMPLATE-GAS AVAILABILITY'!O945+'RAP TEMPLATE-GAS AVAILABILITY'!P945+'RAP TEMPLATE-GAS AVAILABILITY'!Q945+'RAP TEMPLATE-GAS AVAILABILITY'!R945)</f>
        <v>66.275751079136683</v>
      </c>
    </row>
    <row r="947" spans="1:29" ht="15.75" x14ac:dyDescent="0.25">
      <c r="A947" s="13">
        <v>69732</v>
      </c>
      <c r="B947" s="10">
        <f>CHOOSE(CONTROL!$C$42, 68.6166, 68.6166) * CHOOSE(CONTROL!$C$21, $C$9, 100%, $E$9)</f>
        <v>68.616600000000005</v>
      </c>
      <c r="C947" s="10">
        <f>CHOOSE(CONTROL!$C$42, 68.6215, 68.6215) * CHOOSE(CONTROL!$C$21, $C$9, 100%, $E$9)</f>
        <v>68.621499999999997</v>
      </c>
      <c r="D947" s="10">
        <f>CHOOSE(CONTROL!$C$42, 68.6512, 68.6512) * CHOOSE(CONTROL!$C$21, $C$9, 100%, $E$9)</f>
        <v>68.651200000000003</v>
      </c>
      <c r="E947" s="10">
        <f>CHOOSE(CONTROL!$C$42, 68.6849, 68.6849) * CHOOSE(CONTROL!$C$21, $C$9, 100%, $E$9)</f>
        <v>68.684899999999999</v>
      </c>
      <c r="F947" s="10">
        <f>CHOOSE(CONTROL!$C$42, 68.5834, 68.5834)*CHOOSE(CONTROL!$C$21, $C$9, 100%, $E$9)</f>
        <v>68.583399999999997</v>
      </c>
      <c r="G947" s="10">
        <f>CHOOSE(CONTROL!$C$42, 68.6005, 68.6005)*CHOOSE(CONTROL!$C$21, $C$9, 100%, $E$9)</f>
        <v>68.600499999999997</v>
      </c>
      <c r="H947" s="10">
        <f>CHOOSE(CONTROL!$C$42, 68.6741, 68.6741) * CHOOSE(CONTROL!$C$21, $C$9, 100%, $E$9)</f>
        <v>68.674099999999996</v>
      </c>
      <c r="I947" s="10">
        <f>CHOOSE(CONTROL!$C$42, 68.5802, 68.5802)* CHOOSE(CONTROL!$C$21, $C$9, 100%, $E$9)</f>
        <v>68.580200000000005</v>
      </c>
      <c r="J947" s="10">
        <f>CHOOSE(CONTROL!$C$42, 68.5764, 68.5764)* CHOOSE(CONTROL!$C$21, $C$9, 100%, $E$9)</f>
        <v>68.576400000000007</v>
      </c>
      <c r="K947" s="54">
        <f>CHOOSE(CONTROL!$C$42, 68.5763, 68.5763) * CHOOSE(CONTROL!$C$21, $C$9, 100%, $E$9)</f>
        <v>68.576300000000003</v>
      </c>
      <c r="L947" s="10">
        <f>CHOOSE(CONTROL!$C$42, 69.2611, 69.2611) * CHOOSE(CONTROL!$C$21, $C$9, 100%, $E$9)</f>
        <v>69.261099999999999</v>
      </c>
      <c r="M947" s="10">
        <f>CHOOSE(CONTROL!$C$42, 67.8982, 67.8982) * CHOOSE(CONTROL!$C$21, $C$9, 100%, $E$9)</f>
        <v>67.898200000000003</v>
      </c>
      <c r="N947" s="10">
        <f>CHOOSE(CONTROL!$C$42, 67.9151, 67.9151) * CHOOSE(CONTROL!$C$21, $C$9, 100%, $E$9)</f>
        <v>67.915099999999995</v>
      </c>
      <c r="O947" s="10">
        <f>CHOOSE(CONTROL!$C$42, 67.9949, 67.9949) * CHOOSE(CONTROL!$C$21, $C$9, 100%, $E$9)</f>
        <v>67.994900000000001</v>
      </c>
      <c r="P947" s="10">
        <f>CHOOSE(CONTROL!$C$42, 67.902, 67.902) * CHOOSE(CONTROL!$C$21, $C$9, 100%, $E$9)</f>
        <v>67.902000000000001</v>
      </c>
      <c r="Q947" s="10">
        <f>CHOOSE(CONTROL!$C$42, 68.5902, 68.5902) * CHOOSE(CONTROL!$C$21, $C$9, 100%, $E$9)</f>
        <v>68.590199999999996</v>
      </c>
      <c r="R947" s="10">
        <f>CHOOSE(CONTROL!$C$42, 69.3487, 69.3487) * CHOOSE(CONTROL!$C$21, $C$9, 100%, $E$9)</f>
        <v>69.348699999999994</v>
      </c>
      <c r="S947" s="10">
        <f>CHOOSE(CONTROL!$C$42, 66.6314, 66.6314) * CHOOSE(CONTROL!$C$21, $C$9, 100%, $E$9)</f>
        <v>66.631399999999999</v>
      </c>
      <c r="T947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947" s="58">
        <f>(1000*CHOOSE(CONTROL!$C$42, 695, 695)*CHOOSE(CONTROL!$C$42, 0.5599, 0.5599)*CHOOSE(CONTROL!$C$42, 30, 30))/1000000</f>
        <v>11.673914999999997</v>
      </c>
      <c r="V947" s="58">
        <f>(1000*CHOOSE(CONTROL!$C$42, 500, 500)*CHOOSE(CONTROL!$C$42, 0.275, 0.275)*CHOOSE(CONTROL!$C$42, 30, 30))/1000000</f>
        <v>4.125</v>
      </c>
      <c r="W947" s="58">
        <f>(1000*CHOOSE(CONTROL!$C$42, 0.1146, 0.1146)*CHOOSE(CONTROL!$C$42, 121.5, 121.5)*CHOOSE(CONTROL!$C$42, 30, 30))/1000000</f>
        <v>0.417717</v>
      </c>
      <c r="X947" s="58">
        <f>(30*0.1790888*100000/1000000)+(30*0.2374*100000/1000000)</f>
        <v>1.2494664</v>
      </c>
      <c r="Y947" s="58"/>
      <c r="Z947" s="10"/>
      <c r="AA947" s="57"/>
      <c r="AB947" s="51">
        <f>(B947*122.58+C947*297.941+D947*89.177+E947*40.302+F947*40+G947*160+H947*0+I947*100+J947*300)/(122.58+297.941+89.177+40.302+0+40+160+100+300)</f>
        <v>68.605899184086965</v>
      </c>
      <c r="AC947" s="27">
        <f>(M947*'RAP TEMPLATE-GAS AVAILABILITY'!O946+N947*'RAP TEMPLATE-GAS AVAILABILITY'!P946+O947*'RAP TEMPLATE-GAS AVAILABILITY'!Q946+P947*'RAP TEMPLATE-GAS AVAILABILITY'!R946)/('RAP TEMPLATE-GAS AVAILABILITY'!O946+'RAP TEMPLATE-GAS AVAILABILITY'!P946+'RAP TEMPLATE-GAS AVAILABILITY'!Q946+'RAP TEMPLATE-GAS AVAILABILITY'!R946)</f>
        <v>67.943547482014395</v>
      </c>
    </row>
    <row r="948" spans="1:29" ht="15.75" x14ac:dyDescent="0.25">
      <c r="A948" s="13">
        <v>69763</v>
      </c>
      <c r="B948" s="10">
        <f>CHOOSE(CONTROL!$C$42, 73.2946, 73.2946) * CHOOSE(CONTROL!$C$21, $C$9, 100%, $E$9)</f>
        <v>73.294600000000003</v>
      </c>
      <c r="C948" s="10">
        <f>CHOOSE(CONTROL!$C$42, 73.2996, 73.2996) * CHOOSE(CONTROL!$C$21, $C$9, 100%, $E$9)</f>
        <v>73.299599999999998</v>
      </c>
      <c r="D948" s="10">
        <f>CHOOSE(CONTROL!$C$42, 73.3292, 73.3292) * CHOOSE(CONTROL!$C$21, $C$9, 100%, $E$9)</f>
        <v>73.3292</v>
      </c>
      <c r="E948" s="10">
        <f>CHOOSE(CONTROL!$C$42, 73.363, 73.363) * CHOOSE(CONTROL!$C$21, $C$9, 100%, $E$9)</f>
        <v>73.363</v>
      </c>
      <c r="F948" s="10">
        <f>CHOOSE(CONTROL!$C$42, 73.2629, 73.2629)*CHOOSE(CONTROL!$C$21, $C$9, 100%, $E$9)</f>
        <v>73.262900000000002</v>
      </c>
      <c r="G948" s="10">
        <f>CHOOSE(CONTROL!$C$42, 73.2803, 73.2803)*CHOOSE(CONTROL!$C$21, $C$9, 100%, $E$9)</f>
        <v>73.280299999999997</v>
      </c>
      <c r="H948" s="10">
        <f>CHOOSE(CONTROL!$C$42, 73.3522, 73.3522) * CHOOSE(CONTROL!$C$21, $C$9, 100%, $E$9)</f>
        <v>73.352199999999996</v>
      </c>
      <c r="I948" s="10">
        <f>CHOOSE(CONTROL!$C$42, 73.2582, 73.2582)* CHOOSE(CONTROL!$C$21, $C$9, 100%, $E$9)</f>
        <v>73.258200000000002</v>
      </c>
      <c r="J948" s="10">
        <f>CHOOSE(CONTROL!$C$42, 73.2559, 73.2559)* CHOOSE(CONTROL!$C$21, $C$9, 100%, $E$9)</f>
        <v>73.255899999999997</v>
      </c>
      <c r="K948" s="54">
        <f>CHOOSE(CONTROL!$C$42, 73.2543, 73.2543) * CHOOSE(CONTROL!$C$21, $C$9, 100%, $E$9)</f>
        <v>73.254300000000001</v>
      </c>
      <c r="L948" s="10">
        <f>CHOOSE(CONTROL!$C$42, 73.9392, 73.9392) * CHOOSE(CONTROL!$C$21, $C$9, 100%, $E$9)</f>
        <v>73.9392</v>
      </c>
      <c r="M948" s="10">
        <f>CHOOSE(CONTROL!$C$42, 72.5304, 72.5304) * CHOOSE(CONTROL!$C$21, $C$9, 100%, $E$9)</f>
        <v>72.5304</v>
      </c>
      <c r="N948" s="10">
        <f>CHOOSE(CONTROL!$C$42, 72.5477, 72.5477) * CHOOSE(CONTROL!$C$21, $C$9, 100%, $E$9)</f>
        <v>72.547700000000006</v>
      </c>
      <c r="O948" s="10">
        <f>CHOOSE(CONTROL!$C$42, 72.6258, 72.6258) * CHOOSE(CONTROL!$C$21, $C$9, 100%, $E$9)</f>
        <v>72.625799999999998</v>
      </c>
      <c r="P948" s="10">
        <f>CHOOSE(CONTROL!$C$42, 72.5328, 72.5328) * CHOOSE(CONTROL!$C$21, $C$9, 100%, $E$9)</f>
        <v>72.532799999999995</v>
      </c>
      <c r="Q948" s="10">
        <f>CHOOSE(CONTROL!$C$42, 73.2211, 73.2211) * CHOOSE(CONTROL!$C$21, $C$9, 100%, $E$9)</f>
        <v>73.221100000000007</v>
      </c>
      <c r="R948" s="10">
        <f>CHOOSE(CONTROL!$C$42, 73.9911, 73.9911) * CHOOSE(CONTROL!$C$21, $C$9, 100%, $E$9)</f>
        <v>73.991100000000003</v>
      </c>
      <c r="S948" s="10">
        <f>CHOOSE(CONTROL!$C$42, 71.1743, 71.1743) * CHOOSE(CONTROL!$C$21, $C$9, 100%, $E$9)</f>
        <v>71.174300000000002</v>
      </c>
      <c r="T948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948" s="58">
        <f>(1000*CHOOSE(CONTROL!$C$42, 695, 695)*CHOOSE(CONTROL!$C$42, 0.5599, 0.5599)*CHOOSE(CONTROL!$C$42, 31, 31))/1000000</f>
        <v>12.063045499999998</v>
      </c>
      <c r="V948" s="58">
        <f>(1000*CHOOSE(CONTROL!$C$42, 500, 500)*CHOOSE(CONTROL!$C$42, 0.275, 0.275)*CHOOSE(CONTROL!$C$42, 31, 31))/1000000</f>
        <v>4.2625000000000002</v>
      </c>
      <c r="W948" s="58">
        <f>(1000*CHOOSE(CONTROL!$C$42, 0.1146, 0.1146)*CHOOSE(CONTROL!$C$42, 121.5, 121.5)*CHOOSE(CONTROL!$C$42, 31, 31))/1000000</f>
        <v>0.43164089999999994</v>
      </c>
      <c r="X948" s="58">
        <f>(31*0.1790888*100000/1000000)+(31*0.2374*100000/1000000)</f>
        <v>1.2911152800000001</v>
      </c>
      <c r="Y948" s="58"/>
      <c r="Z948" s="10"/>
      <c r="AA948" s="57"/>
      <c r="AB948" s="51">
        <f>(B948*122.58+C948*297.941+D948*89.177+E948*40.302+F948*40+G948*160+H948*0+I948*100+J948*300)/(122.58+297.941+89.177+40.302+0+40+160+100+300)</f>
        <v>73.28462250956521</v>
      </c>
      <c r="AC948" s="27">
        <f>(M948*'RAP TEMPLATE-GAS AVAILABILITY'!O947+N948*'RAP TEMPLATE-GAS AVAILABILITY'!P947+O948*'RAP TEMPLATE-GAS AVAILABILITY'!Q947+P948*'RAP TEMPLATE-GAS AVAILABILITY'!R947)/('RAP TEMPLATE-GAS AVAILABILITY'!O947+'RAP TEMPLATE-GAS AVAILABILITY'!P947+'RAP TEMPLATE-GAS AVAILABILITY'!Q947+'RAP TEMPLATE-GAS AVAILABILITY'!R947)</f>
        <v>72.574979856115107</v>
      </c>
    </row>
    <row r="949" spans="1:29" ht="15.75" x14ac:dyDescent="0.25">
      <c r="A949" s="13">
        <v>69794</v>
      </c>
      <c r="B949" s="10">
        <f>CHOOSE(CONTROL!$C$42, 79.2999, 79.2999) * CHOOSE(CONTROL!$C$21, $C$9, 100%, $E$9)</f>
        <v>79.299899999999994</v>
      </c>
      <c r="C949" s="10">
        <f>CHOOSE(CONTROL!$C$42, 79.3049, 79.3049) * CHOOSE(CONTROL!$C$21, $C$9, 100%, $E$9)</f>
        <v>79.304900000000004</v>
      </c>
      <c r="D949" s="10">
        <f>CHOOSE(CONTROL!$C$42, 79.3551, 79.3551) * CHOOSE(CONTROL!$C$21, $C$9, 100%, $E$9)</f>
        <v>79.355099999999993</v>
      </c>
      <c r="E949" s="10">
        <f>CHOOSE(CONTROL!$C$42, 79.3889, 79.3889) * CHOOSE(CONTROL!$C$21, $C$9, 100%, $E$9)</f>
        <v>79.388900000000007</v>
      </c>
      <c r="F949" s="10">
        <f>CHOOSE(CONTROL!$C$42, 79.2653, 79.2653)*CHOOSE(CONTROL!$C$21, $C$9, 100%, $E$9)</f>
        <v>79.265299999999996</v>
      </c>
      <c r="G949" s="10">
        <f>CHOOSE(CONTROL!$C$42, 79.2829, 79.2829)*CHOOSE(CONTROL!$C$21, $C$9, 100%, $E$9)</f>
        <v>79.282899999999998</v>
      </c>
      <c r="H949" s="10">
        <f>CHOOSE(CONTROL!$C$42, 79.3781, 79.3781) * CHOOSE(CONTROL!$C$21, $C$9, 100%, $E$9)</f>
        <v>79.378100000000003</v>
      </c>
      <c r="I949" s="10">
        <f>CHOOSE(CONTROL!$C$42, 79.2738, 79.2738)* CHOOSE(CONTROL!$C$21, $C$9, 100%, $E$9)</f>
        <v>79.273799999999994</v>
      </c>
      <c r="J949" s="10">
        <f>CHOOSE(CONTROL!$C$42, 79.2583, 79.2583)* CHOOSE(CONTROL!$C$21, $C$9, 100%, $E$9)</f>
        <v>79.258300000000006</v>
      </c>
      <c r="K949" s="54">
        <f>CHOOSE(CONTROL!$C$42, 79.2699, 79.2699) * CHOOSE(CONTROL!$C$21, $C$9, 100%, $E$9)</f>
        <v>79.269900000000007</v>
      </c>
      <c r="L949" s="10">
        <f>CHOOSE(CONTROL!$C$42, 79.9651, 79.9651) * CHOOSE(CONTROL!$C$21, $C$9, 100%, $E$9)</f>
        <v>79.965100000000007</v>
      </c>
      <c r="M949" s="10">
        <f>CHOOSE(CONTROL!$C$42, 78.4723, 78.4723) * CHOOSE(CONTROL!$C$21, $C$9, 100%, $E$9)</f>
        <v>78.472300000000004</v>
      </c>
      <c r="N949" s="10">
        <f>CHOOSE(CONTROL!$C$42, 78.4897, 78.4897) * CHOOSE(CONTROL!$C$21, $C$9, 100%, $E$9)</f>
        <v>78.489699999999999</v>
      </c>
      <c r="O949" s="10">
        <f>CHOOSE(CONTROL!$C$42, 78.5908, 78.5908) * CHOOSE(CONTROL!$C$21, $C$9, 100%, $E$9)</f>
        <v>78.590800000000002</v>
      </c>
      <c r="P949" s="10">
        <f>CHOOSE(CONTROL!$C$42, 78.4877, 78.4877) * CHOOSE(CONTROL!$C$21, $C$9, 100%, $E$9)</f>
        <v>78.487700000000004</v>
      </c>
      <c r="Q949" s="10">
        <f>CHOOSE(CONTROL!$C$42, 79.1861, 79.1861) * CHOOSE(CONTROL!$C$21, $C$9, 100%, $E$9)</f>
        <v>79.186099999999996</v>
      </c>
      <c r="R949" s="10">
        <f>CHOOSE(CONTROL!$C$42, 79.9711, 79.9711) * CHOOSE(CONTROL!$C$21, $C$9, 100%, $E$9)</f>
        <v>79.971100000000007</v>
      </c>
      <c r="S949" s="10">
        <f>CHOOSE(CONTROL!$C$42, 77.006, 77.006) * CHOOSE(CONTROL!$C$21, $C$9, 100%, $E$9)</f>
        <v>77.006</v>
      </c>
      <c r="T949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949" s="58">
        <f>(1000*CHOOSE(CONTROL!$C$42, 695, 695)*CHOOSE(CONTROL!$C$42, 0.5599, 0.5599)*CHOOSE(CONTROL!$C$42, 31, 31))/1000000</f>
        <v>12.063045499999998</v>
      </c>
      <c r="V949" s="58">
        <f>(1000*CHOOSE(CONTROL!$C$42, 500, 500)*CHOOSE(CONTROL!$C$42, 0.275, 0.275)*CHOOSE(CONTROL!$C$42, 31, 31))/1000000</f>
        <v>4.2625000000000002</v>
      </c>
      <c r="W949" s="58">
        <f>(1000*CHOOSE(CONTROL!$C$42, 0.1146, 0.1146)*CHOOSE(CONTROL!$C$42, 121.5, 121.5)*CHOOSE(CONTROL!$C$42, 31, 31))/1000000</f>
        <v>0.43164089999999994</v>
      </c>
      <c r="X949" s="58">
        <f>(31*0.1790888*100000/1000000)+(31*0.2374*100000/1000000)</f>
        <v>1.2911152800000001</v>
      </c>
      <c r="Y949" s="58"/>
      <c r="Z949" s="10"/>
      <c r="AA949" s="57"/>
      <c r="AB949" s="51">
        <f>(B949*122.58+C949*297.941+D949*89.177+E949*40.302+F949*40+G949*160+H949*0+I949*100+J949*300)/(122.58+297.941+89.177+40.302+0+40+160+100+300)</f>
        <v>79.291904481217401</v>
      </c>
      <c r="AC949" s="27">
        <f>(M949*'RAP TEMPLATE-GAS AVAILABILITY'!O948+N949*'RAP TEMPLATE-GAS AVAILABILITY'!P948+O949*'RAP TEMPLATE-GAS AVAILABILITY'!Q948+P949*'RAP TEMPLATE-GAS AVAILABILITY'!R948)/('RAP TEMPLATE-GAS AVAILABILITY'!O948+'RAP TEMPLATE-GAS AVAILABILITY'!P948+'RAP TEMPLATE-GAS AVAILABILITY'!Q948+'RAP TEMPLATE-GAS AVAILABILITY'!R948)</f>
        <v>78.52922589928059</v>
      </c>
    </row>
    <row r="950" spans="1:29" ht="15.75" x14ac:dyDescent="0.25">
      <c r="A950" s="13">
        <v>69822</v>
      </c>
      <c r="B950" s="10">
        <f>CHOOSE(CONTROL!$C$42, 80.7115, 80.7115) * CHOOSE(CONTROL!$C$21, $C$9, 100%, $E$9)</f>
        <v>80.711500000000001</v>
      </c>
      <c r="C950" s="10">
        <f>CHOOSE(CONTROL!$C$42, 80.7165, 80.7165) * CHOOSE(CONTROL!$C$21, $C$9, 100%, $E$9)</f>
        <v>80.716499999999996</v>
      </c>
      <c r="D950" s="10">
        <f>CHOOSE(CONTROL!$C$42, 80.777, 80.777) * CHOOSE(CONTROL!$C$21, $C$9, 100%, $E$9)</f>
        <v>80.777000000000001</v>
      </c>
      <c r="E950" s="10">
        <f>CHOOSE(CONTROL!$C$42, 80.8108, 80.8108) * CHOOSE(CONTROL!$C$21, $C$9, 100%, $E$9)</f>
        <v>80.8108</v>
      </c>
      <c r="F950" s="10">
        <f>CHOOSE(CONTROL!$C$42, 80.7048, 80.7048)*CHOOSE(CONTROL!$C$21, $C$9, 100%, $E$9)</f>
        <v>80.704800000000006</v>
      </c>
      <c r="G950" s="10">
        <f>CHOOSE(CONTROL!$C$42, 80.7221, 80.7221)*CHOOSE(CONTROL!$C$21, $C$9, 100%, $E$9)</f>
        <v>80.722099999999998</v>
      </c>
      <c r="H950" s="10">
        <f>CHOOSE(CONTROL!$C$42, 80.8, 80.8) * CHOOSE(CONTROL!$C$21, $C$9, 100%, $E$9)</f>
        <v>80.8</v>
      </c>
      <c r="I950" s="10">
        <f>CHOOSE(CONTROL!$C$42, 80.6983, 80.6983)* CHOOSE(CONTROL!$C$21, $C$9, 100%, $E$9)</f>
        <v>80.698300000000003</v>
      </c>
      <c r="J950" s="10">
        <f>CHOOSE(CONTROL!$C$42, 80.6978, 80.6978)* CHOOSE(CONTROL!$C$21, $C$9, 100%, $E$9)</f>
        <v>80.697800000000001</v>
      </c>
      <c r="K950" s="54">
        <f>CHOOSE(CONTROL!$C$42, 80.6944, 80.6944) * CHOOSE(CONTROL!$C$21, $C$9, 100%, $E$9)</f>
        <v>80.694400000000002</v>
      </c>
      <c r="L950" s="10">
        <f>CHOOSE(CONTROL!$C$42, 81.387, 81.387) * CHOOSE(CONTROL!$C$21, $C$9, 100%, $E$9)</f>
        <v>81.387</v>
      </c>
      <c r="M950" s="10">
        <f>CHOOSE(CONTROL!$C$42, 79.8972, 79.8972) * CHOOSE(CONTROL!$C$21, $C$9, 100%, $E$9)</f>
        <v>79.897199999999998</v>
      </c>
      <c r="N950" s="10">
        <f>CHOOSE(CONTROL!$C$42, 79.9143, 79.9143) * CHOOSE(CONTROL!$C$21, $C$9, 100%, $E$9)</f>
        <v>79.914299999999997</v>
      </c>
      <c r="O950" s="10">
        <f>CHOOSE(CONTROL!$C$42, 79.9984, 79.9984) * CHOOSE(CONTROL!$C$21, $C$9, 100%, $E$9)</f>
        <v>79.998400000000004</v>
      </c>
      <c r="P950" s="10">
        <f>CHOOSE(CONTROL!$C$42, 79.8978, 79.8978) * CHOOSE(CONTROL!$C$21, $C$9, 100%, $E$9)</f>
        <v>79.897800000000004</v>
      </c>
      <c r="Q950" s="10">
        <f>CHOOSE(CONTROL!$C$42, 80.5937, 80.5937) * CHOOSE(CONTROL!$C$21, $C$9, 100%, $E$9)</f>
        <v>80.593699999999998</v>
      </c>
      <c r="R950" s="10">
        <f>CHOOSE(CONTROL!$C$42, 81.3822, 81.3822) * CHOOSE(CONTROL!$C$21, $C$9, 100%, $E$9)</f>
        <v>81.382199999999997</v>
      </c>
      <c r="S950" s="10">
        <f>CHOOSE(CONTROL!$C$42, 78.3768, 78.3768) * CHOOSE(CONTROL!$C$21, $C$9, 100%, $E$9)</f>
        <v>78.376800000000003</v>
      </c>
      <c r="T950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950" s="58">
        <f>(1000*CHOOSE(CONTROL!$C$42, 695, 695)*CHOOSE(CONTROL!$C$42, 0.5599, 0.5599)*CHOOSE(CONTROL!$C$42, 28, 28))/1000000</f>
        <v>10.895653999999999</v>
      </c>
      <c r="V950" s="58">
        <f>(1000*CHOOSE(CONTROL!$C$42, 500, 500)*CHOOSE(CONTROL!$C$42, 0.275, 0.275)*CHOOSE(CONTROL!$C$42, 28, 28))/1000000</f>
        <v>3.85</v>
      </c>
      <c r="W950" s="58">
        <f>(1000*CHOOSE(CONTROL!$C$42, 0.1146, 0.1146)*CHOOSE(CONTROL!$C$42, 121.5, 121.5)*CHOOSE(CONTROL!$C$42, 28, 28))/1000000</f>
        <v>0.38986920000000003</v>
      </c>
      <c r="X950" s="58">
        <f>(28*0.1790888*100000/1000000)+(28*0.2374*100000/1000000)</f>
        <v>1.16616864</v>
      </c>
      <c r="Y950" s="58"/>
      <c r="Z950" s="10"/>
      <c r="AA950" s="57"/>
      <c r="AB950" s="51">
        <f>(B950*122.58+C950*297.941+D950*89.177+E950*40.302+F950*40+G950*160+H950*0+I950*100+J950*300)/(122.58+297.941+89.177+40.302+0+40+160+100+300)</f>
        <v>80.717874597478257</v>
      </c>
      <c r="AC950" s="27">
        <f>(M950*'RAP TEMPLATE-GAS AVAILABILITY'!O949+N950*'RAP TEMPLATE-GAS AVAILABILITY'!P949+O950*'RAP TEMPLATE-GAS AVAILABILITY'!Q949+P950*'RAP TEMPLATE-GAS AVAILABILITY'!R949)/('RAP TEMPLATE-GAS AVAILABILITY'!O949+'RAP TEMPLATE-GAS AVAILABILITY'!P949+'RAP TEMPLATE-GAS AVAILABILITY'!Q949+'RAP TEMPLATE-GAS AVAILABILITY'!R949)</f>
        <v>79.944138129496409</v>
      </c>
    </row>
    <row r="951" spans="1:29" ht="15.75" x14ac:dyDescent="0.25">
      <c r="A951" s="13">
        <v>69853</v>
      </c>
      <c r="B951" s="10">
        <f>CHOOSE(CONTROL!$C$42, 78.4202, 78.4202) * CHOOSE(CONTROL!$C$21, $C$9, 100%, $E$9)</f>
        <v>78.420199999999994</v>
      </c>
      <c r="C951" s="10">
        <f>CHOOSE(CONTROL!$C$42, 78.4251, 78.4251) * CHOOSE(CONTROL!$C$21, $C$9, 100%, $E$9)</f>
        <v>78.4251</v>
      </c>
      <c r="D951" s="10">
        <f>CHOOSE(CONTROL!$C$42, 78.4856, 78.4856) * CHOOSE(CONTROL!$C$21, $C$9, 100%, $E$9)</f>
        <v>78.485600000000005</v>
      </c>
      <c r="E951" s="10">
        <f>CHOOSE(CONTROL!$C$42, 78.5194, 78.5194) * CHOOSE(CONTROL!$C$21, $C$9, 100%, $E$9)</f>
        <v>78.519400000000005</v>
      </c>
      <c r="F951" s="10">
        <f>CHOOSE(CONTROL!$C$42, 78.4079, 78.4079)*CHOOSE(CONTROL!$C$21, $C$9, 100%, $E$9)</f>
        <v>78.407899999999998</v>
      </c>
      <c r="G951" s="10">
        <f>CHOOSE(CONTROL!$C$42, 78.4251, 78.4251)*CHOOSE(CONTROL!$C$21, $C$9, 100%, $E$9)</f>
        <v>78.4251</v>
      </c>
      <c r="H951" s="10">
        <f>CHOOSE(CONTROL!$C$42, 78.5086, 78.5086) * CHOOSE(CONTROL!$C$21, $C$9, 100%, $E$9)</f>
        <v>78.508600000000001</v>
      </c>
      <c r="I951" s="10">
        <f>CHOOSE(CONTROL!$C$42, 78.3941, 78.3941)* CHOOSE(CONTROL!$C$21, $C$9, 100%, $E$9)</f>
        <v>78.394099999999995</v>
      </c>
      <c r="J951" s="10">
        <f>CHOOSE(CONTROL!$C$42, 78.4009, 78.4009)* CHOOSE(CONTROL!$C$21, $C$9, 100%, $E$9)</f>
        <v>78.400899999999993</v>
      </c>
      <c r="K951" s="54">
        <f>CHOOSE(CONTROL!$C$42, 78.3902, 78.3902) * CHOOSE(CONTROL!$C$21, $C$9, 100%, $E$9)</f>
        <v>78.390199999999993</v>
      </c>
      <c r="L951" s="10">
        <f>CHOOSE(CONTROL!$C$42, 79.0956, 79.0956) * CHOOSE(CONTROL!$C$21, $C$9, 100%, $E$9)</f>
        <v>79.095600000000005</v>
      </c>
      <c r="M951" s="10">
        <f>CHOOSE(CONTROL!$C$42, 77.6235, 77.6235) * CHOOSE(CONTROL!$C$21, $C$9, 100%, $E$9)</f>
        <v>77.623500000000007</v>
      </c>
      <c r="N951" s="10">
        <f>CHOOSE(CONTROL!$C$42, 77.6405, 77.6405) * CHOOSE(CONTROL!$C$21, $C$9, 100%, $E$9)</f>
        <v>77.640500000000003</v>
      </c>
      <c r="O951" s="10">
        <f>CHOOSE(CONTROL!$C$42, 77.7301, 77.7301) * CHOOSE(CONTROL!$C$21, $C$9, 100%, $E$9)</f>
        <v>77.730099999999993</v>
      </c>
      <c r="P951" s="10">
        <f>CHOOSE(CONTROL!$C$42, 77.6168, 77.6168) * CHOOSE(CONTROL!$C$21, $C$9, 100%, $E$9)</f>
        <v>77.616799999999998</v>
      </c>
      <c r="Q951" s="10">
        <f>CHOOSE(CONTROL!$C$42, 78.3254, 78.3254) * CHOOSE(CONTROL!$C$21, $C$9, 100%, $E$9)</f>
        <v>78.325400000000002</v>
      </c>
      <c r="R951" s="10">
        <f>CHOOSE(CONTROL!$C$42, 79.1082, 79.1082) * CHOOSE(CONTROL!$C$21, $C$9, 100%, $E$9)</f>
        <v>79.108199999999997</v>
      </c>
      <c r="S951" s="10">
        <f>CHOOSE(CONTROL!$C$42, 76.1517, 76.1517) * CHOOSE(CONTROL!$C$21, $C$9, 100%, $E$9)</f>
        <v>76.151700000000005</v>
      </c>
      <c r="T951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951" s="58">
        <f>(1000*CHOOSE(CONTROL!$C$42, 695, 695)*CHOOSE(CONTROL!$C$42, 0.5599, 0.5599)*CHOOSE(CONTROL!$C$42, 31, 31))/1000000</f>
        <v>12.063045499999998</v>
      </c>
      <c r="V951" s="58">
        <f>(1000*CHOOSE(CONTROL!$C$42, 500, 500)*CHOOSE(CONTROL!$C$42, 0.275, 0.275)*CHOOSE(CONTROL!$C$42, 31, 31))/1000000</f>
        <v>4.2625000000000002</v>
      </c>
      <c r="W951" s="58">
        <f>(1000*CHOOSE(CONTROL!$C$42, 0.1146, 0.1146)*CHOOSE(CONTROL!$C$42, 121.5, 121.5)*CHOOSE(CONTROL!$C$42, 31, 31))/1000000</f>
        <v>0.43164089999999994</v>
      </c>
      <c r="X951" s="58">
        <f>(31*0.1790888*100000/1000000)+(31*0.2374*100000/1000000)</f>
        <v>1.2911152800000001</v>
      </c>
      <c r="Y951" s="58"/>
      <c r="Z951" s="10"/>
      <c r="AA951" s="57"/>
      <c r="AB951" s="51">
        <f>(B951*122.58+C951*297.941+D951*89.177+E951*40.302+F951*40+G951*160+H951*0+I951*100+J951*300)/(122.58+297.941+89.177+40.302+0+40+160+100+300)</f>
        <v>78.422966995739131</v>
      </c>
      <c r="AC951" s="27">
        <f>(M951*'RAP TEMPLATE-GAS AVAILABILITY'!O950+N951*'RAP TEMPLATE-GAS AVAILABILITY'!P950+O951*'RAP TEMPLATE-GAS AVAILABILITY'!Q950+P951*'RAP TEMPLATE-GAS AVAILABILITY'!R950)/('RAP TEMPLATE-GAS AVAILABILITY'!O950+'RAP TEMPLATE-GAS AVAILABILITY'!P950+'RAP TEMPLATE-GAS AVAILABILITY'!Q950+'RAP TEMPLATE-GAS AVAILABILITY'!R950)</f>
        <v>77.671829496402879</v>
      </c>
    </row>
    <row r="952" spans="1:29" ht="15.75" x14ac:dyDescent="0.25">
      <c r="A952" s="13">
        <v>69883</v>
      </c>
      <c r="B952" s="10">
        <f>CHOOSE(CONTROL!$C$42, 78.1865, 78.1865) * CHOOSE(CONTROL!$C$21, $C$9, 100%, $E$9)</f>
        <v>78.186499999999995</v>
      </c>
      <c r="C952" s="10">
        <f>CHOOSE(CONTROL!$C$42, 78.1909, 78.1909) * CHOOSE(CONTROL!$C$21, $C$9, 100%, $E$9)</f>
        <v>78.190899999999999</v>
      </c>
      <c r="D952" s="10">
        <f>CHOOSE(CONTROL!$C$42, 78.3865, 78.3865) * CHOOSE(CONTROL!$C$21, $C$9, 100%, $E$9)</f>
        <v>78.386499999999998</v>
      </c>
      <c r="E952" s="10">
        <f>CHOOSE(CONTROL!$C$42, 78.4183, 78.4183) * CHOOSE(CONTROL!$C$21, $C$9, 100%, $E$9)</f>
        <v>78.418300000000002</v>
      </c>
      <c r="F952" s="10">
        <f>CHOOSE(CONTROL!$C$42, 78.1543, 78.1543)*CHOOSE(CONTROL!$C$21, $C$9, 100%, $E$9)</f>
        <v>78.154300000000006</v>
      </c>
      <c r="G952" s="10">
        <f>CHOOSE(CONTROL!$C$42, 78.1711, 78.1711)*CHOOSE(CONTROL!$C$21, $C$9, 100%, $E$9)</f>
        <v>78.171099999999996</v>
      </c>
      <c r="H952" s="10">
        <f>CHOOSE(CONTROL!$C$42, 78.4081, 78.4081) * CHOOSE(CONTROL!$C$21, $C$9, 100%, $E$9)</f>
        <v>78.408100000000005</v>
      </c>
      <c r="I952" s="10">
        <f>CHOOSE(CONTROL!$C$42, 78.1545, 78.1545)* CHOOSE(CONTROL!$C$21, $C$9, 100%, $E$9)</f>
        <v>78.154499999999999</v>
      </c>
      <c r="J952" s="10">
        <f>CHOOSE(CONTROL!$C$42, 78.1473, 78.1473)* CHOOSE(CONTROL!$C$21, $C$9, 100%, $E$9)</f>
        <v>78.147300000000001</v>
      </c>
      <c r="K952" s="54">
        <f>CHOOSE(CONTROL!$C$42, 78.1506, 78.1506) * CHOOSE(CONTROL!$C$21, $C$9, 100%, $E$9)</f>
        <v>78.150599999999997</v>
      </c>
      <c r="L952" s="10">
        <f>CHOOSE(CONTROL!$C$42, 78.9951, 78.9951) * CHOOSE(CONTROL!$C$21, $C$9, 100%, $E$9)</f>
        <v>78.995099999999994</v>
      </c>
      <c r="M952" s="10">
        <f>CHOOSE(CONTROL!$C$42, 77.3725, 77.3725) * CHOOSE(CONTROL!$C$21, $C$9, 100%, $E$9)</f>
        <v>77.372500000000002</v>
      </c>
      <c r="N952" s="10">
        <f>CHOOSE(CONTROL!$C$42, 77.3891, 77.3891) * CHOOSE(CONTROL!$C$21, $C$9, 100%, $E$9)</f>
        <v>77.389099999999999</v>
      </c>
      <c r="O952" s="10">
        <f>CHOOSE(CONTROL!$C$42, 77.6306, 77.6306) * CHOOSE(CONTROL!$C$21, $C$9, 100%, $E$9)</f>
        <v>77.630600000000001</v>
      </c>
      <c r="P952" s="10">
        <f>CHOOSE(CONTROL!$C$42, 77.3797, 77.3797) * CHOOSE(CONTROL!$C$21, $C$9, 100%, $E$9)</f>
        <v>77.3797</v>
      </c>
      <c r="Q952" s="10">
        <f>CHOOSE(CONTROL!$C$42, 78.2259, 78.2259) * CHOOSE(CONTROL!$C$21, $C$9, 100%, $E$9)</f>
        <v>78.225899999999996</v>
      </c>
      <c r="R952" s="10">
        <f>CHOOSE(CONTROL!$C$42, 79.0085, 79.0085) * CHOOSE(CONTROL!$C$21, $C$9, 100%, $E$9)</f>
        <v>79.008499999999998</v>
      </c>
      <c r="S952" s="10">
        <f>CHOOSE(CONTROL!$C$42, 75.9241, 75.9241) * CHOOSE(CONTROL!$C$21, $C$9, 100%, $E$9)</f>
        <v>75.924099999999996</v>
      </c>
      <c r="T952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952" s="58">
        <f>(1000*CHOOSE(CONTROL!$C$42, 695, 695)*CHOOSE(CONTROL!$C$42, 0.5599, 0.5599)*CHOOSE(CONTROL!$C$42, 30, 30))/1000000</f>
        <v>11.673914999999997</v>
      </c>
      <c r="V952" s="58">
        <f>(1000*CHOOSE(CONTROL!$C$42, 500, 500)*CHOOSE(CONTROL!$C$42, 0.275, 0.275)*CHOOSE(CONTROL!$C$42, 30, 30))/1000000</f>
        <v>4.125</v>
      </c>
      <c r="W952" s="58">
        <f>(1000*CHOOSE(CONTROL!$C$42, 0.1146, 0.1146)*CHOOSE(CONTROL!$C$42, 121.5, 121.5)*CHOOSE(CONTROL!$C$42, 30, 30))/1000000</f>
        <v>0.417717</v>
      </c>
      <c r="X952" s="58">
        <f>(30*0.1790888*245000/1000000)+(30*0.2374*100000/1000000)</f>
        <v>2.0285026799999999</v>
      </c>
      <c r="Y952" s="58"/>
      <c r="Z952" s="10"/>
      <c r="AA952" s="57"/>
      <c r="AB952" s="51">
        <f>(B952*141.293+C952*267.993+D952*115.016+E952*89.698+F952*40+G952*185+H952*0+I952*100+J952*300)/(141.293+267.993+115.016+89.698+0+40+185+100+300)</f>
        <v>78.207385686521391</v>
      </c>
      <c r="AC952" s="27">
        <f>(M952*'RAP TEMPLATE-GAS AVAILABILITY'!O951+N952*'RAP TEMPLATE-GAS AVAILABILITY'!P951+O952*'RAP TEMPLATE-GAS AVAILABILITY'!Q951+P952*'RAP TEMPLATE-GAS AVAILABILITY'!R951)/('RAP TEMPLATE-GAS AVAILABILITY'!O951+'RAP TEMPLATE-GAS AVAILABILITY'!P951+'RAP TEMPLATE-GAS AVAILABILITY'!Q951+'RAP TEMPLATE-GAS AVAILABILITY'!R951)</f>
        <v>77.491471942446054</v>
      </c>
    </row>
    <row r="953" spans="1:29" ht="15.75" x14ac:dyDescent="0.25">
      <c r="A953" s="13">
        <v>69914</v>
      </c>
      <c r="B953" s="10">
        <f>CHOOSE(CONTROL!$C$42, 78.878, 78.878) * CHOOSE(CONTROL!$C$21, $C$9, 100%, $E$9)</f>
        <v>78.878</v>
      </c>
      <c r="C953" s="10">
        <f>CHOOSE(CONTROL!$C$42, 78.8859, 78.8859) * CHOOSE(CONTROL!$C$21, $C$9, 100%, $E$9)</f>
        <v>78.885900000000007</v>
      </c>
      <c r="D953" s="10">
        <f>CHOOSE(CONTROL!$C$42, 79.0783, 79.0783) * CHOOSE(CONTROL!$C$21, $C$9, 100%, $E$9)</f>
        <v>79.078299999999999</v>
      </c>
      <c r="E953" s="10">
        <f>CHOOSE(CONTROL!$C$42, 79.1095, 79.1095) * CHOOSE(CONTROL!$C$21, $C$9, 100%, $E$9)</f>
        <v>79.109499999999997</v>
      </c>
      <c r="F953" s="10">
        <f>CHOOSE(CONTROL!$C$42, 78.8442, 78.8442)*CHOOSE(CONTROL!$C$21, $C$9, 100%, $E$9)</f>
        <v>78.844200000000001</v>
      </c>
      <c r="G953" s="10">
        <f>CHOOSE(CONTROL!$C$42, 78.8614, 78.8614)*CHOOSE(CONTROL!$C$21, $C$9, 100%, $E$9)</f>
        <v>78.861400000000003</v>
      </c>
      <c r="H953" s="10">
        <f>CHOOSE(CONTROL!$C$42, 79.0981, 79.0981) * CHOOSE(CONTROL!$C$21, $C$9, 100%, $E$9)</f>
        <v>79.098100000000002</v>
      </c>
      <c r="I953" s="10">
        <f>CHOOSE(CONTROL!$C$42, 78.8446, 78.8446)* CHOOSE(CONTROL!$C$21, $C$9, 100%, $E$9)</f>
        <v>78.8446</v>
      </c>
      <c r="J953" s="10">
        <f>CHOOSE(CONTROL!$C$42, 78.8372, 78.8372)* CHOOSE(CONTROL!$C$21, $C$9, 100%, $E$9)</f>
        <v>78.837199999999996</v>
      </c>
      <c r="K953" s="54">
        <f>CHOOSE(CONTROL!$C$42, 78.8407, 78.8407) * CHOOSE(CONTROL!$C$21, $C$9, 100%, $E$9)</f>
        <v>78.840699999999998</v>
      </c>
      <c r="L953" s="10">
        <f>CHOOSE(CONTROL!$C$42, 79.6851, 79.6851) * CHOOSE(CONTROL!$C$21, $C$9, 100%, $E$9)</f>
        <v>79.685100000000006</v>
      </c>
      <c r="M953" s="10">
        <f>CHOOSE(CONTROL!$C$42, 78.0555, 78.0555) * CHOOSE(CONTROL!$C$21, $C$9, 100%, $E$9)</f>
        <v>78.055499999999995</v>
      </c>
      <c r="N953" s="10">
        <f>CHOOSE(CONTROL!$C$42, 78.0724, 78.0724) * CHOOSE(CONTROL!$C$21, $C$9, 100%, $E$9)</f>
        <v>78.072400000000002</v>
      </c>
      <c r="O953" s="10">
        <f>CHOOSE(CONTROL!$C$42, 78.3137, 78.3137) * CHOOSE(CONTROL!$C$21, $C$9, 100%, $E$9)</f>
        <v>78.313699999999997</v>
      </c>
      <c r="P953" s="10">
        <f>CHOOSE(CONTROL!$C$42, 78.0627, 78.0627) * CHOOSE(CONTROL!$C$21, $C$9, 100%, $E$9)</f>
        <v>78.062700000000007</v>
      </c>
      <c r="Q953" s="10">
        <f>CHOOSE(CONTROL!$C$42, 78.909, 78.909) * CHOOSE(CONTROL!$C$21, $C$9, 100%, $E$9)</f>
        <v>78.909000000000006</v>
      </c>
      <c r="R953" s="10">
        <f>CHOOSE(CONTROL!$C$42, 79.6933, 79.6933) * CHOOSE(CONTROL!$C$21, $C$9, 100%, $E$9)</f>
        <v>79.693299999999994</v>
      </c>
      <c r="S953" s="10">
        <f>CHOOSE(CONTROL!$C$42, 76.5942, 76.5942) * CHOOSE(CONTROL!$C$21, $C$9, 100%, $E$9)</f>
        <v>76.594200000000001</v>
      </c>
      <c r="T953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953" s="58">
        <f>(1000*CHOOSE(CONTROL!$C$42, 695, 695)*CHOOSE(CONTROL!$C$42, 0.5599, 0.5599)*CHOOSE(CONTROL!$C$42, 31, 31))/1000000</f>
        <v>12.063045499999998</v>
      </c>
      <c r="V953" s="58">
        <f>(1000*CHOOSE(CONTROL!$C$42, 500, 500)*CHOOSE(CONTROL!$C$42, 0.275, 0.275)*CHOOSE(CONTROL!$C$42, 31, 31))/1000000</f>
        <v>4.2625000000000002</v>
      </c>
      <c r="W953" s="58">
        <f>(1000*CHOOSE(CONTROL!$C$42, 0.1146, 0.1146)*CHOOSE(CONTROL!$C$42, 121.5, 121.5)*CHOOSE(CONTROL!$C$42, 31, 31))/1000000</f>
        <v>0.43164089999999994</v>
      </c>
      <c r="X953" s="58">
        <f>(31*0.1790888*245000/1000000)+(31*0.2374*100000/1000000)</f>
        <v>2.0961194359999999</v>
      </c>
      <c r="Y953" s="58"/>
      <c r="Z953" s="10"/>
      <c r="AA953" s="57"/>
      <c r="AB953" s="51">
        <f>(B953*194.205+C953*267.466+D953*133.845+E953*53.484+F953*40+G953*185+H953*0+I953*100+J953*300)/(194.205+267.466+133.845+53.484+0+40+185+100+300)</f>
        <v>78.894719529748826</v>
      </c>
      <c r="AC953" s="27">
        <f>(M953*'RAP TEMPLATE-GAS AVAILABILITY'!O952+N953*'RAP TEMPLATE-GAS AVAILABILITY'!P952+O953*'RAP TEMPLATE-GAS AVAILABILITY'!Q952+P953*'RAP TEMPLATE-GAS AVAILABILITY'!R952)/('RAP TEMPLATE-GAS AVAILABILITY'!O952+'RAP TEMPLATE-GAS AVAILABILITY'!P952+'RAP TEMPLATE-GAS AVAILABILITY'!Q952+'RAP TEMPLATE-GAS AVAILABILITY'!R952)</f>
        <v>78.174534532374096</v>
      </c>
    </row>
    <row r="954" spans="1:29" ht="15.75" x14ac:dyDescent="0.25">
      <c r="A954" s="13">
        <v>69944</v>
      </c>
      <c r="B954" s="10">
        <f>CHOOSE(CONTROL!$C$42, 81.1153, 81.1153) * CHOOSE(CONTROL!$C$21, $C$9, 100%, $E$9)</f>
        <v>81.115300000000005</v>
      </c>
      <c r="C954" s="10">
        <f>CHOOSE(CONTROL!$C$42, 81.1232, 81.1232) * CHOOSE(CONTROL!$C$21, $C$9, 100%, $E$9)</f>
        <v>81.123199999999997</v>
      </c>
      <c r="D954" s="10">
        <f>CHOOSE(CONTROL!$C$42, 81.3157, 81.3157) * CHOOSE(CONTROL!$C$21, $C$9, 100%, $E$9)</f>
        <v>81.315700000000007</v>
      </c>
      <c r="E954" s="10">
        <f>CHOOSE(CONTROL!$C$42, 81.3468, 81.3468) * CHOOSE(CONTROL!$C$21, $C$9, 100%, $E$9)</f>
        <v>81.346800000000002</v>
      </c>
      <c r="F954" s="10">
        <f>CHOOSE(CONTROL!$C$42, 81.0818, 81.0818)*CHOOSE(CONTROL!$C$21, $C$9, 100%, $E$9)</f>
        <v>81.081800000000001</v>
      </c>
      <c r="G954" s="10">
        <f>CHOOSE(CONTROL!$C$42, 81.099, 81.099)*CHOOSE(CONTROL!$C$21, $C$9, 100%, $E$9)</f>
        <v>81.099000000000004</v>
      </c>
      <c r="H954" s="10">
        <f>CHOOSE(CONTROL!$C$42, 81.3354, 81.3354) * CHOOSE(CONTROL!$C$21, $C$9, 100%, $E$9)</f>
        <v>81.335400000000007</v>
      </c>
      <c r="I954" s="10">
        <f>CHOOSE(CONTROL!$C$42, 81.0819, 81.0819)* CHOOSE(CONTROL!$C$21, $C$9, 100%, $E$9)</f>
        <v>81.081900000000005</v>
      </c>
      <c r="J954" s="10">
        <f>CHOOSE(CONTROL!$C$42, 81.0748, 81.0748)* CHOOSE(CONTROL!$C$21, $C$9, 100%, $E$9)</f>
        <v>81.074799999999996</v>
      </c>
      <c r="K954" s="54">
        <f>CHOOSE(CONTROL!$C$42, 81.078, 81.078) * CHOOSE(CONTROL!$C$21, $C$9, 100%, $E$9)</f>
        <v>81.078000000000003</v>
      </c>
      <c r="L954" s="10">
        <f>CHOOSE(CONTROL!$C$42, 81.9224, 81.9224) * CHOOSE(CONTROL!$C$21, $C$9, 100%, $E$9)</f>
        <v>81.922399999999996</v>
      </c>
      <c r="M954" s="10">
        <f>CHOOSE(CONTROL!$C$42, 80.2705, 80.2705) * CHOOSE(CONTROL!$C$21, $C$9, 100%, $E$9)</f>
        <v>80.270499999999998</v>
      </c>
      <c r="N954" s="10">
        <f>CHOOSE(CONTROL!$C$42, 80.2875, 80.2875) * CHOOSE(CONTROL!$C$21, $C$9, 100%, $E$9)</f>
        <v>80.287499999999994</v>
      </c>
      <c r="O954" s="10">
        <f>CHOOSE(CONTROL!$C$42, 80.5285, 80.5285) * CHOOSE(CONTROL!$C$21, $C$9, 100%, $E$9)</f>
        <v>80.528499999999994</v>
      </c>
      <c r="P954" s="10">
        <f>CHOOSE(CONTROL!$C$42, 80.2775, 80.2775) * CHOOSE(CONTROL!$C$21, $C$9, 100%, $E$9)</f>
        <v>80.277500000000003</v>
      </c>
      <c r="Q954" s="10">
        <f>CHOOSE(CONTROL!$C$42, 81.1238, 81.1238) * CHOOSE(CONTROL!$C$21, $C$9, 100%, $E$9)</f>
        <v>81.123800000000003</v>
      </c>
      <c r="R954" s="10">
        <f>CHOOSE(CONTROL!$C$42, 81.9136, 81.9136) * CHOOSE(CONTROL!$C$21, $C$9, 100%, $E$9)</f>
        <v>81.913600000000002</v>
      </c>
      <c r="S954" s="10">
        <f>CHOOSE(CONTROL!$C$42, 78.7668, 78.7668) * CHOOSE(CONTROL!$C$21, $C$9, 100%, $E$9)</f>
        <v>78.766800000000003</v>
      </c>
      <c r="T954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954" s="58">
        <f>(1000*CHOOSE(CONTROL!$C$42, 695, 695)*CHOOSE(CONTROL!$C$42, 0.5599, 0.5599)*CHOOSE(CONTROL!$C$42, 30, 30))/1000000</f>
        <v>11.673914999999997</v>
      </c>
      <c r="V954" s="58">
        <f>(1000*CHOOSE(CONTROL!$C$42, 500, 500)*CHOOSE(CONTROL!$C$42, 0.275, 0.275)*CHOOSE(CONTROL!$C$42, 30, 30))/1000000</f>
        <v>4.125</v>
      </c>
      <c r="W954" s="58">
        <f>(1000*CHOOSE(CONTROL!$C$42, 0.1146, 0.1146)*CHOOSE(CONTROL!$C$42, 121.5, 121.5)*CHOOSE(CONTROL!$C$42, 30, 30))/1000000</f>
        <v>0.417717</v>
      </c>
      <c r="X954" s="58">
        <f>(30*0.1790888*245000/1000000)+(30*0.2374*100000/1000000)</f>
        <v>2.0285026799999999</v>
      </c>
      <c r="Y954" s="58"/>
      <c r="Z954" s="10"/>
      <c r="AA954" s="57"/>
      <c r="AB954" s="51">
        <f>(B954*194.205+C954*267.466+D954*133.845+E954*53.484+F954*40+G954*185+H954*0+I954*100+J954*300)/(194.205+267.466+133.845+53.484+0+40+185+100+300)</f>
        <v>81.132153662009429</v>
      </c>
      <c r="AC954" s="27">
        <f>(M954*'RAP TEMPLATE-GAS AVAILABILITY'!O953+N954*'RAP TEMPLATE-GAS AVAILABILITY'!P953+O954*'RAP TEMPLATE-GAS AVAILABILITY'!Q953+P954*'RAP TEMPLATE-GAS AVAILABILITY'!R953)/('RAP TEMPLATE-GAS AVAILABILITY'!O953+'RAP TEMPLATE-GAS AVAILABILITY'!P953+'RAP TEMPLATE-GAS AVAILABILITY'!Q953+'RAP TEMPLATE-GAS AVAILABILITY'!R953)</f>
        <v>80.38942086330934</v>
      </c>
    </row>
    <row r="955" spans="1:29" ht="15.75" x14ac:dyDescent="0.25">
      <c r="A955" s="13">
        <v>69975</v>
      </c>
      <c r="B955" s="10">
        <f>CHOOSE(CONTROL!$C$42, 79.5592, 79.5592) * CHOOSE(CONTROL!$C$21, $C$9, 100%, $E$9)</f>
        <v>79.559200000000004</v>
      </c>
      <c r="C955" s="10">
        <f>CHOOSE(CONTROL!$C$42, 79.5672, 79.5672) * CHOOSE(CONTROL!$C$21, $C$9, 100%, $E$9)</f>
        <v>79.5672</v>
      </c>
      <c r="D955" s="10">
        <f>CHOOSE(CONTROL!$C$42, 79.7596, 79.7596) * CHOOSE(CONTROL!$C$21, $C$9, 100%, $E$9)</f>
        <v>79.759600000000006</v>
      </c>
      <c r="E955" s="10">
        <f>CHOOSE(CONTROL!$C$42, 79.7907, 79.7907) * CHOOSE(CONTROL!$C$21, $C$9, 100%, $E$9)</f>
        <v>79.790700000000001</v>
      </c>
      <c r="F955" s="10">
        <f>CHOOSE(CONTROL!$C$42, 79.5261, 79.5261)*CHOOSE(CONTROL!$C$21, $C$9, 100%, $E$9)</f>
        <v>79.5261</v>
      </c>
      <c r="G955" s="10">
        <f>CHOOSE(CONTROL!$C$42, 79.5434, 79.5434)*CHOOSE(CONTROL!$C$21, $C$9, 100%, $E$9)</f>
        <v>79.543400000000005</v>
      </c>
      <c r="H955" s="10">
        <f>CHOOSE(CONTROL!$C$42, 79.7794, 79.7794) * CHOOSE(CONTROL!$C$21, $C$9, 100%, $E$9)</f>
        <v>79.779399999999995</v>
      </c>
      <c r="I955" s="10">
        <f>CHOOSE(CONTROL!$C$42, 79.5258, 79.5258)* CHOOSE(CONTROL!$C$21, $C$9, 100%, $E$9)</f>
        <v>79.525800000000004</v>
      </c>
      <c r="J955" s="10">
        <f>CHOOSE(CONTROL!$C$42, 79.5191, 79.5191)* CHOOSE(CONTROL!$C$21, $C$9, 100%, $E$9)</f>
        <v>79.519099999999995</v>
      </c>
      <c r="K955" s="54">
        <f>CHOOSE(CONTROL!$C$42, 79.5219, 79.5219) * CHOOSE(CONTROL!$C$21, $C$9, 100%, $E$9)</f>
        <v>79.521900000000002</v>
      </c>
      <c r="L955" s="10">
        <f>CHOOSE(CONTROL!$C$42, 80.3664, 80.3664) * CHOOSE(CONTROL!$C$21, $C$9, 100%, $E$9)</f>
        <v>80.366399999999999</v>
      </c>
      <c r="M955" s="10">
        <f>CHOOSE(CONTROL!$C$42, 78.7305, 78.7305) * CHOOSE(CONTROL!$C$21, $C$9, 100%, $E$9)</f>
        <v>78.730500000000006</v>
      </c>
      <c r="N955" s="10">
        <f>CHOOSE(CONTROL!$C$42, 78.7476, 78.7476) * CHOOSE(CONTROL!$C$21, $C$9, 100%, $E$9)</f>
        <v>78.747600000000006</v>
      </c>
      <c r="O955" s="10">
        <f>CHOOSE(CONTROL!$C$42, 78.9881, 78.9881) * CHOOSE(CONTROL!$C$21, $C$9, 100%, $E$9)</f>
        <v>78.988100000000003</v>
      </c>
      <c r="P955" s="10">
        <f>CHOOSE(CONTROL!$C$42, 78.7371, 78.7371) * CHOOSE(CONTROL!$C$21, $C$9, 100%, $E$9)</f>
        <v>78.737099999999998</v>
      </c>
      <c r="Q955" s="10">
        <f>CHOOSE(CONTROL!$C$42, 79.5834, 79.5834) * CHOOSE(CONTROL!$C$21, $C$9, 100%, $E$9)</f>
        <v>79.583399999999997</v>
      </c>
      <c r="R955" s="10">
        <f>CHOOSE(CONTROL!$C$42, 80.3693, 80.3693) * CHOOSE(CONTROL!$C$21, $C$9, 100%, $E$9)</f>
        <v>80.369299999999996</v>
      </c>
      <c r="S955" s="10">
        <f>CHOOSE(CONTROL!$C$42, 77.2557, 77.2557) * CHOOSE(CONTROL!$C$21, $C$9, 100%, $E$9)</f>
        <v>77.255700000000004</v>
      </c>
      <c r="T955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955" s="58">
        <f>(1000*CHOOSE(CONTROL!$C$42, 695, 695)*CHOOSE(CONTROL!$C$42, 0.5599, 0.5599)*CHOOSE(CONTROL!$C$42, 31, 31))/1000000</f>
        <v>12.063045499999998</v>
      </c>
      <c r="V955" s="58">
        <f>(1000*CHOOSE(CONTROL!$C$42, 500, 500)*CHOOSE(CONTROL!$C$42, 0.275, 0.275)*CHOOSE(CONTROL!$C$42, 31, 31))/1000000</f>
        <v>4.2625000000000002</v>
      </c>
      <c r="W955" s="58">
        <f>(1000*CHOOSE(CONTROL!$C$42, 0.1146, 0.1146)*CHOOSE(CONTROL!$C$42, 121.5, 121.5)*CHOOSE(CONTROL!$C$42, 31, 31))/1000000</f>
        <v>0.43164089999999994</v>
      </c>
      <c r="X955" s="58">
        <f>(31*0.1790888*245000/1000000)+(31*0.2374*100000/1000000)</f>
        <v>2.0961194359999999</v>
      </c>
      <c r="Y955" s="58"/>
      <c r="Z955" s="10"/>
      <c r="AA955" s="57"/>
      <c r="AB955" s="51">
        <f>(B955*194.205+C955*267.466+D955*133.845+E955*53.484+F955*40+G955*185+H955*0+I955*100+J955*300)/(194.205+267.466+133.845+53.484+0+40+185+100+300)</f>
        <v>79.576254012558877</v>
      </c>
      <c r="AC955" s="27">
        <f>(M955*'RAP TEMPLATE-GAS AVAILABILITY'!O954+N955*'RAP TEMPLATE-GAS AVAILABILITY'!P954+O955*'RAP TEMPLATE-GAS AVAILABILITY'!Q954+P955*'RAP TEMPLATE-GAS AVAILABILITY'!R954)/('RAP TEMPLATE-GAS AVAILABILITY'!O954+'RAP TEMPLATE-GAS AVAILABILITY'!P954+'RAP TEMPLATE-GAS AVAILABILITY'!Q954+'RAP TEMPLATE-GAS AVAILABILITY'!R954)</f>
        <v>78.849187769784166</v>
      </c>
    </row>
    <row r="956" spans="1:29" ht="15.75" x14ac:dyDescent="0.25">
      <c r="A956" s="13">
        <v>70006</v>
      </c>
      <c r="B956" s="10">
        <f>CHOOSE(CONTROL!$C$42, 75.6297, 75.6297) * CHOOSE(CONTROL!$C$21, $C$9, 100%, $E$9)</f>
        <v>75.6297</v>
      </c>
      <c r="C956" s="10">
        <f>CHOOSE(CONTROL!$C$42, 75.6376, 75.6376) * CHOOSE(CONTROL!$C$21, $C$9, 100%, $E$9)</f>
        <v>75.637600000000006</v>
      </c>
      <c r="D956" s="10">
        <f>CHOOSE(CONTROL!$C$42, 75.83, 75.83) * CHOOSE(CONTROL!$C$21, $C$9, 100%, $E$9)</f>
        <v>75.83</v>
      </c>
      <c r="E956" s="10">
        <f>CHOOSE(CONTROL!$C$42, 75.8611, 75.8611) * CHOOSE(CONTROL!$C$21, $C$9, 100%, $E$9)</f>
        <v>75.861099999999993</v>
      </c>
      <c r="F956" s="10">
        <f>CHOOSE(CONTROL!$C$42, 75.5967, 75.5967)*CHOOSE(CONTROL!$C$21, $C$9, 100%, $E$9)</f>
        <v>75.596699999999998</v>
      </c>
      <c r="G956" s="10">
        <f>CHOOSE(CONTROL!$C$42, 75.6141, 75.6141)*CHOOSE(CONTROL!$C$21, $C$9, 100%, $E$9)</f>
        <v>75.614099999999993</v>
      </c>
      <c r="H956" s="10">
        <f>CHOOSE(CONTROL!$C$42, 75.8498, 75.8498) * CHOOSE(CONTROL!$C$21, $C$9, 100%, $E$9)</f>
        <v>75.849800000000002</v>
      </c>
      <c r="I956" s="10">
        <f>CHOOSE(CONTROL!$C$42, 75.5962, 75.5962)* CHOOSE(CONTROL!$C$21, $C$9, 100%, $E$9)</f>
        <v>75.596199999999996</v>
      </c>
      <c r="J956" s="10">
        <f>CHOOSE(CONTROL!$C$42, 75.5897, 75.5897)* CHOOSE(CONTROL!$C$21, $C$9, 100%, $E$9)</f>
        <v>75.589699999999993</v>
      </c>
      <c r="K956" s="54">
        <f>CHOOSE(CONTROL!$C$42, 75.5923, 75.5923) * CHOOSE(CONTROL!$C$21, $C$9, 100%, $E$9)</f>
        <v>75.592299999999994</v>
      </c>
      <c r="L956" s="10">
        <f>CHOOSE(CONTROL!$C$42, 76.4368, 76.4368) * CHOOSE(CONTROL!$C$21, $C$9, 100%, $E$9)</f>
        <v>76.436800000000005</v>
      </c>
      <c r="M956" s="10">
        <f>CHOOSE(CONTROL!$C$42, 74.8407, 74.8407) * CHOOSE(CONTROL!$C$21, $C$9, 100%, $E$9)</f>
        <v>74.840699999999998</v>
      </c>
      <c r="N956" s="10">
        <f>CHOOSE(CONTROL!$C$42, 74.8579, 74.8579) * CHOOSE(CONTROL!$C$21, $C$9, 100%, $E$9)</f>
        <v>74.857900000000001</v>
      </c>
      <c r="O956" s="10">
        <f>CHOOSE(CONTROL!$C$42, 75.0981, 75.0981) * CHOOSE(CONTROL!$C$21, $C$9, 100%, $E$9)</f>
        <v>75.098100000000002</v>
      </c>
      <c r="P956" s="10">
        <f>CHOOSE(CONTROL!$C$42, 74.8472, 74.8472) * CHOOSE(CONTROL!$C$21, $C$9, 100%, $E$9)</f>
        <v>74.847200000000001</v>
      </c>
      <c r="Q956" s="10">
        <f>CHOOSE(CONTROL!$C$42, 75.6934, 75.6934) * CHOOSE(CONTROL!$C$21, $C$9, 100%, $E$9)</f>
        <v>75.693399999999997</v>
      </c>
      <c r="R956" s="10">
        <f>CHOOSE(CONTROL!$C$42, 76.4697, 76.4697) * CHOOSE(CONTROL!$C$21, $C$9, 100%, $E$9)</f>
        <v>76.469700000000003</v>
      </c>
      <c r="S956" s="10">
        <f>CHOOSE(CONTROL!$C$42, 73.4397, 73.4397) * CHOOSE(CONTROL!$C$21, $C$9, 100%, $E$9)</f>
        <v>73.439700000000002</v>
      </c>
      <c r="T956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956" s="58">
        <f>(1000*CHOOSE(CONTROL!$C$42, 695, 695)*CHOOSE(CONTROL!$C$42, 0.5599, 0.5599)*CHOOSE(CONTROL!$C$42, 31, 31))/1000000</f>
        <v>12.063045499999998</v>
      </c>
      <c r="V956" s="58">
        <f>(1000*CHOOSE(CONTROL!$C$42, 500, 500)*CHOOSE(CONTROL!$C$42, 0.275, 0.275)*CHOOSE(CONTROL!$C$42, 31, 31))/1000000</f>
        <v>4.2625000000000002</v>
      </c>
      <c r="W956" s="58">
        <f>(1000*CHOOSE(CONTROL!$C$42, 0.1146, 0.1146)*CHOOSE(CONTROL!$C$42, 121.5, 121.5)*CHOOSE(CONTROL!$C$42, 31, 31))/1000000</f>
        <v>0.43164089999999994</v>
      </c>
      <c r="X956" s="58">
        <f>(31*0.1790888*245000/1000000)+(31*0.2374*100000/1000000)</f>
        <v>2.0961194359999999</v>
      </c>
      <c r="Y956" s="58"/>
      <c r="Z956" s="10"/>
      <c r="AA956" s="57"/>
      <c r="AB956" s="51">
        <f>(B956*194.205+C956*267.466+D956*133.845+E956*53.484+F956*40+G956*185+H956*0+I956*100+J956*300)/(194.205+267.466+133.845+53.484+0+40+185+100+300)</f>
        <v>75.646766195054951</v>
      </c>
      <c r="AC956" s="27">
        <f>(M956*'RAP TEMPLATE-GAS AVAILABILITY'!O955+N956*'RAP TEMPLATE-GAS AVAILABILITY'!P955+O956*'RAP TEMPLATE-GAS AVAILABILITY'!Q955+P956*'RAP TEMPLATE-GAS AVAILABILITY'!R955)/('RAP TEMPLATE-GAS AVAILABILITY'!O955+'RAP TEMPLATE-GAS AVAILABILITY'!P955+'RAP TEMPLATE-GAS AVAILABILITY'!Q955+'RAP TEMPLATE-GAS AVAILABILITY'!R955)</f>
        <v>74.959288489208632</v>
      </c>
    </row>
    <row r="957" spans="1:29" ht="15.75" x14ac:dyDescent="0.25">
      <c r="A957" s="13">
        <v>70036</v>
      </c>
      <c r="B957" s="10">
        <f>CHOOSE(CONTROL!$C$42, 70.828, 70.828) * CHOOSE(CONTROL!$C$21, $C$9, 100%, $E$9)</f>
        <v>70.828000000000003</v>
      </c>
      <c r="C957" s="10">
        <f>CHOOSE(CONTROL!$C$42, 70.836, 70.836) * CHOOSE(CONTROL!$C$21, $C$9, 100%, $E$9)</f>
        <v>70.835999999999999</v>
      </c>
      <c r="D957" s="10">
        <f>CHOOSE(CONTROL!$C$42, 71.0284, 71.0284) * CHOOSE(CONTROL!$C$21, $C$9, 100%, $E$9)</f>
        <v>71.028400000000005</v>
      </c>
      <c r="E957" s="10">
        <f>CHOOSE(CONTROL!$C$42, 71.0595, 71.0595) * CHOOSE(CONTROL!$C$21, $C$9, 100%, $E$9)</f>
        <v>71.0595</v>
      </c>
      <c r="F957" s="10">
        <f>CHOOSE(CONTROL!$C$42, 70.7949, 70.7949)*CHOOSE(CONTROL!$C$21, $C$9, 100%, $E$9)</f>
        <v>70.794899999999998</v>
      </c>
      <c r="G957" s="10">
        <f>CHOOSE(CONTROL!$C$42, 70.8122, 70.8122)*CHOOSE(CONTROL!$C$21, $C$9, 100%, $E$9)</f>
        <v>70.812200000000004</v>
      </c>
      <c r="H957" s="10">
        <f>CHOOSE(CONTROL!$C$42, 71.0482, 71.0482) * CHOOSE(CONTROL!$C$21, $C$9, 100%, $E$9)</f>
        <v>71.048199999999994</v>
      </c>
      <c r="I957" s="10">
        <f>CHOOSE(CONTROL!$C$42, 70.7946, 70.7946)* CHOOSE(CONTROL!$C$21, $C$9, 100%, $E$9)</f>
        <v>70.794600000000003</v>
      </c>
      <c r="J957" s="10">
        <f>CHOOSE(CONTROL!$C$42, 70.7879, 70.7879)* CHOOSE(CONTROL!$C$21, $C$9, 100%, $E$9)</f>
        <v>70.787899999999993</v>
      </c>
      <c r="K957" s="54">
        <f>CHOOSE(CONTROL!$C$42, 70.7907, 70.7907) * CHOOSE(CONTROL!$C$21, $C$9, 100%, $E$9)</f>
        <v>70.790700000000001</v>
      </c>
      <c r="L957" s="10">
        <f>CHOOSE(CONTROL!$C$42, 71.6352, 71.6352) * CHOOSE(CONTROL!$C$21, $C$9, 100%, $E$9)</f>
        <v>71.635199999999998</v>
      </c>
      <c r="M957" s="10">
        <f>CHOOSE(CONTROL!$C$42, 70.0874, 70.0874) * CHOOSE(CONTROL!$C$21, $C$9, 100%, $E$9)</f>
        <v>70.087400000000002</v>
      </c>
      <c r="N957" s="10">
        <f>CHOOSE(CONTROL!$C$42, 70.1045, 70.1045) * CHOOSE(CONTROL!$C$21, $C$9, 100%, $E$9)</f>
        <v>70.104500000000002</v>
      </c>
      <c r="O957" s="10">
        <f>CHOOSE(CONTROL!$C$42, 70.345, 70.345) * CHOOSE(CONTROL!$C$21, $C$9, 100%, $E$9)</f>
        <v>70.344999999999999</v>
      </c>
      <c r="P957" s="10">
        <f>CHOOSE(CONTROL!$C$42, 70.094, 70.094) * CHOOSE(CONTROL!$C$21, $C$9, 100%, $E$9)</f>
        <v>70.093999999999994</v>
      </c>
      <c r="Q957" s="10">
        <f>CHOOSE(CONTROL!$C$42, 70.9403, 70.9403) * CHOOSE(CONTROL!$C$21, $C$9, 100%, $E$9)</f>
        <v>70.940299999999993</v>
      </c>
      <c r="R957" s="10">
        <f>CHOOSE(CONTROL!$C$42, 71.7046, 71.7046) * CHOOSE(CONTROL!$C$21, $C$9, 100%, $E$9)</f>
        <v>71.704599999999999</v>
      </c>
      <c r="S957" s="10">
        <f>CHOOSE(CONTROL!$C$42, 68.7769, 68.7769) * CHOOSE(CONTROL!$C$21, $C$9, 100%, $E$9)</f>
        <v>68.776899999999998</v>
      </c>
      <c r="T957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957" s="58">
        <f>(1000*CHOOSE(CONTROL!$C$42, 695, 695)*CHOOSE(CONTROL!$C$42, 0.5599, 0.5599)*CHOOSE(CONTROL!$C$42, 30, 30))/1000000</f>
        <v>11.673914999999997</v>
      </c>
      <c r="V957" s="58">
        <f>(1000*CHOOSE(CONTROL!$C$42, 500, 500)*CHOOSE(CONTROL!$C$42, 0.275, 0.275)*CHOOSE(CONTROL!$C$42, 30, 30))/1000000</f>
        <v>4.125</v>
      </c>
      <c r="W957" s="58">
        <f>(1000*CHOOSE(CONTROL!$C$42, 0.1146, 0.1146)*CHOOSE(CONTROL!$C$42, 121.5, 121.5)*CHOOSE(CONTROL!$C$42, 30, 30))/1000000</f>
        <v>0.417717</v>
      </c>
      <c r="X957" s="58">
        <f>(30*0.1790888*245000/1000000)+(30*0.2374*100000/1000000)</f>
        <v>2.0285026799999999</v>
      </c>
      <c r="Y957" s="58"/>
      <c r="Z957" s="10"/>
      <c r="AA957" s="57"/>
      <c r="AB957" s="51">
        <f>(B957*194.205+C957*267.466+D957*133.845+E957*53.484+F957*40+G957*185+H957*0+I957*100+J957*300)/(194.205+267.466+133.845+53.484+0+40+185+100+300)</f>
        <v>70.845054012558876</v>
      </c>
      <c r="AC957" s="27">
        <f>(M957*'RAP TEMPLATE-GAS AVAILABILITY'!O956+N957*'RAP TEMPLATE-GAS AVAILABILITY'!P956+O957*'RAP TEMPLATE-GAS AVAILABILITY'!Q956+P957*'RAP TEMPLATE-GAS AVAILABILITY'!R956)/('RAP TEMPLATE-GAS AVAILABILITY'!O956+'RAP TEMPLATE-GAS AVAILABILITY'!P956+'RAP TEMPLATE-GAS AVAILABILITY'!Q956+'RAP TEMPLATE-GAS AVAILABILITY'!R956)</f>
        <v>70.206087769784176</v>
      </c>
    </row>
    <row r="958" spans="1:29" ht="15.75" x14ac:dyDescent="0.25">
      <c r="A958" s="13">
        <v>70067</v>
      </c>
      <c r="B958" s="10">
        <f>CHOOSE(CONTROL!$C$42, 69.3883, 69.3883) * CHOOSE(CONTROL!$C$21, $C$9, 100%, $E$9)</f>
        <v>69.388300000000001</v>
      </c>
      <c r="C958" s="10">
        <f>CHOOSE(CONTROL!$C$42, 69.3935, 69.3935) * CHOOSE(CONTROL!$C$21, $C$9, 100%, $E$9)</f>
        <v>69.393500000000003</v>
      </c>
      <c r="D958" s="10">
        <f>CHOOSE(CONTROL!$C$42, 69.5909, 69.5909) * CHOOSE(CONTROL!$C$21, $C$9, 100%, $E$9)</f>
        <v>69.590900000000005</v>
      </c>
      <c r="E958" s="10">
        <f>CHOOSE(CONTROL!$C$42, 69.6197, 69.6197) * CHOOSE(CONTROL!$C$21, $C$9, 100%, $E$9)</f>
        <v>69.619699999999995</v>
      </c>
      <c r="F958" s="10">
        <f>CHOOSE(CONTROL!$C$42, 69.3572, 69.3572)*CHOOSE(CONTROL!$C$21, $C$9, 100%, $E$9)</f>
        <v>69.357200000000006</v>
      </c>
      <c r="G958" s="10">
        <f>CHOOSE(CONTROL!$C$42, 69.3742, 69.3742)*CHOOSE(CONTROL!$C$21, $C$9, 100%, $E$9)</f>
        <v>69.374200000000002</v>
      </c>
      <c r="H958" s="10">
        <f>CHOOSE(CONTROL!$C$42, 69.6102, 69.6102) * CHOOSE(CONTROL!$C$21, $C$9, 100%, $E$9)</f>
        <v>69.610200000000006</v>
      </c>
      <c r="I958" s="10">
        <f>CHOOSE(CONTROL!$C$42, 69.3566, 69.3566)* CHOOSE(CONTROL!$C$21, $C$9, 100%, $E$9)</f>
        <v>69.3566</v>
      </c>
      <c r="J958" s="10">
        <f>CHOOSE(CONTROL!$C$42, 69.3502, 69.3502)* CHOOSE(CONTROL!$C$21, $C$9, 100%, $E$9)</f>
        <v>69.350200000000001</v>
      </c>
      <c r="K958" s="54">
        <f>CHOOSE(CONTROL!$C$42, 69.3527, 69.3527) * CHOOSE(CONTROL!$C$21, $C$9, 100%, $E$9)</f>
        <v>69.352699999999999</v>
      </c>
      <c r="L958" s="10">
        <f>CHOOSE(CONTROL!$C$42, 70.1972, 70.1972) * CHOOSE(CONTROL!$C$21, $C$9, 100%, $E$9)</f>
        <v>70.197199999999995</v>
      </c>
      <c r="M958" s="10">
        <f>CHOOSE(CONTROL!$C$42, 68.6642, 68.6642) * CHOOSE(CONTROL!$C$21, $C$9, 100%, $E$9)</f>
        <v>68.664199999999994</v>
      </c>
      <c r="N958" s="10">
        <f>CHOOSE(CONTROL!$C$42, 68.681, 68.681) * CHOOSE(CONTROL!$C$21, $C$9, 100%, $E$9)</f>
        <v>68.680999999999997</v>
      </c>
      <c r="O958" s="10">
        <f>CHOOSE(CONTROL!$C$42, 68.9215, 68.9215) * CHOOSE(CONTROL!$C$21, $C$9, 100%, $E$9)</f>
        <v>68.921499999999995</v>
      </c>
      <c r="P958" s="10">
        <f>CHOOSE(CONTROL!$C$42, 68.6706, 68.6706) * CHOOSE(CONTROL!$C$21, $C$9, 100%, $E$9)</f>
        <v>68.670599999999993</v>
      </c>
      <c r="Q958" s="10">
        <f>CHOOSE(CONTROL!$C$42, 69.5168, 69.5168) * CHOOSE(CONTROL!$C$21, $C$9, 100%, $E$9)</f>
        <v>69.516800000000003</v>
      </c>
      <c r="R958" s="10">
        <f>CHOOSE(CONTROL!$C$42, 70.2776, 70.2776) * CHOOSE(CONTROL!$C$21, $C$9, 100%, $E$9)</f>
        <v>70.277600000000007</v>
      </c>
      <c r="S958" s="10">
        <f>CHOOSE(CONTROL!$C$42, 67.3804, 67.3804) * CHOOSE(CONTROL!$C$21, $C$9, 100%, $E$9)</f>
        <v>67.380399999999995</v>
      </c>
      <c r="T958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958" s="58">
        <f>(1000*CHOOSE(CONTROL!$C$42, 695, 695)*CHOOSE(CONTROL!$C$42, 0.5599, 0.5599)*CHOOSE(CONTROL!$C$42, 31, 31))/1000000</f>
        <v>12.063045499999998</v>
      </c>
      <c r="V958" s="58">
        <f>(1000*CHOOSE(CONTROL!$C$42, 500, 500)*CHOOSE(CONTROL!$C$42, 0.275, 0.275)*CHOOSE(CONTROL!$C$42, 31, 31))/1000000</f>
        <v>4.2625000000000002</v>
      </c>
      <c r="W958" s="58">
        <f>(1000*CHOOSE(CONTROL!$C$42, 0.1146, 0.1146)*CHOOSE(CONTROL!$C$42, 121.5, 121.5)*CHOOSE(CONTROL!$C$42, 31, 31))/1000000</f>
        <v>0.43164089999999994</v>
      </c>
      <c r="X958" s="58">
        <f>(31*0.1790888*245000/1000000)+(31*0.2374*100000/1000000)</f>
        <v>2.0961194359999999</v>
      </c>
      <c r="Y958" s="58"/>
      <c r="Z958" s="10"/>
      <c r="AA958" s="57"/>
      <c r="AB958" s="51">
        <f>(B958*131.881+C958*277.167+D958*79.08+E958*125.872+F958*40+G958*185+H958*0+I958*100+J958*300)/(131.881+277.167+79.08+125.872+0+40+185+100+300)</f>
        <v>69.411009569975789</v>
      </c>
      <c r="AC958" s="27">
        <f>(M958*'RAP TEMPLATE-GAS AVAILABILITY'!O957+N958*'RAP TEMPLATE-GAS AVAILABILITY'!P957+O958*'RAP TEMPLATE-GAS AVAILABILITY'!Q957+P958*'RAP TEMPLATE-GAS AVAILABILITY'!R957)/('RAP TEMPLATE-GAS AVAILABILITY'!O957+'RAP TEMPLATE-GAS AVAILABILITY'!P957+'RAP TEMPLATE-GAS AVAILABILITY'!Q957+'RAP TEMPLATE-GAS AVAILABILITY'!R957)</f>
        <v>68.782705755395682</v>
      </c>
    </row>
    <row r="959" spans="1:29" ht="15.75" x14ac:dyDescent="0.25">
      <c r="A959" s="13">
        <v>70097</v>
      </c>
      <c r="B959" s="10">
        <f>CHOOSE(CONTROL!$C$42, 71.2158, 71.2158) * CHOOSE(CONTROL!$C$21, $C$9, 100%, $E$9)</f>
        <v>71.215800000000002</v>
      </c>
      <c r="C959" s="10">
        <f>CHOOSE(CONTROL!$C$42, 71.2208, 71.2208) * CHOOSE(CONTROL!$C$21, $C$9, 100%, $E$9)</f>
        <v>71.220799999999997</v>
      </c>
      <c r="D959" s="10">
        <f>CHOOSE(CONTROL!$C$42, 71.2504, 71.2504) * CHOOSE(CONTROL!$C$21, $C$9, 100%, $E$9)</f>
        <v>71.250399999999999</v>
      </c>
      <c r="E959" s="10">
        <f>CHOOSE(CONTROL!$C$42, 71.2841, 71.2841) * CHOOSE(CONTROL!$C$21, $C$9, 100%, $E$9)</f>
        <v>71.284099999999995</v>
      </c>
      <c r="F959" s="10">
        <f>CHOOSE(CONTROL!$C$42, 71.1826, 71.1826)*CHOOSE(CONTROL!$C$21, $C$9, 100%, $E$9)</f>
        <v>71.182599999999994</v>
      </c>
      <c r="G959" s="10">
        <f>CHOOSE(CONTROL!$C$42, 71.1997, 71.1997)*CHOOSE(CONTROL!$C$21, $C$9, 100%, $E$9)</f>
        <v>71.199700000000007</v>
      </c>
      <c r="H959" s="10">
        <f>CHOOSE(CONTROL!$C$42, 71.2733, 71.2733) * CHOOSE(CONTROL!$C$21, $C$9, 100%, $E$9)</f>
        <v>71.273300000000006</v>
      </c>
      <c r="I959" s="10">
        <f>CHOOSE(CONTROL!$C$42, 71.1794, 71.1794)* CHOOSE(CONTROL!$C$21, $C$9, 100%, $E$9)</f>
        <v>71.179400000000001</v>
      </c>
      <c r="J959" s="10">
        <f>CHOOSE(CONTROL!$C$42, 71.1756, 71.1756)* CHOOSE(CONTROL!$C$21, $C$9, 100%, $E$9)</f>
        <v>71.175600000000003</v>
      </c>
      <c r="K959" s="54">
        <f>CHOOSE(CONTROL!$C$42, 71.1755, 71.1755) * CHOOSE(CONTROL!$C$21, $C$9, 100%, $E$9)</f>
        <v>71.1755</v>
      </c>
      <c r="L959" s="10">
        <f>CHOOSE(CONTROL!$C$42, 71.8603, 71.8603) * CHOOSE(CONTROL!$C$21, $C$9, 100%, $E$9)</f>
        <v>71.860299999999995</v>
      </c>
      <c r="M959" s="10">
        <f>CHOOSE(CONTROL!$C$42, 70.4711, 70.4711) * CHOOSE(CONTROL!$C$21, $C$9, 100%, $E$9)</f>
        <v>70.471100000000007</v>
      </c>
      <c r="N959" s="10">
        <f>CHOOSE(CONTROL!$C$42, 70.4881, 70.4881) * CHOOSE(CONTROL!$C$21, $C$9, 100%, $E$9)</f>
        <v>70.488100000000003</v>
      </c>
      <c r="O959" s="10">
        <f>CHOOSE(CONTROL!$C$42, 70.5679, 70.5679) * CHOOSE(CONTROL!$C$21, $C$9, 100%, $E$9)</f>
        <v>70.567899999999995</v>
      </c>
      <c r="P959" s="10">
        <f>CHOOSE(CONTROL!$C$42, 70.475, 70.475) * CHOOSE(CONTROL!$C$21, $C$9, 100%, $E$9)</f>
        <v>70.474999999999994</v>
      </c>
      <c r="Q959" s="10">
        <f>CHOOSE(CONTROL!$C$42, 71.1632, 71.1632) * CHOOSE(CONTROL!$C$21, $C$9, 100%, $E$9)</f>
        <v>71.163200000000003</v>
      </c>
      <c r="R959" s="10">
        <f>CHOOSE(CONTROL!$C$42, 71.9281, 71.9281) * CHOOSE(CONTROL!$C$21, $C$9, 100%, $E$9)</f>
        <v>71.928100000000001</v>
      </c>
      <c r="S959" s="10">
        <f>CHOOSE(CONTROL!$C$42, 69.1555, 69.1555) * CHOOSE(CONTROL!$C$21, $C$9, 100%, $E$9)</f>
        <v>69.155500000000004</v>
      </c>
      <c r="T959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959" s="58">
        <f>(1000*CHOOSE(CONTROL!$C$42, 695, 695)*CHOOSE(CONTROL!$C$42, 0.5599, 0.5599)*CHOOSE(CONTROL!$C$42, 30, 30))/1000000</f>
        <v>11.673914999999997</v>
      </c>
      <c r="V959" s="58">
        <f>(1000*CHOOSE(CONTROL!$C$42, 500, 500)*CHOOSE(CONTROL!$C$42, 0.275, 0.275)*CHOOSE(CONTROL!$C$42, 30, 30))/1000000</f>
        <v>4.125</v>
      </c>
      <c r="W959" s="58">
        <f>(1000*CHOOSE(CONTROL!$C$42, 0.1146, 0.1146)*CHOOSE(CONTROL!$C$42, 121.5, 121.5)*CHOOSE(CONTROL!$C$42, 30, 30))/1000000</f>
        <v>0.417717</v>
      </c>
      <c r="X959" s="58">
        <f>(30*0.1790888*100000/1000000)+(30*0.2374*100000/1000000)</f>
        <v>1.2494664</v>
      </c>
      <c r="Y959" s="58"/>
      <c r="Z959" s="10"/>
      <c r="AA959" s="57"/>
      <c r="AB959" s="51">
        <f>(B959*122.58+C959*297.941+D959*89.177+E959*40.302+F959*40+G959*160+H959*0+I959*100+J959*300)/(122.58+297.941+89.177+40.302+0+40+160+100+300)</f>
        <v>71.205125092000003</v>
      </c>
      <c r="AC959" s="27">
        <f>(M959*'RAP TEMPLATE-GAS AVAILABILITY'!O958+N959*'RAP TEMPLATE-GAS AVAILABILITY'!P958+O959*'RAP TEMPLATE-GAS AVAILABILITY'!Q958+P959*'RAP TEMPLATE-GAS AVAILABILITY'!R958)/('RAP TEMPLATE-GAS AVAILABILITY'!O958+'RAP TEMPLATE-GAS AVAILABILITY'!P958+'RAP TEMPLATE-GAS AVAILABILITY'!Q958+'RAP TEMPLATE-GAS AVAILABILITY'!R958)</f>
        <v>70.516512949640287</v>
      </c>
    </row>
    <row r="960" spans="1:29" ht="15.75" x14ac:dyDescent="0.25">
      <c r="A960" s="13">
        <v>70128</v>
      </c>
      <c r="B960" s="10">
        <f>CHOOSE(CONTROL!$C$42, 76.0711, 76.0711) * CHOOSE(CONTROL!$C$21, $C$9, 100%, $E$9)</f>
        <v>76.071100000000001</v>
      </c>
      <c r="C960" s="10">
        <f>CHOOSE(CONTROL!$C$42, 76.076, 76.076) * CHOOSE(CONTROL!$C$21, $C$9, 100%, $E$9)</f>
        <v>76.075999999999993</v>
      </c>
      <c r="D960" s="10">
        <f>CHOOSE(CONTROL!$C$42, 76.1056, 76.1056) * CHOOSE(CONTROL!$C$21, $C$9, 100%, $E$9)</f>
        <v>76.105599999999995</v>
      </c>
      <c r="E960" s="10">
        <f>CHOOSE(CONTROL!$C$42, 76.1394, 76.1394) * CHOOSE(CONTROL!$C$21, $C$9, 100%, $E$9)</f>
        <v>76.139399999999995</v>
      </c>
      <c r="F960" s="10">
        <f>CHOOSE(CONTROL!$C$42, 76.0393, 76.0393)*CHOOSE(CONTROL!$C$21, $C$9, 100%, $E$9)</f>
        <v>76.039299999999997</v>
      </c>
      <c r="G960" s="10">
        <f>CHOOSE(CONTROL!$C$42, 76.0568, 76.0568)*CHOOSE(CONTROL!$C$21, $C$9, 100%, $E$9)</f>
        <v>76.056799999999996</v>
      </c>
      <c r="H960" s="10">
        <f>CHOOSE(CONTROL!$C$42, 76.1286, 76.1286) * CHOOSE(CONTROL!$C$21, $C$9, 100%, $E$9)</f>
        <v>76.128600000000006</v>
      </c>
      <c r="I960" s="10">
        <f>CHOOSE(CONTROL!$C$42, 76.0347, 76.0347)* CHOOSE(CONTROL!$C$21, $C$9, 100%, $E$9)</f>
        <v>76.034700000000001</v>
      </c>
      <c r="J960" s="10">
        <f>CHOOSE(CONTROL!$C$42, 76.0323, 76.0323)* CHOOSE(CONTROL!$C$21, $C$9, 100%, $E$9)</f>
        <v>76.032300000000006</v>
      </c>
      <c r="K960" s="54">
        <f>CHOOSE(CONTROL!$C$42, 76.0308, 76.0308) * CHOOSE(CONTROL!$C$21, $C$9, 100%, $E$9)</f>
        <v>76.030799999999999</v>
      </c>
      <c r="L960" s="10">
        <f>CHOOSE(CONTROL!$C$42, 76.7156, 76.7156) * CHOOSE(CONTROL!$C$21, $C$9, 100%, $E$9)</f>
        <v>76.715599999999995</v>
      </c>
      <c r="M960" s="10">
        <f>CHOOSE(CONTROL!$C$42, 75.2788, 75.2788) * CHOOSE(CONTROL!$C$21, $C$9, 100%, $E$9)</f>
        <v>75.278800000000004</v>
      </c>
      <c r="N960" s="10">
        <f>CHOOSE(CONTROL!$C$42, 75.2961, 75.2961) * CHOOSE(CONTROL!$C$21, $C$9, 100%, $E$9)</f>
        <v>75.296099999999996</v>
      </c>
      <c r="O960" s="10">
        <f>CHOOSE(CONTROL!$C$42, 75.3742, 75.3742) * CHOOSE(CONTROL!$C$21, $C$9, 100%, $E$9)</f>
        <v>75.374200000000002</v>
      </c>
      <c r="P960" s="10">
        <f>CHOOSE(CONTROL!$C$42, 75.2812, 75.2812) * CHOOSE(CONTROL!$C$21, $C$9, 100%, $E$9)</f>
        <v>75.281199999999998</v>
      </c>
      <c r="Q960" s="10">
        <f>CHOOSE(CONTROL!$C$42, 75.9695, 75.9695) * CHOOSE(CONTROL!$C$21, $C$9, 100%, $E$9)</f>
        <v>75.969499999999996</v>
      </c>
      <c r="R960" s="10">
        <f>CHOOSE(CONTROL!$C$42, 76.7464, 76.7464) * CHOOSE(CONTROL!$C$21, $C$9, 100%, $E$9)</f>
        <v>76.746399999999994</v>
      </c>
      <c r="S960" s="10">
        <f>CHOOSE(CONTROL!$C$42, 73.8705, 73.8705) * CHOOSE(CONTROL!$C$21, $C$9, 100%, $E$9)</f>
        <v>73.870500000000007</v>
      </c>
      <c r="T960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960" s="58">
        <f>(1000*CHOOSE(CONTROL!$C$42, 695, 695)*CHOOSE(CONTROL!$C$42, 0.5599, 0.5599)*CHOOSE(CONTROL!$C$42, 31, 31))/1000000</f>
        <v>12.063045499999998</v>
      </c>
      <c r="V960" s="58">
        <f>(1000*CHOOSE(CONTROL!$C$42, 500, 500)*CHOOSE(CONTROL!$C$42, 0.275, 0.275)*CHOOSE(CONTROL!$C$42, 31, 31))/1000000</f>
        <v>4.2625000000000002</v>
      </c>
      <c r="W960" s="58">
        <f>(1000*CHOOSE(CONTROL!$C$42, 0.1146, 0.1146)*CHOOSE(CONTROL!$C$42, 121.5, 121.5)*CHOOSE(CONTROL!$C$42, 31, 31))/1000000</f>
        <v>0.43164089999999994</v>
      </c>
      <c r="X960" s="58">
        <f>(31*0.1790888*100000/1000000)+(31*0.2374*100000/1000000)</f>
        <v>1.2911152800000001</v>
      </c>
      <c r="Y960" s="58"/>
      <c r="Z960" s="10"/>
      <c r="AA960" s="57"/>
      <c r="AB960" s="51">
        <f>(B960*122.58+C960*297.941+D960*89.177+E960*40.302+F960*40+G960*160+H960*0+I960*100+J960*300)/(122.58+297.941+89.177+40.302+0+40+160+100+300)</f>
        <v>76.061055777391303</v>
      </c>
      <c r="AC960" s="27">
        <f>(M960*'RAP TEMPLATE-GAS AVAILABILITY'!O959+N960*'RAP TEMPLATE-GAS AVAILABILITY'!P959+O960*'RAP TEMPLATE-GAS AVAILABILITY'!Q959+P960*'RAP TEMPLATE-GAS AVAILABILITY'!R959)/('RAP TEMPLATE-GAS AVAILABILITY'!O959+'RAP TEMPLATE-GAS AVAILABILITY'!P959+'RAP TEMPLATE-GAS AVAILABILITY'!Q959+'RAP TEMPLATE-GAS AVAILABILITY'!R959)</f>
        <v>75.32337985611511</v>
      </c>
    </row>
    <row r="961" spans="1:29" ht="15.75" x14ac:dyDescent="0.25">
      <c r="A961" s="13">
        <v>70159</v>
      </c>
      <c r="B961" s="10">
        <f>CHOOSE(CONTROL!$C$42, 82.3039, 82.3039) * CHOOSE(CONTROL!$C$21, $C$9, 100%, $E$9)</f>
        <v>82.303899999999999</v>
      </c>
      <c r="C961" s="10">
        <f>CHOOSE(CONTROL!$C$42, 82.3088, 82.3088) * CHOOSE(CONTROL!$C$21, $C$9, 100%, $E$9)</f>
        <v>82.308800000000005</v>
      </c>
      <c r="D961" s="10">
        <f>CHOOSE(CONTROL!$C$42, 82.359, 82.359) * CHOOSE(CONTROL!$C$21, $C$9, 100%, $E$9)</f>
        <v>82.358999999999995</v>
      </c>
      <c r="E961" s="10">
        <f>CHOOSE(CONTROL!$C$42, 82.3928, 82.3928) * CHOOSE(CONTROL!$C$21, $C$9, 100%, $E$9)</f>
        <v>82.392799999999994</v>
      </c>
      <c r="F961" s="10">
        <f>CHOOSE(CONTROL!$C$42, 82.2692, 82.2692)*CHOOSE(CONTROL!$C$21, $C$9, 100%, $E$9)</f>
        <v>82.269199999999998</v>
      </c>
      <c r="G961" s="10">
        <f>CHOOSE(CONTROL!$C$42, 82.2868, 82.2868)*CHOOSE(CONTROL!$C$21, $C$9, 100%, $E$9)</f>
        <v>82.286799999999999</v>
      </c>
      <c r="H961" s="10">
        <f>CHOOSE(CONTROL!$C$42, 82.382, 82.382) * CHOOSE(CONTROL!$C$21, $C$9, 100%, $E$9)</f>
        <v>82.382000000000005</v>
      </c>
      <c r="I961" s="10">
        <f>CHOOSE(CONTROL!$C$42, 82.2778, 82.2778)* CHOOSE(CONTROL!$C$21, $C$9, 100%, $E$9)</f>
        <v>82.277799999999999</v>
      </c>
      <c r="J961" s="10">
        <f>CHOOSE(CONTROL!$C$42, 82.2622, 82.2622)* CHOOSE(CONTROL!$C$21, $C$9, 100%, $E$9)</f>
        <v>82.262200000000007</v>
      </c>
      <c r="K961" s="54">
        <f>CHOOSE(CONTROL!$C$42, 82.2739, 82.2739) * CHOOSE(CONTROL!$C$21, $C$9, 100%, $E$9)</f>
        <v>82.273899999999998</v>
      </c>
      <c r="L961" s="10">
        <f>CHOOSE(CONTROL!$C$42, 82.969, 82.969) * CHOOSE(CONTROL!$C$21, $C$9, 100%, $E$9)</f>
        <v>82.968999999999994</v>
      </c>
      <c r="M961" s="10">
        <f>CHOOSE(CONTROL!$C$42, 81.4459, 81.4459) * CHOOSE(CONTROL!$C$21, $C$9, 100%, $E$9)</f>
        <v>81.445899999999995</v>
      </c>
      <c r="N961" s="10">
        <f>CHOOSE(CONTROL!$C$42, 81.4633, 81.4633) * CHOOSE(CONTROL!$C$21, $C$9, 100%, $E$9)</f>
        <v>81.463300000000004</v>
      </c>
      <c r="O961" s="10">
        <f>CHOOSE(CONTROL!$C$42, 81.5644, 81.5644) * CHOOSE(CONTROL!$C$21, $C$9, 100%, $E$9)</f>
        <v>81.564400000000006</v>
      </c>
      <c r="P961" s="10">
        <f>CHOOSE(CONTROL!$C$42, 81.4613, 81.4613) * CHOOSE(CONTROL!$C$21, $C$9, 100%, $E$9)</f>
        <v>81.461299999999994</v>
      </c>
      <c r="Q961" s="10">
        <f>CHOOSE(CONTROL!$C$42, 82.1597, 82.1597) * CHOOSE(CONTROL!$C$21, $C$9, 100%, $E$9)</f>
        <v>82.159700000000001</v>
      </c>
      <c r="R961" s="10">
        <f>CHOOSE(CONTROL!$C$42, 82.9521, 82.9521) * CHOOSE(CONTROL!$C$21, $C$9, 100%, $E$9)</f>
        <v>82.952100000000002</v>
      </c>
      <c r="S961" s="10">
        <f>CHOOSE(CONTROL!$C$42, 79.9231, 79.9231) * CHOOSE(CONTROL!$C$21, $C$9, 100%, $E$9)</f>
        <v>79.923100000000005</v>
      </c>
      <c r="T961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961" s="58">
        <f>(1000*CHOOSE(CONTROL!$C$42, 695, 695)*CHOOSE(CONTROL!$C$42, 0.5599, 0.5599)*CHOOSE(CONTROL!$C$42, 31, 31))/1000000</f>
        <v>12.063045499999998</v>
      </c>
      <c r="V961" s="58">
        <f>(1000*CHOOSE(CONTROL!$C$42, 500, 500)*CHOOSE(CONTROL!$C$42, 0.275, 0.275)*CHOOSE(CONTROL!$C$42, 31, 31))/1000000</f>
        <v>4.2625000000000002</v>
      </c>
      <c r="W961" s="58">
        <f>(1000*CHOOSE(CONTROL!$C$42, 0.1146, 0.1146)*CHOOSE(CONTROL!$C$42, 121.5, 121.5)*CHOOSE(CONTROL!$C$42, 31, 31))/1000000</f>
        <v>0.43164089999999994</v>
      </c>
      <c r="X961" s="58">
        <f>(31*0.1790888*100000/1000000)+(31*0.2374*100000/1000000)</f>
        <v>1.2911152800000001</v>
      </c>
      <c r="Y961" s="58"/>
      <c r="Z961" s="10"/>
      <c r="AA961" s="57"/>
      <c r="AB961" s="51">
        <f>(B961*122.58+C961*297.941+D961*89.177+E961*40.302+F961*40+G961*160+H961*0+I961*100+J961*300)/(122.58+297.941+89.177+40.302+0+40+160+100+300)</f>
        <v>82.295823835999997</v>
      </c>
      <c r="AC961" s="27">
        <f>(M961*'RAP TEMPLATE-GAS AVAILABILITY'!O960+N961*'RAP TEMPLATE-GAS AVAILABILITY'!P960+O961*'RAP TEMPLATE-GAS AVAILABILITY'!Q960+P961*'RAP TEMPLATE-GAS AVAILABILITY'!R960)/('RAP TEMPLATE-GAS AVAILABILITY'!O960+'RAP TEMPLATE-GAS AVAILABILITY'!P960+'RAP TEMPLATE-GAS AVAILABILITY'!Q960+'RAP TEMPLATE-GAS AVAILABILITY'!R960)</f>
        <v>81.50282589928058</v>
      </c>
    </row>
    <row r="962" spans="1:29" ht="15.75" x14ac:dyDescent="0.25">
      <c r="A962" s="13">
        <v>70188</v>
      </c>
      <c r="B962" s="10">
        <f>CHOOSE(CONTROL!$C$42, 83.7689, 83.7689) * CHOOSE(CONTROL!$C$21, $C$9, 100%, $E$9)</f>
        <v>83.768900000000002</v>
      </c>
      <c r="C962" s="10">
        <f>CHOOSE(CONTROL!$C$42, 83.7739, 83.7739) * CHOOSE(CONTROL!$C$21, $C$9, 100%, $E$9)</f>
        <v>83.773899999999998</v>
      </c>
      <c r="D962" s="10">
        <f>CHOOSE(CONTROL!$C$42, 83.8344, 83.8344) * CHOOSE(CONTROL!$C$21, $C$9, 100%, $E$9)</f>
        <v>83.834400000000002</v>
      </c>
      <c r="E962" s="10">
        <f>CHOOSE(CONTROL!$C$42, 83.8682, 83.8682) * CHOOSE(CONTROL!$C$21, $C$9, 100%, $E$9)</f>
        <v>83.868200000000002</v>
      </c>
      <c r="F962" s="10">
        <f>CHOOSE(CONTROL!$C$42, 83.7622, 83.7622)*CHOOSE(CONTROL!$C$21, $C$9, 100%, $E$9)</f>
        <v>83.762200000000007</v>
      </c>
      <c r="G962" s="10">
        <f>CHOOSE(CONTROL!$C$42, 83.7795, 83.7795)*CHOOSE(CONTROL!$C$21, $C$9, 100%, $E$9)</f>
        <v>83.779499999999999</v>
      </c>
      <c r="H962" s="10">
        <f>CHOOSE(CONTROL!$C$42, 83.8574, 83.8574) * CHOOSE(CONTROL!$C$21, $C$9, 100%, $E$9)</f>
        <v>83.857399999999998</v>
      </c>
      <c r="I962" s="10">
        <f>CHOOSE(CONTROL!$C$42, 83.7557, 83.7557)* CHOOSE(CONTROL!$C$21, $C$9, 100%, $E$9)</f>
        <v>83.755700000000004</v>
      </c>
      <c r="J962" s="10">
        <f>CHOOSE(CONTROL!$C$42, 83.7552, 83.7552)* CHOOSE(CONTROL!$C$21, $C$9, 100%, $E$9)</f>
        <v>83.755200000000002</v>
      </c>
      <c r="K962" s="54">
        <f>CHOOSE(CONTROL!$C$42, 83.7518, 83.7518) * CHOOSE(CONTROL!$C$21, $C$9, 100%, $E$9)</f>
        <v>83.751800000000003</v>
      </c>
      <c r="L962" s="10">
        <f>CHOOSE(CONTROL!$C$42, 84.4444, 84.4444) * CHOOSE(CONTROL!$C$21, $C$9, 100%, $E$9)</f>
        <v>84.444400000000002</v>
      </c>
      <c r="M962" s="10">
        <f>CHOOSE(CONTROL!$C$42, 82.9238, 82.9238) * CHOOSE(CONTROL!$C$21, $C$9, 100%, $E$9)</f>
        <v>82.9238</v>
      </c>
      <c r="N962" s="10">
        <f>CHOOSE(CONTROL!$C$42, 82.9409, 82.9409) * CHOOSE(CONTROL!$C$21, $C$9, 100%, $E$9)</f>
        <v>82.940899999999999</v>
      </c>
      <c r="O962" s="10">
        <f>CHOOSE(CONTROL!$C$42, 83.0249, 83.0249) * CHOOSE(CONTROL!$C$21, $C$9, 100%, $E$9)</f>
        <v>83.024900000000002</v>
      </c>
      <c r="P962" s="10">
        <f>CHOOSE(CONTROL!$C$42, 82.9243, 82.9243) * CHOOSE(CONTROL!$C$21, $C$9, 100%, $E$9)</f>
        <v>82.924300000000002</v>
      </c>
      <c r="Q962" s="10">
        <f>CHOOSE(CONTROL!$C$42, 83.6202, 83.6202) * CHOOSE(CONTROL!$C$21, $C$9, 100%, $E$9)</f>
        <v>83.620199999999997</v>
      </c>
      <c r="R962" s="10">
        <f>CHOOSE(CONTROL!$C$42, 84.4163, 84.4163) * CHOOSE(CONTROL!$C$21, $C$9, 100%, $E$9)</f>
        <v>84.416300000000007</v>
      </c>
      <c r="S962" s="10">
        <f>CHOOSE(CONTROL!$C$42, 81.3459, 81.3459) * CHOOSE(CONTROL!$C$21, $C$9, 100%, $E$9)</f>
        <v>81.3459</v>
      </c>
      <c r="T962" s="5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962" s="58">
        <f>(1000*CHOOSE(CONTROL!$C$42, 695, 695)*CHOOSE(CONTROL!$C$42, 0.5599, 0.5599)*CHOOSE(CONTROL!$C$42, 29, 29))/1000000</f>
        <v>11.284784499999999</v>
      </c>
      <c r="V962" s="58">
        <f>(1000*CHOOSE(CONTROL!$C$42, 500, 500)*CHOOSE(CONTROL!$C$42, 0.275, 0.275)*CHOOSE(CONTROL!$C$42, 29, 29))/1000000</f>
        <v>3.9874999999999998</v>
      </c>
      <c r="W962" s="58">
        <f>(1000*CHOOSE(CONTROL!$C$42, 0.1146, 0.1146)*CHOOSE(CONTROL!$C$42, 121.5, 121.5)*CHOOSE(CONTROL!$C$42, 29, 29))/1000000</f>
        <v>0.40379309999999996</v>
      </c>
      <c r="X962" s="58">
        <f>(29*0.1790888*100000/1000000)+(29*0.2374*100000/1000000)</f>
        <v>1.2078175199999999</v>
      </c>
      <c r="Y962" s="58"/>
      <c r="Z962" s="10"/>
      <c r="AA962" s="57"/>
      <c r="AB962" s="51">
        <f>(B962*122.58+C962*297.941+D962*89.177+E962*40.302+F962*40+G962*160+H962*0+I962*100+J962*300)/(122.58+297.941+89.177+40.302+0+40+160+100+300)</f>
        <v>83.775274597478258</v>
      </c>
      <c r="AC962" s="27">
        <f>(M962*'RAP TEMPLATE-GAS AVAILABILITY'!O961+N962*'RAP TEMPLATE-GAS AVAILABILITY'!P961+O962*'RAP TEMPLATE-GAS AVAILABILITY'!Q961+P962*'RAP TEMPLATE-GAS AVAILABILITY'!R961)/('RAP TEMPLATE-GAS AVAILABILITY'!O961+'RAP TEMPLATE-GAS AVAILABILITY'!P961+'RAP TEMPLATE-GAS AVAILABILITY'!Q961+'RAP TEMPLATE-GAS AVAILABILITY'!R961)</f>
        <v>82.970678417266186</v>
      </c>
    </row>
    <row r="963" spans="1:29" ht="15.75" x14ac:dyDescent="0.25">
      <c r="A963" s="13">
        <v>70219</v>
      </c>
      <c r="B963" s="10">
        <f>CHOOSE(CONTROL!$C$42, 81.3908, 81.3908) * CHOOSE(CONTROL!$C$21, $C$9, 100%, $E$9)</f>
        <v>81.390799999999999</v>
      </c>
      <c r="C963" s="10">
        <f>CHOOSE(CONTROL!$C$42, 81.3957, 81.3957) * CHOOSE(CONTROL!$C$21, $C$9, 100%, $E$9)</f>
        <v>81.395700000000005</v>
      </c>
      <c r="D963" s="10">
        <f>CHOOSE(CONTROL!$C$42, 81.4562, 81.4562) * CHOOSE(CONTROL!$C$21, $C$9, 100%, $E$9)</f>
        <v>81.456199999999995</v>
      </c>
      <c r="E963" s="10">
        <f>CHOOSE(CONTROL!$C$42, 81.49, 81.49) * CHOOSE(CONTROL!$C$21, $C$9, 100%, $E$9)</f>
        <v>81.489999999999995</v>
      </c>
      <c r="F963" s="10">
        <f>CHOOSE(CONTROL!$C$42, 81.3785, 81.3785)*CHOOSE(CONTROL!$C$21, $C$9, 100%, $E$9)</f>
        <v>81.378500000000003</v>
      </c>
      <c r="G963" s="10">
        <f>CHOOSE(CONTROL!$C$42, 81.3957, 81.3957)*CHOOSE(CONTROL!$C$21, $C$9, 100%, $E$9)</f>
        <v>81.395700000000005</v>
      </c>
      <c r="H963" s="10">
        <f>CHOOSE(CONTROL!$C$42, 81.4792, 81.4792) * CHOOSE(CONTROL!$C$21, $C$9, 100%, $E$9)</f>
        <v>81.479200000000006</v>
      </c>
      <c r="I963" s="10">
        <f>CHOOSE(CONTROL!$C$42, 81.3647, 81.3647)* CHOOSE(CONTROL!$C$21, $C$9, 100%, $E$9)</f>
        <v>81.364699999999999</v>
      </c>
      <c r="J963" s="10">
        <f>CHOOSE(CONTROL!$C$42, 81.3715, 81.3715)* CHOOSE(CONTROL!$C$21, $C$9, 100%, $E$9)</f>
        <v>81.371499999999997</v>
      </c>
      <c r="K963" s="54">
        <f>CHOOSE(CONTROL!$C$42, 81.3608, 81.3608) * CHOOSE(CONTROL!$C$21, $C$9, 100%, $E$9)</f>
        <v>81.360799999999998</v>
      </c>
      <c r="L963" s="10">
        <f>CHOOSE(CONTROL!$C$42, 82.0662, 82.0662) * CHOOSE(CONTROL!$C$21, $C$9, 100%, $E$9)</f>
        <v>82.066199999999995</v>
      </c>
      <c r="M963" s="10">
        <f>CHOOSE(CONTROL!$C$42, 80.5641, 80.5641) * CHOOSE(CONTROL!$C$21, $C$9, 100%, $E$9)</f>
        <v>80.564099999999996</v>
      </c>
      <c r="N963" s="10">
        <f>CHOOSE(CONTROL!$C$42, 80.5812, 80.5812) * CHOOSE(CONTROL!$C$21, $C$9, 100%, $E$9)</f>
        <v>80.581199999999995</v>
      </c>
      <c r="O963" s="10">
        <f>CHOOSE(CONTROL!$C$42, 80.6708, 80.6708) * CHOOSE(CONTROL!$C$21, $C$9, 100%, $E$9)</f>
        <v>80.6708</v>
      </c>
      <c r="P963" s="10">
        <f>CHOOSE(CONTROL!$C$42, 80.5574, 80.5574) * CHOOSE(CONTROL!$C$21, $C$9, 100%, $E$9)</f>
        <v>80.557400000000001</v>
      </c>
      <c r="Q963" s="10">
        <f>CHOOSE(CONTROL!$C$42, 81.2661, 81.2661) * CHOOSE(CONTROL!$C$21, $C$9, 100%, $E$9)</f>
        <v>81.266099999999994</v>
      </c>
      <c r="R963" s="10">
        <f>CHOOSE(CONTROL!$C$42, 82.0562, 82.0562) * CHOOSE(CONTROL!$C$21, $C$9, 100%, $E$9)</f>
        <v>82.056200000000004</v>
      </c>
      <c r="S963" s="10">
        <f>CHOOSE(CONTROL!$C$42, 79.0364, 79.0364) * CHOOSE(CONTROL!$C$21, $C$9, 100%, $E$9)</f>
        <v>79.0364</v>
      </c>
      <c r="T963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963" s="58">
        <f>(1000*CHOOSE(CONTROL!$C$42, 695, 695)*CHOOSE(CONTROL!$C$42, 0.5599, 0.5599)*CHOOSE(CONTROL!$C$42, 31, 31))/1000000</f>
        <v>12.063045499999998</v>
      </c>
      <c r="V963" s="58">
        <f>(1000*CHOOSE(CONTROL!$C$42, 500, 500)*CHOOSE(CONTROL!$C$42, 0.275, 0.275)*CHOOSE(CONTROL!$C$42, 31, 31))/1000000</f>
        <v>4.2625000000000002</v>
      </c>
      <c r="W963" s="58">
        <f>(1000*CHOOSE(CONTROL!$C$42, 0.1146, 0.1146)*CHOOSE(CONTROL!$C$42, 121.5, 121.5)*CHOOSE(CONTROL!$C$42, 31, 31))/1000000</f>
        <v>0.43164089999999994</v>
      </c>
      <c r="X963" s="58">
        <f>(31*0.1790888*100000/1000000)+(31*0.2374*100000/1000000)</f>
        <v>1.2911152800000001</v>
      </c>
      <c r="Y963" s="58"/>
      <c r="Z963" s="10"/>
      <c r="AA963" s="57"/>
      <c r="AB963" s="51">
        <f>(B963*122.58+C963*297.941+D963*89.177+E963*40.302+F963*40+G963*160+H963*0+I963*100+J963*300)/(122.58+297.941+89.177+40.302+0+40+160+100+300)</f>
        <v>81.393566995739121</v>
      </c>
      <c r="AC963" s="27">
        <f>(M963*'RAP TEMPLATE-GAS AVAILABILITY'!O962+N963*'RAP TEMPLATE-GAS AVAILABILITY'!P962+O963*'RAP TEMPLATE-GAS AVAILABILITY'!Q962+P963*'RAP TEMPLATE-GAS AVAILABILITY'!R962)/('RAP TEMPLATE-GAS AVAILABILITY'!O962+'RAP TEMPLATE-GAS AVAILABILITY'!P962+'RAP TEMPLATE-GAS AVAILABILITY'!Q962+'RAP TEMPLATE-GAS AVAILABILITY'!R962)</f>
        <v>80.61248057553955</v>
      </c>
    </row>
    <row r="964" spans="1:29" ht="15.75" x14ac:dyDescent="0.25">
      <c r="A964" s="13">
        <v>70249</v>
      </c>
      <c r="B964" s="10">
        <f>CHOOSE(CONTROL!$C$42, 81.1482, 81.1482) * CHOOSE(CONTROL!$C$21, $C$9, 100%, $E$9)</f>
        <v>81.148200000000003</v>
      </c>
      <c r="C964" s="10">
        <f>CHOOSE(CONTROL!$C$42, 81.1526, 81.1526) * CHOOSE(CONTROL!$C$21, $C$9, 100%, $E$9)</f>
        <v>81.152600000000007</v>
      </c>
      <c r="D964" s="10">
        <f>CHOOSE(CONTROL!$C$42, 81.3482, 81.3482) * CHOOSE(CONTROL!$C$21, $C$9, 100%, $E$9)</f>
        <v>81.348200000000006</v>
      </c>
      <c r="E964" s="10">
        <f>CHOOSE(CONTROL!$C$42, 81.38, 81.38) * CHOOSE(CONTROL!$C$21, $C$9, 100%, $E$9)</f>
        <v>81.38</v>
      </c>
      <c r="F964" s="10">
        <f>CHOOSE(CONTROL!$C$42, 81.116, 81.116)*CHOOSE(CONTROL!$C$21, $C$9, 100%, $E$9)</f>
        <v>81.116</v>
      </c>
      <c r="G964" s="10">
        <f>CHOOSE(CONTROL!$C$42, 81.1328, 81.1328)*CHOOSE(CONTROL!$C$21, $C$9, 100%, $E$9)</f>
        <v>81.132800000000003</v>
      </c>
      <c r="H964" s="10">
        <f>CHOOSE(CONTROL!$C$42, 81.3698, 81.3698) * CHOOSE(CONTROL!$C$21, $C$9, 100%, $E$9)</f>
        <v>81.369799999999998</v>
      </c>
      <c r="I964" s="10">
        <f>CHOOSE(CONTROL!$C$42, 81.1162, 81.1162)* CHOOSE(CONTROL!$C$21, $C$9, 100%, $E$9)</f>
        <v>81.116200000000006</v>
      </c>
      <c r="J964" s="10">
        <f>CHOOSE(CONTROL!$C$42, 81.109, 81.109)* CHOOSE(CONTROL!$C$21, $C$9, 100%, $E$9)</f>
        <v>81.108999999999995</v>
      </c>
      <c r="K964" s="54">
        <f>CHOOSE(CONTROL!$C$42, 81.1123, 81.1123) * CHOOSE(CONTROL!$C$21, $C$9, 100%, $E$9)</f>
        <v>81.112300000000005</v>
      </c>
      <c r="L964" s="10">
        <f>CHOOSE(CONTROL!$C$42, 81.9568, 81.9568) * CHOOSE(CONTROL!$C$21, $C$9, 100%, $E$9)</f>
        <v>81.956800000000001</v>
      </c>
      <c r="M964" s="10">
        <f>CHOOSE(CONTROL!$C$42, 80.3043, 80.3043) * CHOOSE(CONTROL!$C$21, $C$9, 100%, $E$9)</f>
        <v>80.304299999999998</v>
      </c>
      <c r="N964" s="10">
        <f>CHOOSE(CONTROL!$C$42, 80.3209, 80.3209) * CHOOSE(CONTROL!$C$21, $C$9, 100%, $E$9)</f>
        <v>80.320899999999995</v>
      </c>
      <c r="O964" s="10">
        <f>CHOOSE(CONTROL!$C$42, 80.5624, 80.5624) * CHOOSE(CONTROL!$C$21, $C$9, 100%, $E$9)</f>
        <v>80.562399999999997</v>
      </c>
      <c r="P964" s="10">
        <f>CHOOSE(CONTROL!$C$42, 80.3115, 80.3115) * CHOOSE(CONTROL!$C$21, $C$9, 100%, $E$9)</f>
        <v>80.311499999999995</v>
      </c>
      <c r="Q964" s="10">
        <f>CHOOSE(CONTROL!$C$42, 81.1577, 81.1577) * CHOOSE(CONTROL!$C$21, $C$9, 100%, $E$9)</f>
        <v>81.157700000000006</v>
      </c>
      <c r="R964" s="10">
        <f>CHOOSE(CONTROL!$C$42, 81.9476, 81.9476) * CHOOSE(CONTROL!$C$21, $C$9, 100%, $E$9)</f>
        <v>81.947599999999994</v>
      </c>
      <c r="S964" s="10">
        <f>CHOOSE(CONTROL!$C$42, 78.8002, 78.8002) * CHOOSE(CONTROL!$C$21, $C$9, 100%, $E$9)</f>
        <v>78.800200000000004</v>
      </c>
      <c r="T964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964" s="58">
        <f>(1000*CHOOSE(CONTROL!$C$42, 695, 695)*CHOOSE(CONTROL!$C$42, 0.5599, 0.5599)*CHOOSE(CONTROL!$C$42, 30, 30))/1000000</f>
        <v>11.673914999999997</v>
      </c>
      <c r="V964" s="58">
        <f>(1000*CHOOSE(CONTROL!$C$42, 500, 500)*CHOOSE(CONTROL!$C$42, 0.275, 0.275)*CHOOSE(CONTROL!$C$42, 30, 30))/1000000</f>
        <v>4.125</v>
      </c>
      <c r="W964" s="58">
        <f>(1000*CHOOSE(CONTROL!$C$42, 0.1146, 0.1146)*CHOOSE(CONTROL!$C$42, 121.5, 121.5)*CHOOSE(CONTROL!$C$42, 30, 30))/1000000</f>
        <v>0.417717</v>
      </c>
      <c r="X964" s="58">
        <f>(30*0.1790888*245000/1000000)+(30*0.2374*100000/1000000)</f>
        <v>2.0285026799999999</v>
      </c>
      <c r="Y964" s="58"/>
      <c r="Z964" s="10"/>
      <c r="AA964" s="57"/>
      <c r="AB964" s="51">
        <f>(B964*141.293+C964*267.993+D964*115.016+E964*89.698+F964*40+G964*185+H964*0+I964*100+J964*300)/(141.293+267.993+115.016+89.698+0+40+185+100+300)</f>
        <v>81.169085686521385</v>
      </c>
      <c r="AC964" s="27">
        <f>(M964*'RAP TEMPLATE-GAS AVAILABILITY'!O963+N964*'RAP TEMPLATE-GAS AVAILABILITY'!P963+O964*'RAP TEMPLATE-GAS AVAILABILITY'!Q963+P964*'RAP TEMPLATE-GAS AVAILABILITY'!R963)/('RAP TEMPLATE-GAS AVAILABILITY'!O963+'RAP TEMPLATE-GAS AVAILABILITY'!P963+'RAP TEMPLATE-GAS AVAILABILITY'!Q963+'RAP TEMPLATE-GAS AVAILABILITY'!R963)</f>
        <v>80.423271942446036</v>
      </c>
    </row>
    <row r="965" spans="1:29" ht="15.75" x14ac:dyDescent="0.25">
      <c r="A965" s="13">
        <v>70280</v>
      </c>
      <c r="B965" s="10">
        <f>CHOOSE(CONTROL!$C$42, 81.8658, 81.8658) * CHOOSE(CONTROL!$C$21, $C$9, 100%, $E$9)</f>
        <v>81.865799999999993</v>
      </c>
      <c r="C965" s="10">
        <f>CHOOSE(CONTROL!$C$42, 81.8737, 81.8737) * CHOOSE(CONTROL!$C$21, $C$9, 100%, $E$9)</f>
        <v>81.873699999999999</v>
      </c>
      <c r="D965" s="10">
        <f>CHOOSE(CONTROL!$C$42, 82.0662, 82.0662) * CHOOSE(CONTROL!$C$21, $C$9, 100%, $E$9)</f>
        <v>82.066199999999995</v>
      </c>
      <c r="E965" s="10">
        <f>CHOOSE(CONTROL!$C$42, 82.0973, 82.0973) * CHOOSE(CONTROL!$C$21, $C$9, 100%, $E$9)</f>
        <v>82.097300000000004</v>
      </c>
      <c r="F965" s="10">
        <f>CHOOSE(CONTROL!$C$42, 81.8321, 81.8321)*CHOOSE(CONTROL!$C$21, $C$9, 100%, $E$9)</f>
        <v>81.832099999999997</v>
      </c>
      <c r="G965" s="10">
        <f>CHOOSE(CONTROL!$C$42, 81.8492, 81.8492)*CHOOSE(CONTROL!$C$21, $C$9, 100%, $E$9)</f>
        <v>81.849199999999996</v>
      </c>
      <c r="H965" s="10">
        <f>CHOOSE(CONTROL!$C$42, 82.0859, 82.0859) * CHOOSE(CONTROL!$C$21, $C$9, 100%, $E$9)</f>
        <v>82.085899999999995</v>
      </c>
      <c r="I965" s="10">
        <f>CHOOSE(CONTROL!$C$42, 81.8324, 81.8324)* CHOOSE(CONTROL!$C$21, $C$9, 100%, $E$9)</f>
        <v>81.832400000000007</v>
      </c>
      <c r="J965" s="10">
        <f>CHOOSE(CONTROL!$C$42, 81.8251, 81.8251)* CHOOSE(CONTROL!$C$21, $C$9, 100%, $E$9)</f>
        <v>81.825100000000006</v>
      </c>
      <c r="K965" s="54">
        <f>CHOOSE(CONTROL!$C$42, 81.8285, 81.8285) * CHOOSE(CONTROL!$C$21, $C$9, 100%, $E$9)</f>
        <v>81.828500000000005</v>
      </c>
      <c r="L965" s="10">
        <f>CHOOSE(CONTROL!$C$42, 82.6729, 82.6729) * CHOOSE(CONTROL!$C$21, $C$9, 100%, $E$9)</f>
        <v>82.672899999999998</v>
      </c>
      <c r="M965" s="10">
        <f>CHOOSE(CONTROL!$C$42, 81.0131, 81.0131) * CHOOSE(CONTROL!$C$21, $C$9, 100%, $E$9)</f>
        <v>81.013099999999994</v>
      </c>
      <c r="N965" s="10">
        <f>CHOOSE(CONTROL!$C$42, 81.0301, 81.0301) * CHOOSE(CONTROL!$C$21, $C$9, 100%, $E$9)</f>
        <v>81.030100000000004</v>
      </c>
      <c r="O965" s="10">
        <f>CHOOSE(CONTROL!$C$42, 81.2714, 81.2714) * CHOOSE(CONTROL!$C$21, $C$9, 100%, $E$9)</f>
        <v>81.2714</v>
      </c>
      <c r="P965" s="10">
        <f>CHOOSE(CONTROL!$C$42, 81.0204, 81.0204) * CHOOSE(CONTROL!$C$21, $C$9, 100%, $E$9)</f>
        <v>81.020399999999995</v>
      </c>
      <c r="Q965" s="10">
        <f>CHOOSE(CONTROL!$C$42, 81.8667, 81.8667) * CHOOSE(CONTROL!$C$21, $C$9, 100%, $E$9)</f>
        <v>81.866699999999994</v>
      </c>
      <c r="R965" s="10">
        <f>CHOOSE(CONTROL!$C$42, 82.6584, 82.6584) * CHOOSE(CONTROL!$C$21, $C$9, 100%, $E$9)</f>
        <v>82.6584</v>
      </c>
      <c r="S965" s="10">
        <f>CHOOSE(CONTROL!$C$42, 79.4957, 79.4957) * CHOOSE(CONTROL!$C$21, $C$9, 100%, $E$9)</f>
        <v>79.495699999999999</v>
      </c>
      <c r="T965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965" s="58">
        <f>(1000*CHOOSE(CONTROL!$C$42, 695, 695)*CHOOSE(CONTROL!$C$42, 0.5599, 0.5599)*CHOOSE(CONTROL!$C$42, 31, 31))/1000000</f>
        <v>12.063045499999998</v>
      </c>
      <c r="V965" s="58">
        <f>(1000*CHOOSE(CONTROL!$C$42, 500, 500)*CHOOSE(CONTROL!$C$42, 0.275, 0.275)*CHOOSE(CONTROL!$C$42, 31, 31))/1000000</f>
        <v>4.2625000000000002</v>
      </c>
      <c r="W965" s="58">
        <f>(1000*CHOOSE(CONTROL!$C$42, 0.1146, 0.1146)*CHOOSE(CONTROL!$C$42, 121.5, 121.5)*CHOOSE(CONTROL!$C$42, 31, 31))/1000000</f>
        <v>0.43164089999999994</v>
      </c>
      <c r="X965" s="58">
        <f>(31*0.1790888*245000/1000000)+(31*0.2374*100000/1000000)</f>
        <v>2.0961194359999999</v>
      </c>
      <c r="Y965" s="58"/>
      <c r="Z965" s="10"/>
      <c r="AA965" s="57"/>
      <c r="AB965" s="51">
        <f>(B965*194.205+C965*267.466+D965*133.845+E965*53.484+F965*40+G965*185+H965*0+I965*100+J965*300)/(194.205+267.466+133.845+53.484+0+40+185+100+300)</f>
        <v>81.882556723233904</v>
      </c>
      <c r="AC965" s="27">
        <f>(M965*'RAP TEMPLATE-GAS AVAILABILITY'!O964+N965*'RAP TEMPLATE-GAS AVAILABILITY'!P964+O965*'RAP TEMPLATE-GAS AVAILABILITY'!Q964+P965*'RAP TEMPLATE-GAS AVAILABILITY'!R964)/('RAP TEMPLATE-GAS AVAILABILITY'!O964+'RAP TEMPLATE-GAS AVAILABILITY'!P964+'RAP TEMPLATE-GAS AVAILABILITY'!Q964+'RAP TEMPLATE-GAS AVAILABILITY'!R964)</f>
        <v>81.132199999999997</v>
      </c>
    </row>
    <row r="966" spans="1:29" ht="15.75" x14ac:dyDescent="0.25">
      <c r="A966" s="13">
        <v>70310</v>
      </c>
      <c r="B966" s="10">
        <f>CHOOSE(CONTROL!$C$42, 84.1879, 84.1879) * CHOOSE(CONTROL!$C$21, $C$9, 100%, $E$9)</f>
        <v>84.187899999999999</v>
      </c>
      <c r="C966" s="10">
        <f>CHOOSE(CONTROL!$C$42, 84.1958, 84.1958) * CHOOSE(CONTROL!$C$21, $C$9, 100%, $E$9)</f>
        <v>84.195800000000006</v>
      </c>
      <c r="D966" s="10">
        <f>CHOOSE(CONTROL!$C$42, 84.3883, 84.3883) * CHOOSE(CONTROL!$C$21, $C$9, 100%, $E$9)</f>
        <v>84.388300000000001</v>
      </c>
      <c r="E966" s="10">
        <f>CHOOSE(CONTROL!$C$42, 84.4194, 84.4194) * CHOOSE(CONTROL!$C$21, $C$9, 100%, $E$9)</f>
        <v>84.419399999999996</v>
      </c>
      <c r="F966" s="10">
        <f>CHOOSE(CONTROL!$C$42, 84.1544, 84.1544)*CHOOSE(CONTROL!$C$21, $C$9, 100%, $E$9)</f>
        <v>84.154399999999995</v>
      </c>
      <c r="G966" s="10">
        <f>CHOOSE(CONTROL!$C$42, 84.1716, 84.1716)*CHOOSE(CONTROL!$C$21, $C$9, 100%, $E$9)</f>
        <v>84.171599999999998</v>
      </c>
      <c r="H966" s="10">
        <f>CHOOSE(CONTROL!$C$42, 84.408, 84.408) * CHOOSE(CONTROL!$C$21, $C$9, 100%, $E$9)</f>
        <v>84.408000000000001</v>
      </c>
      <c r="I966" s="10">
        <f>CHOOSE(CONTROL!$C$42, 84.1545, 84.1545)* CHOOSE(CONTROL!$C$21, $C$9, 100%, $E$9)</f>
        <v>84.154499999999999</v>
      </c>
      <c r="J966" s="10">
        <f>CHOOSE(CONTROL!$C$42, 84.1474, 84.1474)* CHOOSE(CONTROL!$C$21, $C$9, 100%, $E$9)</f>
        <v>84.147400000000005</v>
      </c>
      <c r="K966" s="54">
        <f>CHOOSE(CONTROL!$C$42, 84.1506, 84.1506) * CHOOSE(CONTROL!$C$21, $C$9, 100%, $E$9)</f>
        <v>84.150599999999997</v>
      </c>
      <c r="L966" s="10">
        <f>CHOOSE(CONTROL!$C$42, 84.995, 84.995) * CHOOSE(CONTROL!$C$21, $C$9, 100%, $E$9)</f>
        <v>84.995000000000005</v>
      </c>
      <c r="M966" s="10">
        <f>CHOOSE(CONTROL!$C$42, 83.312, 83.312) * CHOOSE(CONTROL!$C$21, $C$9, 100%, $E$9)</f>
        <v>83.311999999999998</v>
      </c>
      <c r="N966" s="10">
        <f>CHOOSE(CONTROL!$C$42, 83.3291, 83.3291) * CHOOSE(CONTROL!$C$21, $C$9, 100%, $E$9)</f>
        <v>83.329099999999997</v>
      </c>
      <c r="O966" s="10">
        <f>CHOOSE(CONTROL!$C$42, 83.57, 83.57) * CHOOSE(CONTROL!$C$21, $C$9, 100%, $E$9)</f>
        <v>83.57</v>
      </c>
      <c r="P966" s="10">
        <f>CHOOSE(CONTROL!$C$42, 83.3191, 83.3191) * CHOOSE(CONTROL!$C$21, $C$9, 100%, $E$9)</f>
        <v>83.319100000000006</v>
      </c>
      <c r="Q966" s="10">
        <f>CHOOSE(CONTROL!$C$42, 84.1653, 84.1653) * CHOOSE(CONTROL!$C$21, $C$9, 100%, $E$9)</f>
        <v>84.165300000000002</v>
      </c>
      <c r="R966" s="10">
        <f>CHOOSE(CONTROL!$C$42, 84.9628, 84.9628) * CHOOSE(CONTROL!$C$21, $C$9, 100%, $E$9)</f>
        <v>84.962800000000001</v>
      </c>
      <c r="S966" s="10">
        <f>CHOOSE(CONTROL!$C$42, 81.7506, 81.7506) * CHOOSE(CONTROL!$C$21, $C$9, 100%, $E$9)</f>
        <v>81.750600000000006</v>
      </c>
      <c r="T966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966" s="58">
        <f>(1000*CHOOSE(CONTROL!$C$42, 695, 695)*CHOOSE(CONTROL!$C$42, 0.5599, 0.5599)*CHOOSE(CONTROL!$C$42, 30, 30))/1000000</f>
        <v>11.673914999999997</v>
      </c>
      <c r="V966" s="58">
        <f>(1000*CHOOSE(CONTROL!$C$42, 500, 500)*CHOOSE(CONTROL!$C$42, 0.275, 0.275)*CHOOSE(CONTROL!$C$42, 30, 30))/1000000</f>
        <v>4.125</v>
      </c>
      <c r="W966" s="58">
        <f>(1000*CHOOSE(CONTROL!$C$42, 0.1146, 0.1146)*CHOOSE(CONTROL!$C$42, 121.5, 121.5)*CHOOSE(CONTROL!$C$42, 30, 30))/1000000</f>
        <v>0.417717</v>
      </c>
      <c r="X966" s="58">
        <f>(30*0.1790888*245000/1000000)+(30*0.2374*100000/1000000)</f>
        <v>2.0285026799999999</v>
      </c>
      <c r="Y966" s="58"/>
      <c r="Z966" s="10"/>
      <c r="AA966" s="57"/>
      <c r="AB966" s="51">
        <f>(B966*194.205+C966*267.466+D966*133.845+E966*53.484+F966*40+G966*185+H966*0+I966*100+J966*300)/(194.205+267.466+133.845+53.484+0+40+185+100+300)</f>
        <v>84.204753662009409</v>
      </c>
      <c r="AC966" s="27">
        <f>(M966*'RAP TEMPLATE-GAS AVAILABILITY'!O965+N966*'RAP TEMPLATE-GAS AVAILABILITY'!P965+O966*'RAP TEMPLATE-GAS AVAILABILITY'!Q965+P966*'RAP TEMPLATE-GAS AVAILABILITY'!R965)/('RAP TEMPLATE-GAS AVAILABILITY'!O965+'RAP TEMPLATE-GAS AVAILABILITY'!P965+'RAP TEMPLATE-GAS AVAILABILITY'!Q965+'RAP TEMPLATE-GAS AVAILABILITY'!R965)</f>
        <v>83.430941007194249</v>
      </c>
    </row>
    <row r="967" spans="1:29" ht="15.75" x14ac:dyDescent="0.25">
      <c r="A967" s="13">
        <v>70341</v>
      </c>
      <c r="B967" s="10">
        <f>CHOOSE(CONTROL!$C$42, 82.5729, 82.5729) * CHOOSE(CONTROL!$C$21, $C$9, 100%, $E$9)</f>
        <v>82.572900000000004</v>
      </c>
      <c r="C967" s="10">
        <f>CHOOSE(CONTROL!$C$42, 82.5808, 82.5808) * CHOOSE(CONTROL!$C$21, $C$9, 100%, $E$9)</f>
        <v>82.580799999999996</v>
      </c>
      <c r="D967" s="10">
        <f>CHOOSE(CONTROL!$C$42, 82.7732, 82.7732) * CHOOSE(CONTROL!$C$21, $C$9, 100%, $E$9)</f>
        <v>82.773200000000003</v>
      </c>
      <c r="E967" s="10">
        <f>CHOOSE(CONTROL!$C$42, 82.8044, 82.8044) * CHOOSE(CONTROL!$C$21, $C$9, 100%, $E$9)</f>
        <v>82.804400000000001</v>
      </c>
      <c r="F967" s="10">
        <f>CHOOSE(CONTROL!$C$42, 82.5398, 82.5398)*CHOOSE(CONTROL!$C$21, $C$9, 100%, $E$9)</f>
        <v>82.5398</v>
      </c>
      <c r="G967" s="10">
        <f>CHOOSE(CONTROL!$C$42, 82.5571, 82.5571)*CHOOSE(CONTROL!$C$21, $C$9, 100%, $E$9)</f>
        <v>82.557100000000005</v>
      </c>
      <c r="H967" s="10">
        <f>CHOOSE(CONTROL!$C$42, 82.793, 82.793) * CHOOSE(CONTROL!$C$21, $C$9, 100%, $E$9)</f>
        <v>82.793000000000006</v>
      </c>
      <c r="I967" s="10">
        <f>CHOOSE(CONTROL!$C$42, 82.5395, 82.5395)* CHOOSE(CONTROL!$C$21, $C$9, 100%, $E$9)</f>
        <v>82.539500000000004</v>
      </c>
      <c r="J967" s="10">
        <f>CHOOSE(CONTROL!$C$42, 82.5328, 82.5328)* CHOOSE(CONTROL!$C$21, $C$9, 100%, $E$9)</f>
        <v>82.532799999999995</v>
      </c>
      <c r="K967" s="54">
        <f>CHOOSE(CONTROL!$C$42, 82.5356, 82.5356) * CHOOSE(CONTROL!$C$21, $C$9, 100%, $E$9)</f>
        <v>82.535600000000002</v>
      </c>
      <c r="L967" s="10">
        <f>CHOOSE(CONTROL!$C$42, 83.38, 83.38) * CHOOSE(CONTROL!$C$21, $C$9, 100%, $E$9)</f>
        <v>83.38</v>
      </c>
      <c r="M967" s="10">
        <f>CHOOSE(CONTROL!$C$42, 81.7137, 81.7137) * CHOOSE(CONTROL!$C$21, $C$9, 100%, $E$9)</f>
        <v>81.713700000000003</v>
      </c>
      <c r="N967" s="10">
        <f>CHOOSE(CONTROL!$C$42, 81.7308, 81.7308) * CHOOSE(CONTROL!$C$21, $C$9, 100%, $E$9)</f>
        <v>81.730800000000002</v>
      </c>
      <c r="O967" s="10">
        <f>CHOOSE(CONTROL!$C$42, 81.9713, 81.9713) * CHOOSE(CONTROL!$C$21, $C$9, 100%, $E$9)</f>
        <v>81.971299999999999</v>
      </c>
      <c r="P967" s="10">
        <f>CHOOSE(CONTROL!$C$42, 81.7204, 81.7204) * CHOOSE(CONTROL!$C$21, $C$9, 100%, $E$9)</f>
        <v>81.720399999999998</v>
      </c>
      <c r="Q967" s="10">
        <f>CHOOSE(CONTROL!$C$42, 82.5666, 82.5666) * CHOOSE(CONTROL!$C$21, $C$9, 100%, $E$9)</f>
        <v>82.566599999999994</v>
      </c>
      <c r="R967" s="10">
        <f>CHOOSE(CONTROL!$C$42, 83.36, 83.36) * CHOOSE(CONTROL!$C$21, $C$9, 100%, $E$9)</f>
        <v>83.36</v>
      </c>
      <c r="S967" s="10">
        <f>CHOOSE(CONTROL!$C$42, 80.1823, 80.1823) * CHOOSE(CONTROL!$C$21, $C$9, 100%, $E$9)</f>
        <v>80.182299999999998</v>
      </c>
      <c r="T967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967" s="58">
        <f>(1000*CHOOSE(CONTROL!$C$42, 695, 695)*CHOOSE(CONTROL!$C$42, 0.5599, 0.5599)*CHOOSE(CONTROL!$C$42, 31, 31))/1000000</f>
        <v>12.063045499999998</v>
      </c>
      <c r="V967" s="58">
        <f>(1000*CHOOSE(CONTROL!$C$42, 500, 500)*CHOOSE(CONTROL!$C$42, 0.275, 0.275)*CHOOSE(CONTROL!$C$42, 31, 31))/1000000</f>
        <v>4.2625000000000002</v>
      </c>
      <c r="W967" s="58">
        <f>(1000*CHOOSE(CONTROL!$C$42, 0.1146, 0.1146)*CHOOSE(CONTROL!$C$42, 121.5, 121.5)*CHOOSE(CONTROL!$C$42, 31, 31))/1000000</f>
        <v>0.43164089999999994</v>
      </c>
      <c r="X967" s="58">
        <f>(31*0.1790888*245000/1000000)+(31*0.2374*100000/1000000)</f>
        <v>2.0961194359999999</v>
      </c>
      <c r="Y967" s="58"/>
      <c r="Z967" s="10"/>
      <c r="AA967" s="57"/>
      <c r="AB967" s="51">
        <f>(B967*194.205+C967*267.466+D967*133.845+E967*53.484+F967*40+G967*185+H967*0+I967*100+J967*300)/(194.205+267.466+133.845+53.484+0+40+185+100+300)</f>
        <v>82.589922512480385</v>
      </c>
      <c r="AC967" s="27">
        <f>(M967*'RAP TEMPLATE-GAS AVAILABILITY'!O966+N967*'RAP TEMPLATE-GAS AVAILABILITY'!P966+O967*'RAP TEMPLATE-GAS AVAILABILITY'!Q966+P967*'RAP TEMPLATE-GAS AVAILABILITY'!R966)/('RAP TEMPLATE-GAS AVAILABILITY'!O966+'RAP TEMPLATE-GAS AVAILABILITY'!P966+'RAP TEMPLATE-GAS AVAILABILITY'!Q966+'RAP TEMPLATE-GAS AVAILABILITY'!R966)</f>
        <v>81.832402158273382</v>
      </c>
    </row>
    <row r="968" spans="1:29" ht="15.75" x14ac:dyDescent="0.25">
      <c r="A968" s="13">
        <v>70372</v>
      </c>
      <c r="B968" s="10">
        <f>CHOOSE(CONTROL!$C$42, 78.4944, 78.4944) * CHOOSE(CONTROL!$C$21, $C$9, 100%, $E$9)</f>
        <v>78.494399999999999</v>
      </c>
      <c r="C968" s="10">
        <f>CHOOSE(CONTROL!$C$42, 78.5024, 78.5024) * CHOOSE(CONTROL!$C$21, $C$9, 100%, $E$9)</f>
        <v>78.502399999999994</v>
      </c>
      <c r="D968" s="10">
        <f>CHOOSE(CONTROL!$C$42, 78.6948, 78.6948) * CHOOSE(CONTROL!$C$21, $C$9, 100%, $E$9)</f>
        <v>78.694800000000001</v>
      </c>
      <c r="E968" s="10">
        <f>CHOOSE(CONTROL!$C$42, 78.7259, 78.7259) * CHOOSE(CONTROL!$C$21, $C$9, 100%, $E$9)</f>
        <v>78.725899999999996</v>
      </c>
      <c r="F968" s="10">
        <f>CHOOSE(CONTROL!$C$42, 78.4615, 78.4615)*CHOOSE(CONTROL!$C$21, $C$9, 100%, $E$9)</f>
        <v>78.461500000000001</v>
      </c>
      <c r="G968" s="10">
        <f>CHOOSE(CONTROL!$C$42, 78.4788, 78.4788)*CHOOSE(CONTROL!$C$21, $C$9, 100%, $E$9)</f>
        <v>78.478800000000007</v>
      </c>
      <c r="H968" s="10">
        <f>CHOOSE(CONTROL!$C$42, 78.7146, 78.7146) * CHOOSE(CONTROL!$C$21, $C$9, 100%, $E$9)</f>
        <v>78.714600000000004</v>
      </c>
      <c r="I968" s="10">
        <f>CHOOSE(CONTROL!$C$42, 78.461, 78.461)* CHOOSE(CONTROL!$C$21, $C$9, 100%, $E$9)</f>
        <v>78.460999999999999</v>
      </c>
      <c r="J968" s="10">
        <f>CHOOSE(CONTROL!$C$42, 78.4545, 78.4545)* CHOOSE(CONTROL!$C$21, $C$9, 100%, $E$9)</f>
        <v>78.454499999999996</v>
      </c>
      <c r="K968" s="54">
        <f>CHOOSE(CONTROL!$C$42, 78.4571, 78.4571) * CHOOSE(CONTROL!$C$21, $C$9, 100%, $E$9)</f>
        <v>78.457099999999997</v>
      </c>
      <c r="L968" s="10">
        <f>CHOOSE(CONTROL!$C$42, 79.3016, 79.3016) * CHOOSE(CONTROL!$C$21, $C$9, 100%, $E$9)</f>
        <v>79.301599999999993</v>
      </c>
      <c r="M968" s="10">
        <f>CHOOSE(CONTROL!$C$42, 77.6766, 77.6766) * CHOOSE(CONTROL!$C$21, $C$9, 100%, $E$9)</f>
        <v>77.676599999999993</v>
      </c>
      <c r="N968" s="10">
        <f>CHOOSE(CONTROL!$C$42, 77.6938, 77.6938) * CHOOSE(CONTROL!$C$21, $C$9, 100%, $E$9)</f>
        <v>77.693799999999996</v>
      </c>
      <c r="O968" s="10">
        <f>CHOOSE(CONTROL!$C$42, 77.934, 77.934) * CHOOSE(CONTROL!$C$21, $C$9, 100%, $E$9)</f>
        <v>77.933999999999997</v>
      </c>
      <c r="P968" s="10">
        <f>CHOOSE(CONTROL!$C$42, 77.6831, 77.6831) * CHOOSE(CONTROL!$C$21, $C$9, 100%, $E$9)</f>
        <v>77.683099999999996</v>
      </c>
      <c r="Q968" s="10">
        <f>CHOOSE(CONTROL!$C$42, 78.5293, 78.5293) * CHOOSE(CONTROL!$C$21, $C$9, 100%, $E$9)</f>
        <v>78.529300000000006</v>
      </c>
      <c r="R968" s="10">
        <f>CHOOSE(CONTROL!$C$42, 79.3126, 79.3126) * CHOOSE(CONTROL!$C$21, $C$9, 100%, $E$9)</f>
        <v>79.312600000000003</v>
      </c>
      <c r="S968" s="10">
        <f>CHOOSE(CONTROL!$C$42, 76.2217, 76.2217) * CHOOSE(CONTROL!$C$21, $C$9, 100%, $E$9)</f>
        <v>76.221699999999998</v>
      </c>
      <c r="T968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968" s="58">
        <f>(1000*CHOOSE(CONTROL!$C$42, 695, 695)*CHOOSE(CONTROL!$C$42, 0.5599, 0.5599)*CHOOSE(CONTROL!$C$42, 31, 31))/1000000</f>
        <v>12.063045499999998</v>
      </c>
      <c r="V968" s="58">
        <f>(1000*CHOOSE(CONTROL!$C$42, 500, 500)*CHOOSE(CONTROL!$C$42, 0.275, 0.275)*CHOOSE(CONTROL!$C$42, 31, 31))/1000000</f>
        <v>4.2625000000000002</v>
      </c>
      <c r="W968" s="58">
        <f>(1000*CHOOSE(CONTROL!$C$42, 0.1146, 0.1146)*CHOOSE(CONTROL!$C$42, 121.5, 121.5)*CHOOSE(CONTROL!$C$42, 31, 31))/1000000</f>
        <v>0.43164089999999994</v>
      </c>
      <c r="X968" s="58">
        <f>(31*0.1790888*245000/1000000)+(31*0.2374*100000/1000000)</f>
        <v>2.0961194359999999</v>
      </c>
      <c r="Y968" s="58"/>
      <c r="Z968" s="10"/>
      <c r="AA968" s="57"/>
      <c r="AB968" s="51">
        <f>(B968*194.205+C968*267.466+D968*133.845+E968*53.484+F968*40+G968*185+H968*0+I968*100+J968*300)/(194.205+267.466+133.845+53.484+0+40+185+100+300)</f>
        <v>78.511536430141291</v>
      </c>
      <c r="AC968" s="27">
        <f>(M968*'RAP TEMPLATE-GAS AVAILABILITY'!O967+N968*'RAP TEMPLATE-GAS AVAILABILITY'!P967+O968*'RAP TEMPLATE-GAS AVAILABILITY'!Q967+P968*'RAP TEMPLATE-GAS AVAILABILITY'!R967)/('RAP TEMPLATE-GAS AVAILABILITY'!O967+'RAP TEMPLATE-GAS AVAILABILITY'!P967+'RAP TEMPLATE-GAS AVAILABILITY'!Q967+'RAP TEMPLATE-GAS AVAILABILITY'!R967)</f>
        <v>77.795188489208627</v>
      </c>
    </row>
    <row r="969" spans="1:29" ht="15.75" x14ac:dyDescent="0.25">
      <c r="A969" s="13">
        <v>70402</v>
      </c>
      <c r="B969" s="10">
        <f>CHOOSE(CONTROL!$C$42, 73.511, 73.511) * CHOOSE(CONTROL!$C$21, $C$9, 100%, $E$9)</f>
        <v>73.510999999999996</v>
      </c>
      <c r="C969" s="10">
        <f>CHOOSE(CONTROL!$C$42, 73.5189, 73.5189) * CHOOSE(CONTROL!$C$21, $C$9, 100%, $E$9)</f>
        <v>73.518900000000002</v>
      </c>
      <c r="D969" s="10">
        <f>CHOOSE(CONTROL!$C$42, 73.7113, 73.7113) * CHOOSE(CONTROL!$C$21, $C$9, 100%, $E$9)</f>
        <v>73.711299999999994</v>
      </c>
      <c r="E969" s="10">
        <f>CHOOSE(CONTROL!$C$42, 73.7424, 73.7424) * CHOOSE(CONTROL!$C$21, $C$9, 100%, $E$9)</f>
        <v>73.742400000000004</v>
      </c>
      <c r="F969" s="10">
        <f>CHOOSE(CONTROL!$C$42, 73.4779, 73.4779)*CHOOSE(CONTROL!$C$21, $C$9, 100%, $E$9)</f>
        <v>73.477900000000005</v>
      </c>
      <c r="G969" s="10">
        <f>CHOOSE(CONTROL!$C$42, 73.4952, 73.4952)*CHOOSE(CONTROL!$C$21, $C$9, 100%, $E$9)</f>
        <v>73.495199999999997</v>
      </c>
      <c r="H969" s="10">
        <f>CHOOSE(CONTROL!$C$42, 73.7311, 73.7311) * CHOOSE(CONTROL!$C$21, $C$9, 100%, $E$9)</f>
        <v>73.731099999999998</v>
      </c>
      <c r="I969" s="10">
        <f>CHOOSE(CONTROL!$C$42, 73.4775, 73.4775)* CHOOSE(CONTROL!$C$21, $C$9, 100%, $E$9)</f>
        <v>73.477500000000006</v>
      </c>
      <c r="J969" s="10">
        <f>CHOOSE(CONTROL!$C$42, 73.4709, 73.4709)* CHOOSE(CONTROL!$C$21, $C$9, 100%, $E$9)</f>
        <v>73.4709</v>
      </c>
      <c r="K969" s="54">
        <f>CHOOSE(CONTROL!$C$42, 73.4736, 73.4736) * CHOOSE(CONTROL!$C$21, $C$9, 100%, $E$9)</f>
        <v>73.473600000000005</v>
      </c>
      <c r="L969" s="10">
        <f>CHOOSE(CONTROL!$C$42, 74.3181, 74.3181) * CHOOSE(CONTROL!$C$21, $C$9, 100%, $E$9)</f>
        <v>74.318100000000001</v>
      </c>
      <c r="M969" s="10">
        <f>CHOOSE(CONTROL!$C$42, 72.7432, 72.7432) * CHOOSE(CONTROL!$C$21, $C$9, 100%, $E$9)</f>
        <v>72.743200000000002</v>
      </c>
      <c r="N969" s="10">
        <f>CHOOSE(CONTROL!$C$42, 72.7604, 72.7604) * CHOOSE(CONTROL!$C$21, $C$9, 100%, $E$9)</f>
        <v>72.760400000000004</v>
      </c>
      <c r="O969" s="10">
        <f>CHOOSE(CONTROL!$C$42, 73.0008, 73.0008) * CHOOSE(CONTROL!$C$21, $C$9, 100%, $E$9)</f>
        <v>73.000799999999998</v>
      </c>
      <c r="P969" s="10">
        <f>CHOOSE(CONTROL!$C$42, 72.7499, 72.7499) * CHOOSE(CONTROL!$C$21, $C$9, 100%, $E$9)</f>
        <v>72.749899999999997</v>
      </c>
      <c r="Q969" s="10">
        <f>CHOOSE(CONTROL!$C$42, 73.5961, 73.5961) * CHOOSE(CONTROL!$C$21, $C$9, 100%, $E$9)</f>
        <v>73.596100000000007</v>
      </c>
      <c r="R969" s="10">
        <f>CHOOSE(CONTROL!$C$42, 74.3671, 74.3671) * CHOOSE(CONTROL!$C$21, $C$9, 100%, $E$9)</f>
        <v>74.367099999999994</v>
      </c>
      <c r="S969" s="10">
        <f>CHOOSE(CONTROL!$C$42, 71.3822, 71.3822) * CHOOSE(CONTROL!$C$21, $C$9, 100%, $E$9)</f>
        <v>71.382199999999997</v>
      </c>
      <c r="T969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969" s="58">
        <f>(1000*CHOOSE(CONTROL!$C$42, 695, 695)*CHOOSE(CONTROL!$C$42, 0.5599, 0.5599)*CHOOSE(CONTROL!$C$42, 30, 30))/1000000</f>
        <v>11.673914999999997</v>
      </c>
      <c r="V969" s="58">
        <f>(1000*CHOOSE(CONTROL!$C$42, 500, 500)*CHOOSE(CONTROL!$C$42, 0.275, 0.275)*CHOOSE(CONTROL!$C$42, 30, 30))/1000000</f>
        <v>4.125</v>
      </c>
      <c r="W969" s="58">
        <f>(1000*CHOOSE(CONTROL!$C$42, 0.1146, 0.1146)*CHOOSE(CONTROL!$C$42, 121.5, 121.5)*CHOOSE(CONTROL!$C$42, 30, 30))/1000000</f>
        <v>0.417717</v>
      </c>
      <c r="X969" s="58">
        <f>(30*0.1790888*245000/1000000)+(30*0.2374*100000/1000000)</f>
        <v>2.0285026799999999</v>
      </c>
      <c r="Y969" s="58"/>
      <c r="Z969" s="10"/>
      <c r="AA969" s="57"/>
      <c r="AB969" s="51">
        <f>(B969*194.205+C969*267.466+D969*133.845+E969*53.484+F969*40+G969*185+H969*0+I969*100+J969*300)/(194.205+267.466+133.845+53.484+0+40+185+100+300)</f>
        <v>73.528010465070651</v>
      </c>
      <c r="AC969" s="27">
        <f>(M969*'RAP TEMPLATE-GAS AVAILABILITY'!O968+N969*'RAP TEMPLATE-GAS AVAILABILITY'!P968+O969*'RAP TEMPLATE-GAS AVAILABILITY'!Q968+P969*'RAP TEMPLATE-GAS AVAILABILITY'!R968)/('RAP TEMPLATE-GAS AVAILABILITY'!O968+'RAP TEMPLATE-GAS AVAILABILITY'!P968+'RAP TEMPLATE-GAS AVAILABILITY'!Q968+'RAP TEMPLATE-GAS AVAILABILITY'!R968)</f>
        <v>72.861907913669071</v>
      </c>
    </row>
    <row r="970" spans="1:29" ht="15.75" x14ac:dyDescent="0.25">
      <c r="A970" s="13">
        <v>70433</v>
      </c>
      <c r="B970" s="10">
        <f>CHOOSE(CONTROL!$C$42, 72.0167, 72.0167) * CHOOSE(CONTROL!$C$21, $C$9, 100%, $E$9)</f>
        <v>72.0167</v>
      </c>
      <c r="C970" s="10">
        <f>CHOOSE(CONTROL!$C$42, 72.0219, 72.0219) * CHOOSE(CONTROL!$C$21, $C$9, 100%, $E$9)</f>
        <v>72.021900000000002</v>
      </c>
      <c r="D970" s="10">
        <f>CHOOSE(CONTROL!$C$42, 72.2193, 72.2193) * CHOOSE(CONTROL!$C$21, $C$9, 100%, $E$9)</f>
        <v>72.219300000000004</v>
      </c>
      <c r="E970" s="10">
        <f>CHOOSE(CONTROL!$C$42, 72.2481, 72.2481) * CHOOSE(CONTROL!$C$21, $C$9, 100%, $E$9)</f>
        <v>72.248099999999994</v>
      </c>
      <c r="F970" s="10">
        <f>CHOOSE(CONTROL!$C$42, 71.9856, 71.9856)*CHOOSE(CONTROL!$C$21, $C$9, 100%, $E$9)</f>
        <v>71.985600000000005</v>
      </c>
      <c r="G970" s="10">
        <f>CHOOSE(CONTROL!$C$42, 72.0026, 72.0026)*CHOOSE(CONTROL!$C$21, $C$9, 100%, $E$9)</f>
        <v>72.002600000000001</v>
      </c>
      <c r="H970" s="10">
        <f>CHOOSE(CONTROL!$C$42, 72.2386, 72.2386) * CHOOSE(CONTROL!$C$21, $C$9, 100%, $E$9)</f>
        <v>72.238600000000005</v>
      </c>
      <c r="I970" s="10">
        <f>CHOOSE(CONTROL!$C$42, 71.9851, 71.9851)* CHOOSE(CONTROL!$C$21, $C$9, 100%, $E$9)</f>
        <v>71.985100000000003</v>
      </c>
      <c r="J970" s="10">
        <f>CHOOSE(CONTROL!$C$42, 71.9786, 71.9786)* CHOOSE(CONTROL!$C$21, $C$9, 100%, $E$9)</f>
        <v>71.9786</v>
      </c>
      <c r="K970" s="54">
        <f>CHOOSE(CONTROL!$C$42, 71.9812, 71.9812) * CHOOSE(CONTROL!$C$21, $C$9, 100%, $E$9)</f>
        <v>71.981200000000001</v>
      </c>
      <c r="L970" s="10">
        <f>CHOOSE(CONTROL!$C$42, 72.8256, 72.8256) * CHOOSE(CONTROL!$C$21, $C$9, 100%, $E$9)</f>
        <v>72.825599999999994</v>
      </c>
      <c r="M970" s="10">
        <f>CHOOSE(CONTROL!$C$42, 71.2661, 71.2661) * CHOOSE(CONTROL!$C$21, $C$9, 100%, $E$9)</f>
        <v>71.266099999999994</v>
      </c>
      <c r="N970" s="10">
        <f>CHOOSE(CONTROL!$C$42, 71.2829, 71.2829) * CHOOSE(CONTROL!$C$21, $C$9, 100%, $E$9)</f>
        <v>71.282899999999998</v>
      </c>
      <c r="O970" s="10">
        <f>CHOOSE(CONTROL!$C$42, 71.5234, 71.5234) * CHOOSE(CONTROL!$C$21, $C$9, 100%, $E$9)</f>
        <v>71.523399999999995</v>
      </c>
      <c r="P970" s="10">
        <f>CHOOSE(CONTROL!$C$42, 71.2725, 71.2725) * CHOOSE(CONTROL!$C$21, $C$9, 100%, $E$9)</f>
        <v>71.272499999999994</v>
      </c>
      <c r="Q970" s="10">
        <f>CHOOSE(CONTROL!$C$42, 72.1187, 72.1187) * CHOOSE(CONTROL!$C$21, $C$9, 100%, $E$9)</f>
        <v>72.118700000000004</v>
      </c>
      <c r="R970" s="10">
        <f>CHOOSE(CONTROL!$C$42, 72.886, 72.886) * CHOOSE(CONTROL!$C$21, $C$9, 100%, $E$9)</f>
        <v>72.885999999999996</v>
      </c>
      <c r="S970" s="10">
        <f>CHOOSE(CONTROL!$C$42, 69.9329, 69.9329) * CHOOSE(CONTROL!$C$21, $C$9, 100%, $E$9)</f>
        <v>69.932900000000004</v>
      </c>
      <c r="T970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970" s="58">
        <f>(1000*CHOOSE(CONTROL!$C$42, 695, 695)*CHOOSE(CONTROL!$C$42, 0.5599, 0.5599)*CHOOSE(CONTROL!$C$42, 31, 31))/1000000</f>
        <v>12.063045499999998</v>
      </c>
      <c r="V970" s="58">
        <f>(1000*CHOOSE(CONTROL!$C$42, 500, 500)*CHOOSE(CONTROL!$C$42, 0.275, 0.275)*CHOOSE(CONTROL!$C$42, 31, 31))/1000000</f>
        <v>4.2625000000000002</v>
      </c>
      <c r="W970" s="58">
        <f>(1000*CHOOSE(CONTROL!$C$42, 0.1146, 0.1146)*CHOOSE(CONTROL!$C$42, 121.5, 121.5)*CHOOSE(CONTROL!$C$42, 31, 31))/1000000</f>
        <v>0.43164089999999994</v>
      </c>
      <c r="X970" s="58">
        <f>(31*0.1790888*245000/1000000)+(31*0.2374*100000/1000000)</f>
        <v>2.0961194359999999</v>
      </c>
      <c r="Y970" s="58"/>
      <c r="Z970" s="10"/>
      <c r="AA970" s="57"/>
      <c r="AB970" s="51">
        <f>(B970*131.881+C970*277.167+D970*79.08+E970*125.872+F970*40+G970*185+H970*0+I970*100+J970*300)/(131.881+277.167+79.08+125.872+0+40+185+100+300)</f>
        <v>72.039417641000796</v>
      </c>
      <c r="AC970" s="27">
        <f>(M970*'RAP TEMPLATE-GAS AVAILABILITY'!O969+N970*'RAP TEMPLATE-GAS AVAILABILITY'!P969+O970*'RAP TEMPLATE-GAS AVAILABILITY'!Q969+P970*'RAP TEMPLATE-GAS AVAILABILITY'!R969)/('RAP TEMPLATE-GAS AVAILABILITY'!O969+'RAP TEMPLATE-GAS AVAILABILITY'!P969+'RAP TEMPLATE-GAS AVAILABILITY'!Q969+'RAP TEMPLATE-GAS AVAILABILITY'!R969)</f>
        <v>71.384605755395668</v>
      </c>
    </row>
    <row r="971" spans="1:29" ht="15.75" x14ac:dyDescent="0.25">
      <c r="A971" s="13">
        <v>70463</v>
      </c>
      <c r="B971" s="10">
        <f>CHOOSE(CONTROL!$C$42, 73.9135, 73.9135) * CHOOSE(CONTROL!$C$21, $C$9, 100%, $E$9)</f>
        <v>73.913499999999999</v>
      </c>
      <c r="C971" s="10">
        <f>CHOOSE(CONTROL!$C$42, 73.9184, 73.9184) * CHOOSE(CONTROL!$C$21, $C$9, 100%, $E$9)</f>
        <v>73.918400000000005</v>
      </c>
      <c r="D971" s="10">
        <f>CHOOSE(CONTROL!$C$42, 73.9481, 73.9481) * CHOOSE(CONTROL!$C$21, $C$9, 100%, $E$9)</f>
        <v>73.948099999999997</v>
      </c>
      <c r="E971" s="10">
        <f>CHOOSE(CONTROL!$C$42, 73.9818, 73.9818) * CHOOSE(CONTROL!$C$21, $C$9, 100%, $E$9)</f>
        <v>73.981800000000007</v>
      </c>
      <c r="F971" s="10">
        <f>CHOOSE(CONTROL!$C$42, 73.8803, 73.8803)*CHOOSE(CONTROL!$C$21, $C$9, 100%, $E$9)</f>
        <v>73.880300000000005</v>
      </c>
      <c r="G971" s="10">
        <f>CHOOSE(CONTROL!$C$42, 73.8974, 73.8974)*CHOOSE(CONTROL!$C$21, $C$9, 100%, $E$9)</f>
        <v>73.897400000000005</v>
      </c>
      <c r="H971" s="10">
        <f>CHOOSE(CONTROL!$C$42, 73.971, 73.971) * CHOOSE(CONTROL!$C$21, $C$9, 100%, $E$9)</f>
        <v>73.971000000000004</v>
      </c>
      <c r="I971" s="10">
        <f>CHOOSE(CONTROL!$C$42, 73.8771, 73.8771)* CHOOSE(CONTROL!$C$21, $C$9, 100%, $E$9)</f>
        <v>73.877099999999999</v>
      </c>
      <c r="J971" s="10">
        <f>CHOOSE(CONTROL!$C$42, 73.8733, 73.8733)* CHOOSE(CONTROL!$C$21, $C$9, 100%, $E$9)</f>
        <v>73.8733</v>
      </c>
      <c r="K971" s="54">
        <f>CHOOSE(CONTROL!$C$42, 73.8732, 73.8732) * CHOOSE(CONTROL!$C$21, $C$9, 100%, $E$9)</f>
        <v>73.873199999999997</v>
      </c>
      <c r="L971" s="10">
        <f>CHOOSE(CONTROL!$C$42, 74.558, 74.558) * CHOOSE(CONTROL!$C$21, $C$9, 100%, $E$9)</f>
        <v>74.558000000000007</v>
      </c>
      <c r="M971" s="10">
        <f>CHOOSE(CONTROL!$C$42, 73.1416, 73.1416) * CHOOSE(CONTROL!$C$21, $C$9, 100%, $E$9)</f>
        <v>73.141599999999997</v>
      </c>
      <c r="N971" s="10">
        <f>CHOOSE(CONTROL!$C$42, 73.1585, 73.1585) * CHOOSE(CONTROL!$C$21, $C$9, 100%, $E$9)</f>
        <v>73.158500000000004</v>
      </c>
      <c r="O971" s="10">
        <f>CHOOSE(CONTROL!$C$42, 73.2384, 73.2384) * CHOOSE(CONTROL!$C$21, $C$9, 100%, $E$9)</f>
        <v>73.238399999999999</v>
      </c>
      <c r="P971" s="10">
        <f>CHOOSE(CONTROL!$C$42, 73.1454, 73.1454) * CHOOSE(CONTROL!$C$21, $C$9, 100%, $E$9)</f>
        <v>73.145399999999995</v>
      </c>
      <c r="Q971" s="10">
        <f>CHOOSE(CONTROL!$C$42, 73.8337, 73.8337) * CHOOSE(CONTROL!$C$21, $C$9, 100%, $E$9)</f>
        <v>73.833699999999993</v>
      </c>
      <c r="R971" s="10">
        <f>CHOOSE(CONTROL!$C$42, 74.6052, 74.6052) * CHOOSE(CONTROL!$C$21, $C$9, 100%, $E$9)</f>
        <v>74.605199999999996</v>
      </c>
      <c r="S971" s="10">
        <f>CHOOSE(CONTROL!$C$42, 71.7753, 71.7753) * CHOOSE(CONTROL!$C$21, $C$9, 100%, $E$9)</f>
        <v>71.775300000000001</v>
      </c>
      <c r="T971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971" s="58">
        <f>(1000*CHOOSE(CONTROL!$C$42, 695, 695)*CHOOSE(CONTROL!$C$42, 0.5599, 0.5599)*CHOOSE(CONTROL!$C$42, 30, 30))/1000000</f>
        <v>11.673914999999997</v>
      </c>
      <c r="V971" s="58">
        <f>(1000*CHOOSE(CONTROL!$C$42, 500, 500)*CHOOSE(CONTROL!$C$42, 0.275, 0.275)*CHOOSE(CONTROL!$C$42, 30, 30))/1000000</f>
        <v>4.125</v>
      </c>
      <c r="W971" s="58">
        <f>(1000*CHOOSE(CONTROL!$C$42, 0.1146, 0.1146)*CHOOSE(CONTROL!$C$42, 121.5, 121.5)*CHOOSE(CONTROL!$C$42, 30, 30))/1000000</f>
        <v>0.417717</v>
      </c>
      <c r="X971" s="58">
        <f>(30*0.1790888*100000/1000000)+(30*0.2374*100000/1000000)</f>
        <v>1.2494664</v>
      </c>
      <c r="Y971" s="58"/>
      <c r="Z971" s="10"/>
      <c r="AA971" s="57"/>
      <c r="AB971" s="51">
        <f>(B971*122.58+C971*297.941+D971*89.177+E971*40.302+F971*40+G971*160+H971*0+I971*100+J971*300)/(122.58+297.941+89.177+40.302+0+40+160+100+300)</f>
        <v>73.902799184086959</v>
      </c>
      <c r="AC971" s="27">
        <f>(M971*'RAP TEMPLATE-GAS AVAILABILITY'!O970+N971*'RAP TEMPLATE-GAS AVAILABILITY'!P970+O971*'RAP TEMPLATE-GAS AVAILABILITY'!Q970+P971*'RAP TEMPLATE-GAS AVAILABILITY'!R970)/('RAP TEMPLATE-GAS AVAILABILITY'!O970+'RAP TEMPLATE-GAS AVAILABILITY'!P970+'RAP TEMPLATE-GAS AVAILABILITY'!Q970+'RAP TEMPLATE-GAS AVAILABILITY'!R970)</f>
        <v>73.186992805755395</v>
      </c>
    </row>
    <row r="972" spans="1:29" ht="15.75" x14ac:dyDescent="0.25">
      <c r="A972" s="13">
        <v>70494</v>
      </c>
      <c r="B972" s="10">
        <f>CHOOSE(CONTROL!$C$42, 78.9527, 78.9527) * CHOOSE(CONTROL!$C$21, $C$9, 100%, $E$9)</f>
        <v>78.952699999999993</v>
      </c>
      <c r="C972" s="10">
        <f>CHOOSE(CONTROL!$C$42, 78.9576, 78.9576) * CHOOSE(CONTROL!$C$21, $C$9, 100%, $E$9)</f>
        <v>78.957599999999999</v>
      </c>
      <c r="D972" s="10">
        <f>CHOOSE(CONTROL!$C$42, 78.9872, 78.9872) * CHOOSE(CONTROL!$C$21, $C$9, 100%, $E$9)</f>
        <v>78.987200000000001</v>
      </c>
      <c r="E972" s="10">
        <f>CHOOSE(CONTROL!$C$42, 79.021, 79.021) * CHOOSE(CONTROL!$C$21, $C$9, 100%, $E$9)</f>
        <v>79.021000000000001</v>
      </c>
      <c r="F972" s="10">
        <f>CHOOSE(CONTROL!$C$42, 78.9209, 78.9209)*CHOOSE(CONTROL!$C$21, $C$9, 100%, $E$9)</f>
        <v>78.920900000000003</v>
      </c>
      <c r="G972" s="10">
        <f>CHOOSE(CONTROL!$C$42, 78.9384, 78.9384)*CHOOSE(CONTROL!$C$21, $C$9, 100%, $E$9)</f>
        <v>78.938400000000001</v>
      </c>
      <c r="H972" s="10">
        <f>CHOOSE(CONTROL!$C$42, 79.0102, 79.0102) * CHOOSE(CONTROL!$C$21, $C$9, 100%, $E$9)</f>
        <v>79.010199999999998</v>
      </c>
      <c r="I972" s="10">
        <f>CHOOSE(CONTROL!$C$42, 78.9163, 78.9163)* CHOOSE(CONTROL!$C$21, $C$9, 100%, $E$9)</f>
        <v>78.916300000000007</v>
      </c>
      <c r="J972" s="10">
        <f>CHOOSE(CONTROL!$C$42, 78.9139, 78.9139)* CHOOSE(CONTROL!$C$21, $C$9, 100%, $E$9)</f>
        <v>78.913899999999998</v>
      </c>
      <c r="K972" s="54">
        <f>CHOOSE(CONTROL!$C$42, 78.9124, 78.9124) * CHOOSE(CONTROL!$C$21, $C$9, 100%, $E$9)</f>
        <v>78.912400000000005</v>
      </c>
      <c r="L972" s="10">
        <f>CHOOSE(CONTROL!$C$42, 79.5972, 79.5972) * CHOOSE(CONTROL!$C$21, $C$9, 100%, $E$9)</f>
        <v>79.597200000000001</v>
      </c>
      <c r="M972" s="10">
        <f>CHOOSE(CONTROL!$C$42, 78.1313, 78.1313) * CHOOSE(CONTROL!$C$21, $C$9, 100%, $E$9)</f>
        <v>78.131299999999996</v>
      </c>
      <c r="N972" s="10">
        <f>CHOOSE(CONTROL!$C$42, 78.1487, 78.1487) * CHOOSE(CONTROL!$C$21, $C$9, 100%, $E$9)</f>
        <v>78.148700000000005</v>
      </c>
      <c r="O972" s="10">
        <f>CHOOSE(CONTROL!$C$42, 78.2267, 78.2267) * CHOOSE(CONTROL!$C$21, $C$9, 100%, $E$9)</f>
        <v>78.226699999999994</v>
      </c>
      <c r="P972" s="10">
        <f>CHOOSE(CONTROL!$C$42, 78.1337, 78.1337) * CHOOSE(CONTROL!$C$21, $C$9, 100%, $E$9)</f>
        <v>78.133700000000005</v>
      </c>
      <c r="Q972" s="10">
        <f>CHOOSE(CONTROL!$C$42, 78.822, 78.822) * CHOOSE(CONTROL!$C$21, $C$9, 100%, $E$9)</f>
        <v>78.822000000000003</v>
      </c>
      <c r="R972" s="10">
        <f>CHOOSE(CONTROL!$C$42, 79.606, 79.606) * CHOOSE(CONTROL!$C$21, $C$9, 100%, $E$9)</f>
        <v>79.605999999999995</v>
      </c>
      <c r="S972" s="10">
        <f>CHOOSE(CONTROL!$C$42, 76.6688, 76.6688) * CHOOSE(CONTROL!$C$21, $C$9, 100%, $E$9)</f>
        <v>76.668800000000005</v>
      </c>
      <c r="T972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972" s="58">
        <f>(1000*CHOOSE(CONTROL!$C$42, 695, 695)*CHOOSE(CONTROL!$C$42, 0.5599, 0.5599)*CHOOSE(CONTROL!$C$42, 31, 31))/1000000</f>
        <v>12.063045499999998</v>
      </c>
      <c r="V972" s="58">
        <f>(1000*CHOOSE(CONTROL!$C$42, 500, 500)*CHOOSE(CONTROL!$C$42, 0.275, 0.275)*CHOOSE(CONTROL!$C$42, 31, 31))/1000000</f>
        <v>4.2625000000000002</v>
      </c>
      <c r="W972" s="58">
        <f>(1000*CHOOSE(CONTROL!$C$42, 0.1146, 0.1146)*CHOOSE(CONTROL!$C$42, 121.5, 121.5)*CHOOSE(CONTROL!$C$42, 31, 31))/1000000</f>
        <v>0.43164089999999994</v>
      </c>
      <c r="X972" s="58">
        <f>(31*0.1790888*100000/1000000)+(31*0.2374*100000/1000000)</f>
        <v>1.2911152800000001</v>
      </c>
      <c r="Y972" s="58"/>
      <c r="Z972" s="10"/>
      <c r="AA972" s="57"/>
      <c r="AB972" s="51">
        <f>(B972*122.58+C972*297.941+D972*89.177+E972*40.302+F972*40+G972*160+H972*0+I972*100+J972*300)/(122.58+297.941+89.177+40.302+0+40+160+100+300)</f>
        <v>78.942655777391295</v>
      </c>
      <c r="AC972" s="27">
        <f>(M972*'RAP TEMPLATE-GAS AVAILABILITY'!O971+N972*'RAP TEMPLATE-GAS AVAILABILITY'!P971+O972*'RAP TEMPLATE-GAS AVAILABILITY'!Q971+P972*'RAP TEMPLATE-GAS AVAILABILITY'!R971)/('RAP TEMPLATE-GAS AVAILABILITY'!O971+'RAP TEMPLATE-GAS AVAILABILITY'!P971+'RAP TEMPLATE-GAS AVAILABILITY'!Q971+'RAP TEMPLATE-GAS AVAILABILITY'!R971)</f>
        <v>78.175885611510793</v>
      </c>
    </row>
    <row r="973" spans="1:29" ht="15.75" x14ac:dyDescent="0.25">
      <c r="A973" s="13">
        <v>70525</v>
      </c>
      <c r="B973" s="10">
        <f>CHOOSE(CONTROL!$C$42, 85.4216, 85.4216) * CHOOSE(CONTROL!$C$21, $C$9, 100%, $E$9)</f>
        <v>85.421599999999998</v>
      </c>
      <c r="C973" s="10">
        <f>CHOOSE(CONTROL!$C$42, 85.4265, 85.4265) * CHOOSE(CONTROL!$C$21, $C$9, 100%, $E$9)</f>
        <v>85.426500000000004</v>
      </c>
      <c r="D973" s="10">
        <f>CHOOSE(CONTROL!$C$42, 85.4767, 85.4767) * CHOOSE(CONTROL!$C$21, $C$9, 100%, $E$9)</f>
        <v>85.476699999999994</v>
      </c>
      <c r="E973" s="10">
        <f>CHOOSE(CONTROL!$C$42, 85.5105, 85.5105) * CHOOSE(CONTROL!$C$21, $C$9, 100%, $E$9)</f>
        <v>85.510499999999993</v>
      </c>
      <c r="F973" s="10">
        <f>CHOOSE(CONTROL!$C$42, 85.3869, 85.3869)*CHOOSE(CONTROL!$C$21, $C$9, 100%, $E$9)</f>
        <v>85.386899999999997</v>
      </c>
      <c r="G973" s="10">
        <f>CHOOSE(CONTROL!$C$42, 85.4045, 85.4045)*CHOOSE(CONTROL!$C$21, $C$9, 100%, $E$9)</f>
        <v>85.404499999999999</v>
      </c>
      <c r="H973" s="10">
        <f>CHOOSE(CONTROL!$C$42, 85.4997, 85.4997) * CHOOSE(CONTROL!$C$21, $C$9, 100%, $E$9)</f>
        <v>85.499700000000004</v>
      </c>
      <c r="I973" s="10">
        <f>CHOOSE(CONTROL!$C$42, 85.3955, 85.3955)* CHOOSE(CONTROL!$C$21, $C$9, 100%, $E$9)</f>
        <v>85.395499999999998</v>
      </c>
      <c r="J973" s="10">
        <f>CHOOSE(CONTROL!$C$42, 85.3799, 85.3799)* CHOOSE(CONTROL!$C$21, $C$9, 100%, $E$9)</f>
        <v>85.379900000000006</v>
      </c>
      <c r="K973" s="54">
        <f>CHOOSE(CONTROL!$C$42, 85.3916, 85.3916) * CHOOSE(CONTROL!$C$21, $C$9, 100%, $E$9)</f>
        <v>85.391599999999997</v>
      </c>
      <c r="L973" s="10">
        <f>CHOOSE(CONTROL!$C$42, 86.0867, 86.0867) * CHOOSE(CONTROL!$C$21, $C$9, 100%, $E$9)</f>
        <v>86.086699999999993</v>
      </c>
      <c r="M973" s="10">
        <f>CHOOSE(CONTROL!$C$42, 84.5321, 84.5321) * CHOOSE(CONTROL!$C$21, $C$9, 100%, $E$9)</f>
        <v>84.5321</v>
      </c>
      <c r="N973" s="10">
        <f>CHOOSE(CONTROL!$C$42, 84.5495, 84.5495) * CHOOSE(CONTROL!$C$21, $C$9, 100%, $E$9)</f>
        <v>84.549499999999995</v>
      </c>
      <c r="O973" s="10">
        <f>CHOOSE(CONTROL!$C$42, 84.6507, 84.6507) * CHOOSE(CONTROL!$C$21, $C$9, 100%, $E$9)</f>
        <v>84.650700000000001</v>
      </c>
      <c r="P973" s="10">
        <f>CHOOSE(CONTROL!$C$42, 84.5476, 84.5476) * CHOOSE(CONTROL!$C$21, $C$9, 100%, $E$9)</f>
        <v>84.547600000000003</v>
      </c>
      <c r="Q973" s="10">
        <f>CHOOSE(CONTROL!$C$42, 85.246, 85.246) * CHOOSE(CONTROL!$C$21, $C$9, 100%, $E$9)</f>
        <v>85.245999999999995</v>
      </c>
      <c r="R973" s="10">
        <f>CHOOSE(CONTROL!$C$42, 86.0461, 86.0461) * CHOOSE(CONTROL!$C$21, $C$9, 100%, $E$9)</f>
        <v>86.046099999999996</v>
      </c>
      <c r="S973" s="10">
        <f>CHOOSE(CONTROL!$C$42, 82.9508, 82.9508) * CHOOSE(CONTROL!$C$21, $C$9, 100%, $E$9)</f>
        <v>82.950800000000001</v>
      </c>
      <c r="T973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973" s="58">
        <f>(1000*CHOOSE(CONTROL!$C$42, 695, 695)*CHOOSE(CONTROL!$C$42, 0.5599, 0.5599)*CHOOSE(CONTROL!$C$42, 31, 31))/1000000</f>
        <v>12.063045499999998</v>
      </c>
      <c r="V973" s="58">
        <f>(1000*CHOOSE(CONTROL!$C$42, 500, 500)*CHOOSE(CONTROL!$C$42, 0.275, 0.275)*CHOOSE(CONTROL!$C$42, 31, 31))/1000000</f>
        <v>4.2625000000000002</v>
      </c>
      <c r="W973" s="58">
        <f>(1000*CHOOSE(CONTROL!$C$42, 0.1146, 0.1146)*CHOOSE(CONTROL!$C$42, 121.5, 121.5)*CHOOSE(CONTROL!$C$42, 31, 31))/1000000</f>
        <v>0.43164089999999994</v>
      </c>
      <c r="X973" s="58">
        <f>(31*0.1790888*100000/1000000)+(31*0.2374*100000/1000000)</f>
        <v>1.2911152800000001</v>
      </c>
      <c r="Y973" s="58"/>
      <c r="Z973" s="10"/>
      <c r="AA973" s="57"/>
      <c r="AB973" s="51">
        <f>(B973*122.58+C973*297.941+D973*89.177+E973*40.302+F973*40+G973*160+H973*0+I973*100+J973*300)/(122.58+297.941+89.177+40.302+0+40+160+100+300)</f>
        <v>85.413523835999996</v>
      </c>
      <c r="AC973" s="27">
        <f>(M973*'RAP TEMPLATE-GAS AVAILABILITY'!O972+N973*'RAP TEMPLATE-GAS AVAILABILITY'!P972+O973*'RAP TEMPLATE-GAS AVAILABILITY'!Q972+P973*'RAP TEMPLATE-GAS AVAILABILITY'!R972)/('RAP TEMPLATE-GAS AVAILABILITY'!O972+'RAP TEMPLATE-GAS AVAILABILITY'!P972+'RAP TEMPLATE-GAS AVAILABILITY'!Q972+'RAP TEMPLATE-GAS AVAILABILITY'!R972)</f>
        <v>84.589085611510797</v>
      </c>
    </row>
    <row r="974" spans="1:29" ht="15.75" x14ac:dyDescent="0.25">
      <c r="A974" s="13">
        <v>70553</v>
      </c>
      <c r="B974" s="10">
        <f>CHOOSE(CONTROL!$C$42, 86.9422, 86.9422) * CHOOSE(CONTROL!$C$21, $C$9, 100%, $E$9)</f>
        <v>86.9422</v>
      </c>
      <c r="C974" s="10">
        <f>CHOOSE(CONTROL!$C$42, 86.9471, 86.9471) * CHOOSE(CONTROL!$C$21, $C$9, 100%, $E$9)</f>
        <v>86.947100000000006</v>
      </c>
      <c r="D974" s="10">
        <f>CHOOSE(CONTROL!$C$42, 87.0076, 87.0076) * CHOOSE(CONTROL!$C$21, $C$9, 100%, $E$9)</f>
        <v>87.007599999999996</v>
      </c>
      <c r="E974" s="10">
        <f>CHOOSE(CONTROL!$C$42, 87.0414, 87.0414) * CHOOSE(CONTROL!$C$21, $C$9, 100%, $E$9)</f>
        <v>87.041399999999996</v>
      </c>
      <c r="F974" s="10">
        <f>CHOOSE(CONTROL!$C$42, 86.9354, 86.9354)*CHOOSE(CONTROL!$C$21, $C$9, 100%, $E$9)</f>
        <v>86.935400000000001</v>
      </c>
      <c r="G974" s="10">
        <f>CHOOSE(CONTROL!$C$42, 86.9527, 86.9527)*CHOOSE(CONTROL!$C$21, $C$9, 100%, $E$9)</f>
        <v>86.952699999999993</v>
      </c>
      <c r="H974" s="10">
        <f>CHOOSE(CONTROL!$C$42, 87.0306, 87.0306) * CHOOSE(CONTROL!$C$21, $C$9, 100%, $E$9)</f>
        <v>87.030600000000007</v>
      </c>
      <c r="I974" s="10">
        <f>CHOOSE(CONTROL!$C$42, 86.9289, 86.9289)* CHOOSE(CONTROL!$C$21, $C$9, 100%, $E$9)</f>
        <v>86.928899999999999</v>
      </c>
      <c r="J974" s="10">
        <f>CHOOSE(CONTROL!$C$42, 86.9284, 86.9284)* CHOOSE(CONTROL!$C$21, $C$9, 100%, $E$9)</f>
        <v>86.928399999999996</v>
      </c>
      <c r="K974" s="54">
        <f>CHOOSE(CONTROL!$C$42, 86.925, 86.925) * CHOOSE(CONTROL!$C$21, $C$9, 100%, $E$9)</f>
        <v>86.924999999999997</v>
      </c>
      <c r="L974" s="10">
        <f>CHOOSE(CONTROL!$C$42, 87.6176, 87.6176) * CHOOSE(CONTROL!$C$21, $C$9, 100%, $E$9)</f>
        <v>87.617599999999996</v>
      </c>
      <c r="M974" s="10">
        <f>CHOOSE(CONTROL!$C$42, 86.065, 86.065) * CHOOSE(CONTROL!$C$21, $C$9, 100%, $E$9)</f>
        <v>86.064999999999998</v>
      </c>
      <c r="N974" s="10">
        <f>CHOOSE(CONTROL!$C$42, 86.0821, 86.0821) * CHOOSE(CONTROL!$C$21, $C$9, 100%, $E$9)</f>
        <v>86.082099999999997</v>
      </c>
      <c r="O974" s="10">
        <f>CHOOSE(CONTROL!$C$42, 86.1661, 86.1661) * CHOOSE(CONTROL!$C$21, $C$9, 100%, $E$9)</f>
        <v>86.1661</v>
      </c>
      <c r="P974" s="10">
        <f>CHOOSE(CONTROL!$C$42, 86.0655, 86.0655) * CHOOSE(CONTROL!$C$21, $C$9, 100%, $E$9)</f>
        <v>86.0655</v>
      </c>
      <c r="Q974" s="10">
        <f>CHOOSE(CONTROL!$C$42, 86.7614, 86.7614) * CHOOSE(CONTROL!$C$21, $C$9, 100%, $E$9)</f>
        <v>86.761399999999995</v>
      </c>
      <c r="R974" s="10">
        <f>CHOOSE(CONTROL!$C$42, 87.5653, 87.5653) * CHOOSE(CONTROL!$C$21, $C$9, 100%, $E$9)</f>
        <v>87.565299999999993</v>
      </c>
      <c r="S974" s="10">
        <f>CHOOSE(CONTROL!$C$42, 84.4274, 84.4274) * CHOOSE(CONTROL!$C$21, $C$9, 100%, $E$9)</f>
        <v>84.427400000000006</v>
      </c>
      <c r="T974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974" s="58">
        <f>(1000*CHOOSE(CONTROL!$C$42, 695, 695)*CHOOSE(CONTROL!$C$42, 0.5599, 0.5599)*CHOOSE(CONTROL!$C$42, 28, 28))/1000000</f>
        <v>10.895653999999999</v>
      </c>
      <c r="V974" s="58">
        <f>(1000*CHOOSE(CONTROL!$C$42, 500, 500)*CHOOSE(CONTROL!$C$42, 0.275, 0.275)*CHOOSE(CONTROL!$C$42, 28, 28))/1000000</f>
        <v>3.85</v>
      </c>
      <c r="W974" s="58">
        <f>(1000*CHOOSE(CONTROL!$C$42, 0.1146, 0.1146)*CHOOSE(CONTROL!$C$42, 121.5, 121.5)*CHOOSE(CONTROL!$C$42, 28, 28))/1000000</f>
        <v>0.38986920000000003</v>
      </c>
      <c r="X974" s="58">
        <f>(28*0.1790888*100000/1000000)+(28*0.2374*100000/1000000)</f>
        <v>1.16616864</v>
      </c>
      <c r="Y974" s="58"/>
      <c r="Z974" s="10"/>
      <c r="AA974" s="57"/>
      <c r="AB974" s="51">
        <f>(B974*122.58+C974*297.941+D974*89.177+E974*40.302+F974*40+G974*160+H974*0+I974*100+J974*300)/(122.58+297.941+89.177+40.302+0+40+160+100+300)</f>
        <v>86.948485256608691</v>
      </c>
      <c r="AC974" s="27">
        <f>(M974*'RAP TEMPLATE-GAS AVAILABILITY'!O973+N974*'RAP TEMPLATE-GAS AVAILABILITY'!P973+O974*'RAP TEMPLATE-GAS AVAILABILITY'!Q973+P974*'RAP TEMPLATE-GAS AVAILABILITY'!R973)/('RAP TEMPLATE-GAS AVAILABILITY'!O973+'RAP TEMPLATE-GAS AVAILABILITY'!P973+'RAP TEMPLATE-GAS AVAILABILITY'!Q973+'RAP TEMPLATE-GAS AVAILABILITY'!R973)</f>
        <v>86.111878417266183</v>
      </c>
    </row>
    <row r="975" spans="1:29" ht="15.75" x14ac:dyDescent="0.25">
      <c r="A975" s="13">
        <v>70584</v>
      </c>
      <c r="B975" s="10">
        <f>CHOOSE(CONTROL!$C$42, 84.4739, 84.4739) * CHOOSE(CONTROL!$C$21, $C$9, 100%, $E$9)</f>
        <v>84.4739</v>
      </c>
      <c r="C975" s="10">
        <f>CHOOSE(CONTROL!$C$42, 84.4788, 84.4788) * CHOOSE(CONTROL!$C$21, $C$9, 100%, $E$9)</f>
        <v>84.478800000000007</v>
      </c>
      <c r="D975" s="10">
        <f>CHOOSE(CONTROL!$C$42, 84.5393, 84.5393) * CHOOSE(CONTROL!$C$21, $C$9, 100%, $E$9)</f>
        <v>84.539299999999997</v>
      </c>
      <c r="E975" s="10">
        <f>CHOOSE(CONTROL!$C$42, 84.5731, 84.5731) * CHOOSE(CONTROL!$C$21, $C$9, 100%, $E$9)</f>
        <v>84.573099999999997</v>
      </c>
      <c r="F975" s="10">
        <f>CHOOSE(CONTROL!$C$42, 84.4616, 84.4616)*CHOOSE(CONTROL!$C$21, $C$9, 100%, $E$9)</f>
        <v>84.461600000000004</v>
      </c>
      <c r="G975" s="10">
        <f>CHOOSE(CONTROL!$C$42, 84.4788, 84.4788)*CHOOSE(CONTROL!$C$21, $C$9, 100%, $E$9)</f>
        <v>84.478800000000007</v>
      </c>
      <c r="H975" s="10">
        <f>CHOOSE(CONTROL!$C$42, 84.5623, 84.5623) * CHOOSE(CONTROL!$C$21, $C$9, 100%, $E$9)</f>
        <v>84.562299999999993</v>
      </c>
      <c r="I975" s="10">
        <f>CHOOSE(CONTROL!$C$42, 84.4478, 84.4478)* CHOOSE(CONTROL!$C$21, $C$9, 100%, $E$9)</f>
        <v>84.447800000000001</v>
      </c>
      <c r="J975" s="10">
        <f>CHOOSE(CONTROL!$C$42, 84.4546, 84.4546)* CHOOSE(CONTROL!$C$21, $C$9, 100%, $E$9)</f>
        <v>84.454599999999999</v>
      </c>
      <c r="K975" s="54">
        <f>CHOOSE(CONTROL!$C$42, 84.4439, 84.4439) * CHOOSE(CONTROL!$C$21, $C$9, 100%, $E$9)</f>
        <v>84.443899999999999</v>
      </c>
      <c r="L975" s="10">
        <f>CHOOSE(CONTROL!$C$42, 85.1493, 85.1493) * CHOOSE(CONTROL!$C$21, $C$9, 100%, $E$9)</f>
        <v>85.149299999999997</v>
      </c>
      <c r="M975" s="10">
        <f>CHOOSE(CONTROL!$C$42, 83.6161, 83.6161) * CHOOSE(CONTROL!$C$21, $C$9, 100%, $E$9)</f>
        <v>83.616100000000003</v>
      </c>
      <c r="N975" s="10">
        <f>CHOOSE(CONTROL!$C$42, 83.6332, 83.6332) * CHOOSE(CONTROL!$C$21, $C$9, 100%, $E$9)</f>
        <v>83.633200000000002</v>
      </c>
      <c r="O975" s="10">
        <f>CHOOSE(CONTROL!$C$42, 83.7228, 83.7228) * CHOOSE(CONTROL!$C$21, $C$9, 100%, $E$9)</f>
        <v>83.722800000000007</v>
      </c>
      <c r="P975" s="10">
        <f>CHOOSE(CONTROL!$C$42, 83.6094, 83.6094) * CHOOSE(CONTROL!$C$21, $C$9, 100%, $E$9)</f>
        <v>83.609399999999994</v>
      </c>
      <c r="Q975" s="10">
        <f>CHOOSE(CONTROL!$C$42, 84.3181, 84.3181) * CHOOSE(CONTROL!$C$21, $C$9, 100%, $E$9)</f>
        <v>84.318100000000001</v>
      </c>
      <c r="R975" s="10">
        <f>CHOOSE(CONTROL!$C$42, 85.1159, 85.1159) * CHOOSE(CONTROL!$C$21, $C$9, 100%, $E$9)</f>
        <v>85.115899999999996</v>
      </c>
      <c r="S975" s="10">
        <f>CHOOSE(CONTROL!$C$42, 82.0305, 82.0305) * CHOOSE(CONTROL!$C$21, $C$9, 100%, $E$9)</f>
        <v>82.030500000000004</v>
      </c>
      <c r="T975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975" s="58">
        <f>(1000*CHOOSE(CONTROL!$C$42, 695, 695)*CHOOSE(CONTROL!$C$42, 0.5599, 0.5599)*CHOOSE(CONTROL!$C$42, 31, 31))/1000000</f>
        <v>12.063045499999998</v>
      </c>
      <c r="V975" s="58">
        <f>(1000*CHOOSE(CONTROL!$C$42, 500, 500)*CHOOSE(CONTROL!$C$42, 0.275, 0.275)*CHOOSE(CONTROL!$C$42, 31, 31))/1000000</f>
        <v>4.2625000000000002</v>
      </c>
      <c r="W975" s="58">
        <f>(1000*CHOOSE(CONTROL!$C$42, 0.1146, 0.1146)*CHOOSE(CONTROL!$C$42, 121.5, 121.5)*CHOOSE(CONTROL!$C$42, 31, 31))/1000000</f>
        <v>0.43164089999999994</v>
      </c>
      <c r="X975" s="58">
        <f>(31*0.1790888*100000/1000000)+(31*0.2374*100000/1000000)</f>
        <v>1.2911152800000001</v>
      </c>
      <c r="Y975" s="58"/>
      <c r="Z975" s="10"/>
      <c r="AA975" s="57"/>
      <c r="AB975" s="51">
        <f>(B975*122.58+C975*297.941+D975*89.177+E975*40.302+F975*40+G975*160+H975*0+I975*100+J975*300)/(122.58+297.941+89.177+40.302+0+40+160+100+300)</f>
        <v>84.476666995739137</v>
      </c>
      <c r="AC975" s="27">
        <f>(M975*'RAP TEMPLATE-GAS AVAILABILITY'!O974+N975*'RAP TEMPLATE-GAS AVAILABILITY'!P974+O975*'RAP TEMPLATE-GAS AVAILABILITY'!Q974+P975*'RAP TEMPLATE-GAS AVAILABILITY'!R974)/('RAP TEMPLATE-GAS AVAILABILITY'!O974+'RAP TEMPLATE-GAS AVAILABILITY'!P974+'RAP TEMPLATE-GAS AVAILABILITY'!Q974+'RAP TEMPLATE-GAS AVAILABILITY'!R974)</f>
        <v>83.664480575539571</v>
      </c>
    </row>
    <row r="976" spans="1:29" ht="15.75" x14ac:dyDescent="0.25">
      <c r="A976" s="13">
        <v>70614</v>
      </c>
      <c r="B976" s="10">
        <f>CHOOSE(CONTROL!$C$42, 84.2221, 84.2221) * CHOOSE(CONTROL!$C$21, $C$9, 100%, $E$9)</f>
        <v>84.222099999999998</v>
      </c>
      <c r="C976" s="10">
        <f>CHOOSE(CONTROL!$C$42, 84.2265, 84.2265) * CHOOSE(CONTROL!$C$21, $C$9, 100%, $E$9)</f>
        <v>84.226500000000001</v>
      </c>
      <c r="D976" s="10">
        <f>CHOOSE(CONTROL!$C$42, 84.4221, 84.4221) * CHOOSE(CONTROL!$C$21, $C$9, 100%, $E$9)</f>
        <v>84.4221</v>
      </c>
      <c r="E976" s="10">
        <f>CHOOSE(CONTROL!$C$42, 84.4539, 84.4539) * CHOOSE(CONTROL!$C$21, $C$9, 100%, $E$9)</f>
        <v>84.453900000000004</v>
      </c>
      <c r="F976" s="10">
        <f>CHOOSE(CONTROL!$C$42, 84.1899, 84.1899)*CHOOSE(CONTROL!$C$21, $C$9, 100%, $E$9)</f>
        <v>84.189899999999994</v>
      </c>
      <c r="G976" s="10">
        <f>CHOOSE(CONTROL!$C$42, 84.2067, 84.2067)*CHOOSE(CONTROL!$C$21, $C$9, 100%, $E$9)</f>
        <v>84.206699999999998</v>
      </c>
      <c r="H976" s="10">
        <f>CHOOSE(CONTROL!$C$42, 84.4437, 84.4437) * CHOOSE(CONTROL!$C$21, $C$9, 100%, $E$9)</f>
        <v>84.443700000000007</v>
      </c>
      <c r="I976" s="10">
        <f>CHOOSE(CONTROL!$C$42, 84.1901, 84.1901)* CHOOSE(CONTROL!$C$21, $C$9, 100%, $E$9)</f>
        <v>84.190100000000001</v>
      </c>
      <c r="J976" s="10">
        <f>CHOOSE(CONTROL!$C$42, 84.1829, 84.1829)* CHOOSE(CONTROL!$C$21, $C$9, 100%, $E$9)</f>
        <v>84.182900000000004</v>
      </c>
      <c r="K976" s="54">
        <f>CHOOSE(CONTROL!$C$42, 84.1862, 84.1862) * CHOOSE(CONTROL!$C$21, $C$9, 100%, $E$9)</f>
        <v>84.186199999999999</v>
      </c>
      <c r="L976" s="10">
        <f>CHOOSE(CONTROL!$C$42, 85.0307, 85.0307) * CHOOSE(CONTROL!$C$21, $C$9, 100%, $E$9)</f>
        <v>85.030699999999996</v>
      </c>
      <c r="M976" s="10">
        <f>CHOOSE(CONTROL!$C$42, 83.3472, 83.3472) * CHOOSE(CONTROL!$C$21, $C$9, 100%, $E$9)</f>
        <v>83.347200000000001</v>
      </c>
      <c r="N976" s="10">
        <f>CHOOSE(CONTROL!$C$42, 83.3638, 83.3638) * CHOOSE(CONTROL!$C$21, $C$9, 100%, $E$9)</f>
        <v>83.363799999999998</v>
      </c>
      <c r="O976" s="10">
        <f>CHOOSE(CONTROL!$C$42, 83.6053, 83.6053) * CHOOSE(CONTROL!$C$21, $C$9, 100%, $E$9)</f>
        <v>83.6053</v>
      </c>
      <c r="P976" s="10">
        <f>CHOOSE(CONTROL!$C$42, 83.3543, 83.3543) * CHOOSE(CONTROL!$C$21, $C$9, 100%, $E$9)</f>
        <v>83.354299999999995</v>
      </c>
      <c r="Q976" s="10">
        <f>CHOOSE(CONTROL!$C$42, 84.2006, 84.2006) * CHOOSE(CONTROL!$C$21, $C$9, 100%, $E$9)</f>
        <v>84.200599999999994</v>
      </c>
      <c r="R976" s="10">
        <f>CHOOSE(CONTROL!$C$42, 84.9981, 84.9981) * CHOOSE(CONTROL!$C$21, $C$9, 100%, $E$9)</f>
        <v>84.998099999999994</v>
      </c>
      <c r="S976" s="10">
        <f>CHOOSE(CONTROL!$C$42, 81.7852, 81.7852) * CHOOSE(CONTROL!$C$21, $C$9, 100%, $E$9)</f>
        <v>81.785200000000003</v>
      </c>
      <c r="T976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976" s="58">
        <f>(1000*CHOOSE(CONTROL!$C$42, 695, 695)*CHOOSE(CONTROL!$C$42, 0.5599, 0.5599)*CHOOSE(CONTROL!$C$42, 30, 30))/1000000</f>
        <v>11.673914999999997</v>
      </c>
      <c r="V976" s="58">
        <f>(1000*CHOOSE(CONTROL!$C$42, 500, 500)*CHOOSE(CONTROL!$C$42, 0.275, 0.275)*CHOOSE(CONTROL!$C$42, 30, 30))/1000000</f>
        <v>4.125</v>
      </c>
      <c r="W976" s="58">
        <f>(1000*CHOOSE(CONTROL!$C$42, 0.1146, 0.1146)*CHOOSE(CONTROL!$C$42, 121.5, 121.5)*CHOOSE(CONTROL!$C$42, 30, 30))/1000000</f>
        <v>0.417717</v>
      </c>
      <c r="X976" s="58">
        <f>(30*0.1790888*245000/1000000)+(30*0.2374*100000/1000000)</f>
        <v>2.0285026799999999</v>
      </c>
      <c r="Y976" s="58"/>
      <c r="Z976" s="10"/>
      <c r="AA976" s="57"/>
      <c r="AB976" s="51">
        <f>(B976*141.293+C976*267.993+D976*115.016+E976*89.698+F976*40+G976*185+H976*0+I976*100+J976*300)/(141.293+267.993+115.016+89.698+0+40+185+100+300)</f>
        <v>84.242985686521379</v>
      </c>
      <c r="AC976" s="27">
        <f>(M976*'RAP TEMPLATE-GAS AVAILABILITY'!O975+N976*'RAP TEMPLATE-GAS AVAILABILITY'!P975+O976*'RAP TEMPLATE-GAS AVAILABILITY'!Q975+P976*'RAP TEMPLATE-GAS AVAILABILITY'!R975)/('RAP TEMPLATE-GAS AVAILABILITY'!O975+'RAP TEMPLATE-GAS AVAILABILITY'!P975+'RAP TEMPLATE-GAS AVAILABILITY'!Q975+'RAP TEMPLATE-GAS AVAILABILITY'!R975)</f>
        <v>83.466157553956833</v>
      </c>
    </row>
    <row r="977" spans="1:29" ht="15.75" x14ac:dyDescent="0.25">
      <c r="A977" s="13">
        <v>70645</v>
      </c>
      <c r="B977" s="10">
        <f>CHOOSE(CONTROL!$C$42, 84.9669, 84.9669) * CHOOSE(CONTROL!$C$21, $C$9, 100%, $E$9)</f>
        <v>84.966899999999995</v>
      </c>
      <c r="C977" s="10">
        <f>CHOOSE(CONTROL!$C$42, 84.9748, 84.9748) * CHOOSE(CONTROL!$C$21, $C$9, 100%, $E$9)</f>
        <v>84.974800000000002</v>
      </c>
      <c r="D977" s="10">
        <f>CHOOSE(CONTROL!$C$42, 85.1672, 85.1672) * CHOOSE(CONTROL!$C$21, $C$9, 100%, $E$9)</f>
        <v>85.167199999999994</v>
      </c>
      <c r="E977" s="10">
        <f>CHOOSE(CONTROL!$C$42, 85.1983, 85.1983) * CHOOSE(CONTROL!$C$21, $C$9, 100%, $E$9)</f>
        <v>85.198300000000003</v>
      </c>
      <c r="F977" s="10">
        <f>CHOOSE(CONTROL!$C$42, 84.9331, 84.9331)*CHOOSE(CONTROL!$C$21, $C$9, 100%, $E$9)</f>
        <v>84.933099999999996</v>
      </c>
      <c r="G977" s="10">
        <f>CHOOSE(CONTROL!$C$42, 84.9502, 84.9502)*CHOOSE(CONTROL!$C$21, $C$9, 100%, $E$9)</f>
        <v>84.950199999999995</v>
      </c>
      <c r="H977" s="10">
        <f>CHOOSE(CONTROL!$C$42, 85.187, 85.187) * CHOOSE(CONTROL!$C$21, $C$9, 100%, $E$9)</f>
        <v>85.186999999999998</v>
      </c>
      <c r="I977" s="10">
        <f>CHOOSE(CONTROL!$C$42, 84.9334, 84.9334)* CHOOSE(CONTROL!$C$21, $C$9, 100%, $E$9)</f>
        <v>84.933400000000006</v>
      </c>
      <c r="J977" s="10">
        <f>CHOOSE(CONTROL!$C$42, 84.9261, 84.9261)* CHOOSE(CONTROL!$C$21, $C$9, 100%, $E$9)</f>
        <v>84.926100000000005</v>
      </c>
      <c r="K977" s="54">
        <f>CHOOSE(CONTROL!$C$42, 84.9295, 84.9295) * CHOOSE(CONTROL!$C$21, $C$9, 100%, $E$9)</f>
        <v>84.929500000000004</v>
      </c>
      <c r="L977" s="10">
        <f>CHOOSE(CONTROL!$C$42, 85.774, 85.774) * CHOOSE(CONTROL!$C$21, $C$9, 100%, $E$9)</f>
        <v>85.774000000000001</v>
      </c>
      <c r="M977" s="10">
        <f>CHOOSE(CONTROL!$C$42, 84.0829, 84.0829) * CHOOSE(CONTROL!$C$21, $C$9, 100%, $E$9)</f>
        <v>84.082899999999995</v>
      </c>
      <c r="N977" s="10">
        <f>CHOOSE(CONTROL!$C$42, 84.0998, 84.0998) * CHOOSE(CONTROL!$C$21, $C$9, 100%, $E$9)</f>
        <v>84.099800000000002</v>
      </c>
      <c r="O977" s="10">
        <f>CHOOSE(CONTROL!$C$42, 84.3411, 84.3411) * CHOOSE(CONTROL!$C$21, $C$9, 100%, $E$9)</f>
        <v>84.341099999999997</v>
      </c>
      <c r="P977" s="10">
        <f>CHOOSE(CONTROL!$C$42, 84.0902, 84.0902) * CHOOSE(CONTROL!$C$21, $C$9, 100%, $E$9)</f>
        <v>84.090199999999996</v>
      </c>
      <c r="Q977" s="10">
        <f>CHOOSE(CONTROL!$C$42, 84.9364, 84.9364) * CHOOSE(CONTROL!$C$21, $C$9, 100%, $E$9)</f>
        <v>84.936400000000006</v>
      </c>
      <c r="R977" s="10">
        <f>CHOOSE(CONTROL!$C$42, 85.7358, 85.7358) * CHOOSE(CONTROL!$C$21, $C$9, 100%, $E$9)</f>
        <v>85.735799999999998</v>
      </c>
      <c r="S977" s="10">
        <f>CHOOSE(CONTROL!$C$42, 82.5071, 82.5071) * CHOOSE(CONTROL!$C$21, $C$9, 100%, $E$9)</f>
        <v>82.507099999999994</v>
      </c>
      <c r="T977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977" s="58">
        <f>(1000*CHOOSE(CONTROL!$C$42, 695, 695)*CHOOSE(CONTROL!$C$42, 0.5599, 0.5599)*CHOOSE(CONTROL!$C$42, 31, 31))/1000000</f>
        <v>12.063045499999998</v>
      </c>
      <c r="V977" s="58">
        <f>(1000*CHOOSE(CONTROL!$C$42, 500, 500)*CHOOSE(CONTROL!$C$42, 0.275, 0.275)*CHOOSE(CONTROL!$C$42, 31, 31))/1000000</f>
        <v>4.2625000000000002</v>
      </c>
      <c r="W977" s="58">
        <f>(1000*CHOOSE(CONTROL!$C$42, 0.1146, 0.1146)*CHOOSE(CONTROL!$C$42, 121.5, 121.5)*CHOOSE(CONTROL!$C$42, 31, 31))/1000000</f>
        <v>0.43164089999999994</v>
      </c>
      <c r="X977" s="58">
        <f>(31*0.1790888*245000/1000000)+(31*0.2374*100000/1000000)</f>
        <v>2.0961194359999999</v>
      </c>
      <c r="Y977" s="58"/>
      <c r="Z977" s="10"/>
      <c r="AA977" s="57"/>
      <c r="AB977" s="51">
        <f>(B977*194.205+C977*267.466+D977*133.845+E977*53.484+F977*40+G977*185+H977*0+I977*100+J977*300)/(194.205+267.466+133.845+53.484+0+40+185+100+300)</f>
        <v>84.983592961146002</v>
      </c>
      <c r="AC977" s="27">
        <f>(M977*'RAP TEMPLATE-GAS AVAILABILITY'!O976+N977*'RAP TEMPLATE-GAS AVAILABILITY'!P976+O977*'RAP TEMPLATE-GAS AVAILABILITY'!Q976+P977*'RAP TEMPLATE-GAS AVAILABILITY'!R976)/('RAP TEMPLATE-GAS AVAILABILITY'!O976+'RAP TEMPLATE-GAS AVAILABILITY'!P976+'RAP TEMPLATE-GAS AVAILABILITY'!Q976+'RAP TEMPLATE-GAS AVAILABILITY'!R976)</f>
        <v>84.201948920863316</v>
      </c>
    </row>
    <row r="978" spans="1:29" ht="15.75" x14ac:dyDescent="0.25">
      <c r="A978" s="13">
        <v>70675</v>
      </c>
      <c r="B978" s="10">
        <f>CHOOSE(CONTROL!$C$42, 87.3769, 87.3769) * CHOOSE(CONTROL!$C$21, $C$9, 100%, $E$9)</f>
        <v>87.376900000000006</v>
      </c>
      <c r="C978" s="10">
        <f>CHOOSE(CONTROL!$C$42, 87.3848, 87.3848) * CHOOSE(CONTROL!$C$21, $C$9, 100%, $E$9)</f>
        <v>87.384799999999998</v>
      </c>
      <c r="D978" s="10">
        <f>CHOOSE(CONTROL!$C$42, 87.5773, 87.5773) * CHOOSE(CONTROL!$C$21, $C$9, 100%, $E$9)</f>
        <v>87.577299999999994</v>
      </c>
      <c r="E978" s="10">
        <f>CHOOSE(CONTROL!$C$42, 87.6084, 87.6084) * CHOOSE(CONTROL!$C$21, $C$9, 100%, $E$9)</f>
        <v>87.608400000000003</v>
      </c>
      <c r="F978" s="10">
        <f>CHOOSE(CONTROL!$C$42, 87.3434, 87.3434)*CHOOSE(CONTROL!$C$21, $C$9, 100%, $E$9)</f>
        <v>87.343400000000003</v>
      </c>
      <c r="G978" s="10">
        <f>CHOOSE(CONTROL!$C$42, 87.3606, 87.3606)*CHOOSE(CONTROL!$C$21, $C$9, 100%, $E$9)</f>
        <v>87.360600000000005</v>
      </c>
      <c r="H978" s="10">
        <f>CHOOSE(CONTROL!$C$42, 87.597, 87.597) * CHOOSE(CONTROL!$C$21, $C$9, 100%, $E$9)</f>
        <v>87.596999999999994</v>
      </c>
      <c r="I978" s="10">
        <f>CHOOSE(CONTROL!$C$42, 87.3435, 87.3435)* CHOOSE(CONTROL!$C$21, $C$9, 100%, $E$9)</f>
        <v>87.343500000000006</v>
      </c>
      <c r="J978" s="10">
        <f>CHOOSE(CONTROL!$C$42, 87.3364, 87.3364)* CHOOSE(CONTROL!$C$21, $C$9, 100%, $E$9)</f>
        <v>87.336399999999998</v>
      </c>
      <c r="K978" s="54">
        <f>CHOOSE(CONTROL!$C$42, 87.3396, 87.3396) * CHOOSE(CONTROL!$C$21, $C$9, 100%, $E$9)</f>
        <v>87.339600000000004</v>
      </c>
      <c r="L978" s="10">
        <f>CHOOSE(CONTROL!$C$42, 88.184, 88.184) * CHOOSE(CONTROL!$C$21, $C$9, 100%, $E$9)</f>
        <v>88.183999999999997</v>
      </c>
      <c r="M978" s="10">
        <f>CHOOSE(CONTROL!$C$42, 86.4688, 86.4688) * CHOOSE(CONTROL!$C$21, $C$9, 100%, $E$9)</f>
        <v>86.468800000000002</v>
      </c>
      <c r="N978" s="10">
        <f>CHOOSE(CONTROL!$C$42, 86.4859, 86.4859) * CHOOSE(CONTROL!$C$21, $C$9, 100%, $E$9)</f>
        <v>86.485900000000001</v>
      </c>
      <c r="O978" s="10">
        <f>CHOOSE(CONTROL!$C$42, 86.7268, 86.7268) * CHOOSE(CONTROL!$C$21, $C$9, 100%, $E$9)</f>
        <v>86.726799999999997</v>
      </c>
      <c r="P978" s="10">
        <f>CHOOSE(CONTROL!$C$42, 86.4759, 86.4759) * CHOOSE(CONTROL!$C$21, $C$9, 100%, $E$9)</f>
        <v>86.475899999999996</v>
      </c>
      <c r="Q978" s="10">
        <f>CHOOSE(CONTROL!$C$42, 87.3221, 87.3221) * CHOOSE(CONTROL!$C$21, $C$9, 100%, $E$9)</f>
        <v>87.322100000000006</v>
      </c>
      <c r="R978" s="10">
        <f>CHOOSE(CONTROL!$C$42, 88.1275, 88.1275) * CHOOSE(CONTROL!$C$21, $C$9, 100%, $E$9)</f>
        <v>88.127499999999998</v>
      </c>
      <c r="S978" s="10">
        <f>CHOOSE(CONTROL!$C$42, 84.8475, 84.8475) * CHOOSE(CONTROL!$C$21, $C$9, 100%, $E$9)</f>
        <v>84.847499999999997</v>
      </c>
      <c r="T978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978" s="58">
        <f>(1000*CHOOSE(CONTROL!$C$42, 695, 695)*CHOOSE(CONTROL!$C$42, 0.5599, 0.5599)*CHOOSE(CONTROL!$C$42, 30, 30))/1000000</f>
        <v>11.673914999999997</v>
      </c>
      <c r="V978" s="58">
        <f>(1000*CHOOSE(CONTROL!$C$42, 500, 500)*CHOOSE(CONTROL!$C$42, 0.275, 0.275)*CHOOSE(CONTROL!$C$42, 30, 30))/1000000</f>
        <v>4.125</v>
      </c>
      <c r="W978" s="58">
        <f>(1000*CHOOSE(CONTROL!$C$42, 0.1146, 0.1146)*CHOOSE(CONTROL!$C$42, 121.5, 121.5)*CHOOSE(CONTROL!$C$42, 30, 30))/1000000</f>
        <v>0.417717</v>
      </c>
      <c r="X978" s="58">
        <f>(30*0.1790888*245000/1000000)+(30*0.2374*100000/1000000)</f>
        <v>2.0285026799999999</v>
      </c>
      <c r="Y978" s="58"/>
      <c r="Z978" s="10"/>
      <c r="AA978" s="57"/>
      <c r="AB978" s="51">
        <f>(B978*194.205+C978*267.466+D978*133.845+E978*53.484+F978*40+G978*185+H978*0+I978*100+J978*300)/(194.205+267.466+133.845+53.484+0+40+185+100+300)</f>
        <v>87.393753662009416</v>
      </c>
      <c r="AC978" s="27">
        <f>(M978*'RAP TEMPLATE-GAS AVAILABILITY'!O977+N978*'RAP TEMPLATE-GAS AVAILABILITY'!P977+O978*'RAP TEMPLATE-GAS AVAILABILITY'!Q977+P978*'RAP TEMPLATE-GAS AVAILABILITY'!R977)/('RAP TEMPLATE-GAS AVAILABILITY'!O977+'RAP TEMPLATE-GAS AVAILABILITY'!P977+'RAP TEMPLATE-GAS AVAILABILITY'!Q977+'RAP TEMPLATE-GAS AVAILABILITY'!R977)</f>
        <v>86.587741007194239</v>
      </c>
    </row>
    <row r="979" spans="1:29" ht="15.75" x14ac:dyDescent="0.25">
      <c r="A979" s="13">
        <v>70706</v>
      </c>
      <c r="B979" s="10">
        <f>CHOOSE(CONTROL!$C$42, 85.7007, 85.7007) * CHOOSE(CONTROL!$C$21, $C$9, 100%, $E$9)</f>
        <v>85.700699999999998</v>
      </c>
      <c r="C979" s="10">
        <f>CHOOSE(CONTROL!$C$42, 85.7086, 85.7086) * CHOOSE(CONTROL!$C$21, $C$9, 100%, $E$9)</f>
        <v>85.708600000000004</v>
      </c>
      <c r="D979" s="10">
        <f>CHOOSE(CONTROL!$C$42, 85.9011, 85.9011) * CHOOSE(CONTROL!$C$21, $C$9, 100%, $E$9)</f>
        <v>85.9011</v>
      </c>
      <c r="E979" s="10">
        <f>CHOOSE(CONTROL!$C$42, 85.9322, 85.9322) * CHOOSE(CONTROL!$C$21, $C$9, 100%, $E$9)</f>
        <v>85.932199999999995</v>
      </c>
      <c r="F979" s="10">
        <f>CHOOSE(CONTROL!$C$42, 85.6676, 85.6676)*CHOOSE(CONTROL!$C$21, $C$9, 100%, $E$9)</f>
        <v>85.667599999999993</v>
      </c>
      <c r="G979" s="10">
        <f>CHOOSE(CONTROL!$C$42, 85.6849, 85.6849)*CHOOSE(CONTROL!$C$21, $C$9, 100%, $E$9)</f>
        <v>85.684899999999999</v>
      </c>
      <c r="H979" s="10">
        <f>CHOOSE(CONTROL!$C$42, 85.9208, 85.9208) * CHOOSE(CONTROL!$C$21, $C$9, 100%, $E$9)</f>
        <v>85.9208</v>
      </c>
      <c r="I979" s="10">
        <f>CHOOSE(CONTROL!$C$42, 85.6673, 85.6673)* CHOOSE(CONTROL!$C$21, $C$9, 100%, $E$9)</f>
        <v>85.667299999999997</v>
      </c>
      <c r="J979" s="10">
        <f>CHOOSE(CONTROL!$C$42, 85.6606, 85.6606)* CHOOSE(CONTROL!$C$21, $C$9, 100%, $E$9)</f>
        <v>85.660600000000002</v>
      </c>
      <c r="K979" s="54">
        <f>CHOOSE(CONTROL!$C$42, 85.6634, 85.6634) * CHOOSE(CONTROL!$C$21, $C$9, 100%, $E$9)</f>
        <v>85.663399999999996</v>
      </c>
      <c r="L979" s="10">
        <f>CHOOSE(CONTROL!$C$42, 86.5078, 86.5078) * CHOOSE(CONTROL!$C$21, $C$9, 100%, $E$9)</f>
        <v>86.507800000000003</v>
      </c>
      <c r="M979" s="10">
        <f>CHOOSE(CONTROL!$C$42, 84.81, 84.81) * CHOOSE(CONTROL!$C$21, $C$9, 100%, $E$9)</f>
        <v>84.81</v>
      </c>
      <c r="N979" s="10">
        <f>CHOOSE(CONTROL!$C$42, 84.8271, 84.8271) * CHOOSE(CONTROL!$C$21, $C$9, 100%, $E$9)</f>
        <v>84.827100000000002</v>
      </c>
      <c r="O979" s="10">
        <f>CHOOSE(CONTROL!$C$42, 85.0676, 85.0676) * CHOOSE(CONTROL!$C$21, $C$9, 100%, $E$9)</f>
        <v>85.067599999999999</v>
      </c>
      <c r="P979" s="10">
        <f>CHOOSE(CONTROL!$C$42, 84.8166, 84.8166) * CHOOSE(CONTROL!$C$21, $C$9, 100%, $E$9)</f>
        <v>84.816599999999994</v>
      </c>
      <c r="Q979" s="10">
        <f>CHOOSE(CONTROL!$C$42, 85.6629, 85.6629) * CHOOSE(CONTROL!$C$21, $C$9, 100%, $E$9)</f>
        <v>85.662899999999993</v>
      </c>
      <c r="R979" s="10">
        <f>CHOOSE(CONTROL!$C$42, 86.464, 86.464) * CHOOSE(CONTROL!$C$21, $C$9, 100%, $E$9)</f>
        <v>86.463999999999999</v>
      </c>
      <c r="S979" s="10">
        <f>CHOOSE(CONTROL!$C$42, 83.2197, 83.2197) * CHOOSE(CONTROL!$C$21, $C$9, 100%, $E$9)</f>
        <v>83.219700000000003</v>
      </c>
      <c r="T979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979" s="58">
        <f>(1000*CHOOSE(CONTROL!$C$42, 695, 695)*CHOOSE(CONTROL!$C$42, 0.5599, 0.5599)*CHOOSE(CONTROL!$C$42, 31, 31))/1000000</f>
        <v>12.063045499999998</v>
      </c>
      <c r="V979" s="58">
        <f>(1000*CHOOSE(CONTROL!$C$42, 500, 500)*CHOOSE(CONTROL!$C$42, 0.275, 0.275)*CHOOSE(CONTROL!$C$42, 31, 31))/1000000</f>
        <v>4.2625000000000002</v>
      </c>
      <c r="W979" s="58">
        <f>(1000*CHOOSE(CONTROL!$C$42, 0.1146, 0.1146)*CHOOSE(CONTROL!$C$42, 121.5, 121.5)*CHOOSE(CONTROL!$C$42, 31, 31))/1000000</f>
        <v>0.43164089999999994</v>
      </c>
      <c r="X979" s="58">
        <f>(31*0.1790888*245000/1000000)+(31*0.2374*100000/1000000)</f>
        <v>2.0961194359999999</v>
      </c>
      <c r="Y979" s="58"/>
      <c r="Z979" s="10"/>
      <c r="AA979" s="57"/>
      <c r="AB979" s="51">
        <f>(B979*194.205+C979*267.466+D979*133.845+E979*53.484+F979*40+G979*185+H979*0+I979*100+J979*300)/(194.205+267.466+133.845+53.484+0+40+185+100+300)</f>
        <v>85.71773301836734</v>
      </c>
      <c r="AC979" s="27">
        <f>(M979*'RAP TEMPLATE-GAS AVAILABILITY'!O978+N979*'RAP TEMPLATE-GAS AVAILABILITY'!P978+O979*'RAP TEMPLATE-GAS AVAILABILITY'!Q978+P979*'RAP TEMPLATE-GAS AVAILABILITY'!R978)/('RAP TEMPLATE-GAS AVAILABILITY'!O978+'RAP TEMPLATE-GAS AVAILABILITY'!P978+'RAP TEMPLATE-GAS AVAILABILITY'!Q978+'RAP TEMPLATE-GAS AVAILABILITY'!R978)</f>
        <v>84.928687769784162</v>
      </c>
    </row>
    <row r="980" spans="1:29" ht="15.75" x14ac:dyDescent="0.25">
      <c r="A980" s="13">
        <v>70737</v>
      </c>
      <c r="B980" s="10">
        <f>CHOOSE(CONTROL!$C$42, 81.4678, 81.4678) * CHOOSE(CONTROL!$C$21, $C$9, 100%, $E$9)</f>
        <v>81.467799999999997</v>
      </c>
      <c r="C980" s="10">
        <f>CHOOSE(CONTROL!$C$42, 81.4757, 81.4757) * CHOOSE(CONTROL!$C$21, $C$9, 100%, $E$9)</f>
        <v>81.475700000000003</v>
      </c>
      <c r="D980" s="10">
        <f>CHOOSE(CONTROL!$C$42, 81.6681, 81.6681) * CHOOSE(CONTROL!$C$21, $C$9, 100%, $E$9)</f>
        <v>81.668099999999995</v>
      </c>
      <c r="E980" s="10">
        <f>CHOOSE(CONTROL!$C$42, 81.6992, 81.6992) * CHOOSE(CONTROL!$C$21, $C$9, 100%, $E$9)</f>
        <v>81.699200000000005</v>
      </c>
      <c r="F980" s="10">
        <f>CHOOSE(CONTROL!$C$42, 81.4348, 81.4348)*CHOOSE(CONTROL!$C$21, $C$9, 100%, $E$9)</f>
        <v>81.434799999999996</v>
      </c>
      <c r="G980" s="10">
        <f>CHOOSE(CONTROL!$C$42, 81.4522, 81.4522)*CHOOSE(CONTROL!$C$21, $C$9, 100%, $E$9)</f>
        <v>81.452200000000005</v>
      </c>
      <c r="H980" s="10">
        <f>CHOOSE(CONTROL!$C$42, 81.6879, 81.6879) * CHOOSE(CONTROL!$C$21, $C$9, 100%, $E$9)</f>
        <v>81.687899999999999</v>
      </c>
      <c r="I980" s="10">
        <f>CHOOSE(CONTROL!$C$42, 81.4343, 81.4343)* CHOOSE(CONTROL!$C$21, $C$9, 100%, $E$9)</f>
        <v>81.434299999999993</v>
      </c>
      <c r="J980" s="10">
        <f>CHOOSE(CONTROL!$C$42, 81.4278, 81.4278)* CHOOSE(CONTROL!$C$21, $C$9, 100%, $E$9)</f>
        <v>81.427800000000005</v>
      </c>
      <c r="K980" s="54">
        <f>CHOOSE(CONTROL!$C$42, 81.4304, 81.4304) * CHOOSE(CONTROL!$C$21, $C$9, 100%, $E$9)</f>
        <v>81.430400000000006</v>
      </c>
      <c r="L980" s="10">
        <f>CHOOSE(CONTROL!$C$42, 82.2749, 82.2749) * CHOOSE(CONTROL!$C$21, $C$9, 100%, $E$9)</f>
        <v>82.274900000000002</v>
      </c>
      <c r="M980" s="10">
        <f>CHOOSE(CONTROL!$C$42, 80.6199, 80.6199) * CHOOSE(CONTROL!$C$21, $C$9, 100%, $E$9)</f>
        <v>80.619900000000001</v>
      </c>
      <c r="N980" s="10">
        <f>CHOOSE(CONTROL!$C$42, 80.6371, 80.6371) * CHOOSE(CONTROL!$C$21, $C$9, 100%, $E$9)</f>
        <v>80.637100000000004</v>
      </c>
      <c r="O980" s="10">
        <f>CHOOSE(CONTROL!$C$42, 80.8773, 80.8773) * CHOOSE(CONTROL!$C$21, $C$9, 100%, $E$9)</f>
        <v>80.877300000000005</v>
      </c>
      <c r="P980" s="10">
        <f>CHOOSE(CONTROL!$C$42, 80.6264, 80.6264) * CHOOSE(CONTROL!$C$21, $C$9, 100%, $E$9)</f>
        <v>80.626400000000004</v>
      </c>
      <c r="Q980" s="10">
        <f>CHOOSE(CONTROL!$C$42, 81.4726, 81.4726) * CHOOSE(CONTROL!$C$21, $C$9, 100%, $E$9)</f>
        <v>81.4726</v>
      </c>
      <c r="R980" s="10">
        <f>CHOOSE(CONTROL!$C$42, 82.2633, 82.2633) * CHOOSE(CONTROL!$C$21, $C$9, 100%, $E$9)</f>
        <v>82.263300000000001</v>
      </c>
      <c r="S980" s="10">
        <f>CHOOSE(CONTROL!$C$42, 79.1091, 79.1091) * CHOOSE(CONTROL!$C$21, $C$9, 100%, $E$9)</f>
        <v>79.109099999999998</v>
      </c>
      <c r="T980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980" s="58">
        <f>(1000*CHOOSE(CONTROL!$C$42, 695, 695)*CHOOSE(CONTROL!$C$42, 0.5599, 0.5599)*CHOOSE(CONTROL!$C$42, 31, 31))/1000000</f>
        <v>12.063045499999998</v>
      </c>
      <c r="V980" s="58">
        <f>(1000*CHOOSE(CONTROL!$C$42, 500, 500)*CHOOSE(CONTROL!$C$42, 0.275, 0.275)*CHOOSE(CONTROL!$C$42, 31, 31))/1000000</f>
        <v>4.2625000000000002</v>
      </c>
      <c r="W980" s="58">
        <f>(1000*CHOOSE(CONTROL!$C$42, 0.1146, 0.1146)*CHOOSE(CONTROL!$C$42, 121.5, 121.5)*CHOOSE(CONTROL!$C$42, 31, 31))/1000000</f>
        <v>0.43164089999999994</v>
      </c>
      <c r="X980" s="58">
        <f>(31*0.1790888*245000/1000000)+(31*0.2374*100000/1000000)</f>
        <v>2.0961194359999999</v>
      </c>
      <c r="Y980" s="58"/>
      <c r="Z980" s="10"/>
      <c r="AA980" s="57"/>
      <c r="AB980" s="51">
        <f>(B980*194.205+C980*267.466+D980*133.845+E980*53.484+F980*40+G980*185+H980*0+I980*100+J980*300)/(194.205+267.466+133.845+53.484+0+40+185+100+300)</f>
        <v>81.484866195054934</v>
      </c>
      <c r="AC980" s="27">
        <f>(M980*'RAP TEMPLATE-GAS AVAILABILITY'!O979+N980*'RAP TEMPLATE-GAS AVAILABILITY'!P979+O980*'RAP TEMPLATE-GAS AVAILABILITY'!Q979+P980*'RAP TEMPLATE-GAS AVAILABILITY'!R979)/('RAP TEMPLATE-GAS AVAILABILITY'!O979+'RAP TEMPLATE-GAS AVAILABILITY'!P979+'RAP TEMPLATE-GAS AVAILABILITY'!Q979+'RAP TEMPLATE-GAS AVAILABILITY'!R979)</f>
        <v>80.738488489208635</v>
      </c>
    </row>
    <row r="981" spans="1:29" ht="15.75" x14ac:dyDescent="0.25">
      <c r="A981" s="13">
        <v>70767</v>
      </c>
      <c r="B981" s="10">
        <f>CHOOSE(CONTROL!$C$42, 76.2955, 76.2955) * CHOOSE(CONTROL!$C$21, $C$9, 100%, $E$9)</f>
        <v>76.295500000000004</v>
      </c>
      <c r="C981" s="10">
        <f>CHOOSE(CONTROL!$C$42, 76.3034, 76.3034) * CHOOSE(CONTROL!$C$21, $C$9, 100%, $E$9)</f>
        <v>76.303399999999996</v>
      </c>
      <c r="D981" s="10">
        <f>CHOOSE(CONTROL!$C$42, 76.4958, 76.4958) * CHOOSE(CONTROL!$C$21, $C$9, 100%, $E$9)</f>
        <v>76.495800000000003</v>
      </c>
      <c r="E981" s="10">
        <f>CHOOSE(CONTROL!$C$42, 76.527, 76.527) * CHOOSE(CONTROL!$C$21, $C$9, 100%, $E$9)</f>
        <v>76.527000000000001</v>
      </c>
      <c r="F981" s="10">
        <f>CHOOSE(CONTROL!$C$42, 76.2624, 76.2624)*CHOOSE(CONTROL!$C$21, $C$9, 100%, $E$9)</f>
        <v>76.2624</v>
      </c>
      <c r="G981" s="10">
        <f>CHOOSE(CONTROL!$C$42, 76.2797, 76.2797)*CHOOSE(CONTROL!$C$21, $C$9, 100%, $E$9)</f>
        <v>76.279700000000005</v>
      </c>
      <c r="H981" s="10">
        <f>CHOOSE(CONTROL!$C$42, 76.5156, 76.5156) * CHOOSE(CONTROL!$C$21, $C$9, 100%, $E$9)</f>
        <v>76.515600000000006</v>
      </c>
      <c r="I981" s="10">
        <f>CHOOSE(CONTROL!$C$42, 76.2621, 76.2621)* CHOOSE(CONTROL!$C$21, $C$9, 100%, $E$9)</f>
        <v>76.262100000000004</v>
      </c>
      <c r="J981" s="10">
        <f>CHOOSE(CONTROL!$C$42, 76.2554, 76.2554)* CHOOSE(CONTROL!$C$21, $C$9, 100%, $E$9)</f>
        <v>76.255399999999995</v>
      </c>
      <c r="K981" s="54">
        <f>CHOOSE(CONTROL!$C$42, 76.2582, 76.2582) * CHOOSE(CONTROL!$C$21, $C$9, 100%, $E$9)</f>
        <v>76.258200000000002</v>
      </c>
      <c r="L981" s="10">
        <f>CHOOSE(CONTROL!$C$42, 77.1026, 77.1026) * CHOOSE(CONTROL!$C$21, $C$9, 100%, $E$9)</f>
        <v>77.102599999999995</v>
      </c>
      <c r="M981" s="10">
        <f>CHOOSE(CONTROL!$C$42, 75.4997, 75.4997) * CHOOSE(CONTROL!$C$21, $C$9, 100%, $E$9)</f>
        <v>75.499700000000004</v>
      </c>
      <c r="N981" s="10">
        <f>CHOOSE(CONTROL!$C$42, 75.5168, 75.5168) * CHOOSE(CONTROL!$C$21, $C$9, 100%, $E$9)</f>
        <v>75.516800000000003</v>
      </c>
      <c r="O981" s="10">
        <f>CHOOSE(CONTROL!$C$42, 75.7573, 75.7573) * CHOOSE(CONTROL!$C$21, $C$9, 100%, $E$9)</f>
        <v>75.757300000000001</v>
      </c>
      <c r="P981" s="10">
        <f>CHOOSE(CONTROL!$C$42, 75.5063, 75.5063) * CHOOSE(CONTROL!$C$21, $C$9, 100%, $E$9)</f>
        <v>75.506299999999996</v>
      </c>
      <c r="Q981" s="10">
        <f>CHOOSE(CONTROL!$C$42, 76.3526, 76.3526) * CHOOSE(CONTROL!$C$21, $C$9, 100%, $E$9)</f>
        <v>76.352599999999995</v>
      </c>
      <c r="R981" s="10">
        <f>CHOOSE(CONTROL!$C$42, 77.1304, 77.1304) * CHOOSE(CONTROL!$C$21, $C$9, 100%, $E$9)</f>
        <v>77.130399999999995</v>
      </c>
      <c r="S981" s="10">
        <f>CHOOSE(CONTROL!$C$42, 74.0863, 74.0863) * CHOOSE(CONTROL!$C$21, $C$9, 100%, $E$9)</f>
        <v>74.086299999999994</v>
      </c>
      <c r="T981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981" s="58">
        <f>(1000*CHOOSE(CONTROL!$C$42, 695, 695)*CHOOSE(CONTROL!$C$42, 0.5599, 0.5599)*CHOOSE(CONTROL!$C$42, 30, 30))/1000000</f>
        <v>11.673914999999997</v>
      </c>
      <c r="V981" s="58">
        <f>(1000*CHOOSE(CONTROL!$C$42, 500, 500)*CHOOSE(CONTROL!$C$42, 0.275, 0.275)*CHOOSE(CONTROL!$C$42, 30, 30))/1000000</f>
        <v>4.125</v>
      </c>
      <c r="W981" s="58">
        <f>(1000*CHOOSE(CONTROL!$C$42, 0.1146, 0.1146)*CHOOSE(CONTROL!$C$42, 121.5, 121.5)*CHOOSE(CONTROL!$C$42, 30, 30))/1000000</f>
        <v>0.417717</v>
      </c>
      <c r="X981" s="58">
        <f>(30*0.1790888*245000/1000000)+(30*0.2374*100000/1000000)</f>
        <v>2.0285026799999999</v>
      </c>
      <c r="Y981" s="58"/>
      <c r="Z981" s="10"/>
      <c r="AA981" s="57"/>
      <c r="AB981" s="51">
        <f>(B981*194.205+C981*267.466+D981*133.845+E981*53.484+F981*40+G981*185+H981*0+I981*100+J981*300)/(194.205+267.466+133.845+53.484+0+40+185+100+300)</f>
        <v>76.312522512480385</v>
      </c>
      <c r="AC981" s="27">
        <f>(M981*'RAP TEMPLATE-GAS AVAILABILITY'!O980+N981*'RAP TEMPLATE-GAS AVAILABILITY'!P980+O981*'RAP TEMPLATE-GAS AVAILABILITY'!Q980+P981*'RAP TEMPLATE-GAS AVAILABILITY'!R980)/('RAP TEMPLATE-GAS AVAILABILITY'!O980+'RAP TEMPLATE-GAS AVAILABILITY'!P980+'RAP TEMPLATE-GAS AVAILABILITY'!Q980+'RAP TEMPLATE-GAS AVAILABILITY'!R980)</f>
        <v>75.618387769784164</v>
      </c>
    </row>
    <row r="982" spans="1:29" ht="15.75" x14ac:dyDescent="0.25">
      <c r="A982" s="13">
        <v>70798</v>
      </c>
      <c r="B982" s="10">
        <f>CHOOSE(CONTROL!$C$42, 74.7447, 74.7447) * CHOOSE(CONTROL!$C$21, $C$9, 100%, $E$9)</f>
        <v>74.744699999999995</v>
      </c>
      <c r="C982" s="10">
        <f>CHOOSE(CONTROL!$C$42, 74.7499, 74.7499) * CHOOSE(CONTROL!$C$21, $C$9, 100%, $E$9)</f>
        <v>74.749899999999997</v>
      </c>
      <c r="D982" s="10">
        <f>CHOOSE(CONTROL!$C$42, 74.9473, 74.9473) * CHOOSE(CONTROL!$C$21, $C$9, 100%, $E$9)</f>
        <v>74.947299999999998</v>
      </c>
      <c r="E982" s="10">
        <f>CHOOSE(CONTROL!$C$42, 74.9761, 74.9761) * CHOOSE(CONTROL!$C$21, $C$9, 100%, $E$9)</f>
        <v>74.976100000000002</v>
      </c>
      <c r="F982" s="10">
        <f>CHOOSE(CONTROL!$C$42, 74.7136, 74.7136)*CHOOSE(CONTROL!$C$21, $C$9, 100%, $E$9)</f>
        <v>74.7136</v>
      </c>
      <c r="G982" s="10">
        <f>CHOOSE(CONTROL!$C$42, 74.7306, 74.7306)*CHOOSE(CONTROL!$C$21, $C$9, 100%, $E$9)</f>
        <v>74.730599999999995</v>
      </c>
      <c r="H982" s="10">
        <f>CHOOSE(CONTROL!$C$42, 74.9666, 74.9666) * CHOOSE(CONTROL!$C$21, $C$9, 100%, $E$9)</f>
        <v>74.9666</v>
      </c>
      <c r="I982" s="10">
        <f>CHOOSE(CONTROL!$C$42, 74.7131, 74.7131)* CHOOSE(CONTROL!$C$21, $C$9, 100%, $E$9)</f>
        <v>74.713099999999997</v>
      </c>
      <c r="J982" s="10">
        <f>CHOOSE(CONTROL!$C$42, 74.7066, 74.7066)* CHOOSE(CONTROL!$C$21, $C$9, 100%, $E$9)</f>
        <v>74.706599999999995</v>
      </c>
      <c r="K982" s="54">
        <f>CHOOSE(CONTROL!$C$42, 74.7092, 74.7092) * CHOOSE(CONTROL!$C$21, $C$9, 100%, $E$9)</f>
        <v>74.709199999999996</v>
      </c>
      <c r="L982" s="10">
        <f>CHOOSE(CONTROL!$C$42, 75.5536, 75.5536) * CHOOSE(CONTROL!$C$21, $C$9, 100%, $E$9)</f>
        <v>75.553600000000003</v>
      </c>
      <c r="M982" s="10">
        <f>CHOOSE(CONTROL!$C$42, 73.9665, 73.9665) * CHOOSE(CONTROL!$C$21, $C$9, 100%, $E$9)</f>
        <v>73.966499999999996</v>
      </c>
      <c r="N982" s="10">
        <f>CHOOSE(CONTROL!$C$42, 73.9833, 73.9833) * CHOOSE(CONTROL!$C$21, $C$9, 100%, $E$9)</f>
        <v>73.9833</v>
      </c>
      <c r="O982" s="10">
        <f>CHOOSE(CONTROL!$C$42, 74.2239, 74.2239) * CHOOSE(CONTROL!$C$21, $C$9, 100%, $E$9)</f>
        <v>74.2239</v>
      </c>
      <c r="P982" s="10">
        <f>CHOOSE(CONTROL!$C$42, 73.9729, 73.9729) * CHOOSE(CONTROL!$C$21, $C$9, 100%, $E$9)</f>
        <v>73.972899999999996</v>
      </c>
      <c r="Q982" s="10">
        <f>CHOOSE(CONTROL!$C$42, 74.8192, 74.8192) * CHOOSE(CONTROL!$C$21, $C$9, 100%, $E$9)</f>
        <v>74.819199999999995</v>
      </c>
      <c r="R982" s="10">
        <f>CHOOSE(CONTROL!$C$42, 75.5932, 75.5932) * CHOOSE(CONTROL!$C$21, $C$9, 100%, $E$9)</f>
        <v>75.593199999999996</v>
      </c>
      <c r="S982" s="10">
        <f>CHOOSE(CONTROL!$C$42, 72.5821, 72.5821) * CHOOSE(CONTROL!$C$21, $C$9, 100%, $E$9)</f>
        <v>72.582099999999997</v>
      </c>
      <c r="T982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982" s="58">
        <f>(1000*CHOOSE(CONTROL!$C$42, 695, 695)*CHOOSE(CONTROL!$C$42, 0.5599, 0.5599)*CHOOSE(CONTROL!$C$42, 31, 31))/1000000</f>
        <v>12.063045499999998</v>
      </c>
      <c r="V982" s="58">
        <f>(1000*CHOOSE(CONTROL!$C$42, 500, 500)*CHOOSE(CONTROL!$C$42, 0.275, 0.275)*CHOOSE(CONTROL!$C$42, 31, 31))/1000000</f>
        <v>4.2625000000000002</v>
      </c>
      <c r="W982" s="58">
        <f>(1000*CHOOSE(CONTROL!$C$42, 0.1146, 0.1146)*CHOOSE(CONTROL!$C$42, 121.5, 121.5)*CHOOSE(CONTROL!$C$42, 31, 31))/1000000</f>
        <v>0.43164089999999994</v>
      </c>
      <c r="X982" s="58">
        <f>(31*0.1790888*245000/1000000)+(31*0.2374*100000/1000000)</f>
        <v>2.0961194359999999</v>
      </c>
      <c r="Y982" s="58"/>
      <c r="Z982" s="10"/>
      <c r="AA982" s="57"/>
      <c r="AB982" s="51">
        <f>(B982*131.881+C982*277.167+D982*79.08+E982*125.872+F982*40+G982*185+H982*0+I982*100+J982*300)/(131.881+277.167+79.08+125.872+0+40+185+100+300)</f>
        <v>74.767417641000804</v>
      </c>
      <c r="AC982" s="27">
        <f>(M982*'RAP TEMPLATE-GAS AVAILABILITY'!O981+N982*'RAP TEMPLATE-GAS AVAILABILITY'!P981+O982*'RAP TEMPLATE-GAS AVAILABILITY'!Q981+P982*'RAP TEMPLATE-GAS AVAILABILITY'!R981)/('RAP TEMPLATE-GAS AVAILABILITY'!O981+'RAP TEMPLATE-GAS AVAILABILITY'!P981+'RAP TEMPLATE-GAS AVAILABILITY'!Q981+'RAP TEMPLATE-GAS AVAILABILITY'!R981)</f>
        <v>74.08505107913669</v>
      </c>
    </row>
    <row r="983" spans="1:29" ht="15.75" x14ac:dyDescent="0.25">
      <c r="A983" s="13">
        <v>70828</v>
      </c>
      <c r="B983" s="10">
        <f>CHOOSE(CONTROL!$C$42, 76.7134, 76.7134) * CHOOSE(CONTROL!$C$21, $C$9, 100%, $E$9)</f>
        <v>76.713399999999993</v>
      </c>
      <c r="C983" s="10">
        <f>CHOOSE(CONTROL!$C$42, 76.7183, 76.7183) * CHOOSE(CONTROL!$C$21, $C$9, 100%, $E$9)</f>
        <v>76.718299999999999</v>
      </c>
      <c r="D983" s="10">
        <f>CHOOSE(CONTROL!$C$42, 76.7479, 76.7479) * CHOOSE(CONTROL!$C$21, $C$9, 100%, $E$9)</f>
        <v>76.747900000000001</v>
      </c>
      <c r="E983" s="10">
        <f>CHOOSE(CONTROL!$C$42, 76.7817, 76.7817) * CHOOSE(CONTROL!$C$21, $C$9, 100%, $E$9)</f>
        <v>76.781700000000001</v>
      </c>
      <c r="F983" s="10">
        <f>CHOOSE(CONTROL!$C$42, 76.6802, 76.6802)*CHOOSE(CONTROL!$C$21, $C$9, 100%, $E$9)</f>
        <v>76.680199999999999</v>
      </c>
      <c r="G983" s="10">
        <f>CHOOSE(CONTROL!$C$42, 76.6973, 76.6973)*CHOOSE(CONTROL!$C$21, $C$9, 100%, $E$9)</f>
        <v>76.697299999999998</v>
      </c>
      <c r="H983" s="10">
        <f>CHOOSE(CONTROL!$C$42, 76.7709, 76.7709) * CHOOSE(CONTROL!$C$21, $C$9, 100%, $E$9)</f>
        <v>76.770899999999997</v>
      </c>
      <c r="I983" s="10">
        <f>CHOOSE(CONTROL!$C$42, 76.677, 76.677)* CHOOSE(CONTROL!$C$21, $C$9, 100%, $E$9)</f>
        <v>76.677000000000007</v>
      </c>
      <c r="J983" s="10">
        <f>CHOOSE(CONTROL!$C$42, 76.6732, 76.6732)* CHOOSE(CONTROL!$C$21, $C$9, 100%, $E$9)</f>
        <v>76.673199999999994</v>
      </c>
      <c r="K983" s="54">
        <f>CHOOSE(CONTROL!$C$42, 76.6731, 76.6731) * CHOOSE(CONTROL!$C$21, $C$9, 100%, $E$9)</f>
        <v>76.673100000000005</v>
      </c>
      <c r="L983" s="10">
        <f>CHOOSE(CONTROL!$C$42, 77.3579, 77.3579) * CHOOSE(CONTROL!$C$21, $C$9, 100%, $E$9)</f>
        <v>77.357900000000001</v>
      </c>
      <c r="M983" s="10">
        <f>CHOOSE(CONTROL!$C$42, 75.9132, 75.9132) * CHOOSE(CONTROL!$C$21, $C$9, 100%, $E$9)</f>
        <v>75.913200000000003</v>
      </c>
      <c r="N983" s="10">
        <f>CHOOSE(CONTROL!$C$42, 75.9302, 75.9302) * CHOOSE(CONTROL!$C$21, $C$9, 100%, $E$9)</f>
        <v>75.930199999999999</v>
      </c>
      <c r="O983" s="10">
        <f>CHOOSE(CONTROL!$C$42, 76.01, 76.01) * CHOOSE(CONTROL!$C$21, $C$9, 100%, $E$9)</f>
        <v>76.010000000000005</v>
      </c>
      <c r="P983" s="10">
        <f>CHOOSE(CONTROL!$C$42, 75.917, 75.917) * CHOOSE(CONTROL!$C$21, $C$9, 100%, $E$9)</f>
        <v>75.917000000000002</v>
      </c>
      <c r="Q983" s="10">
        <f>CHOOSE(CONTROL!$C$42, 76.6053, 76.6053) * CHOOSE(CONTROL!$C$21, $C$9, 100%, $E$9)</f>
        <v>76.6053</v>
      </c>
      <c r="R983" s="10">
        <f>CHOOSE(CONTROL!$C$42, 77.3838, 77.3838) * CHOOSE(CONTROL!$C$21, $C$9, 100%, $E$9)</f>
        <v>77.383799999999994</v>
      </c>
      <c r="S983" s="10">
        <f>CHOOSE(CONTROL!$C$42, 74.4942, 74.4942) * CHOOSE(CONTROL!$C$21, $C$9, 100%, $E$9)</f>
        <v>74.494200000000006</v>
      </c>
      <c r="T983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983" s="58">
        <f>(1000*CHOOSE(CONTROL!$C$42, 695, 695)*CHOOSE(CONTROL!$C$42, 0.5599, 0.5599)*CHOOSE(CONTROL!$C$42, 30, 30))/1000000</f>
        <v>11.673914999999997</v>
      </c>
      <c r="V983" s="58">
        <f>(1000*CHOOSE(CONTROL!$C$42, 500, 500)*CHOOSE(CONTROL!$C$42, 0.275, 0.275)*CHOOSE(CONTROL!$C$42, 30, 30))/1000000</f>
        <v>4.125</v>
      </c>
      <c r="W983" s="58">
        <f>(1000*CHOOSE(CONTROL!$C$42, 0.1146, 0.1146)*CHOOSE(CONTROL!$C$42, 121.5, 121.5)*CHOOSE(CONTROL!$C$42, 30, 30))/1000000</f>
        <v>0.417717</v>
      </c>
      <c r="X983" s="58">
        <f>(30*0.1790888*100000/1000000)+(30*0.2374*100000/1000000)</f>
        <v>1.2494664</v>
      </c>
      <c r="Y983" s="58"/>
      <c r="Z983" s="10"/>
      <c r="AA983" s="57"/>
      <c r="AB983" s="51">
        <f>(B983*122.58+C983*297.941+D983*89.177+E983*40.302+F983*40+G983*160+H983*0+I983*100+J983*300)/(122.58+297.941+89.177+40.302+0+40+160+100+300)</f>
        <v>76.702691429565206</v>
      </c>
      <c r="AC983" s="27">
        <f>(M983*'RAP TEMPLATE-GAS AVAILABILITY'!O982+N983*'RAP TEMPLATE-GAS AVAILABILITY'!P982+O983*'RAP TEMPLATE-GAS AVAILABILITY'!Q982+P983*'RAP TEMPLATE-GAS AVAILABILITY'!R982)/('RAP TEMPLATE-GAS AVAILABILITY'!O982+'RAP TEMPLATE-GAS AVAILABILITY'!P982+'RAP TEMPLATE-GAS AVAILABILITY'!Q982+'RAP TEMPLATE-GAS AVAILABILITY'!R982)</f>
        <v>75.958598561151078</v>
      </c>
    </row>
    <row r="984" spans="1:29" ht="15.75" x14ac:dyDescent="0.25">
      <c r="A984" s="13">
        <v>70859</v>
      </c>
      <c r="B984" s="10">
        <f>CHOOSE(CONTROL!$C$42, 81.9434, 81.9434) * CHOOSE(CONTROL!$C$21, $C$9, 100%, $E$9)</f>
        <v>81.943399999999997</v>
      </c>
      <c r="C984" s="10">
        <f>CHOOSE(CONTROL!$C$42, 81.9484, 81.9484) * CHOOSE(CONTROL!$C$21, $C$9, 100%, $E$9)</f>
        <v>81.948400000000007</v>
      </c>
      <c r="D984" s="10">
        <f>CHOOSE(CONTROL!$C$42, 81.978, 81.978) * CHOOSE(CONTROL!$C$21, $C$9, 100%, $E$9)</f>
        <v>81.977999999999994</v>
      </c>
      <c r="E984" s="10">
        <f>CHOOSE(CONTROL!$C$42, 82.0118, 82.0118) * CHOOSE(CONTROL!$C$21, $C$9, 100%, $E$9)</f>
        <v>82.011799999999994</v>
      </c>
      <c r="F984" s="10">
        <f>CHOOSE(CONTROL!$C$42, 81.9117, 81.9117)*CHOOSE(CONTROL!$C$21, $C$9, 100%, $E$9)</f>
        <v>81.911699999999996</v>
      </c>
      <c r="G984" s="10">
        <f>CHOOSE(CONTROL!$C$42, 81.9292, 81.9292)*CHOOSE(CONTROL!$C$21, $C$9, 100%, $E$9)</f>
        <v>81.929199999999994</v>
      </c>
      <c r="H984" s="10">
        <f>CHOOSE(CONTROL!$C$42, 82.001, 82.001) * CHOOSE(CONTROL!$C$21, $C$9, 100%, $E$9)</f>
        <v>82.001000000000005</v>
      </c>
      <c r="I984" s="10">
        <f>CHOOSE(CONTROL!$C$42, 81.907, 81.907)* CHOOSE(CONTROL!$C$21, $C$9, 100%, $E$9)</f>
        <v>81.906999999999996</v>
      </c>
      <c r="J984" s="10">
        <f>CHOOSE(CONTROL!$C$42, 81.9047, 81.9047)* CHOOSE(CONTROL!$C$21, $C$9, 100%, $E$9)</f>
        <v>81.904700000000005</v>
      </c>
      <c r="K984" s="54">
        <f>CHOOSE(CONTROL!$C$42, 81.9032, 81.9032) * CHOOSE(CONTROL!$C$21, $C$9, 100%, $E$9)</f>
        <v>81.903199999999998</v>
      </c>
      <c r="L984" s="10">
        <f>CHOOSE(CONTROL!$C$42, 82.588, 82.588) * CHOOSE(CONTROL!$C$21, $C$9, 100%, $E$9)</f>
        <v>82.587999999999994</v>
      </c>
      <c r="M984" s="10">
        <f>CHOOSE(CONTROL!$C$42, 81.0919, 81.0919) * CHOOSE(CONTROL!$C$21, $C$9, 100%, $E$9)</f>
        <v>81.091899999999995</v>
      </c>
      <c r="N984" s="10">
        <f>CHOOSE(CONTROL!$C$42, 81.1092, 81.1092) * CHOOSE(CONTROL!$C$21, $C$9, 100%, $E$9)</f>
        <v>81.109200000000001</v>
      </c>
      <c r="O984" s="10">
        <f>CHOOSE(CONTROL!$C$42, 81.1873, 81.1873) * CHOOSE(CONTROL!$C$21, $C$9, 100%, $E$9)</f>
        <v>81.187299999999993</v>
      </c>
      <c r="P984" s="10">
        <f>CHOOSE(CONTROL!$C$42, 81.0943, 81.0943) * CHOOSE(CONTROL!$C$21, $C$9, 100%, $E$9)</f>
        <v>81.094300000000004</v>
      </c>
      <c r="Q984" s="10">
        <f>CHOOSE(CONTROL!$C$42, 81.7826, 81.7826) * CHOOSE(CONTROL!$C$21, $C$9, 100%, $E$9)</f>
        <v>81.782600000000002</v>
      </c>
      <c r="R984" s="10">
        <f>CHOOSE(CONTROL!$C$42, 82.574, 82.574) * CHOOSE(CONTROL!$C$21, $C$9, 100%, $E$9)</f>
        <v>82.573999999999998</v>
      </c>
      <c r="S984" s="10">
        <f>CHOOSE(CONTROL!$C$42, 79.5731, 79.5731) * CHOOSE(CONTROL!$C$21, $C$9, 100%, $E$9)</f>
        <v>79.573099999999997</v>
      </c>
      <c r="T984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984" s="58">
        <f>(1000*CHOOSE(CONTROL!$C$42, 695, 695)*CHOOSE(CONTROL!$C$42, 0.5599, 0.5599)*CHOOSE(CONTROL!$C$42, 31, 31))/1000000</f>
        <v>12.063045499999998</v>
      </c>
      <c r="V984" s="58">
        <f>(1000*CHOOSE(CONTROL!$C$42, 500, 500)*CHOOSE(CONTROL!$C$42, 0.275, 0.275)*CHOOSE(CONTROL!$C$42, 31, 31))/1000000</f>
        <v>4.2625000000000002</v>
      </c>
      <c r="W984" s="58">
        <f>(1000*CHOOSE(CONTROL!$C$42, 0.1146, 0.1146)*CHOOSE(CONTROL!$C$42, 121.5, 121.5)*CHOOSE(CONTROL!$C$42, 31, 31))/1000000</f>
        <v>0.43164089999999994</v>
      </c>
      <c r="X984" s="58">
        <f>(31*0.1790888*100000/1000000)+(31*0.2374*100000/1000000)</f>
        <v>1.2911152800000001</v>
      </c>
      <c r="Y984" s="58"/>
      <c r="Z984" s="10"/>
      <c r="AA984" s="57"/>
      <c r="AB984" s="51">
        <f>(B984*122.58+C984*297.941+D984*89.177+E984*40.302+F984*40+G984*160+H984*0+I984*100+J984*300)/(122.58+297.941+89.177+40.302+0+40+160+100+300)</f>
        <v>81.933436422608708</v>
      </c>
      <c r="AC984" s="27">
        <f>(M984*'RAP TEMPLATE-GAS AVAILABILITY'!O983+N984*'RAP TEMPLATE-GAS AVAILABILITY'!P983+O984*'RAP TEMPLATE-GAS AVAILABILITY'!Q983+P984*'RAP TEMPLATE-GAS AVAILABILITY'!R983)/('RAP TEMPLATE-GAS AVAILABILITY'!O983+'RAP TEMPLATE-GAS AVAILABILITY'!P983+'RAP TEMPLATE-GAS AVAILABILITY'!Q983+'RAP TEMPLATE-GAS AVAILABILITY'!R983)</f>
        <v>81.136479856115102</v>
      </c>
    </row>
    <row r="985" spans="1:29" ht="15.75" x14ac:dyDescent="0.25">
      <c r="A985" s="13">
        <v>70890</v>
      </c>
      <c r="B985" s="10">
        <f>CHOOSE(CONTROL!$C$42, 88.6574, 88.6574) * CHOOSE(CONTROL!$C$21, $C$9, 100%, $E$9)</f>
        <v>88.657399999999996</v>
      </c>
      <c r="C985" s="10">
        <f>CHOOSE(CONTROL!$C$42, 88.6624, 88.6624) * CHOOSE(CONTROL!$C$21, $C$9, 100%, $E$9)</f>
        <v>88.662400000000005</v>
      </c>
      <c r="D985" s="10">
        <f>CHOOSE(CONTROL!$C$42, 88.7126, 88.7126) * CHOOSE(CONTROL!$C$21, $C$9, 100%, $E$9)</f>
        <v>88.712599999999995</v>
      </c>
      <c r="E985" s="10">
        <f>CHOOSE(CONTROL!$C$42, 88.7463, 88.7463) * CHOOSE(CONTROL!$C$21, $C$9, 100%, $E$9)</f>
        <v>88.746300000000005</v>
      </c>
      <c r="F985" s="10">
        <f>CHOOSE(CONTROL!$C$42, 88.6228, 88.6228)*CHOOSE(CONTROL!$C$21, $C$9, 100%, $E$9)</f>
        <v>88.622799999999998</v>
      </c>
      <c r="G985" s="10">
        <f>CHOOSE(CONTROL!$C$42, 88.6403, 88.6403)*CHOOSE(CONTROL!$C$21, $C$9, 100%, $E$9)</f>
        <v>88.640299999999996</v>
      </c>
      <c r="H985" s="10">
        <f>CHOOSE(CONTROL!$C$42, 88.7355, 88.7355) * CHOOSE(CONTROL!$C$21, $C$9, 100%, $E$9)</f>
        <v>88.735500000000002</v>
      </c>
      <c r="I985" s="10">
        <f>CHOOSE(CONTROL!$C$42, 88.6313, 88.6313)* CHOOSE(CONTROL!$C$21, $C$9, 100%, $E$9)</f>
        <v>88.631299999999996</v>
      </c>
      <c r="J985" s="10">
        <f>CHOOSE(CONTROL!$C$42, 88.6158, 88.6158)* CHOOSE(CONTROL!$C$21, $C$9, 100%, $E$9)</f>
        <v>88.615799999999993</v>
      </c>
      <c r="K985" s="54">
        <f>CHOOSE(CONTROL!$C$42, 88.6274, 88.6274) * CHOOSE(CONTROL!$C$21, $C$9, 100%, $E$9)</f>
        <v>88.627399999999994</v>
      </c>
      <c r="L985" s="10">
        <f>CHOOSE(CONTROL!$C$42, 89.3225, 89.3225) * CHOOSE(CONTROL!$C$21, $C$9, 100%, $E$9)</f>
        <v>89.322500000000005</v>
      </c>
      <c r="M985" s="10">
        <f>CHOOSE(CONTROL!$C$42, 87.7353, 87.7353) * CHOOSE(CONTROL!$C$21, $C$9, 100%, $E$9)</f>
        <v>87.735299999999995</v>
      </c>
      <c r="N985" s="10">
        <f>CHOOSE(CONTROL!$C$42, 87.7527, 87.7527) * CHOOSE(CONTROL!$C$21, $C$9, 100%, $E$9)</f>
        <v>87.752700000000004</v>
      </c>
      <c r="O985" s="10">
        <f>CHOOSE(CONTROL!$C$42, 87.8539, 87.8539) * CHOOSE(CONTROL!$C$21, $C$9, 100%, $E$9)</f>
        <v>87.853899999999996</v>
      </c>
      <c r="P985" s="10">
        <f>CHOOSE(CONTROL!$C$42, 87.7507, 87.7507) * CHOOSE(CONTROL!$C$21, $C$9, 100%, $E$9)</f>
        <v>87.750699999999995</v>
      </c>
      <c r="Q985" s="10">
        <f>CHOOSE(CONTROL!$C$42, 88.4492, 88.4492) * CHOOSE(CONTROL!$C$21, $C$9, 100%, $E$9)</f>
        <v>88.449200000000005</v>
      </c>
      <c r="R985" s="10">
        <f>CHOOSE(CONTROL!$C$42, 89.2573, 89.2573) * CHOOSE(CONTROL!$C$21, $C$9, 100%, $E$9)</f>
        <v>89.257300000000001</v>
      </c>
      <c r="S985" s="10">
        <f>CHOOSE(CONTROL!$C$42, 86.0931, 86.0931) * CHOOSE(CONTROL!$C$21, $C$9, 100%, $E$9)</f>
        <v>86.093100000000007</v>
      </c>
      <c r="T985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985" s="58">
        <f>(1000*CHOOSE(CONTROL!$C$42, 695, 695)*CHOOSE(CONTROL!$C$42, 0.5599, 0.5599)*CHOOSE(CONTROL!$C$42, 31, 31))/1000000</f>
        <v>12.063045499999998</v>
      </c>
      <c r="V985" s="58">
        <f>(1000*CHOOSE(CONTROL!$C$42, 500, 500)*CHOOSE(CONTROL!$C$42, 0.275, 0.275)*CHOOSE(CONTROL!$C$42, 31, 31))/1000000</f>
        <v>4.2625000000000002</v>
      </c>
      <c r="W985" s="58">
        <f>(1000*CHOOSE(CONTROL!$C$42, 0.1146, 0.1146)*CHOOSE(CONTROL!$C$42, 121.5, 121.5)*CHOOSE(CONTROL!$C$42, 31, 31))/1000000</f>
        <v>0.43164089999999994</v>
      </c>
      <c r="X985" s="58">
        <f>(31*0.1790888*100000/1000000)+(31*0.2374*100000/1000000)</f>
        <v>1.2911152800000001</v>
      </c>
      <c r="Y985" s="58"/>
      <c r="Z985" s="10"/>
      <c r="AA985" s="57"/>
      <c r="AB985" s="51">
        <f>(B985*122.58+C985*297.941+D985*89.177+E985*40.302+F985*40+G985*160+H985*0+I985*100+J985*300)/(122.58+297.941+89.177+40.302+0+40+160+100+300)</f>
        <v>88.649387063652171</v>
      </c>
      <c r="AC985" s="27">
        <f>(M985*'RAP TEMPLATE-GAS AVAILABILITY'!O984+N985*'RAP TEMPLATE-GAS AVAILABILITY'!P984+O985*'RAP TEMPLATE-GAS AVAILABILITY'!Q984+P985*'RAP TEMPLATE-GAS AVAILABILITY'!R984)/('RAP TEMPLATE-GAS AVAILABILITY'!O984+'RAP TEMPLATE-GAS AVAILABILITY'!P984+'RAP TEMPLATE-GAS AVAILABILITY'!Q984+'RAP TEMPLATE-GAS AVAILABILITY'!R984)</f>
        <v>87.792271223021586</v>
      </c>
    </row>
    <row r="986" spans="1:29" ht="15.75" x14ac:dyDescent="0.25">
      <c r="A986" s="13">
        <v>70918</v>
      </c>
      <c r="B986" s="10">
        <f>CHOOSE(CONTROL!$C$42, 90.2356, 90.2356) * CHOOSE(CONTROL!$C$21, $C$9, 100%, $E$9)</f>
        <v>90.235600000000005</v>
      </c>
      <c r="C986" s="10">
        <f>CHOOSE(CONTROL!$C$42, 90.2405, 90.2405) * CHOOSE(CONTROL!$C$21, $C$9, 100%, $E$9)</f>
        <v>90.240499999999997</v>
      </c>
      <c r="D986" s="10">
        <f>CHOOSE(CONTROL!$C$42, 90.301, 90.301) * CHOOSE(CONTROL!$C$21, $C$9, 100%, $E$9)</f>
        <v>90.301000000000002</v>
      </c>
      <c r="E986" s="10">
        <f>CHOOSE(CONTROL!$C$42, 90.3348, 90.3348) * CHOOSE(CONTROL!$C$21, $C$9, 100%, $E$9)</f>
        <v>90.334800000000001</v>
      </c>
      <c r="F986" s="10">
        <f>CHOOSE(CONTROL!$C$42, 90.2288, 90.2288)*CHOOSE(CONTROL!$C$21, $C$9, 100%, $E$9)</f>
        <v>90.228800000000007</v>
      </c>
      <c r="G986" s="10">
        <f>CHOOSE(CONTROL!$C$42, 90.2461, 90.2461)*CHOOSE(CONTROL!$C$21, $C$9, 100%, $E$9)</f>
        <v>90.246099999999998</v>
      </c>
      <c r="H986" s="10">
        <f>CHOOSE(CONTROL!$C$42, 90.324, 90.324) * CHOOSE(CONTROL!$C$21, $C$9, 100%, $E$9)</f>
        <v>90.323999999999998</v>
      </c>
      <c r="I986" s="10">
        <f>CHOOSE(CONTROL!$C$42, 90.2223, 90.2223)* CHOOSE(CONTROL!$C$21, $C$9, 100%, $E$9)</f>
        <v>90.222300000000004</v>
      </c>
      <c r="J986" s="10">
        <f>CHOOSE(CONTROL!$C$42, 90.2218, 90.2218)* CHOOSE(CONTROL!$C$21, $C$9, 100%, $E$9)</f>
        <v>90.221800000000002</v>
      </c>
      <c r="K986" s="54">
        <f>CHOOSE(CONTROL!$C$42, 90.2185, 90.2185) * CHOOSE(CONTROL!$C$21, $C$9, 100%, $E$9)</f>
        <v>90.218500000000006</v>
      </c>
      <c r="L986" s="10">
        <f>CHOOSE(CONTROL!$C$42, 90.911, 90.911) * CHOOSE(CONTROL!$C$21, $C$9, 100%, $E$9)</f>
        <v>90.911000000000001</v>
      </c>
      <c r="M986" s="10">
        <f>CHOOSE(CONTROL!$C$42, 89.3251, 89.3251) * CHOOSE(CONTROL!$C$21, $C$9, 100%, $E$9)</f>
        <v>89.325100000000006</v>
      </c>
      <c r="N986" s="10">
        <f>CHOOSE(CONTROL!$C$42, 89.3423, 89.3423) * CHOOSE(CONTROL!$C$21, $C$9, 100%, $E$9)</f>
        <v>89.342299999999994</v>
      </c>
      <c r="O986" s="10">
        <f>CHOOSE(CONTROL!$C$42, 89.4263, 89.4263) * CHOOSE(CONTROL!$C$21, $C$9, 100%, $E$9)</f>
        <v>89.426299999999998</v>
      </c>
      <c r="P986" s="10">
        <f>CHOOSE(CONTROL!$C$42, 89.3257, 89.3257) * CHOOSE(CONTROL!$C$21, $C$9, 100%, $E$9)</f>
        <v>89.325699999999998</v>
      </c>
      <c r="Q986" s="10">
        <f>CHOOSE(CONTROL!$C$42, 90.0216, 90.0216) * CHOOSE(CONTROL!$C$21, $C$9, 100%, $E$9)</f>
        <v>90.021600000000007</v>
      </c>
      <c r="R986" s="10">
        <f>CHOOSE(CONTROL!$C$42, 90.8337, 90.8337) * CHOOSE(CONTROL!$C$21, $C$9, 100%, $E$9)</f>
        <v>90.833699999999993</v>
      </c>
      <c r="S986" s="10">
        <f>CHOOSE(CONTROL!$C$42, 87.6256, 87.6256) * CHOOSE(CONTROL!$C$21, $C$9, 100%, $E$9)</f>
        <v>87.625600000000006</v>
      </c>
      <c r="T986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986" s="58">
        <f>(1000*CHOOSE(CONTROL!$C$42, 695, 695)*CHOOSE(CONTROL!$C$42, 0.5599, 0.5599)*CHOOSE(CONTROL!$C$42, 28, 28))/1000000</f>
        <v>10.895653999999999</v>
      </c>
      <c r="V986" s="58">
        <f>(1000*CHOOSE(CONTROL!$C$42, 500, 500)*CHOOSE(CONTROL!$C$42, 0.275, 0.275)*CHOOSE(CONTROL!$C$42, 28, 28))/1000000</f>
        <v>3.85</v>
      </c>
      <c r="W986" s="58">
        <f>(1000*CHOOSE(CONTROL!$C$42, 0.1146, 0.1146)*CHOOSE(CONTROL!$C$42, 121.5, 121.5)*CHOOSE(CONTROL!$C$42, 28, 28))/1000000</f>
        <v>0.38986920000000003</v>
      </c>
      <c r="X986" s="58">
        <f>(28*0.1790888*100000/1000000)+(28*0.2374*100000/1000000)</f>
        <v>1.16616864</v>
      </c>
      <c r="Y986" s="58"/>
      <c r="Z986" s="10"/>
      <c r="AA986" s="57"/>
      <c r="AB986" s="51">
        <f>(B986*122.58+C986*297.941+D986*89.177+E986*40.302+F986*40+G986*160+H986*0+I986*100+J986*300)/(122.58+297.941+89.177+40.302+0+40+160+100+300)</f>
        <v>90.241885256608697</v>
      </c>
      <c r="AC986" s="27">
        <f>(M986*'RAP TEMPLATE-GAS AVAILABILITY'!O985+N986*'RAP TEMPLATE-GAS AVAILABILITY'!P985+O986*'RAP TEMPLATE-GAS AVAILABILITY'!Q985+P986*'RAP TEMPLATE-GAS AVAILABILITY'!R985)/('RAP TEMPLATE-GAS AVAILABILITY'!O985+'RAP TEMPLATE-GAS AVAILABILITY'!P985+'RAP TEMPLATE-GAS AVAILABILITY'!Q985+'RAP TEMPLATE-GAS AVAILABILITY'!R985)</f>
        <v>89.372043884892079</v>
      </c>
    </row>
    <row r="987" spans="1:29" ht="15.75" x14ac:dyDescent="0.25">
      <c r="A987" s="13">
        <v>70949</v>
      </c>
      <c r="B987" s="10">
        <f>CHOOSE(CONTROL!$C$42, 87.6738, 87.6738) * CHOOSE(CONTROL!$C$21, $C$9, 100%, $E$9)</f>
        <v>87.6738</v>
      </c>
      <c r="C987" s="10">
        <f>CHOOSE(CONTROL!$C$42, 87.6788, 87.6788) * CHOOSE(CONTROL!$C$21, $C$9, 100%, $E$9)</f>
        <v>87.678799999999995</v>
      </c>
      <c r="D987" s="10">
        <f>CHOOSE(CONTROL!$C$42, 87.7393, 87.7393) * CHOOSE(CONTROL!$C$21, $C$9, 100%, $E$9)</f>
        <v>87.7393</v>
      </c>
      <c r="E987" s="10">
        <f>CHOOSE(CONTROL!$C$42, 87.773, 87.773) * CHOOSE(CONTROL!$C$21, $C$9, 100%, $E$9)</f>
        <v>87.772999999999996</v>
      </c>
      <c r="F987" s="10">
        <f>CHOOSE(CONTROL!$C$42, 87.6615, 87.6615)*CHOOSE(CONTROL!$C$21, $C$9, 100%, $E$9)</f>
        <v>87.661500000000004</v>
      </c>
      <c r="G987" s="10">
        <f>CHOOSE(CONTROL!$C$42, 87.6787, 87.6787)*CHOOSE(CONTROL!$C$21, $C$9, 100%, $E$9)</f>
        <v>87.678700000000006</v>
      </c>
      <c r="H987" s="10">
        <f>CHOOSE(CONTROL!$C$42, 87.7622, 87.7622) * CHOOSE(CONTROL!$C$21, $C$9, 100%, $E$9)</f>
        <v>87.762200000000007</v>
      </c>
      <c r="I987" s="10">
        <f>CHOOSE(CONTROL!$C$42, 87.6477, 87.6477)* CHOOSE(CONTROL!$C$21, $C$9, 100%, $E$9)</f>
        <v>87.6477</v>
      </c>
      <c r="J987" s="10">
        <f>CHOOSE(CONTROL!$C$42, 87.6545, 87.6545)* CHOOSE(CONTROL!$C$21, $C$9, 100%, $E$9)</f>
        <v>87.654499999999999</v>
      </c>
      <c r="K987" s="54">
        <f>CHOOSE(CONTROL!$C$42, 87.6438, 87.6438) * CHOOSE(CONTROL!$C$21, $C$9, 100%, $E$9)</f>
        <v>87.643799999999999</v>
      </c>
      <c r="L987" s="10">
        <f>CHOOSE(CONTROL!$C$42, 88.3492, 88.3492) * CHOOSE(CONTROL!$C$21, $C$9, 100%, $E$9)</f>
        <v>88.349199999999996</v>
      </c>
      <c r="M987" s="10">
        <f>CHOOSE(CONTROL!$C$42, 86.7838, 86.7838) * CHOOSE(CONTROL!$C$21, $C$9, 100%, $E$9)</f>
        <v>86.783799999999999</v>
      </c>
      <c r="N987" s="10">
        <f>CHOOSE(CONTROL!$C$42, 86.8008, 86.8008) * CHOOSE(CONTROL!$C$21, $C$9, 100%, $E$9)</f>
        <v>86.800799999999995</v>
      </c>
      <c r="O987" s="10">
        <f>CHOOSE(CONTROL!$C$42, 86.8904, 86.8904) * CHOOSE(CONTROL!$C$21, $C$9, 100%, $E$9)</f>
        <v>86.8904</v>
      </c>
      <c r="P987" s="10">
        <f>CHOOSE(CONTROL!$C$42, 86.7771, 86.7771) * CHOOSE(CONTROL!$C$21, $C$9, 100%, $E$9)</f>
        <v>86.777100000000004</v>
      </c>
      <c r="Q987" s="10">
        <f>CHOOSE(CONTROL!$C$42, 87.4857, 87.4857) * CHOOSE(CONTROL!$C$21, $C$9, 100%, $E$9)</f>
        <v>87.485699999999994</v>
      </c>
      <c r="R987" s="10">
        <f>CHOOSE(CONTROL!$C$42, 88.2914, 88.2914) * CHOOSE(CONTROL!$C$21, $C$9, 100%, $E$9)</f>
        <v>88.291399999999996</v>
      </c>
      <c r="S987" s="10">
        <f>CHOOSE(CONTROL!$C$42, 85.1379, 85.1379) * CHOOSE(CONTROL!$C$21, $C$9, 100%, $E$9)</f>
        <v>85.137900000000002</v>
      </c>
      <c r="T987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987" s="58">
        <f>(1000*CHOOSE(CONTROL!$C$42, 695, 695)*CHOOSE(CONTROL!$C$42, 0.5599, 0.5599)*CHOOSE(CONTROL!$C$42, 31, 31))/1000000</f>
        <v>12.063045499999998</v>
      </c>
      <c r="V987" s="58">
        <f>(1000*CHOOSE(CONTROL!$C$42, 500, 500)*CHOOSE(CONTROL!$C$42, 0.275, 0.275)*CHOOSE(CONTROL!$C$42, 31, 31))/1000000</f>
        <v>4.2625000000000002</v>
      </c>
      <c r="W987" s="58">
        <f>(1000*CHOOSE(CONTROL!$C$42, 0.1146, 0.1146)*CHOOSE(CONTROL!$C$42, 121.5, 121.5)*CHOOSE(CONTROL!$C$42, 31, 31))/1000000</f>
        <v>0.43164089999999994</v>
      </c>
      <c r="X987" s="58">
        <f>(31*0.1790888*100000/1000000)+(31*0.2374*100000/1000000)</f>
        <v>1.2911152800000001</v>
      </c>
      <c r="Y987" s="58"/>
      <c r="Z987" s="10"/>
      <c r="AA987" s="57"/>
      <c r="AB987" s="51">
        <f>(B987*122.58+C987*297.941+D987*89.177+E987*40.302+F987*40+G987*160+H987*0+I987*100+J987*300)/(122.58+297.941+89.177+40.302+0+40+160+100+300)</f>
        <v>87.676600658173911</v>
      </c>
      <c r="AC987" s="27">
        <f>(M987*'RAP TEMPLATE-GAS AVAILABILITY'!O986+N987*'RAP TEMPLATE-GAS AVAILABILITY'!P986+O987*'RAP TEMPLATE-GAS AVAILABILITY'!Q986+P987*'RAP TEMPLATE-GAS AVAILABILITY'!R986)/('RAP TEMPLATE-GAS AVAILABILITY'!O986+'RAP TEMPLATE-GAS AVAILABILITY'!P986+'RAP TEMPLATE-GAS AVAILABILITY'!Q986+'RAP TEMPLATE-GAS AVAILABILITY'!R986)</f>
        <v>86.832129496402871</v>
      </c>
    </row>
    <row r="988" spans="1:29" ht="15.75" x14ac:dyDescent="0.25">
      <c r="A988" s="13">
        <v>70979</v>
      </c>
      <c r="B988" s="10">
        <f>CHOOSE(CONTROL!$C$42, 87.4125, 87.4125) * CHOOSE(CONTROL!$C$21, $C$9, 100%, $E$9)</f>
        <v>87.412499999999994</v>
      </c>
      <c r="C988" s="10">
        <f>CHOOSE(CONTROL!$C$42, 87.4168, 87.4168) * CHOOSE(CONTROL!$C$21, $C$9, 100%, $E$9)</f>
        <v>87.416799999999995</v>
      </c>
      <c r="D988" s="10">
        <f>CHOOSE(CONTROL!$C$42, 87.6124, 87.6124) * CHOOSE(CONTROL!$C$21, $C$9, 100%, $E$9)</f>
        <v>87.612399999999994</v>
      </c>
      <c r="E988" s="10">
        <f>CHOOSE(CONTROL!$C$42, 87.6442, 87.6442) * CHOOSE(CONTROL!$C$21, $C$9, 100%, $E$9)</f>
        <v>87.644199999999998</v>
      </c>
      <c r="F988" s="10">
        <f>CHOOSE(CONTROL!$C$42, 87.3803, 87.3803)*CHOOSE(CONTROL!$C$21, $C$9, 100%, $E$9)</f>
        <v>87.380300000000005</v>
      </c>
      <c r="G988" s="10">
        <f>CHOOSE(CONTROL!$C$42, 87.3971, 87.3971)*CHOOSE(CONTROL!$C$21, $C$9, 100%, $E$9)</f>
        <v>87.397099999999995</v>
      </c>
      <c r="H988" s="10">
        <f>CHOOSE(CONTROL!$C$42, 87.634, 87.634) * CHOOSE(CONTROL!$C$21, $C$9, 100%, $E$9)</f>
        <v>87.634</v>
      </c>
      <c r="I988" s="10">
        <f>CHOOSE(CONTROL!$C$42, 87.3804, 87.3804)* CHOOSE(CONTROL!$C$21, $C$9, 100%, $E$9)</f>
        <v>87.380399999999995</v>
      </c>
      <c r="J988" s="10">
        <f>CHOOSE(CONTROL!$C$42, 87.3733, 87.3733)* CHOOSE(CONTROL!$C$21, $C$9, 100%, $E$9)</f>
        <v>87.3733</v>
      </c>
      <c r="K988" s="54">
        <f>CHOOSE(CONTROL!$C$42, 87.3766, 87.3766) * CHOOSE(CONTROL!$C$21, $C$9, 100%, $E$9)</f>
        <v>87.376599999999996</v>
      </c>
      <c r="L988" s="10">
        <f>CHOOSE(CONTROL!$C$42, 88.221, 88.221) * CHOOSE(CONTROL!$C$21, $C$9, 100%, $E$9)</f>
        <v>88.221000000000004</v>
      </c>
      <c r="M988" s="10">
        <f>CHOOSE(CONTROL!$C$42, 86.5054, 86.5054) * CHOOSE(CONTROL!$C$21, $C$9, 100%, $E$9)</f>
        <v>86.505399999999995</v>
      </c>
      <c r="N988" s="10">
        <f>CHOOSE(CONTROL!$C$42, 86.522, 86.522) * CHOOSE(CONTROL!$C$21, $C$9, 100%, $E$9)</f>
        <v>86.522000000000006</v>
      </c>
      <c r="O988" s="10">
        <f>CHOOSE(CONTROL!$C$42, 86.7634, 86.7634) * CHOOSE(CONTROL!$C$21, $C$9, 100%, $E$9)</f>
        <v>86.763400000000004</v>
      </c>
      <c r="P988" s="10">
        <f>CHOOSE(CONTROL!$C$42, 86.5125, 86.5125) * CHOOSE(CONTROL!$C$21, $C$9, 100%, $E$9)</f>
        <v>86.512500000000003</v>
      </c>
      <c r="Q988" s="10">
        <f>CHOOSE(CONTROL!$C$42, 87.3587, 87.3587) * CHOOSE(CONTROL!$C$21, $C$9, 100%, $E$9)</f>
        <v>87.358699999999999</v>
      </c>
      <c r="R988" s="10">
        <f>CHOOSE(CONTROL!$C$42, 88.1641, 88.1641) * CHOOSE(CONTROL!$C$21, $C$9, 100%, $E$9)</f>
        <v>88.164100000000005</v>
      </c>
      <c r="S988" s="10">
        <f>CHOOSE(CONTROL!$C$42, 84.8834, 84.8834) * CHOOSE(CONTROL!$C$21, $C$9, 100%, $E$9)</f>
        <v>84.883399999999995</v>
      </c>
      <c r="T988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988" s="58">
        <f>(1000*CHOOSE(CONTROL!$C$42, 695, 695)*CHOOSE(CONTROL!$C$42, 0.5599, 0.5599)*CHOOSE(CONTROL!$C$42, 30, 30))/1000000</f>
        <v>11.673914999999997</v>
      </c>
      <c r="V988" s="58">
        <f>(1000*CHOOSE(CONTROL!$C$42, 500, 500)*CHOOSE(CONTROL!$C$42, 0.275, 0.275)*CHOOSE(CONTROL!$C$42, 30, 30))/1000000</f>
        <v>4.125</v>
      </c>
      <c r="W988" s="58">
        <f>(1000*CHOOSE(CONTROL!$C$42, 0.1146, 0.1146)*CHOOSE(CONTROL!$C$42, 121.5, 121.5)*CHOOSE(CONTROL!$C$42, 30, 30))/1000000</f>
        <v>0.417717</v>
      </c>
      <c r="X988" s="58">
        <f>(30*0.1790888*245000/1000000)+(30*0.2374*100000/1000000)</f>
        <v>2.0285026799999999</v>
      </c>
      <c r="Y988" s="58"/>
      <c r="Z988" s="10"/>
      <c r="AA988" s="57"/>
      <c r="AB988" s="51">
        <f>(B988*141.293+C988*267.993+D988*115.016+E988*89.698+F988*40+G988*185+H988*0+I988*100+J988*300)/(141.293+267.993+115.016+89.698+0+40+185+100+300)</f>
        <v>87.43333946319612</v>
      </c>
      <c r="AC988" s="27">
        <f>(M988*'RAP TEMPLATE-GAS AVAILABILITY'!O987+N988*'RAP TEMPLATE-GAS AVAILABILITY'!P987+O988*'RAP TEMPLATE-GAS AVAILABILITY'!Q987+P988*'RAP TEMPLATE-GAS AVAILABILITY'!R987)/('RAP TEMPLATE-GAS AVAILABILITY'!O987+'RAP TEMPLATE-GAS AVAILABILITY'!P987+'RAP TEMPLATE-GAS AVAILABILITY'!Q987+'RAP TEMPLATE-GAS AVAILABILITY'!R987)</f>
        <v>86.624312230215821</v>
      </c>
    </row>
    <row r="989" spans="1:29" ht="15.75" x14ac:dyDescent="0.25">
      <c r="A989" s="13">
        <v>71010</v>
      </c>
      <c r="B989" s="10">
        <f>CHOOSE(CONTROL!$C$42, 88.1854, 88.1854) * CHOOSE(CONTROL!$C$21, $C$9, 100%, $E$9)</f>
        <v>88.185400000000001</v>
      </c>
      <c r="C989" s="10">
        <f>CHOOSE(CONTROL!$C$42, 88.1933, 88.1933) * CHOOSE(CONTROL!$C$21, $C$9, 100%, $E$9)</f>
        <v>88.193299999999994</v>
      </c>
      <c r="D989" s="10">
        <f>CHOOSE(CONTROL!$C$42, 88.3857, 88.3857) * CHOOSE(CONTROL!$C$21, $C$9, 100%, $E$9)</f>
        <v>88.3857</v>
      </c>
      <c r="E989" s="10">
        <f>CHOOSE(CONTROL!$C$42, 88.4168, 88.4168) * CHOOSE(CONTROL!$C$21, $C$9, 100%, $E$9)</f>
        <v>88.416799999999995</v>
      </c>
      <c r="F989" s="10">
        <f>CHOOSE(CONTROL!$C$42, 88.1516, 88.1516)*CHOOSE(CONTROL!$C$21, $C$9, 100%, $E$9)</f>
        <v>88.151600000000002</v>
      </c>
      <c r="G989" s="10">
        <f>CHOOSE(CONTROL!$C$42, 88.1687, 88.1687)*CHOOSE(CONTROL!$C$21, $C$9, 100%, $E$9)</f>
        <v>88.168700000000001</v>
      </c>
      <c r="H989" s="10">
        <f>CHOOSE(CONTROL!$C$42, 88.4055, 88.4055) * CHOOSE(CONTROL!$C$21, $C$9, 100%, $E$9)</f>
        <v>88.405500000000004</v>
      </c>
      <c r="I989" s="10">
        <f>CHOOSE(CONTROL!$C$42, 88.1519, 88.1519)* CHOOSE(CONTROL!$C$21, $C$9, 100%, $E$9)</f>
        <v>88.151899999999998</v>
      </c>
      <c r="J989" s="10">
        <f>CHOOSE(CONTROL!$C$42, 88.1446, 88.1446)* CHOOSE(CONTROL!$C$21, $C$9, 100%, $E$9)</f>
        <v>88.144599999999997</v>
      </c>
      <c r="K989" s="54">
        <f>CHOOSE(CONTROL!$C$42, 88.148, 88.148) * CHOOSE(CONTROL!$C$21, $C$9, 100%, $E$9)</f>
        <v>88.147999999999996</v>
      </c>
      <c r="L989" s="10">
        <f>CHOOSE(CONTROL!$C$42, 88.9925, 88.9925) * CHOOSE(CONTROL!$C$21, $C$9, 100%, $E$9)</f>
        <v>88.992500000000007</v>
      </c>
      <c r="M989" s="10">
        <f>CHOOSE(CONTROL!$C$42, 87.2689, 87.2689) * CHOOSE(CONTROL!$C$21, $C$9, 100%, $E$9)</f>
        <v>87.268900000000002</v>
      </c>
      <c r="N989" s="10">
        <f>CHOOSE(CONTROL!$C$42, 87.2859, 87.2859) * CHOOSE(CONTROL!$C$21, $C$9, 100%, $E$9)</f>
        <v>87.285899999999998</v>
      </c>
      <c r="O989" s="10">
        <f>CHOOSE(CONTROL!$C$42, 87.5271, 87.5271) * CHOOSE(CONTROL!$C$21, $C$9, 100%, $E$9)</f>
        <v>87.527100000000004</v>
      </c>
      <c r="P989" s="10">
        <f>CHOOSE(CONTROL!$C$42, 87.2762, 87.2762) * CHOOSE(CONTROL!$C$21, $C$9, 100%, $E$9)</f>
        <v>87.276200000000003</v>
      </c>
      <c r="Q989" s="10">
        <f>CHOOSE(CONTROL!$C$42, 88.1224, 88.1224) * CHOOSE(CONTROL!$C$21, $C$9, 100%, $E$9)</f>
        <v>88.122399999999999</v>
      </c>
      <c r="R989" s="10">
        <f>CHOOSE(CONTROL!$C$42, 88.9297, 88.9297) * CHOOSE(CONTROL!$C$21, $C$9, 100%, $E$9)</f>
        <v>88.929699999999997</v>
      </c>
      <c r="S989" s="10">
        <f>CHOOSE(CONTROL!$C$42, 85.6325, 85.6325) * CHOOSE(CONTROL!$C$21, $C$9, 100%, $E$9)</f>
        <v>85.632499999999993</v>
      </c>
      <c r="T989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989" s="58">
        <f>(1000*CHOOSE(CONTROL!$C$42, 695, 695)*CHOOSE(CONTROL!$C$42, 0.5599, 0.5599)*CHOOSE(CONTROL!$C$42, 31, 31))/1000000</f>
        <v>12.063045499999998</v>
      </c>
      <c r="V989" s="58">
        <f>(1000*CHOOSE(CONTROL!$C$42, 500, 500)*CHOOSE(CONTROL!$C$42, 0.275, 0.275)*CHOOSE(CONTROL!$C$42, 31, 31))/1000000</f>
        <v>4.2625000000000002</v>
      </c>
      <c r="W989" s="58">
        <f>(1000*CHOOSE(CONTROL!$C$42, 0.1146, 0.1146)*CHOOSE(CONTROL!$C$42, 121.5, 121.5)*CHOOSE(CONTROL!$C$42, 31, 31))/1000000</f>
        <v>0.43164089999999994</v>
      </c>
      <c r="X989" s="58">
        <f>(31*0.1790888*245000/1000000)+(31*0.2374*100000/1000000)</f>
        <v>2.0961194359999999</v>
      </c>
      <c r="Y989" s="58"/>
      <c r="Z989" s="10"/>
      <c r="AA989" s="57"/>
      <c r="AB989" s="51">
        <f>(B989*194.205+C989*267.466+D989*133.845+E989*53.484+F989*40+G989*185+H989*0+I989*100+J989*300)/(194.205+267.466+133.845+53.484+0+40+185+100+300)</f>
        <v>88.202092961145993</v>
      </c>
      <c r="AC989" s="27">
        <f>(M989*'RAP TEMPLATE-GAS AVAILABILITY'!O988+N989*'RAP TEMPLATE-GAS AVAILABILITY'!P988+O989*'RAP TEMPLATE-GAS AVAILABILITY'!Q988+P989*'RAP TEMPLATE-GAS AVAILABILITY'!R988)/('RAP TEMPLATE-GAS AVAILABILITY'!O988+'RAP TEMPLATE-GAS AVAILABILITY'!P988+'RAP TEMPLATE-GAS AVAILABILITY'!Q988+'RAP TEMPLATE-GAS AVAILABILITY'!R988)</f>
        <v>87.387954676259</v>
      </c>
    </row>
    <row r="990" spans="1:29" ht="15.75" x14ac:dyDescent="0.25">
      <c r="A990" s="13">
        <v>71040</v>
      </c>
      <c r="B990" s="10">
        <f>CHOOSE(CONTROL!$C$42, 90.6867, 90.6867) * CHOOSE(CONTROL!$C$21, $C$9, 100%, $E$9)</f>
        <v>90.686700000000002</v>
      </c>
      <c r="C990" s="10">
        <f>CHOOSE(CONTROL!$C$42, 90.6946, 90.6946) * CHOOSE(CONTROL!$C$21, $C$9, 100%, $E$9)</f>
        <v>90.694599999999994</v>
      </c>
      <c r="D990" s="10">
        <f>CHOOSE(CONTROL!$C$42, 90.8871, 90.8871) * CHOOSE(CONTROL!$C$21, $C$9, 100%, $E$9)</f>
        <v>90.887100000000004</v>
      </c>
      <c r="E990" s="10">
        <f>CHOOSE(CONTROL!$C$42, 90.9182, 90.9182) * CHOOSE(CONTROL!$C$21, $C$9, 100%, $E$9)</f>
        <v>90.918199999999999</v>
      </c>
      <c r="F990" s="10">
        <f>CHOOSE(CONTROL!$C$42, 90.6532, 90.6532)*CHOOSE(CONTROL!$C$21, $C$9, 100%, $E$9)</f>
        <v>90.653199999999998</v>
      </c>
      <c r="G990" s="10">
        <f>CHOOSE(CONTROL!$C$42, 90.6704, 90.6704)*CHOOSE(CONTROL!$C$21, $C$9, 100%, $E$9)</f>
        <v>90.670400000000001</v>
      </c>
      <c r="H990" s="10">
        <f>CHOOSE(CONTROL!$C$42, 90.9068, 90.9068) * CHOOSE(CONTROL!$C$21, $C$9, 100%, $E$9)</f>
        <v>90.906800000000004</v>
      </c>
      <c r="I990" s="10">
        <f>CHOOSE(CONTROL!$C$42, 90.6533, 90.6533)* CHOOSE(CONTROL!$C$21, $C$9, 100%, $E$9)</f>
        <v>90.653300000000002</v>
      </c>
      <c r="J990" s="10">
        <f>CHOOSE(CONTROL!$C$42, 90.6462, 90.6462)* CHOOSE(CONTROL!$C$21, $C$9, 100%, $E$9)</f>
        <v>90.646199999999993</v>
      </c>
      <c r="K990" s="54">
        <f>CHOOSE(CONTROL!$C$42, 90.6494, 90.6494) * CHOOSE(CONTROL!$C$21, $C$9, 100%, $E$9)</f>
        <v>90.6494</v>
      </c>
      <c r="L990" s="10">
        <f>CHOOSE(CONTROL!$C$42, 91.4938, 91.4938) * CHOOSE(CONTROL!$C$21, $C$9, 100%, $E$9)</f>
        <v>91.493799999999993</v>
      </c>
      <c r="M990" s="10">
        <f>CHOOSE(CONTROL!$C$42, 89.7452, 89.7452) * CHOOSE(CONTROL!$C$21, $C$9, 100%, $E$9)</f>
        <v>89.745199999999997</v>
      </c>
      <c r="N990" s="10">
        <f>CHOOSE(CONTROL!$C$42, 89.7623, 89.7623) * CHOOSE(CONTROL!$C$21, $C$9, 100%, $E$9)</f>
        <v>89.762299999999996</v>
      </c>
      <c r="O990" s="10">
        <f>CHOOSE(CONTROL!$C$42, 90.0032, 90.0032) * CHOOSE(CONTROL!$C$21, $C$9, 100%, $E$9)</f>
        <v>90.003200000000007</v>
      </c>
      <c r="P990" s="10">
        <f>CHOOSE(CONTROL!$C$42, 89.7523, 89.7523) * CHOOSE(CONTROL!$C$21, $C$9, 100%, $E$9)</f>
        <v>89.752300000000005</v>
      </c>
      <c r="Q990" s="10">
        <f>CHOOSE(CONTROL!$C$42, 90.5985, 90.5985) * CHOOSE(CONTROL!$C$21, $C$9, 100%, $E$9)</f>
        <v>90.598500000000001</v>
      </c>
      <c r="R990" s="10">
        <f>CHOOSE(CONTROL!$C$42, 91.412, 91.412) * CHOOSE(CONTROL!$C$21, $C$9, 100%, $E$9)</f>
        <v>91.412000000000006</v>
      </c>
      <c r="S990" s="10">
        <f>CHOOSE(CONTROL!$C$42, 88.0616, 88.0616) * CHOOSE(CONTROL!$C$21, $C$9, 100%, $E$9)</f>
        <v>88.061599999999999</v>
      </c>
      <c r="T990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990" s="58">
        <f>(1000*CHOOSE(CONTROL!$C$42, 695, 695)*CHOOSE(CONTROL!$C$42, 0.5599, 0.5599)*CHOOSE(CONTROL!$C$42, 30, 30))/1000000</f>
        <v>11.673914999999997</v>
      </c>
      <c r="V990" s="58">
        <f>(1000*CHOOSE(CONTROL!$C$42, 500, 500)*CHOOSE(CONTROL!$C$42, 0.275, 0.275)*CHOOSE(CONTROL!$C$42, 30, 30))/1000000</f>
        <v>4.125</v>
      </c>
      <c r="W990" s="58">
        <f>(1000*CHOOSE(CONTROL!$C$42, 0.1146, 0.1146)*CHOOSE(CONTROL!$C$42, 121.5, 121.5)*CHOOSE(CONTROL!$C$42, 30, 30))/1000000</f>
        <v>0.417717</v>
      </c>
      <c r="X990" s="58">
        <f>(30*0.1790888*245000/1000000)+(30*0.2374*100000/1000000)</f>
        <v>2.0285026799999999</v>
      </c>
      <c r="Y990" s="58"/>
      <c r="Z990" s="10"/>
      <c r="AA990" s="57"/>
      <c r="AB990" s="51">
        <f>(B990*194.205+C990*267.466+D990*133.845+E990*53.484+F990*40+G990*185+H990*0+I990*100+J990*300)/(194.205+267.466+133.845+53.484+0+40+185+100+300)</f>
        <v>90.703553662009426</v>
      </c>
      <c r="AC990" s="27">
        <f>(M990*'RAP TEMPLATE-GAS AVAILABILITY'!O989+N990*'RAP TEMPLATE-GAS AVAILABILITY'!P989+O990*'RAP TEMPLATE-GAS AVAILABILITY'!Q989+P990*'RAP TEMPLATE-GAS AVAILABILITY'!R989)/('RAP TEMPLATE-GAS AVAILABILITY'!O989+'RAP TEMPLATE-GAS AVAILABILITY'!P989+'RAP TEMPLATE-GAS AVAILABILITY'!Q989+'RAP TEMPLATE-GAS AVAILABILITY'!R989)</f>
        <v>89.864141007194249</v>
      </c>
    </row>
    <row r="991" spans="1:29" ht="15.75" x14ac:dyDescent="0.25">
      <c r="A991" s="13">
        <v>71071</v>
      </c>
      <c r="B991" s="10">
        <f>CHOOSE(CONTROL!$C$42, 88.947, 88.947) * CHOOSE(CONTROL!$C$21, $C$9, 100%, $E$9)</f>
        <v>88.947000000000003</v>
      </c>
      <c r="C991" s="10">
        <f>CHOOSE(CONTROL!$C$42, 88.9549, 88.9549) * CHOOSE(CONTROL!$C$21, $C$9, 100%, $E$9)</f>
        <v>88.954899999999995</v>
      </c>
      <c r="D991" s="10">
        <f>CHOOSE(CONTROL!$C$42, 89.1474, 89.1474) * CHOOSE(CONTROL!$C$21, $C$9, 100%, $E$9)</f>
        <v>89.147400000000005</v>
      </c>
      <c r="E991" s="10">
        <f>CHOOSE(CONTROL!$C$42, 89.1785, 89.1785) * CHOOSE(CONTROL!$C$21, $C$9, 100%, $E$9)</f>
        <v>89.1785</v>
      </c>
      <c r="F991" s="10">
        <f>CHOOSE(CONTROL!$C$42, 88.9139, 88.9139)*CHOOSE(CONTROL!$C$21, $C$9, 100%, $E$9)</f>
        <v>88.913899999999998</v>
      </c>
      <c r="G991" s="10">
        <f>CHOOSE(CONTROL!$C$42, 88.9312, 88.9312)*CHOOSE(CONTROL!$C$21, $C$9, 100%, $E$9)</f>
        <v>88.931200000000004</v>
      </c>
      <c r="H991" s="10">
        <f>CHOOSE(CONTROL!$C$42, 89.1671, 89.1671) * CHOOSE(CONTROL!$C$21, $C$9, 100%, $E$9)</f>
        <v>89.167100000000005</v>
      </c>
      <c r="I991" s="10">
        <f>CHOOSE(CONTROL!$C$42, 88.9136, 88.9136)* CHOOSE(CONTROL!$C$21, $C$9, 100%, $E$9)</f>
        <v>88.913600000000002</v>
      </c>
      <c r="J991" s="10">
        <f>CHOOSE(CONTROL!$C$42, 88.9069, 88.9069)* CHOOSE(CONTROL!$C$21, $C$9, 100%, $E$9)</f>
        <v>88.906899999999993</v>
      </c>
      <c r="K991" s="54">
        <f>CHOOSE(CONTROL!$C$42, 88.9097, 88.9097) * CHOOSE(CONTROL!$C$21, $C$9, 100%, $E$9)</f>
        <v>88.909700000000001</v>
      </c>
      <c r="L991" s="10">
        <f>CHOOSE(CONTROL!$C$42, 89.7541, 89.7541) * CHOOSE(CONTROL!$C$21, $C$9, 100%, $E$9)</f>
        <v>89.754099999999994</v>
      </c>
      <c r="M991" s="10">
        <f>CHOOSE(CONTROL!$C$42, 88.0235, 88.0235) * CHOOSE(CONTROL!$C$21, $C$9, 100%, $E$9)</f>
        <v>88.023499999999999</v>
      </c>
      <c r="N991" s="10">
        <f>CHOOSE(CONTROL!$C$42, 88.0406, 88.0406) * CHOOSE(CONTROL!$C$21, $C$9, 100%, $E$9)</f>
        <v>88.040599999999998</v>
      </c>
      <c r="O991" s="10">
        <f>CHOOSE(CONTROL!$C$42, 88.2811, 88.2811) * CHOOSE(CONTROL!$C$21, $C$9, 100%, $E$9)</f>
        <v>88.281099999999995</v>
      </c>
      <c r="P991" s="10">
        <f>CHOOSE(CONTROL!$C$42, 88.0301, 88.0301) * CHOOSE(CONTROL!$C$21, $C$9, 100%, $E$9)</f>
        <v>88.030100000000004</v>
      </c>
      <c r="Q991" s="10">
        <f>CHOOSE(CONTROL!$C$42, 88.8764, 88.8764) * CHOOSE(CONTROL!$C$21, $C$9, 100%, $E$9)</f>
        <v>88.876400000000004</v>
      </c>
      <c r="R991" s="10">
        <f>CHOOSE(CONTROL!$C$42, 89.6856, 89.6856) * CHOOSE(CONTROL!$C$21, $C$9, 100%, $E$9)</f>
        <v>89.685599999999994</v>
      </c>
      <c r="S991" s="10">
        <f>CHOOSE(CONTROL!$C$42, 86.3722, 86.3722) * CHOOSE(CONTROL!$C$21, $C$9, 100%, $E$9)</f>
        <v>86.372200000000007</v>
      </c>
      <c r="T991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991" s="58">
        <f>(1000*CHOOSE(CONTROL!$C$42, 695, 695)*CHOOSE(CONTROL!$C$42, 0.5599, 0.5599)*CHOOSE(CONTROL!$C$42, 31, 31))/1000000</f>
        <v>12.063045499999998</v>
      </c>
      <c r="V991" s="58">
        <f>(1000*CHOOSE(CONTROL!$C$42, 500, 500)*CHOOSE(CONTROL!$C$42, 0.275, 0.275)*CHOOSE(CONTROL!$C$42, 31, 31))/1000000</f>
        <v>4.2625000000000002</v>
      </c>
      <c r="W991" s="58">
        <f>(1000*CHOOSE(CONTROL!$C$42, 0.1146, 0.1146)*CHOOSE(CONTROL!$C$42, 121.5, 121.5)*CHOOSE(CONTROL!$C$42, 31, 31))/1000000</f>
        <v>0.43164089999999994</v>
      </c>
      <c r="X991" s="58">
        <f>(31*0.1790888*245000/1000000)+(31*0.2374*100000/1000000)</f>
        <v>2.0961194359999999</v>
      </c>
      <c r="Y991" s="58"/>
      <c r="Z991" s="10"/>
      <c r="AA991" s="57"/>
      <c r="AB991" s="51">
        <f>(B991*194.205+C991*267.466+D991*133.845+E991*53.484+F991*40+G991*185+H991*0+I991*100+J991*300)/(194.205+267.466+133.845+53.484+0+40+185+100+300)</f>
        <v>88.964033018367331</v>
      </c>
      <c r="AC991" s="27">
        <f>(M991*'RAP TEMPLATE-GAS AVAILABILITY'!O990+N991*'RAP TEMPLATE-GAS AVAILABILITY'!P990+O991*'RAP TEMPLATE-GAS AVAILABILITY'!Q990+P991*'RAP TEMPLATE-GAS AVAILABILITY'!R990)/('RAP TEMPLATE-GAS AVAILABILITY'!O990+'RAP TEMPLATE-GAS AVAILABILITY'!P990+'RAP TEMPLATE-GAS AVAILABILITY'!Q990+'RAP TEMPLATE-GAS AVAILABILITY'!R990)</f>
        <v>88.142187769784158</v>
      </c>
    </row>
    <row r="992" spans="1:29" ht="15.75" x14ac:dyDescent="0.25">
      <c r="A992" s="13">
        <v>71102</v>
      </c>
      <c r="B992" s="10">
        <f>CHOOSE(CONTROL!$C$42, 84.5537, 84.5537) * CHOOSE(CONTROL!$C$21, $C$9, 100%, $E$9)</f>
        <v>84.553700000000006</v>
      </c>
      <c r="C992" s="10">
        <f>CHOOSE(CONTROL!$C$42, 84.5616, 84.5616) * CHOOSE(CONTROL!$C$21, $C$9, 100%, $E$9)</f>
        <v>84.561599999999999</v>
      </c>
      <c r="D992" s="10">
        <f>CHOOSE(CONTROL!$C$42, 84.7541, 84.7541) * CHOOSE(CONTROL!$C$21, $C$9, 100%, $E$9)</f>
        <v>84.754099999999994</v>
      </c>
      <c r="E992" s="10">
        <f>CHOOSE(CONTROL!$C$42, 84.7852, 84.7852) * CHOOSE(CONTROL!$C$21, $C$9, 100%, $E$9)</f>
        <v>84.785200000000003</v>
      </c>
      <c r="F992" s="10">
        <f>CHOOSE(CONTROL!$C$42, 84.5208, 84.5208)*CHOOSE(CONTROL!$C$21, $C$9, 100%, $E$9)</f>
        <v>84.520799999999994</v>
      </c>
      <c r="G992" s="10">
        <f>CHOOSE(CONTROL!$C$42, 84.5381, 84.5381)*CHOOSE(CONTROL!$C$21, $C$9, 100%, $E$9)</f>
        <v>84.5381</v>
      </c>
      <c r="H992" s="10">
        <f>CHOOSE(CONTROL!$C$42, 84.7738, 84.7738) * CHOOSE(CONTROL!$C$21, $C$9, 100%, $E$9)</f>
        <v>84.773799999999994</v>
      </c>
      <c r="I992" s="10">
        <f>CHOOSE(CONTROL!$C$42, 84.5203, 84.5203)* CHOOSE(CONTROL!$C$21, $C$9, 100%, $E$9)</f>
        <v>84.520300000000006</v>
      </c>
      <c r="J992" s="10">
        <f>CHOOSE(CONTROL!$C$42, 84.5138, 84.5138)* CHOOSE(CONTROL!$C$21, $C$9, 100%, $E$9)</f>
        <v>84.513800000000003</v>
      </c>
      <c r="K992" s="54">
        <f>CHOOSE(CONTROL!$C$42, 84.5164, 84.5164) * CHOOSE(CONTROL!$C$21, $C$9, 100%, $E$9)</f>
        <v>84.516400000000004</v>
      </c>
      <c r="L992" s="10">
        <f>CHOOSE(CONTROL!$C$42, 85.3608, 85.3608) * CHOOSE(CONTROL!$C$21, $C$9, 100%, $E$9)</f>
        <v>85.360799999999998</v>
      </c>
      <c r="M992" s="10">
        <f>CHOOSE(CONTROL!$C$42, 83.6747, 83.6747) * CHOOSE(CONTROL!$C$21, $C$9, 100%, $E$9)</f>
        <v>83.674700000000001</v>
      </c>
      <c r="N992" s="10">
        <f>CHOOSE(CONTROL!$C$42, 83.6919, 83.6919) * CHOOSE(CONTROL!$C$21, $C$9, 100%, $E$9)</f>
        <v>83.691900000000004</v>
      </c>
      <c r="O992" s="10">
        <f>CHOOSE(CONTROL!$C$42, 83.9321, 83.9321) * CHOOSE(CONTROL!$C$21, $C$9, 100%, $E$9)</f>
        <v>83.932100000000005</v>
      </c>
      <c r="P992" s="10">
        <f>CHOOSE(CONTROL!$C$42, 83.6812, 83.6812) * CHOOSE(CONTROL!$C$21, $C$9, 100%, $E$9)</f>
        <v>83.681200000000004</v>
      </c>
      <c r="Q992" s="10">
        <f>CHOOSE(CONTROL!$C$42, 84.5274, 84.5274) * CHOOSE(CONTROL!$C$21, $C$9, 100%, $E$9)</f>
        <v>84.5274</v>
      </c>
      <c r="R992" s="10">
        <f>CHOOSE(CONTROL!$C$42, 85.3258, 85.3258) * CHOOSE(CONTROL!$C$21, $C$9, 100%, $E$9)</f>
        <v>85.325800000000001</v>
      </c>
      <c r="S992" s="10">
        <f>CHOOSE(CONTROL!$C$42, 82.1059, 82.1059) * CHOOSE(CONTROL!$C$21, $C$9, 100%, $E$9)</f>
        <v>82.105900000000005</v>
      </c>
      <c r="T992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992" s="58">
        <f>(1000*CHOOSE(CONTROL!$C$42, 695, 695)*CHOOSE(CONTROL!$C$42, 0.5599, 0.5599)*CHOOSE(CONTROL!$C$42, 31, 31))/1000000</f>
        <v>12.063045499999998</v>
      </c>
      <c r="V992" s="58">
        <f>(1000*CHOOSE(CONTROL!$C$42, 500, 500)*CHOOSE(CONTROL!$C$42, 0.275, 0.275)*CHOOSE(CONTROL!$C$42, 31, 31))/1000000</f>
        <v>4.2625000000000002</v>
      </c>
      <c r="W992" s="58">
        <f>(1000*CHOOSE(CONTROL!$C$42, 0.1146, 0.1146)*CHOOSE(CONTROL!$C$42, 121.5, 121.5)*CHOOSE(CONTROL!$C$42, 31, 31))/1000000</f>
        <v>0.43164089999999994</v>
      </c>
      <c r="X992" s="58">
        <f>(31*0.1790888*245000/1000000)+(31*0.2374*100000/1000000)</f>
        <v>2.0961194359999999</v>
      </c>
      <c r="Y992" s="58"/>
      <c r="Z992" s="10"/>
      <c r="AA992" s="57"/>
      <c r="AB992" s="51">
        <f>(B992*194.205+C992*267.466+D992*133.845+E992*53.484+F992*40+G992*185+H992*0+I992*100+J992*300)/(194.205+267.466+133.845+53.484+0+40+185+100+300)</f>
        <v>84.570815435949768</v>
      </c>
      <c r="AC992" s="27">
        <f>(M992*'RAP TEMPLATE-GAS AVAILABILITY'!O991+N992*'RAP TEMPLATE-GAS AVAILABILITY'!P991+O992*'RAP TEMPLATE-GAS AVAILABILITY'!Q991+P992*'RAP TEMPLATE-GAS AVAILABILITY'!R991)/('RAP TEMPLATE-GAS AVAILABILITY'!O991+'RAP TEMPLATE-GAS AVAILABILITY'!P991+'RAP TEMPLATE-GAS AVAILABILITY'!Q991+'RAP TEMPLATE-GAS AVAILABILITY'!R991)</f>
        <v>83.793288489208649</v>
      </c>
    </row>
    <row r="993" spans="1:29" ht="15.75" x14ac:dyDescent="0.25">
      <c r="A993" s="13">
        <v>71132</v>
      </c>
      <c r="B993" s="10">
        <f>CHOOSE(CONTROL!$C$42, 79.1855, 79.1855) * CHOOSE(CONTROL!$C$21, $C$9, 100%, $E$9)</f>
        <v>79.185500000000005</v>
      </c>
      <c r="C993" s="10">
        <f>CHOOSE(CONTROL!$C$42, 79.1934, 79.1934) * CHOOSE(CONTROL!$C$21, $C$9, 100%, $E$9)</f>
        <v>79.193399999999997</v>
      </c>
      <c r="D993" s="10">
        <f>CHOOSE(CONTROL!$C$42, 79.3859, 79.3859) * CHOOSE(CONTROL!$C$21, $C$9, 100%, $E$9)</f>
        <v>79.385900000000007</v>
      </c>
      <c r="E993" s="10">
        <f>CHOOSE(CONTROL!$C$42, 79.417, 79.417) * CHOOSE(CONTROL!$C$21, $C$9, 100%, $E$9)</f>
        <v>79.417000000000002</v>
      </c>
      <c r="F993" s="10">
        <f>CHOOSE(CONTROL!$C$42, 79.1524, 79.1524)*CHOOSE(CONTROL!$C$21, $C$9, 100%, $E$9)</f>
        <v>79.1524</v>
      </c>
      <c r="G993" s="10">
        <f>CHOOSE(CONTROL!$C$42, 79.1697, 79.1697)*CHOOSE(CONTROL!$C$21, $C$9, 100%, $E$9)</f>
        <v>79.169700000000006</v>
      </c>
      <c r="H993" s="10">
        <f>CHOOSE(CONTROL!$C$42, 79.4056, 79.4056) * CHOOSE(CONTROL!$C$21, $C$9, 100%, $E$9)</f>
        <v>79.405600000000007</v>
      </c>
      <c r="I993" s="10">
        <f>CHOOSE(CONTROL!$C$42, 79.1521, 79.1521)* CHOOSE(CONTROL!$C$21, $C$9, 100%, $E$9)</f>
        <v>79.152100000000004</v>
      </c>
      <c r="J993" s="10">
        <f>CHOOSE(CONTROL!$C$42, 79.1454, 79.1454)* CHOOSE(CONTROL!$C$21, $C$9, 100%, $E$9)</f>
        <v>79.145399999999995</v>
      </c>
      <c r="K993" s="54">
        <f>CHOOSE(CONTROL!$C$42, 79.1482, 79.1482) * CHOOSE(CONTROL!$C$21, $C$9, 100%, $E$9)</f>
        <v>79.148200000000003</v>
      </c>
      <c r="L993" s="10">
        <f>CHOOSE(CONTROL!$C$42, 79.9926, 79.9926) * CHOOSE(CONTROL!$C$21, $C$9, 100%, $E$9)</f>
        <v>79.992599999999996</v>
      </c>
      <c r="M993" s="10">
        <f>CHOOSE(CONTROL!$C$42, 78.3605, 78.3605) * CHOOSE(CONTROL!$C$21, $C$9, 100%, $E$9)</f>
        <v>78.360500000000002</v>
      </c>
      <c r="N993" s="10">
        <f>CHOOSE(CONTROL!$C$42, 78.3777, 78.3777) * CHOOSE(CONTROL!$C$21, $C$9, 100%, $E$9)</f>
        <v>78.377700000000004</v>
      </c>
      <c r="O993" s="10">
        <f>CHOOSE(CONTROL!$C$42, 78.6181, 78.6181) * CHOOSE(CONTROL!$C$21, $C$9, 100%, $E$9)</f>
        <v>78.618099999999998</v>
      </c>
      <c r="P993" s="10">
        <f>CHOOSE(CONTROL!$C$42, 78.3672, 78.3672) * CHOOSE(CONTROL!$C$21, $C$9, 100%, $E$9)</f>
        <v>78.367199999999997</v>
      </c>
      <c r="Q993" s="10">
        <f>CHOOSE(CONTROL!$C$42, 79.2134, 79.2134) * CHOOSE(CONTROL!$C$21, $C$9, 100%, $E$9)</f>
        <v>79.213399999999993</v>
      </c>
      <c r="R993" s="10">
        <f>CHOOSE(CONTROL!$C$42, 79.9985, 79.9985) * CHOOSE(CONTROL!$C$21, $C$9, 100%, $E$9)</f>
        <v>79.998500000000007</v>
      </c>
      <c r="S993" s="10">
        <f>CHOOSE(CONTROL!$C$42, 76.8928, 76.8928) * CHOOSE(CONTROL!$C$21, $C$9, 100%, $E$9)</f>
        <v>76.892799999999994</v>
      </c>
      <c r="T993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993" s="58">
        <f>(1000*CHOOSE(CONTROL!$C$42, 695, 695)*CHOOSE(CONTROL!$C$42, 0.5599, 0.5599)*CHOOSE(CONTROL!$C$42, 30, 30))/1000000</f>
        <v>11.673914999999997</v>
      </c>
      <c r="V993" s="58">
        <f>(1000*CHOOSE(CONTROL!$C$42, 500, 500)*CHOOSE(CONTROL!$C$42, 0.275, 0.275)*CHOOSE(CONTROL!$C$42, 30, 30))/1000000</f>
        <v>4.125</v>
      </c>
      <c r="W993" s="58">
        <f>(1000*CHOOSE(CONTROL!$C$42, 0.1146, 0.1146)*CHOOSE(CONTROL!$C$42, 121.5, 121.5)*CHOOSE(CONTROL!$C$42, 30, 30))/1000000</f>
        <v>0.417717</v>
      </c>
      <c r="X993" s="58">
        <f>(30*0.1790888*245000/1000000)+(30*0.2374*100000/1000000)</f>
        <v>2.0285026799999999</v>
      </c>
      <c r="Y993" s="58"/>
      <c r="Z993" s="10"/>
      <c r="AA993" s="57"/>
      <c r="AB993" s="51">
        <f>(B993*194.205+C993*267.466+D993*133.845+E993*53.484+F993*40+G993*185+H993*0+I993*100+J993*300)/(194.205+267.466+133.845+53.484+0+40+185+100+300)</f>
        <v>79.202533018367347</v>
      </c>
      <c r="AC993" s="27">
        <f>(M993*'RAP TEMPLATE-GAS AVAILABILITY'!O992+N993*'RAP TEMPLATE-GAS AVAILABILITY'!P992+O993*'RAP TEMPLATE-GAS AVAILABILITY'!Q992+P993*'RAP TEMPLATE-GAS AVAILABILITY'!R992)/('RAP TEMPLATE-GAS AVAILABILITY'!O992+'RAP TEMPLATE-GAS AVAILABILITY'!P992+'RAP TEMPLATE-GAS AVAILABILITY'!Q992+'RAP TEMPLATE-GAS AVAILABILITY'!R992)</f>
        <v>78.479207913669072</v>
      </c>
    </row>
    <row r="994" spans="1:29" ht="15.75" x14ac:dyDescent="0.25">
      <c r="A994" s="13">
        <v>71163</v>
      </c>
      <c r="B994" s="10">
        <f>CHOOSE(CONTROL!$C$42, 77.5761, 77.5761) * CHOOSE(CONTROL!$C$21, $C$9, 100%, $E$9)</f>
        <v>77.576099999999997</v>
      </c>
      <c r="C994" s="10">
        <f>CHOOSE(CONTROL!$C$42, 77.5813, 77.5813) * CHOOSE(CONTROL!$C$21, $C$9, 100%, $E$9)</f>
        <v>77.581299999999999</v>
      </c>
      <c r="D994" s="10">
        <f>CHOOSE(CONTROL!$C$42, 77.7787, 77.7787) * CHOOSE(CONTROL!$C$21, $C$9, 100%, $E$9)</f>
        <v>77.778700000000001</v>
      </c>
      <c r="E994" s="10">
        <f>CHOOSE(CONTROL!$C$42, 77.8075, 77.8075) * CHOOSE(CONTROL!$C$21, $C$9, 100%, $E$9)</f>
        <v>77.807500000000005</v>
      </c>
      <c r="F994" s="10">
        <f>CHOOSE(CONTROL!$C$42, 77.545, 77.545)*CHOOSE(CONTROL!$C$21, $C$9, 100%, $E$9)</f>
        <v>77.545000000000002</v>
      </c>
      <c r="G994" s="10">
        <f>CHOOSE(CONTROL!$C$42, 77.5619, 77.5619)*CHOOSE(CONTROL!$C$21, $C$9, 100%, $E$9)</f>
        <v>77.561899999999994</v>
      </c>
      <c r="H994" s="10">
        <f>CHOOSE(CONTROL!$C$42, 77.798, 77.798) * CHOOSE(CONTROL!$C$21, $C$9, 100%, $E$9)</f>
        <v>77.798000000000002</v>
      </c>
      <c r="I994" s="10">
        <f>CHOOSE(CONTROL!$C$42, 77.5444, 77.5444)* CHOOSE(CONTROL!$C$21, $C$9, 100%, $E$9)</f>
        <v>77.544399999999996</v>
      </c>
      <c r="J994" s="10">
        <f>CHOOSE(CONTROL!$C$42, 77.538, 77.538)* CHOOSE(CONTROL!$C$21, $C$9, 100%, $E$9)</f>
        <v>77.537999999999997</v>
      </c>
      <c r="K994" s="54">
        <f>CHOOSE(CONTROL!$C$42, 77.5405, 77.5405) * CHOOSE(CONTROL!$C$21, $C$9, 100%, $E$9)</f>
        <v>77.540499999999994</v>
      </c>
      <c r="L994" s="10">
        <f>CHOOSE(CONTROL!$C$42, 78.385, 78.385) * CHOOSE(CONTROL!$C$21, $C$9, 100%, $E$9)</f>
        <v>78.385000000000005</v>
      </c>
      <c r="M994" s="10">
        <f>CHOOSE(CONTROL!$C$42, 76.7693, 76.7693) * CHOOSE(CONTROL!$C$21, $C$9, 100%, $E$9)</f>
        <v>76.769300000000001</v>
      </c>
      <c r="N994" s="10">
        <f>CHOOSE(CONTROL!$C$42, 76.7861, 76.7861) * CHOOSE(CONTROL!$C$21, $C$9, 100%, $E$9)</f>
        <v>76.786100000000005</v>
      </c>
      <c r="O994" s="10">
        <f>CHOOSE(CONTROL!$C$42, 77.0267, 77.0267) * CHOOSE(CONTROL!$C$21, $C$9, 100%, $E$9)</f>
        <v>77.026700000000005</v>
      </c>
      <c r="P994" s="10">
        <f>CHOOSE(CONTROL!$C$42, 76.7757, 76.7757) * CHOOSE(CONTROL!$C$21, $C$9, 100%, $E$9)</f>
        <v>76.775700000000001</v>
      </c>
      <c r="Q994" s="10">
        <f>CHOOSE(CONTROL!$C$42, 77.622, 77.622) * CHOOSE(CONTROL!$C$21, $C$9, 100%, $E$9)</f>
        <v>77.622</v>
      </c>
      <c r="R994" s="10">
        <f>CHOOSE(CONTROL!$C$42, 78.403, 78.403) * CHOOSE(CONTROL!$C$21, $C$9, 100%, $E$9)</f>
        <v>78.403000000000006</v>
      </c>
      <c r="S994" s="10">
        <f>CHOOSE(CONTROL!$C$42, 75.3316, 75.3316) * CHOOSE(CONTROL!$C$21, $C$9, 100%, $E$9)</f>
        <v>75.331599999999995</v>
      </c>
      <c r="T994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994" s="58">
        <f>(1000*CHOOSE(CONTROL!$C$42, 695, 695)*CHOOSE(CONTROL!$C$42, 0.5599, 0.5599)*CHOOSE(CONTROL!$C$42, 31, 31))/1000000</f>
        <v>12.063045499999998</v>
      </c>
      <c r="V994" s="58">
        <f>(1000*CHOOSE(CONTROL!$C$42, 500, 500)*CHOOSE(CONTROL!$C$42, 0.275, 0.275)*CHOOSE(CONTROL!$C$42, 31, 31))/1000000</f>
        <v>4.2625000000000002</v>
      </c>
      <c r="W994" s="58">
        <f>(1000*CHOOSE(CONTROL!$C$42, 0.1146, 0.1146)*CHOOSE(CONTROL!$C$42, 121.5, 121.5)*CHOOSE(CONTROL!$C$42, 31, 31))/1000000</f>
        <v>0.43164089999999994</v>
      </c>
      <c r="X994" s="58">
        <f>(31*0.1790888*245000/1000000)+(31*0.2374*100000/1000000)</f>
        <v>2.0961194359999999</v>
      </c>
      <c r="Y994" s="58"/>
      <c r="Z994" s="10"/>
      <c r="AA994" s="57"/>
      <c r="AB994" s="51">
        <f>(B994*131.881+C994*277.167+D994*79.08+E994*125.872+F994*40+G994*185+H994*0+I994*100+J994*300)/(131.881+277.167+79.08+125.872+0+40+185+100+300)</f>
        <v>77.598794638579491</v>
      </c>
      <c r="AC994" s="27">
        <f>(M994*'RAP TEMPLATE-GAS AVAILABILITY'!O993+N994*'RAP TEMPLATE-GAS AVAILABILITY'!P993+O994*'RAP TEMPLATE-GAS AVAILABILITY'!Q993+P994*'RAP TEMPLATE-GAS AVAILABILITY'!R993)/('RAP TEMPLATE-GAS AVAILABILITY'!O993+'RAP TEMPLATE-GAS AVAILABILITY'!P993+'RAP TEMPLATE-GAS AVAILABILITY'!Q993+'RAP TEMPLATE-GAS AVAILABILITY'!R993)</f>
        <v>76.887851079136695</v>
      </c>
    </row>
    <row r="995" spans="1:29" ht="15.75" x14ac:dyDescent="0.25">
      <c r="A995" s="13">
        <v>71193</v>
      </c>
      <c r="B995" s="10">
        <f>CHOOSE(CONTROL!$C$42, 79.6193, 79.6193) * CHOOSE(CONTROL!$C$21, $C$9, 100%, $E$9)</f>
        <v>79.619299999999996</v>
      </c>
      <c r="C995" s="10">
        <f>CHOOSE(CONTROL!$C$42, 79.6243, 79.6243) * CHOOSE(CONTROL!$C$21, $C$9, 100%, $E$9)</f>
        <v>79.624300000000005</v>
      </c>
      <c r="D995" s="10">
        <f>CHOOSE(CONTROL!$C$42, 79.6539, 79.6539) * CHOOSE(CONTROL!$C$21, $C$9, 100%, $E$9)</f>
        <v>79.653899999999993</v>
      </c>
      <c r="E995" s="10">
        <f>CHOOSE(CONTROL!$C$42, 79.6876, 79.6876) * CHOOSE(CONTROL!$C$21, $C$9, 100%, $E$9)</f>
        <v>79.687600000000003</v>
      </c>
      <c r="F995" s="10">
        <f>CHOOSE(CONTROL!$C$42, 79.5861, 79.5861)*CHOOSE(CONTROL!$C$21, $C$9, 100%, $E$9)</f>
        <v>79.586100000000002</v>
      </c>
      <c r="G995" s="10">
        <f>CHOOSE(CONTROL!$C$42, 79.6032, 79.6032)*CHOOSE(CONTROL!$C$21, $C$9, 100%, $E$9)</f>
        <v>79.603200000000001</v>
      </c>
      <c r="H995" s="10">
        <f>CHOOSE(CONTROL!$C$42, 79.6768, 79.6768) * CHOOSE(CONTROL!$C$21, $C$9, 100%, $E$9)</f>
        <v>79.6768</v>
      </c>
      <c r="I995" s="10">
        <f>CHOOSE(CONTROL!$C$42, 79.5829, 79.5829)* CHOOSE(CONTROL!$C$21, $C$9, 100%, $E$9)</f>
        <v>79.582899999999995</v>
      </c>
      <c r="J995" s="10">
        <f>CHOOSE(CONTROL!$C$42, 79.5791, 79.5791)* CHOOSE(CONTROL!$C$21, $C$9, 100%, $E$9)</f>
        <v>79.579099999999997</v>
      </c>
      <c r="K995" s="54">
        <f>CHOOSE(CONTROL!$C$42, 79.579, 79.579) * CHOOSE(CONTROL!$C$21, $C$9, 100%, $E$9)</f>
        <v>79.578999999999994</v>
      </c>
      <c r="L995" s="10">
        <f>CHOOSE(CONTROL!$C$42, 80.2638, 80.2638) * CHOOSE(CONTROL!$C$21, $C$9, 100%, $E$9)</f>
        <v>80.263800000000003</v>
      </c>
      <c r="M995" s="10">
        <f>CHOOSE(CONTROL!$C$42, 78.7898, 78.7898) * CHOOSE(CONTROL!$C$21, $C$9, 100%, $E$9)</f>
        <v>78.7898</v>
      </c>
      <c r="N995" s="10">
        <f>CHOOSE(CONTROL!$C$42, 78.8068, 78.8068) * CHOOSE(CONTROL!$C$21, $C$9, 100%, $E$9)</f>
        <v>78.806799999999996</v>
      </c>
      <c r="O995" s="10">
        <f>CHOOSE(CONTROL!$C$42, 78.8866, 78.8866) * CHOOSE(CONTROL!$C$21, $C$9, 100%, $E$9)</f>
        <v>78.886600000000001</v>
      </c>
      <c r="P995" s="10">
        <f>CHOOSE(CONTROL!$C$42, 78.7936, 78.7936) * CHOOSE(CONTROL!$C$21, $C$9, 100%, $E$9)</f>
        <v>78.793599999999998</v>
      </c>
      <c r="Q995" s="10">
        <f>CHOOSE(CONTROL!$C$42, 79.4819, 79.4819) * CHOOSE(CONTROL!$C$21, $C$9, 100%, $E$9)</f>
        <v>79.481899999999996</v>
      </c>
      <c r="R995" s="10">
        <f>CHOOSE(CONTROL!$C$42, 80.2676, 80.2676) * CHOOSE(CONTROL!$C$21, $C$9, 100%, $E$9)</f>
        <v>80.267600000000002</v>
      </c>
      <c r="S995" s="10">
        <f>CHOOSE(CONTROL!$C$42, 77.3162, 77.3162) * CHOOSE(CONTROL!$C$21, $C$9, 100%, $E$9)</f>
        <v>77.316199999999995</v>
      </c>
      <c r="T995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995" s="58">
        <f>(1000*CHOOSE(CONTROL!$C$42, 695, 695)*CHOOSE(CONTROL!$C$42, 0.5599, 0.5599)*CHOOSE(CONTROL!$C$42, 30, 30))/1000000</f>
        <v>11.673914999999997</v>
      </c>
      <c r="V995" s="58">
        <f>(1000*CHOOSE(CONTROL!$C$42, 500, 500)*CHOOSE(CONTROL!$C$42, 0.275, 0.275)*CHOOSE(CONTROL!$C$42, 30, 30))/1000000</f>
        <v>4.125</v>
      </c>
      <c r="W995" s="58">
        <f>(1000*CHOOSE(CONTROL!$C$42, 0.1146, 0.1146)*CHOOSE(CONTROL!$C$42, 121.5, 121.5)*CHOOSE(CONTROL!$C$42, 30, 30))/1000000</f>
        <v>0.417717</v>
      </c>
      <c r="X995" s="58">
        <f>(30*0.1790888*100000/1000000)+(30*0.2374*100000/1000000)</f>
        <v>1.2494664</v>
      </c>
      <c r="Y995" s="58"/>
      <c r="Z995" s="10"/>
      <c r="AA995" s="57"/>
      <c r="AB995" s="51">
        <f>(B995*122.58+C995*297.941+D995*89.177+E995*40.302+F995*40+G995*160+H995*0+I995*100+J995*300)/(122.58+297.941+89.177+40.302+0+40+160+100+300)</f>
        <v>79.608625091999997</v>
      </c>
      <c r="AC995" s="27">
        <f>(M995*'RAP TEMPLATE-GAS AVAILABILITY'!O994+N995*'RAP TEMPLATE-GAS AVAILABILITY'!P994+O995*'RAP TEMPLATE-GAS AVAILABILITY'!Q994+P995*'RAP TEMPLATE-GAS AVAILABILITY'!R994)/('RAP TEMPLATE-GAS AVAILABILITY'!O994+'RAP TEMPLATE-GAS AVAILABILITY'!P994+'RAP TEMPLATE-GAS AVAILABILITY'!Q994+'RAP TEMPLATE-GAS AVAILABILITY'!R994)</f>
        <v>78.835198561151088</v>
      </c>
    </row>
    <row r="996" spans="1:29" ht="15.75" x14ac:dyDescent="0.25">
      <c r="A996" s="13">
        <v>71224</v>
      </c>
      <c r="B996" s="10">
        <f>CHOOSE(CONTROL!$C$42, 85.0475, 85.0475) * CHOOSE(CONTROL!$C$21, $C$9, 100%, $E$9)</f>
        <v>85.047499999999999</v>
      </c>
      <c r="C996" s="10">
        <f>CHOOSE(CONTROL!$C$42, 85.0525, 85.0525) * CHOOSE(CONTROL!$C$21, $C$9, 100%, $E$9)</f>
        <v>85.052499999999995</v>
      </c>
      <c r="D996" s="10">
        <f>CHOOSE(CONTROL!$C$42, 85.0821, 85.0821) * CHOOSE(CONTROL!$C$21, $C$9, 100%, $E$9)</f>
        <v>85.082099999999997</v>
      </c>
      <c r="E996" s="10">
        <f>CHOOSE(CONTROL!$C$42, 85.1158, 85.1158) * CHOOSE(CONTROL!$C$21, $C$9, 100%, $E$9)</f>
        <v>85.115799999999993</v>
      </c>
      <c r="F996" s="10">
        <f>CHOOSE(CONTROL!$C$42, 85.0157, 85.0157)*CHOOSE(CONTROL!$C$21, $C$9, 100%, $E$9)</f>
        <v>85.015699999999995</v>
      </c>
      <c r="G996" s="10">
        <f>CHOOSE(CONTROL!$C$42, 85.0332, 85.0332)*CHOOSE(CONTROL!$C$21, $C$9, 100%, $E$9)</f>
        <v>85.033199999999994</v>
      </c>
      <c r="H996" s="10">
        <f>CHOOSE(CONTROL!$C$42, 85.105, 85.105) * CHOOSE(CONTROL!$C$21, $C$9, 100%, $E$9)</f>
        <v>85.105000000000004</v>
      </c>
      <c r="I996" s="10">
        <f>CHOOSE(CONTROL!$C$42, 85.0111, 85.0111)* CHOOSE(CONTROL!$C$21, $C$9, 100%, $E$9)</f>
        <v>85.011099999999999</v>
      </c>
      <c r="J996" s="10">
        <f>CHOOSE(CONTROL!$C$42, 85.0087, 85.0087)* CHOOSE(CONTROL!$C$21, $C$9, 100%, $E$9)</f>
        <v>85.008700000000005</v>
      </c>
      <c r="K996" s="54">
        <f>CHOOSE(CONTROL!$C$42, 85.0072, 85.0072) * CHOOSE(CONTROL!$C$21, $C$9, 100%, $E$9)</f>
        <v>85.007199999999997</v>
      </c>
      <c r="L996" s="10">
        <f>CHOOSE(CONTROL!$C$42, 85.692, 85.692) * CHOOSE(CONTROL!$C$21, $C$9, 100%, $E$9)</f>
        <v>85.691999999999993</v>
      </c>
      <c r="M996" s="10">
        <f>CHOOSE(CONTROL!$C$42, 84.1647, 84.1647) * CHOOSE(CONTROL!$C$21, $C$9, 100%, $E$9)</f>
        <v>84.164699999999996</v>
      </c>
      <c r="N996" s="10">
        <f>CHOOSE(CONTROL!$C$42, 84.182, 84.182) * CHOOSE(CONTROL!$C$21, $C$9, 100%, $E$9)</f>
        <v>84.182000000000002</v>
      </c>
      <c r="O996" s="10">
        <f>CHOOSE(CONTROL!$C$42, 84.26, 84.26) * CHOOSE(CONTROL!$C$21, $C$9, 100%, $E$9)</f>
        <v>84.26</v>
      </c>
      <c r="P996" s="10">
        <f>CHOOSE(CONTROL!$C$42, 84.1671, 84.1671) * CHOOSE(CONTROL!$C$21, $C$9, 100%, $E$9)</f>
        <v>84.167100000000005</v>
      </c>
      <c r="Q996" s="10">
        <f>CHOOSE(CONTROL!$C$42, 84.8553, 84.8553) * CHOOSE(CONTROL!$C$21, $C$9, 100%, $E$9)</f>
        <v>84.8553</v>
      </c>
      <c r="R996" s="10">
        <f>CHOOSE(CONTROL!$C$42, 85.6545, 85.6545) * CHOOSE(CONTROL!$C$21, $C$9, 100%, $E$9)</f>
        <v>85.654499999999999</v>
      </c>
      <c r="S996" s="10">
        <f>CHOOSE(CONTROL!$C$42, 82.5875, 82.5875) * CHOOSE(CONTROL!$C$21, $C$9, 100%, $E$9)</f>
        <v>82.587500000000006</v>
      </c>
      <c r="T996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996" s="58">
        <f>(1000*CHOOSE(CONTROL!$C$42, 695, 695)*CHOOSE(CONTROL!$C$42, 0.5599, 0.5599)*CHOOSE(CONTROL!$C$42, 31, 31))/1000000</f>
        <v>12.063045499999998</v>
      </c>
      <c r="V996" s="58">
        <f>(1000*CHOOSE(CONTROL!$C$42, 500, 500)*CHOOSE(CONTROL!$C$42, 0.275, 0.275)*CHOOSE(CONTROL!$C$42, 31, 31))/1000000</f>
        <v>4.2625000000000002</v>
      </c>
      <c r="W996" s="58">
        <f>(1000*CHOOSE(CONTROL!$C$42, 0.1146, 0.1146)*CHOOSE(CONTROL!$C$42, 121.5, 121.5)*CHOOSE(CONTROL!$C$42, 31, 31))/1000000</f>
        <v>0.43164089999999994</v>
      </c>
      <c r="X996" s="58">
        <f>(31*0.1790888*100000/1000000)+(31*0.2374*100000/1000000)</f>
        <v>1.2911152800000001</v>
      </c>
      <c r="Y996" s="58"/>
      <c r="Z996" s="10"/>
      <c r="AA996" s="57"/>
      <c r="AB996" s="51">
        <f>(B996*122.58+C996*297.941+D996*89.177+E996*40.302+F996*40+G996*160+H996*0+I996*100+J996*300)/(122.58+297.941+89.177+40.302+0+40+160+100+300)</f>
        <v>85.037489439826075</v>
      </c>
      <c r="AC996" s="27">
        <f>(M996*'RAP TEMPLATE-GAS AVAILABILITY'!O995+N996*'RAP TEMPLATE-GAS AVAILABILITY'!P995+O996*'RAP TEMPLATE-GAS AVAILABILITY'!Q995+P996*'RAP TEMPLATE-GAS AVAILABILITY'!R995)/('RAP TEMPLATE-GAS AVAILABILITY'!O995+'RAP TEMPLATE-GAS AVAILABILITY'!P995+'RAP TEMPLATE-GAS AVAILABILITY'!Q995+'RAP TEMPLATE-GAS AVAILABILITY'!R995)</f>
        <v>84.209234532374097</v>
      </c>
    </row>
    <row r="997" spans="1:29" ht="15.75" x14ac:dyDescent="0.25">
      <c r="A997" s="13">
        <v>71255</v>
      </c>
      <c r="B997" s="10">
        <f>CHOOSE(CONTROL!$C$42, 92.0158, 92.0158) * CHOOSE(CONTROL!$C$21, $C$9, 100%, $E$9)</f>
        <v>92.015799999999999</v>
      </c>
      <c r="C997" s="10">
        <f>CHOOSE(CONTROL!$C$42, 92.0208, 92.0208) * CHOOSE(CONTROL!$C$21, $C$9, 100%, $E$9)</f>
        <v>92.020799999999994</v>
      </c>
      <c r="D997" s="10">
        <f>CHOOSE(CONTROL!$C$42, 92.071, 92.071) * CHOOSE(CONTROL!$C$21, $C$9, 100%, $E$9)</f>
        <v>92.070999999999998</v>
      </c>
      <c r="E997" s="10">
        <f>CHOOSE(CONTROL!$C$42, 92.1047, 92.1047) * CHOOSE(CONTROL!$C$21, $C$9, 100%, $E$9)</f>
        <v>92.104699999999994</v>
      </c>
      <c r="F997" s="10">
        <f>CHOOSE(CONTROL!$C$42, 91.9812, 91.9812)*CHOOSE(CONTROL!$C$21, $C$9, 100%, $E$9)</f>
        <v>91.981200000000001</v>
      </c>
      <c r="G997" s="10">
        <f>CHOOSE(CONTROL!$C$42, 91.9987, 91.9987)*CHOOSE(CONTROL!$C$21, $C$9, 100%, $E$9)</f>
        <v>91.998699999999999</v>
      </c>
      <c r="H997" s="10">
        <f>CHOOSE(CONTROL!$C$42, 92.0939, 92.0939) * CHOOSE(CONTROL!$C$21, $C$9, 100%, $E$9)</f>
        <v>92.093900000000005</v>
      </c>
      <c r="I997" s="10">
        <f>CHOOSE(CONTROL!$C$42, 91.9897, 91.9897)* CHOOSE(CONTROL!$C$21, $C$9, 100%, $E$9)</f>
        <v>91.989699999999999</v>
      </c>
      <c r="J997" s="10">
        <f>CHOOSE(CONTROL!$C$42, 91.9742, 91.9742)* CHOOSE(CONTROL!$C$21, $C$9, 100%, $E$9)</f>
        <v>91.974199999999996</v>
      </c>
      <c r="K997" s="54">
        <f>CHOOSE(CONTROL!$C$42, 91.9858, 91.9858) * CHOOSE(CONTROL!$C$21, $C$9, 100%, $E$9)</f>
        <v>91.985799999999998</v>
      </c>
      <c r="L997" s="10">
        <f>CHOOSE(CONTROL!$C$42, 92.6809, 92.6809) * CHOOSE(CONTROL!$C$21, $C$9, 100%, $E$9)</f>
        <v>92.680899999999994</v>
      </c>
      <c r="M997" s="10">
        <f>CHOOSE(CONTROL!$C$42, 91.0598, 91.0598) * CHOOSE(CONTROL!$C$21, $C$9, 100%, $E$9)</f>
        <v>91.059799999999996</v>
      </c>
      <c r="N997" s="10">
        <f>CHOOSE(CONTROL!$C$42, 91.0772, 91.0772) * CHOOSE(CONTROL!$C$21, $C$9, 100%, $E$9)</f>
        <v>91.077200000000005</v>
      </c>
      <c r="O997" s="10">
        <f>CHOOSE(CONTROL!$C$42, 91.1784, 91.1784) * CHOOSE(CONTROL!$C$21, $C$9, 100%, $E$9)</f>
        <v>91.178399999999996</v>
      </c>
      <c r="P997" s="10">
        <f>CHOOSE(CONTROL!$C$42, 91.0752, 91.0752) * CHOOSE(CONTROL!$C$21, $C$9, 100%, $E$9)</f>
        <v>91.075199999999995</v>
      </c>
      <c r="Q997" s="10">
        <f>CHOOSE(CONTROL!$C$42, 91.7737, 91.7737) * CHOOSE(CONTROL!$C$21, $C$9, 100%, $E$9)</f>
        <v>91.773700000000005</v>
      </c>
      <c r="R997" s="10">
        <f>CHOOSE(CONTROL!$C$42, 92.5901, 92.5901) * CHOOSE(CONTROL!$C$21, $C$9, 100%, $E$9)</f>
        <v>92.590100000000007</v>
      </c>
      <c r="S997" s="10">
        <f>CHOOSE(CONTROL!$C$42, 89.3544, 89.3544) * CHOOSE(CONTROL!$C$21, $C$9, 100%, $E$9)</f>
        <v>89.354399999999998</v>
      </c>
      <c r="T997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997" s="58">
        <f>(1000*CHOOSE(CONTROL!$C$42, 695, 695)*CHOOSE(CONTROL!$C$42, 0.5599, 0.5599)*CHOOSE(CONTROL!$C$42, 31, 31))/1000000</f>
        <v>12.063045499999998</v>
      </c>
      <c r="V997" s="58">
        <f>(1000*CHOOSE(CONTROL!$C$42, 500, 500)*CHOOSE(CONTROL!$C$42, 0.275, 0.275)*CHOOSE(CONTROL!$C$42, 31, 31))/1000000</f>
        <v>4.2625000000000002</v>
      </c>
      <c r="W997" s="58">
        <f>(1000*CHOOSE(CONTROL!$C$42, 0.1146, 0.1146)*CHOOSE(CONTROL!$C$42, 121.5, 121.5)*CHOOSE(CONTROL!$C$42, 31, 31))/1000000</f>
        <v>0.43164089999999994</v>
      </c>
      <c r="X997" s="58">
        <f>(31*0.1790888*100000/1000000)+(31*0.2374*100000/1000000)</f>
        <v>1.2911152800000001</v>
      </c>
      <c r="Y997" s="58"/>
      <c r="Z997" s="10"/>
      <c r="AA997" s="57"/>
      <c r="AB997" s="51">
        <f>(B997*122.58+C997*297.941+D997*89.177+E997*40.302+F997*40+G997*160+H997*0+I997*100+J997*300)/(122.58+297.941+89.177+40.302+0+40+160+100+300)</f>
        <v>92.00778706365216</v>
      </c>
      <c r="AC997" s="27">
        <f>(M997*'RAP TEMPLATE-GAS AVAILABILITY'!O996+N997*'RAP TEMPLATE-GAS AVAILABILITY'!P996+O997*'RAP TEMPLATE-GAS AVAILABILITY'!Q996+P997*'RAP TEMPLATE-GAS AVAILABILITY'!R996)/('RAP TEMPLATE-GAS AVAILABILITY'!O996+'RAP TEMPLATE-GAS AVAILABILITY'!P996+'RAP TEMPLATE-GAS AVAILABILITY'!Q996+'RAP TEMPLATE-GAS AVAILABILITY'!R996)</f>
        <v>91.116771223021587</v>
      </c>
    </row>
    <row r="998" spans="1:29" ht="15.75" x14ac:dyDescent="0.25">
      <c r="A998" s="13">
        <v>71283</v>
      </c>
      <c r="B998" s="10">
        <f>CHOOSE(CONTROL!$C$42, 93.6538, 93.6538) * CHOOSE(CONTROL!$C$21, $C$9, 100%, $E$9)</f>
        <v>93.653800000000004</v>
      </c>
      <c r="C998" s="10">
        <f>CHOOSE(CONTROL!$C$42, 93.6587, 93.6587) * CHOOSE(CONTROL!$C$21, $C$9, 100%, $E$9)</f>
        <v>93.658699999999996</v>
      </c>
      <c r="D998" s="10">
        <f>CHOOSE(CONTROL!$C$42, 93.7192, 93.7192) * CHOOSE(CONTROL!$C$21, $C$9, 100%, $E$9)</f>
        <v>93.719200000000001</v>
      </c>
      <c r="E998" s="10">
        <f>CHOOSE(CONTROL!$C$42, 93.753, 93.753) * CHOOSE(CONTROL!$C$21, $C$9, 100%, $E$9)</f>
        <v>93.753</v>
      </c>
      <c r="F998" s="10">
        <f>CHOOSE(CONTROL!$C$42, 93.647, 93.647)*CHOOSE(CONTROL!$C$21, $C$9, 100%, $E$9)</f>
        <v>93.647000000000006</v>
      </c>
      <c r="G998" s="10">
        <f>CHOOSE(CONTROL!$C$42, 93.6643, 93.6643)*CHOOSE(CONTROL!$C$21, $C$9, 100%, $E$9)</f>
        <v>93.664299999999997</v>
      </c>
      <c r="H998" s="10">
        <f>CHOOSE(CONTROL!$C$42, 93.7422, 93.7422) * CHOOSE(CONTROL!$C$21, $C$9, 100%, $E$9)</f>
        <v>93.742199999999997</v>
      </c>
      <c r="I998" s="10">
        <f>CHOOSE(CONTROL!$C$42, 93.6405, 93.6405)* CHOOSE(CONTROL!$C$21, $C$9, 100%, $E$9)</f>
        <v>93.640500000000003</v>
      </c>
      <c r="J998" s="10">
        <f>CHOOSE(CONTROL!$C$42, 93.64, 93.64)* CHOOSE(CONTROL!$C$21, $C$9, 100%, $E$9)</f>
        <v>93.64</v>
      </c>
      <c r="K998" s="54">
        <f>CHOOSE(CONTROL!$C$42, 93.6366, 93.6366) * CHOOSE(CONTROL!$C$21, $C$9, 100%, $E$9)</f>
        <v>93.636600000000001</v>
      </c>
      <c r="L998" s="10">
        <f>CHOOSE(CONTROL!$C$42, 94.3292, 94.3292) * CHOOSE(CONTROL!$C$21, $C$9, 100%, $E$9)</f>
        <v>94.3292</v>
      </c>
      <c r="M998" s="10">
        <f>CHOOSE(CONTROL!$C$42, 92.7088, 92.7088) * CHOOSE(CONTROL!$C$21, $C$9, 100%, $E$9)</f>
        <v>92.708799999999997</v>
      </c>
      <c r="N998" s="10">
        <f>CHOOSE(CONTROL!$C$42, 92.726, 92.726) * CHOOSE(CONTROL!$C$21, $C$9, 100%, $E$9)</f>
        <v>92.725999999999999</v>
      </c>
      <c r="O998" s="10">
        <f>CHOOSE(CONTROL!$C$42, 92.81, 92.81) * CHOOSE(CONTROL!$C$21, $C$9, 100%, $E$9)</f>
        <v>92.81</v>
      </c>
      <c r="P998" s="10">
        <f>CHOOSE(CONTROL!$C$42, 92.7094, 92.7094) * CHOOSE(CONTROL!$C$21, $C$9, 100%, $E$9)</f>
        <v>92.709400000000002</v>
      </c>
      <c r="Q998" s="10">
        <f>CHOOSE(CONTROL!$C$42, 93.4053, 93.4053) * CHOOSE(CONTROL!$C$21, $C$9, 100%, $E$9)</f>
        <v>93.405299999999997</v>
      </c>
      <c r="R998" s="10">
        <f>CHOOSE(CONTROL!$C$42, 94.2258, 94.2258) * CHOOSE(CONTROL!$C$21, $C$9, 100%, $E$9)</f>
        <v>94.225800000000007</v>
      </c>
      <c r="S998" s="10">
        <f>CHOOSE(CONTROL!$C$42, 90.945, 90.945) * CHOOSE(CONTROL!$C$21, $C$9, 100%, $E$9)</f>
        <v>90.944999999999993</v>
      </c>
      <c r="T998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998" s="58">
        <f>(1000*CHOOSE(CONTROL!$C$42, 695, 695)*CHOOSE(CONTROL!$C$42, 0.5599, 0.5599)*CHOOSE(CONTROL!$C$42, 28, 28))/1000000</f>
        <v>10.895653999999999</v>
      </c>
      <c r="V998" s="58">
        <f>(1000*CHOOSE(CONTROL!$C$42, 500, 500)*CHOOSE(CONTROL!$C$42, 0.275, 0.275)*CHOOSE(CONTROL!$C$42, 28, 28))/1000000</f>
        <v>3.85</v>
      </c>
      <c r="W998" s="58">
        <f>(1000*CHOOSE(CONTROL!$C$42, 0.1146, 0.1146)*CHOOSE(CONTROL!$C$42, 121.5, 121.5)*CHOOSE(CONTROL!$C$42, 28, 28))/1000000</f>
        <v>0.38986920000000003</v>
      </c>
      <c r="X998" s="58">
        <f>(28*0.1790888*100000/1000000)+(28*0.2374*100000/1000000)</f>
        <v>1.16616864</v>
      </c>
      <c r="Y998" s="58"/>
      <c r="Z998" s="10"/>
      <c r="AA998" s="57"/>
      <c r="AB998" s="51">
        <f>(B998*122.58+C998*297.941+D998*89.177+E998*40.302+F998*40+G998*160+H998*0+I998*100+J998*300)/(122.58+297.941+89.177+40.302+0+40+160+100+300)</f>
        <v>93.660085256608696</v>
      </c>
      <c r="AC998" s="27">
        <f>(M998*'RAP TEMPLATE-GAS AVAILABILITY'!O997+N998*'RAP TEMPLATE-GAS AVAILABILITY'!P997+O998*'RAP TEMPLATE-GAS AVAILABILITY'!Q997+P998*'RAP TEMPLATE-GAS AVAILABILITY'!R997)/('RAP TEMPLATE-GAS AVAILABILITY'!O997+'RAP TEMPLATE-GAS AVAILABILITY'!P997+'RAP TEMPLATE-GAS AVAILABILITY'!Q997+'RAP TEMPLATE-GAS AVAILABILITY'!R997)</f>
        <v>92.755743884892098</v>
      </c>
    </row>
    <row r="999" spans="1:29" ht="15.75" x14ac:dyDescent="0.25">
      <c r="A999" s="13">
        <v>71314</v>
      </c>
      <c r="B999" s="10">
        <f>CHOOSE(CONTROL!$C$42, 90.995, 90.995) * CHOOSE(CONTROL!$C$21, $C$9, 100%, $E$9)</f>
        <v>90.995000000000005</v>
      </c>
      <c r="C999" s="10">
        <f>CHOOSE(CONTROL!$C$42, 90.9999, 90.9999) * CHOOSE(CONTROL!$C$21, $C$9, 100%, $E$9)</f>
        <v>90.999899999999997</v>
      </c>
      <c r="D999" s="10">
        <f>CHOOSE(CONTROL!$C$42, 91.0604, 91.0604) * CHOOSE(CONTROL!$C$21, $C$9, 100%, $E$9)</f>
        <v>91.060400000000001</v>
      </c>
      <c r="E999" s="10">
        <f>CHOOSE(CONTROL!$C$42, 91.0942, 91.0942) * CHOOSE(CONTROL!$C$21, $C$9, 100%, $E$9)</f>
        <v>91.094200000000001</v>
      </c>
      <c r="F999" s="10">
        <f>CHOOSE(CONTROL!$C$42, 90.9827, 90.9827)*CHOOSE(CONTROL!$C$21, $C$9, 100%, $E$9)</f>
        <v>90.982699999999994</v>
      </c>
      <c r="G999" s="10">
        <f>CHOOSE(CONTROL!$C$42, 90.9999, 90.9999)*CHOOSE(CONTROL!$C$21, $C$9, 100%, $E$9)</f>
        <v>90.999899999999997</v>
      </c>
      <c r="H999" s="10">
        <f>CHOOSE(CONTROL!$C$42, 91.0834, 91.0834) * CHOOSE(CONTROL!$C$21, $C$9, 100%, $E$9)</f>
        <v>91.083399999999997</v>
      </c>
      <c r="I999" s="10">
        <f>CHOOSE(CONTROL!$C$42, 90.9688, 90.9688)* CHOOSE(CONTROL!$C$21, $C$9, 100%, $E$9)</f>
        <v>90.968800000000002</v>
      </c>
      <c r="J999" s="10">
        <f>CHOOSE(CONTROL!$C$42, 90.9757, 90.9757)* CHOOSE(CONTROL!$C$21, $C$9, 100%, $E$9)</f>
        <v>90.975700000000003</v>
      </c>
      <c r="K999" s="54">
        <f>CHOOSE(CONTROL!$C$42, 90.965, 90.965) * CHOOSE(CONTROL!$C$21, $C$9, 100%, $E$9)</f>
        <v>90.965000000000003</v>
      </c>
      <c r="L999" s="10">
        <f>CHOOSE(CONTROL!$C$42, 91.6704, 91.6704) * CHOOSE(CONTROL!$C$21, $C$9, 100%, $E$9)</f>
        <v>91.670400000000001</v>
      </c>
      <c r="M999" s="10">
        <f>CHOOSE(CONTROL!$C$42, 90.0714, 90.0714) * CHOOSE(CONTROL!$C$21, $C$9, 100%, $E$9)</f>
        <v>90.071399999999997</v>
      </c>
      <c r="N999" s="10">
        <f>CHOOSE(CONTROL!$C$42, 90.0884, 90.0884) * CHOOSE(CONTROL!$C$21, $C$9, 100%, $E$9)</f>
        <v>90.088399999999993</v>
      </c>
      <c r="O999" s="10">
        <f>CHOOSE(CONTROL!$C$42, 90.178, 90.178) * CHOOSE(CONTROL!$C$21, $C$9, 100%, $E$9)</f>
        <v>90.177999999999997</v>
      </c>
      <c r="P999" s="10">
        <f>CHOOSE(CONTROL!$C$42, 90.0647, 90.0647) * CHOOSE(CONTROL!$C$21, $C$9, 100%, $E$9)</f>
        <v>90.064700000000002</v>
      </c>
      <c r="Q999" s="10">
        <f>CHOOSE(CONTROL!$C$42, 90.7733, 90.7733) * CHOOSE(CONTROL!$C$21, $C$9, 100%, $E$9)</f>
        <v>90.773300000000006</v>
      </c>
      <c r="R999" s="10">
        <f>CHOOSE(CONTROL!$C$42, 91.5873, 91.5873) * CHOOSE(CONTROL!$C$21, $C$9, 100%, $E$9)</f>
        <v>91.587299999999999</v>
      </c>
      <c r="S999" s="10">
        <f>CHOOSE(CONTROL!$C$42, 88.3631, 88.3631) * CHOOSE(CONTROL!$C$21, $C$9, 100%, $E$9)</f>
        <v>88.363100000000003</v>
      </c>
      <c r="T999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999" s="58">
        <f>(1000*CHOOSE(CONTROL!$C$42, 695, 695)*CHOOSE(CONTROL!$C$42, 0.5599, 0.5599)*CHOOSE(CONTROL!$C$42, 31, 31))/1000000</f>
        <v>12.063045499999998</v>
      </c>
      <c r="V999" s="58">
        <f>(1000*CHOOSE(CONTROL!$C$42, 500, 500)*CHOOSE(CONTROL!$C$42, 0.275, 0.275)*CHOOSE(CONTROL!$C$42, 31, 31))/1000000</f>
        <v>4.2625000000000002</v>
      </c>
      <c r="W999" s="58">
        <f>(1000*CHOOSE(CONTROL!$C$42, 0.1146, 0.1146)*CHOOSE(CONTROL!$C$42, 121.5, 121.5)*CHOOSE(CONTROL!$C$42, 31, 31))/1000000</f>
        <v>0.43164089999999994</v>
      </c>
      <c r="X999" s="58">
        <f>(31*0.1790888*100000/1000000)+(31*0.2374*100000/1000000)</f>
        <v>1.2911152800000001</v>
      </c>
      <c r="Y999" s="58"/>
      <c r="Z999" s="10"/>
      <c r="AA999" s="57"/>
      <c r="AB999" s="51">
        <f>(B999*122.58+C999*297.941+D999*89.177+E999*40.302+F999*40+G999*160+H999*0+I999*100+J999*300)/(122.58+297.941+89.177+40.302+0+40+160+100+300)</f>
        <v>90.997758300086971</v>
      </c>
      <c r="AC999" s="27">
        <f>(M999*'RAP TEMPLATE-GAS AVAILABILITY'!O998+N999*'RAP TEMPLATE-GAS AVAILABILITY'!P998+O999*'RAP TEMPLATE-GAS AVAILABILITY'!Q998+P999*'RAP TEMPLATE-GAS AVAILABILITY'!R998)/('RAP TEMPLATE-GAS AVAILABILITY'!O998+'RAP TEMPLATE-GAS AVAILABILITY'!P998+'RAP TEMPLATE-GAS AVAILABILITY'!Q998+'RAP TEMPLATE-GAS AVAILABILITY'!R998)</f>
        <v>90.119729496402883</v>
      </c>
    </row>
    <row r="1000" spans="1:29" ht="15.75" x14ac:dyDescent="0.25">
      <c r="A1000" s="13">
        <v>71344</v>
      </c>
      <c r="B1000" s="10">
        <f>CHOOSE(CONTROL!$C$42, 90.7237, 90.7237) * CHOOSE(CONTROL!$C$21, $C$9, 100%, $E$9)</f>
        <v>90.723699999999994</v>
      </c>
      <c r="C1000" s="10">
        <f>CHOOSE(CONTROL!$C$42, 90.728, 90.728) * CHOOSE(CONTROL!$C$21, $C$9, 100%, $E$9)</f>
        <v>90.727999999999994</v>
      </c>
      <c r="D1000" s="10">
        <f>CHOOSE(CONTROL!$C$42, 90.9236, 90.9236) * CHOOSE(CONTROL!$C$21, $C$9, 100%, $E$9)</f>
        <v>90.923599999999993</v>
      </c>
      <c r="E1000" s="10">
        <f>CHOOSE(CONTROL!$C$42, 90.9554, 90.9554) * CHOOSE(CONTROL!$C$21, $C$9, 100%, $E$9)</f>
        <v>90.955399999999997</v>
      </c>
      <c r="F1000" s="10">
        <f>CHOOSE(CONTROL!$C$42, 90.6915, 90.6915)*CHOOSE(CONTROL!$C$21, $C$9, 100%, $E$9)</f>
        <v>90.691500000000005</v>
      </c>
      <c r="G1000" s="10">
        <f>CHOOSE(CONTROL!$C$42, 90.7083, 90.7083)*CHOOSE(CONTROL!$C$21, $C$9, 100%, $E$9)</f>
        <v>90.708299999999994</v>
      </c>
      <c r="H1000" s="10">
        <f>CHOOSE(CONTROL!$C$42, 90.9452, 90.9452) * CHOOSE(CONTROL!$C$21, $C$9, 100%, $E$9)</f>
        <v>90.9452</v>
      </c>
      <c r="I1000" s="10">
        <f>CHOOSE(CONTROL!$C$42, 90.6916, 90.6916)* CHOOSE(CONTROL!$C$21, $C$9, 100%, $E$9)</f>
        <v>90.691599999999994</v>
      </c>
      <c r="J1000" s="10">
        <f>CHOOSE(CONTROL!$C$42, 90.6845, 90.6845)* CHOOSE(CONTROL!$C$21, $C$9, 100%, $E$9)</f>
        <v>90.6845</v>
      </c>
      <c r="K1000" s="54">
        <f>CHOOSE(CONTROL!$C$42, 90.6877, 90.6877) * CHOOSE(CONTROL!$C$21, $C$9, 100%, $E$9)</f>
        <v>90.687700000000007</v>
      </c>
      <c r="L1000" s="10">
        <f>CHOOSE(CONTROL!$C$42, 91.5322, 91.5322) * CHOOSE(CONTROL!$C$21, $C$9, 100%, $E$9)</f>
        <v>91.532200000000003</v>
      </c>
      <c r="M1000" s="10">
        <f>CHOOSE(CONTROL!$C$42, 89.7831, 89.7831) * CHOOSE(CONTROL!$C$21, $C$9, 100%, $E$9)</f>
        <v>89.783100000000005</v>
      </c>
      <c r="N1000" s="10">
        <f>CHOOSE(CONTROL!$C$42, 89.7997, 89.7997) * CHOOSE(CONTROL!$C$21, $C$9, 100%, $E$9)</f>
        <v>89.799700000000001</v>
      </c>
      <c r="O1000" s="10">
        <f>CHOOSE(CONTROL!$C$42, 90.0412, 90.0412) * CHOOSE(CONTROL!$C$21, $C$9, 100%, $E$9)</f>
        <v>90.041200000000003</v>
      </c>
      <c r="P1000" s="10">
        <f>CHOOSE(CONTROL!$C$42, 89.7903, 89.7903) * CHOOSE(CONTROL!$C$21, $C$9, 100%, $E$9)</f>
        <v>89.790300000000002</v>
      </c>
      <c r="Q1000" s="10">
        <f>CHOOSE(CONTROL!$C$42, 90.6365, 90.6365) * CHOOSE(CONTROL!$C$21, $C$9, 100%, $E$9)</f>
        <v>90.636499999999998</v>
      </c>
      <c r="R1000" s="10">
        <f>CHOOSE(CONTROL!$C$42, 91.4501, 91.4501) * CHOOSE(CONTROL!$C$21, $C$9, 100%, $E$9)</f>
        <v>91.450100000000006</v>
      </c>
      <c r="S1000" s="10">
        <f>CHOOSE(CONTROL!$C$42, 88.0989, 88.0989) * CHOOSE(CONTROL!$C$21, $C$9, 100%, $E$9)</f>
        <v>88.0989</v>
      </c>
      <c r="T1000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000" s="58">
        <f>(1000*CHOOSE(CONTROL!$C$42, 695, 695)*CHOOSE(CONTROL!$C$42, 0.5599, 0.5599)*CHOOSE(CONTROL!$C$42, 30, 30))/1000000</f>
        <v>11.673914999999997</v>
      </c>
      <c r="V1000" s="58">
        <f>(1000*CHOOSE(CONTROL!$C$42, 500, 500)*CHOOSE(CONTROL!$C$42, 0.275, 0.275)*CHOOSE(CONTROL!$C$42, 30, 30))/1000000</f>
        <v>4.125</v>
      </c>
      <c r="W1000" s="58">
        <f>(1000*CHOOSE(CONTROL!$C$42, 0.1146, 0.1146)*CHOOSE(CONTROL!$C$42, 121.5, 121.5)*CHOOSE(CONTROL!$C$42, 30, 30))/1000000</f>
        <v>0.417717</v>
      </c>
      <c r="X1000" s="58">
        <f>(30*0.1790888*245000/1000000)+(30*0.2374*100000/1000000)</f>
        <v>2.0285026799999999</v>
      </c>
      <c r="Y1000" s="58"/>
      <c r="Z1000" s="10"/>
      <c r="AA1000" s="57"/>
      <c r="AB1000" s="51">
        <f>(B1000*141.293+C1000*267.993+D1000*115.016+E1000*89.698+F1000*40+G1000*185+H1000*0+I1000*100+J1000*300)/(141.293+267.993+115.016+89.698+0+40+185+100+300)</f>
        <v>90.744539463196134</v>
      </c>
      <c r="AC1000" s="27">
        <f>(M1000*'RAP TEMPLATE-GAS AVAILABILITY'!O999+N1000*'RAP TEMPLATE-GAS AVAILABILITY'!P999+O1000*'RAP TEMPLATE-GAS AVAILABILITY'!Q999+P1000*'RAP TEMPLATE-GAS AVAILABILITY'!R999)/('RAP TEMPLATE-GAS AVAILABILITY'!O999+'RAP TEMPLATE-GAS AVAILABILITY'!P999+'RAP TEMPLATE-GAS AVAILABILITY'!Q999+'RAP TEMPLATE-GAS AVAILABILITY'!R999)</f>
        <v>89.902071942446042</v>
      </c>
    </row>
    <row r="1001" spans="1:29" ht="15.75" x14ac:dyDescent="0.25">
      <c r="A1001" s="13">
        <v>71375</v>
      </c>
      <c r="B1001" s="10">
        <f>CHOOSE(CONTROL!$C$42, 91.5258, 91.5258) * CHOOSE(CONTROL!$C$21, $C$9, 100%, $E$9)</f>
        <v>91.525800000000004</v>
      </c>
      <c r="C1001" s="10">
        <f>CHOOSE(CONTROL!$C$42, 91.5337, 91.5337) * CHOOSE(CONTROL!$C$21, $C$9, 100%, $E$9)</f>
        <v>91.533699999999996</v>
      </c>
      <c r="D1001" s="10">
        <f>CHOOSE(CONTROL!$C$42, 91.7261, 91.7261) * CHOOSE(CONTROL!$C$21, $C$9, 100%, $E$9)</f>
        <v>91.726100000000002</v>
      </c>
      <c r="E1001" s="10">
        <f>CHOOSE(CONTROL!$C$42, 91.7573, 91.7573) * CHOOSE(CONTROL!$C$21, $C$9, 100%, $E$9)</f>
        <v>91.757300000000001</v>
      </c>
      <c r="F1001" s="10">
        <f>CHOOSE(CONTROL!$C$42, 91.492, 91.492)*CHOOSE(CONTROL!$C$21, $C$9, 100%, $E$9)</f>
        <v>91.492000000000004</v>
      </c>
      <c r="G1001" s="10">
        <f>CHOOSE(CONTROL!$C$42, 91.5092, 91.5092)*CHOOSE(CONTROL!$C$21, $C$9, 100%, $E$9)</f>
        <v>91.509200000000007</v>
      </c>
      <c r="H1001" s="10">
        <f>CHOOSE(CONTROL!$C$42, 91.7459, 91.7459) * CHOOSE(CONTROL!$C$21, $C$9, 100%, $E$9)</f>
        <v>91.745900000000006</v>
      </c>
      <c r="I1001" s="10">
        <f>CHOOSE(CONTROL!$C$42, 91.4923, 91.4923)* CHOOSE(CONTROL!$C$21, $C$9, 100%, $E$9)</f>
        <v>91.4923</v>
      </c>
      <c r="J1001" s="10">
        <f>CHOOSE(CONTROL!$C$42, 91.485, 91.485)* CHOOSE(CONTROL!$C$21, $C$9, 100%, $E$9)</f>
        <v>91.484999999999999</v>
      </c>
      <c r="K1001" s="54">
        <f>CHOOSE(CONTROL!$C$42, 91.4885, 91.4885) * CHOOSE(CONTROL!$C$21, $C$9, 100%, $E$9)</f>
        <v>91.488500000000002</v>
      </c>
      <c r="L1001" s="10">
        <f>CHOOSE(CONTROL!$C$42, 92.3329, 92.3329) * CHOOSE(CONTROL!$C$21, $C$9, 100%, $E$9)</f>
        <v>92.332899999999995</v>
      </c>
      <c r="M1001" s="10">
        <f>CHOOSE(CONTROL!$C$42, 90.5756, 90.5756) * CHOOSE(CONTROL!$C$21, $C$9, 100%, $E$9)</f>
        <v>90.575599999999994</v>
      </c>
      <c r="N1001" s="10">
        <f>CHOOSE(CONTROL!$C$42, 90.5926, 90.5926) * CHOOSE(CONTROL!$C$21, $C$9, 100%, $E$9)</f>
        <v>90.592600000000004</v>
      </c>
      <c r="O1001" s="10">
        <f>CHOOSE(CONTROL!$C$42, 90.8338, 90.8338) * CHOOSE(CONTROL!$C$21, $C$9, 100%, $E$9)</f>
        <v>90.833799999999997</v>
      </c>
      <c r="P1001" s="10">
        <f>CHOOSE(CONTROL!$C$42, 90.5829, 90.5829) * CHOOSE(CONTROL!$C$21, $C$9, 100%, $E$9)</f>
        <v>90.582899999999995</v>
      </c>
      <c r="Q1001" s="10">
        <f>CHOOSE(CONTROL!$C$42, 91.4291, 91.4291) * CHOOSE(CONTROL!$C$21, $C$9, 100%, $E$9)</f>
        <v>91.429100000000005</v>
      </c>
      <c r="R1001" s="10">
        <f>CHOOSE(CONTROL!$C$42, 92.2447, 92.2447) * CHOOSE(CONTROL!$C$21, $C$9, 100%, $E$9)</f>
        <v>92.244699999999995</v>
      </c>
      <c r="S1001" s="10">
        <f>CHOOSE(CONTROL!$C$42, 88.8764, 88.8764) * CHOOSE(CONTROL!$C$21, $C$9, 100%, $E$9)</f>
        <v>88.876400000000004</v>
      </c>
      <c r="T1001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001" s="58">
        <f>(1000*CHOOSE(CONTROL!$C$42, 695, 695)*CHOOSE(CONTROL!$C$42, 0.5599, 0.5599)*CHOOSE(CONTROL!$C$42, 31, 31))/1000000</f>
        <v>12.063045499999998</v>
      </c>
      <c r="V1001" s="58">
        <f>(1000*CHOOSE(CONTROL!$C$42, 500, 500)*CHOOSE(CONTROL!$C$42, 0.275, 0.275)*CHOOSE(CONTROL!$C$42, 31, 31))/1000000</f>
        <v>4.2625000000000002</v>
      </c>
      <c r="W1001" s="58">
        <f>(1000*CHOOSE(CONTROL!$C$42, 0.1146, 0.1146)*CHOOSE(CONTROL!$C$42, 121.5, 121.5)*CHOOSE(CONTROL!$C$42, 31, 31))/1000000</f>
        <v>0.43164089999999994</v>
      </c>
      <c r="X1001" s="58">
        <f>(31*0.1790888*245000/1000000)+(31*0.2374*100000/1000000)</f>
        <v>2.0961194359999999</v>
      </c>
      <c r="Y1001" s="58"/>
      <c r="Z1001" s="10"/>
      <c r="AA1001" s="57"/>
      <c r="AB1001" s="51">
        <f>(B1001*194.205+C1001*267.466+D1001*133.845+E1001*53.484+F1001*40+G1001*185+H1001*0+I1001*100+J1001*300)/(194.205+267.466+133.845+53.484+0+40+185+100+300)</f>
        <v>91.542511680455263</v>
      </c>
      <c r="AC1001" s="27">
        <f>(M1001*'RAP TEMPLATE-GAS AVAILABILITY'!O1000+N1001*'RAP TEMPLATE-GAS AVAILABILITY'!P1000+O1001*'RAP TEMPLATE-GAS AVAILABILITY'!Q1000+P1001*'RAP TEMPLATE-GAS AVAILABILITY'!R1000)/('RAP TEMPLATE-GAS AVAILABILITY'!O1000+'RAP TEMPLATE-GAS AVAILABILITY'!P1000+'RAP TEMPLATE-GAS AVAILABILITY'!Q1000+'RAP TEMPLATE-GAS AVAILABILITY'!R1000)</f>
        <v>90.694654676258992</v>
      </c>
    </row>
    <row r="1002" spans="1:29" ht="15.75" x14ac:dyDescent="0.25">
      <c r="A1002" s="13">
        <v>71405</v>
      </c>
      <c r="B1002" s="10">
        <f>CHOOSE(CONTROL!$C$42, 94.1219, 94.1219) * CHOOSE(CONTROL!$C$21, $C$9, 100%, $E$9)</f>
        <v>94.121899999999997</v>
      </c>
      <c r="C1002" s="10">
        <f>CHOOSE(CONTROL!$C$42, 94.1298, 94.1298) * CHOOSE(CONTROL!$C$21, $C$9, 100%, $E$9)</f>
        <v>94.129800000000003</v>
      </c>
      <c r="D1002" s="10">
        <f>CHOOSE(CONTROL!$C$42, 94.3222, 94.3222) * CHOOSE(CONTROL!$C$21, $C$9, 100%, $E$9)</f>
        <v>94.322199999999995</v>
      </c>
      <c r="E1002" s="10">
        <f>CHOOSE(CONTROL!$C$42, 94.3534, 94.3534) * CHOOSE(CONTROL!$C$21, $C$9, 100%, $E$9)</f>
        <v>94.353399999999993</v>
      </c>
      <c r="F1002" s="10">
        <f>CHOOSE(CONTROL!$C$42, 94.0884, 94.0884)*CHOOSE(CONTROL!$C$21, $C$9, 100%, $E$9)</f>
        <v>94.088399999999993</v>
      </c>
      <c r="G1002" s="10">
        <f>CHOOSE(CONTROL!$C$42, 94.1056, 94.1056)*CHOOSE(CONTROL!$C$21, $C$9, 100%, $E$9)</f>
        <v>94.105599999999995</v>
      </c>
      <c r="H1002" s="10">
        <f>CHOOSE(CONTROL!$C$42, 94.342, 94.342) * CHOOSE(CONTROL!$C$21, $C$9, 100%, $E$9)</f>
        <v>94.341999999999999</v>
      </c>
      <c r="I1002" s="10">
        <f>CHOOSE(CONTROL!$C$42, 94.0885, 94.0885)* CHOOSE(CONTROL!$C$21, $C$9, 100%, $E$9)</f>
        <v>94.088499999999996</v>
      </c>
      <c r="J1002" s="10">
        <f>CHOOSE(CONTROL!$C$42, 94.0814, 94.0814)* CHOOSE(CONTROL!$C$21, $C$9, 100%, $E$9)</f>
        <v>94.081400000000002</v>
      </c>
      <c r="K1002" s="54">
        <f>CHOOSE(CONTROL!$C$42, 94.0846, 94.0846) * CHOOSE(CONTROL!$C$21, $C$9, 100%, $E$9)</f>
        <v>94.084599999999995</v>
      </c>
      <c r="L1002" s="10">
        <f>CHOOSE(CONTROL!$C$42, 94.929, 94.929) * CHOOSE(CONTROL!$C$21, $C$9, 100%, $E$9)</f>
        <v>94.929000000000002</v>
      </c>
      <c r="M1002" s="10">
        <f>CHOOSE(CONTROL!$C$42, 93.1458, 93.1458) * CHOOSE(CONTROL!$C$21, $C$9, 100%, $E$9)</f>
        <v>93.145799999999994</v>
      </c>
      <c r="N1002" s="10">
        <f>CHOOSE(CONTROL!$C$42, 93.1628, 93.1628) * CHOOSE(CONTROL!$C$21, $C$9, 100%, $E$9)</f>
        <v>93.162800000000004</v>
      </c>
      <c r="O1002" s="10">
        <f>CHOOSE(CONTROL!$C$42, 93.4038, 93.4038) * CHOOSE(CONTROL!$C$21, $C$9, 100%, $E$9)</f>
        <v>93.403800000000004</v>
      </c>
      <c r="P1002" s="10">
        <f>CHOOSE(CONTROL!$C$42, 93.1528, 93.1528) * CHOOSE(CONTROL!$C$21, $C$9, 100%, $E$9)</f>
        <v>93.152799999999999</v>
      </c>
      <c r="Q1002" s="10">
        <f>CHOOSE(CONTROL!$C$42, 93.9991, 93.9991) * CHOOSE(CONTROL!$C$21, $C$9, 100%, $E$9)</f>
        <v>93.999099999999999</v>
      </c>
      <c r="R1002" s="10">
        <f>CHOOSE(CONTROL!$C$42, 94.8211, 94.8211) * CHOOSE(CONTROL!$C$21, $C$9, 100%, $E$9)</f>
        <v>94.821100000000001</v>
      </c>
      <c r="S1002" s="10">
        <f>CHOOSE(CONTROL!$C$42, 91.3975, 91.3975) * CHOOSE(CONTROL!$C$21, $C$9, 100%, $E$9)</f>
        <v>91.397499999999994</v>
      </c>
      <c r="T1002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002" s="58">
        <f>(1000*CHOOSE(CONTROL!$C$42, 695, 695)*CHOOSE(CONTROL!$C$42, 0.5599, 0.5599)*CHOOSE(CONTROL!$C$42, 30, 30))/1000000</f>
        <v>11.673914999999997</v>
      </c>
      <c r="V1002" s="58">
        <f>(1000*CHOOSE(CONTROL!$C$42, 500, 500)*CHOOSE(CONTROL!$C$42, 0.275, 0.275)*CHOOSE(CONTROL!$C$42, 30, 30))/1000000</f>
        <v>4.125</v>
      </c>
      <c r="W1002" s="58">
        <f>(1000*CHOOSE(CONTROL!$C$42, 0.1146, 0.1146)*CHOOSE(CONTROL!$C$42, 121.5, 121.5)*CHOOSE(CONTROL!$C$42, 30, 30))/1000000</f>
        <v>0.417717</v>
      </c>
      <c r="X1002" s="58">
        <f>(30*0.1790888*245000/1000000)+(30*0.2374*100000/1000000)</f>
        <v>2.0285026799999999</v>
      </c>
      <c r="Y1002" s="58"/>
      <c r="Z1002" s="10"/>
      <c r="AA1002" s="57"/>
      <c r="AB1002" s="51">
        <f>(B1002*194.205+C1002*267.466+D1002*133.845+E1002*53.484+F1002*40+G1002*185+H1002*0+I1002*100+J1002*300)/(194.205+267.466+133.845+53.484+0+40+185+100+300)</f>
        <v>94.138743156122445</v>
      </c>
      <c r="AC1002" s="27">
        <f>(M1002*'RAP TEMPLATE-GAS AVAILABILITY'!O1001+N1002*'RAP TEMPLATE-GAS AVAILABILITY'!P1001+O1002*'RAP TEMPLATE-GAS AVAILABILITY'!Q1001+P1002*'RAP TEMPLATE-GAS AVAILABILITY'!R1001)/('RAP TEMPLATE-GAS AVAILABILITY'!O1001+'RAP TEMPLATE-GAS AVAILABILITY'!P1001+'RAP TEMPLATE-GAS AVAILABILITY'!Q1001+'RAP TEMPLATE-GAS AVAILABILITY'!R1001)</f>
        <v>93.26472086330935</v>
      </c>
    </row>
    <row r="1003" spans="1:29" ht="15.75" x14ac:dyDescent="0.25">
      <c r="A1003" s="13">
        <v>71436</v>
      </c>
      <c r="B1003" s="10">
        <f>CHOOSE(CONTROL!$C$42, 92.3163, 92.3163) * CHOOSE(CONTROL!$C$21, $C$9, 100%, $E$9)</f>
        <v>92.316299999999998</v>
      </c>
      <c r="C1003" s="10">
        <f>CHOOSE(CONTROL!$C$42, 92.3242, 92.3242) * CHOOSE(CONTROL!$C$21, $C$9, 100%, $E$9)</f>
        <v>92.324200000000005</v>
      </c>
      <c r="D1003" s="10">
        <f>CHOOSE(CONTROL!$C$42, 92.5166, 92.5166) * CHOOSE(CONTROL!$C$21, $C$9, 100%, $E$9)</f>
        <v>92.516599999999997</v>
      </c>
      <c r="E1003" s="10">
        <f>CHOOSE(CONTROL!$C$42, 92.5478, 92.5478) * CHOOSE(CONTROL!$C$21, $C$9, 100%, $E$9)</f>
        <v>92.547799999999995</v>
      </c>
      <c r="F1003" s="10">
        <f>CHOOSE(CONTROL!$C$42, 92.2832, 92.2832)*CHOOSE(CONTROL!$C$21, $C$9, 100%, $E$9)</f>
        <v>92.283199999999994</v>
      </c>
      <c r="G1003" s="10">
        <f>CHOOSE(CONTROL!$C$42, 92.3005, 92.3005)*CHOOSE(CONTROL!$C$21, $C$9, 100%, $E$9)</f>
        <v>92.3005</v>
      </c>
      <c r="H1003" s="10">
        <f>CHOOSE(CONTROL!$C$42, 92.5364, 92.5364) * CHOOSE(CONTROL!$C$21, $C$9, 100%, $E$9)</f>
        <v>92.5364</v>
      </c>
      <c r="I1003" s="10">
        <f>CHOOSE(CONTROL!$C$42, 92.2828, 92.2828)* CHOOSE(CONTROL!$C$21, $C$9, 100%, $E$9)</f>
        <v>92.282799999999995</v>
      </c>
      <c r="J1003" s="10">
        <f>CHOOSE(CONTROL!$C$42, 92.2762, 92.2762)* CHOOSE(CONTROL!$C$21, $C$9, 100%, $E$9)</f>
        <v>92.276200000000003</v>
      </c>
      <c r="K1003" s="54">
        <f>CHOOSE(CONTROL!$C$42, 92.279, 92.279) * CHOOSE(CONTROL!$C$21, $C$9, 100%, $E$9)</f>
        <v>92.278999999999996</v>
      </c>
      <c r="L1003" s="10">
        <f>CHOOSE(CONTROL!$C$42, 93.1234, 93.1234) * CHOOSE(CONTROL!$C$21, $C$9, 100%, $E$9)</f>
        <v>93.123400000000004</v>
      </c>
      <c r="M1003" s="10">
        <f>CHOOSE(CONTROL!$C$42, 91.3588, 91.3588) * CHOOSE(CONTROL!$C$21, $C$9, 100%, $E$9)</f>
        <v>91.358800000000002</v>
      </c>
      <c r="N1003" s="10">
        <f>CHOOSE(CONTROL!$C$42, 91.3759, 91.3759) * CHOOSE(CONTROL!$C$21, $C$9, 100%, $E$9)</f>
        <v>91.375900000000001</v>
      </c>
      <c r="O1003" s="10">
        <f>CHOOSE(CONTROL!$C$42, 91.6164, 91.6164) * CHOOSE(CONTROL!$C$21, $C$9, 100%, $E$9)</f>
        <v>91.616399999999999</v>
      </c>
      <c r="P1003" s="10">
        <f>CHOOSE(CONTROL!$C$42, 91.3654, 91.3654) * CHOOSE(CONTROL!$C$21, $C$9, 100%, $E$9)</f>
        <v>91.365399999999994</v>
      </c>
      <c r="Q1003" s="10">
        <f>CHOOSE(CONTROL!$C$42, 92.2117, 92.2117) * CHOOSE(CONTROL!$C$21, $C$9, 100%, $E$9)</f>
        <v>92.211699999999993</v>
      </c>
      <c r="R1003" s="10">
        <f>CHOOSE(CONTROL!$C$42, 93.0292, 93.0292) * CHOOSE(CONTROL!$C$21, $C$9, 100%, $E$9)</f>
        <v>93.029200000000003</v>
      </c>
      <c r="S1003" s="10">
        <f>CHOOSE(CONTROL!$C$42, 89.6441, 89.6441) * CHOOSE(CONTROL!$C$21, $C$9, 100%, $E$9)</f>
        <v>89.644099999999995</v>
      </c>
      <c r="T1003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003" s="58">
        <f>(1000*CHOOSE(CONTROL!$C$42, 695, 695)*CHOOSE(CONTROL!$C$42, 0.5599, 0.5599)*CHOOSE(CONTROL!$C$42, 31, 31))/1000000</f>
        <v>12.063045499999998</v>
      </c>
      <c r="V1003" s="58">
        <f>(1000*CHOOSE(CONTROL!$C$42, 500, 500)*CHOOSE(CONTROL!$C$42, 0.275, 0.275)*CHOOSE(CONTROL!$C$42, 31, 31))/1000000</f>
        <v>4.2625000000000002</v>
      </c>
      <c r="W1003" s="58">
        <f>(1000*CHOOSE(CONTROL!$C$42, 0.1146, 0.1146)*CHOOSE(CONTROL!$C$42, 121.5, 121.5)*CHOOSE(CONTROL!$C$42, 31, 31))/1000000</f>
        <v>0.43164089999999994</v>
      </c>
      <c r="X1003" s="58">
        <f>(31*0.1790888*245000/1000000)+(31*0.2374*100000/1000000)</f>
        <v>2.0961194359999999</v>
      </c>
      <c r="Y1003" s="58"/>
      <c r="Z1003" s="10"/>
      <c r="AA1003" s="57"/>
      <c r="AB1003" s="51">
        <f>(B1003*194.205+C1003*267.466+D1003*133.845+E1003*53.484+F1003*40+G1003*185+H1003*0+I1003*100+J1003*300)/(194.205+267.466+133.845+53.484+0+40+185+100+300)</f>
        <v>92.333314663186812</v>
      </c>
      <c r="AC1003" s="27">
        <f>(M1003*'RAP TEMPLATE-GAS AVAILABILITY'!O1002+N1003*'RAP TEMPLATE-GAS AVAILABILITY'!P1002+O1003*'RAP TEMPLATE-GAS AVAILABILITY'!Q1002+P1003*'RAP TEMPLATE-GAS AVAILABILITY'!R1002)/('RAP TEMPLATE-GAS AVAILABILITY'!O1002+'RAP TEMPLATE-GAS AVAILABILITY'!P1002+'RAP TEMPLATE-GAS AVAILABILITY'!Q1002+'RAP TEMPLATE-GAS AVAILABILITY'!R1002)</f>
        <v>91.477487769784176</v>
      </c>
    </row>
    <row r="1004" spans="1:29" ht="15.75" x14ac:dyDescent="0.25">
      <c r="A1004" s="13">
        <v>71467</v>
      </c>
      <c r="B1004" s="10">
        <f>CHOOSE(CONTROL!$C$42, 87.7566, 87.7566) * CHOOSE(CONTROL!$C$21, $C$9, 100%, $E$9)</f>
        <v>87.756600000000006</v>
      </c>
      <c r="C1004" s="10">
        <f>CHOOSE(CONTROL!$C$42, 87.7645, 87.7645) * CHOOSE(CONTROL!$C$21, $C$9, 100%, $E$9)</f>
        <v>87.764499999999998</v>
      </c>
      <c r="D1004" s="10">
        <f>CHOOSE(CONTROL!$C$42, 87.9569, 87.9569) * CHOOSE(CONTROL!$C$21, $C$9, 100%, $E$9)</f>
        <v>87.956900000000005</v>
      </c>
      <c r="E1004" s="10">
        <f>CHOOSE(CONTROL!$C$42, 87.988, 87.988) * CHOOSE(CONTROL!$C$21, $C$9, 100%, $E$9)</f>
        <v>87.988</v>
      </c>
      <c r="F1004" s="10">
        <f>CHOOSE(CONTROL!$C$42, 87.7236, 87.7236)*CHOOSE(CONTROL!$C$21, $C$9, 100%, $E$9)</f>
        <v>87.723600000000005</v>
      </c>
      <c r="G1004" s="10">
        <f>CHOOSE(CONTROL!$C$42, 87.7409, 87.7409)*CHOOSE(CONTROL!$C$21, $C$9, 100%, $E$9)</f>
        <v>87.740899999999996</v>
      </c>
      <c r="H1004" s="10">
        <f>CHOOSE(CONTROL!$C$42, 87.9767, 87.9767) * CHOOSE(CONTROL!$C$21, $C$9, 100%, $E$9)</f>
        <v>87.976699999999994</v>
      </c>
      <c r="I1004" s="10">
        <f>CHOOSE(CONTROL!$C$42, 87.7231, 87.7231)* CHOOSE(CONTROL!$C$21, $C$9, 100%, $E$9)</f>
        <v>87.723100000000002</v>
      </c>
      <c r="J1004" s="10">
        <f>CHOOSE(CONTROL!$C$42, 87.7166, 87.7166)* CHOOSE(CONTROL!$C$21, $C$9, 100%, $E$9)</f>
        <v>87.7166</v>
      </c>
      <c r="K1004" s="54">
        <f>CHOOSE(CONTROL!$C$42, 87.7192, 87.7192) * CHOOSE(CONTROL!$C$21, $C$9, 100%, $E$9)</f>
        <v>87.719200000000001</v>
      </c>
      <c r="L1004" s="10">
        <f>CHOOSE(CONTROL!$C$42, 88.5637, 88.5637) * CHOOSE(CONTROL!$C$21, $C$9, 100%, $E$9)</f>
        <v>88.563699999999997</v>
      </c>
      <c r="M1004" s="10">
        <f>CHOOSE(CONTROL!$C$42, 86.8452, 86.8452) * CHOOSE(CONTROL!$C$21, $C$9, 100%, $E$9)</f>
        <v>86.845200000000006</v>
      </c>
      <c r="N1004" s="10">
        <f>CHOOSE(CONTROL!$C$42, 86.8624, 86.8624) * CHOOSE(CONTROL!$C$21, $C$9, 100%, $E$9)</f>
        <v>86.862399999999994</v>
      </c>
      <c r="O1004" s="10">
        <f>CHOOSE(CONTROL!$C$42, 87.1027, 87.1027) * CHOOSE(CONTROL!$C$21, $C$9, 100%, $E$9)</f>
        <v>87.102699999999999</v>
      </c>
      <c r="P1004" s="10">
        <f>CHOOSE(CONTROL!$C$42, 86.8517, 86.8517) * CHOOSE(CONTROL!$C$21, $C$9, 100%, $E$9)</f>
        <v>86.851699999999994</v>
      </c>
      <c r="Q1004" s="10">
        <f>CHOOSE(CONTROL!$C$42, 87.698, 87.698) * CHOOSE(CONTROL!$C$21, $C$9, 100%, $E$9)</f>
        <v>87.697999999999993</v>
      </c>
      <c r="R1004" s="10">
        <f>CHOOSE(CONTROL!$C$42, 88.5042, 88.5042) * CHOOSE(CONTROL!$C$21, $C$9, 100%, $E$9)</f>
        <v>88.504199999999997</v>
      </c>
      <c r="S1004" s="10">
        <f>CHOOSE(CONTROL!$C$42, 85.2161, 85.2161) * CHOOSE(CONTROL!$C$21, $C$9, 100%, $E$9)</f>
        <v>85.216099999999997</v>
      </c>
      <c r="T1004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004" s="58">
        <f>(1000*CHOOSE(CONTROL!$C$42, 695, 695)*CHOOSE(CONTROL!$C$42, 0.5599, 0.5599)*CHOOSE(CONTROL!$C$42, 31, 31))/1000000</f>
        <v>12.063045499999998</v>
      </c>
      <c r="V1004" s="58">
        <f>(1000*CHOOSE(CONTROL!$C$42, 500, 500)*CHOOSE(CONTROL!$C$42, 0.275, 0.275)*CHOOSE(CONTROL!$C$42, 31, 31))/1000000</f>
        <v>4.2625000000000002</v>
      </c>
      <c r="W1004" s="58">
        <f>(1000*CHOOSE(CONTROL!$C$42, 0.1146, 0.1146)*CHOOSE(CONTROL!$C$42, 121.5, 121.5)*CHOOSE(CONTROL!$C$42, 31, 31))/1000000</f>
        <v>0.43164089999999994</v>
      </c>
      <c r="X1004" s="58">
        <f>(31*0.1790888*245000/1000000)+(31*0.2374*100000/1000000)</f>
        <v>2.0961194359999999</v>
      </c>
      <c r="Y1004" s="58"/>
      <c r="Z1004" s="10"/>
      <c r="AA1004" s="57"/>
      <c r="AB1004" s="51">
        <f>(B1004*194.205+C1004*267.466+D1004*133.845+E1004*53.484+F1004*40+G1004*185+H1004*0+I1004*100+J1004*300)/(194.205+267.466+133.845+53.484+0+40+185+100+300)</f>
        <v>87.773651673861863</v>
      </c>
      <c r="AC1004" s="27">
        <f>(M1004*'RAP TEMPLATE-GAS AVAILABILITY'!O1003+N1004*'RAP TEMPLATE-GAS AVAILABILITY'!P1003+O1004*'RAP TEMPLATE-GAS AVAILABILITY'!Q1003+P1004*'RAP TEMPLATE-GAS AVAILABILITY'!R1003)/('RAP TEMPLATE-GAS AVAILABILITY'!O1003+'RAP TEMPLATE-GAS AVAILABILITY'!P1003+'RAP TEMPLATE-GAS AVAILABILITY'!Q1003+'RAP TEMPLATE-GAS AVAILABILITY'!R1003)</f>
        <v>86.96383381294963</v>
      </c>
    </row>
    <row r="1005" spans="1:29" ht="15.75" x14ac:dyDescent="0.25">
      <c r="A1005" s="13">
        <v>71497</v>
      </c>
      <c r="B1005" s="10">
        <f>CHOOSE(CONTROL!$C$42, 82.185, 82.185) * CHOOSE(CONTROL!$C$21, $C$9, 100%, $E$9)</f>
        <v>82.185000000000002</v>
      </c>
      <c r="C1005" s="10">
        <f>CHOOSE(CONTROL!$C$42, 82.1929, 82.1929) * CHOOSE(CONTROL!$C$21, $C$9, 100%, $E$9)</f>
        <v>82.192899999999995</v>
      </c>
      <c r="D1005" s="10">
        <f>CHOOSE(CONTROL!$C$42, 82.3854, 82.3854) * CHOOSE(CONTROL!$C$21, $C$9, 100%, $E$9)</f>
        <v>82.385400000000004</v>
      </c>
      <c r="E1005" s="10">
        <f>CHOOSE(CONTROL!$C$42, 82.4165, 82.4165) * CHOOSE(CONTROL!$C$21, $C$9, 100%, $E$9)</f>
        <v>82.416499999999999</v>
      </c>
      <c r="F1005" s="10">
        <f>CHOOSE(CONTROL!$C$42, 82.1519, 82.1519)*CHOOSE(CONTROL!$C$21, $C$9, 100%, $E$9)</f>
        <v>82.151899999999998</v>
      </c>
      <c r="G1005" s="10">
        <f>CHOOSE(CONTROL!$C$42, 82.1692, 82.1692)*CHOOSE(CONTROL!$C$21, $C$9, 100%, $E$9)</f>
        <v>82.169200000000004</v>
      </c>
      <c r="H1005" s="10">
        <f>CHOOSE(CONTROL!$C$42, 82.4051, 82.4051) * CHOOSE(CONTROL!$C$21, $C$9, 100%, $E$9)</f>
        <v>82.405100000000004</v>
      </c>
      <c r="I1005" s="10">
        <f>CHOOSE(CONTROL!$C$42, 82.1516, 82.1516)* CHOOSE(CONTROL!$C$21, $C$9, 100%, $E$9)</f>
        <v>82.151600000000002</v>
      </c>
      <c r="J1005" s="10">
        <f>CHOOSE(CONTROL!$C$42, 82.1449, 82.1449)* CHOOSE(CONTROL!$C$21, $C$9, 100%, $E$9)</f>
        <v>82.144900000000007</v>
      </c>
      <c r="K1005" s="54">
        <f>CHOOSE(CONTROL!$C$42, 82.1477, 82.1477) * CHOOSE(CONTROL!$C$21, $C$9, 100%, $E$9)</f>
        <v>82.1477</v>
      </c>
      <c r="L1005" s="10">
        <f>CHOOSE(CONTROL!$C$42, 82.9921, 82.9921) * CHOOSE(CONTROL!$C$21, $C$9, 100%, $E$9)</f>
        <v>82.992099999999994</v>
      </c>
      <c r="M1005" s="10">
        <f>CHOOSE(CONTROL!$C$42, 81.3298, 81.3298) * CHOOSE(CONTROL!$C$21, $C$9, 100%, $E$9)</f>
        <v>81.329800000000006</v>
      </c>
      <c r="N1005" s="10">
        <f>CHOOSE(CONTROL!$C$42, 81.3469, 81.3469) * CHOOSE(CONTROL!$C$21, $C$9, 100%, $E$9)</f>
        <v>81.346900000000005</v>
      </c>
      <c r="O1005" s="10">
        <f>CHOOSE(CONTROL!$C$42, 81.5874, 81.5874) * CHOOSE(CONTROL!$C$21, $C$9, 100%, $E$9)</f>
        <v>81.587400000000002</v>
      </c>
      <c r="P1005" s="10">
        <f>CHOOSE(CONTROL!$C$42, 81.3364, 81.3364) * CHOOSE(CONTROL!$C$21, $C$9, 100%, $E$9)</f>
        <v>81.336399999999998</v>
      </c>
      <c r="Q1005" s="10">
        <f>CHOOSE(CONTROL!$C$42, 82.1827, 82.1827) * CHOOSE(CONTROL!$C$21, $C$9, 100%, $E$9)</f>
        <v>82.182699999999997</v>
      </c>
      <c r="R1005" s="10">
        <f>CHOOSE(CONTROL!$C$42, 82.9751, 82.9751) * CHOOSE(CONTROL!$C$21, $C$9, 100%, $E$9)</f>
        <v>82.975099999999998</v>
      </c>
      <c r="S1005" s="10">
        <f>CHOOSE(CONTROL!$C$42, 79.8056, 79.8056) * CHOOSE(CONTROL!$C$21, $C$9, 100%, $E$9)</f>
        <v>79.805599999999998</v>
      </c>
      <c r="T1005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005" s="58">
        <f>(1000*CHOOSE(CONTROL!$C$42, 695, 695)*CHOOSE(CONTROL!$C$42, 0.5599, 0.5599)*CHOOSE(CONTROL!$C$42, 30, 30))/1000000</f>
        <v>11.673914999999997</v>
      </c>
      <c r="V1005" s="58">
        <f>(1000*CHOOSE(CONTROL!$C$42, 500, 500)*CHOOSE(CONTROL!$C$42, 0.275, 0.275)*CHOOSE(CONTROL!$C$42, 30, 30))/1000000</f>
        <v>4.125</v>
      </c>
      <c r="W1005" s="58">
        <f>(1000*CHOOSE(CONTROL!$C$42, 0.1146, 0.1146)*CHOOSE(CONTROL!$C$42, 121.5, 121.5)*CHOOSE(CONTROL!$C$42, 30, 30))/1000000</f>
        <v>0.417717</v>
      </c>
      <c r="X1005" s="58">
        <f>(30*0.1790888*245000/1000000)+(30*0.2374*100000/1000000)</f>
        <v>2.0285026799999999</v>
      </c>
      <c r="Y1005" s="58"/>
      <c r="Z1005" s="10"/>
      <c r="AA1005" s="57"/>
      <c r="AB1005" s="51">
        <f>(B1005*194.205+C1005*267.466+D1005*133.845+E1005*53.484+F1005*40+G1005*185+H1005*0+I1005*100+J1005*300)/(194.205+267.466+133.845+53.484+0+40+185+100+300)</f>
        <v>82.202033018367345</v>
      </c>
      <c r="AC1005" s="27">
        <f>(M1005*'RAP TEMPLATE-GAS AVAILABILITY'!O1004+N1005*'RAP TEMPLATE-GAS AVAILABILITY'!P1004+O1005*'RAP TEMPLATE-GAS AVAILABILITY'!Q1004+P1005*'RAP TEMPLATE-GAS AVAILABILITY'!R1004)/('RAP TEMPLATE-GAS AVAILABILITY'!O1004+'RAP TEMPLATE-GAS AVAILABILITY'!P1004+'RAP TEMPLATE-GAS AVAILABILITY'!Q1004+'RAP TEMPLATE-GAS AVAILABILITY'!R1004)</f>
        <v>81.44848776978418</v>
      </c>
    </row>
    <row r="1006" spans="1:29" ht="15.75" x14ac:dyDescent="0.25">
      <c r="A1006" s="13">
        <v>71528</v>
      </c>
      <c r="B1006" s="10">
        <f>CHOOSE(CONTROL!$C$42, 80.5147, 80.5147) * CHOOSE(CONTROL!$C$21, $C$9, 100%, $E$9)</f>
        <v>80.514700000000005</v>
      </c>
      <c r="C1006" s="10">
        <f>CHOOSE(CONTROL!$C$42, 80.5199, 80.5199) * CHOOSE(CONTROL!$C$21, $C$9, 100%, $E$9)</f>
        <v>80.519900000000007</v>
      </c>
      <c r="D1006" s="10">
        <f>CHOOSE(CONTROL!$C$42, 80.7173, 80.7173) * CHOOSE(CONTROL!$C$21, $C$9, 100%, $E$9)</f>
        <v>80.717299999999994</v>
      </c>
      <c r="E1006" s="10">
        <f>CHOOSE(CONTROL!$C$42, 80.7461, 80.7461) * CHOOSE(CONTROL!$C$21, $C$9, 100%, $E$9)</f>
        <v>80.746099999999998</v>
      </c>
      <c r="F1006" s="10">
        <f>CHOOSE(CONTROL!$C$42, 80.4836, 80.4836)*CHOOSE(CONTROL!$C$21, $C$9, 100%, $E$9)</f>
        <v>80.483599999999996</v>
      </c>
      <c r="G1006" s="10">
        <f>CHOOSE(CONTROL!$C$42, 80.5006, 80.5006)*CHOOSE(CONTROL!$C$21, $C$9, 100%, $E$9)</f>
        <v>80.500600000000006</v>
      </c>
      <c r="H1006" s="10">
        <f>CHOOSE(CONTROL!$C$42, 80.7366, 80.7366) * CHOOSE(CONTROL!$C$21, $C$9, 100%, $E$9)</f>
        <v>80.736599999999996</v>
      </c>
      <c r="I1006" s="10">
        <f>CHOOSE(CONTROL!$C$42, 80.483, 80.483)* CHOOSE(CONTROL!$C$21, $C$9, 100%, $E$9)</f>
        <v>80.483000000000004</v>
      </c>
      <c r="J1006" s="10">
        <f>CHOOSE(CONTROL!$C$42, 80.4766, 80.4766)* CHOOSE(CONTROL!$C$21, $C$9, 100%, $E$9)</f>
        <v>80.476600000000005</v>
      </c>
      <c r="K1006" s="54">
        <f>CHOOSE(CONTROL!$C$42, 80.4791, 80.4791) * CHOOSE(CONTROL!$C$21, $C$9, 100%, $E$9)</f>
        <v>80.479100000000003</v>
      </c>
      <c r="L1006" s="10">
        <f>CHOOSE(CONTROL!$C$42, 81.3236, 81.3236) * CHOOSE(CONTROL!$C$21, $C$9, 100%, $E$9)</f>
        <v>81.323599999999999</v>
      </c>
      <c r="M1006" s="10">
        <f>CHOOSE(CONTROL!$C$42, 79.6783, 79.6783) * CHOOSE(CONTROL!$C$21, $C$9, 100%, $E$9)</f>
        <v>79.678299999999993</v>
      </c>
      <c r="N1006" s="10">
        <f>CHOOSE(CONTROL!$C$42, 79.6951, 79.6951) * CHOOSE(CONTROL!$C$21, $C$9, 100%, $E$9)</f>
        <v>79.695099999999996</v>
      </c>
      <c r="O1006" s="10">
        <f>CHOOSE(CONTROL!$C$42, 79.9356, 79.9356) * CHOOSE(CONTROL!$C$21, $C$9, 100%, $E$9)</f>
        <v>79.935599999999994</v>
      </c>
      <c r="P1006" s="10">
        <f>CHOOSE(CONTROL!$C$42, 79.6847, 79.6847) * CHOOSE(CONTROL!$C$21, $C$9, 100%, $E$9)</f>
        <v>79.684700000000007</v>
      </c>
      <c r="Q1006" s="10">
        <f>CHOOSE(CONTROL!$C$42, 80.5309, 80.5309) * CHOOSE(CONTROL!$C$21, $C$9, 100%, $E$9)</f>
        <v>80.530900000000003</v>
      </c>
      <c r="R1006" s="10">
        <f>CHOOSE(CONTROL!$C$42, 81.3192, 81.3192) * CHOOSE(CONTROL!$C$21, $C$9, 100%, $E$9)</f>
        <v>81.319199999999995</v>
      </c>
      <c r="S1006" s="10">
        <f>CHOOSE(CONTROL!$C$42, 78.1853, 78.1853) * CHOOSE(CONTROL!$C$21, $C$9, 100%, $E$9)</f>
        <v>78.185299999999998</v>
      </c>
      <c r="T1006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006" s="58">
        <f>(1000*CHOOSE(CONTROL!$C$42, 695, 695)*CHOOSE(CONTROL!$C$42, 0.5599, 0.5599)*CHOOSE(CONTROL!$C$42, 31, 31))/1000000</f>
        <v>12.063045499999998</v>
      </c>
      <c r="V1006" s="58">
        <f>(1000*CHOOSE(CONTROL!$C$42, 500, 500)*CHOOSE(CONTROL!$C$42, 0.275, 0.275)*CHOOSE(CONTROL!$C$42, 31, 31))/1000000</f>
        <v>4.2625000000000002</v>
      </c>
      <c r="W1006" s="58">
        <f>(1000*CHOOSE(CONTROL!$C$42, 0.1146, 0.1146)*CHOOSE(CONTROL!$C$42, 121.5, 121.5)*CHOOSE(CONTROL!$C$42, 31, 31))/1000000</f>
        <v>0.43164089999999994</v>
      </c>
      <c r="X1006" s="58">
        <f>(31*0.1790888*245000/1000000)+(31*0.2374*100000/1000000)</f>
        <v>2.0961194359999999</v>
      </c>
      <c r="Y1006" s="58"/>
      <c r="Z1006" s="10"/>
      <c r="AA1006" s="57"/>
      <c r="AB1006" s="51">
        <f>(B1006*131.881+C1006*277.167+D1006*79.08+E1006*125.872+F1006*40+G1006*185+H1006*0+I1006*100+J1006*300)/(131.881+277.167+79.08+125.872+0+40+185+100+300)</f>
        <v>80.537409569975779</v>
      </c>
      <c r="AC1006" s="27">
        <f>(M1006*'RAP TEMPLATE-GAS AVAILABILITY'!O1005+N1006*'RAP TEMPLATE-GAS AVAILABILITY'!P1005+O1006*'RAP TEMPLATE-GAS AVAILABILITY'!Q1005+P1006*'RAP TEMPLATE-GAS AVAILABILITY'!R1005)/('RAP TEMPLATE-GAS AVAILABILITY'!O1005+'RAP TEMPLATE-GAS AVAILABILITY'!P1005+'RAP TEMPLATE-GAS AVAILABILITY'!Q1005+'RAP TEMPLATE-GAS AVAILABILITY'!R1005)</f>
        <v>79.796805755395681</v>
      </c>
    </row>
    <row r="1007" spans="1:29" ht="15.75" x14ac:dyDescent="0.25">
      <c r="A1007" s="13">
        <v>71558</v>
      </c>
      <c r="B1007" s="10">
        <f>CHOOSE(CONTROL!$C$42, 82.6353, 82.6353) * CHOOSE(CONTROL!$C$21, $C$9, 100%, $E$9)</f>
        <v>82.635300000000001</v>
      </c>
      <c r="C1007" s="10">
        <f>CHOOSE(CONTROL!$C$42, 82.6403, 82.6403) * CHOOSE(CONTROL!$C$21, $C$9, 100%, $E$9)</f>
        <v>82.640299999999996</v>
      </c>
      <c r="D1007" s="10">
        <f>CHOOSE(CONTROL!$C$42, 82.6699, 82.6699) * CHOOSE(CONTROL!$C$21, $C$9, 100%, $E$9)</f>
        <v>82.669899999999998</v>
      </c>
      <c r="E1007" s="10">
        <f>CHOOSE(CONTROL!$C$42, 82.7037, 82.7037) * CHOOSE(CONTROL!$C$21, $C$9, 100%, $E$9)</f>
        <v>82.703699999999998</v>
      </c>
      <c r="F1007" s="10">
        <f>CHOOSE(CONTROL!$C$42, 82.6021, 82.6021)*CHOOSE(CONTROL!$C$21, $C$9, 100%, $E$9)</f>
        <v>82.602099999999993</v>
      </c>
      <c r="G1007" s="10">
        <f>CHOOSE(CONTROL!$C$42, 82.6192, 82.6192)*CHOOSE(CONTROL!$C$21, $C$9, 100%, $E$9)</f>
        <v>82.619200000000006</v>
      </c>
      <c r="H1007" s="10">
        <f>CHOOSE(CONTROL!$C$42, 82.6929, 82.6929) * CHOOSE(CONTROL!$C$21, $C$9, 100%, $E$9)</f>
        <v>82.692899999999995</v>
      </c>
      <c r="I1007" s="10">
        <f>CHOOSE(CONTROL!$C$42, 82.5989, 82.5989)* CHOOSE(CONTROL!$C$21, $C$9, 100%, $E$9)</f>
        <v>82.5989</v>
      </c>
      <c r="J1007" s="10">
        <f>CHOOSE(CONTROL!$C$42, 82.5951, 82.5951)* CHOOSE(CONTROL!$C$21, $C$9, 100%, $E$9)</f>
        <v>82.595100000000002</v>
      </c>
      <c r="K1007" s="54">
        <f>CHOOSE(CONTROL!$C$42, 82.595, 82.595) * CHOOSE(CONTROL!$C$21, $C$9, 100%, $E$9)</f>
        <v>82.594999999999999</v>
      </c>
      <c r="L1007" s="10">
        <f>CHOOSE(CONTROL!$C$42, 83.2799, 83.2799) * CHOOSE(CONTROL!$C$21, $C$9, 100%, $E$9)</f>
        <v>83.279899999999998</v>
      </c>
      <c r="M1007" s="10">
        <f>CHOOSE(CONTROL!$C$42, 81.7754, 81.7754) * CHOOSE(CONTROL!$C$21, $C$9, 100%, $E$9)</f>
        <v>81.775400000000005</v>
      </c>
      <c r="N1007" s="10">
        <f>CHOOSE(CONTROL!$C$42, 81.7924, 81.7924) * CHOOSE(CONTROL!$C$21, $C$9, 100%, $E$9)</f>
        <v>81.792400000000001</v>
      </c>
      <c r="O1007" s="10">
        <f>CHOOSE(CONTROL!$C$42, 81.8722, 81.8722) * CHOOSE(CONTROL!$C$21, $C$9, 100%, $E$9)</f>
        <v>81.872200000000007</v>
      </c>
      <c r="P1007" s="10">
        <f>CHOOSE(CONTROL!$C$42, 81.7792, 81.7792) * CHOOSE(CONTROL!$C$21, $C$9, 100%, $E$9)</f>
        <v>81.779200000000003</v>
      </c>
      <c r="Q1007" s="10">
        <f>CHOOSE(CONTROL!$C$42, 82.4675, 82.4675) * CHOOSE(CONTROL!$C$21, $C$9, 100%, $E$9)</f>
        <v>82.467500000000001</v>
      </c>
      <c r="R1007" s="10">
        <f>CHOOSE(CONTROL!$C$42, 83.2606, 83.2606) * CHOOSE(CONTROL!$C$21, $C$9, 100%, $E$9)</f>
        <v>83.260599999999997</v>
      </c>
      <c r="S1007" s="10">
        <f>CHOOSE(CONTROL!$C$42, 80.245, 80.245) * CHOOSE(CONTROL!$C$21, $C$9, 100%, $E$9)</f>
        <v>80.245000000000005</v>
      </c>
      <c r="T1007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007" s="58">
        <f>(1000*CHOOSE(CONTROL!$C$42, 695, 695)*CHOOSE(CONTROL!$C$42, 0.5599, 0.5599)*CHOOSE(CONTROL!$C$42, 30, 30))/1000000</f>
        <v>11.673914999999997</v>
      </c>
      <c r="V1007" s="58">
        <f>(1000*CHOOSE(CONTROL!$C$42, 500, 500)*CHOOSE(CONTROL!$C$42, 0.275, 0.275)*CHOOSE(CONTROL!$C$42, 30, 30))/1000000</f>
        <v>4.125</v>
      </c>
      <c r="W1007" s="58">
        <f>(1000*CHOOSE(CONTROL!$C$42, 0.1146, 0.1146)*CHOOSE(CONTROL!$C$42, 121.5, 121.5)*CHOOSE(CONTROL!$C$42, 30, 30))/1000000</f>
        <v>0.417717</v>
      </c>
      <c r="X1007" s="58">
        <f>(30*0.1790888*100000/1000000)+(30*0.2374*100000/1000000)</f>
        <v>1.2494664</v>
      </c>
      <c r="Y1007" s="58"/>
      <c r="Z1007" s="10"/>
      <c r="AA1007" s="57"/>
      <c r="AB1007" s="51">
        <f>(B1007*122.58+C1007*297.941+D1007*89.177+E1007*40.302+F1007*40+G1007*160+H1007*0+I1007*100+J1007*300)/(122.58+297.941+89.177+40.302+0+40+160+100+300)</f>
        <v>82.624628596521731</v>
      </c>
      <c r="AC1007" s="27">
        <f>(M1007*'RAP TEMPLATE-GAS AVAILABILITY'!O1006+N1007*'RAP TEMPLATE-GAS AVAILABILITY'!P1006+O1007*'RAP TEMPLATE-GAS AVAILABILITY'!Q1006+P1007*'RAP TEMPLATE-GAS AVAILABILITY'!R1006)/('RAP TEMPLATE-GAS AVAILABILITY'!O1006+'RAP TEMPLATE-GAS AVAILABILITY'!P1006+'RAP TEMPLATE-GAS AVAILABILITY'!Q1006+'RAP TEMPLATE-GAS AVAILABILITY'!R1006)</f>
        <v>81.820798561151079</v>
      </c>
    </row>
    <row r="1008" spans="1:29" ht="15.75" x14ac:dyDescent="0.25">
      <c r="A1008" s="13">
        <v>71589</v>
      </c>
      <c r="B1008" s="10">
        <f>CHOOSE(CONTROL!$C$42, 88.2692, 88.2692) * CHOOSE(CONTROL!$C$21, $C$9, 100%, $E$9)</f>
        <v>88.269199999999998</v>
      </c>
      <c r="C1008" s="10">
        <f>CHOOSE(CONTROL!$C$42, 88.2741, 88.2741) * CHOOSE(CONTROL!$C$21, $C$9, 100%, $E$9)</f>
        <v>88.274100000000004</v>
      </c>
      <c r="D1008" s="10">
        <f>CHOOSE(CONTROL!$C$42, 88.3037, 88.3037) * CHOOSE(CONTROL!$C$21, $C$9, 100%, $E$9)</f>
        <v>88.303700000000006</v>
      </c>
      <c r="E1008" s="10">
        <f>CHOOSE(CONTROL!$C$42, 88.3375, 88.3375) * CHOOSE(CONTROL!$C$21, $C$9, 100%, $E$9)</f>
        <v>88.337500000000006</v>
      </c>
      <c r="F1008" s="10">
        <f>CHOOSE(CONTROL!$C$42, 88.2374, 88.2374)*CHOOSE(CONTROL!$C$21, $C$9, 100%, $E$9)</f>
        <v>88.237399999999994</v>
      </c>
      <c r="G1008" s="10">
        <f>CHOOSE(CONTROL!$C$42, 88.2549, 88.2549)*CHOOSE(CONTROL!$C$21, $C$9, 100%, $E$9)</f>
        <v>88.254900000000006</v>
      </c>
      <c r="H1008" s="10">
        <f>CHOOSE(CONTROL!$C$42, 88.3267, 88.3267) * CHOOSE(CONTROL!$C$21, $C$9, 100%, $E$9)</f>
        <v>88.326700000000002</v>
      </c>
      <c r="I1008" s="10">
        <f>CHOOSE(CONTROL!$C$42, 88.2328, 88.2328)* CHOOSE(CONTROL!$C$21, $C$9, 100%, $E$9)</f>
        <v>88.232799999999997</v>
      </c>
      <c r="J1008" s="10">
        <f>CHOOSE(CONTROL!$C$42, 88.2304, 88.2304)* CHOOSE(CONTROL!$C$21, $C$9, 100%, $E$9)</f>
        <v>88.230400000000003</v>
      </c>
      <c r="K1008" s="54">
        <f>CHOOSE(CONTROL!$C$42, 88.2289, 88.2289) * CHOOSE(CONTROL!$C$21, $C$9, 100%, $E$9)</f>
        <v>88.228899999999996</v>
      </c>
      <c r="L1008" s="10">
        <f>CHOOSE(CONTROL!$C$42, 88.9137, 88.9137) * CHOOSE(CONTROL!$C$21, $C$9, 100%, $E$9)</f>
        <v>88.913700000000006</v>
      </c>
      <c r="M1008" s="10">
        <f>CHOOSE(CONTROL!$C$42, 87.3538, 87.3538) * CHOOSE(CONTROL!$C$21, $C$9, 100%, $E$9)</f>
        <v>87.353800000000007</v>
      </c>
      <c r="N1008" s="10">
        <f>CHOOSE(CONTROL!$C$42, 87.3711, 87.3711) * CHOOSE(CONTROL!$C$21, $C$9, 100%, $E$9)</f>
        <v>87.371099999999998</v>
      </c>
      <c r="O1008" s="10">
        <f>CHOOSE(CONTROL!$C$42, 87.4492, 87.4492) * CHOOSE(CONTROL!$C$21, $C$9, 100%, $E$9)</f>
        <v>87.449200000000005</v>
      </c>
      <c r="P1008" s="10">
        <f>CHOOSE(CONTROL!$C$42, 87.3562, 87.3562) * CHOOSE(CONTROL!$C$21, $C$9, 100%, $E$9)</f>
        <v>87.356200000000001</v>
      </c>
      <c r="Q1008" s="10">
        <f>CHOOSE(CONTROL!$C$42, 88.0445, 88.0445) * CHOOSE(CONTROL!$C$21, $C$9, 100%, $E$9)</f>
        <v>88.044499999999999</v>
      </c>
      <c r="R1008" s="10">
        <f>CHOOSE(CONTROL!$C$42, 88.8516, 88.8516) * CHOOSE(CONTROL!$C$21, $C$9, 100%, $E$9)</f>
        <v>88.851600000000005</v>
      </c>
      <c r="S1008" s="10">
        <f>CHOOSE(CONTROL!$C$42, 85.716, 85.716) * CHOOSE(CONTROL!$C$21, $C$9, 100%, $E$9)</f>
        <v>85.715999999999994</v>
      </c>
      <c r="T1008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008" s="58">
        <f>(1000*CHOOSE(CONTROL!$C$42, 695, 695)*CHOOSE(CONTROL!$C$42, 0.5599, 0.5599)*CHOOSE(CONTROL!$C$42, 31, 31))/1000000</f>
        <v>12.063045499999998</v>
      </c>
      <c r="V1008" s="58">
        <f>(1000*CHOOSE(CONTROL!$C$42, 500, 500)*CHOOSE(CONTROL!$C$42, 0.275, 0.275)*CHOOSE(CONTROL!$C$42, 31, 31))/1000000</f>
        <v>4.2625000000000002</v>
      </c>
      <c r="W1008" s="58">
        <f>(1000*CHOOSE(CONTROL!$C$42, 0.1146, 0.1146)*CHOOSE(CONTROL!$C$42, 121.5, 121.5)*CHOOSE(CONTROL!$C$42, 31, 31))/1000000</f>
        <v>0.43164089999999994</v>
      </c>
      <c r="X1008" s="58">
        <f>(31*0.1790888*100000/1000000)+(31*0.2374*100000/1000000)</f>
        <v>1.2911152800000001</v>
      </c>
      <c r="Y1008" s="58"/>
      <c r="Z1008" s="10"/>
      <c r="AA1008" s="57"/>
      <c r="AB1008" s="51">
        <f>(B1008*122.58+C1008*297.941+D1008*89.177+E1008*40.302+F1008*40+G1008*160+H1008*0+I1008*100+J1008*300)/(122.58+297.941+89.177+40.302+0+40+160+100+300)</f>
        <v>88.2591557773913</v>
      </c>
      <c r="AC1008" s="27">
        <f>(M1008*'RAP TEMPLATE-GAS AVAILABILITY'!O1007+N1008*'RAP TEMPLATE-GAS AVAILABILITY'!P1007+O1008*'RAP TEMPLATE-GAS AVAILABILITY'!Q1007+P1008*'RAP TEMPLATE-GAS AVAILABILITY'!R1007)/('RAP TEMPLATE-GAS AVAILABILITY'!O1007+'RAP TEMPLATE-GAS AVAILABILITY'!P1007+'RAP TEMPLATE-GAS AVAILABILITY'!Q1007+'RAP TEMPLATE-GAS AVAILABILITY'!R1007)</f>
        <v>87.398379856115113</v>
      </c>
    </row>
    <row r="1009" spans="1:29" ht="15.75" x14ac:dyDescent="0.25">
      <c r="A1009" s="13">
        <v>71620</v>
      </c>
      <c r="B1009" s="10">
        <f>CHOOSE(CONTROL!$C$42, 95.5014, 95.5014) * CHOOSE(CONTROL!$C$21, $C$9, 100%, $E$9)</f>
        <v>95.501400000000004</v>
      </c>
      <c r="C1009" s="10">
        <f>CHOOSE(CONTROL!$C$42, 95.5064, 95.5064) * CHOOSE(CONTROL!$C$21, $C$9, 100%, $E$9)</f>
        <v>95.506399999999999</v>
      </c>
      <c r="D1009" s="10">
        <f>CHOOSE(CONTROL!$C$42, 95.5566, 95.5566) * CHOOSE(CONTROL!$C$21, $C$9, 100%, $E$9)</f>
        <v>95.556600000000003</v>
      </c>
      <c r="E1009" s="10">
        <f>CHOOSE(CONTROL!$C$42, 95.5904, 95.5904) * CHOOSE(CONTROL!$C$21, $C$9, 100%, $E$9)</f>
        <v>95.590400000000002</v>
      </c>
      <c r="F1009" s="10">
        <f>CHOOSE(CONTROL!$C$42, 95.4668, 95.4668)*CHOOSE(CONTROL!$C$21, $C$9, 100%, $E$9)</f>
        <v>95.466800000000006</v>
      </c>
      <c r="G1009" s="10">
        <f>CHOOSE(CONTROL!$C$42, 95.4843, 95.4843)*CHOOSE(CONTROL!$C$21, $C$9, 100%, $E$9)</f>
        <v>95.484300000000005</v>
      </c>
      <c r="H1009" s="10">
        <f>CHOOSE(CONTROL!$C$42, 95.5796, 95.5796) * CHOOSE(CONTROL!$C$21, $C$9, 100%, $E$9)</f>
        <v>95.579599999999999</v>
      </c>
      <c r="I1009" s="10">
        <f>CHOOSE(CONTROL!$C$42, 95.4753, 95.4753)* CHOOSE(CONTROL!$C$21, $C$9, 100%, $E$9)</f>
        <v>95.475300000000004</v>
      </c>
      <c r="J1009" s="10">
        <f>CHOOSE(CONTROL!$C$42, 95.4598, 95.4598)* CHOOSE(CONTROL!$C$21, $C$9, 100%, $E$9)</f>
        <v>95.459800000000001</v>
      </c>
      <c r="K1009" s="54">
        <f>CHOOSE(CONTROL!$C$42, 95.4714, 95.4714) * CHOOSE(CONTROL!$C$21, $C$9, 100%, $E$9)</f>
        <v>95.471400000000003</v>
      </c>
      <c r="L1009" s="10">
        <f>CHOOSE(CONTROL!$C$42, 96.1666, 96.1666) * CHOOSE(CONTROL!$C$21, $C$9, 100%, $E$9)</f>
        <v>96.166600000000003</v>
      </c>
      <c r="M1009" s="10">
        <f>CHOOSE(CONTROL!$C$42, 94.5103, 94.5103) * CHOOSE(CONTROL!$C$21, $C$9, 100%, $E$9)</f>
        <v>94.510300000000001</v>
      </c>
      <c r="N1009" s="10">
        <f>CHOOSE(CONTROL!$C$42, 94.5276, 94.5276) * CHOOSE(CONTROL!$C$21, $C$9, 100%, $E$9)</f>
        <v>94.527600000000007</v>
      </c>
      <c r="O1009" s="10">
        <f>CHOOSE(CONTROL!$C$42, 94.6288, 94.6288) * CHOOSE(CONTROL!$C$21, $C$9, 100%, $E$9)</f>
        <v>94.628799999999998</v>
      </c>
      <c r="P1009" s="10">
        <f>CHOOSE(CONTROL!$C$42, 94.5257, 94.5257) * CHOOSE(CONTROL!$C$21, $C$9, 100%, $E$9)</f>
        <v>94.525700000000001</v>
      </c>
      <c r="Q1009" s="10">
        <f>CHOOSE(CONTROL!$C$42, 95.2241, 95.2241) * CHOOSE(CONTROL!$C$21, $C$9, 100%, $E$9)</f>
        <v>95.224100000000007</v>
      </c>
      <c r="R1009" s="10">
        <f>CHOOSE(CONTROL!$C$42, 96.0492, 96.0492) * CHOOSE(CONTROL!$C$21, $C$9, 100%, $E$9)</f>
        <v>96.049199999999999</v>
      </c>
      <c r="S1009" s="10">
        <f>CHOOSE(CONTROL!$C$42, 92.7393, 92.7393) * CHOOSE(CONTROL!$C$21, $C$9, 100%, $E$9)</f>
        <v>92.7393</v>
      </c>
      <c r="T1009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009" s="58">
        <f>(1000*CHOOSE(CONTROL!$C$42, 695, 695)*CHOOSE(CONTROL!$C$42, 0.5599, 0.5599)*CHOOSE(CONTROL!$C$42, 31, 31))/1000000</f>
        <v>12.063045499999998</v>
      </c>
      <c r="V1009" s="58">
        <f>(1000*CHOOSE(CONTROL!$C$42, 500, 500)*CHOOSE(CONTROL!$C$42, 0.275, 0.275)*CHOOSE(CONTROL!$C$42, 31, 31))/1000000</f>
        <v>4.2625000000000002</v>
      </c>
      <c r="W1009" s="58">
        <f>(1000*CHOOSE(CONTROL!$C$42, 0.1146, 0.1146)*CHOOSE(CONTROL!$C$42, 121.5, 121.5)*CHOOSE(CONTROL!$C$42, 31, 31))/1000000</f>
        <v>0.43164089999999994</v>
      </c>
      <c r="X1009" s="58">
        <f>(31*0.1790888*100000/1000000)+(31*0.2374*100000/1000000)</f>
        <v>1.2911152800000001</v>
      </c>
      <c r="Y1009" s="58"/>
      <c r="Z1009" s="10"/>
      <c r="AA1009" s="57"/>
      <c r="AB1009" s="51">
        <f>(B1009*122.58+C1009*297.941+D1009*89.177+E1009*40.302+F1009*40+G1009*160+H1009*0+I1009*100+J1009*300)/(122.58+297.941+89.177+40.302+0+40+160+100+300)</f>
        <v>95.493390568173922</v>
      </c>
      <c r="AC1009" s="27">
        <f>(M1009*'RAP TEMPLATE-GAS AVAILABILITY'!O1008+N1009*'RAP TEMPLATE-GAS AVAILABILITY'!P1008+O1009*'RAP TEMPLATE-GAS AVAILABILITY'!Q1008+P1009*'RAP TEMPLATE-GAS AVAILABILITY'!R1008)/('RAP TEMPLATE-GAS AVAILABILITY'!O1008+'RAP TEMPLATE-GAS AVAILABILITY'!P1008+'RAP TEMPLATE-GAS AVAILABILITY'!Q1008+'RAP TEMPLATE-GAS AVAILABILITY'!R1008)</f>
        <v>94.567220143884882</v>
      </c>
    </row>
    <row r="1010" spans="1:29" ht="15.75" x14ac:dyDescent="0.25">
      <c r="A1010" s="13">
        <v>71649</v>
      </c>
      <c r="B1010" s="10">
        <f>CHOOSE(CONTROL!$C$42, 97.2014, 97.2014) * CHOOSE(CONTROL!$C$21, $C$9, 100%, $E$9)</f>
        <v>97.201400000000007</v>
      </c>
      <c r="C1010" s="10">
        <f>CHOOSE(CONTROL!$C$42, 97.2064, 97.2064) * CHOOSE(CONTROL!$C$21, $C$9, 100%, $E$9)</f>
        <v>97.206400000000002</v>
      </c>
      <c r="D1010" s="10">
        <f>CHOOSE(CONTROL!$C$42, 97.2669, 97.2669) * CHOOSE(CONTROL!$C$21, $C$9, 100%, $E$9)</f>
        <v>97.266900000000007</v>
      </c>
      <c r="E1010" s="10">
        <f>CHOOSE(CONTROL!$C$42, 97.3007, 97.3007) * CHOOSE(CONTROL!$C$21, $C$9, 100%, $E$9)</f>
        <v>97.300700000000006</v>
      </c>
      <c r="F1010" s="10">
        <f>CHOOSE(CONTROL!$C$42, 97.1947, 97.1947)*CHOOSE(CONTROL!$C$21, $C$9, 100%, $E$9)</f>
        <v>97.194699999999997</v>
      </c>
      <c r="G1010" s="10">
        <f>CHOOSE(CONTROL!$C$42, 97.212, 97.212)*CHOOSE(CONTROL!$C$21, $C$9, 100%, $E$9)</f>
        <v>97.212000000000003</v>
      </c>
      <c r="H1010" s="10">
        <f>CHOOSE(CONTROL!$C$42, 97.2899, 97.2899) * CHOOSE(CONTROL!$C$21, $C$9, 100%, $E$9)</f>
        <v>97.289900000000003</v>
      </c>
      <c r="I1010" s="10">
        <f>CHOOSE(CONTROL!$C$42, 97.1882, 97.1882)* CHOOSE(CONTROL!$C$21, $C$9, 100%, $E$9)</f>
        <v>97.188199999999995</v>
      </c>
      <c r="J1010" s="10">
        <f>CHOOSE(CONTROL!$C$42, 97.1877, 97.1877)* CHOOSE(CONTROL!$C$21, $C$9, 100%, $E$9)</f>
        <v>97.187700000000007</v>
      </c>
      <c r="K1010" s="54">
        <f>CHOOSE(CONTROL!$C$42, 97.1843, 97.1843) * CHOOSE(CONTROL!$C$21, $C$9, 100%, $E$9)</f>
        <v>97.184299999999993</v>
      </c>
      <c r="L1010" s="10">
        <f>CHOOSE(CONTROL!$C$42, 97.8769, 97.8769) * CHOOSE(CONTROL!$C$21, $C$9, 100%, $E$9)</f>
        <v>97.876900000000006</v>
      </c>
      <c r="M1010" s="10">
        <f>CHOOSE(CONTROL!$C$42, 96.2207, 96.2207) * CHOOSE(CONTROL!$C$21, $C$9, 100%, $E$9)</f>
        <v>96.220699999999994</v>
      </c>
      <c r="N1010" s="10">
        <f>CHOOSE(CONTROL!$C$42, 96.2378, 96.2378) * CHOOSE(CONTROL!$C$21, $C$9, 100%, $E$9)</f>
        <v>96.237799999999993</v>
      </c>
      <c r="O1010" s="10">
        <f>CHOOSE(CONTROL!$C$42, 96.3219, 96.3219) * CHOOSE(CONTROL!$C$21, $C$9, 100%, $E$9)</f>
        <v>96.321899999999999</v>
      </c>
      <c r="P1010" s="10">
        <f>CHOOSE(CONTROL!$C$42, 96.2213, 96.2213) * CHOOSE(CONTROL!$C$21, $C$9, 100%, $E$9)</f>
        <v>96.221299999999999</v>
      </c>
      <c r="Q1010" s="10">
        <f>CHOOSE(CONTROL!$C$42, 96.9172, 96.9172) * CHOOSE(CONTROL!$C$21, $C$9, 100%, $E$9)</f>
        <v>96.917199999999994</v>
      </c>
      <c r="R1010" s="10">
        <f>CHOOSE(CONTROL!$C$42, 97.7465, 97.7465) * CHOOSE(CONTROL!$C$21, $C$9, 100%, $E$9)</f>
        <v>97.746499999999997</v>
      </c>
      <c r="S1010" s="10">
        <f>CHOOSE(CONTROL!$C$42, 94.3902, 94.3902) * CHOOSE(CONTROL!$C$21, $C$9, 100%, $E$9)</f>
        <v>94.390199999999993</v>
      </c>
      <c r="T1010" s="5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1010" s="58">
        <f>(1000*CHOOSE(CONTROL!$C$42, 695, 695)*CHOOSE(CONTROL!$C$42, 0.5599, 0.5599)*CHOOSE(CONTROL!$C$42, 29, 29))/1000000</f>
        <v>11.284784499999999</v>
      </c>
      <c r="V1010" s="58">
        <f>(1000*CHOOSE(CONTROL!$C$42, 500, 500)*CHOOSE(CONTROL!$C$42, 0.275, 0.275)*CHOOSE(CONTROL!$C$42, 29, 29))/1000000</f>
        <v>3.9874999999999998</v>
      </c>
      <c r="W1010" s="58">
        <f>(1000*CHOOSE(CONTROL!$C$42, 0.1146, 0.1146)*CHOOSE(CONTROL!$C$42, 121.5, 121.5)*CHOOSE(CONTROL!$C$42, 29, 29))/1000000</f>
        <v>0.40379309999999996</v>
      </c>
      <c r="X1010" s="58">
        <f>(29*0.1790888*100000/1000000)+(29*0.2374*100000/1000000)</f>
        <v>1.2078175199999999</v>
      </c>
      <c r="Y1010" s="58"/>
      <c r="Z1010" s="10"/>
      <c r="AA1010" s="57"/>
      <c r="AB1010" s="51">
        <f>(B1010*122.58+C1010*297.941+D1010*89.177+E1010*40.302+F1010*40+G1010*160+H1010*0+I1010*100+J1010*300)/(122.58+297.941+89.177+40.302+0+40+160+100+300)</f>
        <v>97.207774597478263</v>
      </c>
      <c r="AC1010" s="27">
        <f>(M1010*'RAP TEMPLATE-GAS AVAILABILITY'!O1009+N1010*'RAP TEMPLATE-GAS AVAILABILITY'!P1009+O1010*'RAP TEMPLATE-GAS AVAILABILITY'!Q1009+P1010*'RAP TEMPLATE-GAS AVAILABILITY'!R1009)/('RAP TEMPLATE-GAS AVAILABILITY'!O1009+'RAP TEMPLATE-GAS AVAILABILITY'!P1009+'RAP TEMPLATE-GAS AVAILABILITY'!Q1009+'RAP TEMPLATE-GAS AVAILABILITY'!R1009)</f>
        <v>96.267638129496405</v>
      </c>
    </row>
    <row r="1011" spans="1:29" ht="15.75" x14ac:dyDescent="0.25">
      <c r="A1011" s="13">
        <v>71680</v>
      </c>
      <c r="B1011" s="10">
        <f>CHOOSE(CONTROL!$C$42, 94.4419, 94.4419) * CHOOSE(CONTROL!$C$21, $C$9, 100%, $E$9)</f>
        <v>94.441900000000004</v>
      </c>
      <c r="C1011" s="10">
        <f>CHOOSE(CONTROL!$C$42, 94.4469, 94.4469) * CHOOSE(CONTROL!$C$21, $C$9, 100%, $E$9)</f>
        <v>94.446899999999999</v>
      </c>
      <c r="D1011" s="10">
        <f>CHOOSE(CONTROL!$C$42, 94.5074, 94.5074) * CHOOSE(CONTROL!$C$21, $C$9, 100%, $E$9)</f>
        <v>94.507400000000004</v>
      </c>
      <c r="E1011" s="10">
        <f>CHOOSE(CONTROL!$C$42, 94.5411, 94.5411) * CHOOSE(CONTROL!$C$21, $C$9, 100%, $E$9)</f>
        <v>94.5411</v>
      </c>
      <c r="F1011" s="10">
        <f>CHOOSE(CONTROL!$C$42, 94.4296, 94.4296)*CHOOSE(CONTROL!$C$21, $C$9, 100%, $E$9)</f>
        <v>94.429599999999994</v>
      </c>
      <c r="G1011" s="10">
        <f>CHOOSE(CONTROL!$C$42, 94.4468, 94.4468)*CHOOSE(CONTROL!$C$21, $C$9, 100%, $E$9)</f>
        <v>94.446799999999996</v>
      </c>
      <c r="H1011" s="10">
        <f>CHOOSE(CONTROL!$C$42, 94.5303, 94.5303) * CHOOSE(CONTROL!$C$21, $C$9, 100%, $E$9)</f>
        <v>94.530299999999997</v>
      </c>
      <c r="I1011" s="10">
        <f>CHOOSE(CONTROL!$C$42, 94.4158, 94.4158)* CHOOSE(CONTROL!$C$21, $C$9, 100%, $E$9)</f>
        <v>94.415800000000004</v>
      </c>
      <c r="J1011" s="10">
        <f>CHOOSE(CONTROL!$C$42, 94.4226, 94.4226)* CHOOSE(CONTROL!$C$21, $C$9, 100%, $E$9)</f>
        <v>94.422600000000003</v>
      </c>
      <c r="K1011" s="54">
        <f>CHOOSE(CONTROL!$C$42, 94.4119, 94.4119) * CHOOSE(CONTROL!$C$21, $C$9, 100%, $E$9)</f>
        <v>94.411900000000003</v>
      </c>
      <c r="L1011" s="10">
        <f>CHOOSE(CONTROL!$C$42, 95.1173, 95.1173) * CHOOSE(CONTROL!$C$21, $C$9, 100%, $E$9)</f>
        <v>95.1173</v>
      </c>
      <c r="M1011" s="10">
        <f>CHOOSE(CONTROL!$C$42, 93.4836, 93.4836) * CHOOSE(CONTROL!$C$21, $C$9, 100%, $E$9)</f>
        <v>93.483599999999996</v>
      </c>
      <c r="N1011" s="10">
        <f>CHOOSE(CONTROL!$C$42, 93.5006, 93.5006) * CHOOSE(CONTROL!$C$21, $C$9, 100%, $E$9)</f>
        <v>93.500600000000006</v>
      </c>
      <c r="O1011" s="10">
        <f>CHOOSE(CONTROL!$C$42, 93.5902, 93.5902) * CHOOSE(CONTROL!$C$21, $C$9, 100%, $E$9)</f>
        <v>93.590199999999996</v>
      </c>
      <c r="P1011" s="10">
        <f>CHOOSE(CONTROL!$C$42, 93.4768, 93.4768) * CHOOSE(CONTROL!$C$21, $C$9, 100%, $E$9)</f>
        <v>93.476799999999997</v>
      </c>
      <c r="Q1011" s="10">
        <f>CHOOSE(CONTROL!$C$42, 94.1855, 94.1855) * CHOOSE(CONTROL!$C$21, $C$9, 100%, $E$9)</f>
        <v>94.185500000000005</v>
      </c>
      <c r="R1011" s="10">
        <f>CHOOSE(CONTROL!$C$42, 95.0079, 95.0079) * CHOOSE(CONTROL!$C$21, $C$9, 100%, $E$9)</f>
        <v>95.007900000000006</v>
      </c>
      <c r="S1011" s="10">
        <f>CHOOSE(CONTROL!$C$42, 91.7104, 91.7104) * CHOOSE(CONTROL!$C$21, $C$9, 100%, $E$9)</f>
        <v>91.710400000000007</v>
      </c>
      <c r="T1011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011" s="58">
        <f>(1000*CHOOSE(CONTROL!$C$42, 695, 695)*CHOOSE(CONTROL!$C$42, 0.5599, 0.5599)*CHOOSE(CONTROL!$C$42, 31, 31))/1000000</f>
        <v>12.063045499999998</v>
      </c>
      <c r="V1011" s="58">
        <f>(1000*CHOOSE(CONTROL!$C$42, 500, 500)*CHOOSE(CONTROL!$C$42, 0.275, 0.275)*CHOOSE(CONTROL!$C$42, 31, 31))/1000000</f>
        <v>4.2625000000000002</v>
      </c>
      <c r="W1011" s="58">
        <f>(1000*CHOOSE(CONTROL!$C$42, 0.1146, 0.1146)*CHOOSE(CONTROL!$C$42, 121.5, 121.5)*CHOOSE(CONTROL!$C$42, 31, 31))/1000000</f>
        <v>0.43164089999999994</v>
      </c>
      <c r="X1011" s="58">
        <f>(31*0.1790888*100000/1000000)+(31*0.2374*100000/1000000)</f>
        <v>1.2911152800000001</v>
      </c>
      <c r="Y1011" s="58"/>
      <c r="Z1011" s="10"/>
      <c r="AA1011" s="57"/>
      <c r="AB1011" s="51">
        <f>(B1011*122.58+C1011*297.941+D1011*89.177+E1011*40.302+F1011*40+G1011*160+H1011*0+I1011*100+J1011*300)/(122.58+297.941+89.177+40.302+0+40+160+100+300)</f>
        <v>94.444700658173929</v>
      </c>
      <c r="AC1011" s="27">
        <f>(M1011*'RAP TEMPLATE-GAS AVAILABILITY'!O1010+N1011*'RAP TEMPLATE-GAS AVAILABILITY'!P1010+O1011*'RAP TEMPLATE-GAS AVAILABILITY'!Q1010+P1011*'RAP TEMPLATE-GAS AVAILABILITY'!R1010)/('RAP TEMPLATE-GAS AVAILABILITY'!O1010+'RAP TEMPLATE-GAS AVAILABILITY'!P1010+'RAP TEMPLATE-GAS AVAILABILITY'!Q1010+'RAP TEMPLATE-GAS AVAILABILITY'!R1010)</f>
        <v>93.531915107913676</v>
      </c>
    </row>
    <row r="1012" spans="1:29" ht="15.75" x14ac:dyDescent="0.25">
      <c r="A1012" s="13">
        <v>71710</v>
      </c>
      <c r="B1012" s="10">
        <f>CHOOSE(CONTROL!$C$42, 94.1603, 94.1603) * CHOOSE(CONTROL!$C$21, $C$9, 100%, $E$9)</f>
        <v>94.160300000000007</v>
      </c>
      <c r="C1012" s="10">
        <f>CHOOSE(CONTROL!$C$42, 94.1647, 94.1647) * CHOOSE(CONTROL!$C$21, $C$9, 100%, $E$9)</f>
        <v>94.164699999999996</v>
      </c>
      <c r="D1012" s="10">
        <f>CHOOSE(CONTROL!$C$42, 94.3603, 94.3603) * CHOOSE(CONTROL!$C$21, $C$9, 100%, $E$9)</f>
        <v>94.360299999999995</v>
      </c>
      <c r="E1012" s="10">
        <f>CHOOSE(CONTROL!$C$42, 94.392, 94.392) * CHOOSE(CONTROL!$C$21, $C$9, 100%, $E$9)</f>
        <v>94.391999999999996</v>
      </c>
      <c r="F1012" s="10">
        <f>CHOOSE(CONTROL!$C$42, 94.1281, 94.1281)*CHOOSE(CONTROL!$C$21, $C$9, 100%, $E$9)</f>
        <v>94.128100000000003</v>
      </c>
      <c r="G1012" s="10">
        <f>CHOOSE(CONTROL!$C$42, 94.1449, 94.1449)*CHOOSE(CONTROL!$C$21, $C$9, 100%, $E$9)</f>
        <v>94.144900000000007</v>
      </c>
      <c r="H1012" s="10">
        <f>CHOOSE(CONTROL!$C$42, 94.3818, 94.3818) * CHOOSE(CONTROL!$C$21, $C$9, 100%, $E$9)</f>
        <v>94.381799999999998</v>
      </c>
      <c r="I1012" s="10">
        <f>CHOOSE(CONTROL!$C$42, 94.1283, 94.1283)* CHOOSE(CONTROL!$C$21, $C$9, 100%, $E$9)</f>
        <v>94.128299999999996</v>
      </c>
      <c r="J1012" s="10">
        <f>CHOOSE(CONTROL!$C$42, 94.1211, 94.1211)* CHOOSE(CONTROL!$C$21, $C$9, 100%, $E$9)</f>
        <v>94.121099999999998</v>
      </c>
      <c r="K1012" s="54">
        <f>CHOOSE(CONTROL!$C$42, 94.1244, 94.1244) * CHOOSE(CONTROL!$C$21, $C$9, 100%, $E$9)</f>
        <v>94.124399999999994</v>
      </c>
      <c r="L1012" s="10">
        <f>CHOOSE(CONTROL!$C$42, 94.9688, 94.9688) * CHOOSE(CONTROL!$C$21, $C$9, 100%, $E$9)</f>
        <v>94.968800000000002</v>
      </c>
      <c r="M1012" s="10">
        <f>CHOOSE(CONTROL!$C$42, 93.1851, 93.1851) * CHOOSE(CONTROL!$C$21, $C$9, 100%, $E$9)</f>
        <v>93.185100000000006</v>
      </c>
      <c r="N1012" s="10">
        <f>CHOOSE(CONTROL!$C$42, 93.2017, 93.2017) * CHOOSE(CONTROL!$C$21, $C$9, 100%, $E$9)</f>
        <v>93.201700000000002</v>
      </c>
      <c r="O1012" s="10">
        <f>CHOOSE(CONTROL!$C$42, 93.4432, 93.4432) * CHOOSE(CONTROL!$C$21, $C$9, 100%, $E$9)</f>
        <v>93.443200000000004</v>
      </c>
      <c r="P1012" s="10">
        <f>CHOOSE(CONTROL!$C$42, 93.1922, 93.1922) * CHOOSE(CONTROL!$C$21, $C$9, 100%, $E$9)</f>
        <v>93.1922</v>
      </c>
      <c r="Q1012" s="10">
        <f>CHOOSE(CONTROL!$C$42, 94.0385, 94.0385) * CHOOSE(CONTROL!$C$21, $C$9, 100%, $E$9)</f>
        <v>94.038499999999999</v>
      </c>
      <c r="R1012" s="10">
        <f>CHOOSE(CONTROL!$C$42, 94.8606, 94.8606) * CHOOSE(CONTROL!$C$21, $C$9, 100%, $E$9)</f>
        <v>94.860600000000005</v>
      </c>
      <c r="S1012" s="10">
        <f>CHOOSE(CONTROL!$C$42, 91.4362, 91.4362) * CHOOSE(CONTROL!$C$21, $C$9, 100%, $E$9)</f>
        <v>91.436199999999999</v>
      </c>
      <c r="T1012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012" s="58">
        <f>(1000*CHOOSE(CONTROL!$C$42, 695, 695)*CHOOSE(CONTROL!$C$42, 0.5599, 0.5599)*CHOOSE(CONTROL!$C$42, 30, 30))/1000000</f>
        <v>11.673914999999997</v>
      </c>
      <c r="V1012" s="58">
        <f>(1000*CHOOSE(CONTROL!$C$42, 500, 500)*CHOOSE(CONTROL!$C$42, 0.275, 0.275)*CHOOSE(CONTROL!$C$42, 30, 30))/1000000</f>
        <v>4.125</v>
      </c>
      <c r="W1012" s="58">
        <f>(1000*CHOOSE(CONTROL!$C$42, 0.1146, 0.1146)*CHOOSE(CONTROL!$C$42, 121.5, 121.5)*CHOOSE(CONTROL!$C$42, 30, 30))/1000000</f>
        <v>0.417717</v>
      </c>
      <c r="X1012" s="58">
        <f>(30*0.1790888*245000/1000000)+(30*0.2374*100000/1000000)</f>
        <v>2.0285026799999999</v>
      </c>
      <c r="Y1012" s="58"/>
      <c r="Z1012" s="10"/>
      <c r="AA1012" s="57"/>
      <c r="AB1012" s="51">
        <f>(B1012*141.293+C1012*267.993+D1012*115.016+E1012*89.698+F1012*40+G1012*185+H1012*0+I1012*100+J1012*300)/(141.293+267.993+115.016+89.698+0+40+185+100+300)</f>
        <v>94.181178446973377</v>
      </c>
      <c r="AC1012" s="27">
        <f>(M1012*'RAP TEMPLATE-GAS AVAILABILITY'!O1011+N1012*'RAP TEMPLATE-GAS AVAILABILITY'!P1011+O1012*'RAP TEMPLATE-GAS AVAILABILITY'!Q1011+P1012*'RAP TEMPLATE-GAS AVAILABILITY'!R1011)/('RAP TEMPLATE-GAS AVAILABILITY'!O1011+'RAP TEMPLATE-GAS AVAILABILITY'!P1011+'RAP TEMPLATE-GAS AVAILABILITY'!Q1011+'RAP TEMPLATE-GAS AVAILABILITY'!R1011)</f>
        <v>93.304057553956838</v>
      </c>
    </row>
    <row r="1013" spans="1:29" ht="15.75" x14ac:dyDescent="0.25">
      <c r="A1013" s="13">
        <v>71741</v>
      </c>
      <c r="B1013" s="10">
        <f>CHOOSE(CONTROL!$C$42, 94.9927, 94.9927) * CHOOSE(CONTROL!$C$21, $C$9, 100%, $E$9)</f>
        <v>94.992699999999999</v>
      </c>
      <c r="C1013" s="10">
        <f>CHOOSE(CONTROL!$C$42, 95.0007, 95.0007) * CHOOSE(CONTROL!$C$21, $C$9, 100%, $E$9)</f>
        <v>95.000699999999995</v>
      </c>
      <c r="D1013" s="10">
        <f>CHOOSE(CONTROL!$C$42, 95.1931, 95.1931) * CHOOSE(CONTROL!$C$21, $C$9, 100%, $E$9)</f>
        <v>95.193100000000001</v>
      </c>
      <c r="E1013" s="10">
        <f>CHOOSE(CONTROL!$C$42, 95.2242, 95.2242) * CHOOSE(CONTROL!$C$21, $C$9, 100%, $E$9)</f>
        <v>95.224199999999996</v>
      </c>
      <c r="F1013" s="10">
        <f>CHOOSE(CONTROL!$C$42, 94.959, 94.959)*CHOOSE(CONTROL!$C$21, $C$9, 100%, $E$9)</f>
        <v>94.959000000000003</v>
      </c>
      <c r="G1013" s="10">
        <f>CHOOSE(CONTROL!$C$42, 94.9761, 94.9761)*CHOOSE(CONTROL!$C$21, $C$9, 100%, $E$9)</f>
        <v>94.976100000000002</v>
      </c>
      <c r="H1013" s="10">
        <f>CHOOSE(CONTROL!$C$42, 95.2129, 95.2129) * CHOOSE(CONTROL!$C$21, $C$9, 100%, $E$9)</f>
        <v>95.212900000000005</v>
      </c>
      <c r="I1013" s="10">
        <f>CHOOSE(CONTROL!$C$42, 94.9593, 94.9593)* CHOOSE(CONTROL!$C$21, $C$9, 100%, $E$9)</f>
        <v>94.959299999999999</v>
      </c>
      <c r="J1013" s="10">
        <f>CHOOSE(CONTROL!$C$42, 94.952, 94.952)* CHOOSE(CONTROL!$C$21, $C$9, 100%, $E$9)</f>
        <v>94.951999999999998</v>
      </c>
      <c r="K1013" s="54">
        <f>CHOOSE(CONTROL!$C$42, 94.9554, 94.9554) * CHOOSE(CONTROL!$C$21, $C$9, 100%, $E$9)</f>
        <v>94.955399999999997</v>
      </c>
      <c r="L1013" s="10">
        <f>CHOOSE(CONTROL!$C$42, 95.7999, 95.7999) * CHOOSE(CONTROL!$C$21, $C$9, 100%, $E$9)</f>
        <v>95.799899999999994</v>
      </c>
      <c r="M1013" s="10">
        <f>CHOOSE(CONTROL!$C$42, 94.0076, 94.0076) * CHOOSE(CONTROL!$C$21, $C$9, 100%, $E$9)</f>
        <v>94.007599999999996</v>
      </c>
      <c r="N1013" s="10">
        <f>CHOOSE(CONTROL!$C$42, 94.0245, 94.0245) * CHOOSE(CONTROL!$C$21, $C$9, 100%, $E$9)</f>
        <v>94.024500000000003</v>
      </c>
      <c r="O1013" s="10">
        <f>CHOOSE(CONTROL!$C$42, 94.2658, 94.2658) * CHOOSE(CONTROL!$C$21, $C$9, 100%, $E$9)</f>
        <v>94.265799999999999</v>
      </c>
      <c r="P1013" s="10">
        <f>CHOOSE(CONTROL!$C$42, 94.0149, 94.0149) * CHOOSE(CONTROL!$C$21, $C$9, 100%, $E$9)</f>
        <v>94.014899999999997</v>
      </c>
      <c r="Q1013" s="10">
        <f>CHOOSE(CONTROL!$C$42, 94.8611, 94.8611) * CHOOSE(CONTROL!$C$21, $C$9, 100%, $E$9)</f>
        <v>94.861099999999993</v>
      </c>
      <c r="R1013" s="10">
        <f>CHOOSE(CONTROL!$C$42, 95.6853, 95.6853) * CHOOSE(CONTROL!$C$21, $C$9, 100%, $E$9)</f>
        <v>95.685299999999998</v>
      </c>
      <c r="S1013" s="10">
        <f>CHOOSE(CONTROL!$C$42, 92.2432, 92.2432) * CHOOSE(CONTROL!$C$21, $C$9, 100%, $E$9)</f>
        <v>92.243200000000002</v>
      </c>
      <c r="T1013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013" s="58">
        <f>(1000*CHOOSE(CONTROL!$C$42, 695, 695)*CHOOSE(CONTROL!$C$42, 0.5599, 0.5599)*CHOOSE(CONTROL!$C$42, 31, 31))/1000000</f>
        <v>12.063045499999998</v>
      </c>
      <c r="V1013" s="58">
        <f>(1000*CHOOSE(CONTROL!$C$42, 500, 500)*CHOOSE(CONTROL!$C$42, 0.275, 0.275)*CHOOSE(CONTROL!$C$42, 31, 31))/1000000</f>
        <v>4.2625000000000002</v>
      </c>
      <c r="W1013" s="58">
        <f>(1000*CHOOSE(CONTROL!$C$42, 0.1146, 0.1146)*CHOOSE(CONTROL!$C$42, 121.5, 121.5)*CHOOSE(CONTROL!$C$42, 31, 31))/1000000</f>
        <v>0.43164089999999994</v>
      </c>
      <c r="X1013" s="58">
        <f>(31*0.1790888*245000/1000000)+(31*0.2374*100000/1000000)</f>
        <v>2.0961194359999999</v>
      </c>
      <c r="Y1013" s="58"/>
      <c r="Z1013" s="10"/>
      <c r="AA1013" s="57"/>
      <c r="AB1013" s="51">
        <f>(B1013*194.205+C1013*267.466+D1013*133.845+E1013*53.484+F1013*40+G1013*185+H1013*0+I1013*100+J1013*300)/(194.205+267.466+133.845+53.484+0+40+185+100+300)</f>
        <v>95.009477717425426</v>
      </c>
      <c r="AC1013" s="27">
        <f>(M1013*'RAP TEMPLATE-GAS AVAILABILITY'!O1012+N1013*'RAP TEMPLATE-GAS AVAILABILITY'!P1012+O1013*'RAP TEMPLATE-GAS AVAILABILITY'!Q1012+P1013*'RAP TEMPLATE-GAS AVAILABILITY'!R1012)/('RAP TEMPLATE-GAS AVAILABILITY'!O1012+'RAP TEMPLATE-GAS AVAILABILITY'!P1012+'RAP TEMPLATE-GAS AVAILABILITY'!Q1012+'RAP TEMPLATE-GAS AVAILABILITY'!R1012)</f>
        <v>94.126648920863303</v>
      </c>
    </row>
    <row r="1014" spans="1:29" ht="15.75" x14ac:dyDescent="0.25">
      <c r="A1014" s="13">
        <v>71771</v>
      </c>
      <c r="B1014" s="10">
        <f>CHOOSE(CONTROL!$C$42, 97.6872, 97.6872) * CHOOSE(CONTROL!$C$21, $C$9, 100%, $E$9)</f>
        <v>97.687200000000004</v>
      </c>
      <c r="C1014" s="10">
        <f>CHOOSE(CONTROL!$C$42, 97.6951, 97.6951) * CHOOSE(CONTROL!$C$21, $C$9, 100%, $E$9)</f>
        <v>97.695099999999996</v>
      </c>
      <c r="D1014" s="10">
        <f>CHOOSE(CONTROL!$C$42, 97.8875, 97.8875) * CHOOSE(CONTROL!$C$21, $C$9, 100%, $E$9)</f>
        <v>97.887500000000003</v>
      </c>
      <c r="E1014" s="10">
        <f>CHOOSE(CONTROL!$C$42, 97.9187, 97.9187) * CHOOSE(CONTROL!$C$21, $C$9, 100%, $E$9)</f>
        <v>97.918700000000001</v>
      </c>
      <c r="F1014" s="10">
        <f>CHOOSE(CONTROL!$C$42, 97.6537, 97.6537)*CHOOSE(CONTROL!$C$21, $C$9, 100%, $E$9)</f>
        <v>97.653700000000001</v>
      </c>
      <c r="G1014" s="10">
        <f>CHOOSE(CONTROL!$C$42, 97.6709, 97.6709)*CHOOSE(CONTROL!$C$21, $C$9, 100%, $E$9)</f>
        <v>97.670900000000003</v>
      </c>
      <c r="H1014" s="10">
        <f>CHOOSE(CONTROL!$C$42, 97.9073, 97.9073) * CHOOSE(CONTROL!$C$21, $C$9, 100%, $E$9)</f>
        <v>97.907300000000006</v>
      </c>
      <c r="I1014" s="10">
        <f>CHOOSE(CONTROL!$C$42, 97.6538, 97.6538)* CHOOSE(CONTROL!$C$21, $C$9, 100%, $E$9)</f>
        <v>97.653800000000004</v>
      </c>
      <c r="J1014" s="10">
        <f>CHOOSE(CONTROL!$C$42, 97.6467, 97.6467)* CHOOSE(CONTROL!$C$21, $C$9, 100%, $E$9)</f>
        <v>97.646699999999996</v>
      </c>
      <c r="K1014" s="54">
        <f>CHOOSE(CONTROL!$C$42, 97.6499, 97.6499) * CHOOSE(CONTROL!$C$21, $C$9, 100%, $E$9)</f>
        <v>97.649900000000002</v>
      </c>
      <c r="L1014" s="10">
        <f>CHOOSE(CONTROL!$C$42, 98.4943, 98.4943) * CHOOSE(CONTROL!$C$21, $C$9, 100%, $E$9)</f>
        <v>98.494299999999996</v>
      </c>
      <c r="M1014" s="10">
        <f>CHOOSE(CONTROL!$C$42, 96.6751, 96.6751) * CHOOSE(CONTROL!$C$21, $C$9, 100%, $E$9)</f>
        <v>96.6751</v>
      </c>
      <c r="N1014" s="10">
        <f>CHOOSE(CONTROL!$C$42, 96.6921, 96.6921) * CHOOSE(CONTROL!$C$21, $C$9, 100%, $E$9)</f>
        <v>96.692099999999996</v>
      </c>
      <c r="O1014" s="10">
        <f>CHOOSE(CONTROL!$C$42, 96.9331, 96.9331) * CHOOSE(CONTROL!$C$21, $C$9, 100%, $E$9)</f>
        <v>96.933099999999996</v>
      </c>
      <c r="P1014" s="10">
        <f>CHOOSE(CONTROL!$C$42, 96.6821, 96.6821) * CHOOSE(CONTROL!$C$21, $C$9, 100%, $E$9)</f>
        <v>96.682100000000005</v>
      </c>
      <c r="Q1014" s="10">
        <f>CHOOSE(CONTROL!$C$42, 97.5284, 97.5284) * CHOOSE(CONTROL!$C$21, $C$9, 100%, $E$9)</f>
        <v>97.528400000000005</v>
      </c>
      <c r="R1014" s="10">
        <f>CHOOSE(CONTROL!$C$42, 98.3592, 98.3592) * CHOOSE(CONTROL!$C$21, $C$9, 100%, $E$9)</f>
        <v>98.359200000000001</v>
      </c>
      <c r="S1014" s="10">
        <f>CHOOSE(CONTROL!$C$42, 94.8598, 94.8598) * CHOOSE(CONTROL!$C$21, $C$9, 100%, $E$9)</f>
        <v>94.859800000000007</v>
      </c>
      <c r="T1014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014" s="58">
        <f>(1000*CHOOSE(CONTROL!$C$42, 695, 695)*CHOOSE(CONTROL!$C$42, 0.5599, 0.5599)*CHOOSE(CONTROL!$C$42, 30, 30))/1000000</f>
        <v>11.673914999999997</v>
      </c>
      <c r="V1014" s="58">
        <f>(1000*CHOOSE(CONTROL!$C$42, 500, 500)*CHOOSE(CONTROL!$C$42, 0.275, 0.275)*CHOOSE(CONTROL!$C$42, 30, 30))/1000000</f>
        <v>4.125</v>
      </c>
      <c r="W1014" s="58">
        <f>(1000*CHOOSE(CONTROL!$C$42, 0.1146, 0.1146)*CHOOSE(CONTROL!$C$42, 121.5, 121.5)*CHOOSE(CONTROL!$C$42, 30, 30))/1000000</f>
        <v>0.417717</v>
      </c>
      <c r="X1014" s="58">
        <f>(30*0.1790888*245000/1000000)+(30*0.2374*100000/1000000)</f>
        <v>2.0285026799999999</v>
      </c>
      <c r="Y1014" s="58"/>
      <c r="Z1014" s="10"/>
      <c r="AA1014" s="57"/>
      <c r="AB1014" s="51">
        <f>(B1014*194.205+C1014*267.466+D1014*133.845+E1014*53.484+F1014*40+G1014*185+H1014*0+I1014*100+J1014*300)/(194.205+267.466+133.845+53.484+0+40+185+100+300)</f>
        <v>97.704043156122466</v>
      </c>
      <c r="AC1014" s="27">
        <f>(M1014*'RAP TEMPLATE-GAS AVAILABILITY'!O1013+N1014*'RAP TEMPLATE-GAS AVAILABILITY'!P1013+O1014*'RAP TEMPLATE-GAS AVAILABILITY'!Q1013+P1014*'RAP TEMPLATE-GAS AVAILABILITY'!R1013)/('RAP TEMPLATE-GAS AVAILABILITY'!O1013+'RAP TEMPLATE-GAS AVAILABILITY'!P1013+'RAP TEMPLATE-GAS AVAILABILITY'!Q1013+'RAP TEMPLATE-GAS AVAILABILITY'!R1013)</f>
        <v>96.794020863309356</v>
      </c>
    </row>
    <row r="1015" spans="1:29" ht="15.75" x14ac:dyDescent="0.25">
      <c r="A1015" s="13">
        <v>71802</v>
      </c>
      <c r="B1015" s="10">
        <f>CHOOSE(CONTROL!$C$42, 95.8132, 95.8132) * CHOOSE(CONTROL!$C$21, $C$9, 100%, $E$9)</f>
        <v>95.813199999999995</v>
      </c>
      <c r="C1015" s="10">
        <f>CHOOSE(CONTROL!$C$42, 95.8211, 95.8211) * CHOOSE(CONTROL!$C$21, $C$9, 100%, $E$9)</f>
        <v>95.821100000000001</v>
      </c>
      <c r="D1015" s="10">
        <f>CHOOSE(CONTROL!$C$42, 96.0135, 96.0135) * CHOOSE(CONTROL!$C$21, $C$9, 100%, $E$9)</f>
        <v>96.013499999999993</v>
      </c>
      <c r="E1015" s="10">
        <f>CHOOSE(CONTROL!$C$42, 96.0447, 96.0447) * CHOOSE(CONTROL!$C$21, $C$9, 100%, $E$9)</f>
        <v>96.044700000000006</v>
      </c>
      <c r="F1015" s="10">
        <f>CHOOSE(CONTROL!$C$42, 95.7801, 95.7801)*CHOOSE(CONTROL!$C$21, $C$9, 100%, $E$9)</f>
        <v>95.780100000000004</v>
      </c>
      <c r="G1015" s="10">
        <f>CHOOSE(CONTROL!$C$42, 95.7974, 95.7974)*CHOOSE(CONTROL!$C$21, $C$9, 100%, $E$9)</f>
        <v>95.797399999999996</v>
      </c>
      <c r="H1015" s="10">
        <f>CHOOSE(CONTROL!$C$42, 96.0333, 96.0333) * CHOOSE(CONTROL!$C$21, $C$9, 100%, $E$9)</f>
        <v>96.033299999999997</v>
      </c>
      <c r="I1015" s="10">
        <f>CHOOSE(CONTROL!$C$42, 95.7798, 95.7798)* CHOOSE(CONTROL!$C$21, $C$9, 100%, $E$9)</f>
        <v>95.779799999999994</v>
      </c>
      <c r="J1015" s="10">
        <f>CHOOSE(CONTROL!$C$42, 95.7731, 95.7731)* CHOOSE(CONTROL!$C$21, $C$9, 100%, $E$9)</f>
        <v>95.773099999999999</v>
      </c>
      <c r="K1015" s="54">
        <f>CHOOSE(CONTROL!$C$42, 95.7759, 95.7759) * CHOOSE(CONTROL!$C$21, $C$9, 100%, $E$9)</f>
        <v>95.775899999999993</v>
      </c>
      <c r="L1015" s="10">
        <f>CHOOSE(CONTROL!$C$42, 96.6203, 96.6203) * CHOOSE(CONTROL!$C$21, $C$9, 100%, $E$9)</f>
        <v>96.6203</v>
      </c>
      <c r="M1015" s="10">
        <f>CHOOSE(CONTROL!$C$42, 94.8204, 94.8204) * CHOOSE(CONTROL!$C$21, $C$9, 100%, $E$9)</f>
        <v>94.820400000000006</v>
      </c>
      <c r="N1015" s="10">
        <f>CHOOSE(CONTROL!$C$42, 94.8375, 94.8375) * CHOOSE(CONTROL!$C$21, $C$9, 100%, $E$9)</f>
        <v>94.837500000000006</v>
      </c>
      <c r="O1015" s="10">
        <f>CHOOSE(CONTROL!$C$42, 95.078, 95.078) * CHOOSE(CONTROL!$C$21, $C$9, 100%, $E$9)</f>
        <v>95.078000000000003</v>
      </c>
      <c r="P1015" s="10">
        <f>CHOOSE(CONTROL!$C$42, 94.827, 94.827) * CHOOSE(CONTROL!$C$21, $C$9, 100%, $E$9)</f>
        <v>94.826999999999998</v>
      </c>
      <c r="Q1015" s="10">
        <f>CHOOSE(CONTROL!$C$42, 95.6733, 95.6733) * CHOOSE(CONTROL!$C$21, $C$9, 100%, $E$9)</f>
        <v>95.673299999999998</v>
      </c>
      <c r="R1015" s="10">
        <f>CHOOSE(CONTROL!$C$42, 96.4995, 96.4995) * CHOOSE(CONTROL!$C$21, $C$9, 100%, $E$9)</f>
        <v>96.499499999999998</v>
      </c>
      <c r="S1015" s="10">
        <f>CHOOSE(CONTROL!$C$42, 93.0399, 93.0399) * CHOOSE(CONTROL!$C$21, $C$9, 100%, $E$9)</f>
        <v>93.039900000000003</v>
      </c>
      <c r="T1015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015" s="58">
        <f>(1000*CHOOSE(CONTROL!$C$42, 695, 695)*CHOOSE(CONTROL!$C$42, 0.5599, 0.5599)*CHOOSE(CONTROL!$C$42, 31, 31))/1000000</f>
        <v>12.063045499999998</v>
      </c>
      <c r="V1015" s="58">
        <f>(1000*CHOOSE(CONTROL!$C$42, 500, 500)*CHOOSE(CONTROL!$C$42, 0.275, 0.275)*CHOOSE(CONTROL!$C$42, 31, 31))/1000000</f>
        <v>4.2625000000000002</v>
      </c>
      <c r="W1015" s="58">
        <f>(1000*CHOOSE(CONTROL!$C$42, 0.1146, 0.1146)*CHOOSE(CONTROL!$C$42, 121.5, 121.5)*CHOOSE(CONTROL!$C$42, 31, 31))/1000000</f>
        <v>0.43164089999999994</v>
      </c>
      <c r="X1015" s="58">
        <f>(31*0.1790888*245000/1000000)+(31*0.2374*100000/1000000)</f>
        <v>2.0961194359999999</v>
      </c>
      <c r="Y1015" s="58"/>
      <c r="Z1015" s="10"/>
      <c r="AA1015" s="57"/>
      <c r="AB1015" s="51">
        <f>(B1015*194.205+C1015*267.466+D1015*133.845+E1015*53.484+F1015*40+G1015*185+H1015*0+I1015*100+J1015*300)/(194.205+267.466+133.845+53.484+0+40+185+100+300)</f>
        <v>95.830222512480375</v>
      </c>
      <c r="AC1015" s="27">
        <f>(M1015*'RAP TEMPLATE-GAS AVAILABILITY'!O1014+N1015*'RAP TEMPLATE-GAS AVAILABILITY'!P1014+O1015*'RAP TEMPLATE-GAS AVAILABILITY'!Q1014+P1015*'RAP TEMPLATE-GAS AVAILABILITY'!R1014)/('RAP TEMPLATE-GAS AVAILABILITY'!O1014+'RAP TEMPLATE-GAS AVAILABILITY'!P1014+'RAP TEMPLATE-GAS AVAILABILITY'!Q1014+'RAP TEMPLATE-GAS AVAILABILITY'!R1014)</f>
        <v>94.939087769784166</v>
      </c>
    </row>
    <row r="1016" spans="1:29" ht="15.75" x14ac:dyDescent="0.25">
      <c r="A1016" s="13">
        <v>71833</v>
      </c>
      <c r="B1016" s="10">
        <f>CHOOSE(CONTROL!$C$42, 91.0807, 91.0807) * CHOOSE(CONTROL!$C$21, $C$9, 100%, $E$9)</f>
        <v>91.080699999999993</v>
      </c>
      <c r="C1016" s="10">
        <f>CHOOSE(CONTROL!$C$42, 91.0886, 91.0886) * CHOOSE(CONTROL!$C$21, $C$9, 100%, $E$9)</f>
        <v>91.0886</v>
      </c>
      <c r="D1016" s="10">
        <f>CHOOSE(CONTROL!$C$42, 91.2811, 91.2811) * CHOOSE(CONTROL!$C$21, $C$9, 100%, $E$9)</f>
        <v>91.281099999999995</v>
      </c>
      <c r="E1016" s="10">
        <f>CHOOSE(CONTROL!$C$42, 91.3122, 91.3122) * CHOOSE(CONTROL!$C$21, $C$9, 100%, $E$9)</f>
        <v>91.312200000000004</v>
      </c>
      <c r="F1016" s="10">
        <f>CHOOSE(CONTROL!$C$42, 91.0478, 91.0478)*CHOOSE(CONTROL!$C$21, $C$9, 100%, $E$9)</f>
        <v>91.047799999999995</v>
      </c>
      <c r="G1016" s="10">
        <f>CHOOSE(CONTROL!$C$42, 91.0651, 91.0651)*CHOOSE(CONTROL!$C$21, $C$9, 100%, $E$9)</f>
        <v>91.065100000000001</v>
      </c>
      <c r="H1016" s="10">
        <f>CHOOSE(CONTROL!$C$42, 91.3008, 91.3008) * CHOOSE(CONTROL!$C$21, $C$9, 100%, $E$9)</f>
        <v>91.300799999999995</v>
      </c>
      <c r="I1016" s="10">
        <f>CHOOSE(CONTROL!$C$42, 91.0473, 91.0473)* CHOOSE(CONTROL!$C$21, $C$9, 100%, $E$9)</f>
        <v>91.047300000000007</v>
      </c>
      <c r="J1016" s="10">
        <f>CHOOSE(CONTROL!$C$42, 91.0408, 91.0408)* CHOOSE(CONTROL!$C$21, $C$9, 100%, $E$9)</f>
        <v>91.040800000000004</v>
      </c>
      <c r="K1016" s="54">
        <f>CHOOSE(CONTROL!$C$42, 91.0434, 91.0434) * CHOOSE(CONTROL!$C$21, $C$9, 100%, $E$9)</f>
        <v>91.043400000000005</v>
      </c>
      <c r="L1016" s="10">
        <f>CHOOSE(CONTROL!$C$42, 91.8878, 91.8878) * CHOOSE(CONTROL!$C$21, $C$9, 100%, $E$9)</f>
        <v>91.887799999999999</v>
      </c>
      <c r="M1016" s="10">
        <f>CHOOSE(CONTROL!$C$42, 90.1359, 90.1359) * CHOOSE(CONTROL!$C$21, $C$9, 100%, $E$9)</f>
        <v>90.135900000000007</v>
      </c>
      <c r="N1016" s="10">
        <f>CHOOSE(CONTROL!$C$42, 90.153, 90.153) * CHOOSE(CONTROL!$C$21, $C$9, 100%, $E$9)</f>
        <v>90.153000000000006</v>
      </c>
      <c r="O1016" s="10">
        <f>CHOOSE(CONTROL!$C$42, 90.3933, 90.3933) * CHOOSE(CONTROL!$C$21, $C$9, 100%, $E$9)</f>
        <v>90.393299999999996</v>
      </c>
      <c r="P1016" s="10">
        <f>CHOOSE(CONTROL!$C$42, 90.1423, 90.1423) * CHOOSE(CONTROL!$C$21, $C$9, 100%, $E$9)</f>
        <v>90.142300000000006</v>
      </c>
      <c r="Q1016" s="10">
        <f>CHOOSE(CONTROL!$C$42, 90.9886, 90.9886) * CHOOSE(CONTROL!$C$21, $C$9, 100%, $E$9)</f>
        <v>90.988600000000005</v>
      </c>
      <c r="R1016" s="10">
        <f>CHOOSE(CONTROL!$C$42, 91.8031, 91.8031) * CHOOSE(CONTROL!$C$21, $C$9, 100%, $E$9)</f>
        <v>91.803100000000001</v>
      </c>
      <c r="S1016" s="10">
        <f>CHOOSE(CONTROL!$C$42, 88.4442, 88.4442) * CHOOSE(CONTROL!$C$21, $C$9, 100%, $E$9)</f>
        <v>88.444199999999995</v>
      </c>
      <c r="T1016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016" s="58">
        <f>(1000*CHOOSE(CONTROL!$C$42, 695, 695)*CHOOSE(CONTROL!$C$42, 0.5599, 0.5599)*CHOOSE(CONTROL!$C$42, 31, 31))/1000000</f>
        <v>12.063045499999998</v>
      </c>
      <c r="V1016" s="58">
        <f>(1000*CHOOSE(CONTROL!$C$42, 500, 500)*CHOOSE(CONTROL!$C$42, 0.275, 0.275)*CHOOSE(CONTROL!$C$42, 31, 31))/1000000</f>
        <v>4.2625000000000002</v>
      </c>
      <c r="W1016" s="58">
        <f>(1000*CHOOSE(CONTROL!$C$42, 0.1146, 0.1146)*CHOOSE(CONTROL!$C$42, 121.5, 121.5)*CHOOSE(CONTROL!$C$42, 31, 31))/1000000</f>
        <v>0.43164089999999994</v>
      </c>
      <c r="X1016" s="58">
        <f>(31*0.1790888*245000/1000000)+(31*0.2374*100000/1000000)</f>
        <v>2.0961194359999999</v>
      </c>
      <c r="Y1016" s="58"/>
      <c r="Z1016" s="10"/>
      <c r="AA1016" s="57"/>
      <c r="AB1016" s="51">
        <f>(B1016*194.205+C1016*267.466+D1016*133.845+E1016*53.484+F1016*40+G1016*185+H1016*0+I1016*100+J1016*300)/(194.205+267.466+133.845+53.484+0+40+185+100+300)</f>
        <v>91.097815435949755</v>
      </c>
      <c r="AC1016" s="27">
        <f>(M1016*'RAP TEMPLATE-GAS AVAILABILITY'!O1015+N1016*'RAP TEMPLATE-GAS AVAILABILITY'!P1015+O1016*'RAP TEMPLATE-GAS AVAILABILITY'!Q1015+P1016*'RAP TEMPLATE-GAS AVAILABILITY'!R1015)/('RAP TEMPLATE-GAS AVAILABILITY'!O1015+'RAP TEMPLATE-GAS AVAILABILITY'!P1015+'RAP TEMPLATE-GAS AVAILABILITY'!Q1015+'RAP TEMPLATE-GAS AVAILABILITY'!R1015)</f>
        <v>90.254468345323744</v>
      </c>
    </row>
    <row r="1017" spans="1:29" ht="15.75" x14ac:dyDescent="0.25">
      <c r="A1017" s="13">
        <v>71863</v>
      </c>
      <c r="B1017" s="10">
        <f>CHOOSE(CONTROL!$C$42, 85.2982, 85.2982) * CHOOSE(CONTROL!$C$21, $C$9, 100%, $E$9)</f>
        <v>85.298199999999994</v>
      </c>
      <c r="C1017" s="10">
        <f>CHOOSE(CONTROL!$C$42, 85.3061, 85.3061) * CHOOSE(CONTROL!$C$21, $C$9, 100%, $E$9)</f>
        <v>85.306100000000001</v>
      </c>
      <c r="D1017" s="10">
        <f>CHOOSE(CONTROL!$C$42, 85.4985, 85.4985) * CHOOSE(CONTROL!$C$21, $C$9, 100%, $E$9)</f>
        <v>85.498500000000007</v>
      </c>
      <c r="E1017" s="10">
        <f>CHOOSE(CONTROL!$C$42, 85.5296, 85.5296) * CHOOSE(CONTROL!$C$21, $C$9, 100%, $E$9)</f>
        <v>85.529600000000002</v>
      </c>
      <c r="F1017" s="10">
        <f>CHOOSE(CONTROL!$C$42, 85.2651, 85.2651)*CHOOSE(CONTROL!$C$21, $C$9, 100%, $E$9)</f>
        <v>85.265100000000004</v>
      </c>
      <c r="G1017" s="10">
        <f>CHOOSE(CONTROL!$C$42, 85.2824, 85.2824)*CHOOSE(CONTROL!$C$21, $C$9, 100%, $E$9)</f>
        <v>85.282399999999996</v>
      </c>
      <c r="H1017" s="10">
        <f>CHOOSE(CONTROL!$C$42, 85.5183, 85.5183) * CHOOSE(CONTROL!$C$21, $C$9, 100%, $E$9)</f>
        <v>85.518299999999996</v>
      </c>
      <c r="I1017" s="10">
        <f>CHOOSE(CONTROL!$C$42, 85.2647, 85.2647)* CHOOSE(CONTROL!$C$21, $C$9, 100%, $E$9)</f>
        <v>85.264700000000005</v>
      </c>
      <c r="J1017" s="10">
        <f>CHOOSE(CONTROL!$C$42, 85.2581, 85.2581)* CHOOSE(CONTROL!$C$21, $C$9, 100%, $E$9)</f>
        <v>85.258099999999999</v>
      </c>
      <c r="K1017" s="54">
        <f>CHOOSE(CONTROL!$C$42, 85.2608, 85.2608) * CHOOSE(CONTROL!$C$21, $C$9, 100%, $E$9)</f>
        <v>85.260800000000003</v>
      </c>
      <c r="L1017" s="10">
        <f>CHOOSE(CONTROL!$C$42, 86.1053, 86.1053) * CHOOSE(CONTROL!$C$21, $C$9, 100%, $E$9)</f>
        <v>86.1053</v>
      </c>
      <c r="M1017" s="10">
        <f>CHOOSE(CONTROL!$C$42, 84.4115, 84.4115) * CHOOSE(CONTROL!$C$21, $C$9, 100%, $E$9)</f>
        <v>84.411500000000004</v>
      </c>
      <c r="N1017" s="10">
        <f>CHOOSE(CONTROL!$C$42, 84.4286, 84.4286) * CHOOSE(CONTROL!$C$21, $C$9, 100%, $E$9)</f>
        <v>84.428600000000003</v>
      </c>
      <c r="O1017" s="10">
        <f>CHOOSE(CONTROL!$C$42, 84.6691, 84.6691) * CHOOSE(CONTROL!$C$21, $C$9, 100%, $E$9)</f>
        <v>84.6691</v>
      </c>
      <c r="P1017" s="10">
        <f>CHOOSE(CONTROL!$C$42, 84.4181, 84.4181) * CHOOSE(CONTROL!$C$21, $C$9, 100%, $E$9)</f>
        <v>84.418099999999995</v>
      </c>
      <c r="Q1017" s="10">
        <f>CHOOSE(CONTROL!$C$42, 85.2644, 85.2644) * CHOOSE(CONTROL!$C$21, $C$9, 100%, $E$9)</f>
        <v>85.264399999999995</v>
      </c>
      <c r="R1017" s="10">
        <f>CHOOSE(CONTROL!$C$42, 86.0645, 86.0645) * CHOOSE(CONTROL!$C$21, $C$9, 100%, $E$9)</f>
        <v>86.064499999999995</v>
      </c>
      <c r="S1017" s="10">
        <f>CHOOSE(CONTROL!$C$42, 82.8288, 82.8288) * CHOOSE(CONTROL!$C$21, $C$9, 100%, $E$9)</f>
        <v>82.828800000000001</v>
      </c>
      <c r="T1017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017" s="58">
        <f>(1000*CHOOSE(CONTROL!$C$42, 695, 695)*CHOOSE(CONTROL!$C$42, 0.5599, 0.5599)*CHOOSE(CONTROL!$C$42, 30, 30))/1000000</f>
        <v>11.673914999999997</v>
      </c>
      <c r="V1017" s="58">
        <f>(1000*CHOOSE(CONTROL!$C$42, 500, 500)*CHOOSE(CONTROL!$C$42, 0.275, 0.275)*CHOOSE(CONTROL!$C$42, 30, 30))/1000000</f>
        <v>4.125</v>
      </c>
      <c r="W1017" s="58">
        <f>(1000*CHOOSE(CONTROL!$C$42, 0.1146, 0.1146)*CHOOSE(CONTROL!$C$42, 121.5, 121.5)*CHOOSE(CONTROL!$C$42, 30, 30))/1000000</f>
        <v>0.417717</v>
      </c>
      <c r="X1017" s="58">
        <f>(30*0.1790888*245000/1000000)+(30*0.2374*100000/1000000)</f>
        <v>2.0285026799999999</v>
      </c>
      <c r="Y1017" s="58"/>
      <c r="Z1017" s="10"/>
      <c r="AA1017" s="57"/>
      <c r="AB1017" s="51">
        <f>(B1017*194.205+C1017*267.466+D1017*133.845+E1017*53.484+F1017*40+G1017*185+H1017*0+I1017*100+J1017*300)/(194.205+267.466+133.845+53.484+0+40+185+100+300)</f>
        <v>85.315210465070649</v>
      </c>
      <c r="AC1017" s="27">
        <f>(M1017*'RAP TEMPLATE-GAS AVAILABILITY'!O1016+N1017*'RAP TEMPLATE-GAS AVAILABILITY'!P1016+O1017*'RAP TEMPLATE-GAS AVAILABILITY'!Q1016+P1017*'RAP TEMPLATE-GAS AVAILABILITY'!R1016)/('RAP TEMPLATE-GAS AVAILABILITY'!O1016+'RAP TEMPLATE-GAS AVAILABILITY'!P1016+'RAP TEMPLATE-GAS AVAILABILITY'!Q1016+'RAP TEMPLATE-GAS AVAILABILITY'!R1016)</f>
        <v>84.530187769784177</v>
      </c>
    </row>
    <row r="1018" spans="1:29" ht="15.75" x14ac:dyDescent="0.25">
      <c r="A1018" s="13">
        <v>71894</v>
      </c>
      <c r="B1018" s="10">
        <f>CHOOSE(CONTROL!$C$42, 83.5646, 83.5646) * CHOOSE(CONTROL!$C$21, $C$9, 100%, $E$9)</f>
        <v>83.564599999999999</v>
      </c>
      <c r="C1018" s="10">
        <f>CHOOSE(CONTROL!$C$42, 83.5698, 83.5698) * CHOOSE(CONTROL!$C$21, $C$9, 100%, $E$9)</f>
        <v>83.569800000000001</v>
      </c>
      <c r="D1018" s="10">
        <f>CHOOSE(CONTROL!$C$42, 83.7672, 83.7672) * CHOOSE(CONTROL!$C$21, $C$9, 100%, $E$9)</f>
        <v>83.767200000000003</v>
      </c>
      <c r="E1018" s="10">
        <f>CHOOSE(CONTROL!$C$42, 83.796, 83.796) * CHOOSE(CONTROL!$C$21, $C$9, 100%, $E$9)</f>
        <v>83.796000000000006</v>
      </c>
      <c r="F1018" s="10">
        <f>CHOOSE(CONTROL!$C$42, 83.5335, 83.5335)*CHOOSE(CONTROL!$C$21, $C$9, 100%, $E$9)</f>
        <v>83.533500000000004</v>
      </c>
      <c r="G1018" s="10">
        <f>CHOOSE(CONTROL!$C$42, 83.5505, 83.5505)*CHOOSE(CONTROL!$C$21, $C$9, 100%, $E$9)</f>
        <v>83.5505</v>
      </c>
      <c r="H1018" s="10">
        <f>CHOOSE(CONTROL!$C$42, 83.7865, 83.7865) * CHOOSE(CONTROL!$C$21, $C$9, 100%, $E$9)</f>
        <v>83.786500000000004</v>
      </c>
      <c r="I1018" s="10">
        <f>CHOOSE(CONTROL!$C$42, 83.5329, 83.5329)* CHOOSE(CONTROL!$C$21, $C$9, 100%, $E$9)</f>
        <v>83.532899999999998</v>
      </c>
      <c r="J1018" s="10">
        <f>CHOOSE(CONTROL!$C$42, 83.5265, 83.5265)* CHOOSE(CONTROL!$C$21, $C$9, 100%, $E$9)</f>
        <v>83.526499999999999</v>
      </c>
      <c r="K1018" s="54">
        <f>CHOOSE(CONTROL!$C$42, 83.529, 83.529) * CHOOSE(CONTROL!$C$21, $C$9, 100%, $E$9)</f>
        <v>83.528999999999996</v>
      </c>
      <c r="L1018" s="10">
        <f>CHOOSE(CONTROL!$C$42, 84.3735, 84.3735) * CHOOSE(CONTROL!$C$21, $C$9, 100%, $E$9)</f>
        <v>84.373500000000007</v>
      </c>
      <c r="M1018" s="10">
        <f>CHOOSE(CONTROL!$C$42, 82.6974, 82.6974) * CHOOSE(CONTROL!$C$21, $C$9, 100%, $E$9)</f>
        <v>82.697400000000002</v>
      </c>
      <c r="N1018" s="10">
        <f>CHOOSE(CONTROL!$C$42, 82.7142, 82.7142) * CHOOSE(CONTROL!$C$21, $C$9, 100%, $E$9)</f>
        <v>82.714200000000005</v>
      </c>
      <c r="O1018" s="10">
        <f>CHOOSE(CONTROL!$C$42, 82.9548, 82.9548) * CHOOSE(CONTROL!$C$21, $C$9, 100%, $E$9)</f>
        <v>82.954800000000006</v>
      </c>
      <c r="P1018" s="10">
        <f>CHOOSE(CONTROL!$C$42, 82.7038, 82.7038) * CHOOSE(CONTROL!$C$21, $C$9, 100%, $E$9)</f>
        <v>82.703800000000001</v>
      </c>
      <c r="Q1018" s="10">
        <f>CHOOSE(CONTROL!$C$42, 83.5501, 83.5501) * CHOOSE(CONTROL!$C$21, $C$9, 100%, $E$9)</f>
        <v>83.5501</v>
      </c>
      <c r="R1018" s="10">
        <f>CHOOSE(CONTROL!$C$42, 84.3459, 84.3459) * CHOOSE(CONTROL!$C$21, $C$9, 100%, $E$9)</f>
        <v>84.3459</v>
      </c>
      <c r="S1018" s="10">
        <f>CHOOSE(CONTROL!$C$42, 81.1471, 81.1471) * CHOOSE(CONTROL!$C$21, $C$9, 100%, $E$9)</f>
        <v>81.147099999999995</v>
      </c>
      <c r="T1018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018" s="58">
        <f>(1000*CHOOSE(CONTROL!$C$42, 695, 695)*CHOOSE(CONTROL!$C$42, 0.5599, 0.5599)*CHOOSE(CONTROL!$C$42, 31, 31))/1000000</f>
        <v>12.063045499999998</v>
      </c>
      <c r="V1018" s="58">
        <f>(1000*CHOOSE(CONTROL!$C$42, 500, 500)*CHOOSE(CONTROL!$C$42, 0.275, 0.275)*CHOOSE(CONTROL!$C$42, 31, 31))/1000000</f>
        <v>4.2625000000000002</v>
      </c>
      <c r="W1018" s="58">
        <f>(1000*CHOOSE(CONTROL!$C$42, 0.1146, 0.1146)*CHOOSE(CONTROL!$C$42, 121.5, 121.5)*CHOOSE(CONTROL!$C$42, 31, 31))/1000000</f>
        <v>0.43164089999999994</v>
      </c>
      <c r="X1018" s="58">
        <f>(31*0.1790888*245000/1000000)+(31*0.2374*100000/1000000)</f>
        <v>2.0961194359999999</v>
      </c>
      <c r="Y1018" s="58"/>
      <c r="Z1018" s="10"/>
      <c r="AA1018" s="57"/>
      <c r="AB1018" s="51">
        <f>(B1018*131.881+C1018*277.167+D1018*79.08+E1018*125.872+F1018*40+G1018*185+H1018*0+I1018*100+J1018*300)/(131.881+277.167+79.08+125.872+0+40+185+100+300)</f>
        <v>83.587309569975773</v>
      </c>
      <c r="AC1018" s="27">
        <f>(M1018*'RAP TEMPLATE-GAS AVAILABILITY'!O1017+N1018*'RAP TEMPLATE-GAS AVAILABILITY'!P1017+O1018*'RAP TEMPLATE-GAS AVAILABILITY'!Q1017+P1018*'RAP TEMPLATE-GAS AVAILABILITY'!R1017)/('RAP TEMPLATE-GAS AVAILABILITY'!O1017+'RAP TEMPLATE-GAS AVAILABILITY'!P1017+'RAP TEMPLATE-GAS AVAILABILITY'!Q1017+'RAP TEMPLATE-GAS AVAILABILITY'!R1017)</f>
        <v>82.81595107913671</v>
      </c>
    </row>
    <row r="1019" spans="1:29" ht="15.75" x14ac:dyDescent="0.25">
      <c r="A1019" s="13">
        <v>71924</v>
      </c>
      <c r="B1019" s="10">
        <f>CHOOSE(CONTROL!$C$42, 85.7656, 85.7656) * CHOOSE(CONTROL!$C$21, $C$9, 100%, $E$9)</f>
        <v>85.765600000000006</v>
      </c>
      <c r="C1019" s="10">
        <f>CHOOSE(CONTROL!$C$42, 85.7705, 85.7705) * CHOOSE(CONTROL!$C$21, $C$9, 100%, $E$9)</f>
        <v>85.770499999999998</v>
      </c>
      <c r="D1019" s="10">
        <f>CHOOSE(CONTROL!$C$42, 85.8002, 85.8002) * CHOOSE(CONTROL!$C$21, $C$9, 100%, $E$9)</f>
        <v>85.800200000000004</v>
      </c>
      <c r="E1019" s="10">
        <f>CHOOSE(CONTROL!$C$42, 85.8339, 85.8339) * CHOOSE(CONTROL!$C$21, $C$9, 100%, $E$9)</f>
        <v>85.8339</v>
      </c>
      <c r="F1019" s="10">
        <f>CHOOSE(CONTROL!$C$42, 85.7324, 85.7324)*CHOOSE(CONTROL!$C$21, $C$9, 100%, $E$9)</f>
        <v>85.732399999999998</v>
      </c>
      <c r="G1019" s="10">
        <f>CHOOSE(CONTROL!$C$42, 85.7495, 85.7495)*CHOOSE(CONTROL!$C$21, $C$9, 100%, $E$9)</f>
        <v>85.749499999999998</v>
      </c>
      <c r="H1019" s="10">
        <f>CHOOSE(CONTROL!$C$42, 85.8231, 85.8231) * CHOOSE(CONTROL!$C$21, $C$9, 100%, $E$9)</f>
        <v>85.823099999999997</v>
      </c>
      <c r="I1019" s="10">
        <f>CHOOSE(CONTROL!$C$42, 85.7292, 85.7292)* CHOOSE(CONTROL!$C$21, $C$9, 100%, $E$9)</f>
        <v>85.729200000000006</v>
      </c>
      <c r="J1019" s="10">
        <f>CHOOSE(CONTROL!$C$42, 85.7254, 85.7254)* CHOOSE(CONTROL!$C$21, $C$9, 100%, $E$9)</f>
        <v>85.725399999999993</v>
      </c>
      <c r="K1019" s="54">
        <f>CHOOSE(CONTROL!$C$42, 85.7253, 85.7253) * CHOOSE(CONTROL!$C$21, $C$9, 100%, $E$9)</f>
        <v>85.725300000000004</v>
      </c>
      <c r="L1019" s="10">
        <f>CHOOSE(CONTROL!$C$42, 86.4101, 86.4101) * CHOOSE(CONTROL!$C$21, $C$9, 100%, $E$9)</f>
        <v>86.4101</v>
      </c>
      <c r="M1019" s="10">
        <f>CHOOSE(CONTROL!$C$42, 84.8741, 84.8741) * CHOOSE(CONTROL!$C$21, $C$9, 100%, $E$9)</f>
        <v>84.874099999999999</v>
      </c>
      <c r="N1019" s="10">
        <f>CHOOSE(CONTROL!$C$42, 84.891, 84.891) * CHOOSE(CONTROL!$C$21, $C$9, 100%, $E$9)</f>
        <v>84.891000000000005</v>
      </c>
      <c r="O1019" s="10">
        <f>CHOOSE(CONTROL!$C$42, 84.9709, 84.9709) * CHOOSE(CONTROL!$C$21, $C$9, 100%, $E$9)</f>
        <v>84.9709</v>
      </c>
      <c r="P1019" s="10">
        <f>CHOOSE(CONTROL!$C$42, 84.8779, 84.8779) * CHOOSE(CONTROL!$C$21, $C$9, 100%, $E$9)</f>
        <v>84.877899999999997</v>
      </c>
      <c r="Q1019" s="10">
        <f>CHOOSE(CONTROL!$C$42, 85.5662, 85.5662) * CHOOSE(CONTROL!$C$21, $C$9, 100%, $E$9)</f>
        <v>85.566199999999995</v>
      </c>
      <c r="R1019" s="10">
        <f>CHOOSE(CONTROL!$C$42, 86.3671, 86.3671) * CHOOSE(CONTROL!$C$21, $C$9, 100%, $E$9)</f>
        <v>86.367099999999994</v>
      </c>
      <c r="S1019" s="10">
        <f>CHOOSE(CONTROL!$C$42, 83.2848, 83.2848) * CHOOSE(CONTROL!$C$21, $C$9, 100%, $E$9)</f>
        <v>83.284800000000004</v>
      </c>
      <c r="T1019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019" s="58">
        <f>(1000*CHOOSE(CONTROL!$C$42, 695, 695)*CHOOSE(CONTROL!$C$42, 0.5599, 0.5599)*CHOOSE(CONTROL!$C$42, 30, 30))/1000000</f>
        <v>11.673914999999997</v>
      </c>
      <c r="V1019" s="58">
        <f>(1000*CHOOSE(CONTROL!$C$42, 500, 500)*CHOOSE(CONTROL!$C$42, 0.275, 0.275)*CHOOSE(CONTROL!$C$42, 30, 30))/1000000</f>
        <v>4.125</v>
      </c>
      <c r="W1019" s="58">
        <f>(1000*CHOOSE(CONTROL!$C$42, 0.1146, 0.1146)*CHOOSE(CONTROL!$C$42, 121.5, 121.5)*CHOOSE(CONTROL!$C$42, 30, 30))/1000000</f>
        <v>0.417717</v>
      </c>
      <c r="X1019" s="58">
        <f>(30*0.1790888*100000/1000000)+(30*0.2374*100000/1000000)</f>
        <v>1.2494664</v>
      </c>
      <c r="Y1019" s="58"/>
      <c r="Z1019" s="10"/>
      <c r="AA1019" s="57"/>
      <c r="AB1019" s="51">
        <f>(B1019*122.58+C1019*297.941+D1019*89.177+E1019*40.302+F1019*40+G1019*160+H1019*0+I1019*100+J1019*300)/(122.58+297.941+89.177+40.302+0+40+160+100+300)</f>
        <v>85.754899184086952</v>
      </c>
      <c r="AC1019" s="27">
        <f>(M1019*'RAP TEMPLATE-GAS AVAILABILITY'!O1018+N1019*'RAP TEMPLATE-GAS AVAILABILITY'!P1018+O1019*'RAP TEMPLATE-GAS AVAILABILITY'!Q1018+P1019*'RAP TEMPLATE-GAS AVAILABILITY'!R1018)/('RAP TEMPLATE-GAS AVAILABILITY'!O1018+'RAP TEMPLATE-GAS AVAILABILITY'!P1018+'RAP TEMPLATE-GAS AVAILABILITY'!Q1018+'RAP TEMPLATE-GAS AVAILABILITY'!R1018)</f>
        <v>84.919492805755397</v>
      </c>
    </row>
    <row r="1020" spans="1:29" ht="15.75" x14ac:dyDescent="0.25">
      <c r="A1020" s="13">
        <v>71955</v>
      </c>
      <c r="B1020" s="10">
        <f>CHOOSE(CONTROL!$C$42, 91.6129, 91.6129) * CHOOSE(CONTROL!$C$21, $C$9, 100%, $E$9)</f>
        <v>91.612899999999996</v>
      </c>
      <c r="C1020" s="10">
        <f>CHOOSE(CONTROL!$C$42, 91.6178, 91.6178) * CHOOSE(CONTROL!$C$21, $C$9, 100%, $E$9)</f>
        <v>91.617800000000003</v>
      </c>
      <c r="D1020" s="10">
        <f>CHOOSE(CONTROL!$C$42, 91.6474, 91.6474) * CHOOSE(CONTROL!$C$21, $C$9, 100%, $E$9)</f>
        <v>91.647400000000005</v>
      </c>
      <c r="E1020" s="10">
        <f>CHOOSE(CONTROL!$C$42, 91.6812, 91.6812) * CHOOSE(CONTROL!$C$21, $C$9, 100%, $E$9)</f>
        <v>91.681200000000004</v>
      </c>
      <c r="F1020" s="10">
        <f>CHOOSE(CONTROL!$C$42, 91.5811, 91.5811)*CHOOSE(CONTROL!$C$21, $C$9, 100%, $E$9)</f>
        <v>91.581100000000006</v>
      </c>
      <c r="G1020" s="10">
        <f>CHOOSE(CONTROL!$C$42, 91.5986, 91.5986)*CHOOSE(CONTROL!$C$21, $C$9, 100%, $E$9)</f>
        <v>91.598600000000005</v>
      </c>
      <c r="H1020" s="10">
        <f>CHOOSE(CONTROL!$C$42, 91.6704, 91.6704) * CHOOSE(CONTROL!$C$21, $C$9, 100%, $E$9)</f>
        <v>91.670400000000001</v>
      </c>
      <c r="I1020" s="10">
        <f>CHOOSE(CONTROL!$C$42, 91.5765, 91.5765)* CHOOSE(CONTROL!$C$21, $C$9, 100%, $E$9)</f>
        <v>91.576499999999996</v>
      </c>
      <c r="J1020" s="10">
        <f>CHOOSE(CONTROL!$C$42, 91.5741, 91.5741)* CHOOSE(CONTROL!$C$21, $C$9, 100%, $E$9)</f>
        <v>91.574100000000001</v>
      </c>
      <c r="K1020" s="54">
        <f>CHOOSE(CONTROL!$C$42, 91.5726, 91.5726) * CHOOSE(CONTROL!$C$21, $C$9, 100%, $E$9)</f>
        <v>91.572599999999994</v>
      </c>
      <c r="L1020" s="10">
        <f>CHOOSE(CONTROL!$C$42, 92.2574, 92.2574) * CHOOSE(CONTROL!$C$21, $C$9, 100%, $E$9)</f>
        <v>92.257400000000004</v>
      </c>
      <c r="M1020" s="10">
        <f>CHOOSE(CONTROL!$C$42, 90.6638, 90.6638) * CHOOSE(CONTROL!$C$21, $C$9, 100%, $E$9)</f>
        <v>90.663799999999995</v>
      </c>
      <c r="N1020" s="10">
        <f>CHOOSE(CONTROL!$C$42, 90.6811, 90.6811) * CHOOSE(CONTROL!$C$21, $C$9, 100%, $E$9)</f>
        <v>90.681100000000001</v>
      </c>
      <c r="O1020" s="10">
        <f>CHOOSE(CONTROL!$C$42, 90.7591, 90.7591) * CHOOSE(CONTROL!$C$21, $C$9, 100%, $E$9)</f>
        <v>90.759100000000004</v>
      </c>
      <c r="P1020" s="10">
        <f>CHOOSE(CONTROL!$C$42, 90.6662, 90.6662) * CHOOSE(CONTROL!$C$21, $C$9, 100%, $E$9)</f>
        <v>90.666200000000003</v>
      </c>
      <c r="Q1020" s="10">
        <f>CHOOSE(CONTROL!$C$42, 91.3544, 91.3544) * CHOOSE(CONTROL!$C$21, $C$9, 100%, $E$9)</f>
        <v>91.354399999999998</v>
      </c>
      <c r="R1020" s="10">
        <f>CHOOSE(CONTROL!$C$42, 92.1698, 92.1698) * CHOOSE(CONTROL!$C$21, $C$9, 100%, $E$9)</f>
        <v>92.169799999999995</v>
      </c>
      <c r="S1020" s="10">
        <f>CHOOSE(CONTROL!$C$42, 88.9631, 88.9631) * CHOOSE(CONTROL!$C$21, $C$9, 100%, $E$9)</f>
        <v>88.963099999999997</v>
      </c>
      <c r="T1020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020" s="58">
        <f>(1000*CHOOSE(CONTROL!$C$42, 695, 695)*CHOOSE(CONTROL!$C$42, 0.5599, 0.5599)*CHOOSE(CONTROL!$C$42, 31, 31))/1000000</f>
        <v>12.063045499999998</v>
      </c>
      <c r="V1020" s="58">
        <f>(1000*CHOOSE(CONTROL!$C$42, 500, 500)*CHOOSE(CONTROL!$C$42, 0.275, 0.275)*CHOOSE(CONTROL!$C$42, 31, 31))/1000000</f>
        <v>4.2625000000000002</v>
      </c>
      <c r="W1020" s="58">
        <f>(1000*CHOOSE(CONTROL!$C$42, 0.1146, 0.1146)*CHOOSE(CONTROL!$C$42, 121.5, 121.5)*CHOOSE(CONTROL!$C$42, 31, 31))/1000000</f>
        <v>0.43164089999999994</v>
      </c>
      <c r="X1020" s="58">
        <f>(31*0.1790888*100000/1000000)+(31*0.2374*100000/1000000)</f>
        <v>1.2911152800000001</v>
      </c>
      <c r="Y1020" s="58"/>
      <c r="Z1020" s="10"/>
      <c r="AA1020" s="57"/>
      <c r="AB1020" s="51">
        <f>(B1020*122.58+C1020*297.941+D1020*89.177+E1020*40.302+F1020*40+G1020*160+H1020*0+I1020*100+J1020*300)/(122.58+297.941+89.177+40.302+0+40+160+100+300)</f>
        <v>91.602855777391298</v>
      </c>
      <c r="AC1020" s="27">
        <f>(M1020*'RAP TEMPLATE-GAS AVAILABILITY'!O1019+N1020*'RAP TEMPLATE-GAS AVAILABILITY'!P1019+O1020*'RAP TEMPLATE-GAS AVAILABILITY'!Q1019+P1020*'RAP TEMPLATE-GAS AVAILABILITY'!R1019)/('RAP TEMPLATE-GAS AVAILABILITY'!O1019+'RAP TEMPLATE-GAS AVAILABILITY'!P1019+'RAP TEMPLATE-GAS AVAILABILITY'!Q1019+'RAP TEMPLATE-GAS AVAILABILITY'!R1019)</f>
        <v>90.70833453237411</v>
      </c>
    </row>
    <row r="1021" spans="1:29" ht="15.75" x14ac:dyDescent="0.25">
      <c r="A1021" s="13">
        <v>71986</v>
      </c>
      <c r="B1021" s="10">
        <f>CHOOSE(CONTROL!$C$42, 99.1191, 99.1191) * CHOOSE(CONTROL!$C$21, $C$9, 100%, $E$9)</f>
        <v>99.119100000000003</v>
      </c>
      <c r="C1021" s="10">
        <f>CHOOSE(CONTROL!$C$42, 99.124, 99.124) * CHOOSE(CONTROL!$C$21, $C$9, 100%, $E$9)</f>
        <v>99.123999999999995</v>
      </c>
      <c r="D1021" s="10">
        <f>CHOOSE(CONTROL!$C$42, 99.1742, 99.1742) * CHOOSE(CONTROL!$C$21, $C$9, 100%, $E$9)</f>
        <v>99.174199999999999</v>
      </c>
      <c r="E1021" s="10">
        <f>CHOOSE(CONTROL!$C$42, 99.208, 99.208) * CHOOSE(CONTROL!$C$21, $C$9, 100%, $E$9)</f>
        <v>99.207999999999998</v>
      </c>
      <c r="F1021" s="10">
        <f>CHOOSE(CONTROL!$C$42, 99.0845, 99.0845)*CHOOSE(CONTROL!$C$21, $C$9, 100%, $E$9)</f>
        <v>99.084500000000006</v>
      </c>
      <c r="G1021" s="10">
        <f>CHOOSE(CONTROL!$C$42, 99.102, 99.102)*CHOOSE(CONTROL!$C$21, $C$9, 100%, $E$9)</f>
        <v>99.102000000000004</v>
      </c>
      <c r="H1021" s="10">
        <f>CHOOSE(CONTROL!$C$42, 99.1972, 99.1972) * CHOOSE(CONTROL!$C$21, $C$9, 100%, $E$9)</f>
        <v>99.197199999999995</v>
      </c>
      <c r="I1021" s="10">
        <f>CHOOSE(CONTROL!$C$42, 99.093, 99.093)* CHOOSE(CONTROL!$C$21, $C$9, 100%, $E$9)</f>
        <v>99.093000000000004</v>
      </c>
      <c r="J1021" s="10">
        <f>CHOOSE(CONTROL!$C$42, 99.0775, 99.0775)* CHOOSE(CONTROL!$C$21, $C$9, 100%, $E$9)</f>
        <v>99.077500000000001</v>
      </c>
      <c r="K1021" s="54">
        <f>CHOOSE(CONTROL!$C$42, 99.0891, 99.0891) * CHOOSE(CONTROL!$C$21, $C$9, 100%, $E$9)</f>
        <v>99.089100000000002</v>
      </c>
      <c r="L1021" s="10">
        <f>CHOOSE(CONTROL!$C$42, 99.7842, 99.7842) * CHOOSE(CONTROL!$C$21, $C$9, 100%, $E$9)</f>
        <v>99.784199999999998</v>
      </c>
      <c r="M1021" s="10">
        <f>CHOOSE(CONTROL!$C$42, 98.0914, 98.0914) * CHOOSE(CONTROL!$C$21, $C$9, 100%, $E$9)</f>
        <v>98.091399999999993</v>
      </c>
      <c r="N1021" s="10">
        <f>CHOOSE(CONTROL!$C$42, 98.1088, 98.1088) * CHOOSE(CONTROL!$C$21, $C$9, 100%, $E$9)</f>
        <v>98.108800000000002</v>
      </c>
      <c r="O1021" s="10">
        <f>CHOOSE(CONTROL!$C$42, 98.21, 98.21) * CHOOSE(CONTROL!$C$21, $C$9, 100%, $E$9)</f>
        <v>98.21</v>
      </c>
      <c r="P1021" s="10">
        <f>CHOOSE(CONTROL!$C$42, 98.1068, 98.1068) * CHOOSE(CONTROL!$C$21, $C$9, 100%, $E$9)</f>
        <v>98.106800000000007</v>
      </c>
      <c r="Q1021" s="10">
        <f>CHOOSE(CONTROL!$C$42, 98.8053, 98.8053) * CHOOSE(CONTROL!$C$21, $C$9, 100%, $E$9)</f>
        <v>98.805300000000003</v>
      </c>
      <c r="R1021" s="10">
        <f>CHOOSE(CONTROL!$C$42, 99.6393, 99.6393) * CHOOSE(CONTROL!$C$21, $C$9, 100%, $E$9)</f>
        <v>99.639300000000006</v>
      </c>
      <c r="S1021" s="10">
        <f>CHOOSE(CONTROL!$C$42, 96.2524, 96.2524) * CHOOSE(CONTROL!$C$21, $C$9, 100%, $E$9)</f>
        <v>96.252399999999994</v>
      </c>
      <c r="T1021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021" s="58">
        <f>(1000*CHOOSE(CONTROL!$C$42, 695, 695)*CHOOSE(CONTROL!$C$42, 0.5599, 0.5599)*CHOOSE(CONTROL!$C$42, 31, 31))/1000000</f>
        <v>12.063045499999998</v>
      </c>
      <c r="V1021" s="58">
        <f>(1000*CHOOSE(CONTROL!$C$42, 500, 500)*CHOOSE(CONTROL!$C$42, 0.275, 0.275)*CHOOSE(CONTROL!$C$42, 31, 31))/1000000</f>
        <v>4.2625000000000002</v>
      </c>
      <c r="W1021" s="58">
        <f>(1000*CHOOSE(CONTROL!$C$42, 0.1146, 0.1146)*CHOOSE(CONTROL!$C$42, 121.5, 121.5)*CHOOSE(CONTROL!$C$42, 31, 31))/1000000</f>
        <v>0.43164089999999994</v>
      </c>
      <c r="X1021" s="58">
        <f>(31*0.1790888*100000/1000000)+(31*0.2374*100000/1000000)</f>
        <v>1.2911152800000001</v>
      </c>
      <c r="Y1021" s="58"/>
      <c r="Z1021" s="10"/>
      <c r="AA1021" s="57"/>
      <c r="AB1021" s="51">
        <f>(B1021*122.58+C1021*297.941+D1021*89.177+E1021*40.302+F1021*40+G1021*160+H1021*0+I1021*100+J1021*300)/(122.58+297.941+89.177+40.302+0+40+160+100+300)</f>
        <v>99.111053401217376</v>
      </c>
      <c r="AC1021" s="27">
        <f>(M1021*'RAP TEMPLATE-GAS AVAILABILITY'!O1020+N1021*'RAP TEMPLATE-GAS AVAILABILITY'!P1020+O1021*'RAP TEMPLATE-GAS AVAILABILITY'!Q1020+P1021*'RAP TEMPLATE-GAS AVAILABILITY'!R1020)/('RAP TEMPLATE-GAS AVAILABILITY'!O1020+'RAP TEMPLATE-GAS AVAILABILITY'!P1020+'RAP TEMPLATE-GAS AVAILABILITY'!Q1020+'RAP TEMPLATE-GAS AVAILABILITY'!R1020)</f>
        <v>98.14837122302157</v>
      </c>
    </row>
    <row r="1022" spans="1:29" ht="15.75" x14ac:dyDescent="0.25">
      <c r="A1022" s="13">
        <v>72014</v>
      </c>
      <c r="B1022" s="10">
        <f>CHOOSE(CONTROL!$C$42, 100.8835, 100.8835) * CHOOSE(CONTROL!$C$21, $C$9, 100%, $E$9)</f>
        <v>100.8835</v>
      </c>
      <c r="C1022" s="10">
        <f>CHOOSE(CONTROL!$C$42, 100.8885, 100.8885) * CHOOSE(CONTROL!$C$21, $C$9, 100%, $E$9)</f>
        <v>100.88849999999999</v>
      </c>
      <c r="D1022" s="10">
        <f>CHOOSE(CONTROL!$C$42, 100.949, 100.949) * CHOOSE(CONTROL!$C$21, $C$9, 100%, $E$9)</f>
        <v>100.949</v>
      </c>
      <c r="E1022" s="10">
        <f>CHOOSE(CONTROL!$C$42, 100.9827, 100.9827) * CHOOSE(CONTROL!$C$21, $C$9, 100%, $E$9)</f>
        <v>100.98269999999999</v>
      </c>
      <c r="F1022" s="10">
        <f>CHOOSE(CONTROL!$C$42, 100.8767, 100.8767)*CHOOSE(CONTROL!$C$21, $C$9, 100%, $E$9)</f>
        <v>100.8767</v>
      </c>
      <c r="G1022" s="10">
        <f>CHOOSE(CONTROL!$C$42, 100.894, 100.894)*CHOOSE(CONTROL!$C$21, $C$9, 100%, $E$9)</f>
        <v>100.89400000000001</v>
      </c>
      <c r="H1022" s="10">
        <f>CHOOSE(CONTROL!$C$42, 100.9719, 100.9719) * CHOOSE(CONTROL!$C$21, $C$9, 100%, $E$9)</f>
        <v>100.97190000000001</v>
      </c>
      <c r="I1022" s="10">
        <f>CHOOSE(CONTROL!$C$42, 100.8703, 100.8703)* CHOOSE(CONTROL!$C$21, $C$9, 100%, $E$9)</f>
        <v>100.8703</v>
      </c>
      <c r="J1022" s="10">
        <f>CHOOSE(CONTROL!$C$42, 100.8697, 100.8697)* CHOOSE(CONTROL!$C$21, $C$9, 100%, $E$9)</f>
        <v>100.86969999999999</v>
      </c>
      <c r="K1022" s="54">
        <f>CHOOSE(CONTROL!$C$42, 100.8664, 100.8664) * CHOOSE(CONTROL!$C$21, $C$9, 100%, $E$9)</f>
        <v>100.8664</v>
      </c>
      <c r="L1022" s="10">
        <f>CHOOSE(CONTROL!$C$42, 101.5589, 101.5589) * CHOOSE(CONTROL!$C$21, $C$9, 100%, $E$9)</f>
        <v>101.55889999999999</v>
      </c>
      <c r="M1022" s="10">
        <f>CHOOSE(CONTROL!$C$42, 99.8656, 99.8656) * CHOOSE(CONTROL!$C$21, $C$9, 100%, $E$9)</f>
        <v>99.865600000000001</v>
      </c>
      <c r="N1022" s="10">
        <f>CHOOSE(CONTROL!$C$42, 99.8827, 99.8827) * CHOOSE(CONTROL!$C$21, $C$9, 100%, $E$9)</f>
        <v>99.8827</v>
      </c>
      <c r="O1022" s="10">
        <f>CHOOSE(CONTROL!$C$42, 99.9668, 99.9668) * CHOOSE(CONTROL!$C$21, $C$9, 100%, $E$9)</f>
        <v>99.966800000000006</v>
      </c>
      <c r="P1022" s="10">
        <f>CHOOSE(CONTROL!$C$42, 99.8662, 99.8662) * CHOOSE(CONTROL!$C$21, $C$9, 100%, $E$9)</f>
        <v>99.866200000000006</v>
      </c>
      <c r="Q1022" s="10">
        <f>CHOOSE(CONTROL!$C$42, 100.5621, 100.5621) * CHOOSE(CONTROL!$C$21, $C$9, 100%, $E$9)</f>
        <v>100.5621</v>
      </c>
      <c r="R1022" s="10">
        <f>CHOOSE(CONTROL!$C$42, 101.4005, 101.4005) * CHOOSE(CONTROL!$C$21, $C$9, 100%, $E$9)</f>
        <v>101.40049999999999</v>
      </c>
      <c r="S1022" s="10">
        <f>CHOOSE(CONTROL!$C$42, 97.9658, 97.9658) * CHOOSE(CONTROL!$C$21, $C$9, 100%, $E$9)</f>
        <v>97.965800000000002</v>
      </c>
      <c r="T1022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1022" s="58">
        <f>(1000*CHOOSE(CONTROL!$C$42, 695, 695)*CHOOSE(CONTROL!$C$42, 0.5599, 0.5599)*CHOOSE(CONTROL!$C$42, 28, 28))/1000000</f>
        <v>10.895653999999999</v>
      </c>
      <c r="V1022" s="58">
        <f>(1000*CHOOSE(CONTROL!$C$42, 500, 500)*CHOOSE(CONTROL!$C$42, 0.275, 0.275)*CHOOSE(CONTROL!$C$42, 28, 28))/1000000</f>
        <v>3.85</v>
      </c>
      <c r="W1022" s="58">
        <f>(1000*CHOOSE(CONTROL!$C$42, 0.1146, 0.1146)*CHOOSE(CONTROL!$C$42, 121.5, 121.5)*CHOOSE(CONTROL!$C$42, 28, 28))/1000000</f>
        <v>0.38986920000000003</v>
      </c>
      <c r="X1022" s="58">
        <f>(28*0.1790888*100000/1000000)+(28*0.2374*100000/1000000)</f>
        <v>1.16616864</v>
      </c>
      <c r="Y1022" s="58"/>
      <c r="Z1022" s="10"/>
      <c r="AA1022" s="57"/>
      <c r="AB1022" s="51">
        <f>(B1022*122.58+C1022*297.941+D1022*89.177+E1022*40.302+F1022*40+G1022*160+H1022*0+I1022*100+J1022*300)/(122.58+297.941+89.177+40.302+0+40+160+100+300)</f>
        <v>100.88982761469566</v>
      </c>
      <c r="AC1022" s="27">
        <f>(M1022*'RAP TEMPLATE-GAS AVAILABILITY'!O1021+N1022*'RAP TEMPLATE-GAS AVAILABILITY'!P1021+O1022*'RAP TEMPLATE-GAS AVAILABILITY'!Q1021+P1022*'RAP TEMPLATE-GAS AVAILABILITY'!R1021)/('RAP TEMPLATE-GAS AVAILABILITY'!O1021+'RAP TEMPLATE-GAS AVAILABILITY'!P1021+'RAP TEMPLATE-GAS AVAILABILITY'!Q1021+'RAP TEMPLATE-GAS AVAILABILITY'!R1021)</f>
        <v>99.912538129496397</v>
      </c>
    </row>
    <row r="1023" spans="1:29" ht="15.75" x14ac:dyDescent="0.25">
      <c r="A1023" s="13">
        <v>72045</v>
      </c>
      <c r="B1023" s="10">
        <f>CHOOSE(CONTROL!$C$42, 98.0194, 98.0194) * CHOOSE(CONTROL!$C$21, $C$9, 100%, $E$9)</f>
        <v>98.019400000000005</v>
      </c>
      <c r="C1023" s="10">
        <f>CHOOSE(CONTROL!$C$42, 98.0244, 98.0244) * CHOOSE(CONTROL!$C$21, $C$9, 100%, $E$9)</f>
        <v>98.0244</v>
      </c>
      <c r="D1023" s="10">
        <f>CHOOSE(CONTROL!$C$42, 98.0849, 98.0849) * CHOOSE(CONTROL!$C$21, $C$9, 100%, $E$9)</f>
        <v>98.084900000000005</v>
      </c>
      <c r="E1023" s="10">
        <f>CHOOSE(CONTROL!$C$42, 98.1187, 98.1187) * CHOOSE(CONTROL!$C$21, $C$9, 100%, $E$9)</f>
        <v>98.118700000000004</v>
      </c>
      <c r="F1023" s="10">
        <f>CHOOSE(CONTROL!$C$42, 98.0072, 98.0072)*CHOOSE(CONTROL!$C$21, $C$9, 100%, $E$9)</f>
        <v>98.007199999999997</v>
      </c>
      <c r="G1023" s="10">
        <f>CHOOSE(CONTROL!$C$42, 98.0244, 98.0244)*CHOOSE(CONTROL!$C$21, $C$9, 100%, $E$9)</f>
        <v>98.0244</v>
      </c>
      <c r="H1023" s="10">
        <f>CHOOSE(CONTROL!$C$42, 98.1079, 98.1079) * CHOOSE(CONTROL!$C$21, $C$9, 100%, $E$9)</f>
        <v>98.107900000000001</v>
      </c>
      <c r="I1023" s="10">
        <f>CHOOSE(CONTROL!$C$42, 97.9933, 97.9933)* CHOOSE(CONTROL!$C$21, $C$9, 100%, $E$9)</f>
        <v>97.993300000000005</v>
      </c>
      <c r="J1023" s="10">
        <f>CHOOSE(CONTROL!$C$42, 98.0002, 98.0002)* CHOOSE(CONTROL!$C$21, $C$9, 100%, $E$9)</f>
        <v>98.000200000000007</v>
      </c>
      <c r="K1023" s="54">
        <f>CHOOSE(CONTROL!$C$42, 97.9894, 97.9894) * CHOOSE(CONTROL!$C$21, $C$9, 100%, $E$9)</f>
        <v>97.989400000000003</v>
      </c>
      <c r="L1023" s="10">
        <f>CHOOSE(CONTROL!$C$42, 98.6949, 98.6949) * CHOOSE(CONTROL!$C$21, $C$9, 100%, $E$9)</f>
        <v>98.694900000000004</v>
      </c>
      <c r="M1023" s="10">
        <f>CHOOSE(CONTROL!$C$42, 97.025, 97.025) * CHOOSE(CONTROL!$C$21, $C$9, 100%, $E$9)</f>
        <v>97.025000000000006</v>
      </c>
      <c r="N1023" s="10">
        <f>CHOOSE(CONTROL!$C$42, 97.042, 97.042) * CHOOSE(CONTROL!$C$21, $C$9, 100%, $E$9)</f>
        <v>97.042000000000002</v>
      </c>
      <c r="O1023" s="10">
        <f>CHOOSE(CONTROL!$C$42, 97.1316, 97.1316) * CHOOSE(CONTROL!$C$21, $C$9, 100%, $E$9)</f>
        <v>97.131600000000006</v>
      </c>
      <c r="P1023" s="10">
        <f>CHOOSE(CONTROL!$C$42, 97.0183, 97.0183) * CHOOSE(CONTROL!$C$21, $C$9, 100%, $E$9)</f>
        <v>97.018299999999996</v>
      </c>
      <c r="Q1023" s="10">
        <f>CHOOSE(CONTROL!$C$42, 97.7269, 97.7269) * CHOOSE(CONTROL!$C$21, $C$9, 100%, $E$9)</f>
        <v>97.726900000000001</v>
      </c>
      <c r="R1023" s="10">
        <f>CHOOSE(CONTROL!$C$42, 98.5582, 98.5582) * CHOOSE(CONTROL!$C$21, $C$9, 100%, $E$9)</f>
        <v>98.558199999999999</v>
      </c>
      <c r="S1023" s="10">
        <f>CHOOSE(CONTROL!$C$42, 95.1845, 95.1845) * CHOOSE(CONTROL!$C$21, $C$9, 100%, $E$9)</f>
        <v>95.1845</v>
      </c>
      <c r="T1023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023" s="58">
        <f>(1000*CHOOSE(CONTROL!$C$42, 695, 695)*CHOOSE(CONTROL!$C$42, 0.5599, 0.5599)*CHOOSE(CONTROL!$C$42, 31, 31))/1000000</f>
        <v>12.063045499999998</v>
      </c>
      <c r="V1023" s="58">
        <f>(1000*CHOOSE(CONTROL!$C$42, 500, 500)*CHOOSE(CONTROL!$C$42, 0.275, 0.275)*CHOOSE(CONTROL!$C$42, 31, 31))/1000000</f>
        <v>4.2625000000000002</v>
      </c>
      <c r="W1023" s="58">
        <f>(1000*CHOOSE(CONTROL!$C$42, 0.1146, 0.1146)*CHOOSE(CONTROL!$C$42, 121.5, 121.5)*CHOOSE(CONTROL!$C$42, 31, 31))/1000000</f>
        <v>0.43164089999999994</v>
      </c>
      <c r="X1023" s="58">
        <f>(31*0.1790888*100000/1000000)+(31*0.2374*100000/1000000)</f>
        <v>1.2911152800000001</v>
      </c>
      <c r="Y1023" s="58"/>
      <c r="Z1023" s="10"/>
      <c r="AA1023" s="57"/>
      <c r="AB1023" s="51">
        <f>(B1023*122.58+C1023*297.941+D1023*89.177+E1023*40.302+F1023*40+G1023*160+H1023*0+I1023*100+J1023*300)/(122.58+297.941+89.177+40.302+0+40+160+100+300)</f>
        <v>98.022247640956522</v>
      </c>
      <c r="AC1023" s="27">
        <f>(M1023*'RAP TEMPLATE-GAS AVAILABILITY'!O1022+N1023*'RAP TEMPLATE-GAS AVAILABILITY'!P1022+O1023*'RAP TEMPLATE-GAS AVAILABILITY'!Q1022+P1023*'RAP TEMPLATE-GAS AVAILABILITY'!R1022)/('RAP TEMPLATE-GAS AVAILABILITY'!O1022+'RAP TEMPLATE-GAS AVAILABILITY'!P1022+'RAP TEMPLATE-GAS AVAILABILITY'!Q1022+'RAP TEMPLATE-GAS AVAILABILITY'!R1022)</f>
        <v>97.073329496402891</v>
      </c>
    </row>
    <row r="1024" spans="1:29" ht="15.75" x14ac:dyDescent="0.25">
      <c r="A1024" s="13">
        <v>72075</v>
      </c>
      <c r="B1024" s="10">
        <f>CHOOSE(CONTROL!$C$42, 97.7271, 97.7271) * CHOOSE(CONTROL!$C$21, $C$9, 100%, $E$9)</f>
        <v>97.727099999999993</v>
      </c>
      <c r="C1024" s="10">
        <f>CHOOSE(CONTROL!$C$42, 97.7315, 97.7315) * CHOOSE(CONTROL!$C$21, $C$9, 100%, $E$9)</f>
        <v>97.731499999999997</v>
      </c>
      <c r="D1024" s="10">
        <f>CHOOSE(CONTROL!$C$42, 97.9271, 97.9271) * CHOOSE(CONTROL!$C$21, $C$9, 100%, $E$9)</f>
        <v>97.927099999999996</v>
      </c>
      <c r="E1024" s="10">
        <f>CHOOSE(CONTROL!$C$42, 97.9589, 97.9589) * CHOOSE(CONTROL!$C$21, $C$9, 100%, $E$9)</f>
        <v>97.9589</v>
      </c>
      <c r="F1024" s="10">
        <f>CHOOSE(CONTROL!$C$42, 97.6949, 97.6949)*CHOOSE(CONTROL!$C$21, $C$9, 100%, $E$9)</f>
        <v>97.694900000000004</v>
      </c>
      <c r="G1024" s="10">
        <f>CHOOSE(CONTROL!$C$42, 97.7117, 97.7117)*CHOOSE(CONTROL!$C$21, $C$9, 100%, $E$9)</f>
        <v>97.711699999999993</v>
      </c>
      <c r="H1024" s="10">
        <f>CHOOSE(CONTROL!$C$42, 97.9486, 97.9486) * CHOOSE(CONTROL!$C$21, $C$9, 100%, $E$9)</f>
        <v>97.948599999999999</v>
      </c>
      <c r="I1024" s="10">
        <f>CHOOSE(CONTROL!$C$42, 97.6951, 97.6951)* CHOOSE(CONTROL!$C$21, $C$9, 100%, $E$9)</f>
        <v>97.695099999999996</v>
      </c>
      <c r="J1024" s="10">
        <f>CHOOSE(CONTROL!$C$42, 97.6879, 97.6879)* CHOOSE(CONTROL!$C$21, $C$9, 100%, $E$9)</f>
        <v>97.687899999999999</v>
      </c>
      <c r="K1024" s="54">
        <f>CHOOSE(CONTROL!$C$42, 97.6912, 97.6912) * CHOOSE(CONTROL!$C$21, $C$9, 100%, $E$9)</f>
        <v>97.691199999999995</v>
      </c>
      <c r="L1024" s="10">
        <f>CHOOSE(CONTROL!$C$42, 98.5356, 98.5356) * CHOOSE(CONTROL!$C$21, $C$9, 100%, $E$9)</f>
        <v>98.535600000000002</v>
      </c>
      <c r="M1024" s="10">
        <f>CHOOSE(CONTROL!$C$42, 96.7159, 96.7159) * CHOOSE(CONTROL!$C$21, $C$9, 100%, $E$9)</f>
        <v>96.715900000000005</v>
      </c>
      <c r="N1024" s="10">
        <f>CHOOSE(CONTROL!$C$42, 96.7325, 96.7325) * CHOOSE(CONTROL!$C$21, $C$9, 100%, $E$9)</f>
        <v>96.732500000000002</v>
      </c>
      <c r="O1024" s="10">
        <f>CHOOSE(CONTROL!$C$42, 96.974, 96.974) * CHOOSE(CONTROL!$C$21, $C$9, 100%, $E$9)</f>
        <v>96.974000000000004</v>
      </c>
      <c r="P1024" s="10">
        <f>CHOOSE(CONTROL!$C$42, 96.723, 96.723) * CHOOSE(CONTROL!$C$21, $C$9, 100%, $E$9)</f>
        <v>96.722999999999999</v>
      </c>
      <c r="Q1024" s="10">
        <f>CHOOSE(CONTROL!$C$42, 97.5693, 97.5693) * CHOOSE(CONTROL!$C$21, $C$9, 100%, $E$9)</f>
        <v>97.569299999999998</v>
      </c>
      <c r="R1024" s="10">
        <f>CHOOSE(CONTROL!$C$42, 98.4002, 98.4002) * CHOOSE(CONTROL!$C$21, $C$9, 100%, $E$9)</f>
        <v>98.400199999999998</v>
      </c>
      <c r="S1024" s="10">
        <f>CHOOSE(CONTROL!$C$42, 94.8999, 94.8999) * CHOOSE(CONTROL!$C$21, $C$9, 100%, $E$9)</f>
        <v>94.899900000000002</v>
      </c>
      <c r="T1024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024" s="58">
        <f>(1000*CHOOSE(CONTROL!$C$42, 695, 695)*CHOOSE(CONTROL!$C$42, 0.5599, 0.5599)*CHOOSE(CONTROL!$C$42, 30, 30))/1000000</f>
        <v>11.673914999999997</v>
      </c>
      <c r="V1024" s="58">
        <f>(1000*CHOOSE(CONTROL!$C$42, 500, 500)*CHOOSE(CONTROL!$C$42, 0.275, 0.275)*CHOOSE(CONTROL!$C$42, 30, 30))/1000000</f>
        <v>4.125</v>
      </c>
      <c r="W1024" s="58">
        <f>(1000*CHOOSE(CONTROL!$C$42, 0.1146, 0.1146)*CHOOSE(CONTROL!$C$42, 121.5, 121.5)*CHOOSE(CONTROL!$C$42, 30, 30))/1000000</f>
        <v>0.417717</v>
      </c>
      <c r="X1024" s="58">
        <f>(30*0.1790888*245000/1000000)+(30*0.2374*100000/1000000)</f>
        <v>2.0285026799999999</v>
      </c>
      <c r="Y1024" s="58"/>
      <c r="Z1024" s="10"/>
      <c r="AA1024" s="57"/>
      <c r="AB1024" s="51">
        <f>(B1024*141.293+C1024*267.993+D1024*115.016+E1024*89.698+F1024*40+G1024*185+H1024*0+I1024*100+J1024*300)/(141.293+267.993+115.016+89.698+0+40+185+100+300)</f>
        <v>97.747985686521375</v>
      </c>
      <c r="AC1024" s="27">
        <f>(M1024*'RAP TEMPLATE-GAS AVAILABILITY'!O1023+N1024*'RAP TEMPLATE-GAS AVAILABILITY'!P1023+O1024*'RAP TEMPLATE-GAS AVAILABILITY'!Q1023+P1024*'RAP TEMPLATE-GAS AVAILABILITY'!R1023)/('RAP TEMPLATE-GAS AVAILABILITY'!O1023+'RAP TEMPLATE-GAS AVAILABILITY'!P1023+'RAP TEMPLATE-GAS AVAILABILITY'!Q1023+'RAP TEMPLATE-GAS AVAILABILITY'!R1023)</f>
        <v>96.834857553956851</v>
      </c>
    </row>
    <row r="1025" spans="1:29" ht="15.75" x14ac:dyDescent="0.25">
      <c r="A1025" s="13">
        <v>72106</v>
      </c>
      <c r="B1025" s="10">
        <f>CHOOSE(CONTROL!$C$42, 98.591, 98.591) * CHOOSE(CONTROL!$C$21, $C$9, 100%, $E$9)</f>
        <v>98.590999999999994</v>
      </c>
      <c r="C1025" s="10">
        <f>CHOOSE(CONTROL!$C$42, 98.599, 98.599) * CHOOSE(CONTROL!$C$21, $C$9, 100%, $E$9)</f>
        <v>98.599000000000004</v>
      </c>
      <c r="D1025" s="10">
        <f>CHOOSE(CONTROL!$C$42, 98.7914, 98.7914) * CHOOSE(CONTROL!$C$21, $C$9, 100%, $E$9)</f>
        <v>98.791399999999996</v>
      </c>
      <c r="E1025" s="10">
        <f>CHOOSE(CONTROL!$C$42, 98.8225, 98.8225) * CHOOSE(CONTROL!$C$21, $C$9, 100%, $E$9)</f>
        <v>98.822500000000005</v>
      </c>
      <c r="F1025" s="10">
        <f>CHOOSE(CONTROL!$C$42, 98.5573, 98.5573)*CHOOSE(CONTROL!$C$21, $C$9, 100%, $E$9)</f>
        <v>98.557299999999998</v>
      </c>
      <c r="G1025" s="10">
        <f>CHOOSE(CONTROL!$C$42, 98.5744, 98.5744)*CHOOSE(CONTROL!$C$21, $C$9, 100%, $E$9)</f>
        <v>98.574399999999997</v>
      </c>
      <c r="H1025" s="10">
        <f>CHOOSE(CONTROL!$C$42, 98.8112, 98.8112) * CHOOSE(CONTROL!$C$21, $C$9, 100%, $E$9)</f>
        <v>98.811199999999999</v>
      </c>
      <c r="I1025" s="10">
        <f>CHOOSE(CONTROL!$C$42, 98.5576, 98.5576)* CHOOSE(CONTROL!$C$21, $C$9, 100%, $E$9)</f>
        <v>98.557599999999994</v>
      </c>
      <c r="J1025" s="10">
        <f>CHOOSE(CONTROL!$C$42, 98.5503, 98.5503)* CHOOSE(CONTROL!$C$21, $C$9, 100%, $E$9)</f>
        <v>98.550299999999993</v>
      </c>
      <c r="K1025" s="54">
        <f>CHOOSE(CONTROL!$C$42, 98.5537, 98.5537) * CHOOSE(CONTROL!$C$21, $C$9, 100%, $E$9)</f>
        <v>98.553700000000006</v>
      </c>
      <c r="L1025" s="10">
        <f>CHOOSE(CONTROL!$C$42, 99.3982, 99.3982) * CHOOSE(CONTROL!$C$21, $C$9, 100%, $E$9)</f>
        <v>99.398200000000003</v>
      </c>
      <c r="M1025" s="10">
        <f>CHOOSE(CONTROL!$C$42, 97.5696, 97.5696) * CHOOSE(CONTROL!$C$21, $C$9, 100%, $E$9)</f>
        <v>97.569599999999994</v>
      </c>
      <c r="N1025" s="10">
        <f>CHOOSE(CONTROL!$C$42, 97.5865, 97.5865) * CHOOSE(CONTROL!$C$21, $C$9, 100%, $E$9)</f>
        <v>97.586500000000001</v>
      </c>
      <c r="O1025" s="10">
        <f>CHOOSE(CONTROL!$C$42, 97.8278, 97.8278) * CHOOSE(CONTROL!$C$21, $C$9, 100%, $E$9)</f>
        <v>97.827799999999996</v>
      </c>
      <c r="P1025" s="10">
        <f>CHOOSE(CONTROL!$C$42, 97.5769, 97.5769) * CHOOSE(CONTROL!$C$21, $C$9, 100%, $E$9)</f>
        <v>97.576899999999995</v>
      </c>
      <c r="Q1025" s="10">
        <f>CHOOSE(CONTROL!$C$42, 98.4231, 98.4231) * CHOOSE(CONTROL!$C$21, $C$9, 100%, $E$9)</f>
        <v>98.423100000000005</v>
      </c>
      <c r="R1025" s="10">
        <f>CHOOSE(CONTROL!$C$42, 99.2562, 99.2562) * CHOOSE(CONTROL!$C$21, $C$9, 100%, $E$9)</f>
        <v>99.256200000000007</v>
      </c>
      <c r="S1025" s="10">
        <f>CHOOSE(CONTROL!$C$42, 95.7375, 95.7375) * CHOOSE(CONTROL!$C$21, $C$9, 100%, $E$9)</f>
        <v>95.737499999999997</v>
      </c>
      <c r="T1025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025" s="58">
        <f>(1000*CHOOSE(CONTROL!$C$42, 695, 695)*CHOOSE(CONTROL!$C$42, 0.5599, 0.5599)*CHOOSE(CONTROL!$C$42, 31, 31))/1000000</f>
        <v>12.063045499999998</v>
      </c>
      <c r="V1025" s="58">
        <f>(1000*CHOOSE(CONTROL!$C$42, 500, 500)*CHOOSE(CONTROL!$C$42, 0.275, 0.275)*CHOOSE(CONTROL!$C$42, 31, 31))/1000000</f>
        <v>4.2625000000000002</v>
      </c>
      <c r="W1025" s="58">
        <f>(1000*CHOOSE(CONTROL!$C$42, 0.1146, 0.1146)*CHOOSE(CONTROL!$C$42, 121.5, 121.5)*CHOOSE(CONTROL!$C$42, 31, 31))/1000000</f>
        <v>0.43164089999999994</v>
      </c>
      <c r="X1025" s="58">
        <f>(31*0.1790888*245000/1000000)+(31*0.2374*100000/1000000)</f>
        <v>2.0961194359999999</v>
      </c>
      <c r="Y1025" s="58"/>
      <c r="Z1025" s="10"/>
      <c r="AA1025" s="57"/>
      <c r="AB1025" s="51">
        <f>(B1025*194.205+C1025*267.466+D1025*133.845+E1025*53.484+F1025*40+G1025*185+H1025*0+I1025*100+J1025*300)/(194.205+267.466+133.845+53.484+0+40+185+100+300)</f>
        <v>98.607777717425421</v>
      </c>
      <c r="AC1025" s="27">
        <f>(M1025*'RAP TEMPLATE-GAS AVAILABILITY'!O1024+N1025*'RAP TEMPLATE-GAS AVAILABILITY'!P1024+O1025*'RAP TEMPLATE-GAS AVAILABILITY'!Q1024+P1025*'RAP TEMPLATE-GAS AVAILABILITY'!R1024)/('RAP TEMPLATE-GAS AVAILABILITY'!O1024+'RAP TEMPLATE-GAS AVAILABILITY'!P1024+'RAP TEMPLATE-GAS AVAILABILITY'!Q1024+'RAP TEMPLATE-GAS AVAILABILITY'!R1024)</f>
        <v>97.688648920863301</v>
      </c>
    </row>
    <row r="1026" spans="1:29" ht="15.75" x14ac:dyDescent="0.25">
      <c r="A1026" s="13">
        <v>72136</v>
      </c>
      <c r="B1026" s="10">
        <f>CHOOSE(CONTROL!$C$42, 101.3876, 101.3876) * CHOOSE(CONTROL!$C$21, $C$9, 100%, $E$9)</f>
        <v>101.38760000000001</v>
      </c>
      <c r="C1026" s="10">
        <f>CHOOSE(CONTROL!$C$42, 101.3955, 101.3955) * CHOOSE(CONTROL!$C$21, $C$9, 100%, $E$9)</f>
        <v>101.3955</v>
      </c>
      <c r="D1026" s="10">
        <f>CHOOSE(CONTROL!$C$42, 101.5879, 101.5879) * CHOOSE(CONTROL!$C$21, $C$9, 100%, $E$9)</f>
        <v>101.5879</v>
      </c>
      <c r="E1026" s="10">
        <f>CHOOSE(CONTROL!$C$42, 101.619, 101.619) * CHOOSE(CONTROL!$C$21, $C$9, 100%, $E$9)</f>
        <v>101.619</v>
      </c>
      <c r="F1026" s="10">
        <f>CHOOSE(CONTROL!$C$42, 101.354, 101.354)*CHOOSE(CONTROL!$C$21, $C$9, 100%, $E$9)</f>
        <v>101.354</v>
      </c>
      <c r="G1026" s="10">
        <f>CHOOSE(CONTROL!$C$42, 101.3712, 101.3712)*CHOOSE(CONTROL!$C$21, $C$9, 100%, $E$9)</f>
        <v>101.3712</v>
      </c>
      <c r="H1026" s="10">
        <f>CHOOSE(CONTROL!$C$42, 101.6077, 101.6077) * CHOOSE(CONTROL!$C$21, $C$9, 100%, $E$9)</f>
        <v>101.60769999999999</v>
      </c>
      <c r="I1026" s="10">
        <f>CHOOSE(CONTROL!$C$42, 101.3541, 101.3541)* CHOOSE(CONTROL!$C$21, $C$9, 100%, $E$9)</f>
        <v>101.3541</v>
      </c>
      <c r="J1026" s="10">
        <f>CHOOSE(CONTROL!$C$42, 101.347, 101.347)* CHOOSE(CONTROL!$C$21, $C$9, 100%, $E$9)</f>
        <v>101.34699999999999</v>
      </c>
      <c r="K1026" s="54">
        <f>CHOOSE(CONTROL!$C$42, 101.3502, 101.3502) * CHOOSE(CONTROL!$C$21, $C$9, 100%, $E$9)</f>
        <v>101.3502</v>
      </c>
      <c r="L1026" s="10">
        <f>CHOOSE(CONTROL!$C$42, 102.1947, 102.1947) * CHOOSE(CONTROL!$C$21, $C$9, 100%, $E$9)</f>
        <v>102.1947</v>
      </c>
      <c r="M1026" s="10">
        <f>CHOOSE(CONTROL!$C$42, 100.3381, 100.3381) * CHOOSE(CONTROL!$C$21, $C$9, 100%, $E$9)</f>
        <v>100.3381</v>
      </c>
      <c r="N1026" s="10">
        <f>CHOOSE(CONTROL!$C$42, 100.3551, 100.3551) * CHOOSE(CONTROL!$C$21, $C$9, 100%, $E$9)</f>
        <v>100.35509999999999</v>
      </c>
      <c r="O1026" s="10">
        <f>CHOOSE(CONTROL!$C$42, 100.5961, 100.5961) * CHOOSE(CONTROL!$C$21, $C$9, 100%, $E$9)</f>
        <v>100.59610000000001</v>
      </c>
      <c r="P1026" s="10">
        <f>CHOOSE(CONTROL!$C$42, 100.3452, 100.3452) * CHOOSE(CONTROL!$C$21, $C$9, 100%, $E$9)</f>
        <v>100.34520000000001</v>
      </c>
      <c r="Q1026" s="10">
        <f>CHOOSE(CONTROL!$C$42, 101.1914, 101.1914) * CHOOSE(CONTROL!$C$21, $C$9, 100%, $E$9)</f>
        <v>101.1914</v>
      </c>
      <c r="R1026" s="10">
        <f>CHOOSE(CONTROL!$C$42, 102.0314, 102.0314) * CHOOSE(CONTROL!$C$21, $C$9, 100%, $E$9)</f>
        <v>102.0314</v>
      </c>
      <c r="S1026" s="10">
        <f>CHOOSE(CONTROL!$C$42, 98.4532, 98.4532) * CHOOSE(CONTROL!$C$21, $C$9, 100%, $E$9)</f>
        <v>98.453199999999995</v>
      </c>
      <c r="T1026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026" s="58">
        <f>(1000*CHOOSE(CONTROL!$C$42, 695, 695)*CHOOSE(CONTROL!$C$42, 0.5599, 0.5599)*CHOOSE(CONTROL!$C$42, 30, 30))/1000000</f>
        <v>11.673914999999997</v>
      </c>
      <c r="V1026" s="58">
        <f>(1000*CHOOSE(CONTROL!$C$42, 500, 500)*CHOOSE(CONTROL!$C$42, 0.275, 0.275)*CHOOSE(CONTROL!$C$42, 30, 30))/1000000</f>
        <v>4.125</v>
      </c>
      <c r="W1026" s="58">
        <f>(1000*CHOOSE(CONTROL!$C$42, 0.1146, 0.1146)*CHOOSE(CONTROL!$C$42, 121.5, 121.5)*CHOOSE(CONTROL!$C$42, 30, 30))/1000000</f>
        <v>0.417717</v>
      </c>
      <c r="X1026" s="58">
        <f>(30*0.1790888*245000/1000000)+(30*0.2374*100000/1000000)</f>
        <v>2.0285026799999999</v>
      </c>
      <c r="Y1026" s="58"/>
      <c r="Z1026" s="10"/>
      <c r="AA1026" s="57"/>
      <c r="AB1026" s="51">
        <f>(B1026*194.205+C1026*267.466+D1026*133.845+E1026*53.484+F1026*40+G1026*185+H1026*0+I1026*100+J1026*300)/(194.205+267.466+133.845+53.484+0+40+185+100+300)</f>
        <v>101.40438989992153</v>
      </c>
      <c r="AC1026" s="27">
        <f>(M1026*'RAP TEMPLATE-GAS AVAILABILITY'!O1025+N1026*'RAP TEMPLATE-GAS AVAILABILITY'!P1025+O1026*'RAP TEMPLATE-GAS AVAILABILITY'!Q1025+P1026*'RAP TEMPLATE-GAS AVAILABILITY'!R1025)/('RAP TEMPLATE-GAS AVAILABILITY'!O1025+'RAP TEMPLATE-GAS AVAILABILITY'!P1025+'RAP TEMPLATE-GAS AVAILABILITY'!Q1025+'RAP TEMPLATE-GAS AVAILABILITY'!R1025)</f>
        <v>100.45703525179857</v>
      </c>
    </row>
    <row r="1027" spans="1:29" ht="15.75" x14ac:dyDescent="0.25">
      <c r="A1027" s="13">
        <v>72167</v>
      </c>
      <c r="B1027" s="10">
        <f>CHOOSE(CONTROL!$C$42, 99.4426, 99.4426) * CHOOSE(CONTROL!$C$21, $C$9, 100%, $E$9)</f>
        <v>99.442599999999999</v>
      </c>
      <c r="C1027" s="10">
        <f>CHOOSE(CONTROL!$C$42, 99.4505, 99.4505) * CHOOSE(CONTROL!$C$21, $C$9, 100%, $E$9)</f>
        <v>99.450500000000005</v>
      </c>
      <c r="D1027" s="10">
        <f>CHOOSE(CONTROL!$C$42, 99.6429, 99.6429) * CHOOSE(CONTROL!$C$21, $C$9, 100%, $E$9)</f>
        <v>99.642899999999997</v>
      </c>
      <c r="E1027" s="10">
        <f>CHOOSE(CONTROL!$C$42, 99.6741, 99.6741) * CHOOSE(CONTROL!$C$21, $C$9, 100%, $E$9)</f>
        <v>99.674099999999996</v>
      </c>
      <c r="F1027" s="10">
        <f>CHOOSE(CONTROL!$C$42, 99.4094, 99.4094)*CHOOSE(CONTROL!$C$21, $C$9, 100%, $E$9)</f>
        <v>99.409400000000005</v>
      </c>
      <c r="G1027" s="10">
        <f>CHOOSE(CONTROL!$C$42, 99.4267, 99.4267)*CHOOSE(CONTROL!$C$21, $C$9, 100%, $E$9)</f>
        <v>99.426699999999997</v>
      </c>
      <c r="H1027" s="10">
        <f>CHOOSE(CONTROL!$C$42, 99.6627, 99.6627) * CHOOSE(CONTROL!$C$21, $C$9, 100%, $E$9)</f>
        <v>99.662700000000001</v>
      </c>
      <c r="I1027" s="10">
        <f>CHOOSE(CONTROL!$C$42, 99.4091, 99.4091)* CHOOSE(CONTROL!$C$21, $C$9, 100%, $E$9)</f>
        <v>99.409099999999995</v>
      </c>
      <c r="J1027" s="10">
        <f>CHOOSE(CONTROL!$C$42, 99.4024, 99.4024)* CHOOSE(CONTROL!$C$21, $C$9, 100%, $E$9)</f>
        <v>99.4024</v>
      </c>
      <c r="K1027" s="54">
        <f>CHOOSE(CONTROL!$C$42, 99.4052, 99.4052) * CHOOSE(CONTROL!$C$21, $C$9, 100%, $E$9)</f>
        <v>99.405199999999994</v>
      </c>
      <c r="L1027" s="10">
        <f>CHOOSE(CONTROL!$C$42, 100.2497, 100.2497) * CHOOSE(CONTROL!$C$21, $C$9, 100%, $E$9)</f>
        <v>100.2497</v>
      </c>
      <c r="M1027" s="10">
        <f>CHOOSE(CONTROL!$C$42, 98.4131, 98.4131) * CHOOSE(CONTROL!$C$21, $C$9, 100%, $E$9)</f>
        <v>98.4131</v>
      </c>
      <c r="N1027" s="10">
        <f>CHOOSE(CONTROL!$C$42, 98.4303, 98.4303) * CHOOSE(CONTROL!$C$21, $C$9, 100%, $E$9)</f>
        <v>98.430300000000003</v>
      </c>
      <c r="O1027" s="10">
        <f>CHOOSE(CONTROL!$C$42, 98.6707, 98.6707) * CHOOSE(CONTROL!$C$21, $C$9, 100%, $E$9)</f>
        <v>98.670699999999997</v>
      </c>
      <c r="P1027" s="10">
        <f>CHOOSE(CONTROL!$C$42, 98.4198, 98.4198) * CHOOSE(CONTROL!$C$21, $C$9, 100%, $E$9)</f>
        <v>98.419799999999995</v>
      </c>
      <c r="Q1027" s="10">
        <f>CHOOSE(CONTROL!$C$42, 99.266, 99.266) * CHOOSE(CONTROL!$C$21, $C$9, 100%, $E$9)</f>
        <v>99.266000000000005</v>
      </c>
      <c r="R1027" s="10">
        <f>CHOOSE(CONTROL!$C$42, 100.1012, 100.1012) * CHOOSE(CONTROL!$C$21, $C$9, 100%, $E$9)</f>
        <v>100.10120000000001</v>
      </c>
      <c r="S1027" s="10">
        <f>CHOOSE(CONTROL!$C$42, 96.5644, 96.5644) * CHOOSE(CONTROL!$C$21, $C$9, 100%, $E$9)</f>
        <v>96.564400000000006</v>
      </c>
      <c r="T1027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027" s="58">
        <f>(1000*CHOOSE(CONTROL!$C$42, 695, 695)*CHOOSE(CONTROL!$C$42, 0.5599, 0.5599)*CHOOSE(CONTROL!$C$42, 31, 31))/1000000</f>
        <v>12.063045499999998</v>
      </c>
      <c r="V1027" s="58">
        <f>(1000*CHOOSE(CONTROL!$C$42, 500, 500)*CHOOSE(CONTROL!$C$42, 0.275, 0.275)*CHOOSE(CONTROL!$C$42, 31, 31))/1000000</f>
        <v>4.2625000000000002</v>
      </c>
      <c r="W1027" s="58">
        <f>(1000*CHOOSE(CONTROL!$C$42, 0.1146, 0.1146)*CHOOSE(CONTROL!$C$42, 121.5, 121.5)*CHOOSE(CONTROL!$C$42, 31, 31))/1000000</f>
        <v>0.43164089999999994</v>
      </c>
      <c r="X1027" s="58">
        <f>(31*0.1790888*245000/1000000)+(31*0.2374*100000/1000000)</f>
        <v>2.0961194359999999</v>
      </c>
      <c r="Y1027" s="58"/>
      <c r="Z1027" s="10"/>
      <c r="AA1027" s="57"/>
      <c r="AB1027" s="51">
        <f>(B1027*194.205+C1027*267.466+D1027*133.845+E1027*53.484+F1027*40+G1027*185+H1027*0+I1027*100+J1027*300)/(194.205+267.466+133.845+53.484+0+40+185+100+300)</f>
        <v>99.45957345439561</v>
      </c>
      <c r="AC1027" s="27">
        <f>(M1027*'RAP TEMPLATE-GAS AVAILABILITY'!O1026+N1027*'RAP TEMPLATE-GAS AVAILABILITY'!P1026+O1027*'RAP TEMPLATE-GAS AVAILABILITY'!Q1026+P1027*'RAP TEMPLATE-GAS AVAILABILITY'!R1026)/('RAP TEMPLATE-GAS AVAILABILITY'!O1026+'RAP TEMPLATE-GAS AVAILABILITY'!P1026+'RAP TEMPLATE-GAS AVAILABILITY'!Q1026+'RAP TEMPLATE-GAS AVAILABILITY'!R1026)</f>
        <v>98.531807913669056</v>
      </c>
    </row>
    <row r="1028" spans="1:29" ht="15.75" x14ac:dyDescent="0.25">
      <c r="A1028" s="13">
        <v>72198</v>
      </c>
      <c r="B1028" s="10">
        <f>CHOOSE(CONTROL!$C$42, 94.5308, 94.5308) * CHOOSE(CONTROL!$C$21, $C$9, 100%, $E$9)</f>
        <v>94.530799999999999</v>
      </c>
      <c r="C1028" s="10">
        <f>CHOOSE(CONTROL!$C$42, 94.5387, 94.5387) * CHOOSE(CONTROL!$C$21, $C$9, 100%, $E$9)</f>
        <v>94.538700000000006</v>
      </c>
      <c r="D1028" s="10">
        <f>CHOOSE(CONTROL!$C$42, 94.7312, 94.7312) * CHOOSE(CONTROL!$C$21, $C$9, 100%, $E$9)</f>
        <v>94.731200000000001</v>
      </c>
      <c r="E1028" s="10">
        <f>CHOOSE(CONTROL!$C$42, 94.7623, 94.7623) * CHOOSE(CONTROL!$C$21, $C$9, 100%, $E$9)</f>
        <v>94.762299999999996</v>
      </c>
      <c r="F1028" s="10">
        <f>CHOOSE(CONTROL!$C$42, 94.4979, 94.4979)*CHOOSE(CONTROL!$C$21, $C$9, 100%, $E$9)</f>
        <v>94.497900000000001</v>
      </c>
      <c r="G1028" s="10">
        <f>CHOOSE(CONTROL!$C$42, 94.5152, 94.5152)*CHOOSE(CONTROL!$C$21, $C$9, 100%, $E$9)</f>
        <v>94.515199999999993</v>
      </c>
      <c r="H1028" s="10">
        <f>CHOOSE(CONTROL!$C$42, 94.751, 94.751) * CHOOSE(CONTROL!$C$21, $C$9, 100%, $E$9)</f>
        <v>94.751000000000005</v>
      </c>
      <c r="I1028" s="10">
        <f>CHOOSE(CONTROL!$C$42, 94.4974, 94.4974)* CHOOSE(CONTROL!$C$21, $C$9, 100%, $E$9)</f>
        <v>94.497399999999999</v>
      </c>
      <c r="J1028" s="10">
        <f>CHOOSE(CONTROL!$C$42, 94.4909, 94.4909)* CHOOSE(CONTROL!$C$21, $C$9, 100%, $E$9)</f>
        <v>94.490899999999996</v>
      </c>
      <c r="K1028" s="54">
        <f>CHOOSE(CONTROL!$C$42, 94.4935, 94.4935) * CHOOSE(CONTROL!$C$21, $C$9, 100%, $E$9)</f>
        <v>94.493499999999997</v>
      </c>
      <c r="L1028" s="10">
        <f>CHOOSE(CONTROL!$C$42, 95.338, 95.338) * CHOOSE(CONTROL!$C$21, $C$9, 100%, $E$9)</f>
        <v>95.337999999999994</v>
      </c>
      <c r="M1028" s="10">
        <f>CHOOSE(CONTROL!$C$42, 93.5511, 93.5511) * CHOOSE(CONTROL!$C$21, $C$9, 100%, $E$9)</f>
        <v>93.551100000000005</v>
      </c>
      <c r="N1028" s="10">
        <f>CHOOSE(CONTROL!$C$42, 93.5683, 93.5683) * CHOOSE(CONTROL!$C$21, $C$9, 100%, $E$9)</f>
        <v>93.568299999999994</v>
      </c>
      <c r="O1028" s="10">
        <f>CHOOSE(CONTROL!$C$42, 93.8086, 93.8086) * CHOOSE(CONTROL!$C$21, $C$9, 100%, $E$9)</f>
        <v>93.808599999999998</v>
      </c>
      <c r="P1028" s="10">
        <f>CHOOSE(CONTROL!$C$42, 93.5576, 93.5576) * CHOOSE(CONTROL!$C$21, $C$9, 100%, $E$9)</f>
        <v>93.557599999999994</v>
      </c>
      <c r="Q1028" s="10">
        <f>CHOOSE(CONTROL!$C$42, 94.4039, 94.4039) * CHOOSE(CONTROL!$C$21, $C$9, 100%, $E$9)</f>
        <v>94.403899999999993</v>
      </c>
      <c r="R1028" s="10">
        <f>CHOOSE(CONTROL!$C$42, 95.2269, 95.2269) * CHOOSE(CONTROL!$C$21, $C$9, 100%, $E$9)</f>
        <v>95.226900000000001</v>
      </c>
      <c r="S1028" s="10">
        <f>CHOOSE(CONTROL!$C$42, 91.7946, 91.7946) * CHOOSE(CONTROL!$C$21, $C$9, 100%, $E$9)</f>
        <v>91.794600000000003</v>
      </c>
      <c r="T1028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028" s="58">
        <f>(1000*CHOOSE(CONTROL!$C$42, 695, 695)*CHOOSE(CONTROL!$C$42, 0.5599, 0.5599)*CHOOSE(CONTROL!$C$42, 31, 31))/1000000</f>
        <v>12.063045499999998</v>
      </c>
      <c r="V1028" s="58">
        <f>(1000*CHOOSE(CONTROL!$C$42, 500, 500)*CHOOSE(CONTROL!$C$42, 0.275, 0.275)*CHOOSE(CONTROL!$C$42, 31, 31))/1000000</f>
        <v>4.2625000000000002</v>
      </c>
      <c r="W1028" s="58">
        <f>(1000*CHOOSE(CONTROL!$C$42, 0.1146, 0.1146)*CHOOSE(CONTROL!$C$42, 121.5, 121.5)*CHOOSE(CONTROL!$C$42, 31, 31))/1000000</f>
        <v>0.43164089999999994</v>
      </c>
      <c r="X1028" s="58">
        <f>(31*0.1790888*245000/1000000)+(31*0.2374*100000/1000000)</f>
        <v>2.0961194359999999</v>
      </c>
      <c r="Y1028" s="58"/>
      <c r="Z1028" s="10"/>
      <c r="AA1028" s="57"/>
      <c r="AB1028" s="51">
        <f>(B1028*194.205+C1028*267.466+D1028*133.845+E1028*53.484+F1028*40+G1028*185+H1028*0+I1028*100+J1028*300)/(194.205+267.466+133.845+53.484+0+40+185+100+300)</f>
        <v>94.547915435949776</v>
      </c>
      <c r="AC1028" s="27">
        <f>(M1028*'RAP TEMPLATE-GAS AVAILABILITY'!O1027+N1028*'RAP TEMPLATE-GAS AVAILABILITY'!P1027+O1028*'RAP TEMPLATE-GAS AVAILABILITY'!Q1027+P1028*'RAP TEMPLATE-GAS AVAILABILITY'!R1027)/('RAP TEMPLATE-GAS AVAILABILITY'!O1027+'RAP TEMPLATE-GAS AVAILABILITY'!P1027+'RAP TEMPLATE-GAS AVAILABILITY'!Q1027+'RAP TEMPLATE-GAS AVAILABILITY'!R1027)</f>
        <v>93.669733812949644</v>
      </c>
    </row>
    <row r="1029" spans="1:29" ht="15.75" x14ac:dyDescent="0.25">
      <c r="A1029" s="13">
        <v>72228</v>
      </c>
      <c r="B1029" s="10">
        <f>CHOOSE(CONTROL!$C$42, 88.5292, 88.5292) * CHOOSE(CONTROL!$C$21, $C$9, 100%, $E$9)</f>
        <v>88.529200000000003</v>
      </c>
      <c r="C1029" s="10">
        <f>CHOOSE(CONTROL!$C$42, 88.5371, 88.5371) * CHOOSE(CONTROL!$C$21, $C$9, 100%, $E$9)</f>
        <v>88.537099999999995</v>
      </c>
      <c r="D1029" s="10">
        <f>CHOOSE(CONTROL!$C$42, 88.7296, 88.7296) * CHOOSE(CONTROL!$C$21, $C$9, 100%, $E$9)</f>
        <v>88.729600000000005</v>
      </c>
      <c r="E1029" s="10">
        <f>CHOOSE(CONTROL!$C$42, 88.7607, 88.7607) * CHOOSE(CONTROL!$C$21, $C$9, 100%, $E$9)</f>
        <v>88.7607</v>
      </c>
      <c r="F1029" s="10">
        <f>CHOOSE(CONTROL!$C$42, 88.4961, 88.4961)*CHOOSE(CONTROL!$C$21, $C$9, 100%, $E$9)</f>
        <v>88.496099999999998</v>
      </c>
      <c r="G1029" s="10">
        <f>CHOOSE(CONTROL!$C$42, 88.5134, 88.5134)*CHOOSE(CONTROL!$C$21, $C$9, 100%, $E$9)</f>
        <v>88.513400000000004</v>
      </c>
      <c r="H1029" s="10">
        <f>CHOOSE(CONTROL!$C$42, 88.7493, 88.7493) * CHOOSE(CONTROL!$C$21, $C$9, 100%, $E$9)</f>
        <v>88.749300000000005</v>
      </c>
      <c r="I1029" s="10">
        <f>CHOOSE(CONTROL!$C$42, 88.4958, 88.4958)* CHOOSE(CONTROL!$C$21, $C$9, 100%, $E$9)</f>
        <v>88.495800000000003</v>
      </c>
      <c r="J1029" s="10">
        <f>CHOOSE(CONTROL!$C$42, 88.4891, 88.4891)* CHOOSE(CONTROL!$C$21, $C$9, 100%, $E$9)</f>
        <v>88.489099999999993</v>
      </c>
      <c r="K1029" s="54">
        <f>CHOOSE(CONTROL!$C$42, 88.4919, 88.4919) * CHOOSE(CONTROL!$C$21, $C$9, 100%, $E$9)</f>
        <v>88.491900000000001</v>
      </c>
      <c r="L1029" s="10">
        <f>CHOOSE(CONTROL!$C$42, 89.3363, 89.3363) * CHOOSE(CONTROL!$C$21, $C$9, 100%, $E$9)</f>
        <v>89.336299999999994</v>
      </c>
      <c r="M1029" s="10">
        <f>CHOOSE(CONTROL!$C$42, 87.6099, 87.6099) * CHOOSE(CONTROL!$C$21, $C$9, 100%, $E$9)</f>
        <v>87.609899999999996</v>
      </c>
      <c r="N1029" s="10">
        <f>CHOOSE(CONTROL!$C$42, 87.6271, 87.6271) * CHOOSE(CONTROL!$C$21, $C$9, 100%, $E$9)</f>
        <v>87.627099999999999</v>
      </c>
      <c r="O1029" s="10">
        <f>CHOOSE(CONTROL!$C$42, 87.8675, 87.8675) * CHOOSE(CONTROL!$C$21, $C$9, 100%, $E$9)</f>
        <v>87.867500000000007</v>
      </c>
      <c r="P1029" s="10">
        <f>CHOOSE(CONTROL!$C$42, 87.6166, 87.6166) * CHOOSE(CONTROL!$C$21, $C$9, 100%, $E$9)</f>
        <v>87.616600000000005</v>
      </c>
      <c r="Q1029" s="10">
        <f>CHOOSE(CONTROL!$C$42, 88.4628, 88.4628) * CHOOSE(CONTROL!$C$21, $C$9, 100%, $E$9)</f>
        <v>88.462800000000001</v>
      </c>
      <c r="R1029" s="10">
        <f>CHOOSE(CONTROL!$C$42, 89.271, 89.271) * CHOOSE(CONTROL!$C$21, $C$9, 100%, $E$9)</f>
        <v>89.271000000000001</v>
      </c>
      <c r="S1029" s="10">
        <f>CHOOSE(CONTROL!$C$42, 85.9665, 85.9665) * CHOOSE(CONTROL!$C$21, $C$9, 100%, $E$9)</f>
        <v>85.966499999999996</v>
      </c>
      <c r="T1029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029" s="58">
        <f>(1000*CHOOSE(CONTROL!$C$42, 695, 695)*CHOOSE(CONTROL!$C$42, 0.5599, 0.5599)*CHOOSE(CONTROL!$C$42, 30, 30))/1000000</f>
        <v>11.673914999999997</v>
      </c>
      <c r="V1029" s="58">
        <f>(1000*CHOOSE(CONTROL!$C$42, 500, 500)*CHOOSE(CONTROL!$C$42, 0.275, 0.275)*CHOOSE(CONTROL!$C$42, 30, 30))/1000000</f>
        <v>4.125</v>
      </c>
      <c r="W1029" s="58">
        <f>(1000*CHOOSE(CONTROL!$C$42, 0.1146, 0.1146)*CHOOSE(CONTROL!$C$42, 121.5, 121.5)*CHOOSE(CONTROL!$C$42, 30, 30))/1000000</f>
        <v>0.417717</v>
      </c>
      <c r="X1029" s="58">
        <f>(30*0.1790888*245000/1000000)+(30*0.2374*100000/1000000)</f>
        <v>2.0285026799999999</v>
      </c>
      <c r="Y1029" s="58"/>
      <c r="Z1029" s="10"/>
      <c r="AA1029" s="57"/>
      <c r="AB1029" s="51">
        <f>(B1029*194.205+C1029*267.466+D1029*133.845+E1029*53.484+F1029*40+G1029*185+H1029*0+I1029*100+J1029*300)/(194.205+267.466+133.845+53.484+0+40+185+100+300)</f>
        <v>88.546233018367346</v>
      </c>
      <c r="AC1029" s="27">
        <f>(M1029*'RAP TEMPLATE-GAS AVAILABILITY'!O1028+N1029*'RAP TEMPLATE-GAS AVAILABILITY'!P1028+O1029*'RAP TEMPLATE-GAS AVAILABILITY'!Q1028+P1029*'RAP TEMPLATE-GAS AVAILABILITY'!R1028)/('RAP TEMPLATE-GAS AVAILABILITY'!O1028+'RAP TEMPLATE-GAS AVAILABILITY'!P1028+'RAP TEMPLATE-GAS AVAILABILITY'!Q1028+'RAP TEMPLATE-GAS AVAILABILITY'!R1028)</f>
        <v>87.72860791366908</v>
      </c>
    </row>
    <row r="1030" spans="1:29" ht="15.75" x14ac:dyDescent="0.25">
      <c r="A1030" s="13">
        <v>72259</v>
      </c>
      <c r="B1030" s="10">
        <f>CHOOSE(CONTROL!$C$42, 86.7301, 86.7301) * CHOOSE(CONTROL!$C$21, $C$9, 100%, $E$9)</f>
        <v>86.730099999999993</v>
      </c>
      <c r="C1030" s="10">
        <f>CHOOSE(CONTROL!$C$42, 86.7353, 86.7353) * CHOOSE(CONTROL!$C$21, $C$9, 100%, $E$9)</f>
        <v>86.735299999999995</v>
      </c>
      <c r="D1030" s="10">
        <f>CHOOSE(CONTROL!$C$42, 86.9327, 86.9327) * CHOOSE(CONTROL!$C$21, $C$9, 100%, $E$9)</f>
        <v>86.932699999999997</v>
      </c>
      <c r="E1030" s="10">
        <f>CHOOSE(CONTROL!$C$42, 86.9615, 86.9615) * CHOOSE(CONTROL!$C$21, $C$9, 100%, $E$9)</f>
        <v>86.961500000000001</v>
      </c>
      <c r="F1030" s="10">
        <f>CHOOSE(CONTROL!$C$42, 86.699, 86.699)*CHOOSE(CONTROL!$C$21, $C$9, 100%, $E$9)</f>
        <v>86.698999999999998</v>
      </c>
      <c r="G1030" s="10">
        <f>CHOOSE(CONTROL!$C$42, 86.7159, 86.7159)*CHOOSE(CONTROL!$C$21, $C$9, 100%, $E$9)</f>
        <v>86.715900000000005</v>
      </c>
      <c r="H1030" s="10">
        <f>CHOOSE(CONTROL!$C$42, 86.9519, 86.9519) * CHOOSE(CONTROL!$C$21, $C$9, 100%, $E$9)</f>
        <v>86.951899999999995</v>
      </c>
      <c r="I1030" s="10">
        <f>CHOOSE(CONTROL!$C$42, 86.6984, 86.6984)* CHOOSE(CONTROL!$C$21, $C$9, 100%, $E$9)</f>
        <v>86.698400000000007</v>
      </c>
      <c r="J1030" s="10">
        <f>CHOOSE(CONTROL!$C$42, 86.692, 86.692)* CHOOSE(CONTROL!$C$21, $C$9, 100%, $E$9)</f>
        <v>86.691999999999993</v>
      </c>
      <c r="K1030" s="54">
        <f>CHOOSE(CONTROL!$C$42, 86.6945, 86.6945) * CHOOSE(CONTROL!$C$21, $C$9, 100%, $E$9)</f>
        <v>86.694500000000005</v>
      </c>
      <c r="L1030" s="10">
        <f>CHOOSE(CONTROL!$C$42, 87.5389, 87.5389) * CHOOSE(CONTROL!$C$21, $C$9, 100%, $E$9)</f>
        <v>87.538899999999998</v>
      </c>
      <c r="M1030" s="10">
        <f>CHOOSE(CONTROL!$C$42, 85.8309, 85.8309) * CHOOSE(CONTROL!$C$21, $C$9, 100%, $E$9)</f>
        <v>85.8309</v>
      </c>
      <c r="N1030" s="10">
        <f>CHOOSE(CONTROL!$C$42, 85.8477, 85.8477) * CHOOSE(CONTROL!$C$21, $C$9, 100%, $E$9)</f>
        <v>85.847700000000003</v>
      </c>
      <c r="O1030" s="10">
        <f>CHOOSE(CONTROL!$C$42, 86.0883, 86.0883) * CHOOSE(CONTROL!$C$21, $C$9, 100%, $E$9)</f>
        <v>86.088300000000004</v>
      </c>
      <c r="P1030" s="10">
        <f>CHOOSE(CONTROL!$C$42, 85.8373, 85.8373) * CHOOSE(CONTROL!$C$21, $C$9, 100%, $E$9)</f>
        <v>85.837299999999999</v>
      </c>
      <c r="Q1030" s="10">
        <f>CHOOSE(CONTROL!$C$42, 86.6836, 86.6836) * CHOOSE(CONTROL!$C$21, $C$9, 100%, $E$9)</f>
        <v>86.683599999999998</v>
      </c>
      <c r="R1030" s="10">
        <f>CHOOSE(CONTROL!$C$42, 87.4873, 87.4873) * CHOOSE(CONTROL!$C$21, $C$9, 100%, $E$9)</f>
        <v>87.487300000000005</v>
      </c>
      <c r="S1030" s="10">
        <f>CHOOSE(CONTROL!$C$42, 84.221, 84.221) * CHOOSE(CONTROL!$C$21, $C$9, 100%, $E$9)</f>
        <v>84.221000000000004</v>
      </c>
      <c r="T1030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030" s="58">
        <f>(1000*CHOOSE(CONTROL!$C$42, 695, 695)*CHOOSE(CONTROL!$C$42, 0.5599, 0.5599)*CHOOSE(CONTROL!$C$42, 31, 31))/1000000</f>
        <v>12.063045499999998</v>
      </c>
      <c r="V1030" s="58">
        <f>(1000*CHOOSE(CONTROL!$C$42, 500, 500)*CHOOSE(CONTROL!$C$42, 0.275, 0.275)*CHOOSE(CONTROL!$C$42, 31, 31))/1000000</f>
        <v>4.2625000000000002</v>
      </c>
      <c r="W1030" s="58">
        <f>(1000*CHOOSE(CONTROL!$C$42, 0.1146, 0.1146)*CHOOSE(CONTROL!$C$42, 121.5, 121.5)*CHOOSE(CONTROL!$C$42, 31, 31))/1000000</f>
        <v>0.43164089999999994</v>
      </c>
      <c r="X1030" s="58">
        <f>(31*0.1790888*245000/1000000)+(31*0.2374*100000/1000000)</f>
        <v>2.0961194359999999</v>
      </c>
      <c r="Y1030" s="58"/>
      <c r="Z1030" s="10"/>
      <c r="AA1030" s="57"/>
      <c r="AB1030" s="51">
        <f>(B1030*131.881+C1030*277.167+D1030*79.08+E1030*125.872+F1030*40+G1030*185+H1030*0+I1030*100+J1030*300)/(131.881+277.167+79.08+125.872+0+40+185+100+300)</f>
        <v>86.752794638579488</v>
      </c>
      <c r="AC1030" s="27">
        <f>(M1030*'RAP TEMPLATE-GAS AVAILABILITY'!O1029+N1030*'RAP TEMPLATE-GAS AVAILABILITY'!P1029+O1030*'RAP TEMPLATE-GAS AVAILABILITY'!Q1029+P1030*'RAP TEMPLATE-GAS AVAILABILITY'!R1029)/('RAP TEMPLATE-GAS AVAILABILITY'!O1029+'RAP TEMPLATE-GAS AVAILABILITY'!P1029+'RAP TEMPLATE-GAS AVAILABILITY'!Q1029+'RAP TEMPLATE-GAS AVAILABILITY'!R1029)</f>
        <v>85.949451079136679</v>
      </c>
    </row>
    <row r="1031" spans="1:29" ht="15.75" x14ac:dyDescent="0.25">
      <c r="A1031" s="13">
        <v>72289</v>
      </c>
      <c r="B1031" s="10">
        <f>CHOOSE(CONTROL!$C$42, 89.0144, 89.0144) * CHOOSE(CONTROL!$C$21, $C$9, 100%, $E$9)</f>
        <v>89.014399999999995</v>
      </c>
      <c r="C1031" s="10">
        <f>CHOOSE(CONTROL!$C$42, 89.0194, 89.0194) * CHOOSE(CONTROL!$C$21, $C$9, 100%, $E$9)</f>
        <v>89.019400000000005</v>
      </c>
      <c r="D1031" s="10">
        <f>CHOOSE(CONTROL!$C$42, 89.049, 89.049) * CHOOSE(CONTROL!$C$21, $C$9, 100%, $E$9)</f>
        <v>89.049000000000007</v>
      </c>
      <c r="E1031" s="10">
        <f>CHOOSE(CONTROL!$C$42, 89.0828, 89.0828) * CHOOSE(CONTROL!$C$21, $C$9, 100%, $E$9)</f>
        <v>89.082800000000006</v>
      </c>
      <c r="F1031" s="10">
        <f>CHOOSE(CONTROL!$C$42, 88.9812, 88.9812)*CHOOSE(CONTROL!$C$21, $C$9, 100%, $E$9)</f>
        <v>88.981200000000001</v>
      </c>
      <c r="G1031" s="10">
        <f>CHOOSE(CONTROL!$C$42, 88.9984, 88.9984)*CHOOSE(CONTROL!$C$21, $C$9, 100%, $E$9)</f>
        <v>88.998400000000004</v>
      </c>
      <c r="H1031" s="10">
        <f>CHOOSE(CONTROL!$C$42, 89.072, 89.072) * CHOOSE(CONTROL!$C$21, $C$9, 100%, $E$9)</f>
        <v>89.072000000000003</v>
      </c>
      <c r="I1031" s="10">
        <f>CHOOSE(CONTROL!$C$42, 88.978, 88.978)* CHOOSE(CONTROL!$C$21, $C$9, 100%, $E$9)</f>
        <v>88.977999999999994</v>
      </c>
      <c r="J1031" s="10">
        <f>CHOOSE(CONTROL!$C$42, 88.9742, 88.9742)* CHOOSE(CONTROL!$C$21, $C$9, 100%, $E$9)</f>
        <v>88.974199999999996</v>
      </c>
      <c r="K1031" s="54">
        <f>CHOOSE(CONTROL!$C$42, 88.9742, 88.9742) * CHOOSE(CONTROL!$C$21, $C$9, 100%, $E$9)</f>
        <v>88.974199999999996</v>
      </c>
      <c r="L1031" s="10">
        <f>CHOOSE(CONTROL!$C$42, 89.659, 89.659) * CHOOSE(CONTROL!$C$21, $C$9, 100%, $E$9)</f>
        <v>89.659000000000006</v>
      </c>
      <c r="M1031" s="10">
        <f>CHOOSE(CONTROL!$C$42, 88.0902, 88.0902) * CHOOSE(CONTROL!$C$21, $C$9, 100%, $E$9)</f>
        <v>88.090199999999996</v>
      </c>
      <c r="N1031" s="10">
        <f>CHOOSE(CONTROL!$C$42, 88.1071, 88.1071) * CHOOSE(CONTROL!$C$21, $C$9, 100%, $E$9)</f>
        <v>88.107100000000003</v>
      </c>
      <c r="O1031" s="10">
        <f>CHOOSE(CONTROL!$C$42, 88.1869, 88.1869) * CHOOSE(CONTROL!$C$21, $C$9, 100%, $E$9)</f>
        <v>88.186899999999994</v>
      </c>
      <c r="P1031" s="10">
        <f>CHOOSE(CONTROL!$C$42, 88.094, 88.094) * CHOOSE(CONTROL!$C$21, $C$9, 100%, $E$9)</f>
        <v>88.093999999999994</v>
      </c>
      <c r="Q1031" s="10">
        <f>CHOOSE(CONTROL!$C$42, 88.7822, 88.7822) * CHOOSE(CONTROL!$C$21, $C$9, 100%, $E$9)</f>
        <v>88.782200000000003</v>
      </c>
      <c r="R1031" s="10">
        <f>CHOOSE(CONTROL!$C$42, 89.5912, 89.5912) * CHOOSE(CONTROL!$C$21, $C$9, 100%, $E$9)</f>
        <v>89.591200000000001</v>
      </c>
      <c r="S1031" s="10">
        <f>CHOOSE(CONTROL!$C$42, 86.4398, 86.4398) * CHOOSE(CONTROL!$C$21, $C$9, 100%, $E$9)</f>
        <v>86.439800000000005</v>
      </c>
      <c r="T1031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031" s="58">
        <f>(1000*CHOOSE(CONTROL!$C$42, 695, 695)*CHOOSE(CONTROL!$C$42, 0.5599, 0.5599)*CHOOSE(CONTROL!$C$42, 30, 30))/1000000</f>
        <v>11.673914999999997</v>
      </c>
      <c r="V1031" s="58">
        <f>(1000*CHOOSE(CONTROL!$C$42, 500, 500)*CHOOSE(CONTROL!$C$42, 0.275, 0.275)*CHOOSE(CONTROL!$C$42, 30, 30))/1000000</f>
        <v>4.125</v>
      </c>
      <c r="W1031" s="58">
        <f>(1000*CHOOSE(CONTROL!$C$42, 0.1146, 0.1146)*CHOOSE(CONTROL!$C$42, 121.5, 121.5)*CHOOSE(CONTROL!$C$42, 30, 30))/1000000</f>
        <v>0.417717</v>
      </c>
      <c r="X1031" s="58">
        <f>(30*0.1790888*100000/1000000)+(30*0.2374*100000/1000000)</f>
        <v>1.2494664</v>
      </c>
      <c r="Y1031" s="58"/>
      <c r="Z1031" s="10"/>
      <c r="AA1031" s="57"/>
      <c r="AB1031" s="51">
        <f>(B1031*122.58+C1031*297.941+D1031*89.177+E1031*40.302+F1031*40+G1031*160+H1031*0+I1031*100+J1031*300)/(122.58+297.941+89.177+40.302+0+40+160+100+300)</f>
        <v>89.003742509565214</v>
      </c>
      <c r="AC1031" s="27">
        <f>(M1031*'RAP TEMPLATE-GAS AVAILABILITY'!O1030+N1031*'RAP TEMPLATE-GAS AVAILABILITY'!P1030+O1031*'RAP TEMPLATE-GAS AVAILABILITY'!Q1030+P1031*'RAP TEMPLATE-GAS AVAILABILITY'!R1030)/('RAP TEMPLATE-GAS AVAILABILITY'!O1030+'RAP TEMPLATE-GAS AVAILABILITY'!P1030+'RAP TEMPLATE-GAS AVAILABILITY'!Q1030+'RAP TEMPLATE-GAS AVAILABILITY'!R1030)</f>
        <v>88.135547482014388</v>
      </c>
    </row>
    <row r="1032" spans="1:29" ht="15.75" x14ac:dyDescent="0.25">
      <c r="A1032" s="13">
        <v>72320</v>
      </c>
      <c r="B1032" s="10">
        <f>CHOOSE(CONTROL!$C$42, 95.0832, 95.0832) * CHOOSE(CONTROL!$C$21, $C$9, 100%, $E$9)</f>
        <v>95.083200000000005</v>
      </c>
      <c r="C1032" s="10">
        <f>CHOOSE(CONTROL!$C$42, 95.0882, 95.0882) * CHOOSE(CONTROL!$C$21, $C$9, 100%, $E$9)</f>
        <v>95.088200000000001</v>
      </c>
      <c r="D1032" s="10">
        <f>CHOOSE(CONTROL!$C$42, 95.1178, 95.1178) * CHOOSE(CONTROL!$C$21, $C$9, 100%, $E$9)</f>
        <v>95.117800000000003</v>
      </c>
      <c r="E1032" s="10">
        <f>CHOOSE(CONTROL!$C$42, 95.1516, 95.1516) * CHOOSE(CONTROL!$C$21, $C$9, 100%, $E$9)</f>
        <v>95.151600000000002</v>
      </c>
      <c r="F1032" s="10">
        <f>CHOOSE(CONTROL!$C$42, 95.0514, 95.0514)*CHOOSE(CONTROL!$C$21, $C$9, 100%, $E$9)</f>
        <v>95.051400000000001</v>
      </c>
      <c r="G1032" s="10">
        <f>CHOOSE(CONTROL!$C$42, 95.0689, 95.0689)*CHOOSE(CONTROL!$C$21, $C$9, 100%, $E$9)</f>
        <v>95.068899999999999</v>
      </c>
      <c r="H1032" s="10">
        <f>CHOOSE(CONTROL!$C$42, 95.1407, 95.1407) * CHOOSE(CONTROL!$C$21, $C$9, 100%, $E$9)</f>
        <v>95.140699999999995</v>
      </c>
      <c r="I1032" s="10">
        <f>CHOOSE(CONTROL!$C$42, 95.0468, 95.0468)* CHOOSE(CONTROL!$C$21, $C$9, 100%, $E$9)</f>
        <v>95.046800000000005</v>
      </c>
      <c r="J1032" s="10">
        <f>CHOOSE(CONTROL!$C$42, 95.0444, 95.0444)* CHOOSE(CONTROL!$C$21, $C$9, 100%, $E$9)</f>
        <v>95.044399999999996</v>
      </c>
      <c r="K1032" s="54">
        <f>CHOOSE(CONTROL!$C$42, 95.0429, 95.0429) * CHOOSE(CONTROL!$C$21, $C$9, 100%, $E$9)</f>
        <v>95.042900000000003</v>
      </c>
      <c r="L1032" s="10">
        <f>CHOOSE(CONTROL!$C$42, 95.7277, 95.7277) * CHOOSE(CONTROL!$C$21, $C$9, 100%, $E$9)</f>
        <v>95.727699999999999</v>
      </c>
      <c r="M1032" s="10">
        <f>CHOOSE(CONTROL!$C$42, 94.0991, 94.0991) * CHOOSE(CONTROL!$C$21, $C$9, 100%, $E$9)</f>
        <v>94.099100000000007</v>
      </c>
      <c r="N1032" s="10">
        <f>CHOOSE(CONTROL!$C$42, 94.1164, 94.1164) * CHOOSE(CONTROL!$C$21, $C$9, 100%, $E$9)</f>
        <v>94.116399999999999</v>
      </c>
      <c r="O1032" s="10">
        <f>CHOOSE(CONTROL!$C$42, 94.1944, 94.1944) * CHOOSE(CONTROL!$C$21, $C$9, 100%, $E$9)</f>
        <v>94.194400000000002</v>
      </c>
      <c r="P1032" s="10">
        <f>CHOOSE(CONTROL!$C$42, 94.1015, 94.1015) * CHOOSE(CONTROL!$C$21, $C$9, 100%, $E$9)</f>
        <v>94.101500000000001</v>
      </c>
      <c r="Q1032" s="10">
        <f>CHOOSE(CONTROL!$C$42, 94.7897, 94.7897) * CHOOSE(CONTROL!$C$21, $C$9, 100%, $E$9)</f>
        <v>94.789699999999996</v>
      </c>
      <c r="R1032" s="10">
        <f>CHOOSE(CONTROL!$C$42, 95.6137, 95.6137) * CHOOSE(CONTROL!$C$21, $C$9, 100%, $E$9)</f>
        <v>95.613699999999994</v>
      </c>
      <c r="S1032" s="10">
        <f>CHOOSE(CONTROL!$C$42, 92.3332, 92.3332) * CHOOSE(CONTROL!$C$21, $C$9, 100%, $E$9)</f>
        <v>92.333200000000005</v>
      </c>
      <c r="T1032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032" s="58">
        <f>(1000*CHOOSE(CONTROL!$C$42, 695, 695)*CHOOSE(CONTROL!$C$42, 0.5599, 0.5599)*CHOOSE(CONTROL!$C$42, 31, 31))/1000000</f>
        <v>12.063045499999998</v>
      </c>
      <c r="V1032" s="58">
        <f>(1000*CHOOSE(CONTROL!$C$42, 500, 500)*CHOOSE(CONTROL!$C$42, 0.275, 0.275)*CHOOSE(CONTROL!$C$42, 31, 31))/1000000</f>
        <v>4.2625000000000002</v>
      </c>
      <c r="W1032" s="58">
        <f>(1000*CHOOSE(CONTROL!$C$42, 0.1146, 0.1146)*CHOOSE(CONTROL!$C$42, 121.5, 121.5)*CHOOSE(CONTROL!$C$42, 31, 31))/1000000</f>
        <v>0.43164089999999994</v>
      </c>
      <c r="X1032" s="58">
        <f>(31*0.1790888*100000/1000000)+(31*0.2374*100000/1000000)</f>
        <v>1.2911152800000001</v>
      </c>
      <c r="Y1032" s="58"/>
      <c r="Z1032" s="10"/>
      <c r="AA1032" s="57"/>
      <c r="AB1032" s="51">
        <f>(B1032*122.58+C1032*297.941+D1032*89.177+E1032*40.302+F1032*40+G1032*160+H1032*0+I1032*100+J1032*300)/(122.58+297.941+89.177+40.302+0+40+160+100+300)</f>
        <v>95.073192944347824</v>
      </c>
      <c r="AC1032" s="27">
        <f>(M1032*'RAP TEMPLATE-GAS AVAILABILITY'!O1031+N1032*'RAP TEMPLATE-GAS AVAILABILITY'!P1031+O1032*'RAP TEMPLATE-GAS AVAILABILITY'!Q1031+P1032*'RAP TEMPLATE-GAS AVAILABILITY'!R1031)/('RAP TEMPLATE-GAS AVAILABILITY'!O1031+'RAP TEMPLATE-GAS AVAILABILITY'!P1031+'RAP TEMPLATE-GAS AVAILABILITY'!Q1031+'RAP TEMPLATE-GAS AVAILABILITY'!R1031)</f>
        <v>94.143634532374108</v>
      </c>
    </row>
    <row r="1033" spans="1:29" ht="15.75" x14ac:dyDescent="0.25">
      <c r="A1033" s="13">
        <v>72351</v>
      </c>
      <c r="B1033" s="10">
        <f>CHOOSE(CONTROL!$C$42, 102.8738, 102.8738) * CHOOSE(CONTROL!$C$21, $C$9, 100%, $E$9)</f>
        <v>102.8738</v>
      </c>
      <c r="C1033" s="10">
        <f>CHOOSE(CONTROL!$C$42, 102.8788, 102.8788) * CHOOSE(CONTROL!$C$21, $C$9, 100%, $E$9)</f>
        <v>102.8788</v>
      </c>
      <c r="D1033" s="10">
        <f>CHOOSE(CONTROL!$C$42, 102.929, 102.929) * CHOOSE(CONTROL!$C$21, $C$9, 100%, $E$9)</f>
        <v>102.929</v>
      </c>
      <c r="E1033" s="10">
        <f>CHOOSE(CONTROL!$C$42, 102.9627, 102.9627) * CHOOSE(CONTROL!$C$21, $C$9, 100%, $E$9)</f>
        <v>102.9627</v>
      </c>
      <c r="F1033" s="10">
        <f>CHOOSE(CONTROL!$C$42, 102.8392, 102.8392)*CHOOSE(CONTROL!$C$21, $C$9, 100%, $E$9)</f>
        <v>102.83920000000001</v>
      </c>
      <c r="G1033" s="10">
        <f>CHOOSE(CONTROL!$C$42, 102.8567, 102.8567)*CHOOSE(CONTROL!$C$21, $C$9, 100%, $E$9)</f>
        <v>102.8567</v>
      </c>
      <c r="H1033" s="10">
        <f>CHOOSE(CONTROL!$C$42, 102.9519, 102.9519) * CHOOSE(CONTROL!$C$21, $C$9, 100%, $E$9)</f>
        <v>102.95189999999999</v>
      </c>
      <c r="I1033" s="10">
        <f>CHOOSE(CONTROL!$C$42, 102.8477, 102.8477)* CHOOSE(CONTROL!$C$21, $C$9, 100%, $E$9)</f>
        <v>102.8477</v>
      </c>
      <c r="J1033" s="10">
        <f>CHOOSE(CONTROL!$C$42, 102.8322, 102.8322)* CHOOSE(CONTROL!$C$21, $C$9, 100%, $E$9)</f>
        <v>102.8322</v>
      </c>
      <c r="K1033" s="54">
        <f>CHOOSE(CONTROL!$C$42, 102.8438, 102.8438) * CHOOSE(CONTROL!$C$21, $C$9, 100%, $E$9)</f>
        <v>102.8438</v>
      </c>
      <c r="L1033" s="10">
        <f>CHOOSE(CONTROL!$C$42, 103.5389, 103.5389) * CHOOSE(CONTROL!$C$21, $C$9, 100%, $E$9)</f>
        <v>103.5389</v>
      </c>
      <c r="M1033" s="10">
        <f>CHOOSE(CONTROL!$C$42, 101.8082, 101.8082) * CHOOSE(CONTROL!$C$21, $C$9, 100%, $E$9)</f>
        <v>101.8082</v>
      </c>
      <c r="N1033" s="10">
        <f>CHOOSE(CONTROL!$C$42, 101.8256, 101.8256) * CHOOSE(CONTROL!$C$21, $C$9, 100%, $E$9)</f>
        <v>101.82559999999999</v>
      </c>
      <c r="O1033" s="10">
        <f>CHOOSE(CONTROL!$C$42, 101.9268, 101.9268) * CHOOSE(CONTROL!$C$21, $C$9, 100%, $E$9)</f>
        <v>101.9268</v>
      </c>
      <c r="P1033" s="10">
        <f>CHOOSE(CONTROL!$C$42, 101.8237, 101.8237) * CHOOSE(CONTROL!$C$21, $C$9, 100%, $E$9)</f>
        <v>101.8237</v>
      </c>
      <c r="Q1033" s="10">
        <f>CHOOSE(CONTROL!$C$42, 102.5221, 102.5221) * CHOOSE(CONTROL!$C$21, $C$9, 100%, $E$9)</f>
        <v>102.52209999999999</v>
      </c>
      <c r="R1033" s="10">
        <f>CHOOSE(CONTROL!$C$42, 103.3654, 103.3654) * CHOOSE(CONTROL!$C$21, $C$9, 100%, $E$9)</f>
        <v>103.36539999999999</v>
      </c>
      <c r="S1033" s="10">
        <f>CHOOSE(CONTROL!$C$42, 99.8986, 99.8986) * CHOOSE(CONTROL!$C$21, $C$9, 100%, $E$9)</f>
        <v>99.898600000000002</v>
      </c>
      <c r="T1033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033" s="58">
        <f>(1000*CHOOSE(CONTROL!$C$42, 695, 695)*CHOOSE(CONTROL!$C$42, 0.5599, 0.5599)*CHOOSE(CONTROL!$C$42, 31, 31))/1000000</f>
        <v>12.063045499999998</v>
      </c>
      <c r="V1033" s="58">
        <f>(1000*CHOOSE(CONTROL!$C$42, 500, 500)*CHOOSE(CONTROL!$C$42, 0.275, 0.275)*CHOOSE(CONTROL!$C$42, 31, 31))/1000000</f>
        <v>4.2625000000000002</v>
      </c>
      <c r="W1033" s="58">
        <f>(1000*CHOOSE(CONTROL!$C$42, 0.1146, 0.1146)*CHOOSE(CONTROL!$C$42, 121.5, 121.5)*CHOOSE(CONTROL!$C$42, 31, 31))/1000000</f>
        <v>0.43164089999999994</v>
      </c>
      <c r="X1033" s="58">
        <f>(31*0.1790888*100000/1000000)+(31*0.2374*100000/1000000)</f>
        <v>1.2911152800000001</v>
      </c>
      <c r="Y1033" s="58"/>
      <c r="Z1033" s="10"/>
      <c r="AA1033" s="57"/>
      <c r="AB1033" s="51">
        <f>(B1033*122.58+C1033*297.941+D1033*89.177+E1033*40.302+F1033*40+G1033*160+H1033*0+I1033*100+J1033*300)/(122.58+297.941+89.177+40.302+0+40+160+100+300)</f>
        <v>102.86578706365218</v>
      </c>
      <c r="AC1033" s="27">
        <f>(M1033*'RAP TEMPLATE-GAS AVAILABILITY'!O1032+N1033*'RAP TEMPLATE-GAS AVAILABILITY'!P1032+O1033*'RAP TEMPLATE-GAS AVAILABILITY'!Q1032+P1033*'RAP TEMPLATE-GAS AVAILABILITY'!R1032)/('RAP TEMPLATE-GAS AVAILABILITY'!O1032+'RAP TEMPLATE-GAS AVAILABILITY'!P1032+'RAP TEMPLATE-GAS AVAILABILITY'!Q1032+'RAP TEMPLATE-GAS AVAILABILITY'!R1032)</f>
        <v>101.8651856115108</v>
      </c>
    </row>
    <row r="1034" spans="1:29" ht="15.75" x14ac:dyDescent="0.25">
      <c r="A1034" s="13">
        <v>72379</v>
      </c>
      <c r="B1034" s="10">
        <f>CHOOSE(CONTROL!$C$42, 104.7051, 104.7051) * CHOOSE(CONTROL!$C$21, $C$9, 100%, $E$9)</f>
        <v>104.7051</v>
      </c>
      <c r="C1034" s="10">
        <f>CHOOSE(CONTROL!$C$42, 104.71, 104.71) * CHOOSE(CONTROL!$C$21, $C$9, 100%, $E$9)</f>
        <v>104.71</v>
      </c>
      <c r="D1034" s="10">
        <f>CHOOSE(CONTROL!$C$42, 104.7705, 104.7705) * CHOOSE(CONTROL!$C$21, $C$9, 100%, $E$9)</f>
        <v>104.7705</v>
      </c>
      <c r="E1034" s="10">
        <f>CHOOSE(CONTROL!$C$42, 104.8043, 104.8043) * CHOOSE(CONTROL!$C$21, $C$9, 100%, $E$9)</f>
        <v>104.8043</v>
      </c>
      <c r="F1034" s="10">
        <f>CHOOSE(CONTROL!$C$42, 104.6983, 104.6983)*CHOOSE(CONTROL!$C$21, $C$9, 100%, $E$9)</f>
        <v>104.6983</v>
      </c>
      <c r="G1034" s="10">
        <f>CHOOSE(CONTROL!$C$42, 104.7156, 104.7156)*CHOOSE(CONTROL!$C$21, $C$9, 100%, $E$9)</f>
        <v>104.71559999999999</v>
      </c>
      <c r="H1034" s="10">
        <f>CHOOSE(CONTROL!$C$42, 104.7935, 104.7935) * CHOOSE(CONTROL!$C$21, $C$9, 100%, $E$9)</f>
        <v>104.79349999999999</v>
      </c>
      <c r="I1034" s="10">
        <f>CHOOSE(CONTROL!$C$42, 104.6918, 104.6918)* CHOOSE(CONTROL!$C$21, $C$9, 100%, $E$9)</f>
        <v>104.6918</v>
      </c>
      <c r="J1034" s="10">
        <f>CHOOSE(CONTROL!$C$42, 104.6913, 104.6913)* CHOOSE(CONTROL!$C$21, $C$9, 100%, $E$9)</f>
        <v>104.6913</v>
      </c>
      <c r="K1034" s="54">
        <f>CHOOSE(CONTROL!$C$42, 104.6879, 104.6879) * CHOOSE(CONTROL!$C$21, $C$9, 100%, $E$9)</f>
        <v>104.6879</v>
      </c>
      <c r="L1034" s="10">
        <f>CHOOSE(CONTROL!$C$42, 105.3805, 105.3805) * CHOOSE(CONTROL!$C$21, $C$9, 100%, $E$9)</f>
        <v>105.3805</v>
      </c>
      <c r="M1034" s="10">
        <f>CHOOSE(CONTROL!$C$42, 103.6486, 103.6486) * CHOOSE(CONTROL!$C$21, $C$9, 100%, $E$9)</f>
        <v>103.6486</v>
      </c>
      <c r="N1034" s="10">
        <f>CHOOSE(CONTROL!$C$42, 103.6657, 103.6657) * CHOOSE(CONTROL!$C$21, $C$9, 100%, $E$9)</f>
        <v>103.6657</v>
      </c>
      <c r="O1034" s="10">
        <f>CHOOSE(CONTROL!$C$42, 103.7498, 103.7498) * CHOOSE(CONTROL!$C$21, $C$9, 100%, $E$9)</f>
        <v>103.74979999999999</v>
      </c>
      <c r="P1034" s="10">
        <f>CHOOSE(CONTROL!$C$42, 103.6492, 103.6492) * CHOOSE(CONTROL!$C$21, $C$9, 100%, $E$9)</f>
        <v>103.64919999999999</v>
      </c>
      <c r="Q1034" s="10">
        <f>CHOOSE(CONTROL!$C$42, 104.3451, 104.3451) * CHOOSE(CONTROL!$C$21, $C$9, 100%, $E$9)</f>
        <v>104.3451</v>
      </c>
      <c r="R1034" s="10">
        <f>CHOOSE(CONTROL!$C$42, 105.1929, 105.1929) * CHOOSE(CONTROL!$C$21, $C$9, 100%, $E$9)</f>
        <v>105.19289999999999</v>
      </c>
      <c r="S1034" s="10">
        <f>CHOOSE(CONTROL!$C$42, 101.6769, 101.6769) * CHOOSE(CONTROL!$C$21, $C$9, 100%, $E$9)</f>
        <v>101.6769</v>
      </c>
      <c r="T1034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1034" s="58">
        <f>(1000*CHOOSE(CONTROL!$C$42, 695, 695)*CHOOSE(CONTROL!$C$42, 0.5599, 0.5599)*CHOOSE(CONTROL!$C$42, 28, 28))/1000000</f>
        <v>10.895653999999999</v>
      </c>
      <c r="V1034" s="58">
        <f>(1000*CHOOSE(CONTROL!$C$42, 500, 500)*CHOOSE(CONTROL!$C$42, 0.275, 0.275)*CHOOSE(CONTROL!$C$42, 28, 28))/1000000</f>
        <v>3.85</v>
      </c>
      <c r="W1034" s="58">
        <f>(1000*CHOOSE(CONTROL!$C$42, 0.1146, 0.1146)*CHOOSE(CONTROL!$C$42, 121.5, 121.5)*CHOOSE(CONTROL!$C$42, 28, 28))/1000000</f>
        <v>0.38986920000000003</v>
      </c>
      <c r="X1034" s="58">
        <f>(28*0.1790888*100000/1000000)+(28*0.2374*100000/1000000)</f>
        <v>1.16616864</v>
      </c>
      <c r="Y1034" s="58"/>
      <c r="Z1034" s="10"/>
      <c r="AA1034" s="57"/>
      <c r="AB1034" s="51">
        <f>(B1034*122.58+C1034*297.941+D1034*89.177+E1034*40.302+F1034*40+G1034*160+H1034*0+I1034*100+J1034*300)/(122.58+297.941+89.177+40.302+0+40+160+100+300)</f>
        <v>104.71138525660869</v>
      </c>
      <c r="AC1034" s="27">
        <f>(M1034*'RAP TEMPLATE-GAS AVAILABILITY'!O1033+N1034*'RAP TEMPLATE-GAS AVAILABILITY'!P1033+O1034*'RAP TEMPLATE-GAS AVAILABILITY'!Q1033+P1034*'RAP TEMPLATE-GAS AVAILABILITY'!R1033)/('RAP TEMPLATE-GAS AVAILABILITY'!O1033+'RAP TEMPLATE-GAS AVAILABILITY'!P1033+'RAP TEMPLATE-GAS AVAILABILITY'!Q1033+'RAP TEMPLATE-GAS AVAILABILITY'!R1033)</f>
        <v>103.69553812949641</v>
      </c>
    </row>
    <row r="1035" spans="1:29" ht="15.75" x14ac:dyDescent="0.25">
      <c r="A1035" s="13">
        <v>72410</v>
      </c>
      <c r="B1035" s="10">
        <f>CHOOSE(CONTROL!$C$42, 101.7325, 101.7325) * CHOOSE(CONTROL!$C$21, $C$9, 100%, $E$9)</f>
        <v>101.7325</v>
      </c>
      <c r="C1035" s="10">
        <f>CHOOSE(CONTROL!$C$42, 101.7374, 101.7374) * CHOOSE(CONTROL!$C$21, $C$9, 100%, $E$9)</f>
        <v>101.73739999999999</v>
      </c>
      <c r="D1035" s="10">
        <f>CHOOSE(CONTROL!$C$42, 101.7979, 101.7979) * CHOOSE(CONTROL!$C$21, $C$9, 100%, $E$9)</f>
        <v>101.7979</v>
      </c>
      <c r="E1035" s="10">
        <f>CHOOSE(CONTROL!$C$42, 101.8317, 101.8317) * CHOOSE(CONTROL!$C$21, $C$9, 100%, $E$9)</f>
        <v>101.8317</v>
      </c>
      <c r="F1035" s="10">
        <f>CHOOSE(CONTROL!$C$42, 101.7202, 101.7202)*CHOOSE(CONTROL!$C$21, $C$9, 100%, $E$9)</f>
        <v>101.72020000000001</v>
      </c>
      <c r="G1035" s="10">
        <f>CHOOSE(CONTROL!$C$42, 101.7374, 101.7374)*CHOOSE(CONTROL!$C$21, $C$9, 100%, $E$9)</f>
        <v>101.73739999999999</v>
      </c>
      <c r="H1035" s="10">
        <f>CHOOSE(CONTROL!$C$42, 101.8209, 101.8209) * CHOOSE(CONTROL!$C$21, $C$9, 100%, $E$9)</f>
        <v>101.82089999999999</v>
      </c>
      <c r="I1035" s="10">
        <f>CHOOSE(CONTROL!$C$42, 101.7064, 101.7064)* CHOOSE(CONTROL!$C$21, $C$9, 100%, $E$9)</f>
        <v>101.7064</v>
      </c>
      <c r="J1035" s="10">
        <f>CHOOSE(CONTROL!$C$42, 101.7132, 101.7132)* CHOOSE(CONTROL!$C$21, $C$9, 100%, $E$9)</f>
        <v>101.7132</v>
      </c>
      <c r="K1035" s="54">
        <f>CHOOSE(CONTROL!$C$42, 101.7025, 101.7025) * CHOOSE(CONTROL!$C$21, $C$9, 100%, $E$9)</f>
        <v>101.7025</v>
      </c>
      <c r="L1035" s="10">
        <f>CHOOSE(CONTROL!$C$42, 102.4079, 102.4079) * CHOOSE(CONTROL!$C$21, $C$9, 100%, $E$9)</f>
        <v>102.4079</v>
      </c>
      <c r="M1035" s="10">
        <f>CHOOSE(CONTROL!$C$42, 100.7006, 100.7006) * CHOOSE(CONTROL!$C$21, $C$9, 100%, $E$9)</f>
        <v>100.70059999999999</v>
      </c>
      <c r="N1035" s="10">
        <f>CHOOSE(CONTROL!$C$42, 100.7176, 100.7176) * CHOOSE(CONTROL!$C$21, $C$9, 100%, $E$9)</f>
        <v>100.7176</v>
      </c>
      <c r="O1035" s="10">
        <f>CHOOSE(CONTROL!$C$42, 100.8072, 100.8072) * CHOOSE(CONTROL!$C$21, $C$9, 100%, $E$9)</f>
        <v>100.80719999999999</v>
      </c>
      <c r="P1035" s="10">
        <f>CHOOSE(CONTROL!$C$42, 100.6939, 100.6939) * CHOOSE(CONTROL!$C$21, $C$9, 100%, $E$9)</f>
        <v>100.6939</v>
      </c>
      <c r="Q1035" s="10">
        <f>CHOOSE(CONTROL!$C$42, 101.4025, 101.4025) * CHOOSE(CONTROL!$C$21, $C$9, 100%, $E$9)</f>
        <v>101.4025</v>
      </c>
      <c r="R1035" s="10">
        <f>CHOOSE(CONTROL!$C$42, 102.243, 102.243) * CHOOSE(CONTROL!$C$21, $C$9, 100%, $E$9)</f>
        <v>102.24299999999999</v>
      </c>
      <c r="S1035" s="10">
        <f>CHOOSE(CONTROL!$C$42, 98.7903, 98.7903) * CHOOSE(CONTROL!$C$21, $C$9, 100%, $E$9)</f>
        <v>98.790300000000002</v>
      </c>
      <c r="T1035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035" s="58">
        <f>(1000*CHOOSE(CONTROL!$C$42, 695, 695)*CHOOSE(CONTROL!$C$42, 0.5599, 0.5599)*CHOOSE(CONTROL!$C$42, 31, 31))/1000000</f>
        <v>12.063045499999998</v>
      </c>
      <c r="V1035" s="58">
        <f>(1000*CHOOSE(CONTROL!$C$42, 500, 500)*CHOOSE(CONTROL!$C$42, 0.275, 0.275)*CHOOSE(CONTROL!$C$42, 31, 31))/1000000</f>
        <v>4.2625000000000002</v>
      </c>
      <c r="W1035" s="58">
        <f>(1000*CHOOSE(CONTROL!$C$42, 0.1146, 0.1146)*CHOOSE(CONTROL!$C$42, 121.5, 121.5)*CHOOSE(CONTROL!$C$42, 31, 31))/1000000</f>
        <v>0.43164089999999994</v>
      </c>
      <c r="X1035" s="58">
        <f>(31*0.1790888*100000/1000000)+(31*0.2374*100000/1000000)</f>
        <v>1.2911152800000001</v>
      </c>
      <c r="Y1035" s="58"/>
      <c r="Z1035" s="10"/>
      <c r="AA1035" s="57"/>
      <c r="AB1035" s="51">
        <f>(B1035*122.58+C1035*297.941+D1035*89.177+E1035*40.302+F1035*40+G1035*160+H1035*0+I1035*100+J1035*300)/(122.58+297.941+89.177+40.302+0+40+160+100+300)</f>
        <v>101.73526699573912</v>
      </c>
      <c r="AC1035" s="27">
        <f>(M1035*'RAP TEMPLATE-GAS AVAILABILITY'!O1034+N1035*'RAP TEMPLATE-GAS AVAILABILITY'!P1034+O1035*'RAP TEMPLATE-GAS AVAILABILITY'!Q1034+P1035*'RAP TEMPLATE-GAS AVAILABILITY'!R1034)/('RAP TEMPLATE-GAS AVAILABILITY'!O1034+'RAP TEMPLATE-GAS AVAILABILITY'!P1034+'RAP TEMPLATE-GAS AVAILABILITY'!Q1034+'RAP TEMPLATE-GAS AVAILABILITY'!R1034)</f>
        <v>100.74892949640287</v>
      </c>
    </row>
    <row r="1036" spans="1:29" ht="15.75" x14ac:dyDescent="0.25">
      <c r="A1036" s="13">
        <v>72440</v>
      </c>
      <c r="B1036" s="10">
        <f>CHOOSE(CONTROL!$C$42, 101.4291, 101.4291) * CHOOSE(CONTROL!$C$21, $C$9, 100%, $E$9)</f>
        <v>101.42910000000001</v>
      </c>
      <c r="C1036" s="10">
        <f>CHOOSE(CONTROL!$C$42, 101.4334, 101.4334) * CHOOSE(CONTROL!$C$21, $C$9, 100%, $E$9)</f>
        <v>101.43340000000001</v>
      </c>
      <c r="D1036" s="10">
        <f>CHOOSE(CONTROL!$C$42, 101.629, 101.629) * CHOOSE(CONTROL!$C$21, $C$9, 100%, $E$9)</f>
        <v>101.629</v>
      </c>
      <c r="E1036" s="10">
        <f>CHOOSE(CONTROL!$C$42, 101.6608, 101.6608) * CHOOSE(CONTROL!$C$21, $C$9, 100%, $E$9)</f>
        <v>101.66079999999999</v>
      </c>
      <c r="F1036" s="10">
        <f>CHOOSE(CONTROL!$C$42, 101.3969, 101.3969)*CHOOSE(CONTROL!$C$21, $C$9, 100%, $E$9)</f>
        <v>101.3969</v>
      </c>
      <c r="G1036" s="10">
        <f>CHOOSE(CONTROL!$C$42, 101.4136, 101.4136)*CHOOSE(CONTROL!$C$21, $C$9, 100%, $E$9)</f>
        <v>101.4136</v>
      </c>
      <c r="H1036" s="10">
        <f>CHOOSE(CONTROL!$C$42, 101.6506, 101.6506) * CHOOSE(CONTROL!$C$21, $C$9, 100%, $E$9)</f>
        <v>101.6506</v>
      </c>
      <c r="I1036" s="10">
        <f>CHOOSE(CONTROL!$C$42, 101.397, 101.397)* CHOOSE(CONTROL!$C$21, $C$9, 100%, $E$9)</f>
        <v>101.39700000000001</v>
      </c>
      <c r="J1036" s="10">
        <f>CHOOSE(CONTROL!$C$42, 101.3899, 101.3899)* CHOOSE(CONTROL!$C$21, $C$9, 100%, $E$9)</f>
        <v>101.3899</v>
      </c>
      <c r="K1036" s="54">
        <f>CHOOSE(CONTROL!$C$42, 101.3931, 101.3931) * CHOOSE(CONTROL!$C$21, $C$9, 100%, $E$9)</f>
        <v>101.3931</v>
      </c>
      <c r="L1036" s="10">
        <f>CHOOSE(CONTROL!$C$42, 102.2376, 102.2376) * CHOOSE(CONTROL!$C$21, $C$9, 100%, $E$9)</f>
        <v>102.2376</v>
      </c>
      <c r="M1036" s="10">
        <f>CHOOSE(CONTROL!$C$42, 100.3805, 100.3805) * CHOOSE(CONTROL!$C$21, $C$9, 100%, $E$9)</f>
        <v>100.3805</v>
      </c>
      <c r="N1036" s="10">
        <f>CHOOSE(CONTROL!$C$42, 100.3971, 100.3971) * CHOOSE(CONTROL!$C$21, $C$9, 100%, $E$9)</f>
        <v>100.39709999999999</v>
      </c>
      <c r="O1036" s="10">
        <f>CHOOSE(CONTROL!$C$42, 100.6386, 100.6386) * CHOOSE(CONTROL!$C$21, $C$9, 100%, $E$9)</f>
        <v>100.6386</v>
      </c>
      <c r="P1036" s="10">
        <f>CHOOSE(CONTROL!$C$42, 100.3876, 100.3876) * CHOOSE(CONTROL!$C$21, $C$9, 100%, $E$9)</f>
        <v>100.38760000000001</v>
      </c>
      <c r="Q1036" s="10">
        <f>CHOOSE(CONTROL!$C$42, 101.2339, 101.2339) * CHOOSE(CONTROL!$C$21, $C$9, 100%, $E$9)</f>
        <v>101.23390000000001</v>
      </c>
      <c r="R1036" s="10">
        <f>CHOOSE(CONTROL!$C$42, 102.074, 102.074) * CHOOSE(CONTROL!$C$21, $C$9, 100%, $E$9)</f>
        <v>102.074</v>
      </c>
      <c r="S1036" s="10">
        <f>CHOOSE(CONTROL!$C$42, 98.4949, 98.4949) * CHOOSE(CONTROL!$C$21, $C$9, 100%, $E$9)</f>
        <v>98.494900000000001</v>
      </c>
      <c r="T1036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036" s="58">
        <f>(1000*CHOOSE(CONTROL!$C$42, 695, 695)*CHOOSE(CONTROL!$C$42, 0.5599, 0.5599)*CHOOSE(CONTROL!$C$42, 30, 30))/1000000</f>
        <v>11.673914999999997</v>
      </c>
      <c r="V1036" s="58">
        <f>(1000*CHOOSE(CONTROL!$C$42, 500, 500)*CHOOSE(CONTROL!$C$42, 0.275, 0.275)*CHOOSE(CONTROL!$C$42, 30, 30))/1000000</f>
        <v>4.125</v>
      </c>
      <c r="W1036" s="58">
        <f>(1000*CHOOSE(CONTROL!$C$42, 0.1146, 0.1146)*CHOOSE(CONTROL!$C$42, 121.5, 121.5)*CHOOSE(CONTROL!$C$42, 30, 30))/1000000</f>
        <v>0.417717</v>
      </c>
      <c r="X1036" s="58">
        <f>(30*0.1790888*245000/1000000)+(30*0.2374*100000/1000000)</f>
        <v>2.0285026799999999</v>
      </c>
      <c r="Y1036" s="58"/>
      <c r="Z1036" s="10"/>
      <c r="AA1036" s="57"/>
      <c r="AB1036" s="51">
        <f>(B1036*141.293+C1036*267.993+D1036*115.016+E1036*89.698+F1036*40+G1036*185+H1036*0+I1036*100+J1036*300)/(141.293+267.993+115.016+89.698+0+40+185+100+300)</f>
        <v>101.44992453179984</v>
      </c>
      <c r="AC1036" s="27">
        <f>(M1036*'RAP TEMPLATE-GAS AVAILABILITY'!O1035+N1036*'RAP TEMPLATE-GAS AVAILABILITY'!P1035+O1036*'RAP TEMPLATE-GAS AVAILABILITY'!Q1035+P1036*'RAP TEMPLATE-GAS AVAILABILITY'!R1035)/('RAP TEMPLATE-GAS AVAILABILITY'!O1035+'RAP TEMPLATE-GAS AVAILABILITY'!P1035+'RAP TEMPLATE-GAS AVAILABILITY'!Q1035+'RAP TEMPLATE-GAS AVAILABILITY'!R1035)</f>
        <v>100.49945755395683</v>
      </c>
    </row>
    <row r="1037" spans="1:29" ht="15.75" x14ac:dyDescent="0.25">
      <c r="A1037" s="13">
        <v>72471</v>
      </c>
      <c r="B1037" s="10">
        <f>CHOOSE(CONTROL!$C$42, 102.3256, 102.3256) * CHOOSE(CONTROL!$C$21, $C$9, 100%, $E$9)</f>
        <v>102.32559999999999</v>
      </c>
      <c r="C1037" s="10">
        <f>CHOOSE(CONTROL!$C$42, 102.3336, 102.3336) * CHOOSE(CONTROL!$C$21, $C$9, 100%, $E$9)</f>
        <v>102.3336</v>
      </c>
      <c r="D1037" s="10">
        <f>CHOOSE(CONTROL!$C$42, 102.526, 102.526) * CHOOSE(CONTROL!$C$21, $C$9, 100%, $E$9)</f>
        <v>102.526</v>
      </c>
      <c r="E1037" s="10">
        <f>CHOOSE(CONTROL!$C$42, 102.5571, 102.5571) * CHOOSE(CONTROL!$C$21, $C$9, 100%, $E$9)</f>
        <v>102.55710000000001</v>
      </c>
      <c r="F1037" s="10">
        <f>CHOOSE(CONTROL!$C$42, 102.2919, 102.2919)*CHOOSE(CONTROL!$C$21, $C$9, 100%, $E$9)</f>
        <v>102.2919</v>
      </c>
      <c r="G1037" s="10">
        <f>CHOOSE(CONTROL!$C$42, 102.309, 102.309)*CHOOSE(CONTROL!$C$21, $C$9, 100%, $E$9)</f>
        <v>102.309</v>
      </c>
      <c r="H1037" s="10">
        <f>CHOOSE(CONTROL!$C$42, 102.5458, 102.5458) * CHOOSE(CONTROL!$C$21, $C$9, 100%, $E$9)</f>
        <v>102.5458</v>
      </c>
      <c r="I1037" s="10">
        <f>CHOOSE(CONTROL!$C$42, 102.2922, 102.2922)* CHOOSE(CONTROL!$C$21, $C$9, 100%, $E$9)</f>
        <v>102.29219999999999</v>
      </c>
      <c r="J1037" s="10">
        <f>CHOOSE(CONTROL!$C$42, 102.2849, 102.2849)* CHOOSE(CONTROL!$C$21, $C$9, 100%, $E$9)</f>
        <v>102.28489999999999</v>
      </c>
      <c r="K1037" s="54">
        <f>CHOOSE(CONTROL!$C$42, 102.2883, 102.2883) * CHOOSE(CONTROL!$C$21, $C$9, 100%, $E$9)</f>
        <v>102.28830000000001</v>
      </c>
      <c r="L1037" s="10">
        <f>CHOOSE(CONTROL!$C$42, 103.1328, 103.1328) * CHOOSE(CONTROL!$C$21, $C$9, 100%, $E$9)</f>
        <v>103.1328</v>
      </c>
      <c r="M1037" s="10">
        <f>CHOOSE(CONTROL!$C$42, 101.2665, 101.2665) * CHOOSE(CONTROL!$C$21, $C$9, 100%, $E$9)</f>
        <v>101.26649999999999</v>
      </c>
      <c r="N1037" s="10">
        <f>CHOOSE(CONTROL!$C$42, 101.2834, 101.2834) * CHOOSE(CONTROL!$C$21, $C$9, 100%, $E$9)</f>
        <v>101.2834</v>
      </c>
      <c r="O1037" s="10">
        <f>CHOOSE(CONTROL!$C$42, 101.5247, 101.5247) * CHOOSE(CONTROL!$C$21, $C$9, 100%, $E$9)</f>
        <v>101.5247</v>
      </c>
      <c r="P1037" s="10">
        <f>CHOOSE(CONTROL!$C$42, 101.2738, 101.2738) * CHOOSE(CONTROL!$C$21, $C$9, 100%, $E$9)</f>
        <v>101.27379999999999</v>
      </c>
      <c r="Q1037" s="10">
        <f>CHOOSE(CONTROL!$C$42, 102.12, 102.12) * CHOOSE(CONTROL!$C$21, $C$9, 100%, $E$9)</f>
        <v>102.12</v>
      </c>
      <c r="R1037" s="10">
        <f>CHOOSE(CONTROL!$C$42, 102.9623, 102.9623) * CHOOSE(CONTROL!$C$21, $C$9, 100%, $E$9)</f>
        <v>102.9623</v>
      </c>
      <c r="S1037" s="10">
        <f>CHOOSE(CONTROL!$C$42, 99.3642, 99.3642) * CHOOSE(CONTROL!$C$21, $C$9, 100%, $E$9)</f>
        <v>99.364199999999997</v>
      </c>
      <c r="T1037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037" s="58">
        <f>(1000*CHOOSE(CONTROL!$C$42, 695, 695)*CHOOSE(CONTROL!$C$42, 0.5599, 0.5599)*CHOOSE(CONTROL!$C$42, 31, 31))/1000000</f>
        <v>12.063045499999998</v>
      </c>
      <c r="V1037" s="58">
        <f>(1000*CHOOSE(CONTROL!$C$42, 500, 500)*CHOOSE(CONTROL!$C$42, 0.275, 0.275)*CHOOSE(CONTROL!$C$42, 31, 31))/1000000</f>
        <v>4.2625000000000002</v>
      </c>
      <c r="W1037" s="58">
        <f>(1000*CHOOSE(CONTROL!$C$42, 0.1146, 0.1146)*CHOOSE(CONTROL!$C$42, 121.5, 121.5)*CHOOSE(CONTROL!$C$42, 31, 31))/1000000</f>
        <v>0.43164089999999994</v>
      </c>
      <c r="X1037" s="58">
        <f>(31*0.1790888*245000/1000000)+(31*0.2374*100000/1000000)</f>
        <v>2.0961194359999999</v>
      </c>
      <c r="Y1037" s="58"/>
      <c r="Z1037" s="10"/>
      <c r="AA1037" s="57"/>
      <c r="AB1037" s="51">
        <f>(B1037*194.205+C1037*267.466+D1037*133.845+E1037*53.484+F1037*40+G1037*185+H1037*0+I1037*100+J1037*300)/(194.205+267.466+133.845+53.484+0+40+185+100+300)</f>
        <v>102.34237771742545</v>
      </c>
      <c r="AC1037" s="27">
        <f>(M1037*'RAP TEMPLATE-GAS AVAILABILITY'!O1036+N1037*'RAP TEMPLATE-GAS AVAILABILITY'!P1036+O1037*'RAP TEMPLATE-GAS AVAILABILITY'!Q1036+P1037*'RAP TEMPLATE-GAS AVAILABILITY'!R1036)/('RAP TEMPLATE-GAS AVAILABILITY'!O1036+'RAP TEMPLATE-GAS AVAILABILITY'!P1036+'RAP TEMPLATE-GAS AVAILABILITY'!Q1036+'RAP TEMPLATE-GAS AVAILABILITY'!R1036)</f>
        <v>101.38554892086331</v>
      </c>
    </row>
    <row r="1038" spans="1:29" ht="15.75" x14ac:dyDescent="0.25">
      <c r="A1038" s="13">
        <v>72501</v>
      </c>
      <c r="B1038" s="10">
        <f>CHOOSE(CONTROL!$C$42, 105.2281, 105.2281) * CHOOSE(CONTROL!$C$21, $C$9, 100%, $E$9)</f>
        <v>105.2281</v>
      </c>
      <c r="C1038" s="10">
        <f>CHOOSE(CONTROL!$C$42, 105.236, 105.236) * CHOOSE(CONTROL!$C$21, $C$9, 100%, $E$9)</f>
        <v>105.236</v>
      </c>
      <c r="D1038" s="10">
        <f>CHOOSE(CONTROL!$C$42, 105.4285, 105.4285) * CHOOSE(CONTROL!$C$21, $C$9, 100%, $E$9)</f>
        <v>105.4285</v>
      </c>
      <c r="E1038" s="10">
        <f>CHOOSE(CONTROL!$C$42, 105.4596, 105.4596) * CHOOSE(CONTROL!$C$21, $C$9, 100%, $E$9)</f>
        <v>105.45959999999999</v>
      </c>
      <c r="F1038" s="10">
        <f>CHOOSE(CONTROL!$C$42, 105.1946, 105.1946)*CHOOSE(CONTROL!$C$21, $C$9, 100%, $E$9)</f>
        <v>105.19459999999999</v>
      </c>
      <c r="G1038" s="10">
        <f>CHOOSE(CONTROL!$C$42, 105.2118, 105.2118)*CHOOSE(CONTROL!$C$21, $C$9, 100%, $E$9)</f>
        <v>105.2118</v>
      </c>
      <c r="H1038" s="10">
        <f>CHOOSE(CONTROL!$C$42, 105.4482, 105.4482) * CHOOSE(CONTROL!$C$21, $C$9, 100%, $E$9)</f>
        <v>105.4482</v>
      </c>
      <c r="I1038" s="10">
        <f>CHOOSE(CONTROL!$C$42, 105.1947, 105.1947)* CHOOSE(CONTROL!$C$21, $C$9, 100%, $E$9)</f>
        <v>105.1947</v>
      </c>
      <c r="J1038" s="10">
        <f>CHOOSE(CONTROL!$C$42, 105.1876, 105.1876)* CHOOSE(CONTROL!$C$21, $C$9, 100%, $E$9)</f>
        <v>105.1876</v>
      </c>
      <c r="K1038" s="54">
        <f>CHOOSE(CONTROL!$C$42, 105.1908, 105.1908) * CHOOSE(CONTROL!$C$21, $C$9, 100%, $E$9)</f>
        <v>105.1908</v>
      </c>
      <c r="L1038" s="10">
        <f>CHOOSE(CONTROL!$C$42, 106.0352, 106.0352) * CHOOSE(CONTROL!$C$21, $C$9, 100%, $E$9)</f>
        <v>106.0352</v>
      </c>
      <c r="M1038" s="10">
        <f>CHOOSE(CONTROL!$C$42, 104.1399, 104.1399) * CHOOSE(CONTROL!$C$21, $C$9, 100%, $E$9)</f>
        <v>104.1399</v>
      </c>
      <c r="N1038" s="10">
        <f>CHOOSE(CONTROL!$C$42, 104.1569, 104.1569) * CHOOSE(CONTROL!$C$21, $C$9, 100%, $E$9)</f>
        <v>104.15689999999999</v>
      </c>
      <c r="O1038" s="10">
        <f>CHOOSE(CONTROL!$C$42, 104.3979, 104.3979) * CHOOSE(CONTROL!$C$21, $C$9, 100%, $E$9)</f>
        <v>104.39790000000001</v>
      </c>
      <c r="P1038" s="10">
        <f>CHOOSE(CONTROL!$C$42, 104.1469, 104.1469) * CHOOSE(CONTROL!$C$21, $C$9, 100%, $E$9)</f>
        <v>104.1469</v>
      </c>
      <c r="Q1038" s="10">
        <f>CHOOSE(CONTROL!$C$42, 104.9932, 104.9932) * CHOOSE(CONTROL!$C$21, $C$9, 100%, $E$9)</f>
        <v>104.9932</v>
      </c>
      <c r="R1038" s="10">
        <f>CHOOSE(CONTROL!$C$42, 105.8427, 105.8427) * CHOOSE(CONTROL!$C$21, $C$9, 100%, $E$9)</f>
        <v>105.84269999999999</v>
      </c>
      <c r="S1038" s="10">
        <f>CHOOSE(CONTROL!$C$42, 102.1828, 102.1828) * CHOOSE(CONTROL!$C$21, $C$9, 100%, $E$9)</f>
        <v>102.1828</v>
      </c>
      <c r="T1038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038" s="58">
        <f>(1000*CHOOSE(CONTROL!$C$42, 695, 695)*CHOOSE(CONTROL!$C$42, 0.5599, 0.5599)*CHOOSE(CONTROL!$C$42, 30, 30))/1000000</f>
        <v>11.673914999999997</v>
      </c>
      <c r="V1038" s="58">
        <f>(1000*CHOOSE(CONTROL!$C$42, 500, 500)*CHOOSE(CONTROL!$C$42, 0.275, 0.275)*CHOOSE(CONTROL!$C$42, 30, 30))/1000000</f>
        <v>4.125</v>
      </c>
      <c r="W1038" s="58">
        <f>(1000*CHOOSE(CONTROL!$C$42, 0.1146, 0.1146)*CHOOSE(CONTROL!$C$42, 121.5, 121.5)*CHOOSE(CONTROL!$C$42, 30, 30))/1000000</f>
        <v>0.417717</v>
      </c>
      <c r="X1038" s="58">
        <f>(30*0.1790888*245000/1000000)+(30*0.2374*100000/1000000)</f>
        <v>2.0285026799999999</v>
      </c>
      <c r="Y1038" s="58"/>
      <c r="Z1038" s="10"/>
      <c r="AA1038" s="57"/>
      <c r="AB1038" s="51">
        <f>(B1038*194.205+C1038*267.466+D1038*133.845+E1038*53.484+F1038*40+G1038*185+H1038*0+I1038*100+J1038*300)/(194.205+267.466+133.845+53.484+0+40+185+100+300)</f>
        <v>105.24495366200944</v>
      </c>
      <c r="AC1038" s="27">
        <f>(M1038*'RAP TEMPLATE-GAS AVAILABILITY'!O1037+N1038*'RAP TEMPLATE-GAS AVAILABILITY'!P1037+O1038*'RAP TEMPLATE-GAS AVAILABILITY'!Q1037+P1038*'RAP TEMPLATE-GAS AVAILABILITY'!R1037)/('RAP TEMPLATE-GAS AVAILABILITY'!O1037+'RAP TEMPLATE-GAS AVAILABILITY'!P1037+'RAP TEMPLATE-GAS AVAILABILITY'!Q1037+'RAP TEMPLATE-GAS AVAILABILITY'!R1037)</f>
        <v>104.25882086330935</v>
      </c>
    </row>
    <row r="1039" spans="1:29" ht="15.75" x14ac:dyDescent="0.25">
      <c r="A1039" s="13">
        <v>72532</v>
      </c>
      <c r="B1039" s="10">
        <f>CHOOSE(CONTROL!$C$42, 103.2094, 103.2094) * CHOOSE(CONTROL!$C$21, $C$9, 100%, $E$9)</f>
        <v>103.2094</v>
      </c>
      <c r="C1039" s="10">
        <f>CHOOSE(CONTROL!$C$42, 103.2173, 103.2173) * CHOOSE(CONTROL!$C$21, $C$9, 100%, $E$9)</f>
        <v>103.21729999999999</v>
      </c>
      <c r="D1039" s="10">
        <f>CHOOSE(CONTROL!$C$42, 103.4098, 103.4098) * CHOOSE(CONTROL!$C$21, $C$9, 100%, $E$9)</f>
        <v>103.4098</v>
      </c>
      <c r="E1039" s="10">
        <f>CHOOSE(CONTROL!$C$42, 103.4409, 103.4409) * CHOOSE(CONTROL!$C$21, $C$9, 100%, $E$9)</f>
        <v>103.4409</v>
      </c>
      <c r="F1039" s="10">
        <f>CHOOSE(CONTROL!$C$42, 103.1763, 103.1763)*CHOOSE(CONTROL!$C$21, $C$9, 100%, $E$9)</f>
        <v>103.1763</v>
      </c>
      <c r="G1039" s="10">
        <f>CHOOSE(CONTROL!$C$42, 103.1936, 103.1936)*CHOOSE(CONTROL!$C$21, $C$9, 100%, $E$9)</f>
        <v>103.1936</v>
      </c>
      <c r="H1039" s="10">
        <f>CHOOSE(CONTROL!$C$42, 103.4295, 103.4295) * CHOOSE(CONTROL!$C$21, $C$9, 100%, $E$9)</f>
        <v>103.4295</v>
      </c>
      <c r="I1039" s="10">
        <f>CHOOSE(CONTROL!$C$42, 103.176, 103.176)* CHOOSE(CONTROL!$C$21, $C$9, 100%, $E$9)</f>
        <v>103.176</v>
      </c>
      <c r="J1039" s="10">
        <f>CHOOSE(CONTROL!$C$42, 103.1693, 103.1693)* CHOOSE(CONTROL!$C$21, $C$9, 100%, $E$9)</f>
        <v>103.16930000000001</v>
      </c>
      <c r="K1039" s="54">
        <f>CHOOSE(CONTROL!$C$42, 103.1721, 103.1721) * CHOOSE(CONTROL!$C$21, $C$9, 100%, $E$9)</f>
        <v>103.1721</v>
      </c>
      <c r="L1039" s="10">
        <f>CHOOSE(CONTROL!$C$42, 104.0165, 104.0165) * CHOOSE(CONTROL!$C$21, $C$9, 100%, $E$9)</f>
        <v>104.01649999999999</v>
      </c>
      <c r="M1039" s="10">
        <f>CHOOSE(CONTROL!$C$42, 102.142, 102.142) * CHOOSE(CONTROL!$C$21, $C$9, 100%, $E$9)</f>
        <v>102.142</v>
      </c>
      <c r="N1039" s="10">
        <f>CHOOSE(CONTROL!$C$42, 102.1591, 102.1591) * CHOOSE(CONTROL!$C$21, $C$9, 100%, $E$9)</f>
        <v>102.1591</v>
      </c>
      <c r="O1039" s="10">
        <f>CHOOSE(CONTROL!$C$42, 102.3996, 102.3996) * CHOOSE(CONTROL!$C$21, $C$9, 100%, $E$9)</f>
        <v>102.39960000000001</v>
      </c>
      <c r="P1039" s="10">
        <f>CHOOSE(CONTROL!$C$42, 102.1486, 102.1486) * CHOOSE(CONTROL!$C$21, $C$9, 100%, $E$9)</f>
        <v>102.1486</v>
      </c>
      <c r="Q1039" s="10">
        <f>CHOOSE(CONTROL!$C$42, 102.9949, 102.9949) * CHOOSE(CONTROL!$C$21, $C$9, 100%, $E$9)</f>
        <v>102.9949</v>
      </c>
      <c r="R1039" s="10">
        <f>CHOOSE(CONTROL!$C$42, 103.8394, 103.8394) * CHOOSE(CONTROL!$C$21, $C$9, 100%, $E$9)</f>
        <v>103.8394</v>
      </c>
      <c r="S1039" s="10">
        <f>CHOOSE(CONTROL!$C$42, 100.2224, 100.2224) * CHOOSE(CONTROL!$C$21, $C$9, 100%, $E$9)</f>
        <v>100.22239999999999</v>
      </c>
      <c r="T1039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039" s="58">
        <f>(1000*CHOOSE(CONTROL!$C$42, 695, 695)*CHOOSE(CONTROL!$C$42, 0.5599, 0.5599)*CHOOSE(CONTROL!$C$42, 31, 31))/1000000</f>
        <v>12.063045499999998</v>
      </c>
      <c r="V1039" s="58">
        <f>(1000*CHOOSE(CONTROL!$C$42, 500, 500)*CHOOSE(CONTROL!$C$42, 0.275, 0.275)*CHOOSE(CONTROL!$C$42, 31, 31))/1000000</f>
        <v>4.2625000000000002</v>
      </c>
      <c r="W1039" s="58">
        <f>(1000*CHOOSE(CONTROL!$C$42, 0.1146, 0.1146)*CHOOSE(CONTROL!$C$42, 121.5, 121.5)*CHOOSE(CONTROL!$C$42, 31, 31))/1000000</f>
        <v>0.43164089999999994</v>
      </c>
      <c r="X1039" s="58">
        <f>(31*0.1790888*245000/1000000)+(31*0.2374*100000/1000000)</f>
        <v>2.0961194359999999</v>
      </c>
      <c r="Y1039" s="58"/>
      <c r="Z1039" s="10"/>
      <c r="AA1039" s="57"/>
      <c r="AB1039" s="51">
        <f>(B1039*194.205+C1039*267.466+D1039*133.845+E1039*53.484+F1039*40+G1039*185+H1039*0+I1039*100+J1039*300)/(194.205+267.466+133.845+53.484+0+40+185+100+300)</f>
        <v>103.22643301836736</v>
      </c>
      <c r="AC1039" s="27">
        <f>(M1039*'RAP TEMPLATE-GAS AVAILABILITY'!O1038+N1039*'RAP TEMPLATE-GAS AVAILABILITY'!P1038+O1039*'RAP TEMPLATE-GAS AVAILABILITY'!Q1038+P1039*'RAP TEMPLATE-GAS AVAILABILITY'!R1038)/('RAP TEMPLATE-GAS AVAILABILITY'!O1038+'RAP TEMPLATE-GAS AVAILABILITY'!P1038+'RAP TEMPLATE-GAS AVAILABILITY'!Q1038+'RAP TEMPLATE-GAS AVAILABILITY'!R1038)</f>
        <v>102.26068776978417</v>
      </c>
    </row>
    <row r="1040" spans="1:29" ht="15.75" x14ac:dyDescent="0.25">
      <c r="A1040" s="13">
        <v>72563</v>
      </c>
      <c r="B1040" s="10">
        <f>CHOOSE(CONTROL!$C$42, 98.1116, 98.1116) * CHOOSE(CONTROL!$C$21, $C$9, 100%, $E$9)</f>
        <v>98.111599999999996</v>
      </c>
      <c r="C1040" s="10">
        <f>CHOOSE(CONTROL!$C$42, 98.1196, 98.1196) * CHOOSE(CONTROL!$C$21, $C$9, 100%, $E$9)</f>
        <v>98.119600000000005</v>
      </c>
      <c r="D1040" s="10">
        <f>CHOOSE(CONTROL!$C$42, 98.312, 98.312) * CHOOSE(CONTROL!$C$21, $C$9, 100%, $E$9)</f>
        <v>98.311999999999998</v>
      </c>
      <c r="E1040" s="10">
        <f>CHOOSE(CONTROL!$C$42, 98.3431, 98.3431) * CHOOSE(CONTROL!$C$21, $C$9, 100%, $E$9)</f>
        <v>98.343100000000007</v>
      </c>
      <c r="F1040" s="10">
        <f>CHOOSE(CONTROL!$C$42, 98.0787, 98.0787)*CHOOSE(CONTROL!$C$21, $C$9, 100%, $E$9)</f>
        <v>98.078699999999998</v>
      </c>
      <c r="G1040" s="10">
        <f>CHOOSE(CONTROL!$C$42, 98.096, 98.096)*CHOOSE(CONTROL!$C$21, $C$9, 100%, $E$9)</f>
        <v>98.096000000000004</v>
      </c>
      <c r="H1040" s="10">
        <f>CHOOSE(CONTROL!$C$42, 98.3318, 98.3318) * CHOOSE(CONTROL!$C$21, $C$9, 100%, $E$9)</f>
        <v>98.331800000000001</v>
      </c>
      <c r="I1040" s="10">
        <f>CHOOSE(CONTROL!$C$42, 98.0782, 98.0782)* CHOOSE(CONTROL!$C$21, $C$9, 100%, $E$9)</f>
        <v>98.078199999999995</v>
      </c>
      <c r="J1040" s="10">
        <f>CHOOSE(CONTROL!$C$42, 98.0717, 98.0717)* CHOOSE(CONTROL!$C$21, $C$9, 100%, $E$9)</f>
        <v>98.071700000000007</v>
      </c>
      <c r="K1040" s="54">
        <f>CHOOSE(CONTROL!$C$42, 98.0743, 98.0743) * CHOOSE(CONTROL!$C$21, $C$9, 100%, $E$9)</f>
        <v>98.074299999999994</v>
      </c>
      <c r="L1040" s="10">
        <f>CHOOSE(CONTROL!$C$42, 98.9188, 98.9188) * CHOOSE(CONTROL!$C$21, $C$9, 100%, $E$9)</f>
        <v>98.918800000000005</v>
      </c>
      <c r="M1040" s="10">
        <f>CHOOSE(CONTROL!$C$42, 97.0958, 97.0958) * CHOOSE(CONTROL!$C$21, $C$9, 100%, $E$9)</f>
        <v>97.095799999999997</v>
      </c>
      <c r="N1040" s="10">
        <f>CHOOSE(CONTROL!$C$42, 97.113, 97.113) * CHOOSE(CONTROL!$C$21, $C$9, 100%, $E$9)</f>
        <v>97.113</v>
      </c>
      <c r="O1040" s="10">
        <f>CHOOSE(CONTROL!$C$42, 97.3532, 97.3532) * CHOOSE(CONTROL!$C$21, $C$9, 100%, $E$9)</f>
        <v>97.353200000000001</v>
      </c>
      <c r="P1040" s="10">
        <f>CHOOSE(CONTROL!$C$42, 97.1023, 97.1023) * CHOOSE(CONTROL!$C$21, $C$9, 100%, $E$9)</f>
        <v>97.1023</v>
      </c>
      <c r="Q1040" s="10">
        <f>CHOOSE(CONTROL!$C$42, 97.9485, 97.9485) * CHOOSE(CONTROL!$C$21, $C$9, 100%, $E$9)</f>
        <v>97.948499999999996</v>
      </c>
      <c r="R1040" s="10">
        <f>CHOOSE(CONTROL!$C$42, 98.7804, 98.7804) * CHOOSE(CONTROL!$C$21, $C$9, 100%, $E$9)</f>
        <v>98.7804</v>
      </c>
      <c r="S1040" s="10">
        <f>CHOOSE(CONTROL!$C$42, 95.272, 95.272) * CHOOSE(CONTROL!$C$21, $C$9, 100%, $E$9)</f>
        <v>95.272000000000006</v>
      </c>
      <c r="T1040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040" s="58">
        <f>(1000*CHOOSE(CONTROL!$C$42, 695, 695)*CHOOSE(CONTROL!$C$42, 0.5599, 0.5599)*CHOOSE(CONTROL!$C$42, 31, 31))/1000000</f>
        <v>12.063045499999998</v>
      </c>
      <c r="V1040" s="58">
        <f>(1000*CHOOSE(CONTROL!$C$42, 500, 500)*CHOOSE(CONTROL!$C$42, 0.275, 0.275)*CHOOSE(CONTROL!$C$42, 31, 31))/1000000</f>
        <v>4.2625000000000002</v>
      </c>
      <c r="W1040" s="58">
        <f>(1000*CHOOSE(CONTROL!$C$42, 0.1146, 0.1146)*CHOOSE(CONTROL!$C$42, 121.5, 121.5)*CHOOSE(CONTROL!$C$42, 31, 31))/1000000</f>
        <v>0.43164089999999994</v>
      </c>
      <c r="X1040" s="58">
        <f>(31*0.1790888*245000/1000000)+(31*0.2374*100000/1000000)</f>
        <v>2.0961194359999999</v>
      </c>
      <c r="Y1040" s="58"/>
      <c r="Z1040" s="10"/>
      <c r="AA1040" s="57"/>
      <c r="AB1040" s="51">
        <f>(B1040*194.205+C1040*267.466+D1040*133.845+E1040*53.484+F1040*40+G1040*185+H1040*0+I1040*100+J1040*300)/(194.205+267.466+133.845+53.484+0+40+185+100+300)</f>
        <v>98.128736430141302</v>
      </c>
      <c r="AC1040" s="27">
        <f>(M1040*'RAP TEMPLATE-GAS AVAILABILITY'!O1039+N1040*'RAP TEMPLATE-GAS AVAILABILITY'!P1039+O1040*'RAP TEMPLATE-GAS AVAILABILITY'!Q1039+P1040*'RAP TEMPLATE-GAS AVAILABILITY'!R1039)/('RAP TEMPLATE-GAS AVAILABILITY'!O1039+'RAP TEMPLATE-GAS AVAILABILITY'!P1039+'RAP TEMPLATE-GAS AVAILABILITY'!Q1039+'RAP TEMPLATE-GAS AVAILABILITY'!R1039)</f>
        <v>97.214388489208631</v>
      </c>
    </row>
    <row r="1041" spans="1:29" ht="15.75" x14ac:dyDescent="0.25">
      <c r="A1041" s="13">
        <v>72593</v>
      </c>
      <c r="B1041" s="10">
        <f>CHOOSE(CONTROL!$C$42, 91.8827, 91.8827) * CHOOSE(CONTROL!$C$21, $C$9, 100%, $E$9)</f>
        <v>91.8827</v>
      </c>
      <c r="C1041" s="10">
        <f>CHOOSE(CONTROL!$C$42, 91.8906, 91.8906) * CHOOSE(CONTROL!$C$21, $C$9, 100%, $E$9)</f>
        <v>91.890600000000006</v>
      </c>
      <c r="D1041" s="10">
        <f>CHOOSE(CONTROL!$C$42, 92.083, 92.083) * CHOOSE(CONTROL!$C$21, $C$9, 100%, $E$9)</f>
        <v>92.082999999999998</v>
      </c>
      <c r="E1041" s="10">
        <f>CHOOSE(CONTROL!$C$42, 92.1142, 92.1142) * CHOOSE(CONTROL!$C$21, $C$9, 100%, $E$9)</f>
        <v>92.114199999999997</v>
      </c>
      <c r="F1041" s="10">
        <f>CHOOSE(CONTROL!$C$42, 91.8496, 91.8496)*CHOOSE(CONTROL!$C$21, $C$9, 100%, $E$9)</f>
        <v>91.849599999999995</v>
      </c>
      <c r="G1041" s="10">
        <f>CHOOSE(CONTROL!$C$42, 91.8669, 91.8669)*CHOOSE(CONTROL!$C$21, $C$9, 100%, $E$9)</f>
        <v>91.866900000000001</v>
      </c>
      <c r="H1041" s="10">
        <f>CHOOSE(CONTROL!$C$42, 92.1028, 92.1028) * CHOOSE(CONTROL!$C$21, $C$9, 100%, $E$9)</f>
        <v>92.102800000000002</v>
      </c>
      <c r="I1041" s="10">
        <f>CHOOSE(CONTROL!$C$42, 91.8493, 91.8493)* CHOOSE(CONTROL!$C$21, $C$9, 100%, $E$9)</f>
        <v>91.849299999999999</v>
      </c>
      <c r="J1041" s="10">
        <f>CHOOSE(CONTROL!$C$42, 91.8426, 91.8426)* CHOOSE(CONTROL!$C$21, $C$9, 100%, $E$9)</f>
        <v>91.842600000000004</v>
      </c>
      <c r="K1041" s="54">
        <f>CHOOSE(CONTROL!$C$42, 91.8454, 91.8454) * CHOOSE(CONTROL!$C$21, $C$9, 100%, $E$9)</f>
        <v>91.845399999999998</v>
      </c>
      <c r="L1041" s="10">
        <f>CHOOSE(CONTROL!$C$42, 92.6898, 92.6898) * CHOOSE(CONTROL!$C$21, $C$9, 100%, $E$9)</f>
        <v>92.689800000000005</v>
      </c>
      <c r="M1041" s="10">
        <f>CHOOSE(CONTROL!$C$42, 90.9296, 90.9296) * CHOOSE(CONTROL!$C$21, $C$9, 100%, $E$9)</f>
        <v>90.929599999999994</v>
      </c>
      <c r="N1041" s="10">
        <f>CHOOSE(CONTROL!$C$42, 90.9467, 90.9467) * CHOOSE(CONTROL!$C$21, $C$9, 100%, $E$9)</f>
        <v>90.946700000000007</v>
      </c>
      <c r="O1041" s="10">
        <f>CHOOSE(CONTROL!$C$42, 91.1872, 91.1872) * CHOOSE(CONTROL!$C$21, $C$9, 100%, $E$9)</f>
        <v>91.187200000000004</v>
      </c>
      <c r="P1041" s="10">
        <f>CHOOSE(CONTROL!$C$42, 90.9362, 90.9362) * CHOOSE(CONTROL!$C$21, $C$9, 100%, $E$9)</f>
        <v>90.936199999999999</v>
      </c>
      <c r="Q1041" s="10">
        <f>CHOOSE(CONTROL!$C$42, 91.7825, 91.7825) * CHOOSE(CONTROL!$C$21, $C$9, 100%, $E$9)</f>
        <v>91.782499999999999</v>
      </c>
      <c r="R1041" s="10">
        <f>CHOOSE(CONTROL!$C$42, 92.5989, 92.5989) * CHOOSE(CONTROL!$C$21, $C$9, 100%, $E$9)</f>
        <v>92.5989</v>
      </c>
      <c r="S1041" s="10">
        <f>CHOOSE(CONTROL!$C$42, 89.223, 89.223) * CHOOSE(CONTROL!$C$21, $C$9, 100%, $E$9)</f>
        <v>89.222999999999999</v>
      </c>
      <c r="T1041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041" s="58">
        <f>(1000*CHOOSE(CONTROL!$C$42, 695, 695)*CHOOSE(CONTROL!$C$42, 0.5599, 0.5599)*CHOOSE(CONTROL!$C$42, 30, 30))/1000000</f>
        <v>11.673914999999997</v>
      </c>
      <c r="V1041" s="58">
        <f>(1000*CHOOSE(CONTROL!$C$42, 500, 500)*CHOOSE(CONTROL!$C$42, 0.275, 0.275)*CHOOSE(CONTROL!$C$42, 30, 30))/1000000</f>
        <v>4.125</v>
      </c>
      <c r="W1041" s="58">
        <f>(1000*CHOOSE(CONTROL!$C$42, 0.1146, 0.1146)*CHOOSE(CONTROL!$C$42, 121.5, 121.5)*CHOOSE(CONTROL!$C$42, 30, 30))/1000000</f>
        <v>0.417717</v>
      </c>
      <c r="X1041" s="58">
        <f>(30*0.1790888*245000/1000000)+(30*0.2374*100000/1000000)</f>
        <v>2.0285026799999999</v>
      </c>
      <c r="Y1041" s="58"/>
      <c r="Z1041" s="10"/>
      <c r="AA1041" s="57"/>
      <c r="AB1041" s="51">
        <f>(B1041*194.205+C1041*267.466+D1041*133.845+E1041*53.484+F1041*40+G1041*185+H1041*0+I1041*100+J1041*300)/(194.205+267.466+133.845+53.484+0+40+185+100+300)</f>
        <v>91.899722512480366</v>
      </c>
      <c r="AC1041" s="27">
        <f>(M1041*'RAP TEMPLATE-GAS AVAILABILITY'!O1040+N1041*'RAP TEMPLATE-GAS AVAILABILITY'!P1040+O1041*'RAP TEMPLATE-GAS AVAILABILITY'!Q1040+P1041*'RAP TEMPLATE-GAS AVAILABILITY'!R1040)/('RAP TEMPLATE-GAS AVAILABILITY'!O1040+'RAP TEMPLATE-GAS AVAILABILITY'!P1040+'RAP TEMPLATE-GAS AVAILABILITY'!Q1040+'RAP TEMPLATE-GAS AVAILABILITY'!R1040)</f>
        <v>91.048287769784181</v>
      </c>
    </row>
    <row r="1042" spans="1:29" ht="15.75" x14ac:dyDescent="0.25">
      <c r="A1042" s="13">
        <v>72624</v>
      </c>
      <c r="B1042" s="10">
        <f>CHOOSE(CONTROL!$C$42, 90.0154, 90.0154) * CHOOSE(CONTROL!$C$21, $C$9, 100%, $E$9)</f>
        <v>90.0154</v>
      </c>
      <c r="C1042" s="10">
        <f>CHOOSE(CONTROL!$C$42, 90.0207, 90.0207) * CHOOSE(CONTROL!$C$21, $C$9, 100%, $E$9)</f>
        <v>90.020700000000005</v>
      </c>
      <c r="D1042" s="10">
        <f>CHOOSE(CONTROL!$C$42, 90.2181, 90.2181) * CHOOSE(CONTROL!$C$21, $C$9, 100%, $E$9)</f>
        <v>90.218100000000007</v>
      </c>
      <c r="E1042" s="10">
        <f>CHOOSE(CONTROL!$C$42, 90.2469, 90.2469) * CHOOSE(CONTROL!$C$21, $C$9, 100%, $E$9)</f>
        <v>90.246899999999997</v>
      </c>
      <c r="F1042" s="10">
        <f>CHOOSE(CONTROL!$C$42, 89.9843, 89.9843)*CHOOSE(CONTROL!$C$21, $C$9, 100%, $E$9)</f>
        <v>89.984300000000005</v>
      </c>
      <c r="G1042" s="10">
        <f>CHOOSE(CONTROL!$C$42, 90.0013, 90.0013)*CHOOSE(CONTROL!$C$21, $C$9, 100%, $E$9)</f>
        <v>90.001300000000001</v>
      </c>
      <c r="H1042" s="10">
        <f>CHOOSE(CONTROL!$C$42, 90.2373, 90.2373) * CHOOSE(CONTROL!$C$21, $C$9, 100%, $E$9)</f>
        <v>90.237300000000005</v>
      </c>
      <c r="I1042" s="10">
        <f>CHOOSE(CONTROL!$C$42, 89.9838, 89.9838)* CHOOSE(CONTROL!$C$21, $C$9, 100%, $E$9)</f>
        <v>89.983800000000002</v>
      </c>
      <c r="J1042" s="10">
        <f>CHOOSE(CONTROL!$C$42, 89.9773, 89.9773)* CHOOSE(CONTROL!$C$21, $C$9, 100%, $E$9)</f>
        <v>89.9773</v>
      </c>
      <c r="K1042" s="54">
        <f>CHOOSE(CONTROL!$C$42, 89.9799, 89.9799) * CHOOSE(CONTROL!$C$21, $C$9, 100%, $E$9)</f>
        <v>89.979900000000001</v>
      </c>
      <c r="L1042" s="10">
        <f>CHOOSE(CONTROL!$C$42, 90.8243, 90.8243) * CHOOSE(CONTROL!$C$21, $C$9, 100%, $E$9)</f>
        <v>90.824299999999994</v>
      </c>
      <c r="M1042" s="10">
        <f>CHOOSE(CONTROL!$C$42, 89.0831, 89.0831) * CHOOSE(CONTROL!$C$21, $C$9, 100%, $E$9)</f>
        <v>89.083100000000002</v>
      </c>
      <c r="N1042" s="10">
        <f>CHOOSE(CONTROL!$C$42, 89.0999, 89.0999) * CHOOSE(CONTROL!$C$21, $C$9, 100%, $E$9)</f>
        <v>89.099900000000005</v>
      </c>
      <c r="O1042" s="10">
        <f>CHOOSE(CONTROL!$C$42, 89.3405, 89.3405) * CHOOSE(CONTROL!$C$21, $C$9, 100%, $E$9)</f>
        <v>89.340500000000006</v>
      </c>
      <c r="P1042" s="10">
        <f>CHOOSE(CONTROL!$C$42, 89.0895, 89.0895) * CHOOSE(CONTROL!$C$21, $C$9, 100%, $E$9)</f>
        <v>89.089500000000001</v>
      </c>
      <c r="Q1042" s="10">
        <f>CHOOSE(CONTROL!$C$42, 89.9358, 89.9358) * CHOOSE(CONTROL!$C$21, $C$9, 100%, $E$9)</f>
        <v>89.9358</v>
      </c>
      <c r="R1042" s="10">
        <f>CHOOSE(CONTROL!$C$42, 90.7476, 90.7476) * CHOOSE(CONTROL!$C$21, $C$9, 100%, $E$9)</f>
        <v>90.747600000000006</v>
      </c>
      <c r="S1042" s="10">
        <f>CHOOSE(CONTROL!$C$42, 87.4115, 87.4115) * CHOOSE(CONTROL!$C$21, $C$9, 100%, $E$9)</f>
        <v>87.411500000000004</v>
      </c>
      <c r="T1042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042" s="58">
        <f>(1000*CHOOSE(CONTROL!$C$42, 695, 695)*CHOOSE(CONTROL!$C$42, 0.5599, 0.5599)*CHOOSE(CONTROL!$C$42, 31, 31))/1000000</f>
        <v>12.063045499999998</v>
      </c>
      <c r="V1042" s="58">
        <f>(1000*CHOOSE(CONTROL!$C$42, 500, 500)*CHOOSE(CONTROL!$C$42, 0.275, 0.275)*CHOOSE(CONTROL!$C$42, 31, 31))/1000000</f>
        <v>4.2625000000000002</v>
      </c>
      <c r="W1042" s="58">
        <f>(1000*CHOOSE(CONTROL!$C$42, 0.1146, 0.1146)*CHOOSE(CONTROL!$C$42, 121.5, 121.5)*CHOOSE(CONTROL!$C$42, 31, 31))/1000000</f>
        <v>0.43164089999999994</v>
      </c>
      <c r="X1042" s="58">
        <f>(31*0.1790888*245000/1000000)+(31*0.2374*100000/1000000)</f>
        <v>2.0961194359999999</v>
      </c>
      <c r="Y1042" s="58"/>
      <c r="Z1042" s="10"/>
      <c r="AA1042" s="57"/>
      <c r="AB1042" s="51">
        <f>(B1042*131.881+C1042*277.167+D1042*79.08+E1042*125.872+F1042*40+G1042*185+H1042*0+I1042*100+J1042*300)/(131.881+277.167+79.08+125.872+0+40+185+100+300)</f>
        <v>90.038156552945935</v>
      </c>
      <c r="AC1042" s="27">
        <f>(M1042*'RAP TEMPLATE-GAS AVAILABILITY'!O1041+N1042*'RAP TEMPLATE-GAS AVAILABILITY'!P1041+O1042*'RAP TEMPLATE-GAS AVAILABILITY'!Q1041+P1042*'RAP TEMPLATE-GAS AVAILABILITY'!R1041)/('RAP TEMPLATE-GAS AVAILABILITY'!O1041+'RAP TEMPLATE-GAS AVAILABILITY'!P1041+'RAP TEMPLATE-GAS AVAILABILITY'!Q1041+'RAP TEMPLATE-GAS AVAILABILITY'!R1041)</f>
        <v>89.201651079136695</v>
      </c>
    </row>
    <row r="1043" spans="1:29" ht="15.75" x14ac:dyDescent="0.25">
      <c r="A1043" s="13">
        <v>72654</v>
      </c>
      <c r="B1043" s="10">
        <f>CHOOSE(CONTROL!$C$42, 92.3864, 92.3864) * CHOOSE(CONTROL!$C$21, $C$9, 100%, $E$9)</f>
        <v>92.386399999999995</v>
      </c>
      <c r="C1043" s="10">
        <f>CHOOSE(CONTROL!$C$42, 92.3913, 92.3913) * CHOOSE(CONTROL!$C$21, $C$9, 100%, $E$9)</f>
        <v>92.391300000000001</v>
      </c>
      <c r="D1043" s="10">
        <f>CHOOSE(CONTROL!$C$42, 92.4209, 92.4209) * CHOOSE(CONTROL!$C$21, $C$9, 100%, $E$9)</f>
        <v>92.420900000000003</v>
      </c>
      <c r="E1043" s="10">
        <f>CHOOSE(CONTROL!$C$42, 92.4547, 92.4547) * CHOOSE(CONTROL!$C$21, $C$9, 100%, $E$9)</f>
        <v>92.454700000000003</v>
      </c>
      <c r="F1043" s="10">
        <f>CHOOSE(CONTROL!$C$42, 92.3532, 92.3532)*CHOOSE(CONTROL!$C$21, $C$9, 100%, $E$9)</f>
        <v>92.353200000000001</v>
      </c>
      <c r="G1043" s="10">
        <f>CHOOSE(CONTROL!$C$42, 92.3703, 92.3703)*CHOOSE(CONTROL!$C$21, $C$9, 100%, $E$9)</f>
        <v>92.3703</v>
      </c>
      <c r="H1043" s="10">
        <f>CHOOSE(CONTROL!$C$42, 92.4439, 92.4439) * CHOOSE(CONTROL!$C$21, $C$9, 100%, $E$9)</f>
        <v>92.443899999999999</v>
      </c>
      <c r="I1043" s="10">
        <f>CHOOSE(CONTROL!$C$42, 92.35, 92.35)* CHOOSE(CONTROL!$C$21, $C$9, 100%, $E$9)</f>
        <v>92.35</v>
      </c>
      <c r="J1043" s="10">
        <f>CHOOSE(CONTROL!$C$42, 92.3462, 92.3462)* CHOOSE(CONTROL!$C$21, $C$9, 100%, $E$9)</f>
        <v>92.346199999999996</v>
      </c>
      <c r="K1043" s="54">
        <f>CHOOSE(CONTROL!$C$42, 92.3461, 92.3461) * CHOOSE(CONTROL!$C$21, $C$9, 100%, $E$9)</f>
        <v>92.346100000000007</v>
      </c>
      <c r="L1043" s="10">
        <f>CHOOSE(CONTROL!$C$42, 93.0309, 93.0309) * CHOOSE(CONTROL!$C$21, $C$9, 100%, $E$9)</f>
        <v>93.030900000000003</v>
      </c>
      <c r="M1043" s="10">
        <f>CHOOSE(CONTROL!$C$42, 91.4281, 91.4281) * CHOOSE(CONTROL!$C$21, $C$9, 100%, $E$9)</f>
        <v>91.428100000000001</v>
      </c>
      <c r="N1043" s="10">
        <f>CHOOSE(CONTROL!$C$42, 91.445, 91.445) * CHOOSE(CONTROL!$C$21, $C$9, 100%, $E$9)</f>
        <v>91.444999999999993</v>
      </c>
      <c r="O1043" s="10">
        <f>CHOOSE(CONTROL!$C$42, 91.5248, 91.5248) * CHOOSE(CONTROL!$C$21, $C$9, 100%, $E$9)</f>
        <v>91.524799999999999</v>
      </c>
      <c r="P1043" s="10">
        <f>CHOOSE(CONTROL!$C$42, 91.4319, 91.4319) * CHOOSE(CONTROL!$C$21, $C$9, 100%, $E$9)</f>
        <v>91.431899999999999</v>
      </c>
      <c r="Q1043" s="10">
        <f>CHOOSE(CONTROL!$C$42, 92.1201, 92.1201) * CHOOSE(CONTROL!$C$21, $C$9, 100%, $E$9)</f>
        <v>92.120099999999994</v>
      </c>
      <c r="R1043" s="10">
        <f>CHOOSE(CONTROL!$C$42, 92.9374, 92.9374) * CHOOSE(CONTROL!$C$21, $C$9, 100%, $E$9)</f>
        <v>92.937399999999997</v>
      </c>
      <c r="S1043" s="10">
        <f>CHOOSE(CONTROL!$C$42, 89.7143, 89.7143) * CHOOSE(CONTROL!$C$21, $C$9, 100%, $E$9)</f>
        <v>89.714299999999994</v>
      </c>
      <c r="T1043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043" s="58">
        <f>(1000*CHOOSE(CONTROL!$C$42, 695, 695)*CHOOSE(CONTROL!$C$42, 0.5599, 0.5599)*CHOOSE(CONTROL!$C$42, 30, 30))/1000000</f>
        <v>11.673914999999997</v>
      </c>
      <c r="V1043" s="58">
        <f>(1000*CHOOSE(CONTROL!$C$42, 500, 500)*CHOOSE(CONTROL!$C$42, 0.275, 0.275)*CHOOSE(CONTROL!$C$42, 30, 30))/1000000</f>
        <v>4.125</v>
      </c>
      <c r="W1043" s="58">
        <f>(1000*CHOOSE(CONTROL!$C$42, 0.1146, 0.1146)*CHOOSE(CONTROL!$C$42, 121.5, 121.5)*CHOOSE(CONTROL!$C$42, 30, 30))/1000000</f>
        <v>0.417717</v>
      </c>
      <c r="X1043" s="58">
        <f>(30*0.1790888*100000/1000000)+(30*0.2374*100000/1000000)</f>
        <v>1.2494664</v>
      </c>
      <c r="Y1043" s="58"/>
      <c r="Z1043" s="10"/>
      <c r="AA1043" s="57"/>
      <c r="AB1043" s="51">
        <f>(B1043*122.58+C1043*297.941+D1043*89.177+E1043*40.302+F1043*40+G1043*160+H1043*0+I1043*100+J1043*300)/(122.58+297.941+89.177+40.302+0+40+160+100+300)</f>
        <v>92.375691429565208</v>
      </c>
      <c r="AC1043" s="27">
        <f>(M1043*'RAP TEMPLATE-GAS AVAILABILITY'!O1042+N1043*'RAP TEMPLATE-GAS AVAILABILITY'!P1042+O1043*'RAP TEMPLATE-GAS AVAILABILITY'!Q1042+P1043*'RAP TEMPLATE-GAS AVAILABILITY'!R1042)/('RAP TEMPLATE-GAS AVAILABILITY'!O1042+'RAP TEMPLATE-GAS AVAILABILITY'!P1042+'RAP TEMPLATE-GAS AVAILABILITY'!Q1042+'RAP TEMPLATE-GAS AVAILABILITY'!R1042)</f>
        <v>91.473447482014393</v>
      </c>
    </row>
    <row r="1044" spans="1:29" ht="15.75" x14ac:dyDescent="0.25">
      <c r="A1044" s="13">
        <v>72685</v>
      </c>
      <c r="B1044" s="10">
        <f>CHOOSE(CONTROL!$C$42, 98.685, 98.685) * CHOOSE(CONTROL!$C$21, $C$9, 100%, $E$9)</f>
        <v>98.685000000000002</v>
      </c>
      <c r="C1044" s="10">
        <f>CHOOSE(CONTROL!$C$42, 98.69, 98.69) * CHOOSE(CONTROL!$C$21, $C$9, 100%, $E$9)</f>
        <v>98.69</v>
      </c>
      <c r="D1044" s="10">
        <f>CHOOSE(CONTROL!$C$42, 98.7196, 98.7196) * CHOOSE(CONTROL!$C$21, $C$9, 100%, $E$9)</f>
        <v>98.7196</v>
      </c>
      <c r="E1044" s="10">
        <f>CHOOSE(CONTROL!$C$42, 98.7534, 98.7534) * CHOOSE(CONTROL!$C$21, $C$9, 100%, $E$9)</f>
        <v>98.753399999999999</v>
      </c>
      <c r="F1044" s="10">
        <f>CHOOSE(CONTROL!$C$42, 98.6532, 98.6532)*CHOOSE(CONTROL!$C$21, $C$9, 100%, $E$9)</f>
        <v>98.653199999999998</v>
      </c>
      <c r="G1044" s="10">
        <f>CHOOSE(CONTROL!$C$42, 98.6707, 98.6707)*CHOOSE(CONTROL!$C$21, $C$9, 100%, $E$9)</f>
        <v>98.670699999999997</v>
      </c>
      <c r="H1044" s="10">
        <f>CHOOSE(CONTROL!$C$42, 98.7426, 98.7426) * CHOOSE(CONTROL!$C$21, $C$9, 100%, $E$9)</f>
        <v>98.742599999999996</v>
      </c>
      <c r="I1044" s="10">
        <f>CHOOSE(CONTROL!$C$42, 98.6486, 98.6486)* CHOOSE(CONTROL!$C$21, $C$9, 100%, $E$9)</f>
        <v>98.648600000000002</v>
      </c>
      <c r="J1044" s="10">
        <f>CHOOSE(CONTROL!$C$42, 98.6462, 98.6462)* CHOOSE(CONTROL!$C$21, $C$9, 100%, $E$9)</f>
        <v>98.646199999999993</v>
      </c>
      <c r="K1044" s="54">
        <f>CHOOSE(CONTROL!$C$42, 98.6447, 98.6447) * CHOOSE(CONTROL!$C$21, $C$9, 100%, $E$9)</f>
        <v>98.6447</v>
      </c>
      <c r="L1044" s="10">
        <f>CHOOSE(CONTROL!$C$42, 99.3296, 99.3296) * CHOOSE(CONTROL!$C$21, $C$9, 100%, $E$9)</f>
        <v>99.329599999999999</v>
      </c>
      <c r="M1044" s="10">
        <f>CHOOSE(CONTROL!$C$42, 97.6646, 97.6646) * CHOOSE(CONTROL!$C$21, $C$9, 100%, $E$9)</f>
        <v>97.664599999999993</v>
      </c>
      <c r="N1044" s="10">
        <f>CHOOSE(CONTROL!$C$42, 97.6819, 97.6819) * CHOOSE(CONTROL!$C$21, $C$9, 100%, $E$9)</f>
        <v>97.681899999999999</v>
      </c>
      <c r="O1044" s="10">
        <f>CHOOSE(CONTROL!$C$42, 97.7599, 97.7599) * CHOOSE(CONTROL!$C$21, $C$9, 100%, $E$9)</f>
        <v>97.759900000000002</v>
      </c>
      <c r="P1044" s="10">
        <f>CHOOSE(CONTROL!$C$42, 97.667, 97.667) * CHOOSE(CONTROL!$C$21, $C$9, 100%, $E$9)</f>
        <v>97.667000000000002</v>
      </c>
      <c r="Q1044" s="10">
        <f>CHOOSE(CONTROL!$C$42, 98.3552, 98.3552) * CHOOSE(CONTROL!$C$21, $C$9, 100%, $E$9)</f>
        <v>98.355199999999996</v>
      </c>
      <c r="R1044" s="10">
        <f>CHOOSE(CONTROL!$C$42, 99.1881, 99.1881) * CHOOSE(CONTROL!$C$21, $C$9, 100%, $E$9)</f>
        <v>99.188100000000006</v>
      </c>
      <c r="S1044" s="10">
        <f>CHOOSE(CONTROL!$C$42, 95.8309, 95.8309) * CHOOSE(CONTROL!$C$21, $C$9, 100%, $E$9)</f>
        <v>95.8309</v>
      </c>
      <c r="T1044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044" s="58">
        <f>(1000*CHOOSE(CONTROL!$C$42, 695, 695)*CHOOSE(CONTROL!$C$42, 0.5599, 0.5599)*CHOOSE(CONTROL!$C$42, 31, 31))/1000000</f>
        <v>12.063045499999998</v>
      </c>
      <c r="V1044" s="58">
        <f>(1000*CHOOSE(CONTROL!$C$42, 500, 500)*CHOOSE(CONTROL!$C$42, 0.275, 0.275)*CHOOSE(CONTROL!$C$42, 31, 31))/1000000</f>
        <v>4.2625000000000002</v>
      </c>
      <c r="W1044" s="58">
        <f>(1000*CHOOSE(CONTROL!$C$42, 0.1146, 0.1146)*CHOOSE(CONTROL!$C$42, 121.5, 121.5)*CHOOSE(CONTROL!$C$42, 31, 31))/1000000</f>
        <v>0.43164089999999994</v>
      </c>
      <c r="X1044" s="58">
        <f>(31*0.1790888*100000/1000000)+(31*0.2374*100000/1000000)</f>
        <v>1.2911152800000001</v>
      </c>
      <c r="Y1044" s="58"/>
      <c r="Z1044" s="10"/>
      <c r="AA1044" s="57"/>
      <c r="AB1044" s="51">
        <f>(B1044*122.58+C1044*297.941+D1044*89.177+E1044*40.302+F1044*40+G1044*160+H1044*0+I1044*100+J1044*300)/(122.58+297.941+89.177+40.302+0+40+160+100+300)</f>
        <v>98.674992944347821</v>
      </c>
      <c r="AC1044" s="27">
        <f>(M1044*'RAP TEMPLATE-GAS AVAILABILITY'!O1043+N1044*'RAP TEMPLATE-GAS AVAILABILITY'!P1043+O1044*'RAP TEMPLATE-GAS AVAILABILITY'!Q1043+P1044*'RAP TEMPLATE-GAS AVAILABILITY'!R1043)/('RAP TEMPLATE-GAS AVAILABILITY'!O1043+'RAP TEMPLATE-GAS AVAILABILITY'!P1043+'RAP TEMPLATE-GAS AVAILABILITY'!Q1043+'RAP TEMPLATE-GAS AVAILABILITY'!R1043)</f>
        <v>97.709134532374094</v>
      </c>
    </row>
    <row r="1045" spans="1:29" ht="15.75" x14ac:dyDescent="0.25">
      <c r="A1045" s="13">
        <v>72716</v>
      </c>
      <c r="B1045" s="10">
        <f>CHOOSE(CONTROL!$C$42, 106.7707, 106.7707) * CHOOSE(CONTROL!$C$21, $C$9, 100%, $E$9)</f>
        <v>106.77070000000001</v>
      </c>
      <c r="C1045" s="10">
        <f>CHOOSE(CONTROL!$C$42, 106.7757, 106.7757) * CHOOSE(CONTROL!$C$21, $C$9, 100%, $E$9)</f>
        <v>106.7757</v>
      </c>
      <c r="D1045" s="10">
        <f>CHOOSE(CONTROL!$C$42, 106.8259, 106.8259) * CHOOSE(CONTROL!$C$21, $C$9, 100%, $E$9)</f>
        <v>106.8259</v>
      </c>
      <c r="E1045" s="10">
        <f>CHOOSE(CONTROL!$C$42, 106.8597, 106.8597) * CHOOSE(CONTROL!$C$21, $C$9, 100%, $E$9)</f>
        <v>106.8597</v>
      </c>
      <c r="F1045" s="10">
        <f>CHOOSE(CONTROL!$C$42, 106.7361, 106.7361)*CHOOSE(CONTROL!$C$21, $C$9, 100%, $E$9)</f>
        <v>106.73609999999999</v>
      </c>
      <c r="G1045" s="10">
        <f>CHOOSE(CONTROL!$C$42, 106.7537, 106.7537)*CHOOSE(CONTROL!$C$21, $C$9, 100%, $E$9)</f>
        <v>106.75369999999999</v>
      </c>
      <c r="H1045" s="10">
        <f>CHOOSE(CONTROL!$C$42, 106.8489, 106.8489) * CHOOSE(CONTROL!$C$21, $C$9, 100%, $E$9)</f>
        <v>106.8489</v>
      </c>
      <c r="I1045" s="10">
        <f>CHOOSE(CONTROL!$C$42, 106.7446, 106.7446)* CHOOSE(CONTROL!$C$21, $C$9, 100%, $E$9)</f>
        <v>106.74460000000001</v>
      </c>
      <c r="J1045" s="10">
        <f>CHOOSE(CONTROL!$C$42, 106.7291, 106.7291)* CHOOSE(CONTROL!$C$21, $C$9, 100%, $E$9)</f>
        <v>106.7291</v>
      </c>
      <c r="K1045" s="54">
        <f>CHOOSE(CONTROL!$C$42, 106.7408, 106.7408) * CHOOSE(CONTROL!$C$21, $C$9, 100%, $E$9)</f>
        <v>106.74079999999999</v>
      </c>
      <c r="L1045" s="10">
        <f>CHOOSE(CONTROL!$C$42, 107.4359, 107.4359) * CHOOSE(CONTROL!$C$21, $C$9, 100%, $E$9)</f>
        <v>107.4359</v>
      </c>
      <c r="M1045" s="10">
        <f>CHOOSE(CONTROL!$C$42, 105.6659, 105.6659) * CHOOSE(CONTROL!$C$21, $C$9, 100%, $E$9)</f>
        <v>105.66589999999999</v>
      </c>
      <c r="N1045" s="10">
        <f>CHOOSE(CONTROL!$C$42, 105.6832, 105.6832) * CHOOSE(CONTROL!$C$21, $C$9, 100%, $E$9)</f>
        <v>105.6832</v>
      </c>
      <c r="O1045" s="10">
        <f>CHOOSE(CONTROL!$C$42, 105.7844, 105.7844) * CHOOSE(CONTROL!$C$21, $C$9, 100%, $E$9)</f>
        <v>105.78440000000001</v>
      </c>
      <c r="P1045" s="10">
        <f>CHOOSE(CONTROL!$C$42, 105.6813, 105.6813) * CHOOSE(CONTROL!$C$21, $C$9, 100%, $E$9)</f>
        <v>105.68129999999999</v>
      </c>
      <c r="Q1045" s="10">
        <f>CHOOSE(CONTROL!$C$42, 106.3797, 106.3797) * CHOOSE(CONTROL!$C$21, $C$9, 100%, $E$9)</f>
        <v>106.3797</v>
      </c>
      <c r="R1045" s="10">
        <f>CHOOSE(CONTROL!$C$42, 107.2327, 107.2327) * CHOOSE(CONTROL!$C$21, $C$9, 100%, $E$9)</f>
        <v>107.23269999999999</v>
      </c>
      <c r="S1045" s="10">
        <f>CHOOSE(CONTROL!$C$42, 103.6829, 103.6829) * CHOOSE(CONTROL!$C$21, $C$9, 100%, $E$9)</f>
        <v>103.6829</v>
      </c>
      <c r="T1045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045" s="58">
        <f>(1000*CHOOSE(CONTROL!$C$42, 695, 695)*CHOOSE(CONTROL!$C$42, 0.5599, 0.5599)*CHOOSE(CONTROL!$C$42, 31, 31))/1000000</f>
        <v>12.063045499999998</v>
      </c>
      <c r="V1045" s="58">
        <f>(1000*CHOOSE(CONTROL!$C$42, 500, 500)*CHOOSE(CONTROL!$C$42, 0.275, 0.275)*CHOOSE(CONTROL!$C$42, 31, 31))/1000000</f>
        <v>4.2625000000000002</v>
      </c>
      <c r="W1045" s="58">
        <f>(1000*CHOOSE(CONTROL!$C$42, 0.1146, 0.1146)*CHOOSE(CONTROL!$C$42, 121.5, 121.5)*CHOOSE(CONTROL!$C$42, 31, 31))/1000000</f>
        <v>0.43164089999999994</v>
      </c>
      <c r="X1045" s="58">
        <f>(31*0.1790888*100000/1000000)+(31*0.2374*100000/1000000)</f>
        <v>1.2911152800000001</v>
      </c>
      <c r="Y1045" s="58"/>
      <c r="Z1045" s="10"/>
      <c r="AA1045" s="57"/>
      <c r="AB1045" s="51">
        <f>(B1045*122.58+C1045*297.941+D1045*89.177+E1045*40.302+F1045*40+G1045*160+H1045*0+I1045*100+J1045*300)/(122.58+297.941+89.177+40.302+0+40+160+100+300)</f>
        <v>106.76270448121738</v>
      </c>
      <c r="AC1045" s="27">
        <f>(M1045*'RAP TEMPLATE-GAS AVAILABILITY'!O1044+N1045*'RAP TEMPLATE-GAS AVAILABILITY'!P1044+O1045*'RAP TEMPLATE-GAS AVAILABILITY'!Q1044+P1045*'RAP TEMPLATE-GAS AVAILABILITY'!R1044)/('RAP TEMPLATE-GAS AVAILABILITY'!O1044+'RAP TEMPLATE-GAS AVAILABILITY'!P1044+'RAP TEMPLATE-GAS AVAILABILITY'!Q1044+'RAP TEMPLATE-GAS AVAILABILITY'!R1044)</f>
        <v>105.72282014388489</v>
      </c>
    </row>
    <row r="1046" spans="1:29" ht="15.75" x14ac:dyDescent="0.25">
      <c r="A1046" s="13">
        <v>72744</v>
      </c>
      <c r="B1046" s="10">
        <f>CHOOSE(CONTROL!$C$42, 108.6714, 108.6714) * CHOOSE(CONTROL!$C$21, $C$9, 100%, $E$9)</f>
        <v>108.67140000000001</v>
      </c>
      <c r="C1046" s="10">
        <f>CHOOSE(CONTROL!$C$42, 108.6763, 108.6763) * CHOOSE(CONTROL!$C$21, $C$9, 100%, $E$9)</f>
        <v>108.6763</v>
      </c>
      <c r="D1046" s="10">
        <f>CHOOSE(CONTROL!$C$42, 108.7368, 108.7368) * CHOOSE(CONTROL!$C$21, $C$9, 100%, $E$9)</f>
        <v>108.7368</v>
      </c>
      <c r="E1046" s="10">
        <f>CHOOSE(CONTROL!$C$42, 108.7706, 108.7706) * CHOOSE(CONTROL!$C$21, $C$9, 100%, $E$9)</f>
        <v>108.7706</v>
      </c>
      <c r="F1046" s="10">
        <f>CHOOSE(CONTROL!$C$42, 108.6646, 108.6646)*CHOOSE(CONTROL!$C$21, $C$9, 100%, $E$9)</f>
        <v>108.66459999999999</v>
      </c>
      <c r="G1046" s="10">
        <f>CHOOSE(CONTROL!$C$42, 108.6819, 108.6819)*CHOOSE(CONTROL!$C$21, $C$9, 100%, $E$9)</f>
        <v>108.6819</v>
      </c>
      <c r="H1046" s="10">
        <f>CHOOSE(CONTROL!$C$42, 108.7598, 108.7598) * CHOOSE(CONTROL!$C$21, $C$9, 100%, $E$9)</f>
        <v>108.7598</v>
      </c>
      <c r="I1046" s="10">
        <f>CHOOSE(CONTROL!$C$42, 108.6581, 108.6581)* CHOOSE(CONTROL!$C$21, $C$9, 100%, $E$9)</f>
        <v>108.6581</v>
      </c>
      <c r="J1046" s="10">
        <f>CHOOSE(CONTROL!$C$42, 108.6576, 108.6576)* CHOOSE(CONTROL!$C$21, $C$9, 100%, $E$9)</f>
        <v>108.6576</v>
      </c>
      <c r="K1046" s="54">
        <f>CHOOSE(CONTROL!$C$42, 108.6543, 108.6543) * CHOOSE(CONTROL!$C$21, $C$9, 100%, $E$9)</f>
        <v>108.65430000000001</v>
      </c>
      <c r="L1046" s="10">
        <f>CHOOSE(CONTROL!$C$42, 109.3468, 109.3468) * CHOOSE(CONTROL!$C$21, $C$9, 100%, $E$9)</f>
        <v>109.3468</v>
      </c>
      <c r="M1046" s="10">
        <f>CHOOSE(CONTROL!$C$42, 107.5749, 107.5749) * CHOOSE(CONTROL!$C$21, $C$9, 100%, $E$9)</f>
        <v>107.5749</v>
      </c>
      <c r="N1046" s="10">
        <f>CHOOSE(CONTROL!$C$42, 107.592, 107.592) * CHOOSE(CONTROL!$C$21, $C$9, 100%, $E$9)</f>
        <v>107.592</v>
      </c>
      <c r="O1046" s="10">
        <f>CHOOSE(CONTROL!$C$42, 107.6761, 107.6761) * CHOOSE(CONTROL!$C$21, $C$9, 100%, $E$9)</f>
        <v>107.67610000000001</v>
      </c>
      <c r="P1046" s="10">
        <f>CHOOSE(CONTROL!$C$42, 107.5755, 107.5755) * CHOOSE(CONTROL!$C$21, $C$9, 100%, $E$9)</f>
        <v>107.57550000000001</v>
      </c>
      <c r="Q1046" s="10">
        <f>CHOOSE(CONTROL!$C$42, 108.2714, 108.2714) * CHOOSE(CONTROL!$C$21, $C$9, 100%, $E$9)</f>
        <v>108.2714</v>
      </c>
      <c r="R1046" s="10">
        <f>CHOOSE(CONTROL!$C$42, 109.129, 109.129) * CHOOSE(CONTROL!$C$21, $C$9, 100%, $E$9)</f>
        <v>109.129</v>
      </c>
      <c r="S1046" s="10">
        <f>CHOOSE(CONTROL!$C$42, 105.5286, 105.5286) * CHOOSE(CONTROL!$C$21, $C$9, 100%, $E$9)</f>
        <v>105.5286</v>
      </c>
      <c r="T1046" s="5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1046" s="58">
        <f>(1000*CHOOSE(CONTROL!$C$42, 695, 695)*CHOOSE(CONTROL!$C$42, 0.5599, 0.5599)*CHOOSE(CONTROL!$C$42, 28, 28))/1000000</f>
        <v>10.895653999999999</v>
      </c>
      <c r="V1046" s="58">
        <f>(1000*CHOOSE(CONTROL!$C$42, 500, 500)*CHOOSE(CONTROL!$C$42, 0.275, 0.275)*CHOOSE(CONTROL!$C$42, 28, 28))/1000000</f>
        <v>3.85</v>
      </c>
      <c r="W1046" s="58">
        <f>(1000*CHOOSE(CONTROL!$C$42, 0.1146, 0.1146)*CHOOSE(CONTROL!$C$42, 121.5, 121.5)*CHOOSE(CONTROL!$C$42, 28, 28))/1000000</f>
        <v>0.38986920000000003</v>
      </c>
      <c r="X1046" s="58">
        <f>(28*0.1790888*100000/1000000)+(28*0.2374*100000/1000000)</f>
        <v>1.16616864</v>
      </c>
      <c r="Y1046" s="58"/>
      <c r="Z1046" s="10"/>
      <c r="AA1046" s="57"/>
      <c r="AB1046" s="51">
        <f>(B1046*122.58+C1046*297.941+D1046*89.177+E1046*40.302+F1046*40+G1046*160+H1046*0+I1046*100+J1046*300)/(122.58+297.941+89.177+40.302+0+40+160+100+300)</f>
        <v>108.67768525660868</v>
      </c>
      <c r="AC1046" s="27">
        <f>(M1046*'RAP TEMPLATE-GAS AVAILABILITY'!O1045+N1046*'RAP TEMPLATE-GAS AVAILABILITY'!P1045+O1046*'RAP TEMPLATE-GAS AVAILABILITY'!Q1045+P1046*'RAP TEMPLATE-GAS AVAILABILITY'!R1045)/('RAP TEMPLATE-GAS AVAILABILITY'!O1045+'RAP TEMPLATE-GAS AVAILABILITY'!P1045+'RAP TEMPLATE-GAS AVAILABILITY'!Q1045+'RAP TEMPLATE-GAS AVAILABILITY'!R1045)</f>
        <v>107.62183812949641</v>
      </c>
    </row>
    <row r="1047" spans="1:29" ht="15.75" x14ac:dyDescent="0.25">
      <c r="A1047" s="13">
        <v>72775</v>
      </c>
      <c r="B1047" s="10">
        <f>CHOOSE(CONTROL!$C$42, 105.5862, 105.5862) * CHOOSE(CONTROL!$C$21, $C$9, 100%, $E$9)</f>
        <v>105.58620000000001</v>
      </c>
      <c r="C1047" s="10">
        <f>CHOOSE(CONTROL!$C$42, 105.5912, 105.5912) * CHOOSE(CONTROL!$C$21, $C$9, 100%, $E$9)</f>
        <v>105.5912</v>
      </c>
      <c r="D1047" s="10">
        <f>CHOOSE(CONTROL!$C$42, 105.6517, 105.6517) * CHOOSE(CONTROL!$C$21, $C$9, 100%, $E$9)</f>
        <v>105.65170000000001</v>
      </c>
      <c r="E1047" s="10">
        <f>CHOOSE(CONTROL!$C$42, 105.6854, 105.6854) * CHOOSE(CONTROL!$C$21, $C$9, 100%, $E$9)</f>
        <v>105.6854</v>
      </c>
      <c r="F1047" s="10">
        <f>CHOOSE(CONTROL!$C$42, 105.5739, 105.5739)*CHOOSE(CONTROL!$C$21, $C$9, 100%, $E$9)</f>
        <v>105.57389999999999</v>
      </c>
      <c r="G1047" s="10">
        <f>CHOOSE(CONTROL!$C$42, 105.5911, 105.5911)*CHOOSE(CONTROL!$C$21, $C$9, 100%, $E$9)</f>
        <v>105.5911</v>
      </c>
      <c r="H1047" s="10">
        <f>CHOOSE(CONTROL!$C$42, 105.6746, 105.6746) * CHOOSE(CONTROL!$C$21, $C$9, 100%, $E$9)</f>
        <v>105.6746</v>
      </c>
      <c r="I1047" s="10">
        <f>CHOOSE(CONTROL!$C$42, 105.5601, 105.5601)* CHOOSE(CONTROL!$C$21, $C$9, 100%, $E$9)</f>
        <v>105.56010000000001</v>
      </c>
      <c r="J1047" s="10">
        <f>CHOOSE(CONTROL!$C$42, 105.5669, 105.5669)* CHOOSE(CONTROL!$C$21, $C$9, 100%, $E$9)</f>
        <v>105.5669</v>
      </c>
      <c r="K1047" s="54">
        <f>CHOOSE(CONTROL!$C$42, 105.5562, 105.5562) * CHOOSE(CONTROL!$C$21, $C$9, 100%, $E$9)</f>
        <v>105.5562</v>
      </c>
      <c r="L1047" s="10">
        <f>CHOOSE(CONTROL!$C$42, 106.2616, 106.2616) * CHOOSE(CONTROL!$C$21, $C$9, 100%, $E$9)</f>
        <v>106.2616</v>
      </c>
      <c r="M1047" s="10">
        <f>CHOOSE(CONTROL!$C$42, 104.5154, 104.5154) * CHOOSE(CONTROL!$C$21, $C$9, 100%, $E$9)</f>
        <v>104.5154</v>
      </c>
      <c r="N1047" s="10">
        <f>CHOOSE(CONTROL!$C$42, 104.5324, 104.5324) * CHOOSE(CONTROL!$C$21, $C$9, 100%, $E$9)</f>
        <v>104.5324</v>
      </c>
      <c r="O1047" s="10">
        <f>CHOOSE(CONTROL!$C$42, 104.622, 104.622) * CHOOSE(CONTROL!$C$21, $C$9, 100%, $E$9)</f>
        <v>104.622</v>
      </c>
      <c r="P1047" s="10">
        <f>CHOOSE(CONTROL!$C$42, 104.5087, 104.5087) * CHOOSE(CONTROL!$C$21, $C$9, 100%, $E$9)</f>
        <v>104.5087</v>
      </c>
      <c r="Q1047" s="10">
        <f>CHOOSE(CONTROL!$C$42, 105.2173, 105.2173) * CHOOSE(CONTROL!$C$21, $C$9, 100%, $E$9)</f>
        <v>105.21729999999999</v>
      </c>
      <c r="R1047" s="10">
        <f>CHOOSE(CONTROL!$C$42, 106.0674, 106.0674) * CHOOSE(CONTROL!$C$21, $C$9, 100%, $E$9)</f>
        <v>106.06740000000001</v>
      </c>
      <c r="S1047" s="10">
        <f>CHOOSE(CONTROL!$C$42, 102.5326, 102.5326) * CHOOSE(CONTROL!$C$21, $C$9, 100%, $E$9)</f>
        <v>102.5326</v>
      </c>
      <c r="T1047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047" s="58">
        <f>(1000*CHOOSE(CONTROL!$C$42, 695, 695)*CHOOSE(CONTROL!$C$42, 0.5599, 0.5599)*CHOOSE(CONTROL!$C$42, 31, 31))/1000000</f>
        <v>12.063045499999998</v>
      </c>
      <c r="V1047" s="58">
        <f>(1000*CHOOSE(CONTROL!$C$42, 500, 500)*CHOOSE(CONTROL!$C$42, 0.275, 0.275)*CHOOSE(CONTROL!$C$42, 31, 31))/1000000</f>
        <v>4.2625000000000002</v>
      </c>
      <c r="W1047" s="58">
        <f>(1000*CHOOSE(CONTROL!$C$42, 0.1146, 0.1146)*CHOOSE(CONTROL!$C$42, 121.5, 121.5)*CHOOSE(CONTROL!$C$42, 31, 31))/1000000</f>
        <v>0.43164089999999994</v>
      </c>
      <c r="X1047" s="58">
        <f>(31*0.1790888*100000/1000000)+(31*0.2374*100000/1000000)</f>
        <v>1.2911152800000001</v>
      </c>
      <c r="Y1047" s="58"/>
      <c r="Z1047" s="10"/>
      <c r="AA1047" s="57"/>
      <c r="AB1047" s="51">
        <f>(B1047*122.58+C1047*297.941+D1047*89.177+E1047*40.302+F1047*40+G1047*160+H1047*0+I1047*100+J1047*300)/(122.58+297.941+89.177+40.302+0+40+160+100+300)</f>
        <v>105.58900065817392</v>
      </c>
      <c r="AC1047" s="27">
        <f>(M1047*'RAP TEMPLATE-GAS AVAILABILITY'!O1046+N1047*'RAP TEMPLATE-GAS AVAILABILITY'!P1046+O1047*'RAP TEMPLATE-GAS AVAILABILITY'!Q1046+P1047*'RAP TEMPLATE-GAS AVAILABILITY'!R1046)/('RAP TEMPLATE-GAS AVAILABILITY'!O1046+'RAP TEMPLATE-GAS AVAILABILITY'!P1046+'RAP TEMPLATE-GAS AVAILABILITY'!Q1046+'RAP TEMPLATE-GAS AVAILABILITY'!R1046)</f>
        <v>104.56372949640289</v>
      </c>
    </row>
    <row r="1048" spans="1:29" ht="15.75" x14ac:dyDescent="0.25">
      <c r="A1048" s="13">
        <v>72805</v>
      </c>
      <c r="B1048" s="10">
        <f>CHOOSE(CONTROL!$C$42, 105.2712, 105.2712) * CHOOSE(CONTROL!$C$21, $C$9, 100%, $E$9)</f>
        <v>105.27119999999999</v>
      </c>
      <c r="C1048" s="10">
        <f>CHOOSE(CONTROL!$C$42, 105.2756, 105.2756) * CHOOSE(CONTROL!$C$21, $C$9, 100%, $E$9)</f>
        <v>105.2756</v>
      </c>
      <c r="D1048" s="10">
        <f>CHOOSE(CONTROL!$C$42, 105.4712, 105.4712) * CHOOSE(CONTROL!$C$21, $C$9, 100%, $E$9)</f>
        <v>105.4712</v>
      </c>
      <c r="E1048" s="10">
        <f>CHOOSE(CONTROL!$C$42, 105.503, 105.503) * CHOOSE(CONTROL!$C$21, $C$9, 100%, $E$9)</f>
        <v>105.503</v>
      </c>
      <c r="F1048" s="10">
        <f>CHOOSE(CONTROL!$C$42, 105.239, 105.239)*CHOOSE(CONTROL!$C$21, $C$9, 100%, $E$9)</f>
        <v>105.239</v>
      </c>
      <c r="G1048" s="10">
        <f>CHOOSE(CONTROL!$C$42, 105.2558, 105.2558)*CHOOSE(CONTROL!$C$21, $C$9, 100%, $E$9)</f>
        <v>105.25579999999999</v>
      </c>
      <c r="H1048" s="10">
        <f>CHOOSE(CONTROL!$C$42, 105.4927, 105.4927) * CHOOSE(CONTROL!$C$21, $C$9, 100%, $E$9)</f>
        <v>105.4927</v>
      </c>
      <c r="I1048" s="10">
        <f>CHOOSE(CONTROL!$C$42, 105.2392, 105.2392)* CHOOSE(CONTROL!$C$21, $C$9, 100%, $E$9)</f>
        <v>105.2392</v>
      </c>
      <c r="J1048" s="10">
        <f>CHOOSE(CONTROL!$C$42, 105.232, 105.232)* CHOOSE(CONTROL!$C$21, $C$9, 100%, $E$9)</f>
        <v>105.232</v>
      </c>
      <c r="K1048" s="54">
        <f>CHOOSE(CONTROL!$C$42, 105.2353, 105.2353) * CHOOSE(CONTROL!$C$21, $C$9, 100%, $E$9)</f>
        <v>105.2353</v>
      </c>
      <c r="L1048" s="10">
        <f>CHOOSE(CONTROL!$C$42, 106.0797, 106.0797) * CHOOSE(CONTROL!$C$21, $C$9, 100%, $E$9)</f>
        <v>106.0797</v>
      </c>
      <c r="M1048" s="10">
        <f>CHOOSE(CONTROL!$C$42, 104.1839, 104.1839) * CHOOSE(CONTROL!$C$21, $C$9, 100%, $E$9)</f>
        <v>104.18389999999999</v>
      </c>
      <c r="N1048" s="10">
        <f>CHOOSE(CONTROL!$C$42, 104.2005, 104.2005) * CHOOSE(CONTROL!$C$21, $C$9, 100%, $E$9)</f>
        <v>104.20050000000001</v>
      </c>
      <c r="O1048" s="10">
        <f>CHOOSE(CONTROL!$C$42, 104.442, 104.442) * CHOOSE(CONTROL!$C$21, $C$9, 100%, $E$9)</f>
        <v>104.44199999999999</v>
      </c>
      <c r="P1048" s="10">
        <f>CHOOSE(CONTROL!$C$42, 104.191, 104.191) * CHOOSE(CONTROL!$C$21, $C$9, 100%, $E$9)</f>
        <v>104.191</v>
      </c>
      <c r="Q1048" s="10">
        <f>CHOOSE(CONTROL!$C$42, 105.0373, 105.0373) * CHOOSE(CONTROL!$C$21, $C$9, 100%, $E$9)</f>
        <v>105.0373</v>
      </c>
      <c r="R1048" s="10">
        <f>CHOOSE(CONTROL!$C$42, 105.8869, 105.8869) * CHOOSE(CONTROL!$C$21, $C$9, 100%, $E$9)</f>
        <v>105.8869</v>
      </c>
      <c r="S1048" s="10">
        <f>CHOOSE(CONTROL!$C$42, 102.226, 102.226) * CHOOSE(CONTROL!$C$21, $C$9, 100%, $E$9)</f>
        <v>102.226</v>
      </c>
      <c r="T1048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048" s="58">
        <f>(1000*CHOOSE(CONTROL!$C$42, 695, 695)*CHOOSE(CONTROL!$C$42, 0.5599, 0.5599)*CHOOSE(CONTROL!$C$42, 30, 30))/1000000</f>
        <v>11.673914999999997</v>
      </c>
      <c r="V1048" s="58">
        <f>(1000*CHOOSE(CONTROL!$C$42, 500, 500)*CHOOSE(CONTROL!$C$42, 0.275, 0.275)*CHOOSE(CONTROL!$C$42, 30, 30))/1000000</f>
        <v>4.125</v>
      </c>
      <c r="W1048" s="58">
        <f>(1000*CHOOSE(CONTROL!$C$42, 0.1146, 0.1146)*CHOOSE(CONTROL!$C$42, 121.5, 121.5)*CHOOSE(CONTROL!$C$42, 30, 30))/1000000</f>
        <v>0.417717</v>
      </c>
      <c r="X1048" s="58">
        <f>(30*0.1790888*245000/1000000)+(30*0.2374*100000/1000000)</f>
        <v>2.0285026799999999</v>
      </c>
      <c r="Y1048" s="58"/>
      <c r="Z1048" s="10"/>
      <c r="AA1048" s="57"/>
      <c r="AB1048" s="51">
        <f>(B1048*141.293+C1048*267.993+D1048*115.016+E1048*89.698+F1048*40+G1048*185+H1048*0+I1048*100+J1048*300)/(141.293+267.993+115.016+89.698+0+40+185+100+300)</f>
        <v>105.29208568652139</v>
      </c>
      <c r="AC1048" s="27">
        <f>(M1048*'RAP TEMPLATE-GAS AVAILABILITY'!O1047+N1048*'RAP TEMPLATE-GAS AVAILABILITY'!P1047+O1048*'RAP TEMPLATE-GAS AVAILABILITY'!Q1047+P1048*'RAP TEMPLATE-GAS AVAILABILITY'!R1047)/('RAP TEMPLATE-GAS AVAILABILITY'!O1047+'RAP TEMPLATE-GAS AVAILABILITY'!P1047+'RAP TEMPLATE-GAS AVAILABILITY'!Q1047+'RAP TEMPLATE-GAS AVAILABILITY'!R1047)</f>
        <v>104.30285755395684</v>
      </c>
    </row>
    <row r="1049" spans="1:29" ht="15.75" x14ac:dyDescent="0.25">
      <c r="A1049" s="13">
        <v>72836</v>
      </c>
      <c r="B1049" s="10">
        <f>CHOOSE(CONTROL!$C$42, 106.2017, 106.2017) * CHOOSE(CONTROL!$C$21, $C$9, 100%, $E$9)</f>
        <v>106.2017</v>
      </c>
      <c r="C1049" s="10">
        <f>CHOOSE(CONTROL!$C$42, 106.2096, 106.2096) * CHOOSE(CONTROL!$C$21, $C$9, 100%, $E$9)</f>
        <v>106.20959999999999</v>
      </c>
      <c r="D1049" s="10">
        <f>CHOOSE(CONTROL!$C$42, 106.4021, 106.4021) * CHOOSE(CONTROL!$C$21, $C$9, 100%, $E$9)</f>
        <v>106.4021</v>
      </c>
      <c r="E1049" s="10">
        <f>CHOOSE(CONTROL!$C$42, 106.4332, 106.4332) * CHOOSE(CONTROL!$C$21, $C$9, 100%, $E$9)</f>
        <v>106.4332</v>
      </c>
      <c r="F1049" s="10">
        <f>CHOOSE(CONTROL!$C$42, 106.168, 106.168)*CHOOSE(CONTROL!$C$21, $C$9, 100%, $E$9)</f>
        <v>106.16800000000001</v>
      </c>
      <c r="G1049" s="10">
        <f>CHOOSE(CONTROL!$C$42, 106.1851, 106.1851)*CHOOSE(CONTROL!$C$21, $C$9, 100%, $E$9)</f>
        <v>106.18510000000001</v>
      </c>
      <c r="H1049" s="10">
        <f>CHOOSE(CONTROL!$C$42, 106.4219, 106.4219) * CHOOSE(CONTROL!$C$21, $C$9, 100%, $E$9)</f>
        <v>106.42189999999999</v>
      </c>
      <c r="I1049" s="10">
        <f>CHOOSE(CONTROL!$C$42, 106.1683, 106.1683)* CHOOSE(CONTROL!$C$21, $C$9, 100%, $E$9)</f>
        <v>106.1683</v>
      </c>
      <c r="J1049" s="10">
        <f>CHOOSE(CONTROL!$C$42, 106.161, 106.161)* CHOOSE(CONTROL!$C$21, $C$9, 100%, $E$9)</f>
        <v>106.161</v>
      </c>
      <c r="K1049" s="54">
        <f>CHOOSE(CONTROL!$C$42, 106.1644, 106.1644) * CHOOSE(CONTROL!$C$21, $C$9, 100%, $E$9)</f>
        <v>106.1644</v>
      </c>
      <c r="L1049" s="10">
        <f>CHOOSE(CONTROL!$C$42, 107.0089, 107.0089) * CHOOSE(CONTROL!$C$21, $C$9, 100%, $E$9)</f>
        <v>107.0089</v>
      </c>
      <c r="M1049" s="10">
        <f>CHOOSE(CONTROL!$C$42, 105.1035, 105.1035) * CHOOSE(CONTROL!$C$21, $C$9, 100%, $E$9)</f>
        <v>105.1035</v>
      </c>
      <c r="N1049" s="10">
        <f>CHOOSE(CONTROL!$C$42, 105.1204, 105.1204) * CHOOSE(CONTROL!$C$21, $C$9, 100%, $E$9)</f>
        <v>105.1204</v>
      </c>
      <c r="O1049" s="10">
        <f>CHOOSE(CONTROL!$C$42, 105.3617, 105.3617) * CHOOSE(CONTROL!$C$21, $C$9, 100%, $E$9)</f>
        <v>105.3617</v>
      </c>
      <c r="P1049" s="10">
        <f>CHOOSE(CONTROL!$C$42, 105.1107, 105.1107) * CHOOSE(CONTROL!$C$21, $C$9, 100%, $E$9)</f>
        <v>105.11069999999999</v>
      </c>
      <c r="Q1049" s="10">
        <f>CHOOSE(CONTROL!$C$42, 105.957, 105.957) * CHOOSE(CONTROL!$C$21, $C$9, 100%, $E$9)</f>
        <v>105.95699999999999</v>
      </c>
      <c r="R1049" s="10">
        <f>CHOOSE(CONTROL!$C$42, 106.8089, 106.8089) * CHOOSE(CONTROL!$C$21, $C$9, 100%, $E$9)</f>
        <v>106.80889999999999</v>
      </c>
      <c r="S1049" s="10">
        <f>CHOOSE(CONTROL!$C$42, 103.1283, 103.1283) * CHOOSE(CONTROL!$C$21, $C$9, 100%, $E$9)</f>
        <v>103.1283</v>
      </c>
      <c r="T1049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049" s="58">
        <f>(1000*CHOOSE(CONTROL!$C$42, 695, 695)*CHOOSE(CONTROL!$C$42, 0.5599, 0.5599)*CHOOSE(CONTROL!$C$42, 31, 31))/1000000</f>
        <v>12.063045499999998</v>
      </c>
      <c r="V1049" s="58">
        <f>(1000*CHOOSE(CONTROL!$C$42, 500, 500)*CHOOSE(CONTROL!$C$42, 0.275, 0.275)*CHOOSE(CONTROL!$C$42, 31, 31))/1000000</f>
        <v>4.2625000000000002</v>
      </c>
      <c r="W1049" s="58">
        <f>(1000*CHOOSE(CONTROL!$C$42, 0.1146, 0.1146)*CHOOSE(CONTROL!$C$42, 121.5, 121.5)*CHOOSE(CONTROL!$C$42, 31, 31))/1000000</f>
        <v>0.43164089999999994</v>
      </c>
      <c r="X1049" s="58">
        <f>(31*0.1790888*245000/1000000)+(31*0.2374*100000/1000000)</f>
        <v>2.0961194359999999</v>
      </c>
      <c r="Y1049" s="58"/>
      <c r="Z1049" s="10"/>
      <c r="AA1049" s="57"/>
      <c r="AB1049" s="51">
        <f>(B1049*194.205+C1049*267.466+D1049*133.845+E1049*53.484+F1049*40+G1049*185+H1049*0+I1049*100+J1049*300)/(194.205+267.466+133.845+53.484+0+40+185+100+300)</f>
        <v>106.21845672323391</v>
      </c>
      <c r="AC1049" s="27">
        <f>(M1049*'RAP TEMPLATE-GAS AVAILABILITY'!O1048+N1049*'RAP TEMPLATE-GAS AVAILABILITY'!P1048+O1049*'RAP TEMPLATE-GAS AVAILABILITY'!Q1048+P1049*'RAP TEMPLATE-GAS AVAILABILITY'!R1048)/('RAP TEMPLATE-GAS AVAILABILITY'!O1048+'RAP TEMPLATE-GAS AVAILABILITY'!P1048+'RAP TEMPLATE-GAS AVAILABILITY'!Q1048+'RAP TEMPLATE-GAS AVAILABILITY'!R1048)</f>
        <v>105.22253453237408</v>
      </c>
    </row>
    <row r="1050" spans="1:29" ht="15.75" x14ac:dyDescent="0.25">
      <c r="A1050" s="13">
        <v>72866</v>
      </c>
      <c r="B1050" s="10">
        <f>CHOOSE(CONTROL!$C$42, 109.2141, 109.2141) * CHOOSE(CONTROL!$C$21, $C$9, 100%, $E$9)</f>
        <v>109.2141</v>
      </c>
      <c r="C1050" s="10">
        <f>CHOOSE(CONTROL!$C$42, 109.2221, 109.2221) * CHOOSE(CONTROL!$C$21, $C$9, 100%, $E$9)</f>
        <v>109.2221</v>
      </c>
      <c r="D1050" s="10">
        <f>CHOOSE(CONTROL!$C$42, 109.4145, 109.4145) * CHOOSE(CONTROL!$C$21, $C$9, 100%, $E$9)</f>
        <v>109.4145</v>
      </c>
      <c r="E1050" s="10">
        <f>CHOOSE(CONTROL!$C$42, 109.4456, 109.4456) * CHOOSE(CONTROL!$C$21, $C$9, 100%, $E$9)</f>
        <v>109.4456</v>
      </c>
      <c r="F1050" s="10">
        <f>CHOOSE(CONTROL!$C$42, 109.1806, 109.1806)*CHOOSE(CONTROL!$C$21, $C$9, 100%, $E$9)</f>
        <v>109.1806</v>
      </c>
      <c r="G1050" s="10">
        <f>CHOOSE(CONTROL!$C$42, 109.1978, 109.1978)*CHOOSE(CONTROL!$C$21, $C$9, 100%, $E$9)</f>
        <v>109.1978</v>
      </c>
      <c r="H1050" s="10">
        <f>CHOOSE(CONTROL!$C$42, 109.4343, 109.4343) * CHOOSE(CONTROL!$C$21, $C$9, 100%, $E$9)</f>
        <v>109.43429999999999</v>
      </c>
      <c r="I1050" s="10">
        <f>CHOOSE(CONTROL!$C$42, 109.1807, 109.1807)* CHOOSE(CONTROL!$C$21, $C$9, 100%, $E$9)</f>
        <v>109.1807</v>
      </c>
      <c r="J1050" s="10">
        <f>CHOOSE(CONTROL!$C$42, 109.1736, 109.1736)* CHOOSE(CONTROL!$C$21, $C$9, 100%, $E$9)</f>
        <v>109.17359999999999</v>
      </c>
      <c r="K1050" s="54">
        <f>CHOOSE(CONTROL!$C$42, 109.1768, 109.1768) * CHOOSE(CONTROL!$C$21, $C$9, 100%, $E$9)</f>
        <v>109.1768</v>
      </c>
      <c r="L1050" s="10">
        <f>CHOOSE(CONTROL!$C$42, 110.0213, 110.0213) * CHOOSE(CONTROL!$C$21, $C$9, 100%, $E$9)</f>
        <v>110.0213</v>
      </c>
      <c r="M1050" s="10">
        <f>CHOOSE(CONTROL!$C$42, 108.0857, 108.0857) * CHOOSE(CONTROL!$C$21, $C$9, 100%, $E$9)</f>
        <v>108.0857</v>
      </c>
      <c r="N1050" s="10">
        <f>CHOOSE(CONTROL!$C$42, 108.1027, 108.1027) * CHOOSE(CONTROL!$C$21, $C$9, 100%, $E$9)</f>
        <v>108.1027</v>
      </c>
      <c r="O1050" s="10">
        <f>CHOOSE(CONTROL!$C$42, 108.3437, 108.3437) * CHOOSE(CONTROL!$C$21, $C$9, 100%, $E$9)</f>
        <v>108.3437</v>
      </c>
      <c r="P1050" s="10">
        <f>CHOOSE(CONTROL!$C$42, 108.0928, 108.0928) * CHOOSE(CONTROL!$C$21, $C$9, 100%, $E$9)</f>
        <v>108.0928</v>
      </c>
      <c r="Q1050" s="10">
        <f>CHOOSE(CONTROL!$C$42, 108.939, 108.939) * CHOOSE(CONTROL!$C$21, $C$9, 100%, $E$9)</f>
        <v>108.93899999999999</v>
      </c>
      <c r="R1050" s="10">
        <f>CHOOSE(CONTROL!$C$42, 109.7984, 109.7984) * CHOOSE(CONTROL!$C$21, $C$9, 100%, $E$9)</f>
        <v>109.7984</v>
      </c>
      <c r="S1050" s="10">
        <f>CHOOSE(CONTROL!$C$42, 106.0536, 106.0536) * CHOOSE(CONTROL!$C$21, $C$9, 100%, $E$9)</f>
        <v>106.0536</v>
      </c>
      <c r="T1050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050" s="58">
        <f>(1000*CHOOSE(CONTROL!$C$42, 695, 695)*CHOOSE(CONTROL!$C$42, 0.5599, 0.5599)*CHOOSE(CONTROL!$C$42, 30, 30))/1000000</f>
        <v>11.673914999999997</v>
      </c>
      <c r="V1050" s="58">
        <f>(1000*CHOOSE(CONTROL!$C$42, 500, 500)*CHOOSE(CONTROL!$C$42, 0.275, 0.275)*CHOOSE(CONTROL!$C$42, 30, 30))/1000000</f>
        <v>4.125</v>
      </c>
      <c r="W1050" s="58">
        <f>(1000*CHOOSE(CONTROL!$C$42, 0.1146, 0.1146)*CHOOSE(CONTROL!$C$42, 121.5, 121.5)*CHOOSE(CONTROL!$C$42, 30, 30))/1000000</f>
        <v>0.417717</v>
      </c>
      <c r="X1050" s="58">
        <f>(30*0.1790888*245000/1000000)+(30*0.2374*100000/1000000)</f>
        <v>2.0285026799999999</v>
      </c>
      <c r="Y1050" s="58"/>
      <c r="Z1050" s="10"/>
      <c r="AA1050" s="57"/>
      <c r="AB1050" s="51">
        <f>(B1050*194.205+C1050*267.466+D1050*133.845+E1050*53.484+F1050*40+G1050*185+H1050*0+I1050*100+J1050*300)/(194.205+267.466+133.845+53.484+0+40+185+100+300)</f>
        <v>109.23097465620094</v>
      </c>
      <c r="AC1050" s="27">
        <f>(M1050*'RAP TEMPLATE-GAS AVAILABILITY'!O1049+N1050*'RAP TEMPLATE-GAS AVAILABILITY'!P1049+O1050*'RAP TEMPLATE-GAS AVAILABILITY'!Q1049+P1050*'RAP TEMPLATE-GAS AVAILABILITY'!R1049)/('RAP TEMPLATE-GAS AVAILABILITY'!O1049+'RAP TEMPLATE-GAS AVAILABILITY'!P1049+'RAP TEMPLATE-GAS AVAILABILITY'!Q1049+'RAP TEMPLATE-GAS AVAILABILITY'!R1049)</f>
        <v>108.20463525179856</v>
      </c>
    </row>
    <row r="1051" spans="1:29" ht="15.75" x14ac:dyDescent="0.25">
      <c r="A1051" s="13">
        <v>72897</v>
      </c>
      <c r="B1051" s="10">
        <f>CHOOSE(CONTROL!$C$42, 107.119, 107.119) * CHOOSE(CONTROL!$C$21, $C$9, 100%, $E$9)</f>
        <v>107.119</v>
      </c>
      <c r="C1051" s="10">
        <f>CHOOSE(CONTROL!$C$42, 107.1269, 107.1269) * CHOOSE(CONTROL!$C$21, $C$9, 100%, $E$9)</f>
        <v>107.12690000000001</v>
      </c>
      <c r="D1051" s="10">
        <f>CHOOSE(CONTROL!$C$42, 107.3193, 107.3193) * CHOOSE(CONTROL!$C$21, $C$9, 100%, $E$9)</f>
        <v>107.3193</v>
      </c>
      <c r="E1051" s="10">
        <f>CHOOSE(CONTROL!$C$42, 107.3505, 107.3505) * CHOOSE(CONTROL!$C$21, $C$9, 100%, $E$9)</f>
        <v>107.3505</v>
      </c>
      <c r="F1051" s="10">
        <f>CHOOSE(CONTROL!$C$42, 107.0859, 107.0859)*CHOOSE(CONTROL!$C$21, $C$9, 100%, $E$9)</f>
        <v>107.0859</v>
      </c>
      <c r="G1051" s="10">
        <f>CHOOSE(CONTROL!$C$42, 107.1032, 107.1032)*CHOOSE(CONTROL!$C$21, $C$9, 100%, $E$9)</f>
        <v>107.1032</v>
      </c>
      <c r="H1051" s="10">
        <f>CHOOSE(CONTROL!$C$42, 107.3391, 107.3391) * CHOOSE(CONTROL!$C$21, $C$9, 100%, $E$9)</f>
        <v>107.3391</v>
      </c>
      <c r="I1051" s="10">
        <f>CHOOSE(CONTROL!$C$42, 107.0856, 107.0856)* CHOOSE(CONTROL!$C$21, $C$9, 100%, $E$9)</f>
        <v>107.0856</v>
      </c>
      <c r="J1051" s="10">
        <f>CHOOSE(CONTROL!$C$42, 107.0789, 107.0789)* CHOOSE(CONTROL!$C$21, $C$9, 100%, $E$9)</f>
        <v>107.0789</v>
      </c>
      <c r="K1051" s="54">
        <f>CHOOSE(CONTROL!$C$42, 107.0817, 107.0817) * CHOOSE(CONTROL!$C$21, $C$9, 100%, $E$9)</f>
        <v>107.0817</v>
      </c>
      <c r="L1051" s="10">
        <f>CHOOSE(CONTROL!$C$42, 107.9261, 107.9261) * CHOOSE(CONTROL!$C$21, $C$9, 100%, $E$9)</f>
        <v>107.92610000000001</v>
      </c>
      <c r="M1051" s="10">
        <f>CHOOSE(CONTROL!$C$42, 106.0121, 106.0121) * CHOOSE(CONTROL!$C$21, $C$9, 100%, $E$9)</f>
        <v>106.0121</v>
      </c>
      <c r="N1051" s="10">
        <f>CHOOSE(CONTROL!$C$42, 106.0292, 106.0292) * CHOOSE(CONTROL!$C$21, $C$9, 100%, $E$9)</f>
        <v>106.0292</v>
      </c>
      <c r="O1051" s="10">
        <f>CHOOSE(CONTROL!$C$42, 106.2697, 106.2697) * CHOOSE(CONTROL!$C$21, $C$9, 100%, $E$9)</f>
        <v>106.2697</v>
      </c>
      <c r="P1051" s="10">
        <f>CHOOSE(CONTROL!$C$42, 106.0187, 106.0187) * CHOOSE(CONTROL!$C$21, $C$9, 100%, $E$9)</f>
        <v>106.0187</v>
      </c>
      <c r="Q1051" s="10">
        <f>CHOOSE(CONTROL!$C$42, 106.865, 106.865) * CHOOSE(CONTROL!$C$21, $C$9, 100%, $E$9)</f>
        <v>106.86499999999999</v>
      </c>
      <c r="R1051" s="10">
        <f>CHOOSE(CONTROL!$C$42, 107.7192, 107.7192) * CHOOSE(CONTROL!$C$21, $C$9, 100%, $E$9)</f>
        <v>107.7192</v>
      </c>
      <c r="S1051" s="10">
        <f>CHOOSE(CONTROL!$C$42, 104.019, 104.019) * CHOOSE(CONTROL!$C$21, $C$9, 100%, $E$9)</f>
        <v>104.01900000000001</v>
      </c>
      <c r="T1051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051" s="58">
        <f>(1000*CHOOSE(CONTROL!$C$42, 695, 695)*CHOOSE(CONTROL!$C$42, 0.5599, 0.5599)*CHOOSE(CONTROL!$C$42, 31, 31))/1000000</f>
        <v>12.063045499999998</v>
      </c>
      <c r="V1051" s="58">
        <f>(1000*CHOOSE(CONTROL!$C$42, 500, 500)*CHOOSE(CONTROL!$C$42, 0.275, 0.275)*CHOOSE(CONTROL!$C$42, 31, 31))/1000000</f>
        <v>4.2625000000000002</v>
      </c>
      <c r="W1051" s="58">
        <f>(1000*CHOOSE(CONTROL!$C$42, 0.1146, 0.1146)*CHOOSE(CONTROL!$C$42, 121.5, 121.5)*CHOOSE(CONTROL!$C$42, 31, 31))/1000000</f>
        <v>0.43164089999999994</v>
      </c>
      <c r="X1051" s="58">
        <f>(31*0.1790888*245000/1000000)+(31*0.2374*100000/1000000)</f>
        <v>2.0961194359999999</v>
      </c>
      <c r="Y1051" s="58"/>
      <c r="Z1051" s="10"/>
      <c r="AA1051" s="57"/>
      <c r="AB1051" s="51">
        <f>(B1051*194.205+C1051*267.466+D1051*133.845+E1051*53.484+F1051*40+G1051*185+H1051*0+I1051*100+J1051*300)/(194.205+267.466+133.845+53.484+0+40+185+100+300)</f>
        <v>107.13602251248039</v>
      </c>
      <c r="AC1051" s="27">
        <f>(M1051*'RAP TEMPLATE-GAS AVAILABILITY'!O1050+N1051*'RAP TEMPLATE-GAS AVAILABILITY'!P1050+O1051*'RAP TEMPLATE-GAS AVAILABILITY'!Q1050+P1051*'RAP TEMPLATE-GAS AVAILABILITY'!R1050)/('RAP TEMPLATE-GAS AVAILABILITY'!O1050+'RAP TEMPLATE-GAS AVAILABILITY'!P1050+'RAP TEMPLATE-GAS AVAILABILITY'!Q1050+'RAP TEMPLATE-GAS AVAILABILITY'!R1050)</f>
        <v>106.13078776978418</v>
      </c>
    </row>
    <row r="1052" spans="1:29" ht="15.75" x14ac:dyDescent="0.25">
      <c r="A1052" s="13">
        <v>72928</v>
      </c>
      <c r="B1052" s="10">
        <f>CHOOSE(CONTROL!$C$42, 101.8281, 101.8281) * CHOOSE(CONTROL!$C$21, $C$9, 100%, $E$9)</f>
        <v>101.82810000000001</v>
      </c>
      <c r="C1052" s="10">
        <f>CHOOSE(CONTROL!$C$42, 101.836, 101.836) * CHOOSE(CONTROL!$C$21, $C$9, 100%, $E$9)</f>
        <v>101.836</v>
      </c>
      <c r="D1052" s="10">
        <f>CHOOSE(CONTROL!$C$42, 102.0284, 102.0284) * CHOOSE(CONTROL!$C$21, $C$9, 100%, $E$9)</f>
        <v>102.0284</v>
      </c>
      <c r="E1052" s="10">
        <f>CHOOSE(CONTROL!$C$42, 102.0596, 102.0596) * CHOOSE(CONTROL!$C$21, $C$9, 100%, $E$9)</f>
        <v>102.0596</v>
      </c>
      <c r="F1052" s="10">
        <f>CHOOSE(CONTROL!$C$42, 101.7951, 101.7951)*CHOOSE(CONTROL!$C$21, $C$9, 100%, $E$9)</f>
        <v>101.79510000000001</v>
      </c>
      <c r="G1052" s="10">
        <f>CHOOSE(CONTROL!$C$42, 101.8125, 101.8125)*CHOOSE(CONTROL!$C$21, $C$9, 100%, $E$9)</f>
        <v>101.8125</v>
      </c>
      <c r="H1052" s="10">
        <f>CHOOSE(CONTROL!$C$42, 102.0482, 102.0482) * CHOOSE(CONTROL!$C$21, $C$9, 100%, $E$9)</f>
        <v>102.04819999999999</v>
      </c>
      <c r="I1052" s="10">
        <f>CHOOSE(CONTROL!$C$42, 101.7947, 101.7947)* CHOOSE(CONTROL!$C$21, $C$9, 100%, $E$9)</f>
        <v>101.79470000000001</v>
      </c>
      <c r="J1052" s="10">
        <f>CHOOSE(CONTROL!$C$42, 101.7881, 101.7881)* CHOOSE(CONTROL!$C$21, $C$9, 100%, $E$9)</f>
        <v>101.7881</v>
      </c>
      <c r="K1052" s="54">
        <f>CHOOSE(CONTROL!$C$42, 101.7908, 101.7908) * CHOOSE(CONTROL!$C$21, $C$9, 100%, $E$9)</f>
        <v>101.7908</v>
      </c>
      <c r="L1052" s="10">
        <f>CHOOSE(CONTROL!$C$42, 102.6352, 102.6352) * CHOOSE(CONTROL!$C$21, $C$9, 100%, $E$9)</f>
        <v>102.6352</v>
      </c>
      <c r="M1052" s="10">
        <f>CHOOSE(CONTROL!$C$42, 100.7747, 100.7747) * CHOOSE(CONTROL!$C$21, $C$9, 100%, $E$9)</f>
        <v>100.7747</v>
      </c>
      <c r="N1052" s="10">
        <f>CHOOSE(CONTROL!$C$42, 100.7919, 100.7919) * CHOOSE(CONTROL!$C$21, $C$9, 100%, $E$9)</f>
        <v>100.7919</v>
      </c>
      <c r="O1052" s="10">
        <f>CHOOSE(CONTROL!$C$42, 101.0322, 101.0322) * CHOOSE(CONTROL!$C$21, $C$9, 100%, $E$9)</f>
        <v>101.0322</v>
      </c>
      <c r="P1052" s="10">
        <f>CHOOSE(CONTROL!$C$42, 100.7812, 100.7812) * CHOOSE(CONTROL!$C$21, $C$9, 100%, $E$9)</f>
        <v>100.7812</v>
      </c>
      <c r="Q1052" s="10">
        <f>CHOOSE(CONTROL!$C$42, 101.6275, 101.6275) * CHOOSE(CONTROL!$C$21, $C$9, 100%, $E$9)</f>
        <v>101.6275</v>
      </c>
      <c r="R1052" s="10">
        <f>CHOOSE(CONTROL!$C$42, 102.4686, 102.4686) * CHOOSE(CONTROL!$C$21, $C$9, 100%, $E$9)</f>
        <v>102.4686</v>
      </c>
      <c r="S1052" s="10">
        <f>CHOOSE(CONTROL!$C$42, 98.881, 98.881) * CHOOSE(CONTROL!$C$21, $C$9, 100%, $E$9)</f>
        <v>98.881</v>
      </c>
      <c r="T1052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052" s="58">
        <f>(1000*CHOOSE(CONTROL!$C$42, 695, 695)*CHOOSE(CONTROL!$C$42, 0.5599, 0.5599)*CHOOSE(CONTROL!$C$42, 31, 31))/1000000</f>
        <v>12.063045499999998</v>
      </c>
      <c r="V1052" s="58">
        <f>(1000*CHOOSE(CONTROL!$C$42, 500, 500)*CHOOSE(CONTROL!$C$42, 0.275, 0.275)*CHOOSE(CONTROL!$C$42, 31, 31))/1000000</f>
        <v>4.2625000000000002</v>
      </c>
      <c r="W1052" s="58">
        <f>(1000*CHOOSE(CONTROL!$C$42, 0.1146, 0.1146)*CHOOSE(CONTROL!$C$42, 121.5, 121.5)*CHOOSE(CONTROL!$C$42, 31, 31))/1000000</f>
        <v>0.43164089999999994</v>
      </c>
      <c r="X1052" s="58">
        <f>(31*0.1790888*245000/1000000)+(31*0.2374*100000/1000000)</f>
        <v>2.0961194359999999</v>
      </c>
      <c r="Y1052" s="58"/>
      <c r="Z1052" s="10"/>
      <c r="AA1052" s="57"/>
      <c r="AB1052" s="51">
        <f>(B1052*194.205+C1052*267.466+D1052*133.845+E1052*53.484+F1052*40+G1052*185+H1052*0+I1052*100+J1052*300)/(194.205+267.466+133.845+53.484+0+40+185+100+300)</f>
        <v>101.8451782424647</v>
      </c>
      <c r="AC1052" s="27">
        <f>(M1052*'RAP TEMPLATE-GAS AVAILABILITY'!O1051+N1052*'RAP TEMPLATE-GAS AVAILABILITY'!P1051+O1052*'RAP TEMPLATE-GAS AVAILABILITY'!Q1051+P1052*'RAP TEMPLATE-GAS AVAILABILITY'!R1051)/('RAP TEMPLATE-GAS AVAILABILITY'!O1051+'RAP TEMPLATE-GAS AVAILABILITY'!P1051+'RAP TEMPLATE-GAS AVAILABILITY'!Q1051+'RAP TEMPLATE-GAS AVAILABILITY'!R1051)</f>
        <v>100.89333381294963</v>
      </c>
    </row>
    <row r="1053" spans="1:29" ht="15.75" x14ac:dyDescent="0.25">
      <c r="A1053" s="13">
        <v>72958</v>
      </c>
      <c r="B1053" s="10">
        <f>CHOOSE(CONTROL!$C$42, 95.3632, 95.3632) * CHOOSE(CONTROL!$C$21, $C$9, 100%, $E$9)</f>
        <v>95.363200000000006</v>
      </c>
      <c r="C1053" s="10">
        <f>CHOOSE(CONTROL!$C$42, 95.3711, 95.3711) * CHOOSE(CONTROL!$C$21, $C$9, 100%, $E$9)</f>
        <v>95.371099999999998</v>
      </c>
      <c r="D1053" s="10">
        <f>CHOOSE(CONTROL!$C$42, 95.5635, 95.5635) * CHOOSE(CONTROL!$C$21, $C$9, 100%, $E$9)</f>
        <v>95.563500000000005</v>
      </c>
      <c r="E1053" s="10">
        <f>CHOOSE(CONTROL!$C$42, 95.5947, 95.5947) * CHOOSE(CONTROL!$C$21, $C$9, 100%, $E$9)</f>
        <v>95.594700000000003</v>
      </c>
      <c r="F1053" s="10">
        <f>CHOOSE(CONTROL!$C$42, 95.3301, 95.3301)*CHOOSE(CONTROL!$C$21, $C$9, 100%, $E$9)</f>
        <v>95.330100000000002</v>
      </c>
      <c r="G1053" s="10">
        <f>CHOOSE(CONTROL!$C$42, 95.3474, 95.3474)*CHOOSE(CONTROL!$C$21, $C$9, 100%, $E$9)</f>
        <v>95.347399999999993</v>
      </c>
      <c r="H1053" s="10">
        <f>CHOOSE(CONTROL!$C$42, 95.5833, 95.5833) * CHOOSE(CONTROL!$C$21, $C$9, 100%, $E$9)</f>
        <v>95.583299999999994</v>
      </c>
      <c r="I1053" s="10">
        <f>CHOOSE(CONTROL!$C$42, 95.3298, 95.3298)* CHOOSE(CONTROL!$C$21, $C$9, 100%, $E$9)</f>
        <v>95.329800000000006</v>
      </c>
      <c r="J1053" s="10">
        <f>CHOOSE(CONTROL!$C$42, 95.3231, 95.3231)* CHOOSE(CONTROL!$C$21, $C$9, 100%, $E$9)</f>
        <v>95.323099999999997</v>
      </c>
      <c r="K1053" s="54">
        <f>CHOOSE(CONTROL!$C$42, 95.3259, 95.3259) * CHOOSE(CONTROL!$C$21, $C$9, 100%, $E$9)</f>
        <v>95.325900000000004</v>
      </c>
      <c r="L1053" s="10">
        <f>CHOOSE(CONTROL!$C$42, 96.1703, 96.1703) * CHOOSE(CONTROL!$C$21, $C$9, 100%, $E$9)</f>
        <v>96.170299999999997</v>
      </c>
      <c r="M1053" s="10">
        <f>CHOOSE(CONTROL!$C$42, 94.3749, 94.3749) * CHOOSE(CONTROL!$C$21, $C$9, 100%, $E$9)</f>
        <v>94.374899999999997</v>
      </c>
      <c r="N1053" s="10">
        <f>CHOOSE(CONTROL!$C$42, 94.3921, 94.3921) * CHOOSE(CONTROL!$C$21, $C$9, 100%, $E$9)</f>
        <v>94.392099999999999</v>
      </c>
      <c r="O1053" s="10">
        <f>CHOOSE(CONTROL!$C$42, 94.6325, 94.6325) * CHOOSE(CONTROL!$C$21, $C$9, 100%, $E$9)</f>
        <v>94.632499999999993</v>
      </c>
      <c r="P1053" s="10">
        <f>CHOOSE(CONTROL!$C$42, 94.3816, 94.3816) * CHOOSE(CONTROL!$C$21, $C$9, 100%, $E$9)</f>
        <v>94.381600000000006</v>
      </c>
      <c r="Q1053" s="10">
        <f>CHOOSE(CONTROL!$C$42, 95.2278, 95.2278) * CHOOSE(CONTROL!$C$21, $C$9, 100%, $E$9)</f>
        <v>95.227800000000002</v>
      </c>
      <c r="R1053" s="10">
        <f>CHOOSE(CONTROL!$C$42, 96.0529, 96.0529) * CHOOSE(CONTROL!$C$21, $C$9, 100%, $E$9)</f>
        <v>96.052899999999994</v>
      </c>
      <c r="S1053" s="10">
        <f>CHOOSE(CONTROL!$C$42, 92.6029, 92.6029) * CHOOSE(CONTROL!$C$21, $C$9, 100%, $E$9)</f>
        <v>92.602900000000005</v>
      </c>
      <c r="T1053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053" s="58">
        <f>(1000*CHOOSE(CONTROL!$C$42, 695, 695)*CHOOSE(CONTROL!$C$42, 0.5599, 0.5599)*CHOOSE(CONTROL!$C$42, 30, 30))/1000000</f>
        <v>11.673914999999997</v>
      </c>
      <c r="V1053" s="58">
        <f>(1000*CHOOSE(CONTROL!$C$42, 500, 500)*CHOOSE(CONTROL!$C$42, 0.275, 0.275)*CHOOSE(CONTROL!$C$42, 30, 30))/1000000</f>
        <v>4.125</v>
      </c>
      <c r="W1053" s="58">
        <f>(1000*CHOOSE(CONTROL!$C$42, 0.1146, 0.1146)*CHOOSE(CONTROL!$C$42, 121.5, 121.5)*CHOOSE(CONTROL!$C$42, 30, 30))/1000000</f>
        <v>0.417717</v>
      </c>
      <c r="X1053" s="58">
        <f>(30*0.1790888*245000/1000000)+(30*0.2374*100000/1000000)</f>
        <v>2.0285026799999999</v>
      </c>
      <c r="Y1053" s="58"/>
      <c r="Z1053" s="10"/>
      <c r="AA1053" s="57"/>
      <c r="AB1053" s="51">
        <f>(B1053*194.205+C1053*267.466+D1053*133.845+E1053*53.484+F1053*40+G1053*185+H1053*0+I1053*100+J1053*300)/(194.205+267.466+133.845+53.484+0+40+185+100+300)</f>
        <v>95.380222512480387</v>
      </c>
      <c r="AC1053" s="27">
        <f>(M1053*'RAP TEMPLATE-GAS AVAILABILITY'!O1052+N1053*'RAP TEMPLATE-GAS AVAILABILITY'!P1052+O1053*'RAP TEMPLATE-GAS AVAILABILITY'!Q1052+P1053*'RAP TEMPLATE-GAS AVAILABILITY'!R1052)/('RAP TEMPLATE-GAS AVAILABILITY'!O1052+'RAP TEMPLATE-GAS AVAILABILITY'!P1052+'RAP TEMPLATE-GAS AVAILABILITY'!Q1052+'RAP TEMPLATE-GAS AVAILABILITY'!R1052)</f>
        <v>94.493607913669052</v>
      </c>
    </row>
    <row r="1054" spans="1:29" ht="15.75" x14ac:dyDescent="0.25">
      <c r="A1054" s="13">
        <v>72989</v>
      </c>
      <c r="B1054" s="10">
        <f>CHOOSE(CONTROL!$C$42, 93.4253, 93.4253) * CHOOSE(CONTROL!$C$21, $C$9, 100%, $E$9)</f>
        <v>93.425299999999993</v>
      </c>
      <c r="C1054" s="10">
        <f>CHOOSE(CONTROL!$C$42, 93.4305, 93.4305) * CHOOSE(CONTROL!$C$21, $C$9, 100%, $E$9)</f>
        <v>93.430499999999995</v>
      </c>
      <c r="D1054" s="10">
        <f>CHOOSE(CONTROL!$C$42, 93.6279, 93.6279) * CHOOSE(CONTROL!$C$21, $C$9, 100%, $E$9)</f>
        <v>93.627899999999997</v>
      </c>
      <c r="E1054" s="10">
        <f>CHOOSE(CONTROL!$C$42, 93.6567, 93.6567) * CHOOSE(CONTROL!$C$21, $C$9, 100%, $E$9)</f>
        <v>93.656700000000001</v>
      </c>
      <c r="F1054" s="10">
        <f>CHOOSE(CONTROL!$C$42, 93.3942, 93.3942)*CHOOSE(CONTROL!$C$21, $C$9, 100%, $E$9)</f>
        <v>93.394199999999998</v>
      </c>
      <c r="G1054" s="10">
        <f>CHOOSE(CONTROL!$C$42, 93.4111, 93.4111)*CHOOSE(CONTROL!$C$21, $C$9, 100%, $E$9)</f>
        <v>93.411100000000005</v>
      </c>
      <c r="H1054" s="10">
        <f>CHOOSE(CONTROL!$C$42, 93.6472, 93.6472) * CHOOSE(CONTROL!$C$21, $C$9, 100%, $E$9)</f>
        <v>93.647199999999998</v>
      </c>
      <c r="I1054" s="10">
        <f>CHOOSE(CONTROL!$C$42, 93.3936, 93.3936)* CHOOSE(CONTROL!$C$21, $C$9, 100%, $E$9)</f>
        <v>93.393600000000006</v>
      </c>
      <c r="J1054" s="10">
        <f>CHOOSE(CONTROL!$C$42, 93.3872, 93.3872)* CHOOSE(CONTROL!$C$21, $C$9, 100%, $E$9)</f>
        <v>93.387200000000007</v>
      </c>
      <c r="K1054" s="54">
        <f>CHOOSE(CONTROL!$C$42, 93.3897, 93.3897) * CHOOSE(CONTROL!$C$21, $C$9, 100%, $E$9)</f>
        <v>93.389700000000005</v>
      </c>
      <c r="L1054" s="10">
        <f>CHOOSE(CONTROL!$C$42, 94.2342, 94.2342) * CHOOSE(CONTROL!$C$21, $C$9, 100%, $E$9)</f>
        <v>94.234200000000001</v>
      </c>
      <c r="M1054" s="10">
        <f>CHOOSE(CONTROL!$C$42, 92.4586, 92.4586) * CHOOSE(CONTROL!$C$21, $C$9, 100%, $E$9)</f>
        <v>92.458600000000004</v>
      </c>
      <c r="N1054" s="10">
        <f>CHOOSE(CONTROL!$C$42, 92.4754, 92.4754) * CHOOSE(CONTROL!$C$21, $C$9, 100%, $E$9)</f>
        <v>92.475399999999993</v>
      </c>
      <c r="O1054" s="10">
        <f>CHOOSE(CONTROL!$C$42, 92.7159, 92.7159) * CHOOSE(CONTROL!$C$21, $C$9, 100%, $E$9)</f>
        <v>92.715900000000005</v>
      </c>
      <c r="P1054" s="10">
        <f>CHOOSE(CONTROL!$C$42, 92.465, 92.465) * CHOOSE(CONTROL!$C$21, $C$9, 100%, $E$9)</f>
        <v>92.465000000000003</v>
      </c>
      <c r="Q1054" s="10">
        <f>CHOOSE(CONTROL!$C$42, 93.3112, 93.3112) * CHOOSE(CONTROL!$C$21, $C$9, 100%, $E$9)</f>
        <v>93.311199999999999</v>
      </c>
      <c r="R1054" s="10">
        <f>CHOOSE(CONTROL!$C$42, 94.1315, 94.1315) * CHOOSE(CONTROL!$C$21, $C$9, 100%, $E$9)</f>
        <v>94.131500000000003</v>
      </c>
      <c r="S1054" s="10">
        <f>CHOOSE(CONTROL!$C$42, 90.7227, 90.7227) * CHOOSE(CONTROL!$C$21, $C$9, 100%, $E$9)</f>
        <v>90.722700000000003</v>
      </c>
      <c r="T1054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054" s="58">
        <f>(1000*CHOOSE(CONTROL!$C$42, 695, 695)*CHOOSE(CONTROL!$C$42, 0.5599, 0.5599)*CHOOSE(CONTROL!$C$42, 31, 31))/1000000</f>
        <v>12.063045499999998</v>
      </c>
      <c r="V1054" s="58">
        <f>(1000*CHOOSE(CONTROL!$C$42, 500, 500)*CHOOSE(CONTROL!$C$42, 0.275, 0.275)*CHOOSE(CONTROL!$C$42, 31, 31))/1000000</f>
        <v>4.2625000000000002</v>
      </c>
      <c r="W1054" s="58">
        <f>(1000*CHOOSE(CONTROL!$C$42, 0.1146, 0.1146)*CHOOSE(CONTROL!$C$42, 121.5, 121.5)*CHOOSE(CONTROL!$C$42, 31, 31))/1000000</f>
        <v>0.43164089999999994</v>
      </c>
      <c r="X1054" s="58">
        <f>(31*0.1790888*245000/1000000)+(31*0.2374*100000/1000000)</f>
        <v>2.0961194359999999</v>
      </c>
      <c r="Y1054" s="58"/>
      <c r="Z1054" s="10"/>
      <c r="AA1054" s="57"/>
      <c r="AB1054" s="51">
        <f>(B1054*131.881+C1054*277.167+D1054*79.08+E1054*125.872+F1054*40+G1054*185+H1054*0+I1054*100+J1054*300)/(131.881+277.167+79.08+125.872+0+40+185+100+300)</f>
        <v>93.447994638579502</v>
      </c>
      <c r="AC1054" s="27">
        <f>(M1054*'RAP TEMPLATE-GAS AVAILABILITY'!O1053+N1054*'RAP TEMPLATE-GAS AVAILABILITY'!P1053+O1054*'RAP TEMPLATE-GAS AVAILABILITY'!Q1053+P1054*'RAP TEMPLATE-GAS AVAILABILITY'!R1053)/('RAP TEMPLATE-GAS AVAILABILITY'!O1053+'RAP TEMPLATE-GAS AVAILABILITY'!P1053+'RAP TEMPLATE-GAS AVAILABILITY'!Q1053+'RAP TEMPLATE-GAS AVAILABILITY'!R1053)</f>
        <v>92.577105755395678</v>
      </c>
    </row>
    <row r="1055" spans="1:29" ht="15.75" x14ac:dyDescent="0.25">
      <c r="A1055" s="13">
        <v>73019</v>
      </c>
      <c r="B1055" s="10">
        <f>CHOOSE(CONTROL!$C$42, 95.886, 95.886) * CHOOSE(CONTROL!$C$21, $C$9, 100%, $E$9)</f>
        <v>95.885999999999996</v>
      </c>
      <c r="C1055" s="10">
        <f>CHOOSE(CONTROL!$C$42, 95.891, 95.891) * CHOOSE(CONTROL!$C$21, $C$9, 100%, $E$9)</f>
        <v>95.891000000000005</v>
      </c>
      <c r="D1055" s="10">
        <f>CHOOSE(CONTROL!$C$42, 95.9206, 95.9206) * CHOOSE(CONTROL!$C$21, $C$9, 100%, $E$9)</f>
        <v>95.920599999999993</v>
      </c>
      <c r="E1055" s="10">
        <f>CHOOSE(CONTROL!$C$42, 95.9544, 95.9544) * CHOOSE(CONTROL!$C$21, $C$9, 100%, $E$9)</f>
        <v>95.954400000000007</v>
      </c>
      <c r="F1055" s="10">
        <f>CHOOSE(CONTROL!$C$42, 95.8528, 95.8528)*CHOOSE(CONTROL!$C$21, $C$9, 100%, $E$9)</f>
        <v>95.852800000000002</v>
      </c>
      <c r="G1055" s="10">
        <f>CHOOSE(CONTROL!$C$42, 95.87, 95.87)*CHOOSE(CONTROL!$C$21, $C$9, 100%, $E$9)</f>
        <v>95.87</v>
      </c>
      <c r="H1055" s="10">
        <f>CHOOSE(CONTROL!$C$42, 95.9436, 95.9436) * CHOOSE(CONTROL!$C$21, $C$9, 100%, $E$9)</f>
        <v>95.943600000000004</v>
      </c>
      <c r="I1055" s="10">
        <f>CHOOSE(CONTROL!$C$42, 95.8496, 95.8496)* CHOOSE(CONTROL!$C$21, $C$9, 100%, $E$9)</f>
        <v>95.849599999999995</v>
      </c>
      <c r="J1055" s="10">
        <f>CHOOSE(CONTROL!$C$42, 95.8458, 95.8458)* CHOOSE(CONTROL!$C$21, $C$9, 100%, $E$9)</f>
        <v>95.845799999999997</v>
      </c>
      <c r="K1055" s="54">
        <f>CHOOSE(CONTROL!$C$42, 95.8457, 95.8457) * CHOOSE(CONTROL!$C$21, $C$9, 100%, $E$9)</f>
        <v>95.845699999999994</v>
      </c>
      <c r="L1055" s="10">
        <f>CHOOSE(CONTROL!$C$42, 96.5306, 96.5306) * CHOOSE(CONTROL!$C$21, $C$9, 100%, $E$9)</f>
        <v>96.530600000000007</v>
      </c>
      <c r="M1055" s="10">
        <f>CHOOSE(CONTROL!$C$42, 94.8924, 94.8924) * CHOOSE(CONTROL!$C$21, $C$9, 100%, $E$9)</f>
        <v>94.892399999999995</v>
      </c>
      <c r="N1055" s="10">
        <f>CHOOSE(CONTROL!$C$42, 94.9094, 94.9094) * CHOOSE(CONTROL!$C$21, $C$9, 100%, $E$9)</f>
        <v>94.909400000000005</v>
      </c>
      <c r="O1055" s="10">
        <f>CHOOSE(CONTROL!$C$42, 94.9892, 94.9892) * CHOOSE(CONTROL!$C$21, $C$9, 100%, $E$9)</f>
        <v>94.989199999999997</v>
      </c>
      <c r="P1055" s="10">
        <f>CHOOSE(CONTROL!$C$42, 94.8962, 94.8962) * CHOOSE(CONTROL!$C$21, $C$9, 100%, $E$9)</f>
        <v>94.896199999999993</v>
      </c>
      <c r="Q1055" s="10">
        <f>CHOOSE(CONTROL!$C$42, 95.5845, 95.5845) * CHOOSE(CONTROL!$C$21, $C$9, 100%, $E$9)</f>
        <v>95.584500000000006</v>
      </c>
      <c r="R1055" s="10">
        <f>CHOOSE(CONTROL!$C$42, 96.4104, 96.4104) * CHOOSE(CONTROL!$C$21, $C$9, 100%, $E$9)</f>
        <v>96.410399999999996</v>
      </c>
      <c r="S1055" s="10">
        <f>CHOOSE(CONTROL!$C$42, 93.1128, 93.1128) * CHOOSE(CONTROL!$C$21, $C$9, 100%, $E$9)</f>
        <v>93.112799999999993</v>
      </c>
      <c r="T1055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055" s="58">
        <f>(1000*CHOOSE(CONTROL!$C$42, 695, 695)*CHOOSE(CONTROL!$C$42, 0.5599, 0.5599)*CHOOSE(CONTROL!$C$42, 30, 30))/1000000</f>
        <v>11.673914999999997</v>
      </c>
      <c r="V1055" s="58">
        <f>(1000*CHOOSE(CONTROL!$C$42, 500, 500)*CHOOSE(CONTROL!$C$42, 0.275, 0.275)*CHOOSE(CONTROL!$C$42, 30, 30))/1000000</f>
        <v>4.125</v>
      </c>
      <c r="W1055" s="58">
        <f>(1000*CHOOSE(CONTROL!$C$42, 0.1146, 0.1146)*CHOOSE(CONTROL!$C$42, 121.5, 121.5)*CHOOSE(CONTROL!$C$42, 30, 30))/1000000</f>
        <v>0.417717</v>
      </c>
      <c r="X1055" s="58">
        <f>(30*0.1790888*100000/1000000)+(30*0.2374*100000/1000000)</f>
        <v>1.2494664</v>
      </c>
      <c r="Y1055" s="58"/>
      <c r="Z1055" s="10"/>
      <c r="AA1055" s="57"/>
      <c r="AB1055" s="51">
        <f>(B1055*122.58+C1055*297.941+D1055*89.177+E1055*40.302+F1055*40+G1055*160+H1055*0+I1055*100+J1055*300)/(122.58+297.941+89.177+40.302+0+40+160+100+300)</f>
        <v>95.875342509565201</v>
      </c>
      <c r="AC1055" s="27">
        <f>(M1055*'RAP TEMPLATE-GAS AVAILABILITY'!O1054+N1055*'RAP TEMPLATE-GAS AVAILABILITY'!P1054+O1055*'RAP TEMPLATE-GAS AVAILABILITY'!Q1054+P1055*'RAP TEMPLATE-GAS AVAILABILITY'!R1054)/('RAP TEMPLATE-GAS AVAILABILITY'!O1054+'RAP TEMPLATE-GAS AVAILABILITY'!P1054+'RAP TEMPLATE-GAS AVAILABILITY'!Q1054+'RAP TEMPLATE-GAS AVAILABILITY'!R1054)</f>
        <v>94.93779856115107</v>
      </c>
    </row>
    <row r="1056" spans="1:29" ht="15.75" x14ac:dyDescent="0.25">
      <c r="A1056" s="13">
        <v>73050</v>
      </c>
      <c r="B1056" s="10">
        <f>CHOOSE(CONTROL!$C$42, 102.4233, 102.4233) * CHOOSE(CONTROL!$C$21, $C$9, 100%, $E$9)</f>
        <v>102.4233</v>
      </c>
      <c r="C1056" s="10">
        <f>CHOOSE(CONTROL!$C$42, 102.4283, 102.4283) * CHOOSE(CONTROL!$C$21, $C$9, 100%, $E$9)</f>
        <v>102.42829999999999</v>
      </c>
      <c r="D1056" s="10">
        <f>CHOOSE(CONTROL!$C$42, 102.4579, 102.4579) * CHOOSE(CONTROL!$C$21, $C$9, 100%, $E$9)</f>
        <v>102.4579</v>
      </c>
      <c r="E1056" s="10">
        <f>CHOOSE(CONTROL!$C$42, 102.4916, 102.4916) * CHOOSE(CONTROL!$C$21, $C$9, 100%, $E$9)</f>
        <v>102.49160000000001</v>
      </c>
      <c r="F1056" s="10">
        <f>CHOOSE(CONTROL!$C$42, 102.3915, 102.3915)*CHOOSE(CONTROL!$C$21, $C$9, 100%, $E$9)</f>
        <v>102.39149999999999</v>
      </c>
      <c r="G1056" s="10">
        <f>CHOOSE(CONTROL!$C$42, 102.409, 102.409)*CHOOSE(CONTROL!$C$21, $C$9, 100%, $E$9)</f>
        <v>102.40900000000001</v>
      </c>
      <c r="H1056" s="10">
        <f>CHOOSE(CONTROL!$C$42, 102.4808, 102.4808) * CHOOSE(CONTROL!$C$21, $C$9, 100%, $E$9)</f>
        <v>102.4808</v>
      </c>
      <c r="I1056" s="10">
        <f>CHOOSE(CONTROL!$C$42, 102.3869, 102.3869)* CHOOSE(CONTROL!$C$21, $C$9, 100%, $E$9)</f>
        <v>102.3869</v>
      </c>
      <c r="J1056" s="10">
        <f>CHOOSE(CONTROL!$C$42, 102.3845, 102.3845)* CHOOSE(CONTROL!$C$21, $C$9, 100%, $E$9)</f>
        <v>102.3845</v>
      </c>
      <c r="K1056" s="54">
        <f>CHOOSE(CONTROL!$C$42, 102.383, 102.383) * CHOOSE(CONTROL!$C$21, $C$9, 100%, $E$9)</f>
        <v>102.383</v>
      </c>
      <c r="L1056" s="10">
        <f>CHOOSE(CONTROL!$C$42, 103.0678, 103.0678) * CHOOSE(CONTROL!$C$21, $C$9, 100%, $E$9)</f>
        <v>103.06780000000001</v>
      </c>
      <c r="M1056" s="10">
        <f>CHOOSE(CONTROL!$C$42, 101.3651, 101.3651) * CHOOSE(CONTROL!$C$21, $C$9, 100%, $E$9)</f>
        <v>101.3651</v>
      </c>
      <c r="N1056" s="10">
        <f>CHOOSE(CONTROL!$C$42, 101.3824, 101.3824) * CHOOSE(CONTROL!$C$21, $C$9, 100%, $E$9)</f>
        <v>101.3824</v>
      </c>
      <c r="O1056" s="10">
        <f>CHOOSE(CONTROL!$C$42, 101.4605, 101.4605) * CHOOSE(CONTROL!$C$21, $C$9, 100%, $E$9)</f>
        <v>101.4605</v>
      </c>
      <c r="P1056" s="10">
        <f>CHOOSE(CONTROL!$C$42, 101.3675, 101.3675) * CHOOSE(CONTROL!$C$21, $C$9, 100%, $E$9)</f>
        <v>101.36750000000001</v>
      </c>
      <c r="Q1056" s="10">
        <f>CHOOSE(CONTROL!$C$42, 102.0558, 102.0558) * CHOOSE(CONTROL!$C$21, $C$9, 100%, $E$9)</f>
        <v>102.0558</v>
      </c>
      <c r="R1056" s="10">
        <f>CHOOSE(CONTROL!$C$42, 102.8979, 102.8979) * CHOOSE(CONTROL!$C$21, $C$9, 100%, $E$9)</f>
        <v>102.89790000000001</v>
      </c>
      <c r="S1056" s="10">
        <f>CHOOSE(CONTROL!$C$42, 99.4611, 99.4611) * CHOOSE(CONTROL!$C$21, $C$9, 100%, $E$9)</f>
        <v>99.461100000000002</v>
      </c>
      <c r="T1056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056" s="58">
        <f>(1000*CHOOSE(CONTROL!$C$42, 695, 695)*CHOOSE(CONTROL!$C$42, 0.5599, 0.5599)*CHOOSE(CONTROL!$C$42, 31, 31))/1000000</f>
        <v>12.063045499999998</v>
      </c>
      <c r="V1056" s="58">
        <f>(1000*CHOOSE(CONTROL!$C$42, 500, 500)*CHOOSE(CONTROL!$C$42, 0.275, 0.275)*CHOOSE(CONTROL!$C$42, 31, 31))/1000000</f>
        <v>4.2625000000000002</v>
      </c>
      <c r="W1056" s="58">
        <f>(1000*CHOOSE(CONTROL!$C$42, 0.1146, 0.1146)*CHOOSE(CONTROL!$C$42, 121.5, 121.5)*CHOOSE(CONTROL!$C$42, 31, 31))/1000000</f>
        <v>0.43164089999999994</v>
      </c>
      <c r="X1056" s="58">
        <f>(31*0.1790888*100000/1000000)+(31*0.2374*100000/1000000)</f>
        <v>1.2911152800000001</v>
      </c>
      <c r="Y1056" s="58"/>
      <c r="Z1056" s="10"/>
      <c r="AA1056" s="57"/>
      <c r="AB1056" s="51">
        <f>(B1056*122.58+C1056*297.941+D1056*89.177+E1056*40.302+F1056*40+G1056*160+H1056*0+I1056*100+J1056*300)/(122.58+297.941+89.177+40.302+0+40+160+100+300)</f>
        <v>102.41328943982609</v>
      </c>
      <c r="AC1056" s="27">
        <f>(M1056*'RAP TEMPLATE-GAS AVAILABILITY'!O1055+N1056*'RAP TEMPLATE-GAS AVAILABILITY'!P1055+O1056*'RAP TEMPLATE-GAS AVAILABILITY'!Q1055+P1056*'RAP TEMPLATE-GAS AVAILABILITY'!R1055)/('RAP TEMPLATE-GAS AVAILABILITY'!O1055+'RAP TEMPLATE-GAS AVAILABILITY'!P1055+'RAP TEMPLATE-GAS AVAILABILITY'!Q1055+'RAP TEMPLATE-GAS AVAILABILITY'!R1055)</f>
        <v>101.4096798561151</v>
      </c>
    </row>
    <row r="1057" spans="1:29" ht="15.75" x14ac:dyDescent="0.25">
      <c r="A1057" s="13">
        <v>73081</v>
      </c>
      <c r="B1057" s="10">
        <f>CHOOSE(CONTROL!$C$42, 110.8153, 110.8153) * CHOOSE(CONTROL!$C$21, $C$9, 100%, $E$9)</f>
        <v>110.81529999999999</v>
      </c>
      <c r="C1057" s="10">
        <f>CHOOSE(CONTROL!$C$42, 110.8203, 110.8203) * CHOOSE(CONTROL!$C$21, $C$9, 100%, $E$9)</f>
        <v>110.8203</v>
      </c>
      <c r="D1057" s="10">
        <f>CHOOSE(CONTROL!$C$42, 110.8705, 110.8705) * CHOOSE(CONTROL!$C$21, $C$9, 100%, $E$9)</f>
        <v>110.87050000000001</v>
      </c>
      <c r="E1057" s="10">
        <f>CHOOSE(CONTROL!$C$42, 110.9043, 110.9043) * CHOOSE(CONTROL!$C$21, $C$9, 100%, $E$9)</f>
        <v>110.90430000000001</v>
      </c>
      <c r="F1057" s="10">
        <f>CHOOSE(CONTROL!$C$42, 110.7807, 110.7807)*CHOOSE(CONTROL!$C$21, $C$9, 100%, $E$9)</f>
        <v>110.7807</v>
      </c>
      <c r="G1057" s="10">
        <f>CHOOSE(CONTROL!$C$42, 110.7982, 110.7982)*CHOOSE(CONTROL!$C$21, $C$9, 100%, $E$9)</f>
        <v>110.79819999999999</v>
      </c>
      <c r="H1057" s="10">
        <f>CHOOSE(CONTROL!$C$42, 110.8934, 110.8934) * CHOOSE(CONTROL!$C$21, $C$9, 100%, $E$9)</f>
        <v>110.8934</v>
      </c>
      <c r="I1057" s="10">
        <f>CHOOSE(CONTROL!$C$42, 110.7892, 110.7892)* CHOOSE(CONTROL!$C$21, $C$9, 100%, $E$9)</f>
        <v>110.78919999999999</v>
      </c>
      <c r="J1057" s="10">
        <f>CHOOSE(CONTROL!$C$42, 110.7737, 110.7737)* CHOOSE(CONTROL!$C$21, $C$9, 100%, $E$9)</f>
        <v>110.77370000000001</v>
      </c>
      <c r="K1057" s="54">
        <f>CHOOSE(CONTROL!$C$42, 110.7853, 110.7853) * CHOOSE(CONTROL!$C$21, $C$9, 100%, $E$9)</f>
        <v>110.78530000000001</v>
      </c>
      <c r="L1057" s="10">
        <f>CHOOSE(CONTROL!$C$42, 111.4804, 111.4804) * CHOOSE(CONTROL!$C$21, $C$9, 100%, $E$9)</f>
        <v>111.4804</v>
      </c>
      <c r="M1057" s="10">
        <f>CHOOSE(CONTROL!$C$42, 109.6696, 109.6696) * CHOOSE(CONTROL!$C$21, $C$9, 100%, $E$9)</f>
        <v>109.6696</v>
      </c>
      <c r="N1057" s="10">
        <f>CHOOSE(CONTROL!$C$42, 109.687, 109.687) * CHOOSE(CONTROL!$C$21, $C$9, 100%, $E$9)</f>
        <v>109.687</v>
      </c>
      <c r="O1057" s="10">
        <f>CHOOSE(CONTROL!$C$42, 109.7882, 109.7882) * CHOOSE(CONTROL!$C$21, $C$9, 100%, $E$9)</f>
        <v>109.7882</v>
      </c>
      <c r="P1057" s="10">
        <f>CHOOSE(CONTROL!$C$42, 109.685, 109.685) * CHOOSE(CONTROL!$C$21, $C$9, 100%, $E$9)</f>
        <v>109.685</v>
      </c>
      <c r="Q1057" s="10">
        <f>CHOOSE(CONTROL!$C$42, 110.3835, 110.3835) * CHOOSE(CONTROL!$C$21, $C$9, 100%, $E$9)</f>
        <v>110.3835</v>
      </c>
      <c r="R1057" s="10">
        <f>CHOOSE(CONTROL!$C$42, 111.2464, 111.2464) * CHOOSE(CONTROL!$C$21, $C$9, 100%, $E$9)</f>
        <v>111.24639999999999</v>
      </c>
      <c r="S1057" s="10">
        <f>CHOOSE(CONTROL!$C$42, 107.6106, 107.6106) * CHOOSE(CONTROL!$C$21, $C$9, 100%, $E$9)</f>
        <v>107.61060000000001</v>
      </c>
      <c r="T1057" s="5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057" s="58">
        <f>(1000*CHOOSE(CONTROL!$C$42, 695, 695)*CHOOSE(CONTROL!$C$42, 0.5599, 0.5599)*CHOOSE(CONTROL!$C$42, 31, 31))/1000000</f>
        <v>12.063045499999998</v>
      </c>
      <c r="V1057" s="58">
        <f>(1000*CHOOSE(CONTROL!$C$42, 500, 500)*CHOOSE(CONTROL!$C$42, 0.275, 0.275)*CHOOSE(CONTROL!$C$42, 31, 31))/1000000</f>
        <v>4.2625000000000002</v>
      </c>
      <c r="W1057" s="58">
        <f>(1000*CHOOSE(CONTROL!$C$42, 0.1146, 0.1146)*CHOOSE(CONTROL!$C$42, 121.5, 121.5)*CHOOSE(CONTROL!$C$42, 31, 31))/1000000</f>
        <v>0.43164089999999994</v>
      </c>
      <c r="X1057" s="58">
        <f>(31*0.1790888*100000/1000000)+(31*0.2374*100000/1000000)</f>
        <v>1.2911152800000001</v>
      </c>
      <c r="Y1057" s="58"/>
      <c r="Z1057" s="10"/>
      <c r="AA1057" s="57"/>
      <c r="AB1057" s="51">
        <f>(B1057*122.58+C1057*297.941+D1057*89.177+E1057*40.302+F1057*40+G1057*160+H1057*0+I1057*100+J1057*300)/(122.58+297.941+89.177+40.302+0+40+160+100+300)</f>
        <v>110.80729056817391</v>
      </c>
      <c r="AC1057" s="27">
        <f>(M1057*'RAP TEMPLATE-GAS AVAILABILITY'!O1056+N1057*'RAP TEMPLATE-GAS AVAILABILITY'!P1056+O1057*'RAP TEMPLATE-GAS AVAILABILITY'!Q1056+P1057*'RAP TEMPLATE-GAS AVAILABILITY'!R1056)/('RAP TEMPLATE-GAS AVAILABILITY'!O1056+'RAP TEMPLATE-GAS AVAILABILITY'!P1056+'RAP TEMPLATE-GAS AVAILABILITY'!Q1056+'RAP TEMPLATE-GAS AVAILABILITY'!R1056)</f>
        <v>109.72657122302159</v>
      </c>
    </row>
    <row r="1058" spans="1:29" ht="15.75" x14ac:dyDescent="0.25">
      <c r="A1058" s="13">
        <v>73109</v>
      </c>
      <c r="B1058" s="10">
        <f>CHOOSE(CONTROL!$C$42, 112.7879, 112.7879) * CHOOSE(CONTROL!$C$21, $C$9, 100%, $E$9)</f>
        <v>112.78789999999999</v>
      </c>
      <c r="C1058" s="10">
        <f>CHOOSE(CONTROL!$C$42, 112.7929, 112.7929) * CHOOSE(CONTROL!$C$21, $C$9, 100%, $E$9)</f>
        <v>112.7929</v>
      </c>
      <c r="D1058" s="10">
        <f>CHOOSE(CONTROL!$C$42, 112.8534, 112.8534) * CHOOSE(CONTROL!$C$21, $C$9, 100%, $E$9)</f>
        <v>112.85339999999999</v>
      </c>
      <c r="E1058" s="10">
        <f>CHOOSE(CONTROL!$C$42, 112.8872, 112.8872) * CHOOSE(CONTROL!$C$21, $C$9, 100%, $E$9)</f>
        <v>112.88720000000001</v>
      </c>
      <c r="F1058" s="10">
        <f>CHOOSE(CONTROL!$C$42, 112.7812, 112.7812)*CHOOSE(CONTROL!$C$21, $C$9, 100%, $E$9)</f>
        <v>112.7812</v>
      </c>
      <c r="G1058" s="10">
        <f>CHOOSE(CONTROL!$C$42, 112.7985, 112.7985)*CHOOSE(CONTROL!$C$21, $C$9, 100%, $E$9)</f>
        <v>112.7985</v>
      </c>
      <c r="H1058" s="10">
        <f>CHOOSE(CONTROL!$C$42, 112.8764, 112.8764) * CHOOSE(CONTROL!$C$21, $C$9, 100%, $E$9)</f>
        <v>112.8764</v>
      </c>
      <c r="I1058" s="10">
        <f>CHOOSE(CONTROL!$C$42, 112.7747, 112.7747)* CHOOSE(CONTROL!$C$21, $C$9, 100%, $E$9)</f>
        <v>112.7747</v>
      </c>
      <c r="J1058" s="10">
        <f>CHOOSE(CONTROL!$C$42, 112.7742, 112.7742)* CHOOSE(CONTROL!$C$21, $C$9, 100%, $E$9)</f>
        <v>112.77419999999999</v>
      </c>
      <c r="K1058" s="54">
        <f>CHOOSE(CONTROL!$C$42, 112.7708, 112.7708) * CHOOSE(CONTROL!$C$21, $C$9, 100%, $E$9)</f>
        <v>112.77079999999999</v>
      </c>
      <c r="L1058" s="10">
        <f>CHOOSE(CONTROL!$C$42, 113.4634, 113.4634) * CHOOSE(CONTROL!$C$21, $C$9, 100%, $E$9)</f>
        <v>113.46339999999999</v>
      </c>
      <c r="M1058" s="10">
        <f>CHOOSE(CONTROL!$C$42, 111.6499, 111.6499) * CHOOSE(CONTROL!$C$21, $C$9, 100%, $E$9)</f>
        <v>111.6499</v>
      </c>
      <c r="N1058" s="10">
        <f>CHOOSE(CONTROL!$C$42, 111.667, 111.667) * CHOOSE(CONTROL!$C$21, $C$9, 100%, $E$9)</f>
        <v>111.667</v>
      </c>
      <c r="O1058" s="10">
        <f>CHOOSE(CONTROL!$C$42, 111.7511, 111.7511) * CHOOSE(CONTROL!$C$21, $C$9, 100%, $E$9)</f>
        <v>111.75109999999999</v>
      </c>
      <c r="P1058" s="10">
        <f>CHOOSE(CONTROL!$C$42, 111.6505, 111.6505) * CHOOSE(CONTROL!$C$21, $C$9, 100%, $E$9)</f>
        <v>111.65049999999999</v>
      </c>
      <c r="Q1058" s="10">
        <f>CHOOSE(CONTROL!$C$42, 112.3464, 112.3464) * CHOOSE(CONTROL!$C$21, $C$9, 100%, $E$9)</f>
        <v>112.3464</v>
      </c>
      <c r="R1058" s="10">
        <f>CHOOSE(CONTROL!$C$42, 113.2142, 113.2142) * CHOOSE(CONTROL!$C$21, $C$9, 100%, $E$9)</f>
        <v>113.21420000000001</v>
      </c>
      <c r="S1058" s="10">
        <f>CHOOSE(CONTROL!$C$42, 109.5262, 109.5262) * CHOOSE(CONTROL!$C$21, $C$9, 100%, $E$9)</f>
        <v>109.5262</v>
      </c>
      <c r="T1058" s="5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1058" s="58">
        <f>(1000*CHOOSE(CONTROL!$C$42, 695, 695)*CHOOSE(CONTROL!$C$42, 0.5599, 0.5599)*CHOOSE(CONTROL!$C$42, 29, 29))/1000000</f>
        <v>11.284784499999999</v>
      </c>
      <c r="V1058" s="58">
        <f>(1000*CHOOSE(CONTROL!$C$42, 500, 500)*CHOOSE(CONTROL!$C$42, 0.275, 0.275)*CHOOSE(CONTROL!$C$42, 29, 29))/1000000</f>
        <v>3.9874999999999998</v>
      </c>
      <c r="W1058" s="58">
        <f>(1000*CHOOSE(CONTROL!$C$42, 0.1146, 0.1146)*CHOOSE(CONTROL!$C$42, 121.5, 121.5)*CHOOSE(CONTROL!$C$42, 29, 29))/1000000</f>
        <v>0.40379309999999996</v>
      </c>
      <c r="X1058" s="58">
        <f>(28*0.1790888*100000/1000000)+(28*0.2374*100000/1000000)</f>
        <v>1.16616864</v>
      </c>
      <c r="Y1058" s="58"/>
      <c r="Z1058" s="10"/>
      <c r="AA1058" s="57"/>
      <c r="AB1058" s="51">
        <f>(B1058*122.58+C1058*297.941+D1058*89.177+E1058*40.302+F1058*40+G1058*160+H1058*0+I1058*100+J1058*300)/(122.58+297.941+89.177+40.302+0+40+160+100+300)</f>
        <v>112.79427459747825</v>
      </c>
      <c r="AC1058" s="27">
        <f>(M1058*'RAP TEMPLATE-GAS AVAILABILITY'!O1057+N1058*'RAP TEMPLATE-GAS AVAILABILITY'!P1057+O1058*'RAP TEMPLATE-GAS AVAILABILITY'!Q1057+P1058*'RAP TEMPLATE-GAS AVAILABILITY'!R1057)/('RAP TEMPLATE-GAS AVAILABILITY'!O1057+'RAP TEMPLATE-GAS AVAILABILITY'!P1057+'RAP TEMPLATE-GAS AVAILABILITY'!Q1057+'RAP TEMPLATE-GAS AVAILABILITY'!R1057)</f>
        <v>111.69683812949641</v>
      </c>
    </row>
    <row r="1059" spans="1:29" ht="15.75" x14ac:dyDescent="0.25">
      <c r="A1059" s="13">
        <v>73140</v>
      </c>
      <c r="B1059" s="10">
        <f>CHOOSE(CONTROL!$C$42, 109.5859, 109.5859) * CHOOSE(CONTROL!$C$21, $C$9, 100%, $E$9)</f>
        <v>109.5859</v>
      </c>
      <c r="C1059" s="10">
        <f>CHOOSE(CONTROL!$C$42, 109.5908, 109.5908) * CHOOSE(CONTROL!$C$21, $C$9, 100%, $E$9)</f>
        <v>109.5908</v>
      </c>
      <c r="D1059" s="10">
        <f>CHOOSE(CONTROL!$C$42, 109.6514, 109.6514) * CHOOSE(CONTROL!$C$21, $C$9, 100%, $E$9)</f>
        <v>109.6514</v>
      </c>
      <c r="E1059" s="10">
        <f>CHOOSE(CONTROL!$C$42, 109.6851, 109.6851) * CHOOSE(CONTROL!$C$21, $C$9, 100%, $E$9)</f>
        <v>109.68510000000001</v>
      </c>
      <c r="F1059" s="10">
        <f>CHOOSE(CONTROL!$C$42, 109.5736, 109.5736)*CHOOSE(CONTROL!$C$21, $C$9, 100%, $E$9)</f>
        <v>109.5736</v>
      </c>
      <c r="G1059" s="10">
        <f>CHOOSE(CONTROL!$C$42, 109.5908, 109.5908)*CHOOSE(CONTROL!$C$21, $C$9, 100%, $E$9)</f>
        <v>109.5908</v>
      </c>
      <c r="H1059" s="10">
        <f>CHOOSE(CONTROL!$C$42, 109.6743, 109.6743) * CHOOSE(CONTROL!$C$21, $C$9, 100%, $E$9)</f>
        <v>109.6743</v>
      </c>
      <c r="I1059" s="10">
        <f>CHOOSE(CONTROL!$C$42, 109.5598, 109.5598)* CHOOSE(CONTROL!$C$21, $C$9, 100%, $E$9)</f>
        <v>109.5598</v>
      </c>
      <c r="J1059" s="10">
        <f>CHOOSE(CONTROL!$C$42, 109.5666, 109.5666)* CHOOSE(CONTROL!$C$21, $C$9, 100%, $E$9)</f>
        <v>109.56659999999999</v>
      </c>
      <c r="K1059" s="54">
        <f>CHOOSE(CONTROL!$C$42, 109.5559, 109.5559) * CHOOSE(CONTROL!$C$21, $C$9, 100%, $E$9)</f>
        <v>109.55589999999999</v>
      </c>
      <c r="L1059" s="10">
        <f>CHOOSE(CONTROL!$C$42, 110.2613, 110.2613) * CHOOSE(CONTROL!$C$21, $C$9, 100%, $E$9)</f>
        <v>110.26130000000001</v>
      </c>
      <c r="M1059" s="10">
        <f>CHOOSE(CONTROL!$C$42, 108.4747, 108.4747) * CHOOSE(CONTROL!$C$21, $C$9, 100%, $E$9)</f>
        <v>108.4747</v>
      </c>
      <c r="N1059" s="10">
        <f>CHOOSE(CONTROL!$C$42, 108.4918, 108.4918) * CHOOSE(CONTROL!$C$21, $C$9, 100%, $E$9)</f>
        <v>108.4918</v>
      </c>
      <c r="O1059" s="10">
        <f>CHOOSE(CONTROL!$C$42, 108.5813, 108.5813) * CHOOSE(CONTROL!$C$21, $C$9, 100%, $E$9)</f>
        <v>108.5813</v>
      </c>
      <c r="P1059" s="10">
        <f>CHOOSE(CONTROL!$C$42, 108.468, 108.468) * CHOOSE(CONTROL!$C$21, $C$9, 100%, $E$9)</f>
        <v>108.468</v>
      </c>
      <c r="Q1059" s="10">
        <f>CHOOSE(CONTROL!$C$42, 109.1766, 109.1766) * CHOOSE(CONTROL!$C$21, $C$9, 100%, $E$9)</f>
        <v>109.17659999999999</v>
      </c>
      <c r="R1059" s="10">
        <f>CHOOSE(CONTROL!$C$42, 110.0366, 110.0366) * CHOOSE(CONTROL!$C$21, $C$9, 100%, $E$9)</f>
        <v>110.03660000000001</v>
      </c>
      <c r="S1059" s="10">
        <f>CHOOSE(CONTROL!$C$42, 106.4167, 106.4167) * CHOOSE(CONTROL!$C$21, $C$9, 100%, $E$9)</f>
        <v>106.41670000000001</v>
      </c>
      <c r="T1059" s="5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059" s="58">
        <f>(1000*CHOOSE(CONTROL!$C$42, 695, 695)*CHOOSE(CONTROL!$C$42, 0.5599, 0.5599)*CHOOSE(CONTROL!$C$42, 31, 31))/1000000</f>
        <v>12.063045499999998</v>
      </c>
      <c r="V1059" s="58">
        <f>(1000*CHOOSE(CONTROL!$C$42, 500, 500)*CHOOSE(CONTROL!$C$42, 0.275, 0.275)*CHOOSE(CONTROL!$C$42, 31, 31))/1000000</f>
        <v>4.2625000000000002</v>
      </c>
      <c r="W1059" s="58">
        <f>(1000*CHOOSE(CONTROL!$C$42, 0.1146, 0.1146)*CHOOSE(CONTROL!$C$42, 121.5, 121.5)*CHOOSE(CONTROL!$C$42, 31, 31))/1000000</f>
        <v>0.43164089999999994</v>
      </c>
      <c r="X1059" s="58">
        <f>(31*0.1790888*100000/1000000)+(31*0.2374*100000/1000000)</f>
        <v>1.2911152800000001</v>
      </c>
      <c r="Y1059" s="58"/>
      <c r="Z1059" s="10"/>
      <c r="AA1059" s="57"/>
      <c r="AB1059" s="51">
        <f>(B1059*122.58+C1059*297.941+D1059*89.177+E1059*40.302+F1059*40+G1059*160+H1059*0+I1059*100+J1059*300)/(122.58+297.941+89.177+40.302+0+40+160+100+300)</f>
        <v>109.58867475026085</v>
      </c>
      <c r="AC1059" s="27">
        <f>(M1059*'RAP TEMPLATE-GAS AVAILABILITY'!O1058+N1059*'RAP TEMPLATE-GAS AVAILABILITY'!P1058+O1059*'RAP TEMPLATE-GAS AVAILABILITY'!Q1058+P1059*'RAP TEMPLATE-GAS AVAILABILITY'!R1058)/('RAP TEMPLATE-GAS AVAILABILITY'!O1058+'RAP TEMPLATE-GAS AVAILABILITY'!P1058+'RAP TEMPLATE-GAS AVAILABILITY'!Q1058+'RAP TEMPLATE-GAS AVAILABILITY'!R1058)</f>
        <v>108.52303525179856</v>
      </c>
    </row>
    <row r="1060" spans="1:29" ht="15.75" x14ac:dyDescent="0.25">
      <c r="A1060" s="13">
        <v>73170</v>
      </c>
      <c r="B1060" s="10">
        <f>CHOOSE(CONTROL!$C$42, 109.259, 109.259) * CHOOSE(CONTROL!$C$21, $C$9, 100%, $E$9)</f>
        <v>109.259</v>
      </c>
      <c r="C1060" s="10">
        <f>CHOOSE(CONTROL!$C$42, 109.2633, 109.2633) * CHOOSE(CONTROL!$C$21, $C$9, 100%, $E$9)</f>
        <v>109.2633</v>
      </c>
      <c r="D1060" s="10">
        <f>CHOOSE(CONTROL!$C$42, 109.4589, 109.4589) * CHOOSE(CONTROL!$C$21, $C$9, 100%, $E$9)</f>
        <v>109.4589</v>
      </c>
      <c r="E1060" s="10">
        <f>CHOOSE(CONTROL!$C$42, 109.4907, 109.4907) * CHOOSE(CONTROL!$C$21, $C$9, 100%, $E$9)</f>
        <v>109.4907</v>
      </c>
      <c r="F1060" s="10">
        <f>CHOOSE(CONTROL!$C$42, 109.2268, 109.2268)*CHOOSE(CONTROL!$C$21, $C$9, 100%, $E$9)</f>
        <v>109.2268</v>
      </c>
      <c r="G1060" s="10">
        <f>CHOOSE(CONTROL!$C$42, 109.2435, 109.2435)*CHOOSE(CONTROL!$C$21, $C$9, 100%, $E$9)</f>
        <v>109.2435</v>
      </c>
      <c r="H1060" s="10">
        <f>CHOOSE(CONTROL!$C$42, 109.4805, 109.4805) * CHOOSE(CONTROL!$C$21, $C$9, 100%, $E$9)</f>
        <v>109.48050000000001</v>
      </c>
      <c r="I1060" s="10">
        <f>CHOOSE(CONTROL!$C$42, 109.2269, 109.2269)* CHOOSE(CONTROL!$C$21, $C$9, 100%, $E$9)</f>
        <v>109.2269</v>
      </c>
      <c r="J1060" s="10">
        <f>CHOOSE(CONTROL!$C$42, 109.2198, 109.2198)* CHOOSE(CONTROL!$C$21, $C$9, 100%, $E$9)</f>
        <v>109.21980000000001</v>
      </c>
      <c r="K1060" s="54">
        <f>CHOOSE(CONTROL!$C$42, 109.223, 109.223) * CHOOSE(CONTROL!$C$21, $C$9, 100%, $E$9)</f>
        <v>109.223</v>
      </c>
      <c r="L1060" s="10">
        <f>CHOOSE(CONTROL!$C$42, 110.0675, 110.0675) * CHOOSE(CONTROL!$C$21, $C$9, 100%, $E$9)</f>
        <v>110.0675</v>
      </c>
      <c r="M1060" s="10">
        <f>CHOOSE(CONTROL!$C$42, 108.1314, 108.1314) * CHOOSE(CONTROL!$C$21, $C$9, 100%, $E$9)</f>
        <v>108.1314</v>
      </c>
      <c r="N1060" s="10">
        <f>CHOOSE(CONTROL!$C$42, 108.148, 108.148) * CHOOSE(CONTROL!$C$21, $C$9, 100%, $E$9)</f>
        <v>108.148</v>
      </c>
      <c r="O1060" s="10">
        <f>CHOOSE(CONTROL!$C$42, 108.3894, 108.3894) * CHOOSE(CONTROL!$C$21, $C$9, 100%, $E$9)</f>
        <v>108.38939999999999</v>
      </c>
      <c r="P1060" s="10">
        <f>CHOOSE(CONTROL!$C$42, 108.1385, 108.1385) * CHOOSE(CONTROL!$C$21, $C$9, 100%, $E$9)</f>
        <v>108.13849999999999</v>
      </c>
      <c r="Q1060" s="10">
        <f>CHOOSE(CONTROL!$C$42, 108.9847, 108.9847) * CHOOSE(CONTROL!$C$21, $C$9, 100%, $E$9)</f>
        <v>108.9847</v>
      </c>
      <c r="R1060" s="10">
        <f>CHOOSE(CONTROL!$C$42, 109.8442, 109.8442) * CHOOSE(CONTROL!$C$21, $C$9, 100%, $E$9)</f>
        <v>109.8442</v>
      </c>
      <c r="S1060" s="10">
        <f>CHOOSE(CONTROL!$C$42, 106.0985, 106.0985) * CHOOSE(CONTROL!$C$21, $C$9, 100%, $E$9)</f>
        <v>106.0985</v>
      </c>
      <c r="T1060" s="5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060" s="58">
        <f>(1000*CHOOSE(CONTROL!$C$42, 695, 695)*CHOOSE(CONTROL!$C$42, 0.5599, 0.5599)*CHOOSE(CONTROL!$C$42, 30, 30))/1000000</f>
        <v>11.673914999999997</v>
      </c>
      <c r="V1060" s="58">
        <f>(1000*CHOOSE(CONTROL!$C$42, 500, 500)*CHOOSE(CONTROL!$C$42, 0.275, 0.275)*CHOOSE(CONTROL!$C$42, 30, 30))/1000000</f>
        <v>4.125</v>
      </c>
      <c r="W1060" s="58">
        <f>(1000*CHOOSE(CONTROL!$C$42, 0.1146, 0.1146)*CHOOSE(CONTROL!$C$42, 121.5, 121.5)*CHOOSE(CONTROL!$C$42, 30, 30))/1000000</f>
        <v>0.417717</v>
      </c>
      <c r="X1060" s="58">
        <f>(30*0.1790888*245000/1000000)+(30*0.2374*100000/1000000)</f>
        <v>2.0285026799999999</v>
      </c>
      <c r="Y1060" s="58"/>
      <c r="Z1060" s="10"/>
      <c r="AA1060" s="57"/>
      <c r="AB1060" s="51">
        <f>(B1060*141.293+C1060*267.993+D1060*115.016+E1060*89.698+F1060*40+G1060*185+H1060*0+I1060*100+J1060*300)/(141.293+267.993+115.016+89.698+0+40+185+100+300)</f>
        <v>109.27982453179985</v>
      </c>
      <c r="AC1060" s="27">
        <f>(M1060*'RAP TEMPLATE-GAS AVAILABILITY'!O1059+N1060*'RAP TEMPLATE-GAS AVAILABILITY'!P1059+O1060*'RAP TEMPLATE-GAS AVAILABILITY'!Q1059+P1060*'RAP TEMPLATE-GAS AVAILABILITY'!R1059)/('RAP TEMPLATE-GAS AVAILABILITY'!O1059+'RAP TEMPLATE-GAS AVAILABILITY'!P1059+'RAP TEMPLATE-GAS AVAILABILITY'!Q1059+'RAP TEMPLATE-GAS AVAILABILITY'!R1059)</f>
        <v>108.25031223021584</v>
      </c>
    </row>
    <row r="1061" spans="1:29" ht="15.75" x14ac:dyDescent="0.25">
      <c r="A1061" s="13">
        <v>73201</v>
      </c>
      <c r="B1061" s="10">
        <f>CHOOSE(CONTROL!$C$42, 110.2246, 110.2246) * CHOOSE(CONTROL!$C$21, $C$9, 100%, $E$9)</f>
        <v>110.2246</v>
      </c>
      <c r="C1061" s="10">
        <f>CHOOSE(CONTROL!$C$42, 110.2326, 110.2326) * CHOOSE(CONTROL!$C$21, $C$9, 100%, $E$9)</f>
        <v>110.23260000000001</v>
      </c>
      <c r="D1061" s="10">
        <f>CHOOSE(CONTROL!$C$42, 110.425, 110.425) * CHOOSE(CONTROL!$C$21, $C$9, 100%, $E$9)</f>
        <v>110.425</v>
      </c>
      <c r="E1061" s="10">
        <f>CHOOSE(CONTROL!$C$42, 110.4561, 110.4561) * CHOOSE(CONTROL!$C$21, $C$9, 100%, $E$9)</f>
        <v>110.45610000000001</v>
      </c>
      <c r="F1061" s="10">
        <f>CHOOSE(CONTROL!$C$42, 110.1909, 110.1909)*CHOOSE(CONTROL!$C$21, $C$9, 100%, $E$9)</f>
        <v>110.1909</v>
      </c>
      <c r="G1061" s="10">
        <f>CHOOSE(CONTROL!$C$42, 110.208, 110.208)*CHOOSE(CONTROL!$C$21, $C$9, 100%, $E$9)</f>
        <v>110.208</v>
      </c>
      <c r="H1061" s="10">
        <f>CHOOSE(CONTROL!$C$42, 110.4448, 110.4448) * CHOOSE(CONTROL!$C$21, $C$9, 100%, $E$9)</f>
        <v>110.4448</v>
      </c>
      <c r="I1061" s="10">
        <f>CHOOSE(CONTROL!$C$42, 110.1912, 110.1912)* CHOOSE(CONTROL!$C$21, $C$9, 100%, $E$9)</f>
        <v>110.19119999999999</v>
      </c>
      <c r="J1061" s="10">
        <f>CHOOSE(CONTROL!$C$42, 110.1839, 110.1839)* CHOOSE(CONTROL!$C$21, $C$9, 100%, $E$9)</f>
        <v>110.18389999999999</v>
      </c>
      <c r="K1061" s="54">
        <f>CHOOSE(CONTROL!$C$42, 110.1873, 110.1873) * CHOOSE(CONTROL!$C$21, $C$9, 100%, $E$9)</f>
        <v>110.18729999999999</v>
      </c>
      <c r="L1061" s="10">
        <f>CHOOSE(CONTROL!$C$42, 111.0318, 111.0318) * CHOOSE(CONTROL!$C$21, $C$9, 100%, $E$9)</f>
        <v>111.0318</v>
      </c>
      <c r="M1061" s="10">
        <f>CHOOSE(CONTROL!$C$42, 109.0858, 109.0858) * CHOOSE(CONTROL!$C$21, $C$9, 100%, $E$9)</f>
        <v>109.08580000000001</v>
      </c>
      <c r="N1061" s="10">
        <f>CHOOSE(CONTROL!$C$42, 109.1027, 109.1027) * CHOOSE(CONTROL!$C$21, $C$9, 100%, $E$9)</f>
        <v>109.1027</v>
      </c>
      <c r="O1061" s="10">
        <f>CHOOSE(CONTROL!$C$42, 109.344, 109.344) * CHOOSE(CONTROL!$C$21, $C$9, 100%, $E$9)</f>
        <v>109.34399999999999</v>
      </c>
      <c r="P1061" s="10">
        <f>CHOOSE(CONTROL!$C$42, 109.0931, 109.0931) * CHOOSE(CONTROL!$C$21, $C$9, 100%, $E$9)</f>
        <v>109.09310000000001</v>
      </c>
      <c r="Q1061" s="10">
        <f>CHOOSE(CONTROL!$C$42, 109.9393, 109.9393) * CHOOSE(CONTROL!$C$21, $C$9, 100%, $E$9)</f>
        <v>109.9393</v>
      </c>
      <c r="R1061" s="10">
        <f>CHOOSE(CONTROL!$C$42, 110.8012, 110.8012) * CHOOSE(CONTROL!$C$21, $C$9, 100%, $E$9)</f>
        <v>110.80119999999999</v>
      </c>
      <c r="S1061" s="10">
        <f>CHOOSE(CONTROL!$C$42, 107.0349, 107.0349) * CHOOSE(CONTROL!$C$21, $C$9, 100%, $E$9)</f>
        <v>107.03489999999999</v>
      </c>
      <c r="T1061" s="5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061" s="58">
        <f>(1000*CHOOSE(CONTROL!$C$42, 695, 695)*CHOOSE(CONTROL!$C$42, 0.5599, 0.5599)*CHOOSE(CONTROL!$C$42, 31, 31))/1000000</f>
        <v>12.063045499999998</v>
      </c>
      <c r="V1061" s="58">
        <f>(1000*CHOOSE(CONTROL!$C$42, 500, 500)*CHOOSE(CONTROL!$C$42, 0.275, 0.275)*CHOOSE(CONTROL!$C$42, 31, 31))/1000000</f>
        <v>4.2625000000000002</v>
      </c>
      <c r="W1061" s="58">
        <f>(1000*CHOOSE(CONTROL!$C$42, 0.1146, 0.1146)*CHOOSE(CONTROL!$C$42, 121.5, 121.5)*CHOOSE(CONTROL!$C$42, 31, 31))/1000000</f>
        <v>0.43164089999999994</v>
      </c>
      <c r="X1061" s="58">
        <f>(31*0.1790888*245000/1000000)+(31*0.2374*100000/1000000)</f>
        <v>2.0961194359999999</v>
      </c>
      <c r="Y1061" s="58"/>
      <c r="Z1061" s="10"/>
      <c r="AA1061" s="57"/>
      <c r="AB1061" s="51">
        <f>(B1061*194.205+C1061*267.466+D1061*133.845+E1061*53.484+F1061*40+G1061*185+H1061*0+I1061*100+J1061*300)/(194.205+267.466+133.845+53.484+0+40+185+100+300)</f>
        <v>110.24137771742544</v>
      </c>
      <c r="AC1061" s="27">
        <f>(M1061*'RAP TEMPLATE-GAS AVAILABILITY'!O1060+N1061*'RAP TEMPLATE-GAS AVAILABILITY'!P1060+O1061*'RAP TEMPLATE-GAS AVAILABILITY'!Q1060+P1061*'RAP TEMPLATE-GAS AVAILABILITY'!R1060)/('RAP TEMPLATE-GAS AVAILABILITY'!O1060+'RAP TEMPLATE-GAS AVAILABILITY'!P1060+'RAP TEMPLATE-GAS AVAILABILITY'!Q1060+'RAP TEMPLATE-GAS AVAILABILITY'!R1060)</f>
        <v>109.2048489208633</v>
      </c>
    </row>
    <row r="1062" spans="1:29" ht="15.75" x14ac:dyDescent="0.25">
      <c r="A1062" s="13">
        <v>73231</v>
      </c>
      <c r="B1062" s="10">
        <f>CHOOSE(CONTROL!$C$42, 113.3512, 113.3512) * CHOOSE(CONTROL!$C$21, $C$9, 100%, $E$9)</f>
        <v>113.35120000000001</v>
      </c>
      <c r="C1062" s="10">
        <f>CHOOSE(CONTROL!$C$42, 113.3591, 113.3591) * CHOOSE(CONTROL!$C$21, $C$9, 100%, $E$9)</f>
        <v>113.3591</v>
      </c>
      <c r="D1062" s="10">
        <f>CHOOSE(CONTROL!$C$42, 113.5515, 113.5515) * CHOOSE(CONTROL!$C$21, $C$9, 100%, $E$9)</f>
        <v>113.5515</v>
      </c>
      <c r="E1062" s="10">
        <f>CHOOSE(CONTROL!$C$42, 113.5827, 113.5827) * CHOOSE(CONTROL!$C$21, $C$9, 100%, $E$9)</f>
        <v>113.5827</v>
      </c>
      <c r="F1062" s="10">
        <f>CHOOSE(CONTROL!$C$42, 113.3177, 113.3177)*CHOOSE(CONTROL!$C$21, $C$9, 100%, $E$9)</f>
        <v>113.3177</v>
      </c>
      <c r="G1062" s="10">
        <f>CHOOSE(CONTROL!$C$42, 113.3349, 113.3349)*CHOOSE(CONTROL!$C$21, $C$9, 100%, $E$9)</f>
        <v>113.3349</v>
      </c>
      <c r="H1062" s="10">
        <f>CHOOSE(CONTROL!$C$42, 113.5713, 113.5713) * CHOOSE(CONTROL!$C$21, $C$9, 100%, $E$9)</f>
        <v>113.57129999999999</v>
      </c>
      <c r="I1062" s="10">
        <f>CHOOSE(CONTROL!$C$42, 113.3177, 113.3177)* CHOOSE(CONTROL!$C$21, $C$9, 100%, $E$9)</f>
        <v>113.3177</v>
      </c>
      <c r="J1062" s="10">
        <f>CHOOSE(CONTROL!$C$42, 113.3107, 113.3107)* CHOOSE(CONTROL!$C$21, $C$9, 100%, $E$9)</f>
        <v>113.3107</v>
      </c>
      <c r="K1062" s="54">
        <f>CHOOSE(CONTROL!$C$42, 113.3139, 113.3139) * CHOOSE(CONTROL!$C$21, $C$9, 100%, $E$9)</f>
        <v>113.3139</v>
      </c>
      <c r="L1062" s="10">
        <f>CHOOSE(CONTROL!$C$42, 114.1583, 114.1583) * CHOOSE(CONTROL!$C$21, $C$9, 100%, $E$9)</f>
        <v>114.1583</v>
      </c>
      <c r="M1062" s="10">
        <f>CHOOSE(CONTROL!$C$42, 112.181, 112.181) * CHOOSE(CONTROL!$C$21, $C$9, 100%, $E$9)</f>
        <v>112.181</v>
      </c>
      <c r="N1062" s="10">
        <f>CHOOSE(CONTROL!$C$42, 112.198, 112.198) * CHOOSE(CONTROL!$C$21, $C$9, 100%, $E$9)</f>
        <v>112.19799999999999</v>
      </c>
      <c r="O1062" s="10">
        <f>CHOOSE(CONTROL!$C$42, 112.439, 112.439) * CHOOSE(CONTROL!$C$21, $C$9, 100%, $E$9)</f>
        <v>112.43899999999999</v>
      </c>
      <c r="P1062" s="10">
        <f>CHOOSE(CONTROL!$C$42, 112.188, 112.188) * CHOOSE(CONTROL!$C$21, $C$9, 100%, $E$9)</f>
        <v>112.188</v>
      </c>
      <c r="Q1062" s="10">
        <f>CHOOSE(CONTROL!$C$42, 113.0343, 113.0343) * CHOOSE(CONTROL!$C$21, $C$9, 100%, $E$9)</f>
        <v>113.0343</v>
      </c>
      <c r="R1062" s="10">
        <f>CHOOSE(CONTROL!$C$42, 113.9039, 113.9039) * CHOOSE(CONTROL!$C$21, $C$9, 100%, $E$9)</f>
        <v>113.90389999999999</v>
      </c>
      <c r="S1062" s="10">
        <f>CHOOSE(CONTROL!$C$42, 110.0711, 110.0711) * CHOOSE(CONTROL!$C$21, $C$9, 100%, $E$9)</f>
        <v>110.0711</v>
      </c>
      <c r="T1062" s="5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062" s="58">
        <f>(1000*CHOOSE(CONTROL!$C$42, 695, 695)*CHOOSE(CONTROL!$C$42, 0.5599, 0.5599)*CHOOSE(CONTROL!$C$42, 30, 30))/1000000</f>
        <v>11.673914999999997</v>
      </c>
      <c r="V1062" s="58">
        <f>(1000*CHOOSE(CONTROL!$C$42, 500, 500)*CHOOSE(CONTROL!$C$42, 0.275, 0.275)*CHOOSE(CONTROL!$C$42, 30, 30))/1000000</f>
        <v>4.125</v>
      </c>
      <c r="W1062" s="58">
        <f>(1000*CHOOSE(CONTROL!$C$42, 0.1146, 0.1146)*CHOOSE(CONTROL!$C$42, 121.5, 121.5)*CHOOSE(CONTROL!$C$42, 30, 30))/1000000</f>
        <v>0.417717</v>
      </c>
      <c r="X1062" s="58">
        <f>(30*0.1790888*245000/1000000)+(30*0.2374*100000/1000000)</f>
        <v>2.0285026799999999</v>
      </c>
      <c r="Y1062" s="58"/>
      <c r="Z1062" s="10"/>
      <c r="AA1062" s="57"/>
      <c r="AB1062" s="51">
        <f>(B1062*194.205+C1062*267.466+D1062*133.845+E1062*53.484+F1062*40+G1062*185+H1062*0+I1062*100+J1062*300)/(194.205+267.466+133.845+53.484+0+40+185+100+300)</f>
        <v>113.36803530682889</v>
      </c>
      <c r="AC1062" s="27">
        <f>(M1062*'RAP TEMPLATE-GAS AVAILABILITY'!O1061+N1062*'RAP TEMPLATE-GAS AVAILABILITY'!P1061+O1062*'RAP TEMPLATE-GAS AVAILABILITY'!Q1061+P1062*'RAP TEMPLATE-GAS AVAILABILITY'!R1061)/('RAP TEMPLATE-GAS AVAILABILITY'!O1061+'RAP TEMPLATE-GAS AVAILABILITY'!P1061+'RAP TEMPLATE-GAS AVAILABILITY'!Q1061+'RAP TEMPLATE-GAS AVAILABILITY'!R1061)</f>
        <v>112.29992086330934</v>
      </c>
    </row>
    <row r="1063" spans="1:29" ht="15.75" x14ac:dyDescent="0.25">
      <c r="A1063" s="13">
        <v>73262</v>
      </c>
      <c r="B1063" s="10">
        <f>CHOOSE(CONTROL!$C$42, 111.1767, 111.1767) * CHOOSE(CONTROL!$C$21, $C$9, 100%, $E$9)</f>
        <v>111.1767</v>
      </c>
      <c r="C1063" s="10">
        <f>CHOOSE(CONTROL!$C$42, 111.1846, 111.1846) * CHOOSE(CONTROL!$C$21, $C$9, 100%, $E$9)</f>
        <v>111.1846</v>
      </c>
      <c r="D1063" s="10">
        <f>CHOOSE(CONTROL!$C$42, 111.377, 111.377) * CHOOSE(CONTROL!$C$21, $C$9, 100%, $E$9)</f>
        <v>111.377</v>
      </c>
      <c r="E1063" s="10">
        <f>CHOOSE(CONTROL!$C$42, 111.4081, 111.4081) * CHOOSE(CONTROL!$C$21, $C$9, 100%, $E$9)</f>
        <v>111.4081</v>
      </c>
      <c r="F1063" s="10">
        <f>CHOOSE(CONTROL!$C$42, 111.1435, 111.1435)*CHOOSE(CONTROL!$C$21, $C$9, 100%, $E$9)</f>
        <v>111.1435</v>
      </c>
      <c r="G1063" s="10">
        <f>CHOOSE(CONTROL!$C$42, 111.1608, 111.1608)*CHOOSE(CONTROL!$C$21, $C$9, 100%, $E$9)</f>
        <v>111.16079999999999</v>
      </c>
      <c r="H1063" s="10">
        <f>CHOOSE(CONTROL!$C$42, 111.3968, 111.3968) * CHOOSE(CONTROL!$C$21, $C$9, 100%, $E$9)</f>
        <v>111.3968</v>
      </c>
      <c r="I1063" s="10">
        <f>CHOOSE(CONTROL!$C$42, 111.1432, 111.1432)* CHOOSE(CONTROL!$C$21, $C$9, 100%, $E$9)</f>
        <v>111.14319999999999</v>
      </c>
      <c r="J1063" s="10">
        <f>CHOOSE(CONTROL!$C$42, 111.1365, 111.1365)* CHOOSE(CONTROL!$C$21, $C$9, 100%, $E$9)</f>
        <v>111.1365</v>
      </c>
      <c r="K1063" s="54">
        <f>CHOOSE(CONTROL!$C$42, 111.1393, 111.1393) * CHOOSE(CONTROL!$C$21, $C$9, 100%, $E$9)</f>
        <v>111.13930000000001</v>
      </c>
      <c r="L1063" s="10">
        <f>CHOOSE(CONTROL!$C$42, 111.9838, 111.9838) * CHOOSE(CONTROL!$C$21, $C$9, 100%, $E$9)</f>
        <v>111.9838</v>
      </c>
      <c r="M1063" s="10">
        <f>CHOOSE(CONTROL!$C$42, 110.0288, 110.0288) * CHOOSE(CONTROL!$C$21, $C$9, 100%, $E$9)</f>
        <v>110.0288</v>
      </c>
      <c r="N1063" s="10">
        <f>CHOOSE(CONTROL!$C$42, 110.0459, 110.0459) * CHOOSE(CONTROL!$C$21, $C$9, 100%, $E$9)</f>
        <v>110.0459</v>
      </c>
      <c r="O1063" s="10">
        <f>CHOOSE(CONTROL!$C$42, 110.2864, 110.2864) * CHOOSE(CONTROL!$C$21, $C$9, 100%, $E$9)</f>
        <v>110.2864</v>
      </c>
      <c r="P1063" s="10">
        <f>CHOOSE(CONTROL!$C$42, 110.0355, 110.0355) * CHOOSE(CONTROL!$C$21, $C$9, 100%, $E$9)</f>
        <v>110.0355</v>
      </c>
      <c r="Q1063" s="10">
        <f>CHOOSE(CONTROL!$C$42, 110.8817, 110.8817) * CHOOSE(CONTROL!$C$21, $C$9, 100%, $E$9)</f>
        <v>110.8817</v>
      </c>
      <c r="R1063" s="10">
        <f>CHOOSE(CONTROL!$C$42, 111.7459, 111.7459) * CHOOSE(CONTROL!$C$21, $C$9, 100%, $E$9)</f>
        <v>111.74590000000001</v>
      </c>
      <c r="S1063" s="10">
        <f>CHOOSE(CONTROL!$C$42, 107.9594, 107.9594) * CHOOSE(CONTROL!$C$21, $C$9, 100%, $E$9)</f>
        <v>107.9594</v>
      </c>
      <c r="T1063" s="5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063" s="58">
        <f>(1000*CHOOSE(CONTROL!$C$42, 695, 695)*CHOOSE(CONTROL!$C$42, 0.5599, 0.5599)*CHOOSE(CONTROL!$C$42, 31, 31))/1000000</f>
        <v>12.063045499999998</v>
      </c>
      <c r="V1063" s="58">
        <f>(1000*CHOOSE(CONTROL!$C$42, 500, 500)*CHOOSE(CONTROL!$C$42, 0.275, 0.275)*CHOOSE(CONTROL!$C$42, 31, 31))/1000000</f>
        <v>4.2625000000000002</v>
      </c>
      <c r="W1063" s="58">
        <f>(1000*CHOOSE(CONTROL!$C$42, 0.1146, 0.1146)*CHOOSE(CONTROL!$C$42, 121.5, 121.5)*CHOOSE(CONTROL!$C$42, 31, 31))/1000000</f>
        <v>0.43164089999999994</v>
      </c>
      <c r="X1063" s="58">
        <f>(31*0.1790888*245000/1000000)+(31*0.2374*100000/1000000)</f>
        <v>2.0961194359999999</v>
      </c>
      <c r="Y1063" s="58"/>
      <c r="Z1063" s="10"/>
      <c r="AA1063" s="57"/>
      <c r="AB1063" s="51">
        <f>(B1063*194.205+C1063*267.466+D1063*133.845+E1063*53.484+F1063*40+G1063*185+H1063*0+I1063*100+J1063*300)/(194.205+267.466+133.845+53.484+0+40+185+100+300)</f>
        <v>111.19366925627946</v>
      </c>
      <c r="AC1063" s="27">
        <f>(M1063*'RAP TEMPLATE-GAS AVAILABILITY'!O1062+N1063*'RAP TEMPLATE-GAS AVAILABILITY'!P1062+O1063*'RAP TEMPLATE-GAS AVAILABILITY'!Q1062+P1063*'RAP TEMPLATE-GAS AVAILABILITY'!R1062)/('RAP TEMPLATE-GAS AVAILABILITY'!O1062+'RAP TEMPLATE-GAS AVAILABILITY'!P1062+'RAP TEMPLATE-GAS AVAILABILITY'!Q1062+'RAP TEMPLATE-GAS AVAILABILITY'!R1062)</f>
        <v>110.1475021582734</v>
      </c>
    </row>
    <row r="1064" spans="1:29" ht="15.75" x14ac:dyDescent="0.25">
      <c r="A1064" s="13">
        <v>73293</v>
      </c>
      <c r="B1064" s="10">
        <f>CHOOSE(CONTROL!$C$42, 105.6853, 105.6853) * CHOOSE(CONTROL!$C$21, $C$9, 100%, $E$9)</f>
        <v>105.6853</v>
      </c>
      <c r="C1064" s="10">
        <f>CHOOSE(CONTROL!$C$42, 105.6932, 105.6932) * CHOOSE(CONTROL!$C$21, $C$9, 100%, $E$9)</f>
        <v>105.6932</v>
      </c>
      <c r="D1064" s="10">
        <f>CHOOSE(CONTROL!$C$42, 105.8857, 105.8857) * CHOOSE(CONTROL!$C$21, $C$9, 100%, $E$9)</f>
        <v>105.8857</v>
      </c>
      <c r="E1064" s="10">
        <f>CHOOSE(CONTROL!$C$42, 105.9168, 105.9168) * CHOOSE(CONTROL!$C$21, $C$9, 100%, $E$9)</f>
        <v>105.91679999999999</v>
      </c>
      <c r="F1064" s="10">
        <f>CHOOSE(CONTROL!$C$42, 105.6524, 105.6524)*CHOOSE(CONTROL!$C$21, $C$9, 100%, $E$9)</f>
        <v>105.6524</v>
      </c>
      <c r="G1064" s="10">
        <f>CHOOSE(CONTROL!$C$42, 105.6697, 105.6697)*CHOOSE(CONTROL!$C$21, $C$9, 100%, $E$9)</f>
        <v>105.66970000000001</v>
      </c>
      <c r="H1064" s="10">
        <f>CHOOSE(CONTROL!$C$42, 105.9054, 105.9054) * CHOOSE(CONTROL!$C$21, $C$9, 100%, $E$9)</f>
        <v>105.9054</v>
      </c>
      <c r="I1064" s="10">
        <f>CHOOSE(CONTROL!$C$42, 105.6519, 105.6519)* CHOOSE(CONTROL!$C$21, $C$9, 100%, $E$9)</f>
        <v>105.6519</v>
      </c>
      <c r="J1064" s="10">
        <f>CHOOSE(CONTROL!$C$42, 105.6454, 105.6454)* CHOOSE(CONTROL!$C$21, $C$9, 100%, $E$9)</f>
        <v>105.6454</v>
      </c>
      <c r="K1064" s="54">
        <f>CHOOSE(CONTROL!$C$42, 105.648, 105.648) * CHOOSE(CONTROL!$C$21, $C$9, 100%, $E$9)</f>
        <v>105.648</v>
      </c>
      <c r="L1064" s="10">
        <f>CHOOSE(CONTROL!$C$42, 106.4924, 106.4924) * CHOOSE(CONTROL!$C$21, $C$9, 100%, $E$9)</f>
        <v>106.4924</v>
      </c>
      <c r="M1064" s="10">
        <f>CHOOSE(CONTROL!$C$42, 104.5931, 104.5931) * CHOOSE(CONTROL!$C$21, $C$9, 100%, $E$9)</f>
        <v>104.59310000000001</v>
      </c>
      <c r="N1064" s="10">
        <f>CHOOSE(CONTROL!$C$42, 104.6102, 104.6102) * CHOOSE(CONTROL!$C$21, $C$9, 100%, $E$9)</f>
        <v>104.61020000000001</v>
      </c>
      <c r="O1064" s="10">
        <f>CHOOSE(CONTROL!$C$42, 104.8505, 104.8505) * CHOOSE(CONTROL!$C$21, $C$9, 100%, $E$9)</f>
        <v>104.8505</v>
      </c>
      <c r="P1064" s="10">
        <f>CHOOSE(CONTROL!$C$42, 104.5995, 104.5995) * CHOOSE(CONTROL!$C$21, $C$9, 100%, $E$9)</f>
        <v>104.59950000000001</v>
      </c>
      <c r="Q1064" s="10">
        <f>CHOOSE(CONTROL!$C$42, 105.4458, 105.4458) * CHOOSE(CONTROL!$C$21, $C$9, 100%, $E$9)</f>
        <v>105.44580000000001</v>
      </c>
      <c r="R1064" s="10">
        <f>CHOOSE(CONTROL!$C$42, 106.2964, 106.2964) * CHOOSE(CONTROL!$C$21, $C$9, 100%, $E$9)</f>
        <v>106.29640000000001</v>
      </c>
      <c r="S1064" s="10">
        <f>CHOOSE(CONTROL!$C$42, 102.6268, 102.6268) * CHOOSE(CONTROL!$C$21, $C$9, 100%, $E$9)</f>
        <v>102.6268</v>
      </c>
      <c r="T1064" s="5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064" s="58">
        <f>(1000*CHOOSE(CONTROL!$C$42, 695, 695)*CHOOSE(CONTROL!$C$42, 0.5599, 0.5599)*CHOOSE(CONTROL!$C$42, 31, 31))/1000000</f>
        <v>12.063045499999998</v>
      </c>
      <c r="V1064" s="58">
        <f>(1000*CHOOSE(CONTROL!$C$42, 500, 500)*CHOOSE(CONTROL!$C$42, 0.275, 0.275)*CHOOSE(CONTROL!$C$42, 31, 31))/1000000</f>
        <v>4.2625000000000002</v>
      </c>
      <c r="W1064" s="58">
        <f>(1000*CHOOSE(CONTROL!$C$42, 0.1146, 0.1146)*CHOOSE(CONTROL!$C$42, 121.5, 121.5)*CHOOSE(CONTROL!$C$42, 31, 31))/1000000</f>
        <v>0.43164089999999994</v>
      </c>
      <c r="X1064" s="58">
        <f>(31*0.1790888*245000/1000000)+(31*0.2374*100000/1000000)</f>
        <v>2.0961194359999999</v>
      </c>
      <c r="Y1064" s="58"/>
      <c r="Z1064" s="10"/>
      <c r="AA1064" s="57"/>
      <c r="AB1064" s="51">
        <f>(B1064*194.205+C1064*267.466+D1064*133.845+E1064*53.484+F1064*40+G1064*185+H1064*0+I1064*100+J1064*300)/(194.205+267.466+133.845+53.484+0+40+185+100+300)</f>
        <v>105.70241543594976</v>
      </c>
      <c r="AC1064" s="27">
        <f>(M1064*'RAP TEMPLATE-GAS AVAILABILITY'!O1063+N1064*'RAP TEMPLATE-GAS AVAILABILITY'!P1063+O1064*'RAP TEMPLATE-GAS AVAILABILITY'!Q1063+P1064*'RAP TEMPLATE-GAS AVAILABILITY'!R1063)/('RAP TEMPLATE-GAS AVAILABILITY'!O1063+'RAP TEMPLATE-GAS AVAILABILITY'!P1063+'RAP TEMPLATE-GAS AVAILABILITY'!Q1063+'RAP TEMPLATE-GAS AVAILABILITY'!R1063)</f>
        <v>104.71166834532374</v>
      </c>
    </row>
    <row r="1065" spans="1:29" ht="15.75" x14ac:dyDescent="0.25">
      <c r="A1065" s="13">
        <v>73323</v>
      </c>
      <c r="B1065" s="10">
        <f>CHOOSE(CONTROL!$C$42, 98.9755, 98.9755) * CHOOSE(CONTROL!$C$21, $C$9, 100%, $E$9)</f>
        <v>98.975499999999997</v>
      </c>
      <c r="C1065" s="10">
        <f>CHOOSE(CONTROL!$C$42, 98.9835, 98.9835) * CHOOSE(CONTROL!$C$21, $C$9, 100%, $E$9)</f>
        <v>98.983500000000006</v>
      </c>
      <c r="D1065" s="10">
        <f>CHOOSE(CONTROL!$C$42, 99.1759, 99.1759) * CHOOSE(CONTROL!$C$21, $C$9, 100%, $E$9)</f>
        <v>99.175899999999999</v>
      </c>
      <c r="E1065" s="10">
        <f>CHOOSE(CONTROL!$C$42, 99.207, 99.207) * CHOOSE(CONTROL!$C$21, $C$9, 100%, $E$9)</f>
        <v>99.206999999999994</v>
      </c>
      <c r="F1065" s="10">
        <f>CHOOSE(CONTROL!$C$42, 98.9424, 98.9424)*CHOOSE(CONTROL!$C$21, $C$9, 100%, $E$9)</f>
        <v>98.942400000000006</v>
      </c>
      <c r="G1065" s="10">
        <f>CHOOSE(CONTROL!$C$42, 98.9597, 98.9597)*CHOOSE(CONTROL!$C$21, $C$9, 100%, $E$9)</f>
        <v>98.959699999999998</v>
      </c>
      <c r="H1065" s="10">
        <f>CHOOSE(CONTROL!$C$42, 99.1957, 99.1957) * CHOOSE(CONTROL!$C$21, $C$9, 100%, $E$9)</f>
        <v>99.195700000000002</v>
      </c>
      <c r="I1065" s="10">
        <f>CHOOSE(CONTROL!$C$42, 98.9421, 98.9421)* CHOOSE(CONTROL!$C$21, $C$9, 100%, $E$9)</f>
        <v>98.942099999999996</v>
      </c>
      <c r="J1065" s="10">
        <f>CHOOSE(CONTROL!$C$42, 98.9354, 98.9354)* CHOOSE(CONTROL!$C$21, $C$9, 100%, $E$9)</f>
        <v>98.935400000000001</v>
      </c>
      <c r="K1065" s="54">
        <f>CHOOSE(CONTROL!$C$42, 98.9382, 98.9382) * CHOOSE(CONTROL!$C$21, $C$9, 100%, $E$9)</f>
        <v>98.938199999999995</v>
      </c>
      <c r="L1065" s="10">
        <f>CHOOSE(CONTROL!$C$42, 99.7827, 99.7827) * CHOOSE(CONTROL!$C$21, $C$9, 100%, $E$9)</f>
        <v>99.782700000000006</v>
      </c>
      <c r="M1065" s="10">
        <f>CHOOSE(CONTROL!$C$42, 97.9508, 97.9508) * CHOOSE(CONTROL!$C$21, $C$9, 100%, $E$9)</f>
        <v>97.950800000000001</v>
      </c>
      <c r="N1065" s="10">
        <f>CHOOSE(CONTROL!$C$42, 97.968, 97.968) * CHOOSE(CONTROL!$C$21, $C$9, 100%, $E$9)</f>
        <v>97.968000000000004</v>
      </c>
      <c r="O1065" s="10">
        <f>CHOOSE(CONTROL!$C$42, 98.2084, 98.2084) * CHOOSE(CONTROL!$C$21, $C$9, 100%, $E$9)</f>
        <v>98.208399999999997</v>
      </c>
      <c r="P1065" s="10">
        <f>CHOOSE(CONTROL!$C$42, 97.9575, 97.9575) * CHOOSE(CONTROL!$C$21, $C$9, 100%, $E$9)</f>
        <v>97.957499999999996</v>
      </c>
      <c r="Q1065" s="10">
        <f>CHOOSE(CONTROL!$C$42, 98.8037, 98.8037) * CHOOSE(CONTROL!$C$21, $C$9, 100%, $E$9)</f>
        <v>98.803700000000006</v>
      </c>
      <c r="R1065" s="10">
        <f>CHOOSE(CONTROL!$C$42, 99.6377, 99.6377) * CHOOSE(CONTROL!$C$21, $C$9, 100%, $E$9)</f>
        <v>99.637699999999995</v>
      </c>
      <c r="S1065" s="10">
        <f>CHOOSE(CONTROL!$C$42, 96.1109, 96.1109) * CHOOSE(CONTROL!$C$21, $C$9, 100%, $E$9)</f>
        <v>96.110900000000001</v>
      </c>
      <c r="T1065" s="5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065" s="58">
        <f>(1000*CHOOSE(CONTROL!$C$42, 695, 695)*CHOOSE(CONTROL!$C$42, 0.5599, 0.5599)*CHOOSE(CONTROL!$C$42, 30, 30))/1000000</f>
        <v>11.673914999999997</v>
      </c>
      <c r="V1065" s="58">
        <f>(1000*CHOOSE(CONTROL!$C$42, 500, 500)*CHOOSE(CONTROL!$C$42, 0.275, 0.275)*CHOOSE(CONTROL!$C$42, 30, 30))/1000000</f>
        <v>4.125</v>
      </c>
      <c r="W1065" s="58">
        <f>(1000*CHOOSE(CONTROL!$C$42, 0.1146, 0.1146)*CHOOSE(CONTROL!$C$42, 121.5, 121.5)*CHOOSE(CONTROL!$C$42, 30, 30))/1000000</f>
        <v>0.417717</v>
      </c>
      <c r="X1065" s="58">
        <f>(30*0.1790888*245000/1000000)+(30*0.2374*100000/1000000)</f>
        <v>2.0285026799999999</v>
      </c>
      <c r="Y1065" s="58"/>
      <c r="Z1065" s="10"/>
      <c r="AA1065" s="57"/>
      <c r="AB1065" s="51">
        <f>(B1065*194.205+C1065*267.466+D1065*133.845+E1065*53.484+F1065*40+G1065*185+H1065*0+I1065*100+J1065*300)/(194.205+267.466+133.845+53.484+0+40+185+100+300)</f>
        <v>98.992554012558855</v>
      </c>
      <c r="AC1065" s="27">
        <f>(M1065*'RAP TEMPLATE-GAS AVAILABILITY'!O1064+N1065*'RAP TEMPLATE-GAS AVAILABILITY'!P1064+O1065*'RAP TEMPLATE-GAS AVAILABILITY'!Q1064+P1065*'RAP TEMPLATE-GAS AVAILABILITY'!R1064)/('RAP TEMPLATE-GAS AVAILABILITY'!O1064+'RAP TEMPLATE-GAS AVAILABILITY'!P1064+'RAP TEMPLATE-GAS AVAILABILITY'!Q1064+'RAP TEMPLATE-GAS AVAILABILITY'!R1064)</f>
        <v>98.069507913669071</v>
      </c>
    </row>
    <row r="1066" spans="1:29" ht="15.75" x14ac:dyDescent="0.25">
      <c r="A1066" s="13">
        <v>73354</v>
      </c>
      <c r="B1066" s="10">
        <f>CHOOSE(CONTROL!$C$42, 96.9643, 96.9643) * CHOOSE(CONTROL!$C$21, $C$9, 100%, $E$9)</f>
        <v>96.964299999999994</v>
      </c>
      <c r="C1066" s="10">
        <f>CHOOSE(CONTROL!$C$42, 96.9695, 96.9695) * CHOOSE(CONTROL!$C$21, $C$9, 100%, $E$9)</f>
        <v>96.969499999999996</v>
      </c>
      <c r="D1066" s="10">
        <f>CHOOSE(CONTROL!$C$42, 97.1669, 97.1669) * CHOOSE(CONTROL!$C$21, $C$9, 100%, $E$9)</f>
        <v>97.166899999999998</v>
      </c>
      <c r="E1066" s="10">
        <f>CHOOSE(CONTROL!$C$42, 97.1957, 97.1957) * CHOOSE(CONTROL!$C$21, $C$9, 100%, $E$9)</f>
        <v>97.195700000000002</v>
      </c>
      <c r="F1066" s="10">
        <f>CHOOSE(CONTROL!$C$42, 96.9332, 96.9332)*CHOOSE(CONTROL!$C$21, $C$9, 100%, $E$9)</f>
        <v>96.933199999999999</v>
      </c>
      <c r="G1066" s="10">
        <f>CHOOSE(CONTROL!$C$42, 96.9501, 96.9501)*CHOOSE(CONTROL!$C$21, $C$9, 100%, $E$9)</f>
        <v>96.950100000000006</v>
      </c>
      <c r="H1066" s="10">
        <f>CHOOSE(CONTROL!$C$42, 97.1862, 97.1862) * CHOOSE(CONTROL!$C$21, $C$9, 100%, $E$9)</f>
        <v>97.186199999999999</v>
      </c>
      <c r="I1066" s="10">
        <f>CHOOSE(CONTROL!$C$42, 96.9326, 96.9326)* CHOOSE(CONTROL!$C$21, $C$9, 100%, $E$9)</f>
        <v>96.932599999999994</v>
      </c>
      <c r="J1066" s="10">
        <f>CHOOSE(CONTROL!$C$42, 96.9262, 96.9262)* CHOOSE(CONTROL!$C$21, $C$9, 100%, $E$9)</f>
        <v>96.926199999999994</v>
      </c>
      <c r="K1066" s="54">
        <f>CHOOSE(CONTROL!$C$42, 96.9287, 96.9287) * CHOOSE(CONTROL!$C$21, $C$9, 100%, $E$9)</f>
        <v>96.928700000000006</v>
      </c>
      <c r="L1066" s="10">
        <f>CHOOSE(CONTROL!$C$42, 97.7732, 97.7732) * CHOOSE(CONTROL!$C$21, $C$9, 100%, $E$9)</f>
        <v>97.773200000000003</v>
      </c>
      <c r="M1066" s="10">
        <f>CHOOSE(CONTROL!$C$42, 95.9618, 95.9618) * CHOOSE(CONTROL!$C$21, $C$9, 100%, $E$9)</f>
        <v>95.961799999999997</v>
      </c>
      <c r="N1066" s="10">
        <f>CHOOSE(CONTROL!$C$42, 95.9786, 95.9786) * CHOOSE(CONTROL!$C$21, $C$9, 100%, $E$9)</f>
        <v>95.9786</v>
      </c>
      <c r="O1066" s="10">
        <f>CHOOSE(CONTROL!$C$42, 96.2192, 96.2192) * CHOOSE(CONTROL!$C$21, $C$9, 100%, $E$9)</f>
        <v>96.219200000000001</v>
      </c>
      <c r="P1066" s="10">
        <f>CHOOSE(CONTROL!$C$42, 95.9683, 95.9683) * CHOOSE(CONTROL!$C$21, $C$9, 100%, $E$9)</f>
        <v>95.968299999999999</v>
      </c>
      <c r="Q1066" s="10">
        <f>CHOOSE(CONTROL!$C$42, 96.8145, 96.8145) * CHOOSE(CONTROL!$C$21, $C$9, 100%, $E$9)</f>
        <v>96.814499999999995</v>
      </c>
      <c r="R1066" s="10">
        <f>CHOOSE(CONTROL!$C$42, 97.6435, 97.6435) * CHOOSE(CONTROL!$C$21, $C$9, 100%, $E$9)</f>
        <v>97.643500000000003</v>
      </c>
      <c r="S1066" s="10">
        <f>CHOOSE(CONTROL!$C$42, 94.1595, 94.1595) * CHOOSE(CONTROL!$C$21, $C$9, 100%, $E$9)</f>
        <v>94.159499999999994</v>
      </c>
      <c r="T1066" s="5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066" s="58">
        <f>(1000*CHOOSE(CONTROL!$C$42, 695, 695)*CHOOSE(CONTROL!$C$42, 0.5599, 0.5599)*CHOOSE(CONTROL!$C$42, 31, 31))/1000000</f>
        <v>12.063045499999998</v>
      </c>
      <c r="V1066" s="58">
        <f>(1000*CHOOSE(CONTROL!$C$42, 500, 500)*CHOOSE(CONTROL!$C$42, 0.275, 0.275)*CHOOSE(CONTROL!$C$42, 31, 31))/1000000</f>
        <v>4.2625000000000002</v>
      </c>
      <c r="W1066" s="58">
        <f>(1000*CHOOSE(CONTROL!$C$42, 0.1146, 0.1146)*CHOOSE(CONTROL!$C$42, 121.5, 121.5)*CHOOSE(CONTROL!$C$42, 31, 31))/1000000</f>
        <v>0.43164089999999994</v>
      </c>
      <c r="X1066" s="58">
        <f>(31*0.1790888*245000/1000000)+(31*0.2374*100000/1000000)</f>
        <v>2.0961194359999999</v>
      </c>
      <c r="Y1066" s="58"/>
      <c r="Z1066" s="10"/>
      <c r="AA1066" s="57"/>
      <c r="AB1066" s="51">
        <f>(B1066*131.881+C1066*277.167+D1066*79.08+E1066*125.872+F1066*40+G1066*185+H1066*0+I1066*100+J1066*300)/(131.881+277.167+79.08+125.872+0+40+185+100+300)</f>
        <v>96.986994638579503</v>
      </c>
      <c r="AC1066" s="27">
        <f>(M1066*'RAP TEMPLATE-GAS AVAILABILITY'!O1065+N1066*'RAP TEMPLATE-GAS AVAILABILITY'!P1065+O1066*'RAP TEMPLATE-GAS AVAILABILITY'!Q1065+P1066*'RAP TEMPLATE-GAS AVAILABILITY'!R1065)/('RAP TEMPLATE-GAS AVAILABILITY'!O1065+'RAP TEMPLATE-GAS AVAILABILITY'!P1065+'RAP TEMPLATE-GAS AVAILABILITY'!Q1065+'RAP TEMPLATE-GAS AVAILABILITY'!R1065)</f>
        <v>96.080365467625882</v>
      </c>
    </row>
    <row r="1067" spans="1:29" ht="15.75" x14ac:dyDescent="0.25">
      <c r="A1067" s="13">
        <v>73384</v>
      </c>
      <c r="B1067" s="10">
        <f>CHOOSE(CONTROL!$C$42, 99.5183, 99.5183) * CHOOSE(CONTROL!$C$21, $C$9, 100%, $E$9)</f>
        <v>99.518299999999996</v>
      </c>
      <c r="C1067" s="10">
        <f>CHOOSE(CONTROL!$C$42, 99.5232, 99.5232) * CHOOSE(CONTROL!$C$21, $C$9, 100%, $E$9)</f>
        <v>99.523200000000003</v>
      </c>
      <c r="D1067" s="10">
        <f>CHOOSE(CONTROL!$C$42, 99.5528, 99.5528) * CHOOSE(CONTROL!$C$21, $C$9, 100%, $E$9)</f>
        <v>99.552800000000005</v>
      </c>
      <c r="E1067" s="10">
        <f>CHOOSE(CONTROL!$C$42, 99.5866, 99.5866) * CHOOSE(CONTROL!$C$21, $C$9, 100%, $E$9)</f>
        <v>99.586600000000004</v>
      </c>
      <c r="F1067" s="10">
        <f>CHOOSE(CONTROL!$C$42, 99.4851, 99.4851)*CHOOSE(CONTROL!$C$21, $C$9, 100%, $E$9)</f>
        <v>99.485100000000003</v>
      </c>
      <c r="G1067" s="10">
        <f>CHOOSE(CONTROL!$C$42, 99.5022, 99.5022)*CHOOSE(CONTROL!$C$21, $C$9, 100%, $E$9)</f>
        <v>99.502200000000002</v>
      </c>
      <c r="H1067" s="10">
        <f>CHOOSE(CONTROL!$C$42, 99.5758, 99.5758) * CHOOSE(CONTROL!$C$21, $C$9, 100%, $E$9)</f>
        <v>99.575800000000001</v>
      </c>
      <c r="I1067" s="10">
        <f>CHOOSE(CONTROL!$C$42, 99.4819, 99.4819)* CHOOSE(CONTROL!$C$21, $C$9, 100%, $E$9)</f>
        <v>99.481899999999996</v>
      </c>
      <c r="J1067" s="10">
        <f>CHOOSE(CONTROL!$C$42, 99.4781, 99.4781)* CHOOSE(CONTROL!$C$21, $C$9, 100%, $E$9)</f>
        <v>99.478099999999998</v>
      </c>
      <c r="K1067" s="54">
        <f>CHOOSE(CONTROL!$C$42, 99.478, 99.478) * CHOOSE(CONTROL!$C$21, $C$9, 100%, $E$9)</f>
        <v>99.477999999999994</v>
      </c>
      <c r="L1067" s="10">
        <f>CHOOSE(CONTROL!$C$42, 100.1628, 100.1628) * CHOOSE(CONTROL!$C$21, $C$9, 100%, $E$9)</f>
        <v>100.1628</v>
      </c>
      <c r="M1067" s="10">
        <f>CHOOSE(CONTROL!$C$42, 98.488, 98.488) * CHOOSE(CONTROL!$C$21, $C$9, 100%, $E$9)</f>
        <v>98.488</v>
      </c>
      <c r="N1067" s="10">
        <f>CHOOSE(CONTROL!$C$42, 98.5049, 98.5049) * CHOOSE(CONTROL!$C$21, $C$9, 100%, $E$9)</f>
        <v>98.504900000000006</v>
      </c>
      <c r="O1067" s="10">
        <f>CHOOSE(CONTROL!$C$42, 98.5847, 98.5847) * CHOOSE(CONTROL!$C$21, $C$9, 100%, $E$9)</f>
        <v>98.584699999999998</v>
      </c>
      <c r="P1067" s="10">
        <f>CHOOSE(CONTROL!$C$42, 98.4918, 98.4918) * CHOOSE(CONTROL!$C$21, $C$9, 100%, $E$9)</f>
        <v>98.491799999999998</v>
      </c>
      <c r="Q1067" s="10">
        <f>CHOOSE(CONTROL!$C$42, 99.18, 99.18) * CHOOSE(CONTROL!$C$21, $C$9, 100%, $E$9)</f>
        <v>99.18</v>
      </c>
      <c r="R1067" s="10">
        <f>CHOOSE(CONTROL!$C$42, 100.015, 100.015) * CHOOSE(CONTROL!$C$21, $C$9, 100%, $E$9)</f>
        <v>100.015</v>
      </c>
      <c r="S1067" s="10">
        <f>CHOOSE(CONTROL!$C$42, 96.6401, 96.6401) * CHOOSE(CONTROL!$C$21, $C$9, 100%, $E$9)</f>
        <v>96.640100000000004</v>
      </c>
      <c r="T1067" s="5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067" s="58">
        <f>(1000*CHOOSE(CONTROL!$C$42, 695, 695)*CHOOSE(CONTROL!$C$42, 0.5599, 0.5599)*CHOOSE(CONTROL!$C$42, 30, 30))/1000000</f>
        <v>11.673914999999997</v>
      </c>
      <c r="V1067" s="58">
        <f>(1000*CHOOSE(CONTROL!$C$42, 500, 500)*CHOOSE(CONTROL!$C$42, 0.275, 0.275)*CHOOSE(CONTROL!$C$42, 30, 30))/1000000</f>
        <v>4.125</v>
      </c>
      <c r="W1067" s="58">
        <f>(1000*CHOOSE(CONTROL!$C$42, 0.1146, 0.1146)*CHOOSE(CONTROL!$C$42, 121.5, 121.5)*CHOOSE(CONTROL!$C$42, 30, 30))/1000000</f>
        <v>0.417717</v>
      </c>
      <c r="X1067" s="58">
        <f>(30*0.1790888*100000/1000000)+(30*0.2374*100000/1000000)</f>
        <v>1.2494664</v>
      </c>
      <c r="Y1067" s="58"/>
      <c r="Z1067" s="10"/>
      <c r="AA1067" s="57"/>
      <c r="AB1067" s="51">
        <f>(B1067*122.58+C1067*297.941+D1067*89.177+E1067*40.302+F1067*40+G1067*160+H1067*0+I1067*100+J1067*300)/(122.58+297.941+89.177+40.302+0+40+160+100+300)</f>
        <v>99.507591429565224</v>
      </c>
      <c r="AC1067" s="27">
        <f>(M1067*'RAP TEMPLATE-GAS AVAILABILITY'!O1066+N1067*'RAP TEMPLATE-GAS AVAILABILITY'!P1066+O1067*'RAP TEMPLATE-GAS AVAILABILITY'!Q1066+P1067*'RAP TEMPLATE-GAS AVAILABILITY'!R1066)/('RAP TEMPLATE-GAS AVAILABILITY'!O1066+'RAP TEMPLATE-GAS AVAILABILITY'!P1066+'RAP TEMPLATE-GAS AVAILABILITY'!Q1066+'RAP TEMPLATE-GAS AVAILABILITY'!R1066)</f>
        <v>98.533347482014392</v>
      </c>
    </row>
    <row r="1068" spans="1:29" ht="15.75" x14ac:dyDescent="0.25">
      <c r="A1068" s="13">
        <v>73415</v>
      </c>
      <c r="B1068" s="10">
        <f>CHOOSE(CONTROL!$C$42, 106.3024, 106.3024) * CHOOSE(CONTROL!$C$21, $C$9, 100%, $E$9)</f>
        <v>106.30240000000001</v>
      </c>
      <c r="C1068" s="10">
        <f>CHOOSE(CONTROL!$C$42, 106.3073, 106.3073) * CHOOSE(CONTROL!$C$21, $C$9, 100%, $E$9)</f>
        <v>106.3073</v>
      </c>
      <c r="D1068" s="10">
        <f>CHOOSE(CONTROL!$C$42, 106.3369, 106.3369) * CHOOSE(CONTROL!$C$21, $C$9, 100%, $E$9)</f>
        <v>106.3369</v>
      </c>
      <c r="E1068" s="10">
        <f>CHOOSE(CONTROL!$C$42, 106.3707, 106.3707) * CHOOSE(CONTROL!$C$21, $C$9, 100%, $E$9)</f>
        <v>106.3707</v>
      </c>
      <c r="F1068" s="10">
        <f>CHOOSE(CONTROL!$C$42, 106.2706, 106.2706)*CHOOSE(CONTROL!$C$21, $C$9, 100%, $E$9)</f>
        <v>106.2706</v>
      </c>
      <c r="G1068" s="10">
        <f>CHOOSE(CONTROL!$C$42, 106.2881, 106.2881)*CHOOSE(CONTROL!$C$21, $C$9, 100%, $E$9)</f>
        <v>106.2881</v>
      </c>
      <c r="H1068" s="10">
        <f>CHOOSE(CONTROL!$C$42, 106.3599, 106.3599) * CHOOSE(CONTROL!$C$21, $C$9, 100%, $E$9)</f>
        <v>106.3599</v>
      </c>
      <c r="I1068" s="10">
        <f>CHOOSE(CONTROL!$C$42, 106.266, 106.266)* CHOOSE(CONTROL!$C$21, $C$9, 100%, $E$9)</f>
        <v>106.26600000000001</v>
      </c>
      <c r="J1068" s="10">
        <f>CHOOSE(CONTROL!$C$42, 106.2636, 106.2636)* CHOOSE(CONTROL!$C$21, $C$9, 100%, $E$9)</f>
        <v>106.2636</v>
      </c>
      <c r="K1068" s="54">
        <f>CHOOSE(CONTROL!$C$42, 106.2621, 106.2621) * CHOOSE(CONTROL!$C$21, $C$9, 100%, $E$9)</f>
        <v>106.2621</v>
      </c>
      <c r="L1068" s="10">
        <f>CHOOSE(CONTROL!$C$42, 106.9469, 106.9469) * CHOOSE(CONTROL!$C$21, $C$9, 100%, $E$9)</f>
        <v>106.9469</v>
      </c>
      <c r="M1068" s="10">
        <f>CHOOSE(CONTROL!$C$42, 105.205, 105.205) * CHOOSE(CONTROL!$C$21, $C$9, 100%, $E$9)</f>
        <v>105.205</v>
      </c>
      <c r="N1068" s="10">
        <f>CHOOSE(CONTROL!$C$42, 105.2223, 105.2223) * CHOOSE(CONTROL!$C$21, $C$9, 100%, $E$9)</f>
        <v>105.2223</v>
      </c>
      <c r="O1068" s="10">
        <f>CHOOSE(CONTROL!$C$42, 105.3004, 105.3004) * CHOOSE(CONTROL!$C$21, $C$9, 100%, $E$9)</f>
        <v>105.3004</v>
      </c>
      <c r="P1068" s="10">
        <f>CHOOSE(CONTROL!$C$42, 105.2074, 105.2074) * CHOOSE(CONTROL!$C$21, $C$9, 100%, $E$9)</f>
        <v>105.20740000000001</v>
      </c>
      <c r="Q1068" s="10">
        <f>CHOOSE(CONTROL!$C$42, 105.8957, 105.8957) * CHOOSE(CONTROL!$C$21, $C$9, 100%, $E$9)</f>
        <v>105.89570000000001</v>
      </c>
      <c r="R1068" s="10">
        <f>CHOOSE(CONTROL!$C$42, 106.7474, 106.7474) * CHOOSE(CONTROL!$C$21, $C$9, 100%, $E$9)</f>
        <v>106.7474</v>
      </c>
      <c r="S1068" s="10">
        <f>CHOOSE(CONTROL!$C$42, 103.2281, 103.2281) * CHOOSE(CONTROL!$C$21, $C$9, 100%, $E$9)</f>
        <v>103.2281</v>
      </c>
      <c r="T1068" s="5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068" s="58">
        <f>(1000*CHOOSE(CONTROL!$C$42, 695, 695)*CHOOSE(CONTROL!$C$42, 0.5599, 0.5599)*CHOOSE(CONTROL!$C$42, 31, 31))/1000000</f>
        <v>12.063045499999998</v>
      </c>
      <c r="V1068" s="58">
        <f>(1000*CHOOSE(CONTROL!$C$42, 500, 500)*CHOOSE(CONTROL!$C$42, 0.275, 0.275)*CHOOSE(CONTROL!$C$42, 31, 31))/1000000</f>
        <v>4.2625000000000002</v>
      </c>
      <c r="W1068" s="58">
        <f>(1000*CHOOSE(CONTROL!$C$42, 0.1146, 0.1146)*CHOOSE(CONTROL!$C$42, 121.5, 121.5)*CHOOSE(CONTROL!$C$42, 31, 31))/1000000</f>
        <v>0.43164089999999994</v>
      </c>
      <c r="X1068" s="58">
        <f>(31*0.1790888*100000/1000000)+(31*0.2374*100000/1000000)</f>
        <v>1.2911152800000001</v>
      </c>
      <c r="Y1068" s="58"/>
      <c r="Z1068" s="10"/>
      <c r="AA1068" s="57"/>
      <c r="AB1068" s="51">
        <f>(B1068*122.58+C1068*297.941+D1068*89.177+E1068*40.302+F1068*40+G1068*160+H1068*0+I1068*100+J1068*300)/(122.58+297.941+89.177+40.302+0+40+160+100+300)</f>
        <v>106.29235577739131</v>
      </c>
      <c r="AC1068" s="27">
        <f>(M1068*'RAP TEMPLATE-GAS AVAILABILITY'!O1067+N1068*'RAP TEMPLATE-GAS AVAILABILITY'!P1067+O1068*'RAP TEMPLATE-GAS AVAILABILITY'!Q1067+P1068*'RAP TEMPLATE-GAS AVAILABILITY'!R1067)/('RAP TEMPLATE-GAS AVAILABILITY'!O1067+'RAP TEMPLATE-GAS AVAILABILITY'!P1067+'RAP TEMPLATE-GAS AVAILABILITY'!Q1067+'RAP TEMPLATE-GAS AVAILABILITY'!R1067)</f>
        <v>105.2495798561151</v>
      </c>
    </row>
    <row r="1069" spans="1:29" ht="15" x14ac:dyDescent="0.2">
      <c r="A1069" s="12"/>
    </row>
    <row r="1070" spans="1:29" ht="15.75" x14ac:dyDescent="0.25">
      <c r="A1070" s="11">
        <v>2013</v>
      </c>
      <c r="B1070" s="10">
        <f t="shared" ref="B1070:J1070" si="2">AVERAGE(B13:B24)</f>
        <v>3.796321098842109</v>
      </c>
      <c r="C1070" s="10">
        <f t="shared" si="2"/>
        <v>3.8025789975354805</v>
      </c>
      <c r="D1070" s="10">
        <f t="shared" si="2"/>
        <v>3.9353080286251463</v>
      </c>
      <c r="E1070" s="10">
        <f t="shared" si="2"/>
        <v>3.9675900619620177</v>
      </c>
      <c r="F1070" s="10">
        <f t="shared" si="2"/>
        <v>3.797188752045376</v>
      </c>
      <c r="G1070" s="10">
        <f t="shared" si="2"/>
        <v>3.8123096717409601</v>
      </c>
      <c r="H1070" s="10">
        <f t="shared" si="2"/>
        <v>3.9566270634932601</v>
      </c>
      <c r="I1070" s="10">
        <f t="shared" si="2"/>
        <v>3.8139477159757251</v>
      </c>
      <c r="J1070" s="10">
        <f t="shared" si="2"/>
        <v>3.7900887520453774</v>
      </c>
      <c r="K1070" s="54"/>
      <c r="L1070" s="10">
        <f t="shared" ref="L1070:S1070" si="3">AVERAGE(L13:L24)</f>
        <v>4.5436270634932585</v>
      </c>
      <c r="M1070" s="10">
        <f t="shared" si="3"/>
        <v>3.7391595232269323</v>
      </c>
      <c r="N1070" s="10">
        <f t="shared" si="3"/>
        <v>3.7540431312358256</v>
      </c>
      <c r="O1070" s="10">
        <f t="shared" si="3"/>
        <v>3.9029077418060627</v>
      </c>
      <c r="P1070" s="10">
        <f t="shared" si="3"/>
        <v>3.7625654253007266</v>
      </c>
      <c r="Q1070" s="10">
        <f t="shared" si="3"/>
        <v>4.4977077418060629</v>
      </c>
      <c r="R1070" s="10">
        <f t="shared" si="3"/>
        <v>5.0959520111605787</v>
      </c>
      <c r="S1070" s="10">
        <f t="shared" si="3"/>
        <v>3.6531986327970571</v>
      </c>
      <c r="T1070" s="50">
        <f t="shared" ref="T1070:Y1070" si="4">SUM(T13:T24)</f>
        <v>360.24601699999999</v>
      </c>
      <c r="U1070" s="50">
        <f t="shared" si="4"/>
        <v>142.03975</v>
      </c>
      <c r="V1070" s="50">
        <f t="shared" si="4"/>
        <v>58.217499999999994</v>
      </c>
      <c r="W1070" s="50">
        <f t="shared" si="4"/>
        <v>8.0926820000000017</v>
      </c>
      <c r="X1070" s="50">
        <f t="shared" si="4"/>
        <v>5.5571254639999994</v>
      </c>
      <c r="Y1070" s="50">
        <f t="shared" si="4"/>
        <v>4.7699999999999996</v>
      </c>
      <c r="Z1070" s="10">
        <f>AVERAGE(Z13:Z24)</f>
        <v>3.759423745612819</v>
      </c>
      <c r="AA1070" s="50">
        <f>SUM(AA13:AA24)</f>
        <v>10.084160000000001</v>
      </c>
      <c r="AB1070" s="51">
        <f>AVERAGE(AB13:AB24)</f>
        <v>3.8428150679058013</v>
      </c>
      <c r="AC1070" s="27">
        <f>AVERAGE(AC13:AC24)</f>
        <v>3.807451303472408</v>
      </c>
    </row>
    <row r="1071" spans="1:29" ht="15.75" x14ac:dyDescent="0.25">
      <c r="A1071" s="11">
        <v>2014</v>
      </c>
      <c r="B1071" s="10">
        <f t="shared" ref="B1071:J1071" si="5">AVERAGE(B25:B36)</f>
        <v>4.3873792415151769</v>
      </c>
      <c r="C1071" s="10">
        <f t="shared" si="5"/>
        <v>4.3935421144084543</v>
      </c>
      <c r="D1071" s="10">
        <f t="shared" si="5"/>
        <v>4.525667400673389</v>
      </c>
      <c r="E1071" s="10">
        <f t="shared" si="5"/>
        <v>4.5577738343416909</v>
      </c>
      <c r="F1071" s="10">
        <f t="shared" si="5"/>
        <v>4.3583427878569205</v>
      </c>
      <c r="G1071" s="10">
        <f t="shared" si="5"/>
        <v>4.3755724968716709</v>
      </c>
      <c r="H1071" s="10">
        <f t="shared" si="5"/>
        <v>4.5468818513369724</v>
      </c>
      <c r="I1071" s="10">
        <f t="shared" si="5"/>
        <v>4.3566206174269722</v>
      </c>
      <c r="J1071" s="10">
        <f t="shared" si="5"/>
        <v>4.3513427878569209</v>
      </c>
      <c r="K1071" s="54"/>
      <c r="L1071" s="10">
        <f t="shared" ref="L1071:S1071" si="6">AVERAGE(L25:L36)</f>
        <v>5.1338818513369713</v>
      </c>
      <c r="M1071" s="10">
        <f t="shared" si="6"/>
        <v>4.3212700777653978</v>
      </c>
      <c r="N1071" s="10">
        <f t="shared" si="6"/>
        <v>4.3383100221326005</v>
      </c>
      <c r="O1071" s="10">
        <f t="shared" si="6"/>
        <v>4.5148167516139992</v>
      </c>
      <c r="P1071" s="10">
        <f t="shared" si="6"/>
        <v>4.3265297816853554</v>
      </c>
      <c r="Q1071" s="10">
        <f t="shared" si="6"/>
        <v>5.1101167516139991</v>
      </c>
      <c r="R1071" s="10">
        <f t="shared" si="6"/>
        <v>5.7098961268263677</v>
      </c>
      <c r="S1071" s="10">
        <f t="shared" si="6"/>
        <v>4.257483333333334</v>
      </c>
      <c r="T1071" s="50">
        <f t="shared" ref="T1071:Y1071" si="7">SUM(T25:T36)</f>
        <v>364.74273404000002</v>
      </c>
      <c r="U1071" s="50">
        <f t="shared" si="7"/>
        <v>142.03323699999999</v>
      </c>
      <c r="V1071" s="50">
        <f t="shared" si="7"/>
        <v>58.217499999999994</v>
      </c>
      <c r="W1071" s="50">
        <f t="shared" si="7"/>
        <v>8.365613999999999</v>
      </c>
      <c r="X1071" s="50">
        <f t="shared" si="7"/>
        <v>5.5571254639999994</v>
      </c>
      <c r="Y1071" s="50">
        <f t="shared" si="7"/>
        <v>1.2000000000000002</v>
      </c>
      <c r="Z1071" s="10">
        <f>AVERAGE(Z25:Z36)</f>
        <v>4.340474974411463</v>
      </c>
      <c r="AA1071" s="50">
        <f>SUM(AA25:AA36)</f>
        <v>12.630990000000001</v>
      </c>
      <c r="AB1071" s="51">
        <f>AVERAGE(AB25:AB36)</f>
        <v>4.4226864024998367</v>
      </c>
      <c r="AC1071" s="27">
        <f>AVERAGE(AC25:AC36)</f>
        <v>4.3966370412305045</v>
      </c>
    </row>
    <row r="1072" spans="1:29" ht="15.75" x14ac:dyDescent="0.25">
      <c r="A1072" s="11">
        <v>2015</v>
      </c>
      <c r="B1072" s="10">
        <f t="shared" ref="B1072:J1072" si="8">AVERAGE(B37:B48)</f>
        <v>4.3324333333333334</v>
      </c>
      <c r="C1072" s="10">
        <f t="shared" si="8"/>
        <v>4.3385999999999996</v>
      </c>
      <c r="D1072" s="10">
        <f t="shared" si="8"/>
        <v>4.4707333333333343</v>
      </c>
      <c r="E1072" s="10">
        <f t="shared" si="8"/>
        <v>4.5028333333333332</v>
      </c>
      <c r="F1072" s="10">
        <f t="shared" si="8"/>
        <v>4.3034000000000008</v>
      </c>
      <c r="G1072" s="10">
        <f t="shared" si="8"/>
        <v>4.3206250000000006</v>
      </c>
      <c r="H1072" s="10">
        <f t="shared" si="8"/>
        <v>4.4919416666666665</v>
      </c>
      <c r="I1072" s="10">
        <f t="shared" si="8"/>
        <v>4.3016833333333331</v>
      </c>
      <c r="J1072" s="10">
        <f t="shared" si="8"/>
        <v>4.2963999999999993</v>
      </c>
      <c r="K1072" s="54"/>
      <c r="L1072" s="10">
        <f t="shared" ref="L1072:S1072" si="9">AVERAGE(L37:L48)</f>
        <v>5.0789416666666662</v>
      </c>
      <c r="M1072" s="10">
        <f t="shared" si="9"/>
        <v>4.2668833333333334</v>
      </c>
      <c r="N1072" s="10">
        <f t="shared" si="9"/>
        <v>4.2839249999999991</v>
      </c>
      <c r="O1072" s="10">
        <f t="shared" si="9"/>
        <v>4.4604333333333335</v>
      </c>
      <c r="P1072" s="10">
        <f t="shared" si="9"/>
        <v>4.2721500000000008</v>
      </c>
      <c r="Q1072" s="10">
        <f t="shared" si="9"/>
        <v>5.0557333333333334</v>
      </c>
      <c r="R1072" s="10">
        <f t="shared" si="9"/>
        <v>5.6553916666666666</v>
      </c>
      <c r="S1072" s="10">
        <f t="shared" si="9"/>
        <v>4.2041333333333331</v>
      </c>
      <c r="T1072" s="50">
        <f>SUM(T37:T48)</f>
        <v>364.742681</v>
      </c>
      <c r="U1072" s="50">
        <f>SUM(U37:U48)</f>
        <v>142.03263249999998</v>
      </c>
      <c r="V1072" s="50">
        <f>SUM(V37:V48)</f>
        <v>58.217499999999994</v>
      </c>
      <c r="W1072" s="50">
        <f>SUM(W37:W48)</f>
        <v>8.3657999999999983</v>
      </c>
      <c r="X1072" s="50">
        <f>SUM(X37:X48)</f>
        <v>17.010567464000001</v>
      </c>
      <c r="Y1072" s="50"/>
      <c r="Z1072" s="10">
        <f>AVERAGE(Z37:Z48)</f>
        <v>4.2858749999999999</v>
      </c>
      <c r="AA1072" s="50">
        <f>SUM(AA37:AA48)</f>
        <v>12.811459999999997</v>
      </c>
      <c r="AB1072" s="51">
        <f>AVERAGE(AB37:AB48)</f>
        <v>4.3480411644385342</v>
      </c>
      <c r="AC1072" s="27">
        <f>AVERAGE(AC37:AC48)</f>
        <v>4.3334122302158269</v>
      </c>
    </row>
    <row r="1073" spans="1:29" ht="15.75" x14ac:dyDescent="0.25">
      <c r="A1073" s="11">
        <v>2016</v>
      </c>
      <c r="B1073" s="10">
        <f t="shared" ref="B1073:J1073" si="10">AVERAGE(B49:B60)</f>
        <v>4.3019833333333333</v>
      </c>
      <c r="C1073" s="10">
        <f t="shared" si="10"/>
        <v>4.308133333333334</v>
      </c>
      <c r="D1073" s="10">
        <f t="shared" si="10"/>
        <v>4.4402749999999997</v>
      </c>
      <c r="E1073" s="10">
        <f t="shared" si="10"/>
        <v>4.4723583333333341</v>
      </c>
      <c r="F1073" s="10">
        <f t="shared" si="10"/>
        <v>4.2729416666666662</v>
      </c>
      <c r="G1073" s="10">
        <f t="shared" si="10"/>
        <v>4.2901666666666669</v>
      </c>
      <c r="H1073" s="10">
        <f t="shared" si="10"/>
        <v>4.4614833333333328</v>
      </c>
      <c r="I1073" s="10">
        <f t="shared" si="10"/>
        <v>4.2712166666666667</v>
      </c>
      <c r="J1073" s="10">
        <f t="shared" si="10"/>
        <v>4.2659416666666674</v>
      </c>
      <c r="K1073" s="54"/>
      <c r="L1073" s="10">
        <f t="shared" ref="L1073:S1073" si="11">AVERAGE(L49:L60)</f>
        <v>5.0484833333333343</v>
      </c>
      <c r="M1073" s="10">
        <f t="shared" si="11"/>
        <v>4.2367166666666671</v>
      </c>
      <c r="N1073" s="10">
        <f t="shared" si="11"/>
        <v>4.2537750000000001</v>
      </c>
      <c r="O1073" s="10">
        <f t="shared" si="11"/>
        <v>4.4302916666666663</v>
      </c>
      <c r="P1073" s="10">
        <f t="shared" si="11"/>
        <v>4.2419833333333337</v>
      </c>
      <c r="Q1073" s="10">
        <f t="shared" si="11"/>
        <v>5.0255916666666671</v>
      </c>
      <c r="R1073" s="10">
        <f t="shared" si="11"/>
        <v>5.6251416666666669</v>
      </c>
      <c r="S1073" s="10">
        <f t="shared" si="11"/>
        <v>4.17455</v>
      </c>
      <c r="T1073" s="50">
        <f>SUM(T49:T60)</f>
        <v>358.17703550000004</v>
      </c>
      <c r="U1073" s="50">
        <f>SUM(U49:U60)</f>
        <v>142.42176299999997</v>
      </c>
      <c r="V1073" s="50">
        <f>SUM(V49:V60)</f>
        <v>58.377000000000002</v>
      </c>
      <c r="W1073" s="50">
        <f>SUM(W49:W60)</f>
        <v>6.1846754999999982</v>
      </c>
      <c r="X1073" s="50">
        <f>SUM(X49:X60)</f>
        <v>20.800615543999996</v>
      </c>
      <c r="Y1073" s="50"/>
      <c r="Z1073" s="10"/>
      <c r="AA1073" s="50"/>
      <c r="AB1073" s="51">
        <f>AVERAGE(AB49:AB60)</f>
        <v>4.3110322473818856</v>
      </c>
      <c r="AC1073" s="27">
        <f>AVERAGE(AC49:AC60)</f>
        <v>4.3019369904076745</v>
      </c>
    </row>
    <row r="1074" spans="1:29" ht="15.75" x14ac:dyDescent="0.25">
      <c r="A1074" s="11">
        <v>2017</v>
      </c>
      <c r="B1074" s="10">
        <f t="shared" ref="B1074:S1074" si="12">AVERAGE(B61:B72)</f>
        <v>4.6378166666666667</v>
      </c>
      <c r="C1074" s="10">
        <f t="shared" si="12"/>
        <v>4.6439916666666656</v>
      </c>
      <c r="D1074" s="10">
        <f t="shared" si="12"/>
        <v>4.7761416666666676</v>
      </c>
      <c r="E1074" s="10">
        <f t="shared" si="12"/>
        <v>4.8082083333333339</v>
      </c>
      <c r="F1074" s="10">
        <f t="shared" si="12"/>
        <v>4.608791666666666</v>
      </c>
      <c r="G1074" s="10">
        <f t="shared" si="12"/>
        <v>4.6260000000000003</v>
      </c>
      <c r="H1074" s="10">
        <f t="shared" si="12"/>
        <v>4.7973166666666662</v>
      </c>
      <c r="I1074" s="10">
        <f t="shared" si="12"/>
        <v>4.6070666666666664</v>
      </c>
      <c r="J1074" s="10">
        <f t="shared" si="12"/>
        <v>4.6017916666666672</v>
      </c>
      <c r="K1074" s="54">
        <f t="shared" si="12"/>
        <v>4.6031666666666666</v>
      </c>
      <c r="L1074" s="10">
        <f t="shared" si="12"/>
        <v>5.384316666666666</v>
      </c>
      <c r="M1074" s="10">
        <f t="shared" si="12"/>
        <v>4.5691833333333332</v>
      </c>
      <c r="N1074" s="10">
        <f t="shared" si="12"/>
        <v>4.5862249999999998</v>
      </c>
      <c r="O1074" s="10">
        <f t="shared" si="12"/>
        <v>4.7627500000000014</v>
      </c>
      <c r="P1074" s="10">
        <f t="shared" si="12"/>
        <v>4.5744499999999997</v>
      </c>
      <c r="Q1074" s="10">
        <f t="shared" si="12"/>
        <v>5.3580499999999995</v>
      </c>
      <c r="R1074" s="10">
        <f t="shared" si="12"/>
        <v>5.9584249999999992</v>
      </c>
      <c r="S1074" s="10">
        <f t="shared" si="12"/>
        <v>4.5006666666666666</v>
      </c>
      <c r="T1074" s="50">
        <f>SUM(T61:T72)</f>
        <v>357.24568100000005</v>
      </c>
      <c r="U1074" s="50">
        <f>SUM(U61:U72)</f>
        <v>142.03263249999998</v>
      </c>
      <c r="V1074" s="50">
        <f>SUM(V61:V72)</f>
        <v>58.217499999999994</v>
      </c>
      <c r="W1074" s="50">
        <f>SUM(W61:W72)</f>
        <v>5.0822234999999996</v>
      </c>
      <c r="X1074" s="50">
        <f>SUM(X61:X72)</f>
        <v>20.758966663999999</v>
      </c>
      <c r="Y1074" s="50"/>
      <c r="Z1074" s="10"/>
      <c r="AA1074" s="10"/>
      <c r="AB1074" s="51">
        <f>AVERAGE(AB61:AB72)</f>
        <v>4.6468819859405208</v>
      </c>
      <c r="AC1074" s="27">
        <f>AVERAGE(AC61:AC72)</f>
        <v>4.6344003597122301</v>
      </c>
    </row>
    <row r="1075" spans="1:29" ht="15.75" x14ac:dyDescent="0.25">
      <c r="A1075" s="11">
        <v>2018</v>
      </c>
      <c r="B1075" s="10">
        <f t="shared" ref="B1075:S1075" si="13">AVERAGE(B73:B84)</f>
        <v>4.8206999999999995</v>
      </c>
      <c r="C1075" s="10">
        <f t="shared" si="13"/>
        <v>4.8268666666666666</v>
      </c>
      <c r="D1075" s="10">
        <f t="shared" si="13"/>
        <v>4.9589916666666678</v>
      </c>
      <c r="E1075" s="10">
        <f t="shared" si="13"/>
        <v>4.9910666666666677</v>
      </c>
      <c r="F1075" s="10">
        <f t="shared" si="13"/>
        <v>4.7916583333333334</v>
      </c>
      <c r="G1075" s="10">
        <f t="shared" si="13"/>
        <v>4.8088749999999996</v>
      </c>
      <c r="H1075" s="10">
        <f t="shared" si="13"/>
        <v>4.9801916666666672</v>
      </c>
      <c r="I1075" s="10">
        <f t="shared" si="13"/>
        <v>4.7899333333333329</v>
      </c>
      <c r="J1075" s="10">
        <f t="shared" si="13"/>
        <v>4.7846583333333337</v>
      </c>
      <c r="K1075" s="54">
        <f t="shared" si="13"/>
        <v>4.7860333333333323</v>
      </c>
      <c r="L1075" s="10">
        <f t="shared" si="13"/>
        <v>5.5671916666666661</v>
      </c>
      <c r="M1075" s="10">
        <f t="shared" si="13"/>
        <v>4.7502083333333331</v>
      </c>
      <c r="N1075" s="10">
        <f t="shared" si="13"/>
        <v>4.7672500000000007</v>
      </c>
      <c r="O1075" s="10">
        <f t="shared" si="13"/>
        <v>4.943766666666666</v>
      </c>
      <c r="P1075" s="10">
        <f t="shared" si="13"/>
        <v>4.7554666666666661</v>
      </c>
      <c r="Q1075" s="10">
        <f t="shared" si="13"/>
        <v>5.5390666666666668</v>
      </c>
      <c r="R1075" s="10">
        <f t="shared" si="13"/>
        <v>6.1399166666666671</v>
      </c>
      <c r="S1075" s="10">
        <f t="shared" si="13"/>
        <v>4.6782750000000002</v>
      </c>
      <c r="T1075" s="50">
        <f>SUM(T73:T84)</f>
        <v>357.24568100000005</v>
      </c>
      <c r="U1075" s="50">
        <f>SUM(U73:U84)</f>
        <v>142.03263249999998</v>
      </c>
      <c r="V1075" s="50">
        <f>SUM(V73:V84)</f>
        <v>50.187500000000007</v>
      </c>
      <c r="W1075" s="50">
        <f>SUM(W73:W84)</f>
        <v>5.0822234999999996</v>
      </c>
      <c r="X1075" s="50">
        <f>SUM(X73:X84)</f>
        <v>20.758966663999999</v>
      </c>
      <c r="Y1075" s="50"/>
      <c r="Z1075" s="10"/>
      <c r="AA1075" s="10"/>
      <c r="AB1075" s="51">
        <f>AVERAGE(AB73:AB84)</f>
        <v>4.8297518628091485</v>
      </c>
      <c r="AC1075" s="27">
        <f>AVERAGE(AC73:AC84)</f>
        <v>4.8154218225419667</v>
      </c>
    </row>
    <row r="1076" spans="1:29" ht="15.75" x14ac:dyDescent="0.25">
      <c r="A1076" s="11">
        <v>2019</v>
      </c>
      <c r="B1076" s="10">
        <f t="shared" ref="B1076:S1076" si="14">AVERAGE(B85:B96)</f>
        <v>5.4619416666666671</v>
      </c>
      <c r="C1076" s="10">
        <f t="shared" si="14"/>
        <v>5.4680833333333334</v>
      </c>
      <c r="D1076" s="10">
        <f t="shared" si="14"/>
        <v>5.6002333333333327</v>
      </c>
      <c r="E1076" s="10">
        <f t="shared" si="14"/>
        <v>5.6323166666666653</v>
      </c>
      <c r="F1076" s="10">
        <f t="shared" si="14"/>
        <v>5.4329000000000001</v>
      </c>
      <c r="G1076" s="10">
        <f t="shared" si="14"/>
        <v>5.4501166666666672</v>
      </c>
      <c r="H1076" s="10">
        <f t="shared" si="14"/>
        <v>5.6214333333333331</v>
      </c>
      <c r="I1076" s="10">
        <f t="shared" si="14"/>
        <v>5.4311666666666669</v>
      </c>
      <c r="J1076" s="10">
        <f t="shared" si="14"/>
        <v>5.4258999999999995</v>
      </c>
      <c r="K1076" s="54">
        <f t="shared" si="14"/>
        <v>5.4272833333333326</v>
      </c>
      <c r="L1076" s="10">
        <f t="shared" si="14"/>
        <v>6.2084333333333328</v>
      </c>
      <c r="M1076" s="10">
        <f t="shared" si="14"/>
        <v>5.3849666666666662</v>
      </c>
      <c r="N1076" s="10">
        <f t="shared" si="14"/>
        <v>5.4020166666666674</v>
      </c>
      <c r="O1076" s="10">
        <f t="shared" si="14"/>
        <v>5.5785499999999999</v>
      </c>
      <c r="P1076" s="10">
        <f t="shared" si="14"/>
        <v>5.3902333333333337</v>
      </c>
      <c r="Q1076" s="10">
        <f t="shared" si="14"/>
        <v>6.1738500000000007</v>
      </c>
      <c r="R1076" s="10">
        <f t="shared" si="14"/>
        <v>6.7762666666666673</v>
      </c>
      <c r="S1076" s="10">
        <f t="shared" si="14"/>
        <v>5.3009750000000002</v>
      </c>
      <c r="T1076" s="50">
        <f>SUM(T85:T96)</f>
        <v>357.24568100000005</v>
      </c>
      <c r="U1076" s="50">
        <f>SUM(U85:U96)</f>
        <v>142.03263249999998</v>
      </c>
      <c r="V1076" s="50">
        <f>SUM(V85:V96)</f>
        <v>50.187500000000007</v>
      </c>
      <c r="W1076" s="50">
        <f>SUM(W85:W96)</f>
        <v>5.0822234999999996</v>
      </c>
      <c r="X1076" s="50">
        <f>SUM(X85:X96)</f>
        <v>20.758966663999999</v>
      </c>
      <c r="Y1076" s="50"/>
      <c r="Z1076" s="10"/>
      <c r="AA1076" s="10"/>
      <c r="AB1076" s="51">
        <f>AVERAGE(AB85:AB96)</f>
        <v>5.4709873127427526</v>
      </c>
      <c r="AC1076" s="27">
        <f>AVERAGE(AC85:AC96)</f>
        <v>5.450190287769785</v>
      </c>
    </row>
    <row r="1077" spans="1:29" ht="15.75" x14ac:dyDescent="0.25">
      <c r="A1077" s="11">
        <v>2020</v>
      </c>
      <c r="B1077" s="10">
        <f t="shared" ref="B1077:S1077" si="15">AVERAGE(B97:B108)</f>
        <v>5.6163999999999996</v>
      </c>
      <c r="C1077" s="10">
        <f t="shared" si="15"/>
        <v>5.6225750000000003</v>
      </c>
      <c r="D1077" s="10">
        <f t="shared" si="15"/>
        <v>5.7546916666666661</v>
      </c>
      <c r="E1077" s="10">
        <f t="shared" si="15"/>
        <v>5.7867916666666668</v>
      </c>
      <c r="F1077" s="10">
        <f t="shared" si="15"/>
        <v>5.5873583333333317</v>
      </c>
      <c r="G1077" s="10">
        <f t="shared" si="15"/>
        <v>5.6045749999999996</v>
      </c>
      <c r="H1077" s="10">
        <f t="shared" si="15"/>
        <v>5.7759166666666673</v>
      </c>
      <c r="I1077" s="10">
        <f t="shared" si="15"/>
        <v>5.5856333333333339</v>
      </c>
      <c r="J1077" s="10">
        <f t="shared" si="15"/>
        <v>5.5803583333333329</v>
      </c>
      <c r="K1077" s="54">
        <f t="shared" si="15"/>
        <v>5.5817416666666668</v>
      </c>
      <c r="L1077" s="10">
        <f t="shared" si="15"/>
        <v>6.3629166666666661</v>
      </c>
      <c r="M1077" s="10">
        <f t="shared" si="15"/>
        <v>5.537891666666666</v>
      </c>
      <c r="N1077" s="10">
        <f t="shared" si="15"/>
        <v>5.5549249999999999</v>
      </c>
      <c r="O1077" s="10">
        <f t="shared" si="15"/>
        <v>5.7314416666666679</v>
      </c>
      <c r="P1077" s="10">
        <f t="shared" si="15"/>
        <v>5.5431583333333334</v>
      </c>
      <c r="Q1077" s="10">
        <f t="shared" si="15"/>
        <v>6.3267416666666669</v>
      </c>
      <c r="R1077" s="10">
        <f t="shared" si="15"/>
        <v>6.9295583333333326</v>
      </c>
      <c r="S1077" s="10">
        <f t="shared" si="15"/>
        <v>5.4509749999999997</v>
      </c>
      <c r="T1077" s="50">
        <f>SUM(T97:T108)</f>
        <v>358.17703550000004</v>
      </c>
      <c r="U1077" s="50">
        <f>SUM(U97:U108)</f>
        <v>142.42176299999997</v>
      </c>
      <c r="V1077" s="50">
        <f>SUM(V97:V108)</f>
        <v>50.325000000000003</v>
      </c>
      <c r="W1077" s="50">
        <f>SUM(W97:W108)</f>
        <v>5.0961473999999995</v>
      </c>
      <c r="X1077" s="50">
        <f>SUM(X97:X108)</f>
        <v>20.800615543999996</v>
      </c>
      <c r="Y1077" s="50"/>
      <c r="Z1077" s="10"/>
      <c r="AA1077" s="10"/>
      <c r="AB1077" s="51">
        <f>AVERAGE(AB97:AB108)</f>
        <v>5.6254545845834505</v>
      </c>
      <c r="AC1077" s="27">
        <f>AVERAGE(AC97:AC108)</f>
        <v>5.6031020983213438</v>
      </c>
    </row>
    <row r="1078" spans="1:29" ht="15.75" x14ac:dyDescent="0.25">
      <c r="A1078" s="11">
        <v>2021</v>
      </c>
      <c r="B1078" s="10">
        <f t="shared" ref="B1078:S1078" si="16">AVERAGE(B109:B120)</f>
        <v>5.8223500000000001</v>
      </c>
      <c r="C1078" s="10">
        <f t="shared" si="16"/>
        <v>5.8285083333333327</v>
      </c>
      <c r="D1078" s="10">
        <f t="shared" si="16"/>
        <v>5.9606416666666675</v>
      </c>
      <c r="E1078" s="10">
        <f t="shared" si="16"/>
        <v>5.9927333333333337</v>
      </c>
      <c r="F1078" s="10">
        <f t="shared" si="16"/>
        <v>5.7933250000000003</v>
      </c>
      <c r="G1078" s="10">
        <f t="shared" si="16"/>
        <v>5.8105416666666665</v>
      </c>
      <c r="H1078" s="10">
        <f t="shared" si="16"/>
        <v>5.9818583333333324</v>
      </c>
      <c r="I1078" s="10">
        <f t="shared" si="16"/>
        <v>5.7916083333333335</v>
      </c>
      <c r="J1078" s="10">
        <f t="shared" si="16"/>
        <v>5.7863250000000006</v>
      </c>
      <c r="K1078" s="54">
        <f t="shared" si="16"/>
        <v>5.7877166666666655</v>
      </c>
      <c r="L1078" s="10">
        <f t="shared" si="16"/>
        <v>6.5688583333333339</v>
      </c>
      <c r="M1078" s="10">
        <f t="shared" si="16"/>
        <v>5.7417583333333333</v>
      </c>
      <c r="N1078" s="10">
        <f t="shared" si="16"/>
        <v>5.7588083333333335</v>
      </c>
      <c r="O1078" s="10">
        <f t="shared" si="16"/>
        <v>5.9353083333333343</v>
      </c>
      <c r="P1078" s="10">
        <f t="shared" si="16"/>
        <v>5.7470249999999998</v>
      </c>
      <c r="Q1078" s="10">
        <f t="shared" si="16"/>
        <v>6.5306083333333342</v>
      </c>
      <c r="R1078" s="10">
        <f t="shared" si="16"/>
        <v>7.1339499999999996</v>
      </c>
      <c r="S1078" s="10">
        <f t="shared" si="16"/>
        <v>5.6509833333333335</v>
      </c>
      <c r="T1078" s="50">
        <f>SUM(T109:T120)</f>
        <v>357.24568100000005</v>
      </c>
      <c r="U1078" s="50">
        <f>SUM(U109:U120)</f>
        <v>142.03263249999998</v>
      </c>
      <c r="V1078" s="50">
        <f>SUM(V109:V120)</f>
        <v>50.187500000000007</v>
      </c>
      <c r="W1078" s="50">
        <f>SUM(W109:W120)</f>
        <v>5.0822234999999996</v>
      </c>
      <c r="X1078" s="50">
        <f>SUM(X109:X120)</f>
        <v>20.758966663999999</v>
      </c>
      <c r="Y1078" s="50"/>
      <c r="Z1078" s="10"/>
      <c r="AA1078" s="10"/>
      <c r="AB1078" s="51">
        <f>AVERAGE(AB109:AB120)</f>
        <v>5.8314090885125545</v>
      </c>
      <c r="AC1078" s="27">
        <f>AVERAGE(AC109:AC120)</f>
        <v>5.8069726019184644</v>
      </c>
    </row>
    <row r="1079" spans="1:29" ht="15.75" x14ac:dyDescent="0.25">
      <c r="A1079" s="11">
        <v>2022</v>
      </c>
      <c r="B1079" s="10">
        <f t="shared" ref="B1079:S1079" si="17">AVERAGE(B121:B132)</f>
        <v>6.0283166666666679</v>
      </c>
      <c r="C1079" s="10">
        <f t="shared" si="17"/>
        <v>6.0344583333333359</v>
      </c>
      <c r="D1079" s="10">
        <f t="shared" si="17"/>
        <v>6.1665833333333326</v>
      </c>
      <c r="E1079" s="10">
        <f t="shared" si="17"/>
        <v>6.1986833333333324</v>
      </c>
      <c r="F1079" s="10">
        <f t="shared" si="17"/>
        <v>5.9992749999999999</v>
      </c>
      <c r="G1079" s="10">
        <f t="shared" si="17"/>
        <v>6.0165083333333333</v>
      </c>
      <c r="H1079" s="10">
        <f t="shared" si="17"/>
        <v>6.1878083333333338</v>
      </c>
      <c r="I1079" s="10">
        <f t="shared" si="17"/>
        <v>5.9975500000000004</v>
      </c>
      <c r="J1079" s="10">
        <f t="shared" si="17"/>
        <v>5.9922750000000002</v>
      </c>
      <c r="K1079" s="54">
        <f t="shared" si="17"/>
        <v>5.9936666666666669</v>
      </c>
      <c r="L1079" s="10">
        <f t="shared" si="17"/>
        <v>6.7748083333333327</v>
      </c>
      <c r="M1079" s="10">
        <f t="shared" si="17"/>
        <v>5.9456250000000006</v>
      </c>
      <c r="N1079" s="10">
        <f t="shared" si="17"/>
        <v>5.9626666666666663</v>
      </c>
      <c r="O1079" s="10">
        <f t="shared" si="17"/>
        <v>6.1391999999999998</v>
      </c>
      <c r="P1079" s="10">
        <f t="shared" si="17"/>
        <v>5.9508833333333335</v>
      </c>
      <c r="Q1079" s="10">
        <f t="shared" si="17"/>
        <v>6.7344999999999997</v>
      </c>
      <c r="R1079" s="10">
        <f t="shared" si="17"/>
        <v>7.3383333333333347</v>
      </c>
      <c r="S1079" s="10">
        <f t="shared" si="17"/>
        <v>5.8509750000000009</v>
      </c>
      <c r="T1079" s="50">
        <f>SUM(T121:T132)</f>
        <v>357.24568100000005</v>
      </c>
      <c r="U1079" s="50">
        <f>SUM(U121:U132)</f>
        <v>142.03263249999998</v>
      </c>
      <c r="V1079" s="50">
        <f>SUM(V121:V132)</f>
        <v>50.187500000000007</v>
      </c>
      <c r="W1079" s="50">
        <f>SUM(W121:W132)</f>
        <v>5.0822234999999996</v>
      </c>
      <c r="X1079" s="50">
        <f>SUM(X121:X132)</f>
        <v>20.758966663999999</v>
      </c>
      <c r="Y1079" s="50"/>
      <c r="Z1079" s="10"/>
      <c r="AA1079" s="10"/>
      <c r="AB1079" s="51">
        <f>AVERAGE(AB121:AB132)</f>
        <v>6.0373623454949632</v>
      </c>
      <c r="AC1079" s="27">
        <f>AVERAGE(AC121:AC132)</f>
        <v>6.0108431654676266</v>
      </c>
    </row>
    <row r="1080" spans="1:29" ht="15.75" x14ac:dyDescent="0.25">
      <c r="A1080" s="11">
        <v>2023</v>
      </c>
      <c r="B1080" s="10">
        <f t="shared" ref="B1080:S1080" si="18">AVERAGE(B133:B144)</f>
        <v>6.2342750000000002</v>
      </c>
      <c r="C1080" s="10">
        <f t="shared" si="18"/>
        <v>6.240425000000001</v>
      </c>
      <c r="D1080" s="10">
        <f t="shared" si="18"/>
        <v>6.372558333333334</v>
      </c>
      <c r="E1080" s="10">
        <f t="shared" si="18"/>
        <v>6.4046416666666666</v>
      </c>
      <c r="F1080" s="10">
        <f t="shared" si="18"/>
        <v>6.2052416666666668</v>
      </c>
      <c r="G1080" s="10">
        <f t="shared" si="18"/>
        <v>6.2224499999999994</v>
      </c>
      <c r="H1080" s="10">
        <f t="shared" si="18"/>
        <v>6.3937500000000007</v>
      </c>
      <c r="I1080" s="10">
        <f t="shared" si="18"/>
        <v>6.2035083333333327</v>
      </c>
      <c r="J1080" s="10">
        <f t="shared" si="18"/>
        <v>6.1982416666666671</v>
      </c>
      <c r="K1080" s="54">
        <f t="shared" si="18"/>
        <v>6.1996083333333329</v>
      </c>
      <c r="L1080" s="10">
        <f t="shared" si="18"/>
        <v>6.9807500000000005</v>
      </c>
      <c r="M1080" s="10">
        <f t="shared" si="18"/>
        <v>6.1495083333333334</v>
      </c>
      <c r="N1080" s="10">
        <f t="shared" si="18"/>
        <v>6.1665583333333345</v>
      </c>
      <c r="O1080" s="10">
        <f t="shared" si="18"/>
        <v>6.3430666666666662</v>
      </c>
      <c r="P1080" s="10">
        <f t="shared" si="18"/>
        <v>6.1547666666666672</v>
      </c>
      <c r="Q1080" s="10">
        <f t="shared" si="18"/>
        <v>6.9383666666666661</v>
      </c>
      <c r="R1080" s="10">
        <f t="shared" si="18"/>
        <v>7.5427166666666663</v>
      </c>
      <c r="S1080" s="10">
        <f t="shared" si="18"/>
        <v>6.0509750000000002</v>
      </c>
      <c r="T1080" s="50">
        <f>SUM(T133:T144)</f>
        <v>357.24568100000005</v>
      </c>
      <c r="U1080" s="50">
        <f>SUM(U133:U144)</f>
        <v>142.03263249999998</v>
      </c>
      <c r="V1080" s="50">
        <f>SUM(V133:V144)</f>
        <v>50.187500000000007</v>
      </c>
      <c r="W1080" s="50">
        <f>SUM(W133:W144)</f>
        <v>5.0822234999999996</v>
      </c>
      <c r="X1080" s="50">
        <f>SUM(X133:X144)</f>
        <v>20.758966663999999</v>
      </c>
      <c r="Y1080" s="50"/>
      <c r="Z1080" s="10"/>
      <c r="AA1080" s="10"/>
      <c r="AB1080" s="51">
        <f>AVERAGE(AB133:AB144)</f>
        <v>6.2433242375845088</v>
      </c>
      <c r="AC1080" s="27">
        <f>AVERAGE(AC133:AC144)</f>
        <v>6.2147237410071945</v>
      </c>
    </row>
    <row r="1081" spans="1:29" ht="15.75" x14ac:dyDescent="0.25">
      <c r="A1081" s="11">
        <v>2024</v>
      </c>
      <c r="B1081" s="10">
        <f t="shared" ref="B1081:S1081" si="19">AVERAGE(B145:B156)</f>
        <v>6.4402250000000008</v>
      </c>
      <c r="C1081" s="10">
        <f t="shared" si="19"/>
        <v>6.4463749999999997</v>
      </c>
      <c r="D1081" s="10">
        <f t="shared" si="19"/>
        <v>6.5784916666666655</v>
      </c>
      <c r="E1081" s="10">
        <f t="shared" si="19"/>
        <v>6.6106000000000007</v>
      </c>
      <c r="F1081" s="10">
        <f t="shared" si="19"/>
        <v>6.4111916666666673</v>
      </c>
      <c r="G1081" s="10">
        <f t="shared" si="19"/>
        <v>6.4284166666666671</v>
      </c>
      <c r="H1081" s="10">
        <f t="shared" si="19"/>
        <v>6.5997249999999994</v>
      </c>
      <c r="I1081" s="10">
        <f t="shared" si="19"/>
        <v>6.4094583333333341</v>
      </c>
      <c r="J1081" s="10">
        <f t="shared" si="19"/>
        <v>6.4041916666666658</v>
      </c>
      <c r="K1081" s="54">
        <f t="shared" si="19"/>
        <v>6.4055666666666662</v>
      </c>
      <c r="L1081" s="10">
        <f t="shared" si="19"/>
        <v>7.186725</v>
      </c>
      <c r="M1081" s="10">
        <f t="shared" si="19"/>
        <v>6.3533833333333334</v>
      </c>
      <c r="N1081" s="10">
        <f t="shared" si="19"/>
        <v>6.3704166666666664</v>
      </c>
      <c r="O1081" s="10">
        <f t="shared" si="19"/>
        <v>6.5469499999999989</v>
      </c>
      <c r="P1081" s="10">
        <f t="shared" si="19"/>
        <v>6.3586333333333327</v>
      </c>
      <c r="Q1081" s="10">
        <f t="shared" si="19"/>
        <v>7.1422499999999998</v>
      </c>
      <c r="R1081" s="10">
        <f t="shared" si="19"/>
        <v>7.747091666666666</v>
      </c>
      <c r="S1081" s="10">
        <f t="shared" si="19"/>
        <v>6.2509749999999995</v>
      </c>
      <c r="T1081" s="50">
        <f>SUM(T145:T156)</f>
        <v>358.17703550000004</v>
      </c>
      <c r="U1081" s="50">
        <f>SUM(U145:U156)</f>
        <v>142.42176299999997</v>
      </c>
      <c r="V1081" s="50">
        <f>SUM(V145:V156)</f>
        <v>50.325000000000003</v>
      </c>
      <c r="W1081" s="50">
        <f>SUM(W145:W156)</f>
        <v>5.0961473999999995</v>
      </c>
      <c r="X1081" s="50">
        <f>SUM(X145:X156)</f>
        <v>20.800615543999996</v>
      </c>
      <c r="Y1081" s="50"/>
      <c r="Z1081" s="10"/>
      <c r="AA1081" s="10"/>
      <c r="AB1081" s="51">
        <f>AVERAGE(AB145:AB156)</f>
        <v>6.4492752419553883</v>
      </c>
      <c r="AC1081" s="27">
        <f>AVERAGE(AC145:AC156)</f>
        <v>6.4185960431654685</v>
      </c>
    </row>
    <row r="1082" spans="1:29" ht="15.75" x14ac:dyDescent="0.25">
      <c r="A1082" s="11">
        <v>2025</v>
      </c>
      <c r="B1082" s="10">
        <f t="shared" ref="B1082:S1082" si="20">AVERAGE(B157:B168)</f>
        <v>6.5946749999999996</v>
      </c>
      <c r="C1082" s="10">
        <f t="shared" si="20"/>
        <v>6.6008250000000004</v>
      </c>
      <c r="D1082" s="10">
        <f t="shared" si="20"/>
        <v>6.7329583333333325</v>
      </c>
      <c r="E1082" s="10">
        <f t="shared" si="20"/>
        <v>6.7650750000000004</v>
      </c>
      <c r="F1082" s="10">
        <f t="shared" si="20"/>
        <v>6.565641666666667</v>
      </c>
      <c r="G1082" s="10">
        <f t="shared" si="20"/>
        <v>6.5828833333333323</v>
      </c>
      <c r="H1082" s="10">
        <f t="shared" si="20"/>
        <v>6.7541833333333336</v>
      </c>
      <c r="I1082" s="10">
        <f t="shared" si="20"/>
        <v>6.5639166666666666</v>
      </c>
      <c r="J1082" s="10">
        <f t="shared" si="20"/>
        <v>6.5586416666666665</v>
      </c>
      <c r="K1082" s="54">
        <f t="shared" si="20"/>
        <v>6.5600499999999995</v>
      </c>
      <c r="L1082" s="10">
        <f t="shared" si="20"/>
        <v>7.3411833333333334</v>
      </c>
      <c r="M1082" s="10">
        <f t="shared" si="20"/>
        <v>6.5062749999999987</v>
      </c>
      <c r="N1082" s="10">
        <f t="shared" si="20"/>
        <v>6.5233250000000007</v>
      </c>
      <c r="O1082" s="10">
        <f t="shared" si="20"/>
        <v>6.6998499999999988</v>
      </c>
      <c r="P1082" s="10">
        <f t="shared" si="20"/>
        <v>6.5115499999999997</v>
      </c>
      <c r="Q1082" s="10">
        <f t="shared" si="20"/>
        <v>7.2951500000000005</v>
      </c>
      <c r="R1082" s="10">
        <f t="shared" si="20"/>
        <v>7.9003750000000004</v>
      </c>
      <c r="S1082" s="10">
        <f t="shared" si="20"/>
        <v>6.4009833333333326</v>
      </c>
      <c r="T1082" s="50">
        <f>SUM(T157:T168)</f>
        <v>357.24568100000005</v>
      </c>
      <c r="U1082" s="50">
        <f>SUM(U157:U168)</f>
        <v>142.03263249999998</v>
      </c>
      <c r="V1082" s="50">
        <f>SUM(V157:V168)</f>
        <v>50.187500000000007</v>
      </c>
      <c r="W1082" s="50">
        <f>SUM(W157:W168)</f>
        <v>5.0822234999999996</v>
      </c>
      <c r="X1082" s="50">
        <f>SUM(X157:X168)</f>
        <v>20.758966663999999</v>
      </c>
      <c r="Y1082" s="50"/>
      <c r="Z1082" s="10"/>
      <c r="AA1082" s="10"/>
      <c r="AB1082" s="51">
        <f>AVERAGE(AB157:AB168)</f>
        <v>6.6037314105627276</v>
      </c>
      <c r="AC1082" s="27">
        <f>AVERAGE(AC157:AC168)</f>
        <v>6.5714974820143892</v>
      </c>
    </row>
    <row r="1083" spans="1:29" ht="15.75" x14ac:dyDescent="0.25">
      <c r="A1083" s="11">
        <v>2026</v>
      </c>
      <c r="B1083" s="10">
        <f t="shared" ref="B1083:S1083" si="21">AVERAGE(B169:B180)</f>
        <v>6.8006166666666665</v>
      </c>
      <c r="C1083" s="10">
        <f t="shared" si="21"/>
        <v>6.8068</v>
      </c>
      <c r="D1083" s="10">
        <f t="shared" si="21"/>
        <v>6.9389166666666666</v>
      </c>
      <c r="E1083" s="10">
        <f t="shared" si="21"/>
        <v>6.9710166666666664</v>
      </c>
      <c r="F1083" s="10">
        <f t="shared" si="21"/>
        <v>6.7715916666666667</v>
      </c>
      <c r="G1083" s="10">
        <f t="shared" si="21"/>
        <v>6.7888166666666656</v>
      </c>
      <c r="H1083" s="10">
        <f t="shared" si="21"/>
        <v>6.9601333333333342</v>
      </c>
      <c r="I1083" s="10">
        <f t="shared" si="21"/>
        <v>6.7698749999999999</v>
      </c>
      <c r="J1083" s="10">
        <f t="shared" si="21"/>
        <v>6.764591666666667</v>
      </c>
      <c r="K1083" s="54">
        <f t="shared" si="21"/>
        <v>6.7659833333333346</v>
      </c>
      <c r="L1083" s="10">
        <f t="shared" si="21"/>
        <v>7.5471333333333321</v>
      </c>
      <c r="M1083" s="10">
        <f t="shared" si="21"/>
        <v>6.7101666666666668</v>
      </c>
      <c r="N1083" s="10">
        <f t="shared" si="21"/>
        <v>6.7272000000000007</v>
      </c>
      <c r="O1083" s="10">
        <f t="shared" si="21"/>
        <v>6.9037166666666678</v>
      </c>
      <c r="P1083" s="10">
        <f t="shared" si="21"/>
        <v>6.715416666666667</v>
      </c>
      <c r="Q1083" s="10">
        <f t="shared" si="21"/>
        <v>7.4990166666666669</v>
      </c>
      <c r="R1083" s="10">
        <f t="shared" si="21"/>
        <v>8.1047750000000001</v>
      </c>
      <c r="S1083" s="10">
        <f t="shared" si="21"/>
        <v>6.6009749999999983</v>
      </c>
      <c r="T1083" s="50">
        <f>SUM(T169:T180)</f>
        <v>357.24568100000005</v>
      </c>
      <c r="U1083" s="50">
        <f>SUM(U169:U180)</f>
        <v>142.03263249999998</v>
      </c>
      <c r="V1083" s="50">
        <f>SUM(V169:V180)</f>
        <v>50.187500000000007</v>
      </c>
      <c r="W1083" s="50">
        <f>SUM(W169:W180)</f>
        <v>5.0822234999999996</v>
      </c>
      <c r="X1083" s="50">
        <f>SUM(X169:X180)</f>
        <v>20.758966663999999</v>
      </c>
      <c r="Y1083" s="50"/>
      <c r="Z1083" s="10"/>
      <c r="AA1083" s="10"/>
      <c r="AB1083" s="51">
        <f>AVERAGE(AB169:AB180)</f>
        <v>6.8096844725960217</v>
      </c>
      <c r="AC1083" s="27">
        <f>AVERAGE(AC169:AC180)</f>
        <v>6.7753732613908868</v>
      </c>
    </row>
    <row r="1084" spans="1:29" ht="15.75" x14ac:dyDescent="0.25">
      <c r="A1084" s="11">
        <v>2027</v>
      </c>
      <c r="B1084" s="10">
        <f t="shared" ref="B1084:S1084" si="22">AVERAGE(B181:B192)</f>
        <v>7.0580583333333351</v>
      </c>
      <c r="C1084" s="10">
        <f t="shared" si="22"/>
        <v>7.0642333333333331</v>
      </c>
      <c r="D1084" s="10">
        <f t="shared" si="22"/>
        <v>7.196366666666667</v>
      </c>
      <c r="E1084" s="10">
        <f t="shared" si="22"/>
        <v>7.2284583333333332</v>
      </c>
      <c r="F1084" s="10">
        <f t="shared" si="22"/>
        <v>7.0290333333333335</v>
      </c>
      <c r="G1084" s="10">
        <f t="shared" si="22"/>
        <v>7.0462500000000006</v>
      </c>
      <c r="H1084" s="10">
        <f t="shared" si="22"/>
        <v>7.2175666666666665</v>
      </c>
      <c r="I1084" s="10">
        <f t="shared" si="22"/>
        <v>7.0273166666666667</v>
      </c>
      <c r="J1084" s="10">
        <f t="shared" si="22"/>
        <v>7.0220333333333329</v>
      </c>
      <c r="K1084" s="54">
        <f t="shared" si="22"/>
        <v>7.0234166666666669</v>
      </c>
      <c r="L1084" s="10">
        <f t="shared" si="22"/>
        <v>7.8045666666666662</v>
      </c>
      <c r="M1084" s="10">
        <f t="shared" si="22"/>
        <v>6.9649999999999999</v>
      </c>
      <c r="N1084" s="10">
        <f t="shared" si="22"/>
        <v>6.9820416666666674</v>
      </c>
      <c r="O1084" s="10">
        <f t="shared" si="22"/>
        <v>7.158574999999999</v>
      </c>
      <c r="P1084" s="10">
        <f t="shared" si="22"/>
        <v>6.9702416666666664</v>
      </c>
      <c r="Q1084" s="10">
        <f t="shared" si="22"/>
        <v>7.7538750000000007</v>
      </c>
      <c r="R1084" s="10">
        <f t="shared" si="22"/>
        <v>8.3602583333333342</v>
      </c>
      <c r="S1084" s="10">
        <f t="shared" si="22"/>
        <v>6.8509750000000009</v>
      </c>
      <c r="T1084" s="50">
        <f>SUM(T181:T192)</f>
        <v>357.24568100000005</v>
      </c>
      <c r="U1084" s="50">
        <f>SUM(U181:U192)</f>
        <v>142.03263249999998</v>
      </c>
      <c r="V1084" s="50">
        <f>SUM(V181:V192)</f>
        <v>50.187500000000007</v>
      </c>
      <c r="W1084" s="50">
        <f>SUM(W181:W192)</f>
        <v>5.0822234999999996</v>
      </c>
      <c r="X1084" s="50">
        <f>SUM(X181:X192)</f>
        <v>20.758966663999999</v>
      </c>
      <c r="Y1084" s="50"/>
      <c r="Z1084" s="10"/>
      <c r="AA1084" s="10"/>
      <c r="AB1084" s="51">
        <f>AVERAGE(AB181:AB192)</f>
        <v>7.0671241105379456</v>
      </c>
      <c r="AC1084" s="27">
        <f>AVERAGE(AC181:AC192)</f>
        <v>7.0302157673860899</v>
      </c>
    </row>
    <row r="1085" spans="1:29" ht="15.75" x14ac:dyDescent="0.25">
      <c r="A1085" s="11">
        <v>2028</v>
      </c>
      <c r="B1085" s="10">
        <f t="shared" ref="B1085:S1085" si="23">AVERAGE(B193:B204)</f>
        <v>7.3154999999999992</v>
      </c>
      <c r="C1085" s="10">
        <f t="shared" si="23"/>
        <v>7.3216749999999999</v>
      </c>
      <c r="D1085" s="10">
        <f t="shared" si="23"/>
        <v>7.4538083333333338</v>
      </c>
      <c r="E1085" s="10">
        <f t="shared" si="23"/>
        <v>7.4859083333333336</v>
      </c>
      <c r="F1085" s="10">
        <f t="shared" si="23"/>
        <v>7.286483333333333</v>
      </c>
      <c r="G1085" s="10">
        <f t="shared" si="23"/>
        <v>7.3037083333333337</v>
      </c>
      <c r="H1085" s="10">
        <f t="shared" si="23"/>
        <v>7.475016666666666</v>
      </c>
      <c r="I1085" s="10">
        <f t="shared" si="23"/>
        <v>7.2847416666666653</v>
      </c>
      <c r="J1085" s="10">
        <f t="shared" si="23"/>
        <v>7.2794833333333342</v>
      </c>
      <c r="K1085" s="54">
        <f t="shared" si="23"/>
        <v>7.2808666666666673</v>
      </c>
      <c r="L1085" s="10">
        <f t="shared" si="23"/>
        <v>8.0620166666666666</v>
      </c>
      <c r="M1085" s="10">
        <f t="shared" si="23"/>
        <v>7.2198416666666665</v>
      </c>
      <c r="N1085" s="10">
        <f t="shared" si="23"/>
        <v>7.2368916666666658</v>
      </c>
      <c r="O1085" s="10">
        <f t="shared" si="23"/>
        <v>7.4134166666666665</v>
      </c>
      <c r="P1085" s="10">
        <f t="shared" si="23"/>
        <v>7.2251000000000003</v>
      </c>
      <c r="Q1085" s="10">
        <f t="shared" si="23"/>
        <v>8.0087166666666665</v>
      </c>
      <c r="R1085" s="10">
        <f t="shared" si="23"/>
        <v>8.615733333333333</v>
      </c>
      <c r="S1085" s="10">
        <f t="shared" si="23"/>
        <v>7.1009750000000009</v>
      </c>
      <c r="T1085" s="50">
        <f>SUM(T193:T204)</f>
        <v>358.17703550000004</v>
      </c>
      <c r="U1085" s="50">
        <f>SUM(U193:U204)</f>
        <v>142.42176299999997</v>
      </c>
      <c r="V1085" s="50">
        <f>SUM(V193:V204)</f>
        <v>50.325000000000003</v>
      </c>
      <c r="W1085" s="50">
        <f>SUM(W193:W204)</f>
        <v>5.0961473999999995</v>
      </c>
      <c r="X1085" s="50">
        <f>SUM(X193:X204)</f>
        <v>20.800615543999996</v>
      </c>
      <c r="Y1085" s="50"/>
      <c r="Z1085" s="10"/>
      <c r="AA1085" s="10"/>
      <c r="AB1085" s="51">
        <f>AVERAGE(AB193:AB204)</f>
        <v>7.3245694330935649</v>
      </c>
      <c r="AC1085" s="27">
        <f>AVERAGE(AC193:AC204)</f>
        <v>7.2850603117505992</v>
      </c>
    </row>
    <row r="1086" spans="1:29" ht="15.75" x14ac:dyDescent="0.25">
      <c r="A1086" s="11">
        <v>2029</v>
      </c>
      <c r="B1086" s="10">
        <f t="shared" ref="B1086:S1086" si="24">AVERAGE(B205:B216)</f>
        <v>7.6244250000000013</v>
      </c>
      <c r="C1086" s="10">
        <f t="shared" si="24"/>
        <v>7.6306000000000012</v>
      </c>
      <c r="D1086" s="10">
        <f t="shared" si="24"/>
        <v>7.7627499999999996</v>
      </c>
      <c r="E1086" s="10">
        <f t="shared" si="24"/>
        <v>7.7948250000000003</v>
      </c>
      <c r="F1086" s="10">
        <f t="shared" si="24"/>
        <v>7.5954083333333342</v>
      </c>
      <c r="G1086" s="10">
        <f t="shared" si="24"/>
        <v>7.6126250000000004</v>
      </c>
      <c r="H1086" s="10">
        <f t="shared" si="24"/>
        <v>7.7839333333333309</v>
      </c>
      <c r="I1086" s="10">
        <f t="shared" si="24"/>
        <v>7.5936833333333347</v>
      </c>
      <c r="J1086" s="10">
        <f t="shared" si="24"/>
        <v>7.5884083333333336</v>
      </c>
      <c r="K1086" s="54">
        <f t="shared" si="24"/>
        <v>7.5897916666666676</v>
      </c>
      <c r="L1086" s="10">
        <f t="shared" si="24"/>
        <v>8.3709333333333316</v>
      </c>
      <c r="M1086" s="10">
        <f t="shared" si="24"/>
        <v>7.5256499999999997</v>
      </c>
      <c r="N1086" s="10">
        <f t="shared" si="24"/>
        <v>7.5427083333333336</v>
      </c>
      <c r="O1086" s="10">
        <f t="shared" si="24"/>
        <v>7.7192083333333334</v>
      </c>
      <c r="P1086" s="10">
        <f t="shared" si="24"/>
        <v>7.5309083333333335</v>
      </c>
      <c r="Q1086" s="10">
        <f t="shared" si="24"/>
        <v>8.3145083333333325</v>
      </c>
      <c r="R1086" s="10">
        <f t="shared" si="24"/>
        <v>8.9223166666666671</v>
      </c>
      <c r="S1086" s="10">
        <f t="shared" si="24"/>
        <v>7.400974999999999</v>
      </c>
      <c r="T1086" s="50">
        <f>SUM(T205:T216)</f>
        <v>357.24568100000005</v>
      </c>
      <c r="U1086" s="50">
        <f>SUM(U205:U216)</f>
        <v>142.03263249999998</v>
      </c>
      <c r="V1086" s="50">
        <f>SUM(V205:V216)</f>
        <v>50.187500000000007</v>
      </c>
      <c r="W1086" s="50">
        <f>SUM(W205:W216)</f>
        <v>5.0822234999999996</v>
      </c>
      <c r="X1086" s="50">
        <f>SUM(X205:X216)</f>
        <v>20.758966663999999</v>
      </c>
      <c r="Y1086" s="50"/>
      <c r="Z1086" s="10"/>
      <c r="AA1086" s="10"/>
      <c r="AB1086" s="51">
        <f>AVERAGE(AB205:AB216)</f>
        <v>7.6334959222339664</v>
      </c>
      <c r="AC1086" s="27">
        <f>AVERAGE(AC205:AC216)</f>
        <v>7.5908644484412457</v>
      </c>
    </row>
    <row r="1087" spans="1:29" ht="15.75" x14ac:dyDescent="0.25">
      <c r="A1087" s="11">
        <v>2030</v>
      </c>
      <c r="B1087" s="10">
        <f t="shared" ref="B1087:S1087" si="25">AVERAGE(B217:B228)</f>
        <v>7.9333583333333317</v>
      </c>
      <c r="C1087" s="10">
        <f t="shared" si="25"/>
        <v>7.9395333333333333</v>
      </c>
      <c r="D1087" s="10">
        <f t="shared" si="25"/>
        <v>8.0716750000000008</v>
      </c>
      <c r="E1087" s="10">
        <f t="shared" si="25"/>
        <v>8.1037499999999998</v>
      </c>
      <c r="F1087" s="10">
        <f t="shared" si="25"/>
        <v>7.9043416666666673</v>
      </c>
      <c r="G1087" s="10">
        <f t="shared" si="25"/>
        <v>7.9215583333333335</v>
      </c>
      <c r="H1087" s="10">
        <f t="shared" si="25"/>
        <v>8.0928750000000012</v>
      </c>
      <c r="I1087" s="10">
        <f t="shared" si="25"/>
        <v>7.9026249999999996</v>
      </c>
      <c r="J1087" s="10">
        <f t="shared" si="25"/>
        <v>7.8973416666666667</v>
      </c>
      <c r="K1087" s="54">
        <f t="shared" si="25"/>
        <v>7.8987249999999989</v>
      </c>
      <c r="L1087" s="10">
        <f t="shared" si="25"/>
        <v>8.6798750000000009</v>
      </c>
      <c r="M1087" s="10">
        <f t="shared" si="25"/>
        <v>7.8314500000000002</v>
      </c>
      <c r="N1087" s="10">
        <f t="shared" si="25"/>
        <v>7.8485166666666677</v>
      </c>
      <c r="O1087" s="10">
        <f t="shared" si="25"/>
        <v>8.0250249999999994</v>
      </c>
      <c r="P1087" s="10">
        <f t="shared" si="25"/>
        <v>7.8367166666666668</v>
      </c>
      <c r="Q1087" s="10">
        <f t="shared" si="25"/>
        <v>8.6203249999999993</v>
      </c>
      <c r="R1087" s="10">
        <f t="shared" si="25"/>
        <v>9.228883333333334</v>
      </c>
      <c r="S1087" s="10">
        <f t="shared" si="25"/>
        <v>7.7009916666666669</v>
      </c>
      <c r="T1087" s="50">
        <f>SUM(T217:T228)</f>
        <v>357.24568100000005</v>
      </c>
      <c r="U1087" s="50">
        <f>SUM(U217:U228)</f>
        <v>142.03263249999998</v>
      </c>
      <c r="V1087" s="50">
        <f>SUM(V217:V228)</f>
        <v>50.187500000000007</v>
      </c>
      <c r="W1087" s="50">
        <f>SUM(W217:W228)</f>
        <v>5.0822234999999996</v>
      </c>
      <c r="X1087" s="50">
        <f>SUM(X217:X228)</f>
        <v>20.758966663999999</v>
      </c>
      <c r="Y1087" s="50"/>
      <c r="Z1087" s="10"/>
      <c r="AA1087" s="10"/>
      <c r="AB1087" s="51">
        <f>AVERAGE(AB217:AB228)</f>
        <v>7.9424283511418645</v>
      </c>
      <c r="AC1087" s="27">
        <f>AVERAGE(AC217:AC228)</f>
        <v>7.8966736810551552</v>
      </c>
    </row>
    <row r="1088" spans="1:29" ht="15.75" x14ac:dyDescent="0.25">
      <c r="A1088" s="11">
        <v>2031</v>
      </c>
      <c r="B1088" s="10">
        <f t="shared" ref="B1088:S1088" si="26">AVERAGE(B229:B240)</f>
        <v>8.2337416666666687</v>
      </c>
      <c r="C1088" s="10">
        <f t="shared" si="26"/>
        <v>8.2399083333333323</v>
      </c>
      <c r="D1088" s="10">
        <f t="shared" si="26"/>
        <v>8.3720333333333343</v>
      </c>
      <c r="E1088" s="10">
        <f t="shared" si="26"/>
        <v>8.4041333333333323</v>
      </c>
      <c r="F1088" s="10">
        <f t="shared" si="26"/>
        <v>8.2047083333333344</v>
      </c>
      <c r="G1088" s="10">
        <f t="shared" si="26"/>
        <v>8.2219333333333342</v>
      </c>
      <c r="H1088" s="10">
        <f t="shared" si="26"/>
        <v>8.3932583333333337</v>
      </c>
      <c r="I1088" s="10">
        <f t="shared" si="26"/>
        <v>8.2029750000000021</v>
      </c>
      <c r="J1088" s="10">
        <f t="shared" si="26"/>
        <v>8.1977083333333329</v>
      </c>
      <c r="K1088" s="54">
        <f t="shared" si="26"/>
        <v>8.199091666666666</v>
      </c>
      <c r="L1088" s="10">
        <f t="shared" si="26"/>
        <v>8.9802583333333335</v>
      </c>
      <c r="M1088" s="10">
        <f t="shared" si="26"/>
        <v>8.1288</v>
      </c>
      <c r="N1088" s="10">
        <f t="shared" si="26"/>
        <v>8.1458583333333312</v>
      </c>
      <c r="O1088" s="10">
        <f t="shared" si="26"/>
        <v>8.3223666666666674</v>
      </c>
      <c r="P1088" s="10">
        <f t="shared" si="26"/>
        <v>8.1340666666666674</v>
      </c>
      <c r="Q1088" s="10">
        <f t="shared" si="26"/>
        <v>8.9176666666666655</v>
      </c>
      <c r="R1088" s="10">
        <f t="shared" si="26"/>
        <v>9.5269500000000011</v>
      </c>
      <c r="S1088" s="10">
        <f t="shared" si="26"/>
        <v>7.9926750000000011</v>
      </c>
      <c r="T1088" s="50">
        <f>SUM(T229:T240)</f>
        <v>357.24568100000005</v>
      </c>
      <c r="U1088" s="50">
        <f>SUM(U229:U240)</f>
        <v>142.03263249999998</v>
      </c>
      <c r="V1088" s="50">
        <f>SUM(V229:V240)</f>
        <v>50.187500000000007</v>
      </c>
      <c r="W1088" s="50">
        <f>SUM(W229:W240)</f>
        <v>5.0822234999999996</v>
      </c>
      <c r="X1088" s="50">
        <f>SUM(X229:X240)</f>
        <v>20.758966663999999</v>
      </c>
      <c r="Y1088" s="50"/>
      <c r="Z1088" s="10"/>
      <c r="AA1088" s="10"/>
      <c r="AB1088" s="51">
        <f>AVERAGE(AB229:AB240)</f>
        <v>8.2427989307778233</v>
      </c>
      <c r="AC1088" s="27">
        <f>AVERAGE(AC229:AC240)</f>
        <v>8.1940194244604303</v>
      </c>
    </row>
    <row r="1089" spans="1:29" ht="15.75" x14ac:dyDescent="0.25">
      <c r="A1089" s="11">
        <v>2032</v>
      </c>
      <c r="B1089" s="10">
        <f t="shared" ref="B1089:S1089" si="27">AVERAGE(B241:B252)</f>
        <v>8.5454916666666669</v>
      </c>
      <c r="C1089" s="10">
        <f t="shared" si="27"/>
        <v>8.551658333333334</v>
      </c>
      <c r="D1089" s="10">
        <f t="shared" si="27"/>
        <v>8.6837916666666661</v>
      </c>
      <c r="E1089" s="10">
        <f t="shared" si="27"/>
        <v>8.7158999999999995</v>
      </c>
      <c r="F1089" s="10">
        <f t="shared" si="27"/>
        <v>8.5164666666666662</v>
      </c>
      <c r="G1089" s="10">
        <f t="shared" si="27"/>
        <v>8.533691666666666</v>
      </c>
      <c r="H1089" s="10">
        <f t="shared" si="27"/>
        <v>8.7050000000000001</v>
      </c>
      <c r="I1089" s="10">
        <f t="shared" si="27"/>
        <v>8.5147333333333339</v>
      </c>
      <c r="J1089" s="10">
        <f t="shared" si="27"/>
        <v>8.5094666666666665</v>
      </c>
      <c r="K1089" s="54">
        <f t="shared" si="27"/>
        <v>8.5108333333333324</v>
      </c>
      <c r="L1089" s="10">
        <f t="shared" si="27"/>
        <v>9.291999999999998</v>
      </c>
      <c r="M1089" s="10">
        <f t="shared" si="27"/>
        <v>8.4374083333333356</v>
      </c>
      <c r="N1089" s="10">
        <f t="shared" si="27"/>
        <v>8.4544666666666668</v>
      </c>
      <c r="O1089" s="10">
        <f t="shared" si="27"/>
        <v>8.6309666666666676</v>
      </c>
      <c r="P1089" s="10">
        <f t="shared" si="27"/>
        <v>8.4426666666666659</v>
      </c>
      <c r="Q1089" s="10">
        <f t="shared" si="27"/>
        <v>9.2262666666666657</v>
      </c>
      <c r="R1089" s="10">
        <f t="shared" si="27"/>
        <v>9.8363416666666659</v>
      </c>
      <c r="S1089" s="10">
        <f t="shared" si="27"/>
        <v>8.295416666666668</v>
      </c>
      <c r="T1089" s="50">
        <f>SUM(T241:T252)</f>
        <v>358.17703550000004</v>
      </c>
      <c r="U1089" s="50">
        <f>SUM(U241:U252)</f>
        <v>142.42176299999997</v>
      </c>
      <c r="V1089" s="50">
        <f>SUM(V241:V252)</f>
        <v>50.325000000000003</v>
      </c>
      <c r="W1089" s="50">
        <f>SUM(W241:W252)</f>
        <v>5.0961473999999995</v>
      </c>
      <c r="X1089" s="50">
        <f>SUM(X241:X252)</f>
        <v>20.800615543999996</v>
      </c>
      <c r="Y1089" s="50"/>
      <c r="Z1089" s="10"/>
      <c r="AA1089" s="10"/>
      <c r="AB1089" s="51">
        <f>AVERAGE(AB241:AB252)</f>
        <v>8.5545553304866964</v>
      </c>
      <c r="AC1089" s="27">
        <f>AVERAGE(AC241:AC252)</f>
        <v>8.5026242206235008</v>
      </c>
    </row>
    <row r="1090" spans="1:29" ht="15.75" x14ac:dyDescent="0.25">
      <c r="A1090" s="11">
        <v>2033</v>
      </c>
      <c r="B1090" s="10">
        <f t="shared" ref="B1090:S1090" si="28">AVERAGE(B253:B264)</f>
        <v>8.8690499999999997</v>
      </c>
      <c r="C1090" s="10">
        <f t="shared" si="28"/>
        <v>8.8752083333333331</v>
      </c>
      <c r="D1090" s="10">
        <f t="shared" si="28"/>
        <v>9.0073583333333307</v>
      </c>
      <c r="E1090" s="10">
        <f t="shared" si="28"/>
        <v>9.0394500000000022</v>
      </c>
      <c r="F1090" s="10">
        <f t="shared" si="28"/>
        <v>8.8400166666666689</v>
      </c>
      <c r="G1090" s="10">
        <f t="shared" si="28"/>
        <v>8.8572416666666669</v>
      </c>
      <c r="H1090" s="10">
        <f t="shared" si="28"/>
        <v>9.028550000000001</v>
      </c>
      <c r="I1090" s="10">
        <f t="shared" si="28"/>
        <v>8.8383083333333321</v>
      </c>
      <c r="J1090" s="10">
        <f t="shared" si="28"/>
        <v>8.8330166666666656</v>
      </c>
      <c r="K1090" s="54">
        <f t="shared" si="28"/>
        <v>8.8344166666666677</v>
      </c>
      <c r="L1090" s="10">
        <f t="shared" si="28"/>
        <v>9.6155499999999989</v>
      </c>
      <c r="M1090" s="10">
        <f t="shared" si="28"/>
        <v>8.7577083333333334</v>
      </c>
      <c r="N1090" s="10">
        <f t="shared" si="28"/>
        <v>8.7747583333333328</v>
      </c>
      <c r="O1090" s="10">
        <f t="shared" si="28"/>
        <v>8.951274999999999</v>
      </c>
      <c r="P1090" s="10">
        <f t="shared" si="28"/>
        <v>8.7629833333333327</v>
      </c>
      <c r="Q1090" s="10">
        <f t="shared" si="28"/>
        <v>9.5465750000000007</v>
      </c>
      <c r="R1090" s="10">
        <f t="shared" si="28"/>
        <v>10.157441666666665</v>
      </c>
      <c r="S1090" s="10">
        <f t="shared" si="28"/>
        <v>8.6096250000000012</v>
      </c>
      <c r="T1090" s="50">
        <f>SUM(T253:T264)</f>
        <v>357.24568100000005</v>
      </c>
      <c r="U1090" s="50">
        <f>SUM(U253:U264)</f>
        <v>142.03263249999998</v>
      </c>
      <c r="V1090" s="50">
        <f>SUM(V253:V264)</f>
        <v>50.187500000000007</v>
      </c>
      <c r="W1090" s="50">
        <f>SUM(W253:W264)</f>
        <v>5.0822234999999996</v>
      </c>
      <c r="X1090" s="50">
        <f>SUM(X253:X264)</f>
        <v>20.758966663999999</v>
      </c>
      <c r="Y1090" s="50"/>
      <c r="Z1090" s="10"/>
      <c r="AA1090" s="10"/>
      <c r="AB1090" s="51">
        <f>AVERAGE(AB253:AB264)</f>
        <v>8.8781093691491275</v>
      </c>
      <c r="AC1090" s="27">
        <f>AVERAGE(AC253:AC264)</f>
        <v>8.8229270383693077</v>
      </c>
    </row>
    <row r="1091" spans="1:29" ht="15.75" x14ac:dyDescent="0.25">
      <c r="A1091" s="11">
        <v>2034</v>
      </c>
      <c r="B1091" s="10">
        <f t="shared" ref="B1091:S1091" si="29">AVERAGE(B265:B276)</f>
        <v>9.2048749999999995</v>
      </c>
      <c r="C1091" s="10">
        <f t="shared" si="29"/>
        <v>9.2110333333333347</v>
      </c>
      <c r="D1091" s="10">
        <f t="shared" si="29"/>
        <v>9.3431499999999996</v>
      </c>
      <c r="E1091" s="10">
        <f t="shared" si="29"/>
        <v>9.3752750000000002</v>
      </c>
      <c r="F1091" s="10">
        <f t="shared" si="29"/>
        <v>9.1758416666666669</v>
      </c>
      <c r="G1091" s="10">
        <f t="shared" si="29"/>
        <v>9.1930750000000003</v>
      </c>
      <c r="H1091" s="10">
        <f t="shared" si="29"/>
        <v>9.3643833333333308</v>
      </c>
      <c r="I1091" s="10">
        <f t="shared" si="29"/>
        <v>9.1741166666666665</v>
      </c>
      <c r="J1091" s="10">
        <f t="shared" si="29"/>
        <v>9.1688416666666672</v>
      </c>
      <c r="K1091" s="54">
        <f t="shared" si="29"/>
        <v>9.1702250000000003</v>
      </c>
      <c r="L1091" s="10">
        <f t="shared" si="29"/>
        <v>9.9513833333333341</v>
      </c>
      <c r="M1091" s="10">
        <f t="shared" si="29"/>
        <v>9.0901416666666677</v>
      </c>
      <c r="N1091" s="10">
        <f t="shared" si="29"/>
        <v>9.107191666666667</v>
      </c>
      <c r="O1091" s="10">
        <f t="shared" si="29"/>
        <v>9.2836833333333342</v>
      </c>
      <c r="P1091" s="10">
        <f t="shared" si="29"/>
        <v>9.0954083333333333</v>
      </c>
      <c r="Q1091" s="10">
        <f t="shared" si="29"/>
        <v>9.8789833333333323</v>
      </c>
      <c r="R1091" s="10">
        <f t="shared" si="29"/>
        <v>10.4907</v>
      </c>
      <c r="S1091" s="10">
        <f t="shared" si="29"/>
        <v>8.9357250000000015</v>
      </c>
      <c r="T1091" s="50">
        <f>SUM(T265:T276)</f>
        <v>357.24568100000005</v>
      </c>
      <c r="U1091" s="50">
        <f>SUM(U265:U276)</f>
        <v>142.03263249999998</v>
      </c>
      <c r="V1091" s="50">
        <f>SUM(V265:V276)</f>
        <v>50.187500000000007</v>
      </c>
      <c r="W1091" s="50">
        <f>SUM(W265:W276)</f>
        <v>5.0822234999999996</v>
      </c>
      <c r="X1091" s="50">
        <f>SUM(X265:X276)</f>
        <v>20.758966663999999</v>
      </c>
      <c r="Y1091" s="50"/>
      <c r="Z1091" s="10"/>
      <c r="AA1091" s="10"/>
      <c r="AB1091" s="51">
        <f>AVERAGE(AB265:AB276)</f>
        <v>9.2139310453425853</v>
      </c>
      <c r="AC1091" s="27">
        <f>AVERAGE(AC265:AC276)</f>
        <v>9.1553521582733808</v>
      </c>
    </row>
    <row r="1092" spans="1:29" ht="15.75" x14ac:dyDescent="0.25">
      <c r="A1092" s="11">
        <v>2035</v>
      </c>
      <c r="B1092" s="10">
        <f t="shared" ref="B1092:S1092" si="30">AVERAGE(B277:B288)</f>
        <v>9.5534083333333335</v>
      </c>
      <c r="C1092" s="10">
        <f t="shared" si="30"/>
        <v>9.559566666666667</v>
      </c>
      <c r="D1092" s="10">
        <f t="shared" si="30"/>
        <v>9.6917166666666645</v>
      </c>
      <c r="E1092" s="10">
        <f t="shared" si="30"/>
        <v>9.7237916666666653</v>
      </c>
      <c r="F1092" s="10">
        <f t="shared" si="30"/>
        <v>9.5243750000000009</v>
      </c>
      <c r="G1092" s="10">
        <f t="shared" si="30"/>
        <v>9.5416083333333344</v>
      </c>
      <c r="H1092" s="10">
        <f t="shared" si="30"/>
        <v>9.712908333333333</v>
      </c>
      <c r="I1092" s="10">
        <f t="shared" si="30"/>
        <v>9.5226583333333306</v>
      </c>
      <c r="J1092" s="10">
        <f t="shared" si="30"/>
        <v>9.5173749999999995</v>
      </c>
      <c r="K1092" s="54">
        <f t="shared" si="30"/>
        <v>9.5187583333333325</v>
      </c>
      <c r="L1092" s="10">
        <f t="shared" si="30"/>
        <v>10.299908333333335</v>
      </c>
      <c r="M1092" s="10">
        <f t="shared" si="30"/>
        <v>9.4351666666666674</v>
      </c>
      <c r="N1092" s="10">
        <f t="shared" si="30"/>
        <v>9.4522250000000003</v>
      </c>
      <c r="O1092" s="10">
        <f t="shared" si="30"/>
        <v>9.6287166666666675</v>
      </c>
      <c r="P1092" s="10">
        <f t="shared" si="30"/>
        <v>9.4404249999999994</v>
      </c>
      <c r="Q1092" s="10">
        <f t="shared" si="30"/>
        <v>10.224016666666666</v>
      </c>
      <c r="R1092" s="10">
        <f t="shared" si="30"/>
        <v>10.836574999999998</v>
      </c>
      <c r="S1092" s="10">
        <f t="shared" si="30"/>
        <v>9.2742166666666659</v>
      </c>
      <c r="T1092" s="50">
        <f>SUM(T277:T288)</f>
        <v>357.24568100000005</v>
      </c>
      <c r="U1092" s="50">
        <f>SUM(U277:U288)</f>
        <v>142.03263249999998</v>
      </c>
      <c r="V1092" s="50">
        <f>SUM(V277:V288)</f>
        <v>50.187500000000007</v>
      </c>
      <c r="W1092" s="50">
        <f>SUM(W277:W288)</f>
        <v>5.0822234999999996</v>
      </c>
      <c r="X1092" s="50">
        <f>SUM(X277:X288)</f>
        <v>20.758966663999999</v>
      </c>
      <c r="Y1092" s="50"/>
      <c r="Z1092" s="10"/>
      <c r="AA1092" s="10"/>
      <c r="AB1092" s="51">
        <f>AVERAGE(AB277:AB288)</f>
        <v>9.5624677909498104</v>
      </c>
      <c r="AC1092" s="27">
        <f>AVERAGE(AC277:AC288)</f>
        <v>9.5003802158273398</v>
      </c>
    </row>
    <row r="1093" spans="1:29" ht="15.75" x14ac:dyDescent="0.25">
      <c r="A1093" s="11">
        <v>2036</v>
      </c>
      <c r="B1093" s="10">
        <f t="shared" ref="B1093:S1093" si="31">AVERAGE(B289:B300)</f>
        <v>9.9151500000000006</v>
      </c>
      <c r="C1093" s="10">
        <f t="shared" si="31"/>
        <v>9.9213250000000013</v>
      </c>
      <c r="D1093" s="10">
        <f t="shared" si="31"/>
        <v>10.053466666666665</v>
      </c>
      <c r="E1093" s="10">
        <f t="shared" si="31"/>
        <v>10.085541666666666</v>
      </c>
      <c r="F1093" s="10">
        <f t="shared" si="31"/>
        <v>9.8861166666666662</v>
      </c>
      <c r="G1093" s="10">
        <f t="shared" si="31"/>
        <v>9.903341666666666</v>
      </c>
      <c r="H1093" s="10">
        <f t="shared" si="31"/>
        <v>10.074658333333334</v>
      </c>
      <c r="I1093" s="10">
        <f t="shared" si="31"/>
        <v>9.8843999999999994</v>
      </c>
      <c r="J1093" s="10">
        <f t="shared" si="31"/>
        <v>9.8791166666666665</v>
      </c>
      <c r="K1093" s="54">
        <f t="shared" si="31"/>
        <v>9.8804999999999996</v>
      </c>
      <c r="L1093" s="10">
        <f t="shared" si="31"/>
        <v>10.661658333333333</v>
      </c>
      <c r="M1093" s="10">
        <f t="shared" si="31"/>
        <v>9.7932499999999987</v>
      </c>
      <c r="N1093" s="10">
        <f t="shared" si="31"/>
        <v>9.8103083333333334</v>
      </c>
      <c r="O1093" s="10">
        <f t="shared" si="31"/>
        <v>9.9868166666666678</v>
      </c>
      <c r="P1093" s="10">
        <f t="shared" si="31"/>
        <v>9.7985083333333343</v>
      </c>
      <c r="Q1093" s="10">
        <f t="shared" si="31"/>
        <v>10.582116666666666</v>
      </c>
      <c r="R1093" s="10">
        <f t="shared" si="31"/>
        <v>11.195583333333332</v>
      </c>
      <c r="S1093" s="10">
        <f t="shared" si="31"/>
        <v>9.6255000000000006</v>
      </c>
      <c r="T1093" s="50">
        <f>SUM(T289:T300)</f>
        <v>358.17703550000004</v>
      </c>
      <c r="U1093" s="50">
        <f>SUM(U289:U300)</f>
        <v>142.42176299999997</v>
      </c>
      <c r="V1093" s="50">
        <f>SUM(V289:V300)</f>
        <v>50.325000000000003</v>
      </c>
      <c r="W1093" s="50">
        <f>SUM(W289:W300)</f>
        <v>5.0961473999999995</v>
      </c>
      <c r="X1093" s="50">
        <f>SUM(X289:X300)</f>
        <v>20.800615543999996</v>
      </c>
      <c r="Y1093" s="50"/>
      <c r="Z1093" s="10"/>
      <c r="AA1093" s="10"/>
      <c r="AB1093" s="51">
        <f>AVERAGE(AB289:AB300)</f>
        <v>9.9242130090415426</v>
      </c>
      <c r="AC1093" s="27">
        <f>AVERAGE(AC289:AC300)</f>
        <v>9.8584667865707427</v>
      </c>
    </row>
    <row r="1094" spans="1:29" ht="15.75" x14ac:dyDescent="0.25">
      <c r="A1094" s="11">
        <v>2037</v>
      </c>
      <c r="B1094" s="10">
        <f t="shared" ref="B1094:S1094" si="32">AVERAGE(B301:B312)</f>
        <v>10.2906</v>
      </c>
      <c r="C1094" s="10">
        <f t="shared" si="32"/>
        <v>10.296774999999998</v>
      </c>
      <c r="D1094" s="10">
        <f t="shared" si="32"/>
        <v>10.428891666666665</v>
      </c>
      <c r="E1094" s="10">
        <f t="shared" si="32"/>
        <v>10.460983333333335</v>
      </c>
      <c r="F1094" s="10">
        <f t="shared" si="32"/>
        <v>10.261575000000001</v>
      </c>
      <c r="G1094" s="10">
        <f t="shared" si="32"/>
        <v>10.278808333333332</v>
      </c>
      <c r="H1094" s="10">
        <f t="shared" si="32"/>
        <v>10.450116666666666</v>
      </c>
      <c r="I1094" s="10">
        <f t="shared" si="32"/>
        <v>10.259833333333331</v>
      </c>
      <c r="J1094" s="10">
        <f t="shared" si="32"/>
        <v>10.254575000000001</v>
      </c>
      <c r="K1094" s="54">
        <f t="shared" si="32"/>
        <v>10.25595</v>
      </c>
      <c r="L1094" s="10">
        <f t="shared" si="32"/>
        <v>11.037116666666664</v>
      </c>
      <c r="M1094" s="10">
        <f t="shared" si="32"/>
        <v>10.164908333333331</v>
      </c>
      <c r="N1094" s="10">
        <f t="shared" si="32"/>
        <v>10.181950000000001</v>
      </c>
      <c r="O1094" s="10">
        <f t="shared" si="32"/>
        <v>10.358475</v>
      </c>
      <c r="P1094" s="10">
        <f t="shared" si="32"/>
        <v>10.170175000000002</v>
      </c>
      <c r="Q1094" s="10">
        <f t="shared" si="32"/>
        <v>10.953775000000002</v>
      </c>
      <c r="R1094" s="10">
        <f t="shared" si="32"/>
        <v>11.568166666666665</v>
      </c>
      <c r="S1094" s="10">
        <f t="shared" si="32"/>
        <v>9.9901</v>
      </c>
      <c r="T1094" s="50">
        <f>SUM(T301:T312)</f>
        <v>357.24568100000005</v>
      </c>
      <c r="U1094" s="50">
        <f>SUM(U301:U312)</f>
        <v>142.03263249999998</v>
      </c>
      <c r="V1094" s="50">
        <f>SUM(V301:V312)</f>
        <v>50.187500000000007</v>
      </c>
      <c r="W1094" s="50">
        <f>SUM(W301:W312)</f>
        <v>5.0822234999999996</v>
      </c>
      <c r="X1094" s="50">
        <f>SUM(X301:X312)</f>
        <v>20.758966663999999</v>
      </c>
      <c r="Y1094" s="50"/>
      <c r="Z1094" s="10"/>
      <c r="AA1094" s="10"/>
      <c r="AB1094" s="51">
        <f>AVERAGE(AB301:AB312)</f>
        <v>10.299663744946605</v>
      </c>
      <c r="AC1094" s="27">
        <f>AVERAGE(AC301:AC312)</f>
        <v>10.230126798561152</v>
      </c>
    </row>
    <row r="1095" spans="1:29" ht="15.75" x14ac:dyDescent="0.25">
      <c r="A1095" s="11">
        <f t="shared" ref="A1095:A1126" si="33">A1094+1</f>
        <v>2038</v>
      </c>
      <c r="B1095" s="10">
        <f t="shared" ref="B1095:S1095" si="34">AVERAGE(B313:B324)</f>
        <v>10.680266666666666</v>
      </c>
      <c r="C1095" s="10">
        <f t="shared" si="34"/>
        <v>10.686441666666665</v>
      </c>
      <c r="D1095" s="10">
        <f t="shared" si="34"/>
        <v>10.818566666666669</v>
      </c>
      <c r="E1095" s="10">
        <f t="shared" si="34"/>
        <v>10.850658333333334</v>
      </c>
      <c r="F1095" s="10">
        <f t="shared" si="34"/>
        <v>10.651249999999999</v>
      </c>
      <c r="G1095" s="10">
        <f t="shared" si="34"/>
        <v>10.668466666666667</v>
      </c>
      <c r="H1095" s="10">
        <f t="shared" si="34"/>
        <v>10.839783333333335</v>
      </c>
      <c r="I1095" s="10">
        <f t="shared" si="34"/>
        <v>10.649500000000002</v>
      </c>
      <c r="J1095" s="10">
        <f t="shared" si="34"/>
        <v>10.64425</v>
      </c>
      <c r="K1095" s="54">
        <f t="shared" si="34"/>
        <v>10.645633333333334</v>
      </c>
      <c r="L1095" s="10">
        <f t="shared" si="34"/>
        <v>11.426783333333333</v>
      </c>
      <c r="M1095" s="10">
        <f t="shared" si="34"/>
        <v>10.550658333333333</v>
      </c>
      <c r="N1095" s="10">
        <f t="shared" si="34"/>
        <v>10.567708333333332</v>
      </c>
      <c r="O1095" s="10">
        <f t="shared" si="34"/>
        <v>10.744225</v>
      </c>
      <c r="P1095" s="10">
        <f t="shared" si="34"/>
        <v>10.555891666666668</v>
      </c>
      <c r="Q1095" s="10">
        <f t="shared" si="34"/>
        <v>11.339525</v>
      </c>
      <c r="R1095" s="10">
        <f t="shared" si="34"/>
        <v>11.954858333333334</v>
      </c>
      <c r="S1095" s="10">
        <f t="shared" si="34"/>
        <v>10.368508333333333</v>
      </c>
      <c r="T1095" s="50">
        <f>SUM(T313:T324)</f>
        <v>357.24568100000005</v>
      </c>
      <c r="U1095" s="50">
        <f>SUM(U313:U324)</f>
        <v>142.03263249999998</v>
      </c>
      <c r="V1095" s="50">
        <f>SUM(V313:V324)</f>
        <v>50.187500000000007</v>
      </c>
      <c r="W1095" s="50">
        <f>SUM(W313:W324)</f>
        <v>5.0822234999999996</v>
      </c>
      <c r="X1095" s="50">
        <f>SUM(X313:X324)</f>
        <v>20.758966663999999</v>
      </c>
      <c r="Y1095" s="50"/>
      <c r="Z1095" s="10"/>
      <c r="AA1095" s="10"/>
      <c r="AB1095" s="51">
        <f>AVERAGE(AB313:AB324)</f>
        <v>10.689332357947661</v>
      </c>
      <c r="AC1095" s="27">
        <f>AVERAGE(AC313:AC324)</f>
        <v>10.615871043165466</v>
      </c>
    </row>
    <row r="1096" spans="1:29" ht="15.75" x14ac:dyDescent="0.25">
      <c r="A1096" s="11">
        <f t="shared" si="33"/>
        <v>2039</v>
      </c>
      <c r="B1096" s="10">
        <f t="shared" ref="B1096:S1096" si="35">AVERAGE(B325:B336)</f>
        <v>11.084708333333332</v>
      </c>
      <c r="C1096" s="10">
        <f t="shared" si="35"/>
        <v>11.090858333333335</v>
      </c>
      <c r="D1096" s="10">
        <f t="shared" si="35"/>
        <v>11.222983333333332</v>
      </c>
      <c r="E1096" s="10">
        <f t="shared" si="35"/>
        <v>11.255099999999999</v>
      </c>
      <c r="F1096" s="10">
        <f t="shared" si="35"/>
        <v>11.055700000000002</v>
      </c>
      <c r="G1096" s="10">
        <f t="shared" si="35"/>
        <v>11.072899999999999</v>
      </c>
      <c r="H1096" s="10">
        <f t="shared" si="35"/>
        <v>11.244208333333333</v>
      </c>
      <c r="I1096" s="10">
        <f t="shared" si="35"/>
        <v>11.053941666666667</v>
      </c>
      <c r="J1096" s="10">
        <f t="shared" si="35"/>
        <v>11.048699999999998</v>
      </c>
      <c r="K1096" s="54">
        <f t="shared" si="35"/>
        <v>11.050066666666668</v>
      </c>
      <c r="L1096" s="10">
        <f t="shared" si="35"/>
        <v>11.831208333333334</v>
      </c>
      <c r="M1096" s="10">
        <f t="shared" si="35"/>
        <v>10.950991666666667</v>
      </c>
      <c r="N1096" s="10">
        <f t="shared" si="35"/>
        <v>10.968041666666666</v>
      </c>
      <c r="O1096" s="10">
        <f t="shared" si="35"/>
        <v>11.144566666666668</v>
      </c>
      <c r="P1096" s="10">
        <f t="shared" si="35"/>
        <v>10.956258333333333</v>
      </c>
      <c r="Q1096" s="10">
        <f t="shared" si="35"/>
        <v>11.739866666666666</v>
      </c>
      <c r="R1096" s="10">
        <f t="shared" si="35"/>
        <v>12.356216666666667</v>
      </c>
      <c r="S1096" s="10">
        <f t="shared" si="35"/>
        <v>10.761241666666669</v>
      </c>
      <c r="T1096" s="50">
        <f>SUM(T325:T336)</f>
        <v>357.24568100000005</v>
      </c>
      <c r="U1096" s="50">
        <f>SUM(U325:U336)</f>
        <v>142.03263249999998</v>
      </c>
      <c r="V1096" s="50">
        <f>SUM(V325:V336)</f>
        <v>50.187500000000007</v>
      </c>
      <c r="W1096" s="50">
        <f>SUM(W325:W336)</f>
        <v>5.0822234999999996</v>
      </c>
      <c r="X1096" s="50">
        <f>SUM(X325:X336)</f>
        <v>20.758966663999999</v>
      </c>
      <c r="Y1096" s="50"/>
      <c r="Z1096" s="56"/>
      <c r="AA1096" s="55"/>
      <c r="AB1096" s="51">
        <f>AVERAGE(AB325:AB336)</f>
        <v>11.093767553868991</v>
      </c>
      <c r="AC1096" s="27">
        <f>AVERAGE(AC325:AC336)</f>
        <v>11.016214388489209</v>
      </c>
    </row>
    <row r="1097" spans="1:29" ht="15.75" x14ac:dyDescent="0.25">
      <c r="A1097" s="11">
        <f t="shared" si="33"/>
        <v>2040</v>
      </c>
      <c r="B1097" s="10">
        <f t="shared" ref="B1097:S1097" si="36">AVERAGE(B337:B348)</f>
        <v>11.504458333333334</v>
      </c>
      <c r="C1097" s="10">
        <f t="shared" si="36"/>
        <v>11.510608333333332</v>
      </c>
      <c r="D1097" s="10">
        <f t="shared" si="36"/>
        <v>11.642766666666667</v>
      </c>
      <c r="E1097" s="10">
        <f t="shared" si="36"/>
        <v>11.674849999999999</v>
      </c>
      <c r="F1097" s="10">
        <f t="shared" si="36"/>
        <v>11.475425000000001</v>
      </c>
      <c r="G1097" s="10">
        <f t="shared" si="36"/>
        <v>11.492641666666666</v>
      </c>
      <c r="H1097" s="10">
        <f t="shared" si="36"/>
        <v>11.66395</v>
      </c>
      <c r="I1097" s="10">
        <f t="shared" si="36"/>
        <v>11.473708333333333</v>
      </c>
      <c r="J1097" s="10">
        <f t="shared" si="36"/>
        <v>11.468424999999998</v>
      </c>
      <c r="K1097" s="54">
        <f t="shared" si="36"/>
        <v>11.469816666666667</v>
      </c>
      <c r="L1097" s="10">
        <f t="shared" si="36"/>
        <v>12.250949999999998</v>
      </c>
      <c r="M1097" s="10">
        <f t="shared" si="36"/>
        <v>11.366508333333334</v>
      </c>
      <c r="N1097" s="10">
        <f t="shared" si="36"/>
        <v>11.383558333333331</v>
      </c>
      <c r="O1097" s="10">
        <f t="shared" si="36"/>
        <v>11.560091666666667</v>
      </c>
      <c r="P1097" s="10">
        <f t="shared" si="36"/>
        <v>11.371775</v>
      </c>
      <c r="Q1097" s="10">
        <f t="shared" si="36"/>
        <v>12.155391666666668</v>
      </c>
      <c r="R1097" s="10">
        <f t="shared" si="36"/>
        <v>12.772774999999998</v>
      </c>
      <c r="S1097" s="10">
        <f t="shared" si="36"/>
        <v>11.168858333333334</v>
      </c>
      <c r="T1097" s="50">
        <f>SUM(T337:T348)</f>
        <v>358.17703550000004</v>
      </c>
      <c r="U1097" s="50">
        <f>SUM(U337:U348)</f>
        <v>142.42176299999997</v>
      </c>
      <c r="V1097" s="50">
        <f>SUM(V337:V348)</f>
        <v>50.325000000000003</v>
      </c>
      <c r="W1097" s="50">
        <f>SUM(W337:W348)</f>
        <v>5.0961473999999995</v>
      </c>
      <c r="X1097" s="50">
        <f>SUM(X337:X348)</f>
        <v>20.800615543999996</v>
      </c>
      <c r="Y1097" s="50"/>
      <c r="Z1097" s="56"/>
      <c r="AA1097" s="55"/>
      <c r="AB1097" s="51">
        <f>AVERAGE(AB337:AB348)</f>
        <v>11.513513940028078</v>
      </c>
      <c r="AC1097" s="27">
        <f>AVERAGE(AC337:AC348)</f>
        <v>11.431731954436453</v>
      </c>
    </row>
    <row r="1098" spans="1:29" ht="15.75" x14ac:dyDescent="0.25">
      <c r="A1098" s="11">
        <f t="shared" si="33"/>
        <v>2041</v>
      </c>
      <c r="B1098" s="10">
        <f t="shared" ref="B1098:S1098" si="37">AVERAGE(B349:B360)</f>
        <v>11.940133333333334</v>
      </c>
      <c r="C1098" s="10">
        <f t="shared" si="37"/>
        <v>11.946266666666666</v>
      </c>
      <c r="D1098" s="10">
        <f t="shared" si="37"/>
        <v>12.078391666666668</v>
      </c>
      <c r="E1098" s="10">
        <f t="shared" si="37"/>
        <v>12.1105</v>
      </c>
      <c r="F1098" s="10">
        <f t="shared" si="37"/>
        <v>11.911075000000002</v>
      </c>
      <c r="G1098" s="10">
        <f t="shared" si="37"/>
        <v>11.928316666666667</v>
      </c>
      <c r="H1098" s="10">
        <f t="shared" si="37"/>
        <v>12.099616666666668</v>
      </c>
      <c r="I1098" s="10">
        <f t="shared" si="37"/>
        <v>11.909366666666664</v>
      </c>
      <c r="J1098" s="10">
        <f t="shared" si="37"/>
        <v>11.904075000000001</v>
      </c>
      <c r="K1098" s="54">
        <f t="shared" si="37"/>
        <v>11.905475000000001</v>
      </c>
      <c r="L1098" s="10">
        <f t="shared" si="37"/>
        <v>12.686616666666668</v>
      </c>
      <c r="M1098" s="10">
        <f t="shared" si="37"/>
        <v>11.797783333333333</v>
      </c>
      <c r="N1098" s="10">
        <f t="shared" si="37"/>
        <v>11.8148</v>
      </c>
      <c r="O1098" s="10">
        <f t="shared" si="37"/>
        <v>11.991325000000002</v>
      </c>
      <c r="P1098" s="10">
        <f t="shared" si="37"/>
        <v>11.803041666666667</v>
      </c>
      <c r="Q1098" s="10">
        <f t="shared" si="37"/>
        <v>12.586625</v>
      </c>
      <c r="R1098" s="10">
        <f t="shared" si="37"/>
        <v>13.205108333333335</v>
      </c>
      <c r="S1098" s="10">
        <f t="shared" si="37"/>
        <v>11.591933333333332</v>
      </c>
      <c r="T1098" s="50">
        <f>SUM(T349:T360)</f>
        <v>357.24568100000005</v>
      </c>
      <c r="U1098" s="50">
        <f>SUM(U349:U360)</f>
        <v>142.03263249999998</v>
      </c>
      <c r="V1098" s="50">
        <f>SUM(V349:V360)</f>
        <v>50.187500000000007</v>
      </c>
      <c r="W1098" s="50">
        <f>SUM(W349:W360)</f>
        <v>5.0822234999999996</v>
      </c>
      <c r="X1098" s="50">
        <f>SUM(X349:X360)</f>
        <v>20.758966663999999</v>
      </c>
      <c r="Y1098" s="50"/>
      <c r="Z1098" s="56"/>
      <c r="AA1098" s="55"/>
      <c r="AB1098" s="51">
        <f>AVERAGE(AB349:AB360)</f>
        <v>11.949170562702491</v>
      </c>
      <c r="AC1098" s="27">
        <f>AVERAGE(AC349:AC360)</f>
        <v>11.862984952038369</v>
      </c>
    </row>
    <row r="1099" spans="1:29" ht="15.75" x14ac:dyDescent="0.25">
      <c r="A1099" s="11">
        <f t="shared" si="33"/>
        <v>2042</v>
      </c>
      <c r="B1099" s="10">
        <f t="shared" ref="B1099:S1099" si="38">AVERAGE(B361:B372)</f>
        <v>12.392258333333331</v>
      </c>
      <c r="C1099" s="10">
        <f t="shared" si="38"/>
        <v>12.398416666666668</v>
      </c>
      <c r="D1099" s="10">
        <f t="shared" si="38"/>
        <v>12.530558333333332</v>
      </c>
      <c r="E1099" s="10">
        <f t="shared" si="38"/>
        <v>12.56265</v>
      </c>
      <c r="F1099" s="10">
        <f t="shared" si="38"/>
        <v>12.363241666666667</v>
      </c>
      <c r="G1099" s="10">
        <f t="shared" si="38"/>
        <v>12.380458333333332</v>
      </c>
      <c r="H1099" s="10">
        <f t="shared" si="38"/>
        <v>12.551766666666666</v>
      </c>
      <c r="I1099" s="10">
        <f t="shared" si="38"/>
        <v>12.361516666666667</v>
      </c>
      <c r="J1099" s="10">
        <f t="shared" si="38"/>
        <v>12.356241666666667</v>
      </c>
      <c r="K1099" s="54">
        <f t="shared" si="38"/>
        <v>12.357616666666667</v>
      </c>
      <c r="L1099" s="10">
        <f t="shared" si="38"/>
        <v>13.138766666666669</v>
      </c>
      <c r="M1099" s="10">
        <f t="shared" si="38"/>
        <v>12.24535</v>
      </c>
      <c r="N1099" s="10">
        <f t="shared" si="38"/>
        <v>12.262408333333331</v>
      </c>
      <c r="O1099" s="10">
        <f t="shared" si="38"/>
        <v>12.438925000000003</v>
      </c>
      <c r="P1099" s="10">
        <f t="shared" si="38"/>
        <v>12.250624999999999</v>
      </c>
      <c r="Q1099" s="10">
        <f t="shared" si="38"/>
        <v>13.034225000000001</v>
      </c>
      <c r="R1099" s="10">
        <f t="shared" si="38"/>
        <v>13.653816666666666</v>
      </c>
      <c r="S1099" s="10">
        <f t="shared" si="38"/>
        <v>12.031016666666666</v>
      </c>
      <c r="T1099" s="50">
        <f>SUM(T361:T372)</f>
        <v>357.24568100000005</v>
      </c>
      <c r="U1099" s="50">
        <f>SUM(U361:U372)</f>
        <v>142.03263249999998</v>
      </c>
      <c r="V1099" s="50">
        <f>SUM(V361:V372)</f>
        <v>50.187500000000007</v>
      </c>
      <c r="W1099" s="50">
        <f>SUM(W361:W372)</f>
        <v>5.0822234999999996</v>
      </c>
      <c r="X1099" s="50">
        <f>SUM(X361:X372)</f>
        <v>20.758966663999999</v>
      </c>
      <c r="Y1099" s="50"/>
      <c r="Z1099" s="56"/>
      <c r="AA1099" s="55"/>
      <c r="AB1099" s="51">
        <f>AVERAGE(AB361:AB372)</f>
        <v>12.401322788879634</v>
      </c>
      <c r="AC1099" s="27">
        <f>AVERAGE(AC361:AC372)</f>
        <v>12.310572961630696</v>
      </c>
    </row>
    <row r="1100" spans="1:29" ht="15.75" x14ac:dyDescent="0.25">
      <c r="A1100" s="11">
        <f t="shared" si="33"/>
        <v>2043</v>
      </c>
      <c r="B1100" s="10">
        <f t="shared" ref="B1100:S1100" si="39">AVERAGE(B373:B384)</f>
        <v>12.861550000000001</v>
      </c>
      <c r="C1100" s="10">
        <f t="shared" si="39"/>
        <v>12.867716666666665</v>
      </c>
      <c r="D1100" s="10">
        <f t="shared" si="39"/>
        <v>12.999850000000002</v>
      </c>
      <c r="E1100" s="10">
        <f t="shared" si="39"/>
        <v>13.031941666666667</v>
      </c>
      <c r="F1100" s="10">
        <f t="shared" si="39"/>
        <v>12.832516666666665</v>
      </c>
      <c r="G1100" s="10">
        <f t="shared" si="39"/>
        <v>12.849750000000002</v>
      </c>
      <c r="H1100" s="10">
        <f t="shared" si="39"/>
        <v>13.021050000000001</v>
      </c>
      <c r="I1100" s="10">
        <f t="shared" si="39"/>
        <v>12.830791666666668</v>
      </c>
      <c r="J1100" s="10">
        <f t="shared" si="39"/>
        <v>12.825516666666667</v>
      </c>
      <c r="K1100" s="54">
        <f t="shared" si="39"/>
        <v>12.8269</v>
      </c>
      <c r="L1100" s="10">
        <f t="shared" si="39"/>
        <v>13.608049999999997</v>
      </c>
      <c r="M1100" s="10">
        <f t="shared" si="39"/>
        <v>12.709908333333331</v>
      </c>
      <c r="N1100" s="10">
        <f t="shared" si="39"/>
        <v>12.726958333333334</v>
      </c>
      <c r="O1100" s="10">
        <f t="shared" si="39"/>
        <v>12.903483333333334</v>
      </c>
      <c r="P1100" s="10">
        <f t="shared" si="39"/>
        <v>12.715166666666669</v>
      </c>
      <c r="Q1100" s="10">
        <f t="shared" si="39"/>
        <v>13.498783333333336</v>
      </c>
      <c r="R1100" s="10">
        <f t="shared" si="39"/>
        <v>14.119533333333331</v>
      </c>
      <c r="S1100" s="10">
        <f t="shared" si="39"/>
        <v>12.486741666666669</v>
      </c>
      <c r="T1100" s="50">
        <f>SUM(T373:T384)</f>
        <v>357.24568100000005</v>
      </c>
      <c r="U1100" s="50">
        <f>SUM(U373:U384)</f>
        <v>142.03263249999998</v>
      </c>
      <c r="V1100" s="50">
        <f>SUM(V373:V384)</f>
        <v>50.187500000000007</v>
      </c>
      <c r="W1100" s="50">
        <f>SUM(W373:W384)</f>
        <v>5.0822234999999996</v>
      </c>
      <c r="X1100" s="50">
        <f>SUM(X373:X384)</f>
        <v>20.758966663999999</v>
      </c>
      <c r="Y1100" s="50"/>
      <c r="Z1100" s="56"/>
      <c r="AA1100" s="55"/>
      <c r="AB1100" s="51">
        <f>AVERAGE(AB373:AB384)</f>
        <v>12.870609784771718</v>
      </c>
      <c r="AC1100" s="27">
        <f>AVERAGE(AC373:AC384)</f>
        <v>12.775128417266187</v>
      </c>
    </row>
    <row r="1101" spans="1:29" ht="15.75" x14ac:dyDescent="0.25">
      <c r="A1101" s="11">
        <f t="shared" si="33"/>
        <v>2044</v>
      </c>
      <c r="B1101" s="10">
        <f t="shared" ref="B1101:S1101" si="40">AVERAGE(B385:B396)</f>
        <v>13.348616666666665</v>
      </c>
      <c r="C1101" s="10">
        <f t="shared" si="40"/>
        <v>13.354774999999998</v>
      </c>
      <c r="D1101" s="10">
        <f t="shared" si="40"/>
        <v>13.4869</v>
      </c>
      <c r="E1101" s="10">
        <f t="shared" si="40"/>
        <v>13.518991666666667</v>
      </c>
      <c r="F1101" s="10">
        <f t="shared" si="40"/>
        <v>13.319566666666665</v>
      </c>
      <c r="G1101" s="10">
        <f t="shared" si="40"/>
        <v>13.336800000000002</v>
      </c>
      <c r="H1101" s="10">
        <f t="shared" si="40"/>
        <v>13.508116666666666</v>
      </c>
      <c r="I1101" s="10">
        <f t="shared" si="40"/>
        <v>13.317841666666666</v>
      </c>
      <c r="J1101" s="10">
        <f t="shared" si="40"/>
        <v>13.312566666666669</v>
      </c>
      <c r="K1101" s="54">
        <f t="shared" si="40"/>
        <v>13.313966666666666</v>
      </c>
      <c r="L1101" s="10">
        <f t="shared" si="40"/>
        <v>14.095116666666669</v>
      </c>
      <c r="M1101" s="10">
        <f t="shared" si="40"/>
        <v>13.19205</v>
      </c>
      <c r="N1101" s="10">
        <f t="shared" si="40"/>
        <v>13.209108333333333</v>
      </c>
      <c r="O1101" s="10">
        <f t="shared" si="40"/>
        <v>13.385625000000003</v>
      </c>
      <c r="P1101" s="10">
        <f t="shared" si="40"/>
        <v>13.197324999999999</v>
      </c>
      <c r="Q1101" s="10">
        <f t="shared" si="40"/>
        <v>13.980924999999999</v>
      </c>
      <c r="R1101" s="10">
        <f t="shared" si="40"/>
        <v>14.602891666666666</v>
      </c>
      <c r="S1101" s="10">
        <f t="shared" si="40"/>
        <v>12.959716666666667</v>
      </c>
      <c r="T1101" s="50">
        <f>SUM(T385:T396)</f>
        <v>358.17703550000004</v>
      </c>
      <c r="U1101" s="50">
        <f>SUM(U385:U396)</f>
        <v>142.42176299999997</v>
      </c>
      <c r="V1101" s="50">
        <f>SUM(V385:V396)</f>
        <v>50.325000000000003</v>
      </c>
      <c r="W1101" s="50">
        <f>SUM(W385:W396)</f>
        <v>5.0961473999999995</v>
      </c>
      <c r="X1101" s="50">
        <f>SUM(X385:X396)</f>
        <v>20.800615543999996</v>
      </c>
      <c r="Y1101" s="50"/>
      <c r="Z1101" s="56"/>
      <c r="AA1101" s="55"/>
      <c r="AB1101" s="51">
        <f>AVERAGE(AB385:AB396)</f>
        <v>13.35766424977156</v>
      </c>
      <c r="AC1101" s="27">
        <f>AVERAGE(AC385:AC396)</f>
        <v>13.257272961630697</v>
      </c>
    </row>
    <row r="1102" spans="1:29" ht="15.75" x14ac:dyDescent="0.25">
      <c r="A1102" s="11">
        <f t="shared" si="33"/>
        <v>2045</v>
      </c>
      <c r="B1102" s="10">
        <f t="shared" ref="B1102:S1102" si="41">AVERAGE(B397:B408)</f>
        <v>13.854133333333332</v>
      </c>
      <c r="C1102" s="10">
        <f t="shared" si="41"/>
        <v>13.860283333333333</v>
      </c>
      <c r="D1102" s="10">
        <f t="shared" si="41"/>
        <v>13.992408333333335</v>
      </c>
      <c r="E1102" s="10">
        <f t="shared" si="41"/>
        <v>14.024516666666665</v>
      </c>
      <c r="F1102" s="10">
        <f t="shared" si="41"/>
        <v>13.825083333333334</v>
      </c>
      <c r="G1102" s="10">
        <f t="shared" si="41"/>
        <v>13.842316666666667</v>
      </c>
      <c r="H1102" s="10">
        <f t="shared" si="41"/>
        <v>14.013641666666667</v>
      </c>
      <c r="I1102" s="10">
        <f t="shared" si="41"/>
        <v>13.823358333333331</v>
      </c>
      <c r="J1102" s="10">
        <f t="shared" si="41"/>
        <v>13.818083333333332</v>
      </c>
      <c r="K1102" s="54">
        <f t="shared" si="41"/>
        <v>13.819483333333332</v>
      </c>
      <c r="L1102" s="10">
        <f t="shared" si="41"/>
        <v>14.600641666666663</v>
      </c>
      <c r="M1102" s="10">
        <f t="shared" si="41"/>
        <v>13.692458333333335</v>
      </c>
      <c r="N1102" s="10">
        <f t="shared" si="41"/>
        <v>13.709533333333335</v>
      </c>
      <c r="O1102" s="10">
        <f t="shared" si="41"/>
        <v>13.886033333333335</v>
      </c>
      <c r="P1102" s="10">
        <f t="shared" si="41"/>
        <v>13.697733333333332</v>
      </c>
      <c r="Q1102" s="10">
        <f t="shared" si="41"/>
        <v>14.481333333333334</v>
      </c>
      <c r="R1102" s="10">
        <f t="shared" si="41"/>
        <v>15.104533333333331</v>
      </c>
      <c r="S1102" s="10">
        <f t="shared" si="41"/>
        <v>13.450625000000002</v>
      </c>
      <c r="T1102" s="50">
        <f>SUM(T397:T408)</f>
        <v>357.24568100000005</v>
      </c>
      <c r="U1102" s="50">
        <f>SUM(U397:U408)</f>
        <v>142.03263249999998</v>
      </c>
      <c r="V1102" s="50">
        <f>SUM(V397:V408)</f>
        <v>50.187500000000007</v>
      </c>
      <c r="W1102" s="50">
        <f>SUM(W397:W408)</f>
        <v>5.0822234999999996</v>
      </c>
      <c r="X1102" s="50">
        <f>SUM(X397:X408)</f>
        <v>20.758966663999999</v>
      </c>
      <c r="Y1102" s="50"/>
      <c r="Z1102" s="56"/>
      <c r="AA1102" s="55"/>
      <c r="AB1102" s="51">
        <f>AVERAGE(AB397:AB408)</f>
        <v>13.863178146770734</v>
      </c>
      <c r="AC1102" s="27">
        <f>AVERAGE(AC397:AC408)</f>
        <v>13.757683693045564</v>
      </c>
    </row>
    <row r="1103" spans="1:29" ht="15.75" x14ac:dyDescent="0.25">
      <c r="A1103" s="11">
        <f t="shared" si="33"/>
        <v>2046</v>
      </c>
      <c r="B1103" s="10">
        <f t="shared" ref="B1103:S1103" si="42">AVERAGE(B409:B420)</f>
        <v>14.3788</v>
      </c>
      <c r="C1103" s="10">
        <f t="shared" si="42"/>
        <v>14.384941666666668</v>
      </c>
      <c r="D1103" s="10">
        <f t="shared" si="42"/>
        <v>14.517066666666667</v>
      </c>
      <c r="E1103" s="10">
        <f t="shared" si="42"/>
        <v>14.549175000000004</v>
      </c>
      <c r="F1103" s="10">
        <f t="shared" si="42"/>
        <v>14.349766666666666</v>
      </c>
      <c r="G1103" s="10">
        <f t="shared" si="42"/>
        <v>14.366991666666664</v>
      </c>
      <c r="H1103" s="10">
        <f t="shared" si="42"/>
        <v>14.538291666666671</v>
      </c>
      <c r="I1103" s="10">
        <f t="shared" si="42"/>
        <v>14.348033333333333</v>
      </c>
      <c r="J1103" s="10">
        <f t="shared" si="42"/>
        <v>14.342766666666668</v>
      </c>
      <c r="K1103" s="54">
        <f t="shared" si="42"/>
        <v>14.344150000000001</v>
      </c>
      <c r="L1103" s="10">
        <f t="shared" si="42"/>
        <v>15.125291666666667</v>
      </c>
      <c r="M1103" s="10">
        <f t="shared" si="42"/>
        <v>14.211841666666666</v>
      </c>
      <c r="N1103" s="10">
        <f t="shared" si="42"/>
        <v>14.228883333333334</v>
      </c>
      <c r="O1103" s="10">
        <f t="shared" si="42"/>
        <v>14.405408333333334</v>
      </c>
      <c r="P1103" s="10">
        <f t="shared" si="42"/>
        <v>14.217091666666668</v>
      </c>
      <c r="Q1103" s="10">
        <f t="shared" si="42"/>
        <v>15.000708333333334</v>
      </c>
      <c r="R1103" s="10">
        <f t="shared" si="42"/>
        <v>15.625208333333335</v>
      </c>
      <c r="S1103" s="10">
        <f t="shared" si="42"/>
        <v>13.960124999999998</v>
      </c>
      <c r="T1103" s="50">
        <f>SUM(T409:T420)</f>
        <v>357.24568100000005</v>
      </c>
      <c r="U1103" s="50">
        <f>SUM(U409:U420)</f>
        <v>142.03263249999998</v>
      </c>
      <c r="V1103" s="50">
        <f>SUM(V409:V420)</f>
        <v>50.187500000000007</v>
      </c>
      <c r="W1103" s="50">
        <f>SUM(W409:W420)</f>
        <v>5.0822234999999996</v>
      </c>
      <c r="X1103" s="50">
        <f>SUM(X409:X420)</f>
        <v>20.758966663999999</v>
      </c>
      <c r="Y1103" s="50"/>
      <c r="Z1103" s="56"/>
      <c r="AA1103" s="55"/>
      <c r="AB1103" s="51">
        <f>AVERAGE(AB409:AB420)</f>
        <v>14.38784824468137</v>
      </c>
      <c r="AC1103" s="27">
        <f>AVERAGE(AC409:AC420)</f>
        <v>14.277056294964028</v>
      </c>
    </row>
    <row r="1104" spans="1:29" ht="15.75" x14ac:dyDescent="0.25">
      <c r="A1104" s="11">
        <f t="shared" si="33"/>
        <v>2047</v>
      </c>
      <c r="B1104" s="10">
        <f t="shared" ref="B1104:S1104" si="43">AVERAGE(B421:B432)</f>
        <v>14.923316666666667</v>
      </c>
      <c r="C1104" s="10">
        <f t="shared" si="43"/>
        <v>14.929483333333335</v>
      </c>
      <c r="D1104" s="10">
        <f t="shared" si="43"/>
        <v>15.061616666666666</v>
      </c>
      <c r="E1104" s="10">
        <f t="shared" si="43"/>
        <v>15.093708333333332</v>
      </c>
      <c r="F1104" s="10">
        <f t="shared" si="43"/>
        <v>14.894283333333332</v>
      </c>
      <c r="G1104" s="10">
        <f t="shared" si="43"/>
        <v>14.911508333333332</v>
      </c>
      <c r="H1104" s="10">
        <f t="shared" si="43"/>
        <v>15.082825000000001</v>
      </c>
      <c r="I1104" s="10">
        <f t="shared" si="43"/>
        <v>14.892566666666667</v>
      </c>
      <c r="J1104" s="10">
        <f t="shared" si="43"/>
        <v>14.887283333333331</v>
      </c>
      <c r="K1104" s="54">
        <f t="shared" si="43"/>
        <v>14.888674999999997</v>
      </c>
      <c r="L1104" s="10">
        <f t="shared" si="43"/>
        <v>15.669825000000003</v>
      </c>
      <c r="M1104" s="10">
        <f t="shared" si="43"/>
        <v>14.750883333333332</v>
      </c>
      <c r="N1104" s="10">
        <f t="shared" si="43"/>
        <v>14.767924999999998</v>
      </c>
      <c r="O1104" s="10">
        <f t="shared" si="43"/>
        <v>14.944441666666664</v>
      </c>
      <c r="P1104" s="10">
        <f t="shared" si="43"/>
        <v>14.756158333333337</v>
      </c>
      <c r="Q1104" s="10">
        <f t="shared" si="43"/>
        <v>15.539741666666666</v>
      </c>
      <c r="R1104" s="10">
        <f t="shared" si="43"/>
        <v>16.165599999999998</v>
      </c>
      <c r="S1104" s="10">
        <f t="shared" si="43"/>
        <v>14.488933333333334</v>
      </c>
      <c r="T1104" s="50">
        <f>SUM(T421:T432)</f>
        <v>357.24568100000005</v>
      </c>
      <c r="U1104" s="50">
        <f>SUM(U421:U432)</f>
        <v>142.03263249999998</v>
      </c>
      <c r="V1104" s="50">
        <f>SUM(V421:V432)</f>
        <v>50.187500000000007</v>
      </c>
      <c r="W1104" s="50">
        <f>SUM(W421:W432)</f>
        <v>5.0822234999999996</v>
      </c>
      <c r="X1104" s="50">
        <f>SUM(X421:X432)</f>
        <v>20.758966663999999</v>
      </c>
      <c r="Y1104" s="50"/>
      <c r="Z1104" s="56"/>
      <c r="AA1104" s="55"/>
      <c r="AB1104" s="51">
        <f>AVERAGE(AB421:AB432)</f>
        <v>14.932376452705071</v>
      </c>
      <c r="AC1104" s="27">
        <f>AVERAGE(AC421:AC432)</f>
        <v>14.816099220623501</v>
      </c>
    </row>
    <row r="1105" spans="1:29" ht="15.75" x14ac:dyDescent="0.25">
      <c r="A1105" s="11">
        <f t="shared" si="33"/>
        <v>2048</v>
      </c>
      <c r="B1105" s="10">
        <f t="shared" ref="B1105:S1105" si="44">AVERAGE(B433:B444)</f>
        <v>15.488483333333335</v>
      </c>
      <c r="C1105" s="10">
        <f t="shared" si="44"/>
        <v>15.494641666666668</v>
      </c>
      <c r="D1105" s="10">
        <f t="shared" si="44"/>
        <v>15.626791666666664</v>
      </c>
      <c r="E1105" s="10">
        <f t="shared" si="44"/>
        <v>15.658866666666668</v>
      </c>
      <c r="F1105" s="10">
        <f t="shared" si="44"/>
        <v>15.459450000000004</v>
      </c>
      <c r="G1105" s="10">
        <f t="shared" si="44"/>
        <v>15.476675</v>
      </c>
      <c r="H1105" s="10">
        <f t="shared" si="44"/>
        <v>15.647991666666668</v>
      </c>
      <c r="I1105" s="10">
        <f t="shared" si="44"/>
        <v>15.457741666666665</v>
      </c>
      <c r="J1105" s="10">
        <f t="shared" si="44"/>
        <v>15.452450000000001</v>
      </c>
      <c r="K1105" s="54">
        <f t="shared" si="44"/>
        <v>15.453841666666667</v>
      </c>
      <c r="L1105" s="10">
        <f t="shared" si="44"/>
        <v>16.234991666666666</v>
      </c>
      <c r="M1105" s="10">
        <f t="shared" si="44"/>
        <v>15.31035</v>
      </c>
      <c r="N1105" s="10">
        <f t="shared" si="44"/>
        <v>15.327399999999997</v>
      </c>
      <c r="O1105" s="10">
        <f t="shared" si="44"/>
        <v>15.503908333333333</v>
      </c>
      <c r="P1105" s="10">
        <f t="shared" si="44"/>
        <v>15.315608333333335</v>
      </c>
      <c r="Q1105" s="10">
        <f t="shared" si="44"/>
        <v>16.099208333333333</v>
      </c>
      <c r="R1105" s="10">
        <f t="shared" si="44"/>
        <v>16.726450000000003</v>
      </c>
      <c r="S1105" s="10">
        <f t="shared" si="44"/>
        <v>15.037758333333334</v>
      </c>
      <c r="T1105" s="50">
        <f>SUM(T433:T444)</f>
        <v>358.17703550000004</v>
      </c>
      <c r="U1105" s="50">
        <f>SUM(U433:U444)</f>
        <v>142.42176299999997</v>
      </c>
      <c r="V1105" s="50">
        <f>SUM(V433:V444)</f>
        <v>50.325000000000003</v>
      </c>
      <c r="W1105" s="50">
        <f>SUM(W433:W444)</f>
        <v>5.0961473999999995</v>
      </c>
      <c r="X1105" s="50">
        <f>SUM(X433:X444)</f>
        <v>20.800615543999996</v>
      </c>
      <c r="Y1105" s="50"/>
      <c r="Z1105" s="56"/>
      <c r="AA1105" s="55"/>
      <c r="AB1105" s="51">
        <f>AVERAGE(AB433:AB444)</f>
        <v>15.497542205890339</v>
      </c>
      <c r="AC1105" s="27">
        <f>AVERAGE(AC433:AC444)</f>
        <v>15.375565407673863</v>
      </c>
    </row>
    <row r="1106" spans="1:29" ht="15.75" x14ac:dyDescent="0.25">
      <c r="A1106" s="11">
        <f t="shared" si="33"/>
        <v>2049</v>
      </c>
      <c r="B1106" s="10">
        <f t="shared" ref="B1106:S1106" si="45">AVERAGE(B445:B456)</f>
        <v>16.075083333333335</v>
      </c>
      <c r="C1106" s="10">
        <f t="shared" si="45"/>
        <v>16.081216666666666</v>
      </c>
      <c r="D1106" s="10">
        <f t="shared" si="45"/>
        <v>16.213341666666668</v>
      </c>
      <c r="E1106" s="10">
        <f t="shared" si="45"/>
        <v>16.245441666666668</v>
      </c>
      <c r="F1106" s="10">
        <f t="shared" si="45"/>
        <v>16.046041666666667</v>
      </c>
      <c r="G1106" s="10">
        <f t="shared" si="45"/>
        <v>16.063258333333334</v>
      </c>
      <c r="H1106" s="10">
        <f t="shared" si="45"/>
        <v>16.234575000000003</v>
      </c>
      <c r="I1106" s="10">
        <f t="shared" si="45"/>
        <v>16.044316666666667</v>
      </c>
      <c r="J1106" s="10">
        <f t="shared" si="45"/>
        <v>16.039041666666666</v>
      </c>
      <c r="K1106" s="54">
        <f t="shared" si="45"/>
        <v>16.040433333333333</v>
      </c>
      <c r="L1106" s="10">
        <f t="shared" si="45"/>
        <v>16.821574999999999</v>
      </c>
      <c r="M1106" s="10">
        <f t="shared" si="45"/>
        <v>15.890999999999998</v>
      </c>
      <c r="N1106" s="10">
        <f t="shared" si="45"/>
        <v>15.908049999999998</v>
      </c>
      <c r="O1106" s="10">
        <f t="shared" si="45"/>
        <v>16.084566666666664</v>
      </c>
      <c r="P1106" s="10">
        <f t="shared" si="45"/>
        <v>15.896266666666667</v>
      </c>
      <c r="Q1106" s="10">
        <f t="shared" si="45"/>
        <v>16.679866666666666</v>
      </c>
      <c r="R1106" s="10">
        <f t="shared" si="45"/>
        <v>17.308566666666668</v>
      </c>
      <c r="S1106" s="10">
        <f t="shared" si="45"/>
        <v>15.607391666666665</v>
      </c>
      <c r="T1106" s="50">
        <f>SUM(T445:T456)</f>
        <v>357.24568100000005</v>
      </c>
      <c r="U1106" s="50">
        <f>SUM(U445:U456)</f>
        <v>142.03263249999998</v>
      </c>
      <c r="V1106" s="50">
        <f>SUM(V445:V456)</f>
        <v>50.187500000000007</v>
      </c>
      <c r="W1106" s="50">
        <f>SUM(W445:W456)</f>
        <v>5.0822234999999996</v>
      </c>
      <c r="X1106" s="50">
        <f>SUM(X445:X456)</f>
        <v>20.758966663999999</v>
      </c>
      <c r="Y1106" s="50"/>
      <c r="Z1106" s="56"/>
      <c r="AA1106" s="55"/>
      <c r="AB1106" s="51">
        <f>AVERAGE(AB445:AB456)</f>
        <v>16.084123443485804</v>
      </c>
      <c r="AC1106" s="27">
        <f>AVERAGE(AC445:AC456)</f>
        <v>15.956220383693042</v>
      </c>
    </row>
    <row r="1107" spans="1:29" ht="15.75" x14ac:dyDescent="0.25">
      <c r="A1107" s="11">
        <f t="shared" si="33"/>
        <v>2050</v>
      </c>
      <c r="B1107" s="10">
        <f t="shared" ref="B1107:S1107" si="46">AVERAGE(B457:B468)</f>
        <v>16.683849999999996</v>
      </c>
      <c r="C1107" s="10">
        <f t="shared" si="46"/>
        <v>16.690016666666665</v>
      </c>
      <c r="D1107" s="10">
        <f t="shared" si="46"/>
        <v>16.822158333333331</v>
      </c>
      <c r="E1107" s="10">
        <f t="shared" si="46"/>
        <v>16.854249999999997</v>
      </c>
      <c r="F1107" s="10">
        <f t="shared" si="46"/>
        <v>16.654816666666665</v>
      </c>
      <c r="G1107" s="10">
        <f t="shared" si="46"/>
        <v>16.672050000000002</v>
      </c>
      <c r="H1107" s="10">
        <f t="shared" si="46"/>
        <v>16.843366666666665</v>
      </c>
      <c r="I1107" s="10">
        <f t="shared" si="46"/>
        <v>16.653116666666662</v>
      </c>
      <c r="J1107" s="10">
        <f t="shared" si="46"/>
        <v>16.647816666666667</v>
      </c>
      <c r="K1107" s="54">
        <f t="shared" si="46"/>
        <v>16.649225000000001</v>
      </c>
      <c r="L1107" s="10">
        <f t="shared" si="46"/>
        <v>17.430366666666664</v>
      </c>
      <c r="M1107" s="10">
        <f t="shared" si="46"/>
        <v>16.493658333333332</v>
      </c>
      <c r="N1107" s="10">
        <f t="shared" si="46"/>
        <v>16.510708333333334</v>
      </c>
      <c r="O1107" s="10">
        <f t="shared" si="46"/>
        <v>16.687216666666668</v>
      </c>
      <c r="P1107" s="10">
        <f t="shared" si="46"/>
        <v>16.49891666666667</v>
      </c>
      <c r="Q1107" s="10">
        <f t="shared" si="46"/>
        <v>17.282516666666666</v>
      </c>
      <c r="R1107" s="10">
        <f t="shared" si="46"/>
        <v>17.912716666666672</v>
      </c>
      <c r="S1107" s="10">
        <f t="shared" si="46"/>
        <v>16.198574999999998</v>
      </c>
      <c r="T1107" s="50">
        <f>SUM(T457:T468)</f>
        <v>357.24568100000005</v>
      </c>
      <c r="U1107" s="50">
        <f>SUM(U457:U468)</f>
        <v>142.03263249999998</v>
      </c>
      <c r="V1107" s="50">
        <f>SUM(V457:V468)</f>
        <v>50.187500000000007</v>
      </c>
      <c r="W1107" s="50">
        <f>SUM(W457:W468)</f>
        <v>5.0822234999999996</v>
      </c>
      <c r="X1107" s="50">
        <f>SUM(X457:X468)</f>
        <v>20.758966663999999</v>
      </c>
      <c r="Y1107" s="50"/>
      <c r="Z1107" s="56"/>
      <c r="AA1107" s="55"/>
      <c r="AB1107" s="51">
        <f>AVERAGE(AB457:AB468)</f>
        <v>16.692913717839829</v>
      </c>
      <c r="AC1107" s="27">
        <f>AVERAGE(AC457:AC468)</f>
        <v>16.558870863309352</v>
      </c>
    </row>
    <row r="1108" spans="1:29" ht="15.75" x14ac:dyDescent="0.25">
      <c r="A1108" s="11">
        <f t="shared" si="33"/>
        <v>2051</v>
      </c>
      <c r="B1108" s="10">
        <f t="shared" ref="B1108:S1108" si="47">AVERAGE(B469:B480)</f>
        <v>17.315716666666667</v>
      </c>
      <c r="C1108" s="10">
        <f t="shared" si="47"/>
        <v>17.321908333333333</v>
      </c>
      <c r="D1108" s="10">
        <f t="shared" si="47"/>
        <v>17.454033333333332</v>
      </c>
      <c r="E1108" s="10">
        <f t="shared" si="47"/>
        <v>17.48610833333333</v>
      </c>
      <c r="F1108" s="10">
        <f t="shared" si="47"/>
        <v>17.286674999999999</v>
      </c>
      <c r="G1108" s="10">
        <f t="shared" si="47"/>
        <v>17.303900000000002</v>
      </c>
      <c r="H1108" s="10">
        <f t="shared" si="47"/>
        <v>17.475216666666668</v>
      </c>
      <c r="I1108" s="10">
        <f t="shared" si="47"/>
        <v>17.284958333333332</v>
      </c>
      <c r="J1108" s="10">
        <f t="shared" si="47"/>
        <v>17.279674999999997</v>
      </c>
      <c r="K1108" s="54">
        <f t="shared" si="47"/>
        <v>17.281058333333331</v>
      </c>
      <c r="L1108" s="10">
        <f t="shared" si="47"/>
        <v>18.062216666666664</v>
      </c>
      <c r="M1108" s="10">
        <f t="shared" si="47"/>
        <v>17.119125</v>
      </c>
      <c r="N1108" s="10">
        <f t="shared" si="47"/>
        <v>17.136199999999999</v>
      </c>
      <c r="O1108" s="10">
        <f t="shared" si="47"/>
        <v>17.312691666666666</v>
      </c>
      <c r="P1108" s="10">
        <f t="shared" si="47"/>
        <v>17.124408333333331</v>
      </c>
      <c r="Q1108" s="10">
        <f t="shared" si="47"/>
        <v>17.907991666666668</v>
      </c>
      <c r="R1108" s="10">
        <f t="shared" si="47"/>
        <v>18.539766666666665</v>
      </c>
      <c r="S1108" s="10">
        <f t="shared" si="47"/>
        <v>16.812183333333333</v>
      </c>
      <c r="T1108" s="50">
        <f>SUM(T469:T480)</f>
        <v>357.24568100000005</v>
      </c>
      <c r="U1108" s="50">
        <f>SUM(U469:U480)</f>
        <v>142.03263249999998</v>
      </c>
      <c r="V1108" s="50">
        <f>SUM(V469:V480)</f>
        <v>50.187500000000007</v>
      </c>
      <c r="W1108" s="50">
        <f>SUM(W469:W480)</f>
        <v>5.0822234999999996</v>
      </c>
      <c r="X1108" s="50">
        <f>SUM(X469:X480)</f>
        <v>20.758966663999999</v>
      </c>
      <c r="Y1108" s="50"/>
      <c r="Z1108" s="56"/>
      <c r="AA1108" s="55"/>
      <c r="AB1108" s="51">
        <f>AVERAGE(AB469:AB480)</f>
        <v>17.324779797448567</v>
      </c>
      <c r="AC1108" s="27">
        <f>AVERAGE(AC469:AC480)</f>
        <v>17.184352098321344</v>
      </c>
    </row>
    <row r="1109" spans="1:29" ht="15.75" x14ac:dyDescent="0.25">
      <c r="A1109" s="11">
        <f t="shared" si="33"/>
        <v>2052</v>
      </c>
      <c r="B1109" s="10">
        <f t="shared" ref="B1109:S1109" si="48">AVERAGE(B481:B492)</f>
        <v>17.97151666666667</v>
      </c>
      <c r="C1109" s="10">
        <f t="shared" si="48"/>
        <v>17.977683333333335</v>
      </c>
      <c r="D1109" s="10">
        <f t="shared" si="48"/>
        <v>18.10980833333333</v>
      </c>
      <c r="E1109" s="10">
        <f t="shared" si="48"/>
        <v>18.141900000000003</v>
      </c>
      <c r="F1109" s="10">
        <f t="shared" si="48"/>
        <v>17.942474999999998</v>
      </c>
      <c r="G1109" s="10">
        <f t="shared" si="48"/>
        <v>17.959708333333332</v>
      </c>
      <c r="H1109" s="10">
        <f t="shared" si="48"/>
        <v>18.131025000000001</v>
      </c>
      <c r="I1109" s="10">
        <f t="shared" si="48"/>
        <v>17.940749999999998</v>
      </c>
      <c r="J1109" s="10">
        <f t="shared" si="48"/>
        <v>17.935475000000004</v>
      </c>
      <c r="K1109" s="54">
        <f t="shared" si="48"/>
        <v>17.936866666666671</v>
      </c>
      <c r="L1109" s="10">
        <f t="shared" si="48"/>
        <v>18.718025000000001</v>
      </c>
      <c r="M1109" s="10">
        <f t="shared" si="48"/>
        <v>17.768308333333334</v>
      </c>
      <c r="N1109" s="10">
        <f t="shared" si="48"/>
        <v>17.785349999999998</v>
      </c>
      <c r="O1109" s="10">
        <f t="shared" si="48"/>
        <v>17.961849999999998</v>
      </c>
      <c r="P1109" s="10">
        <f t="shared" si="48"/>
        <v>17.773583333333331</v>
      </c>
      <c r="Q1109" s="10">
        <f t="shared" si="48"/>
        <v>18.557150000000004</v>
      </c>
      <c r="R1109" s="10">
        <f t="shared" si="48"/>
        <v>19.190583333333336</v>
      </c>
      <c r="S1109" s="10">
        <f t="shared" si="48"/>
        <v>17.449016666666665</v>
      </c>
      <c r="T1109" s="50">
        <f>SUM(T481:T492)</f>
        <v>358.17703550000004</v>
      </c>
      <c r="U1109" s="50">
        <f>SUM(U481:U492)</f>
        <v>142.42176299999997</v>
      </c>
      <c r="V1109" s="50">
        <f>SUM(V481:V492)</f>
        <v>50.325000000000003</v>
      </c>
      <c r="W1109" s="50">
        <f>SUM(W481:W492)</f>
        <v>5.0961473999999995</v>
      </c>
      <c r="X1109" s="50">
        <f>SUM(X481:X492)</f>
        <v>20.800615543999996</v>
      </c>
      <c r="Y1109" s="50"/>
      <c r="Z1109" s="56"/>
      <c r="AA1109" s="55"/>
      <c r="AB1109" s="51">
        <f>AVERAGE(AB481:AB492)</f>
        <v>17.980571379163283</v>
      </c>
      <c r="AC1109" s="27">
        <f>AVERAGE(AC481:AC492)</f>
        <v>17.833518105515587</v>
      </c>
    </row>
    <row r="1110" spans="1:29" ht="15.75" x14ac:dyDescent="0.25">
      <c r="A1110" s="11">
        <f t="shared" si="33"/>
        <v>2053</v>
      </c>
      <c r="B1110" s="10">
        <f t="shared" ref="B1110:S1110" si="49">AVERAGE(B493:B504)</f>
        <v>18.652150000000002</v>
      </c>
      <c r="C1110" s="10">
        <f t="shared" si="49"/>
        <v>18.658316666666668</v>
      </c>
      <c r="D1110" s="10">
        <f t="shared" si="49"/>
        <v>18.790433333333336</v>
      </c>
      <c r="E1110" s="10">
        <f t="shared" si="49"/>
        <v>18.82254166666667</v>
      </c>
      <c r="F1110" s="10">
        <f t="shared" si="49"/>
        <v>18.623133333333332</v>
      </c>
      <c r="G1110" s="10">
        <f t="shared" si="49"/>
        <v>18.640350000000002</v>
      </c>
      <c r="H1110" s="10">
        <f t="shared" si="49"/>
        <v>18.81165833333333</v>
      </c>
      <c r="I1110" s="10">
        <f t="shared" si="49"/>
        <v>18.621408333333331</v>
      </c>
      <c r="J1110" s="10">
        <f t="shared" si="49"/>
        <v>18.616133333333334</v>
      </c>
      <c r="K1110" s="54">
        <f t="shared" si="49"/>
        <v>18.617508333333337</v>
      </c>
      <c r="L1110" s="10">
        <f t="shared" si="49"/>
        <v>19.398658333333334</v>
      </c>
      <c r="M1110" s="10">
        <f t="shared" si="49"/>
        <v>18.442058333333332</v>
      </c>
      <c r="N1110" s="10">
        <f t="shared" si="49"/>
        <v>18.459141666666667</v>
      </c>
      <c r="O1110" s="10">
        <f t="shared" si="49"/>
        <v>18.635650000000002</v>
      </c>
      <c r="P1110" s="10">
        <f t="shared" si="49"/>
        <v>18.447333333333329</v>
      </c>
      <c r="Q1110" s="10">
        <f t="shared" si="49"/>
        <v>19.230950000000004</v>
      </c>
      <c r="R1110" s="10">
        <f t="shared" si="49"/>
        <v>19.866016666666663</v>
      </c>
      <c r="S1110" s="10">
        <f t="shared" si="49"/>
        <v>18.11</v>
      </c>
      <c r="T1110" s="50">
        <f>SUM(T493:T504)</f>
        <v>357.24568100000005</v>
      </c>
      <c r="U1110" s="50">
        <f>SUM(U493:U504)</f>
        <v>142.03263249999998</v>
      </c>
      <c r="V1110" s="50">
        <f>SUM(V493:V504)</f>
        <v>50.187500000000007</v>
      </c>
      <c r="W1110" s="50">
        <f>SUM(W493:W504)</f>
        <v>5.0822234999999996</v>
      </c>
      <c r="X1110" s="50">
        <f>SUM(X493:X504)</f>
        <v>20.758966663999999</v>
      </c>
      <c r="Y1110" s="50"/>
      <c r="Z1110" s="56"/>
      <c r="AA1110" s="55"/>
      <c r="AB1110" s="51">
        <f>AVERAGE(AB493:AB504)</f>
        <v>18.661214371969127</v>
      </c>
      <c r="AC1110" s="27">
        <f>AVERAGE(AC493:AC504)</f>
        <v>18.507290287769781</v>
      </c>
    </row>
    <row r="1111" spans="1:29" ht="15.75" x14ac:dyDescent="0.25">
      <c r="A1111" s="11">
        <f t="shared" si="33"/>
        <v>2054</v>
      </c>
      <c r="B1111" s="10">
        <f t="shared" ref="B1111:S1111" si="50">AVERAGE(B505:B516)</f>
        <v>19.358583333333332</v>
      </c>
      <c r="C1111" s="10">
        <f t="shared" si="50"/>
        <v>19.364733333333334</v>
      </c>
      <c r="D1111" s="10">
        <f t="shared" si="50"/>
        <v>19.496858333333332</v>
      </c>
      <c r="E1111" s="10">
        <f t="shared" si="50"/>
        <v>19.528958333333332</v>
      </c>
      <c r="F1111" s="10">
        <f t="shared" si="50"/>
        <v>19.329525</v>
      </c>
      <c r="G1111" s="10">
        <f t="shared" si="50"/>
        <v>19.34675833333333</v>
      </c>
      <c r="H1111" s="10">
        <f t="shared" si="50"/>
        <v>19.518075</v>
      </c>
      <c r="I1111" s="10">
        <f t="shared" si="50"/>
        <v>19.327825000000001</v>
      </c>
      <c r="J1111" s="10">
        <f t="shared" si="50"/>
        <v>19.322525000000002</v>
      </c>
      <c r="K1111" s="54">
        <f t="shared" si="50"/>
        <v>19.323933333333333</v>
      </c>
      <c r="L1111" s="10">
        <f t="shared" si="50"/>
        <v>20.105074999999996</v>
      </c>
      <c r="M1111" s="10">
        <f t="shared" si="50"/>
        <v>19.141366666666666</v>
      </c>
      <c r="N1111" s="10">
        <f t="shared" si="50"/>
        <v>19.158425000000001</v>
      </c>
      <c r="O1111" s="10">
        <f t="shared" si="50"/>
        <v>19.334933333333336</v>
      </c>
      <c r="P1111" s="10">
        <f t="shared" si="50"/>
        <v>19.146633333333337</v>
      </c>
      <c r="Q1111" s="10">
        <f t="shared" si="50"/>
        <v>19.93023333333333</v>
      </c>
      <c r="R1111" s="10">
        <f t="shared" si="50"/>
        <v>20.567066666666665</v>
      </c>
      <c r="S1111" s="10">
        <f t="shared" si="50"/>
        <v>18.795999999999996</v>
      </c>
      <c r="T1111" s="50">
        <f>SUM(T505:T516)</f>
        <v>357.24568100000005</v>
      </c>
      <c r="U1111" s="50">
        <f>SUM(U505:U516)</f>
        <v>142.03263249999998</v>
      </c>
      <c r="V1111" s="50">
        <f>SUM(V505:V516)</f>
        <v>50.187500000000007</v>
      </c>
      <c r="W1111" s="50">
        <f>SUM(W505:W516)</f>
        <v>5.0822234999999996</v>
      </c>
      <c r="X1111" s="50">
        <f>SUM(X505:X516)</f>
        <v>20.758966663999999</v>
      </c>
      <c r="Y1111" s="50"/>
      <c r="Z1111" s="53"/>
      <c r="AA1111" s="52"/>
      <c r="AB1111" s="51">
        <f>AVERAGE(AB505:AB516)</f>
        <v>19.367626069354987</v>
      </c>
      <c r="AC1111" s="27">
        <f>AVERAGE(AC505:AC516)</f>
        <v>19.206587529976016</v>
      </c>
    </row>
    <row r="1112" spans="1:29" ht="15.75" x14ac:dyDescent="0.25">
      <c r="A1112" s="11">
        <f t="shared" si="33"/>
        <v>2055</v>
      </c>
      <c r="B1112" s="10">
        <f t="shared" ref="B1112:S1112" si="51">AVERAGE(B517:B528)</f>
        <v>20.091766666666668</v>
      </c>
      <c r="C1112" s="10">
        <f t="shared" si="51"/>
        <v>20.097925</v>
      </c>
      <c r="D1112" s="10">
        <f t="shared" si="51"/>
        <v>20.230049999999995</v>
      </c>
      <c r="E1112" s="10">
        <f t="shared" si="51"/>
        <v>20.262166666666669</v>
      </c>
      <c r="F1112" s="10">
        <f t="shared" si="51"/>
        <v>20.062716666666667</v>
      </c>
      <c r="G1112" s="10">
        <f t="shared" si="51"/>
        <v>20.079941666666667</v>
      </c>
      <c r="H1112" s="10">
        <f t="shared" si="51"/>
        <v>20.251266666666663</v>
      </c>
      <c r="I1112" s="10">
        <f t="shared" si="51"/>
        <v>20.060991666666666</v>
      </c>
      <c r="J1112" s="10">
        <f t="shared" si="51"/>
        <v>20.055716666666665</v>
      </c>
      <c r="K1112" s="54">
        <f t="shared" si="51"/>
        <v>20.057108333333336</v>
      </c>
      <c r="L1112" s="10">
        <f t="shared" si="51"/>
        <v>20.838266666666669</v>
      </c>
      <c r="M1112" s="10">
        <f t="shared" si="51"/>
        <v>19.867158333333332</v>
      </c>
      <c r="N1112" s="10">
        <f t="shared" si="51"/>
        <v>19.884216666666667</v>
      </c>
      <c r="O1112" s="10">
        <f t="shared" si="51"/>
        <v>20.060716666666668</v>
      </c>
      <c r="P1112" s="10">
        <f t="shared" si="51"/>
        <v>19.872408333333336</v>
      </c>
      <c r="Q1112" s="10">
        <f t="shared" si="51"/>
        <v>20.65601666666667</v>
      </c>
      <c r="R1112" s="10">
        <f t="shared" si="51"/>
        <v>21.294675000000002</v>
      </c>
      <c r="S1112" s="10">
        <f t="shared" si="51"/>
        <v>19.507991666666666</v>
      </c>
      <c r="T1112" s="50">
        <f>SUM(T517:T528)</f>
        <v>357.24568100000005</v>
      </c>
      <c r="U1112" s="50">
        <f>SUM(U517:U528)</f>
        <v>142.03263249999998</v>
      </c>
      <c r="V1112" s="50">
        <f>SUM(V517:V528)</f>
        <v>50.187500000000007</v>
      </c>
      <c r="W1112" s="50">
        <f>SUM(W517:W528)</f>
        <v>5.0822234999999996</v>
      </c>
      <c r="X1112" s="50">
        <f>SUM(X517:X528)</f>
        <v>20.758966663999999</v>
      </c>
      <c r="Y1112" s="50"/>
      <c r="Z1112" s="53"/>
      <c r="AA1112" s="52"/>
      <c r="AB1112" s="51">
        <f>AVERAGE(AB517:AB528)</f>
        <v>20.10081429856152</v>
      </c>
      <c r="AC1112" s="27">
        <f>AVERAGE(AC517:AC528)</f>
        <v>19.932371582733811</v>
      </c>
    </row>
    <row r="1113" spans="1:29" ht="15.75" x14ac:dyDescent="0.25">
      <c r="A1113" s="11">
        <f t="shared" si="33"/>
        <v>2056</v>
      </c>
      <c r="B1113" s="10">
        <f t="shared" ref="B1113:S1113" si="52">AVERAGE(B529:B540)</f>
        <v>20.852733333333337</v>
      </c>
      <c r="C1113" s="10">
        <f t="shared" si="52"/>
        <v>20.858875000000001</v>
      </c>
      <c r="D1113" s="10">
        <f t="shared" si="52"/>
        <v>20.991000000000003</v>
      </c>
      <c r="E1113" s="10">
        <f t="shared" si="52"/>
        <v>21.023108333333333</v>
      </c>
      <c r="F1113" s="10">
        <f t="shared" si="52"/>
        <v>20.823699999999995</v>
      </c>
      <c r="G1113" s="10">
        <f t="shared" si="52"/>
        <v>20.840891666666664</v>
      </c>
      <c r="H1113" s="10">
        <f t="shared" si="52"/>
        <v>21.012225000000004</v>
      </c>
      <c r="I1113" s="10">
        <f t="shared" si="52"/>
        <v>20.821958333333335</v>
      </c>
      <c r="J1113" s="10">
        <f t="shared" si="52"/>
        <v>20.816700000000001</v>
      </c>
      <c r="K1113" s="54">
        <f t="shared" si="52"/>
        <v>20.818058333333333</v>
      </c>
      <c r="L1113" s="10">
        <f t="shared" si="52"/>
        <v>21.599225000000001</v>
      </c>
      <c r="M1113" s="10">
        <f t="shared" si="52"/>
        <v>20.620433333333335</v>
      </c>
      <c r="N1113" s="10">
        <f t="shared" si="52"/>
        <v>20.637483333333332</v>
      </c>
      <c r="O1113" s="10">
        <f t="shared" si="52"/>
        <v>20.81400833333333</v>
      </c>
      <c r="P1113" s="10">
        <f t="shared" si="52"/>
        <v>20.625683333333335</v>
      </c>
      <c r="Q1113" s="10">
        <f t="shared" si="52"/>
        <v>21.409308333333332</v>
      </c>
      <c r="R1113" s="10">
        <f t="shared" si="52"/>
        <v>22.049824999999998</v>
      </c>
      <c r="S1113" s="10">
        <f t="shared" si="52"/>
        <v>20.246958333333328</v>
      </c>
      <c r="T1113" s="50">
        <f>SUM(T529:T540)</f>
        <v>358.17703550000004</v>
      </c>
      <c r="U1113" s="50">
        <f>SUM(U529:U540)</f>
        <v>142.42176299999997</v>
      </c>
      <c r="V1113" s="50">
        <f>SUM(V529:V540)</f>
        <v>50.325000000000003</v>
      </c>
      <c r="W1113" s="50">
        <f>SUM(W529:W540)</f>
        <v>5.0961473999999995</v>
      </c>
      <c r="X1113" s="50">
        <f>SUM(X529:X540)</f>
        <v>20.800615543999996</v>
      </c>
      <c r="Y1113" s="50"/>
      <c r="Z1113" s="53"/>
      <c r="AA1113" s="52"/>
      <c r="AB1113" s="51">
        <f>AVERAGE(AB529:AB540)</f>
        <v>20.861776527045539</v>
      </c>
      <c r="AC1113" s="27">
        <f>AVERAGE(AC529:AC540)</f>
        <v>20.685650779376498</v>
      </c>
    </row>
    <row r="1114" spans="1:29" ht="15.75" x14ac:dyDescent="0.25">
      <c r="A1114" s="11">
        <f t="shared" si="33"/>
        <v>2057</v>
      </c>
      <c r="B1114" s="10">
        <f t="shared" ref="B1114:S1114" si="53">AVERAGE(B541:B552)</f>
        <v>21.642508333333335</v>
      </c>
      <c r="C1114" s="10">
        <f t="shared" si="53"/>
        <v>21.648666666666671</v>
      </c>
      <c r="D1114" s="10">
        <f t="shared" si="53"/>
        <v>21.780791666666669</v>
      </c>
      <c r="E1114" s="10">
        <f t="shared" si="53"/>
        <v>21.812891666666669</v>
      </c>
      <c r="F1114" s="10">
        <f t="shared" si="53"/>
        <v>21.61345833333333</v>
      </c>
      <c r="G1114" s="10">
        <f t="shared" si="53"/>
        <v>21.630691666666667</v>
      </c>
      <c r="H1114" s="10">
        <f t="shared" si="53"/>
        <v>21.801991666666666</v>
      </c>
      <c r="I1114" s="10">
        <f t="shared" si="53"/>
        <v>21.611758333333331</v>
      </c>
      <c r="J1114" s="10">
        <f t="shared" si="53"/>
        <v>21.606458333333336</v>
      </c>
      <c r="K1114" s="54">
        <f t="shared" si="53"/>
        <v>21.607866666666666</v>
      </c>
      <c r="L1114" s="10">
        <f t="shared" si="53"/>
        <v>22.388991666666669</v>
      </c>
      <c r="M1114" s="10">
        <f t="shared" si="53"/>
        <v>21.402241666666665</v>
      </c>
      <c r="N1114" s="10">
        <f t="shared" si="53"/>
        <v>21.419299999999996</v>
      </c>
      <c r="O1114" s="10">
        <f t="shared" si="53"/>
        <v>21.595825000000001</v>
      </c>
      <c r="P1114" s="10">
        <f t="shared" si="53"/>
        <v>21.407508333333336</v>
      </c>
      <c r="Q1114" s="10">
        <f t="shared" si="53"/>
        <v>22.191125</v>
      </c>
      <c r="R1114" s="10">
        <f t="shared" si="53"/>
        <v>22.833583333333333</v>
      </c>
      <c r="S1114" s="10">
        <f t="shared" si="53"/>
        <v>21.013908333333333</v>
      </c>
      <c r="T1114" s="50">
        <f>SUM(T541:T552)</f>
        <v>357.24568100000005</v>
      </c>
      <c r="U1114" s="50">
        <f>SUM(U541:U552)</f>
        <v>142.03263249999998</v>
      </c>
      <c r="V1114" s="50">
        <f>SUM(V541:V552)</f>
        <v>50.187500000000007</v>
      </c>
      <c r="W1114" s="50">
        <f>SUM(W541:W552)</f>
        <v>5.0822234999999996</v>
      </c>
      <c r="X1114" s="50">
        <f>SUM(X541:X552)</f>
        <v>20.758966663999999</v>
      </c>
      <c r="Y1114" s="50"/>
      <c r="Z1114" s="53"/>
      <c r="AA1114" s="52"/>
      <c r="AB1114" s="51">
        <f>AVERAGE(AB541:AB552)</f>
        <v>21.651558321796202</v>
      </c>
      <c r="AC1114" s="27">
        <f>AVERAGE(AC541:AC552)</f>
        <v>21.467467206235014</v>
      </c>
    </row>
    <row r="1115" spans="1:29" ht="15.75" x14ac:dyDescent="0.25">
      <c r="A1115" s="11">
        <f t="shared" si="33"/>
        <v>2058</v>
      </c>
      <c r="B1115" s="10">
        <f t="shared" ref="B1115:S1115" si="54">AVERAGE(B553:B564)</f>
        <v>22.462208333333336</v>
      </c>
      <c r="C1115" s="10">
        <f t="shared" si="54"/>
        <v>22.468350000000001</v>
      </c>
      <c r="D1115" s="10">
        <f t="shared" si="54"/>
        <v>22.600483333333333</v>
      </c>
      <c r="E1115" s="10">
        <f t="shared" si="54"/>
        <v>22.632583333333333</v>
      </c>
      <c r="F1115" s="10">
        <f t="shared" si="54"/>
        <v>22.433158333333328</v>
      </c>
      <c r="G1115" s="10">
        <f t="shared" si="54"/>
        <v>22.450399999999998</v>
      </c>
      <c r="H1115" s="10">
        <f t="shared" si="54"/>
        <v>22.621691666666674</v>
      </c>
      <c r="I1115" s="10">
        <f t="shared" si="54"/>
        <v>22.431466666666665</v>
      </c>
      <c r="J1115" s="10">
        <f t="shared" si="54"/>
        <v>22.426158333333337</v>
      </c>
      <c r="K1115" s="54">
        <f t="shared" si="54"/>
        <v>22.427566666666667</v>
      </c>
      <c r="L1115" s="10">
        <f t="shared" si="54"/>
        <v>23.208691666666667</v>
      </c>
      <c r="M1115" s="10">
        <f t="shared" si="54"/>
        <v>22.213691666666666</v>
      </c>
      <c r="N1115" s="10">
        <f t="shared" si="54"/>
        <v>22.230708333333336</v>
      </c>
      <c r="O1115" s="10">
        <f t="shared" si="54"/>
        <v>22.407233333333334</v>
      </c>
      <c r="P1115" s="10">
        <f t="shared" si="54"/>
        <v>22.218949999999996</v>
      </c>
      <c r="Q1115" s="10">
        <f t="shared" si="54"/>
        <v>23.002533333333336</v>
      </c>
      <c r="R1115" s="10">
        <f t="shared" si="54"/>
        <v>23.647049999999997</v>
      </c>
      <c r="S1115" s="10">
        <f t="shared" si="54"/>
        <v>21.809933333333333</v>
      </c>
      <c r="T1115" s="50">
        <f>SUM(T553:T564)</f>
        <v>357.24568100000005</v>
      </c>
      <c r="U1115" s="50">
        <f>SUM(U553:U564)</f>
        <v>142.03263249999998</v>
      </c>
      <c r="V1115" s="50">
        <f>SUM(V553:V564)</f>
        <v>50.187500000000007</v>
      </c>
      <c r="W1115" s="50">
        <f>SUM(W553:W564)</f>
        <v>5.0822234999999996</v>
      </c>
      <c r="X1115" s="50">
        <f>SUM(X553:X564)</f>
        <v>20.758966663999999</v>
      </c>
      <c r="Y1115" s="50"/>
      <c r="Z1115" s="53"/>
      <c r="AA1115" s="52"/>
      <c r="AB1115" s="51">
        <f>AVERAGE(AB553:AB564)</f>
        <v>22.47125515486066</v>
      </c>
      <c r="AC1115" s="27">
        <f>AVERAGE(AC553:AC564)</f>
        <v>22.278896163069547</v>
      </c>
    </row>
    <row r="1116" spans="1:29" ht="15.75" x14ac:dyDescent="0.25">
      <c r="A1116" s="11">
        <f t="shared" si="33"/>
        <v>2059</v>
      </c>
      <c r="B1116" s="10">
        <f t="shared" ref="B1116:S1116" si="55">AVERAGE(B565:B576)</f>
        <v>23.312941666666664</v>
      </c>
      <c r="C1116" s="10">
        <f t="shared" si="55"/>
        <v>23.319108333333332</v>
      </c>
      <c r="D1116" s="10">
        <f t="shared" si="55"/>
        <v>23.451241666666672</v>
      </c>
      <c r="E1116" s="10">
        <f t="shared" si="55"/>
        <v>23.483350000000002</v>
      </c>
      <c r="F1116" s="10">
        <f t="shared" si="55"/>
        <v>23.283933333333334</v>
      </c>
      <c r="G1116" s="10">
        <f t="shared" si="55"/>
        <v>23.301158333333333</v>
      </c>
      <c r="H1116" s="10">
        <f t="shared" si="55"/>
        <v>23.472466666666666</v>
      </c>
      <c r="I1116" s="10">
        <f t="shared" si="55"/>
        <v>23.282183333333336</v>
      </c>
      <c r="J1116" s="10">
        <f t="shared" si="55"/>
        <v>23.276933333333336</v>
      </c>
      <c r="K1116" s="54">
        <f t="shared" si="55"/>
        <v>23.278283333333334</v>
      </c>
      <c r="L1116" s="10">
        <f t="shared" si="55"/>
        <v>24.059466666666662</v>
      </c>
      <c r="M1116" s="10">
        <f t="shared" si="55"/>
        <v>23.055858333333333</v>
      </c>
      <c r="N1116" s="10">
        <f t="shared" si="55"/>
        <v>23.072883333333333</v>
      </c>
      <c r="O1116" s="10">
        <f t="shared" si="55"/>
        <v>23.249408333333331</v>
      </c>
      <c r="P1116" s="10">
        <f t="shared" si="55"/>
        <v>23.061108333333333</v>
      </c>
      <c r="Q1116" s="10">
        <f t="shared" si="55"/>
        <v>23.844708333333333</v>
      </c>
      <c r="R1116" s="10">
        <f t="shared" si="55"/>
        <v>24.491325</v>
      </c>
      <c r="S1116" s="10">
        <f t="shared" si="55"/>
        <v>22.636100000000003</v>
      </c>
      <c r="T1116" s="50">
        <f>SUM(T565:T576)</f>
        <v>357.24568100000005</v>
      </c>
      <c r="U1116" s="50">
        <f>SUM(U565:U576)</f>
        <v>142.03263249999998</v>
      </c>
      <c r="V1116" s="50">
        <f>SUM(V565:V576)</f>
        <v>50.187500000000007</v>
      </c>
      <c r="W1116" s="50">
        <f>SUM(W565:W576)</f>
        <v>5.0822234999999996</v>
      </c>
      <c r="X1116" s="50">
        <f>SUM(X565:X576)</f>
        <v>20.758966663999999</v>
      </c>
      <c r="Y1116" s="50"/>
      <c r="Z1116" s="10"/>
      <c r="AA1116" s="10"/>
      <c r="AB1116" s="51">
        <f>AVERAGE(AB565:AB576)</f>
        <v>23.322011924953014</v>
      </c>
      <c r="AC1116" s="27">
        <f>AVERAGE(AC565:AC576)</f>
        <v>23.121064448441246</v>
      </c>
    </row>
    <row r="1117" spans="1:29" ht="15.75" x14ac:dyDescent="0.25">
      <c r="A1117" s="11">
        <f t="shared" si="33"/>
        <v>2060</v>
      </c>
      <c r="B1117" s="10">
        <f t="shared" ref="B1117:S1117" si="56">AVERAGE(B577:B588)</f>
        <v>24.195925000000003</v>
      </c>
      <c r="C1117" s="10">
        <f t="shared" si="56"/>
        <v>24.202083333333334</v>
      </c>
      <c r="D1117" s="10">
        <f t="shared" si="56"/>
        <v>24.334224999999993</v>
      </c>
      <c r="E1117" s="10">
        <f t="shared" si="56"/>
        <v>24.366316666666666</v>
      </c>
      <c r="F1117" s="10">
        <f t="shared" si="56"/>
        <v>24.166899999999998</v>
      </c>
      <c r="G1117" s="10">
        <f t="shared" si="56"/>
        <v>24.184124999999998</v>
      </c>
      <c r="H1117" s="10">
        <f t="shared" si="56"/>
        <v>24.355433333333337</v>
      </c>
      <c r="I1117" s="10">
        <f t="shared" si="56"/>
        <v>24.165183333333331</v>
      </c>
      <c r="J1117" s="10">
        <f t="shared" si="56"/>
        <v>24.159900000000004</v>
      </c>
      <c r="K1117" s="54">
        <f t="shared" si="56"/>
        <v>24.161291666666667</v>
      </c>
      <c r="L1117" s="10">
        <f t="shared" si="56"/>
        <v>24.94243333333333</v>
      </c>
      <c r="M1117" s="10">
        <f t="shared" si="56"/>
        <v>23.929908333333334</v>
      </c>
      <c r="N1117" s="10">
        <f t="shared" si="56"/>
        <v>23.946966666666668</v>
      </c>
      <c r="O1117" s="10">
        <f t="shared" si="56"/>
        <v>24.123483333333336</v>
      </c>
      <c r="P1117" s="10">
        <f t="shared" si="56"/>
        <v>23.935166666666664</v>
      </c>
      <c r="Q1117" s="10">
        <f t="shared" si="56"/>
        <v>24.718783333333334</v>
      </c>
      <c r="R1117" s="10">
        <f t="shared" si="56"/>
        <v>25.367583333333339</v>
      </c>
      <c r="S1117" s="10">
        <f t="shared" si="56"/>
        <v>23.493541666666669</v>
      </c>
      <c r="T1117" s="50">
        <f>SUM(T577:T588)</f>
        <v>358.17703550000004</v>
      </c>
      <c r="U1117" s="50">
        <f>SUM(U577:U588)</f>
        <v>142.42176299999997</v>
      </c>
      <c r="V1117" s="50">
        <f>SUM(V577:V588)</f>
        <v>50.325000000000003</v>
      </c>
      <c r="W1117" s="50">
        <f>SUM(W577:W588)</f>
        <v>5.0961473999999995</v>
      </c>
      <c r="X1117" s="50">
        <f>SUM(X577:X588)</f>
        <v>20.800615543999996</v>
      </c>
      <c r="Y1117" s="50"/>
      <c r="Z1117" s="53"/>
      <c r="AA1117" s="52"/>
      <c r="AB1117" s="51">
        <f>AVERAGE(AB577:AB588)</f>
        <v>24.204987321775103</v>
      </c>
      <c r="AC1117" s="27">
        <f>AVERAGE(AC577:AC588)</f>
        <v>23.995130335731417</v>
      </c>
    </row>
    <row r="1118" spans="1:29" ht="15.75" x14ac:dyDescent="0.25">
      <c r="A1118" s="11">
        <f t="shared" si="33"/>
        <v>2061</v>
      </c>
      <c r="B1118" s="10">
        <f t="shared" ref="B1118:S1118" si="57">AVERAGE(B589:B600)</f>
        <v>25.112358333333333</v>
      </c>
      <c r="C1118" s="10">
        <f t="shared" si="57"/>
        <v>25.118508333333335</v>
      </c>
      <c r="D1118" s="10">
        <f t="shared" si="57"/>
        <v>25.25065833333333</v>
      </c>
      <c r="E1118" s="10">
        <f t="shared" si="57"/>
        <v>25.282749999999997</v>
      </c>
      <c r="F1118" s="10">
        <f t="shared" si="57"/>
        <v>25.083349999999999</v>
      </c>
      <c r="G1118" s="10">
        <f t="shared" si="57"/>
        <v>25.100558333333336</v>
      </c>
      <c r="H1118" s="10">
        <f t="shared" si="57"/>
        <v>25.271874999999998</v>
      </c>
      <c r="I1118" s="10">
        <f t="shared" si="57"/>
        <v>25.081599999999998</v>
      </c>
      <c r="J1118" s="10">
        <f t="shared" si="57"/>
        <v>25.076350000000001</v>
      </c>
      <c r="K1118" s="54">
        <f t="shared" si="57"/>
        <v>25.077708333333334</v>
      </c>
      <c r="L1118" s="10">
        <f t="shared" si="57"/>
        <v>25.858874999999998</v>
      </c>
      <c r="M1118" s="10">
        <f t="shared" si="57"/>
        <v>24.837108333333333</v>
      </c>
      <c r="N1118" s="10">
        <f t="shared" si="57"/>
        <v>24.854141666666667</v>
      </c>
      <c r="O1118" s="10">
        <f t="shared" si="57"/>
        <v>25.030649999999998</v>
      </c>
      <c r="P1118" s="10">
        <f t="shared" si="57"/>
        <v>24.842358333333337</v>
      </c>
      <c r="Q1118" s="10">
        <f t="shared" si="57"/>
        <v>25.625950000000003</v>
      </c>
      <c r="R1118" s="10">
        <f t="shared" si="57"/>
        <v>26.277024999999998</v>
      </c>
      <c r="S1118" s="10">
        <f t="shared" si="57"/>
        <v>24.383491666666668</v>
      </c>
      <c r="T1118" s="50">
        <f>SUM(T589:T600)</f>
        <v>357.24568100000005</v>
      </c>
      <c r="U1118" s="50">
        <f>SUM(U589:U600)</f>
        <v>142.03263249999998</v>
      </c>
      <c r="V1118" s="50">
        <f>SUM(V589:V600)</f>
        <v>50.187500000000007</v>
      </c>
      <c r="W1118" s="50">
        <f>SUM(W589:W600)</f>
        <v>5.0822234999999996</v>
      </c>
      <c r="X1118" s="50">
        <f>SUM(X589:X600)</f>
        <v>20.758966663999999</v>
      </c>
      <c r="Y1118" s="50"/>
      <c r="Z1118" s="53"/>
      <c r="AA1118" s="52"/>
      <c r="AB1118" s="51">
        <f>AVERAGE(AB589:AB600)</f>
        <v>25.121421947408621</v>
      </c>
      <c r="AC1118" s="27">
        <f>AVERAGE(AC589:AC600)</f>
        <v>24.902311151079136</v>
      </c>
    </row>
    <row r="1119" spans="1:29" ht="15" x14ac:dyDescent="0.2">
      <c r="A1119" s="11">
        <f t="shared" si="33"/>
        <v>2062</v>
      </c>
      <c r="B1119" s="10">
        <f t="shared" ref="B1119:K1128" ca="1" si="58">AVERAGE(OFFSET(B$601,($A1119-$A$1119)*12,0,12,1))</f>
        <v>26.063516666666672</v>
      </c>
      <c r="C1119" s="10">
        <f t="shared" ca="1" si="58"/>
        <v>26.069658333333336</v>
      </c>
      <c r="D1119" s="10">
        <f t="shared" ca="1" si="58"/>
        <v>26.201800000000002</v>
      </c>
      <c r="E1119" s="10">
        <f t="shared" ca="1" si="58"/>
        <v>26.233891666666665</v>
      </c>
      <c r="F1119" s="10">
        <f t="shared" ca="1" si="58"/>
        <v>26.034483333333327</v>
      </c>
      <c r="G1119" s="10">
        <f t="shared" ca="1" si="58"/>
        <v>26.051708333333334</v>
      </c>
      <c r="H1119" s="10">
        <f t="shared" ca="1" si="58"/>
        <v>26.22300833333334</v>
      </c>
      <c r="I1119" s="10">
        <f t="shared" ca="1" si="58"/>
        <v>26.032758333333334</v>
      </c>
      <c r="J1119" s="10">
        <f t="shared" ca="1" si="58"/>
        <v>26.027483333333326</v>
      </c>
      <c r="K1119" s="10">
        <f t="shared" ca="1" si="58"/>
        <v>26.028866666666669</v>
      </c>
      <c r="L1119" s="10">
        <f t="shared" ref="L1119:S1128" ca="1" si="59">AVERAGE(OFFSET(L$601,($A1119-$A$1119)*12,0,12,1))</f>
        <v>26.810008333333332</v>
      </c>
      <c r="M1119" s="10">
        <f t="shared" ca="1" si="59"/>
        <v>25.778641666666669</v>
      </c>
      <c r="N1119" s="10">
        <f t="shared" ca="1" si="59"/>
        <v>25.795691666666666</v>
      </c>
      <c r="O1119" s="10">
        <f t="shared" ca="1" si="59"/>
        <v>25.972200000000001</v>
      </c>
      <c r="P1119" s="10">
        <f t="shared" ca="1" si="59"/>
        <v>25.783899999999999</v>
      </c>
      <c r="Q1119" s="10">
        <f t="shared" ca="1" si="59"/>
        <v>26.567500000000006</v>
      </c>
      <c r="R1119" s="10">
        <f t="shared" ca="1" si="59"/>
        <v>27.220933333333335</v>
      </c>
      <c r="S1119" s="10">
        <f t="shared" ca="1" si="59"/>
        <v>25.307166666666664</v>
      </c>
      <c r="T1119" s="50">
        <f t="shared" ref="T1119:X1128" ca="1" si="60">SUM(OFFSET(T$601,($A1119-$A$1119)*12,0,12,1))</f>
        <v>357.24568100000005</v>
      </c>
      <c r="U1119" s="50">
        <f t="shared" ca="1" si="60"/>
        <v>142.03263249999998</v>
      </c>
      <c r="V1119" s="50">
        <f t="shared" ca="1" si="60"/>
        <v>50.187500000000007</v>
      </c>
      <c r="W1119" s="50">
        <f t="shared" ca="1" si="60"/>
        <v>5.0822234999999996</v>
      </c>
      <c r="X1119" s="50">
        <f t="shared" ca="1" si="60"/>
        <v>20.758966663999999</v>
      </c>
      <c r="Y1119" s="10"/>
      <c r="Z1119" s="10"/>
      <c r="AA1119" s="10"/>
      <c r="AB1119" s="10">
        <f t="shared" ref="AB1119:AC1138" ca="1" si="61">AVERAGE(OFFSET(AB$601,($A1119-$A$1119)*12,0,12,1))</f>
        <v>26.072567432872116</v>
      </c>
      <c r="AC1119" s="10">
        <f t="shared" ca="1" si="61"/>
        <v>25.86810743405276</v>
      </c>
    </row>
    <row r="1120" spans="1:29" ht="15" x14ac:dyDescent="0.2">
      <c r="A1120" s="11">
        <f t="shared" si="33"/>
        <v>2063</v>
      </c>
      <c r="B1120" s="10">
        <f t="shared" ca="1" si="58"/>
        <v>27.050674999999998</v>
      </c>
      <c r="C1120" s="10">
        <f t="shared" ca="1" si="58"/>
        <v>27.056858333333334</v>
      </c>
      <c r="D1120" s="10">
        <f t="shared" ca="1" si="58"/>
        <v>27.188999999999997</v>
      </c>
      <c r="E1120" s="10">
        <f t="shared" ca="1" si="58"/>
        <v>27.221066666666669</v>
      </c>
      <c r="F1120" s="10">
        <f t="shared" ca="1" si="58"/>
        <v>27.021641666666671</v>
      </c>
      <c r="G1120" s="10">
        <f t="shared" ca="1" si="58"/>
        <v>27.038874999999994</v>
      </c>
      <c r="H1120" s="10">
        <f t="shared" ca="1" si="58"/>
        <v>27.2102</v>
      </c>
      <c r="I1120" s="10">
        <f t="shared" ca="1" si="58"/>
        <v>27.019925000000001</v>
      </c>
      <c r="J1120" s="10">
        <f t="shared" ca="1" si="58"/>
        <v>27.014641666666673</v>
      </c>
      <c r="K1120" s="10">
        <f t="shared" ca="1" si="58"/>
        <v>27.016024999999999</v>
      </c>
      <c r="L1120" s="10">
        <f t="shared" ca="1" si="59"/>
        <v>27.7972</v>
      </c>
      <c r="M1120" s="10">
        <f t="shared" ca="1" si="59"/>
        <v>26.755849999999999</v>
      </c>
      <c r="N1120" s="10">
        <f t="shared" ca="1" si="59"/>
        <v>26.772916666666664</v>
      </c>
      <c r="O1120" s="10">
        <f t="shared" ca="1" si="59"/>
        <v>26.949425000000002</v>
      </c>
      <c r="P1120" s="10">
        <f t="shared" ca="1" si="59"/>
        <v>26.761116666666666</v>
      </c>
      <c r="Q1120" s="10">
        <f t="shared" ca="1" si="59"/>
        <v>27.544725</v>
      </c>
      <c r="R1120" s="10">
        <f t="shared" ca="1" si="59"/>
        <v>28.200599999999998</v>
      </c>
      <c r="S1120" s="10">
        <f t="shared" ca="1" si="59"/>
        <v>26.265808333333336</v>
      </c>
      <c r="T1120" s="50">
        <f t="shared" ca="1" si="60"/>
        <v>357.24568100000005</v>
      </c>
      <c r="U1120" s="50">
        <f t="shared" ca="1" si="60"/>
        <v>142.03263249999998</v>
      </c>
      <c r="V1120" s="50">
        <f t="shared" ca="1" si="60"/>
        <v>50.187500000000007</v>
      </c>
      <c r="W1120" s="50">
        <f t="shared" ca="1" si="60"/>
        <v>5.0822234999999996</v>
      </c>
      <c r="X1120" s="50">
        <f t="shared" ca="1" si="60"/>
        <v>20.758966663999999</v>
      </c>
      <c r="Y1120" s="10"/>
      <c r="Z1120" s="10"/>
      <c r="AA1120" s="10"/>
      <c r="AB1120" s="10">
        <f t="shared" ca="1" si="61"/>
        <v>27.059741915772236</v>
      </c>
      <c r="AC1120" s="10">
        <f t="shared" ca="1" si="61"/>
        <v>26.845325479616303</v>
      </c>
    </row>
    <row r="1121" spans="1:29" ht="15" x14ac:dyDescent="0.2">
      <c r="A1121" s="11">
        <f t="shared" si="33"/>
        <v>2064</v>
      </c>
      <c r="B1121" s="10">
        <f t="shared" ca="1" si="58"/>
        <v>28.075266666666664</v>
      </c>
      <c r="C1121" s="10">
        <f t="shared" ca="1" si="58"/>
        <v>28.081433333333333</v>
      </c>
      <c r="D1121" s="10">
        <f t="shared" ca="1" si="58"/>
        <v>28.213558333333335</v>
      </c>
      <c r="E1121" s="10">
        <f t="shared" ca="1" si="58"/>
        <v>28.245658333333335</v>
      </c>
      <c r="F1121" s="10">
        <f t="shared" ca="1" si="58"/>
        <v>28.046250000000001</v>
      </c>
      <c r="G1121" s="10">
        <f t="shared" ca="1" si="58"/>
        <v>28.06345</v>
      </c>
      <c r="H1121" s="10">
        <f t="shared" ca="1" si="58"/>
        <v>28.234774999999999</v>
      </c>
      <c r="I1121" s="10">
        <f t="shared" ca="1" si="58"/>
        <v>28.044499999999999</v>
      </c>
      <c r="J1121" s="10">
        <f t="shared" ca="1" si="58"/>
        <v>28.039249999999999</v>
      </c>
      <c r="K1121" s="10">
        <f t="shared" ca="1" si="58"/>
        <v>28.040616666666669</v>
      </c>
      <c r="L1121" s="10">
        <f t="shared" ca="1" si="59"/>
        <v>28.821774999999999</v>
      </c>
      <c r="M1121" s="10">
        <f t="shared" ca="1" si="59"/>
        <v>27.770083333333336</v>
      </c>
      <c r="N1121" s="10">
        <f t="shared" ca="1" si="59"/>
        <v>27.787125000000003</v>
      </c>
      <c r="O1121" s="10">
        <f t="shared" ca="1" si="59"/>
        <v>27.963658333333331</v>
      </c>
      <c r="P1121" s="10">
        <f t="shared" ca="1" si="59"/>
        <v>27.775358333333333</v>
      </c>
      <c r="Q1121" s="10">
        <f t="shared" ca="1" si="59"/>
        <v>28.558958333333337</v>
      </c>
      <c r="R1121" s="10">
        <f t="shared" ca="1" si="59"/>
        <v>29.217341666666666</v>
      </c>
      <c r="S1121" s="10">
        <f t="shared" ca="1" si="59"/>
        <v>27.260775000000006</v>
      </c>
      <c r="T1121" s="50">
        <f t="shared" ca="1" si="60"/>
        <v>358.17703550000004</v>
      </c>
      <c r="U1121" s="50">
        <f t="shared" ca="1" si="60"/>
        <v>142.42176299999997</v>
      </c>
      <c r="V1121" s="50">
        <f t="shared" ca="1" si="60"/>
        <v>50.325000000000003</v>
      </c>
      <c r="W1121" s="50">
        <f t="shared" ca="1" si="60"/>
        <v>5.0961473999999995</v>
      </c>
      <c r="X1121" s="50">
        <f t="shared" ca="1" si="60"/>
        <v>20.800615543999996</v>
      </c>
      <c r="Y1121" s="10"/>
      <c r="Z1121" s="10"/>
      <c r="AA1121" s="10"/>
      <c r="AB1121" s="10">
        <f t="shared" ca="1" si="61"/>
        <v>28.084327601339734</v>
      </c>
      <c r="AC1121" s="10">
        <f t="shared" ca="1" si="61"/>
        <v>27.859558573141484</v>
      </c>
    </row>
    <row r="1122" spans="1:29" ht="15" x14ac:dyDescent="0.2">
      <c r="A1122" s="11">
        <f t="shared" si="33"/>
        <v>2065</v>
      </c>
      <c r="B1122" s="10">
        <f t="shared" ca="1" si="58"/>
        <v>29.138658333333336</v>
      </c>
      <c r="C1122" s="10">
        <f t="shared" ca="1" si="58"/>
        <v>29.144791666666663</v>
      </c>
      <c r="D1122" s="10">
        <f t="shared" ca="1" si="58"/>
        <v>29.276933333333336</v>
      </c>
      <c r="E1122" s="10">
        <f t="shared" ca="1" si="58"/>
        <v>29.309033333333332</v>
      </c>
      <c r="F1122" s="10">
        <f t="shared" ca="1" si="58"/>
        <v>29.109624999999994</v>
      </c>
      <c r="G1122" s="10">
        <f t="shared" ca="1" si="58"/>
        <v>29.126841666666664</v>
      </c>
      <c r="H1122" s="10">
        <f t="shared" ca="1" si="58"/>
        <v>29.298141666666666</v>
      </c>
      <c r="I1122" s="10">
        <f t="shared" ca="1" si="58"/>
        <v>29.107908333333331</v>
      </c>
      <c r="J1122" s="10">
        <f t="shared" ca="1" si="58"/>
        <v>29.102625</v>
      </c>
      <c r="K1122" s="10">
        <f t="shared" ca="1" si="58"/>
        <v>29.104008333333336</v>
      </c>
      <c r="L1122" s="10">
        <f t="shared" ca="1" si="59"/>
        <v>29.885141666666666</v>
      </c>
      <c r="M1122" s="10">
        <f t="shared" ca="1" si="59"/>
        <v>28.822749999999999</v>
      </c>
      <c r="N1122" s="10">
        <f t="shared" ca="1" si="59"/>
        <v>28.8398</v>
      </c>
      <c r="O1122" s="10">
        <f t="shared" ca="1" si="59"/>
        <v>29.016316666666665</v>
      </c>
      <c r="P1122" s="10">
        <f t="shared" ca="1" si="59"/>
        <v>28.828008333333329</v>
      </c>
      <c r="Q1122" s="10">
        <f t="shared" ca="1" si="59"/>
        <v>29.611616666666663</v>
      </c>
      <c r="R1122" s="10">
        <f t="shared" ca="1" si="59"/>
        <v>30.272633333333335</v>
      </c>
      <c r="S1122" s="10">
        <f t="shared" ca="1" si="59"/>
        <v>28.293433333333336</v>
      </c>
      <c r="T1122" s="50">
        <f t="shared" ca="1" si="60"/>
        <v>357.24568100000005</v>
      </c>
      <c r="U1122" s="50">
        <f t="shared" ca="1" si="60"/>
        <v>142.03263249999998</v>
      </c>
      <c r="V1122" s="50">
        <f t="shared" ca="1" si="60"/>
        <v>50.187500000000007</v>
      </c>
      <c r="W1122" s="50">
        <f t="shared" ca="1" si="60"/>
        <v>5.0822234999999996</v>
      </c>
      <c r="X1122" s="50">
        <f t="shared" ca="1" si="60"/>
        <v>20.758966663999999</v>
      </c>
      <c r="Y1122" s="10"/>
      <c r="Z1122" s="10"/>
      <c r="AA1122" s="10"/>
      <c r="AB1122" s="10">
        <f t="shared" ca="1" si="61"/>
        <v>29.147706071192744</v>
      </c>
      <c r="AC1122" s="10">
        <f t="shared" ca="1" si="61"/>
        <v>28.912219544364515</v>
      </c>
    </row>
    <row r="1123" spans="1:29" ht="15" x14ac:dyDescent="0.2">
      <c r="A1123" s="11">
        <f t="shared" si="33"/>
        <v>2066</v>
      </c>
      <c r="B1123" s="10">
        <f t="shared" ca="1" si="58"/>
        <v>30.242341666666672</v>
      </c>
      <c r="C1123" s="10">
        <f t="shared" ca="1" si="58"/>
        <v>30.248491666666666</v>
      </c>
      <c r="D1123" s="10">
        <f t="shared" ca="1" si="58"/>
        <v>30.380608333333331</v>
      </c>
      <c r="E1123" s="10">
        <f t="shared" ca="1" si="58"/>
        <v>30.412708333333331</v>
      </c>
      <c r="F1123" s="10">
        <f t="shared" ca="1" si="58"/>
        <v>30.213291666666663</v>
      </c>
      <c r="G1123" s="10">
        <f t="shared" ca="1" si="58"/>
        <v>30.230508333333333</v>
      </c>
      <c r="H1123" s="10">
        <f t="shared" ca="1" si="58"/>
        <v>30.401841666666666</v>
      </c>
      <c r="I1123" s="10">
        <f t="shared" ca="1" si="58"/>
        <v>30.211549999999999</v>
      </c>
      <c r="J1123" s="10">
        <f t="shared" ca="1" si="58"/>
        <v>30.206291666666669</v>
      </c>
      <c r="K1123" s="10">
        <f t="shared" ca="1" si="58"/>
        <v>30.207658333333338</v>
      </c>
      <c r="L1123" s="10">
        <f t="shared" ca="1" si="59"/>
        <v>30.988841666666662</v>
      </c>
      <c r="M1123" s="10">
        <f t="shared" ca="1" si="59"/>
        <v>29.915283333333331</v>
      </c>
      <c r="N1123" s="10">
        <f t="shared" ca="1" si="59"/>
        <v>29.932325000000002</v>
      </c>
      <c r="O1123" s="10">
        <f t="shared" ca="1" si="59"/>
        <v>30.108849999999993</v>
      </c>
      <c r="P1123" s="10">
        <f t="shared" ca="1" si="59"/>
        <v>29.920550000000002</v>
      </c>
      <c r="Q1123" s="10">
        <f t="shared" ca="1" si="59"/>
        <v>30.704149999999998</v>
      </c>
      <c r="R1123" s="10">
        <f t="shared" ca="1" si="59"/>
        <v>31.36791666666667</v>
      </c>
      <c r="S1123" s="10">
        <f t="shared" ca="1" si="59"/>
        <v>29.365191666666664</v>
      </c>
      <c r="T1123" s="50">
        <f t="shared" ca="1" si="60"/>
        <v>357.24568100000005</v>
      </c>
      <c r="U1123" s="50">
        <f t="shared" ca="1" si="60"/>
        <v>142.03263249999998</v>
      </c>
      <c r="V1123" s="50">
        <f t="shared" ca="1" si="60"/>
        <v>50.187500000000007</v>
      </c>
      <c r="W1123" s="50">
        <f t="shared" ca="1" si="60"/>
        <v>5.0822234999999996</v>
      </c>
      <c r="X1123" s="50">
        <f t="shared" ca="1" si="60"/>
        <v>20.758966663999999</v>
      </c>
      <c r="Y1123" s="10"/>
      <c r="Z1123" s="10"/>
      <c r="AA1123" s="10"/>
      <c r="AB1123" s="10">
        <f t="shared" ca="1" si="61"/>
        <v>30.251381333141257</v>
      </c>
      <c r="AC1123" s="10">
        <f t="shared" ca="1" si="61"/>
        <v>30.004753597122303</v>
      </c>
    </row>
    <row r="1124" spans="1:29" ht="15" x14ac:dyDescent="0.2">
      <c r="A1124" s="11">
        <f t="shared" si="33"/>
        <v>2067</v>
      </c>
      <c r="B1124" s="10">
        <f t="shared" ca="1" si="58"/>
        <v>31.387799999999999</v>
      </c>
      <c r="C1124" s="10">
        <f t="shared" ca="1" si="58"/>
        <v>31.393966666666671</v>
      </c>
      <c r="D1124" s="10">
        <f t="shared" ca="1" si="58"/>
        <v>31.52609166666667</v>
      </c>
      <c r="E1124" s="10">
        <f t="shared" ca="1" si="58"/>
        <v>31.558175000000006</v>
      </c>
      <c r="F1124" s="10">
        <f t="shared" ca="1" si="58"/>
        <v>31.358775000000005</v>
      </c>
      <c r="G1124" s="10">
        <f t="shared" ca="1" si="58"/>
        <v>31.375991666666664</v>
      </c>
      <c r="H1124" s="10">
        <f t="shared" ca="1" si="58"/>
        <v>31.547316666666671</v>
      </c>
      <c r="I1124" s="10">
        <f t="shared" ca="1" si="58"/>
        <v>31.357050000000001</v>
      </c>
      <c r="J1124" s="10">
        <f t="shared" ca="1" si="58"/>
        <v>31.351775000000004</v>
      </c>
      <c r="K1124" s="10">
        <f t="shared" ca="1" si="58"/>
        <v>31.353150000000003</v>
      </c>
      <c r="L1124" s="10">
        <f t="shared" ca="1" si="59"/>
        <v>32.134316666666663</v>
      </c>
      <c r="M1124" s="10">
        <f t="shared" ca="1" si="59"/>
        <v>31.049199999999999</v>
      </c>
      <c r="N1124" s="10">
        <f t="shared" ca="1" si="59"/>
        <v>31.06625</v>
      </c>
      <c r="O1124" s="10">
        <f t="shared" ca="1" si="59"/>
        <v>31.242774999999998</v>
      </c>
      <c r="P1124" s="10">
        <f t="shared" ca="1" si="59"/>
        <v>31.054466666666674</v>
      </c>
      <c r="Q1124" s="10">
        <f t="shared" ca="1" si="59"/>
        <v>31.838075</v>
      </c>
      <c r="R1124" s="10">
        <f t="shared" ca="1" si="59"/>
        <v>32.504649999999998</v>
      </c>
      <c r="S1124" s="10">
        <f t="shared" ca="1" si="59"/>
        <v>30.477583333333339</v>
      </c>
      <c r="T1124" s="50">
        <f t="shared" ca="1" si="60"/>
        <v>357.24568100000005</v>
      </c>
      <c r="U1124" s="50">
        <f t="shared" ca="1" si="60"/>
        <v>142.03263249999998</v>
      </c>
      <c r="V1124" s="50">
        <f t="shared" ca="1" si="60"/>
        <v>50.187500000000007</v>
      </c>
      <c r="W1124" s="50">
        <f t="shared" ca="1" si="60"/>
        <v>5.0822234999999996</v>
      </c>
      <c r="X1124" s="50">
        <f t="shared" ca="1" si="60"/>
        <v>20.758966663999999</v>
      </c>
      <c r="Y1124" s="10"/>
      <c r="Z1124" s="10"/>
      <c r="AA1124" s="10"/>
      <c r="AB1124" s="10">
        <f t="shared" ca="1" si="61"/>
        <v>31.396860063736103</v>
      </c>
      <c r="AC1124" s="10">
        <f t="shared" ca="1" si="61"/>
        <v>31.138674520383692</v>
      </c>
    </row>
    <row r="1125" spans="1:29" ht="15" x14ac:dyDescent="0.2">
      <c r="A1125" s="11">
        <f t="shared" si="33"/>
        <v>2068</v>
      </c>
      <c r="B1125" s="10">
        <f t="shared" ca="1" si="58"/>
        <v>32.576675000000002</v>
      </c>
      <c r="C1125" s="10">
        <f t="shared" ca="1" si="58"/>
        <v>32.582825</v>
      </c>
      <c r="D1125" s="10">
        <f t="shared" ca="1" si="58"/>
        <v>32.714966666666669</v>
      </c>
      <c r="E1125" s="10">
        <f t="shared" ca="1" si="58"/>
        <v>32.747058333333335</v>
      </c>
      <c r="F1125" s="10">
        <f t="shared" ca="1" si="58"/>
        <v>32.547633333333344</v>
      </c>
      <c r="G1125" s="10">
        <f t="shared" ca="1" si="58"/>
        <v>32.564866666666674</v>
      </c>
      <c r="H1125" s="10">
        <f t="shared" ca="1" si="58"/>
        <v>32.736175000000003</v>
      </c>
      <c r="I1125" s="10">
        <f t="shared" ca="1" si="58"/>
        <v>32.54592499999999</v>
      </c>
      <c r="J1125" s="10">
        <f t="shared" ca="1" si="58"/>
        <v>32.540633333333339</v>
      </c>
      <c r="K1125" s="10">
        <f t="shared" ca="1" si="58"/>
        <v>32.542033333333329</v>
      </c>
      <c r="L1125" s="10">
        <f t="shared" ca="1" si="59"/>
        <v>33.323174999999999</v>
      </c>
      <c r="M1125" s="10">
        <f t="shared" ca="1" si="59"/>
        <v>32.226083333333328</v>
      </c>
      <c r="N1125" s="10">
        <f t="shared" ca="1" si="59"/>
        <v>32.243116666666673</v>
      </c>
      <c r="O1125" s="10">
        <f t="shared" ca="1" si="59"/>
        <v>32.419641666666664</v>
      </c>
      <c r="P1125" s="10">
        <f t="shared" ca="1" si="59"/>
        <v>32.231333333333332</v>
      </c>
      <c r="Q1125" s="10">
        <f t="shared" ca="1" si="59"/>
        <v>33.014941666666665</v>
      </c>
      <c r="R1125" s="10">
        <f t="shared" ca="1" si="59"/>
        <v>33.684474999999999</v>
      </c>
      <c r="S1125" s="10">
        <f t="shared" ca="1" si="59"/>
        <v>31.632099999999998</v>
      </c>
      <c r="T1125" s="50">
        <f t="shared" ca="1" si="60"/>
        <v>358.17703550000004</v>
      </c>
      <c r="U1125" s="50">
        <f t="shared" ca="1" si="60"/>
        <v>142.42176299999997</v>
      </c>
      <c r="V1125" s="50">
        <f t="shared" ca="1" si="60"/>
        <v>50.325000000000003</v>
      </c>
      <c r="W1125" s="50">
        <f t="shared" ca="1" si="60"/>
        <v>5.0961473999999995</v>
      </c>
      <c r="X1125" s="50">
        <f t="shared" ca="1" si="60"/>
        <v>20.800615543999996</v>
      </c>
      <c r="Y1125" s="10"/>
      <c r="Z1125" s="10"/>
      <c r="AA1125" s="10"/>
      <c r="AB1125" s="10">
        <f t="shared" ca="1" si="61"/>
        <v>32.585726719633136</v>
      </c>
      <c r="AC1125" s="10">
        <f t="shared" ca="1" si="61"/>
        <v>32.315546942446041</v>
      </c>
    </row>
    <row r="1126" spans="1:29" ht="15" x14ac:dyDescent="0.2">
      <c r="A1126" s="11">
        <f t="shared" si="33"/>
        <v>2069</v>
      </c>
      <c r="B1126" s="10">
        <f t="shared" ca="1" si="58"/>
        <v>33.810575</v>
      </c>
      <c r="C1126" s="10">
        <f t="shared" ca="1" si="58"/>
        <v>33.816733333333332</v>
      </c>
      <c r="D1126" s="10">
        <f t="shared" ca="1" si="58"/>
        <v>33.948891666666661</v>
      </c>
      <c r="E1126" s="10">
        <f t="shared" ca="1" si="58"/>
        <v>33.980975000000001</v>
      </c>
      <c r="F1126" s="10">
        <f t="shared" ca="1" si="58"/>
        <v>33.781541666666662</v>
      </c>
      <c r="G1126" s="10">
        <f t="shared" ca="1" si="58"/>
        <v>33.798758333333339</v>
      </c>
      <c r="H1126" s="10">
        <f t="shared" ca="1" si="58"/>
        <v>33.970083333333335</v>
      </c>
      <c r="I1126" s="10">
        <f t="shared" ca="1" si="58"/>
        <v>33.779833333333336</v>
      </c>
      <c r="J1126" s="10">
        <f t="shared" ca="1" si="58"/>
        <v>33.774541666666671</v>
      </c>
      <c r="K1126" s="10">
        <f t="shared" ca="1" si="58"/>
        <v>33.775933333333334</v>
      </c>
      <c r="L1126" s="10">
        <f t="shared" ca="1" si="59"/>
        <v>34.557083333333331</v>
      </c>
      <c r="M1126" s="10">
        <f t="shared" ca="1" si="59"/>
        <v>33.44755</v>
      </c>
      <c r="N1126" s="10">
        <f t="shared" ca="1" si="59"/>
        <v>33.464575000000004</v>
      </c>
      <c r="O1126" s="10">
        <f t="shared" ca="1" si="59"/>
        <v>33.641116666666669</v>
      </c>
      <c r="P1126" s="10">
        <f t="shared" ca="1" si="59"/>
        <v>33.45279166666667</v>
      </c>
      <c r="Q1126" s="10">
        <f t="shared" ca="1" si="59"/>
        <v>34.236416666666663</v>
      </c>
      <c r="R1126" s="10">
        <f t="shared" ca="1" si="59"/>
        <v>34.908991666666672</v>
      </c>
      <c r="S1126" s="10">
        <f t="shared" ca="1" si="59"/>
        <v>32.830341666666662</v>
      </c>
      <c r="T1126" s="50">
        <f t="shared" ca="1" si="60"/>
        <v>357.24568100000005</v>
      </c>
      <c r="U1126" s="50">
        <f t="shared" ca="1" si="60"/>
        <v>142.03263249999998</v>
      </c>
      <c r="V1126" s="50">
        <f t="shared" ca="1" si="60"/>
        <v>50.187500000000007</v>
      </c>
      <c r="W1126" s="50">
        <f t="shared" ca="1" si="60"/>
        <v>5.0822234999999996</v>
      </c>
      <c r="X1126" s="50">
        <f t="shared" ca="1" si="60"/>
        <v>20.758966663999999</v>
      </c>
      <c r="Y1126" s="10"/>
      <c r="Z1126" s="10"/>
      <c r="AA1126" s="10"/>
      <c r="AB1126" s="10">
        <f t="shared" ca="1" si="61"/>
        <v>33.819634498326316</v>
      </c>
      <c r="AC1126" s="10">
        <f t="shared" ca="1" si="61"/>
        <v>33.537015707434051</v>
      </c>
    </row>
    <row r="1127" spans="1:29" ht="15" x14ac:dyDescent="0.2">
      <c r="A1127" s="11">
        <f t="shared" ref="A1127:A1157" si="62">A1126+1</f>
        <v>2070</v>
      </c>
      <c r="B1127" s="10">
        <f t="shared" ca="1" si="58"/>
        <v>35.091233333333335</v>
      </c>
      <c r="C1127" s="10">
        <f t="shared" ca="1" si="58"/>
        <v>35.097383333333333</v>
      </c>
      <c r="D1127" s="10">
        <f t="shared" ca="1" si="58"/>
        <v>35.229524999999995</v>
      </c>
      <c r="E1127" s="10">
        <f t="shared" ca="1" si="58"/>
        <v>35.261625000000009</v>
      </c>
      <c r="F1127" s="10">
        <f t="shared" ca="1" si="58"/>
        <v>35.062216666666671</v>
      </c>
      <c r="G1127" s="10">
        <f t="shared" ca="1" si="58"/>
        <v>35.079424999999993</v>
      </c>
      <c r="H1127" s="10">
        <f t="shared" ca="1" si="58"/>
        <v>35.250741666666677</v>
      </c>
      <c r="I1127" s="10">
        <f t="shared" ca="1" si="58"/>
        <v>35.060474999999997</v>
      </c>
      <c r="J1127" s="10">
        <f t="shared" ca="1" si="58"/>
        <v>35.055216666666674</v>
      </c>
      <c r="K1127" s="10">
        <f t="shared" ca="1" si="58"/>
        <v>35.056575000000002</v>
      </c>
      <c r="L1127" s="10">
        <f t="shared" ca="1" si="59"/>
        <v>35.837741666666666</v>
      </c>
      <c r="M1127" s="10">
        <f t="shared" ca="1" si="59"/>
        <v>34.715274999999998</v>
      </c>
      <c r="N1127" s="10">
        <f t="shared" ca="1" si="59"/>
        <v>34.732308333333329</v>
      </c>
      <c r="O1127" s="10">
        <f t="shared" ca="1" si="59"/>
        <v>34.908808333333326</v>
      </c>
      <c r="P1127" s="10">
        <f t="shared" ca="1" si="59"/>
        <v>34.720549999999996</v>
      </c>
      <c r="Q1127" s="10">
        <f t="shared" ca="1" si="59"/>
        <v>35.504108333333328</v>
      </c>
      <c r="R1127" s="10">
        <f t="shared" ca="1" si="59"/>
        <v>36.179883333333336</v>
      </c>
      <c r="S1127" s="10">
        <f t="shared" ca="1" si="59"/>
        <v>34.073974999999997</v>
      </c>
      <c r="T1127" s="50">
        <f t="shared" ca="1" si="60"/>
        <v>357.24568100000005</v>
      </c>
      <c r="U1127" s="50">
        <f t="shared" ca="1" si="60"/>
        <v>142.03263249999998</v>
      </c>
      <c r="V1127" s="50">
        <f t="shared" ca="1" si="60"/>
        <v>50.187500000000007</v>
      </c>
      <c r="W1127" s="50">
        <f t="shared" ca="1" si="60"/>
        <v>5.0822234999999996</v>
      </c>
      <c r="X1127" s="50">
        <f t="shared" ca="1" si="60"/>
        <v>20.758966663999999</v>
      </c>
      <c r="Y1127" s="10"/>
      <c r="Z1127" s="10"/>
      <c r="AA1127" s="10"/>
      <c r="AB1127" s="10">
        <f t="shared" ca="1" si="61"/>
        <v>35.100292412827386</v>
      </c>
      <c r="AC1127" s="10">
        <f t="shared" ca="1" si="61"/>
        <v>34.804730875299761</v>
      </c>
    </row>
    <row r="1128" spans="1:29" ht="15" x14ac:dyDescent="0.2">
      <c r="A1128" s="11">
        <f t="shared" si="62"/>
        <v>2071</v>
      </c>
      <c r="B1128" s="10">
        <f t="shared" ca="1" si="58"/>
        <v>36.420391666666667</v>
      </c>
      <c r="C1128" s="10">
        <f t="shared" ca="1" si="58"/>
        <v>36.426566666666666</v>
      </c>
      <c r="D1128" s="10">
        <f t="shared" ca="1" si="58"/>
        <v>36.558691666666661</v>
      </c>
      <c r="E1128" s="10">
        <f t="shared" ca="1" si="58"/>
        <v>36.590783333333334</v>
      </c>
      <c r="F1128" s="10">
        <f t="shared" ca="1" si="58"/>
        <v>36.391375000000004</v>
      </c>
      <c r="G1128" s="10">
        <f t="shared" ca="1" si="58"/>
        <v>36.4086</v>
      </c>
      <c r="H1128" s="10">
        <f t="shared" ca="1" si="58"/>
        <v>36.579916666666669</v>
      </c>
      <c r="I1128" s="10">
        <f t="shared" ca="1" si="58"/>
        <v>36.389633333333329</v>
      </c>
      <c r="J1128" s="10">
        <f t="shared" ca="1" si="58"/>
        <v>36.384374999999999</v>
      </c>
      <c r="K1128" s="10">
        <f t="shared" ca="1" si="58"/>
        <v>36.385750000000002</v>
      </c>
      <c r="L1128" s="10">
        <f t="shared" ca="1" si="59"/>
        <v>37.166916666666665</v>
      </c>
      <c r="M1128" s="10">
        <f t="shared" ca="1" si="59"/>
        <v>36.031016666666666</v>
      </c>
      <c r="N1128" s="10">
        <f t="shared" ca="1" si="59"/>
        <v>36.048049999999996</v>
      </c>
      <c r="O1128" s="10">
        <f t="shared" ca="1" si="59"/>
        <v>36.224591666666669</v>
      </c>
      <c r="P1128" s="10">
        <f t="shared" ca="1" si="59"/>
        <v>36.03627500000001</v>
      </c>
      <c r="Q1128" s="10">
        <f t="shared" ca="1" si="59"/>
        <v>36.819891666666663</v>
      </c>
      <c r="R1128" s="10">
        <f t="shared" ca="1" si="59"/>
        <v>37.498941666666674</v>
      </c>
      <c r="S1128" s="10">
        <f t="shared" ca="1" si="59"/>
        <v>35.364741666666674</v>
      </c>
      <c r="T1128" s="50">
        <f t="shared" ca="1" si="60"/>
        <v>357.24568100000005</v>
      </c>
      <c r="U1128" s="50">
        <f t="shared" ca="1" si="60"/>
        <v>142.03263249999998</v>
      </c>
      <c r="V1128" s="50">
        <f t="shared" ca="1" si="60"/>
        <v>50.187500000000007</v>
      </c>
      <c r="W1128" s="50">
        <f t="shared" ca="1" si="60"/>
        <v>5.0822234999999996</v>
      </c>
      <c r="X1128" s="50">
        <f t="shared" ca="1" si="60"/>
        <v>20.758966663999999</v>
      </c>
      <c r="Y1128" s="10"/>
      <c r="Z1128" s="10"/>
      <c r="AA1128" s="10"/>
      <c r="AB1128" s="10">
        <f t="shared" ca="1" si="61"/>
        <v>36.429459213064334</v>
      </c>
      <c r="AC1128" s="10">
        <f t="shared" ca="1" si="61"/>
        <v>36.12048902877698</v>
      </c>
    </row>
    <row r="1129" spans="1:29" ht="15" x14ac:dyDescent="0.2">
      <c r="A1129" s="11">
        <f t="shared" si="62"/>
        <v>2072</v>
      </c>
      <c r="B1129" s="10">
        <f t="shared" ref="B1129:K1138" ca="1" si="63">AVERAGE(OFFSET(B$601,($A1129-$A$1119)*12,0,12,1))</f>
        <v>37.799925000000002</v>
      </c>
      <c r="C1129" s="10">
        <f t="shared" ca="1" si="63"/>
        <v>37.806075</v>
      </c>
      <c r="D1129" s="10">
        <f t="shared" ca="1" si="63"/>
        <v>37.938208333333336</v>
      </c>
      <c r="E1129" s="10">
        <f t="shared" ca="1" si="63"/>
        <v>37.970300000000002</v>
      </c>
      <c r="F1129" s="10">
        <f t="shared" ca="1" si="63"/>
        <v>37.77088333333333</v>
      </c>
      <c r="G1129" s="10">
        <f t="shared" ca="1" si="63"/>
        <v>37.788108333333334</v>
      </c>
      <c r="H1129" s="10">
        <f t="shared" ca="1" si="63"/>
        <v>37.959416666666669</v>
      </c>
      <c r="I1129" s="10">
        <f t="shared" ca="1" si="63"/>
        <v>37.76915833333333</v>
      </c>
      <c r="J1129" s="10">
        <f t="shared" ca="1" si="63"/>
        <v>37.763883333333332</v>
      </c>
      <c r="K1129" s="10">
        <f t="shared" ca="1" si="63"/>
        <v>37.765266666666669</v>
      </c>
      <c r="L1129" s="10">
        <f t="shared" ref="L1129:S1138" ca="1" si="64">AVERAGE(OFFSET(L$601,($A1129-$A$1119)*12,0,12,1))</f>
        <v>38.546416666666666</v>
      </c>
      <c r="M1129" s="10">
        <f t="shared" ca="1" si="64"/>
        <v>37.396608333333333</v>
      </c>
      <c r="N1129" s="10">
        <f t="shared" ca="1" si="64"/>
        <v>37.413666666666664</v>
      </c>
      <c r="O1129" s="10">
        <f t="shared" ca="1" si="64"/>
        <v>37.590174999999995</v>
      </c>
      <c r="P1129" s="10">
        <f t="shared" ca="1" si="64"/>
        <v>37.40185833333333</v>
      </c>
      <c r="Q1129" s="10">
        <f t="shared" ca="1" si="64"/>
        <v>38.185474999999997</v>
      </c>
      <c r="R1129" s="10">
        <f t="shared" ca="1" si="64"/>
        <v>38.867933333333333</v>
      </c>
      <c r="S1129" s="10">
        <f t="shared" ca="1" si="64"/>
        <v>36.704383333333332</v>
      </c>
      <c r="T1129" s="50">
        <f t="shared" ref="T1129:X1138" ca="1" si="65">SUM(OFFSET(T$601,($A1129-$A$1119)*12,0,12,1))</f>
        <v>358.17703550000004</v>
      </c>
      <c r="U1129" s="50">
        <f t="shared" ca="1" si="65"/>
        <v>142.42176299999997</v>
      </c>
      <c r="V1129" s="50">
        <f t="shared" ca="1" si="65"/>
        <v>50.325000000000003</v>
      </c>
      <c r="W1129" s="50">
        <f t="shared" ca="1" si="65"/>
        <v>5.0961473999999995</v>
      </c>
      <c r="X1129" s="50">
        <f t="shared" ca="1" si="65"/>
        <v>20.800615543999996</v>
      </c>
      <c r="Y1129" s="10"/>
      <c r="Z1129" s="10"/>
      <c r="AA1129" s="10"/>
      <c r="AB1129" s="10">
        <f t="shared" ca="1" si="61"/>
        <v>37.80897375928695</v>
      </c>
      <c r="AC1129" s="10">
        <f t="shared" ca="1" si="61"/>
        <v>37.486077158273382</v>
      </c>
    </row>
    <row r="1130" spans="1:29" ht="15" x14ac:dyDescent="0.2">
      <c r="A1130" s="11">
        <f t="shared" si="62"/>
        <v>2073</v>
      </c>
      <c r="B1130" s="10">
        <f t="shared" ca="1" si="63"/>
        <v>39.231700000000004</v>
      </c>
      <c r="C1130" s="10">
        <f t="shared" ca="1" si="63"/>
        <v>39.237858333333335</v>
      </c>
      <c r="D1130" s="10">
        <f t="shared" ca="1" si="63"/>
        <v>39.36998333333333</v>
      </c>
      <c r="E1130" s="10">
        <f t="shared" ca="1" si="63"/>
        <v>39.402091666666671</v>
      </c>
      <c r="F1130" s="10">
        <f t="shared" ca="1" si="63"/>
        <v>39.202658333333332</v>
      </c>
      <c r="G1130" s="10">
        <f t="shared" ca="1" si="63"/>
        <v>39.219891666666669</v>
      </c>
      <c r="H1130" s="10">
        <f t="shared" ca="1" si="63"/>
        <v>39.391200000000005</v>
      </c>
      <c r="I1130" s="10">
        <f t="shared" ca="1" si="63"/>
        <v>39.200933333333332</v>
      </c>
      <c r="J1130" s="10">
        <f t="shared" ca="1" si="63"/>
        <v>39.195658333333334</v>
      </c>
      <c r="K1130" s="10">
        <f t="shared" ca="1" si="63"/>
        <v>39.197041666666664</v>
      </c>
      <c r="L1130" s="10">
        <f t="shared" ca="1" si="64"/>
        <v>39.978200000000001</v>
      </c>
      <c r="M1130" s="10">
        <f t="shared" ca="1" si="64"/>
        <v>38.813949999999998</v>
      </c>
      <c r="N1130" s="10">
        <f t="shared" ca="1" si="64"/>
        <v>38.831008333333337</v>
      </c>
      <c r="O1130" s="10">
        <f t="shared" ca="1" si="64"/>
        <v>39.007491666666674</v>
      </c>
      <c r="P1130" s="10">
        <f t="shared" ca="1" si="64"/>
        <v>38.819200000000002</v>
      </c>
      <c r="Q1130" s="10">
        <f t="shared" ca="1" si="64"/>
        <v>39.602791666666668</v>
      </c>
      <c r="R1130" s="10">
        <f t="shared" ca="1" si="64"/>
        <v>40.288800000000002</v>
      </c>
      <c r="S1130" s="10">
        <f t="shared" ca="1" si="64"/>
        <v>38.094791666666673</v>
      </c>
      <c r="T1130" s="50">
        <f t="shared" ca="1" si="65"/>
        <v>357.24568100000005</v>
      </c>
      <c r="U1130" s="50">
        <f t="shared" ca="1" si="65"/>
        <v>142.03263249999998</v>
      </c>
      <c r="V1130" s="50">
        <f t="shared" ca="1" si="65"/>
        <v>50.187500000000007</v>
      </c>
      <c r="W1130" s="50">
        <f t="shared" ca="1" si="65"/>
        <v>5.0822234999999996</v>
      </c>
      <c r="X1130" s="50">
        <f t="shared" ca="1" si="65"/>
        <v>20.758966663999999</v>
      </c>
      <c r="Y1130" s="10"/>
      <c r="Z1130" s="10"/>
      <c r="AA1130" s="10"/>
      <c r="AB1130" s="10">
        <f t="shared" ca="1" si="61"/>
        <v>39.240752784601625</v>
      </c>
      <c r="AC1130" s="10">
        <f t="shared" ca="1" si="61"/>
        <v>38.903407494004796</v>
      </c>
    </row>
    <row r="1131" spans="1:29" ht="15" x14ac:dyDescent="0.2">
      <c r="A1131" s="11">
        <f t="shared" si="62"/>
        <v>2074</v>
      </c>
      <c r="B1131" s="10">
        <f t="shared" ca="1" si="63"/>
        <v>40.717708333333327</v>
      </c>
      <c r="C1131" s="10">
        <f t="shared" ca="1" si="63"/>
        <v>40.723875</v>
      </c>
      <c r="D1131" s="10">
        <f t="shared" ca="1" si="63"/>
        <v>40.855999999999995</v>
      </c>
      <c r="E1131" s="10">
        <f t="shared" ca="1" si="63"/>
        <v>40.888100000000001</v>
      </c>
      <c r="F1131" s="10">
        <f t="shared" ca="1" si="63"/>
        <v>40.688674999999996</v>
      </c>
      <c r="G1131" s="10">
        <f t="shared" ca="1" si="63"/>
        <v>40.705891666666666</v>
      </c>
      <c r="H1131" s="10">
        <f t="shared" ca="1" si="63"/>
        <v>40.877216666666662</v>
      </c>
      <c r="I1131" s="10">
        <f t="shared" ca="1" si="63"/>
        <v>40.686933333333336</v>
      </c>
      <c r="J1131" s="10">
        <f t="shared" ca="1" si="63"/>
        <v>40.681674999999991</v>
      </c>
      <c r="K1131" s="10">
        <f t="shared" ca="1" si="63"/>
        <v>40.683050000000001</v>
      </c>
      <c r="L1131" s="10">
        <f t="shared" ca="1" si="64"/>
        <v>41.464216666666665</v>
      </c>
      <c r="M1131" s="10">
        <f t="shared" ca="1" si="64"/>
        <v>40.284949999999995</v>
      </c>
      <c r="N1131" s="10">
        <f t="shared" ca="1" si="64"/>
        <v>40.301999999999992</v>
      </c>
      <c r="O1131" s="10">
        <f t="shared" ca="1" si="64"/>
        <v>40.478516666666671</v>
      </c>
      <c r="P1131" s="10">
        <f t="shared" ca="1" si="64"/>
        <v>40.290216666666673</v>
      </c>
      <c r="Q1131" s="10">
        <f t="shared" ca="1" si="64"/>
        <v>41.073816666666666</v>
      </c>
      <c r="R1131" s="10">
        <f t="shared" ca="1" si="64"/>
        <v>41.763500000000001</v>
      </c>
      <c r="S1131" s="10">
        <f t="shared" ca="1" si="64"/>
        <v>39.537858333333332</v>
      </c>
      <c r="T1131" s="50">
        <f t="shared" ca="1" si="65"/>
        <v>357.24568100000005</v>
      </c>
      <c r="U1131" s="50">
        <f t="shared" ca="1" si="65"/>
        <v>142.03263249999998</v>
      </c>
      <c r="V1131" s="50">
        <f t="shared" ca="1" si="65"/>
        <v>50.187500000000007</v>
      </c>
      <c r="W1131" s="50">
        <f t="shared" ca="1" si="65"/>
        <v>5.0822234999999996</v>
      </c>
      <c r="X1131" s="50">
        <f t="shared" ca="1" si="65"/>
        <v>20.758966663999999</v>
      </c>
      <c r="Y1131" s="10"/>
      <c r="Z1131" s="10"/>
      <c r="AA1131" s="10"/>
      <c r="AB1131" s="10">
        <f t="shared" ca="1" si="61"/>
        <v>40.7267642302089</v>
      </c>
      <c r="AC1131" s="10">
        <f t="shared" ca="1" si="61"/>
        <v>40.374420743405274</v>
      </c>
    </row>
    <row r="1132" spans="1:29" ht="15" x14ac:dyDescent="0.2">
      <c r="A1132" s="11">
        <f t="shared" si="62"/>
        <v>2075</v>
      </c>
      <c r="B1132" s="10">
        <f t="shared" ca="1" si="63"/>
        <v>42.260016666666665</v>
      </c>
      <c r="C1132" s="10">
        <f t="shared" ca="1" si="63"/>
        <v>42.266183333333331</v>
      </c>
      <c r="D1132" s="10">
        <f t="shared" ca="1" si="63"/>
        <v>42.398316666666666</v>
      </c>
      <c r="E1132" s="10">
        <f t="shared" ca="1" si="63"/>
        <v>42.430399999999999</v>
      </c>
      <c r="F1132" s="10">
        <f t="shared" ca="1" si="63"/>
        <v>42.230983333333334</v>
      </c>
      <c r="G1132" s="10">
        <f t="shared" ca="1" si="63"/>
        <v>42.248208333333331</v>
      </c>
      <c r="H1132" s="10">
        <f t="shared" ca="1" si="63"/>
        <v>42.419516666666659</v>
      </c>
      <c r="I1132" s="10">
        <f t="shared" ca="1" si="63"/>
        <v>42.229258333333341</v>
      </c>
      <c r="J1132" s="10">
        <f t="shared" ca="1" si="63"/>
        <v>42.223983333333329</v>
      </c>
      <c r="K1132" s="10">
        <f t="shared" ca="1" si="63"/>
        <v>42.225375</v>
      </c>
      <c r="L1132" s="10">
        <f t="shared" ca="1" si="64"/>
        <v>43.006516666666663</v>
      </c>
      <c r="M1132" s="10">
        <f t="shared" ca="1" si="64"/>
        <v>41.811691666666668</v>
      </c>
      <c r="N1132" s="10">
        <f t="shared" ca="1" si="64"/>
        <v>41.828749999999999</v>
      </c>
      <c r="O1132" s="10">
        <f t="shared" ca="1" si="64"/>
        <v>42.005283333333331</v>
      </c>
      <c r="P1132" s="10">
        <f t="shared" ca="1" si="64"/>
        <v>41.816958333333339</v>
      </c>
      <c r="Q1132" s="10">
        <f t="shared" ca="1" si="64"/>
        <v>42.600583333333333</v>
      </c>
      <c r="R1132" s="10">
        <f t="shared" ca="1" si="64"/>
        <v>43.294058333333318</v>
      </c>
      <c r="S1132" s="10">
        <f t="shared" ca="1" si="64"/>
        <v>41.035591666666669</v>
      </c>
      <c r="T1132" s="50">
        <f t="shared" ca="1" si="65"/>
        <v>357.24568100000005</v>
      </c>
      <c r="U1132" s="50">
        <f t="shared" ca="1" si="65"/>
        <v>142.03263249999998</v>
      </c>
      <c r="V1132" s="50">
        <f t="shared" ca="1" si="65"/>
        <v>50.187500000000007</v>
      </c>
      <c r="W1132" s="50">
        <f t="shared" ca="1" si="65"/>
        <v>5.0822234999999996</v>
      </c>
      <c r="X1132" s="50">
        <f t="shared" ca="1" si="65"/>
        <v>20.758966663999999</v>
      </c>
      <c r="Y1132" s="10"/>
      <c r="Z1132" s="10"/>
      <c r="AA1132" s="10"/>
      <c r="AB1132" s="10">
        <f t="shared" ca="1" si="61"/>
        <v>42.26907471786852</v>
      </c>
      <c r="AC1132" s="10">
        <f t="shared" ca="1" si="61"/>
        <v>41.901174220623496</v>
      </c>
    </row>
    <row r="1133" spans="1:29" ht="15" x14ac:dyDescent="0.2">
      <c r="A1133" s="11">
        <f t="shared" si="62"/>
        <v>2076</v>
      </c>
      <c r="B1133" s="10">
        <f t="shared" ca="1" si="63"/>
        <v>43.860758333333337</v>
      </c>
      <c r="C1133" s="10">
        <f t="shared" ca="1" si="63"/>
        <v>43.866908333333335</v>
      </c>
      <c r="D1133" s="10">
        <f t="shared" ca="1" si="63"/>
        <v>43.99903333333333</v>
      </c>
      <c r="E1133" s="10">
        <f t="shared" ca="1" si="63"/>
        <v>44.031133333333344</v>
      </c>
      <c r="F1133" s="10">
        <f t="shared" ca="1" si="63"/>
        <v>43.831708333333331</v>
      </c>
      <c r="G1133" s="10">
        <f t="shared" ca="1" si="63"/>
        <v>43.848941666666668</v>
      </c>
      <c r="H1133" s="10">
        <f t="shared" ca="1" si="63"/>
        <v>44.020258333333338</v>
      </c>
      <c r="I1133" s="10">
        <f t="shared" ca="1" si="63"/>
        <v>43.829991666666672</v>
      </c>
      <c r="J1133" s="10">
        <f t="shared" ca="1" si="63"/>
        <v>43.824708333333326</v>
      </c>
      <c r="K1133" s="10">
        <f t="shared" ca="1" si="63"/>
        <v>43.826100000000004</v>
      </c>
      <c r="L1133" s="10">
        <f t="shared" ca="1" si="64"/>
        <v>44.607258333333334</v>
      </c>
      <c r="M1133" s="10">
        <f t="shared" ca="1" si="64"/>
        <v>43.396275000000003</v>
      </c>
      <c r="N1133" s="10">
        <f t="shared" ca="1" si="64"/>
        <v>43.413316666666667</v>
      </c>
      <c r="O1133" s="10">
        <f t="shared" ca="1" si="64"/>
        <v>43.589824999999998</v>
      </c>
      <c r="P1133" s="10">
        <f t="shared" ca="1" si="64"/>
        <v>43.401541666666674</v>
      </c>
      <c r="Q1133" s="10">
        <f t="shared" ca="1" si="64"/>
        <v>44.185124999999999</v>
      </c>
      <c r="R1133" s="10">
        <f t="shared" ca="1" si="64"/>
        <v>44.882599999999996</v>
      </c>
      <c r="S1133" s="10">
        <f t="shared" ca="1" si="64"/>
        <v>42.590058333333339</v>
      </c>
      <c r="T1133" s="50">
        <f t="shared" ca="1" si="65"/>
        <v>358.17703550000004</v>
      </c>
      <c r="U1133" s="50">
        <f t="shared" ca="1" si="65"/>
        <v>142.42176299999997</v>
      </c>
      <c r="V1133" s="50">
        <f t="shared" ca="1" si="65"/>
        <v>50.325000000000003</v>
      </c>
      <c r="W1133" s="50">
        <f t="shared" ca="1" si="65"/>
        <v>5.0961473999999995</v>
      </c>
      <c r="X1133" s="50">
        <f t="shared" ca="1" si="65"/>
        <v>20.800615543999996</v>
      </c>
      <c r="Y1133" s="10"/>
      <c r="Z1133" s="10"/>
      <c r="AA1133" s="10"/>
      <c r="AB1133" s="10">
        <f t="shared" ca="1" si="61"/>
        <v>43.869803672961019</v>
      </c>
      <c r="AC1133" s="10">
        <f t="shared" ca="1" si="61"/>
        <v>43.485737709832136</v>
      </c>
    </row>
    <row r="1134" spans="1:29" ht="15" x14ac:dyDescent="0.2">
      <c r="A1134" s="11">
        <f t="shared" si="62"/>
        <v>2077</v>
      </c>
      <c r="B1134" s="10">
        <f t="shared" ca="1" si="63"/>
        <v>45.522108333333328</v>
      </c>
      <c r="C1134" s="10">
        <f t="shared" ca="1" si="63"/>
        <v>45.528283333333327</v>
      </c>
      <c r="D1134" s="10">
        <f t="shared" ca="1" si="63"/>
        <v>45.660416666666663</v>
      </c>
      <c r="E1134" s="10">
        <f t="shared" ca="1" si="63"/>
        <v>45.692500000000003</v>
      </c>
      <c r="F1134" s="10">
        <f t="shared" ca="1" si="63"/>
        <v>45.493083333333338</v>
      </c>
      <c r="G1134" s="10">
        <f t="shared" ca="1" si="63"/>
        <v>45.510308333333342</v>
      </c>
      <c r="H1134" s="10">
        <f t="shared" ca="1" si="63"/>
        <v>45.681624999999997</v>
      </c>
      <c r="I1134" s="10">
        <f t="shared" ca="1" si="63"/>
        <v>45.491366666666664</v>
      </c>
      <c r="J1134" s="10">
        <f t="shared" ca="1" si="63"/>
        <v>45.486083333333333</v>
      </c>
      <c r="K1134" s="10">
        <f t="shared" ca="1" si="63"/>
        <v>45.487474999999996</v>
      </c>
      <c r="L1134" s="10">
        <f t="shared" ca="1" si="64"/>
        <v>46.268624999999993</v>
      </c>
      <c r="M1134" s="10">
        <f t="shared" ca="1" si="64"/>
        <v>45.040866666666666</v>
      </c>
      <c r="N1134" s="10">
        <f t="shared" ca="1" si="64"/>
        <v>45.057941666666665</v>
      </c>
      <c r="O1134" s="10">
        <f t="shared" ca="1" si="64"/>
        <v>45.234441666666669</v>
      </c>
      <c r="P1134" s="10">
        <f t="shared" ca="1" si="64"/>
        <v>45.046133333333337</v>
      </c>
      <c r="Q1134" s="10">
        <f t="shared" ca="1" si="64"/>
        <v>45.829741666666671</v>
      </c>
      <c r="R1134" s="10">
        <f t="shared" ca="1" si="64"/>
        <v>46.531325000000002</v>
      </c>
      <c r="S1134" s="10">
        <f t="shared" ca="1" si="64"/>
        <v>44.203416666666662</v>
      </c>
      <c r="T1134" s="50">
        <f t="shared" ca="1" si="65"/>
        <v>357.24568100000005</v>
      </c>
      <c r="U1134" s="50">
        <f t="shared" ca="1" si="65"/>
        <v>142.03263249999998</v>
      </c>
      <c r="V1134" s="50">
        <f t="shared" ca="1" si="65"/>
        <v>50.187500000000007</v>
      </c>
      <c r="W1134" s="50">
        <f t="shared" ca="1" si="65"/>
        <v>5.0822234999999996</v>
      </c>
      <c r="X1134" s="50">
        <f t="shared" ca="1" si="65"/>
        <v>20.758966663999999</v>
      </c>
      <c r="Y1134" s="10"/>
      <c r="Z1134" s="10"/>
      <c r="AA1134" s="10"/>
      <c r="AB1134" s="10">
        <f t="shared" ca="1" si="61"/>
        <v>45.531174756327538</v>
      </c>
      <c r="AC1134" s="10">
        <f t="shared" ca="1" si="61"/>
        <v>45.130342625899289</v>
      </c>
    </row>
    <row r="1135" spans="1:29" ht="15" x14ac:dyDescent="0.2">
      <c r="A1135" s="11">
        <f t="shared" si="62"/>
        <v>2078</v>
      </c>
      <c r="B1135" s="10">
        <f t="shared" ca="1" si="63"/>
        <v>47.246433333333329</v>
      </c>
      <c r="C1135" s="10">
        <f t="shared" ca="1" si="63"/>
        <v>47.252583333333327</v>
      </c>
      <c r="D1135" s="10">
        <f t="shared" ca="1" si="63"/>
        <v>47.384724999999996</v>
      </c>
      <c r="E1135" s="10">
        <f t="shared" ca="1" si="63"/>
        <v>47.416816666666669</v>
      </c>
      <c r="F1135" s="10">
        <f t="shared" ca="1" si="63"/>
        <v>47.217391666666664</v>
      </c>
      <c r="G1135" s="10">
        <f t="shared" ca="1" si="63"/>
        <v>47.234616666666675</v>
      </c>
      <c r="H1135" s="10">
        <f t="shared" ca="1" si="63"/>
        <v>47.405916666666663</v>
      </c>
      <c r="I1135" s="10">
        <f t="shared" ca="1" si="63"/>
        <v>47.215683333333338</v>
      </c>
      <c r="J1135" s="10">
        <f t="shared" ca="1" si="63"/>
        <v>47.210391666666673</v>
      </c>
      <c r="K1135" s="10">
        <f t="shared" ca="1" si="63"/>
        <v>47.211783333333329</v>
      </c>
      <c r="L1135" s="10">
        <f t="shared" ca="1" si="64"/>
        <v>47.992916666666666</v>
      </c>
      <c r="M1135" s="10">
        <f t="shared" ca="1" si="64"/>
        <v>46.74777499999999</v>
      </c>
      <c r="N1135" s="10">
        <f t="shared" ca="1" si="64"/>
        <v>46.764849999999996</v>
      </c>
      <c r="O1135" s="10">
        <f t="shared" ca="1" si="64"/>
        <v>46.94135</v>
      </c>
      <c r="P1135" s="10">
        <f t="shared" ca="1" si="64"/>
        <v>46.753050000000002</v>
      </c>
      <c r="Q1135" s="10">
        <f t="shared" ca="1" si="64"/>
        <v>47.536649999999987</v>
      </c>
      <c r="R1135" s="10">
        <f t="shared" ca="1" si="64"/>
        <v>48.242491666666673</v>
      </c>
      <c r="S1135" s="10">
        <f t="shared" ca="1" si="64"/>
        <v>45.87789166666667</v>
      </c>
      <c r="T1135" s="50">
        <f t="shared" ca="1" si="65"/>
        <v>357.24568100000005</v>
      </c>
      <c r="U1135" s="50">
        <f t="shared" ca="1" si="65"/>
        <v>142.03263249999998</v>
      </c>
      <c r="V1135" s="50">
        <f t="shared" ca="1" si="65"/>
        <v>50.187500000000007</v>
      </c>
      <c r="W1135" s="50">
        <f t="shared" ca="1" si="65"/>
        <v>5.0822234999999996</v>
      </c>
      <c r="X1135" s="50">
        <f t="shared" ca="1" si="65"/>
        <v>20.758966663999999</v>
      </c>
      <c r="Y1135" s="10"/>
      <c r="Z1135" s="10"/>
      <c r="AA1135" s="10"/>
      <c r="AB1135" s="10">
        <f t="shared" ca="1" si="61"/>
        <v>47.255484826649166</v>
      </c>
      <c r="AC1135" s="10">
        <f t="shared" ca="1" si="61"/>
        <v>46.83725215827338</v>
      </c>
    </row>
    <row r="1136" spans="1:29" ht="15" x14ac:dyDescent="0.2">
      <c r="A1136" s="11">
        <f t="shared" si="62"/>
        <v>2079</v>
      </c>
      <c r="B1136" s="10">
        <f t="shared" ca="1" si="63"/>
        <v>49.03605833333333</v>
      </c>
      <c r="C1136" s="10">
        <f t="shared" ca="1" si="63"/>
        <v>49.042225000000002</v>
      </c>
      <c r="D1136" s="10">
        <f t="shared" ca="1" si="63"/>
        <v>49.174341666666663</v>
      </c>
      <c r="E1136" s="10">
        <f t="shared" ca="1" si="63"/>
        <v>49.206449999999997</v>
      </c>
      <c r="F1136" s="10">
        <f t="shared" ca="1" si="63"/>
        <v>49.007024999999999</v>
      </c>
      <c r="G1136" s="10">
        <f t="shared" ca="1" si="63"/>
        <v>49.024258333333329</v>
      </c>
      <c r="H1136" s="10">
        <f t="shared" ca="1" si="63"/>
        <v>49.195574999999998</v>
      </c>
      <c r="I1136" s="10">
        <f t="shared" ca="1" si="63"/>
        <v>49.005291666666672</v>
      </c>
      <c r="J1136" s="10">
        <f t="shared" ca="1" si="63"/>
        <v>49.000025000000001</v>
      </c>
      <c r="K1136" s="10">
        <f t="shared" ca="1" si="63"/>
        <v>49.00139999999999</v>
      </c>
      <c r="L1136" s="10">
        <f t="shared" ca="1" si="64"/>
        <v>49.782575000000001</v>
      </c>
      <c r="M1136" s="10">
        <f t="shared" ca="1" si="64"/>
        <v>48.519358333333336</v>
      </c>
      <c r="N1136" s="10">
        <f t="shared" ca="1" si="64"/>
        <v>48.536408333333334</v>
      </c>
      <c r="O1136" s="10">
        <f t="shared" ca="1" si="64"/>
        <v>48.712916666666665</v>
      </c>
      <c r="P1136" s="10">
        <f t="shared" ca="1" si="64"/>
        <v>48.524608333333333</v>
      </c>
      <c r="Q1136" s="10">
        <f t="shared" ca="1" si="64"/>
        <v>49.308216666666674</v>
      </c>
      <c r="R1136" s="10">
        <f t="shared" ca="1" si="64"/>
        <v>50.018475000000002</v>
      </c>
      <c r="S1136" s="10">
        <f t="shared" ca="1" si="64"/>
        <v>47.615816666666667</v>
      </c>
      <c r="T1136" s="50">
        <f t="shared" ca="1" si="65"/>
        <v>357.24568100000005</v>
      </c>
      <c r="U1136" s="50">
        <f t="shared" ca="1" si="65"/>
        <v>142.03263249999998</v>
      </c>
      <c r="V1136" s="50">
        <f t="shared" ca="1" si="65"/>
        <v>50.187500000000007</v>
      </c>
      <c r="W1136" s="50">
        <f t="shared" ca="1" si="65"/>
        <v>5.0822234999999996</v>
      </c>
      <c r="X1136" s="50">
        <f t="shared" ca="1" si="65"/>
        <v>20.758966663999999</v>
      </c>
      <c r="Y1136" s="10"/>
      <c r="Z1136" s="10"/>
      <c r="AA1136" s="10"/>
      <c r="AB1136" s="10">
        <f t="shared" ca="1" si="61"/>
        <v>49.045116198149465</v>
      </c>
      <c r="AC1136" s="10">
        <f t="shared" ca="1" si="61"/>
        <v>48.608822901678657</v>
      </c>
    </row>
    <row r="1137" spans="1:29" ht="15" x14ac:dyDescent="0.2">
      <c r="A1137" s="11">
        <f t="shared" si="62"/>
        <v>2080</v>
      </c>
      <c r="B1137" s="10">
        <f t="shared" ca="1" si="63"/>
        <v>50.893491666666669</v>
      </c>
      <c r="C1137" s="10">
        <f t="shared" ca="1" si="63"/>
        <v>50.899641666666668</v>
      </c>
      <c r="D1137" s="10">
        <f t="shared" ca="1" si="63"/>
        <v>51.03178333333333</v>
      </c>
      <c r="E1137" s="10">
        <f t="shared" ca="1" si="63"/>
        <v>51.063866666666662</v>
      </c>
      <c r="F1137" s="10">
        <f t="shared" ca="1" si="63"/>
        <v>50.864458333333339</v>
      </c>
      <c r="G1137" s="10">
        <f t="shared" ca="1" si="63"/>
        <v>50.881674999999994</v>
      </c>
      <c r="H1137" s="10">
        <f t="shared" ca="1" si="63"/>
        <v>51.05296666666667</v>
      </c>
      <c r="I1137" s="10">
        <f t="shared" ca="1" si="63"/>
        <v>50.862741666666665</v>
      </c>
      <c r="J1137" s="10">
        <f t="shared" ca="1" si="63"/>
        <v>50.857458333333334</v>
      </c>
      <c r="K1137" s="10">
        <f t="shared" ca="1" si="63"/>
        <v>50.858849999999997</v>
      </c>
      <c r="L1137" s="10">
        <f t="shared" ca="1" si="64"/>
        <v>51.639966666666673</v>
      </c>
      <c r="M1137" s="10">
        <f t="shared" ca="1" si="64"/>
        <v>50.358033333333339</v>
      </c>
      <c r="N1137" s="10">
        <f t="shared" ca="1" si="64"/>
        <v>50.375074999999988</v>
      </c>
      <c r="O1137" s="10">
        <f t="shared" ca="1" si="64"/>
        <v>50.551600000000001</v>
      </c>
      <c r="P1137" s="10">
        <f t="shared" ca="1" si="64"/>
        <v>50.363308333333322</v>
      </c>
      <c r="Q1137" s="10">
        <f t="shared" ca="1" si="64"/>
        <v>51.146899999999995</v>
      </c>
      <c r="R1137" s="10">
        <f t="shared" ca="1" si="64"/>
        <v>51.861775000000002</v>
      </c>
      <c r="S1137" s="10">
        <f t="shared" ca="1" si="64"/>
        <v>49.419549999999994</v>
      </c>
      <c r="T1137" s="50">
        <f t="shared" ca="1" si="65"/>
        <v>358.17703550000004</v>
      </c>
      <c r="U1137" s="50">
        <f t="shared" ca="1" si="65"/>
        <v>142.42176299999997</v>
      </c>
      <c r="V1137" s="50">
        <f t="shared" ca="1" si="65"/>
        <v>50.325000000000003</v>
      </c>
      <c r="W1137" s="50">
        <f t="shared" ca="1" si="65"/>
        <v>5.0961473999999995</v>
      </c>
      <c r="X1137" s="50">
        <f t="shared" ca="1" si="65"/>
        <v>20.800615543999996</v>
      </c>
      <c r="Y1137" s="10"/>
      <c r="Z1137" s="10"/>
      <c r="AA1137" s="10"/>
      <c r="AB1137" s="10">
        <f t="shared" ca="1" si="61"/>
        <v>50.90254461651994</v>
      </c>
      <c r="AC1137" s="10">
        <f t="shared" ca="1" si="61"/>
        <v>50.447504796163066</v>
      </c>
    </row>
    <row r="1138" spans="1:29" ht="15" x14ac:dyDescent="0.2">
      <c r="A1138" s="11">
        <f t="shared" si="62"/>
        <v>2081</v>
      </c>
      <c r="B1138" s="10">
        <f t="shared" ca="1" si="63"/>
        <v>52.821283333333334</v>
      </c>
      <c r="C1138" s="10">
        <f t="shared" ca="1" si="63"/>
        <v>52.827433333333339</v>
      </c>
      <c r="D1138" s="10">
        <f t="shared" ca="1" si="63"/>
        <v>52.959558333333327</v>
      </c>
      <c r="E1138" s="10">
        <f t="shared" ca="1" si="63"/>
        <v>52.99165</v>
      </c>
      <c r="F1138" s="10">
        <f t="shared" ca="1" si="63"/>
        <v>52.792249999999996</v>
      </c>
      <c r="G1138" s="10">
        <f t="shared" ca="1" si="63"/>
        <v>52.809450000000005</v>
      </c>
      <c r="H1138" s="10">
        <f t="shared" ca="1" si="63"/>
        <v>52.980758333333334</v>
      </c>
      <c r="I1138" s="10">
        <f t="shared" ca="1" si="63"/>
        <v>52.790516666666655</v>
      </c>
      <c r="J1138" s="10">
        <f t="shared" ca="1" si="63"/>
        <v>52.785250000000012</v>
      </c>
      <c r="K1138" s="10">
        <f t="shared" ca="1" si="63"/>
        <v>52.786616666666667</v>
      </c>
      <c r="L1138" s="10">
        <f t="shared" ca="1" si="64"/>
        <v>53.567758333333337</v>
      </c>
      <c r="M1138" s="10">
        <f t="shared" ca="1" si="64"/>
        <v>52.26638333333333</v>
      </c>
      <c r="N1138" s="10">
        <f t="shared" ca="1" si="64"/>
        <v>52.283416666666675</v>
      </c>
      <c r="O1138" s="10">
        <f t="shared" ca="1" si="64"/>
        <v>52.459925000000005</v>
      </c>
      <c r="P1138" s="10">
        <f t="shared" ca="1" si="64"/>
        <v>52.271625000000007</v>
      </c>
      <c r="Q1138" s="10">
        <f t="shared" ca="1" si="64"/>
        <v>53.055225</v>
      </c>
      <c r="R1138" s="10">
        <f t="shared" ca="1" si="64"/>
        <v>53.774866666666668</v>
      </c>
      <c r="S1138" s="10">
        <f t="shared" ca="1" si="64"/>
        <v>51.291633333333344</v>
      </c>
      <c r="T1138" s="50">
        <f t="shared" ca="1" si="65"/>
        <v>357.24568100000005</v>
      </c>
      <c r="U1138" s="50">
        <f t="shared" ca="1" si="65"/>
        <v>142.03263249999998</v>
      </c>
      <c r="V1138" s="50">
        <f t="shared" ca="1" si="65"/>
        <v>50.187500000000007</v>
      </c>
      <c r="W1138" s="50">
        <f t="shared" ca="1" si="65"/>
        <v>5.0822234999999996</v>
      </c>
      <c r="X1138" s="50">
        <f t="shared" ca="1" si="65"/>
        <v>20.758966663999999</v>
      </c>
      <c r="Y1138" s="10"/>
      <c r="Z1138" s="10"/>
      <c r="AA1138" s="10"/>
      <c r="AB1138" s="10">
        <f t="shared" ca="1" si="61"/>
        <v>52.830330623219687</v>
      </c>
      <c r="AC1138" s="10">
        <f t="shared" ca="1" si="61"/>
        <v>52.355838189448441</v>
      </c>
    </row>
    <row r="1139" spans="1:29" ht="15" x14ac:dyDescent="0.2">
      <c r="A1139" s="11">
        <f t="shared" si="62"/>
        <v>2082</v>
      </c>
      <c r="B1139" s="10">
        <f t="shared" ref="B1139:K1148" ca="1" si="66">AVERAGE(OFFSET(B$601,($A1139-$A$1119)*12,0,12,1))</f>
        <v>54.822074999999991</v>
      </c>
      <c r="C1139" s="10">
        <f t="shared" ca="1" si="66"/>
        <v>54.828224999999996</v>
      </c>
      <c r="D1139" s="10">
        <f t="shared" ca="1" si="66"/>
        <v>54.960366666666665</v>
      </c>
      <c r="E1139" s="10">
        <f t="shared" ca="1" si="66"/>
        <v>54.992466666666665</v>
      </c>
      <c r="F1139" s="10">
        <f t="shared" ca="1" si="66"/>
        <v>54.793049999999994</v>
      </c>
      <c r="G1139" s="10">
        <f t="shared" ca="1" si="66"/>
        <v>54.810274999999997</v>
      </c>
      <c r="H1139" s="10">
        <f t="shared" ca="1" si="66"/>
        <v>54.981574999999999</v>
      </c>
      <c r="I1139" s="10">
        <f t="shared" ca="1" si="66"/>
        <v>54.791325000000001</v>
      </c>
      <c r="J1139" s="10">
        <f t="shared" ca="1" si="66"/>
        <v>54.786049999999996</v>
      </c>
      <c r="K1139" s="10">
        <f t="shared" ca="1" si="66"/>
        <v>54.787441666666673</v>
      </c>
      <c r="L1139" s="10">
        <f t="shared" ref="L1139:S1148" ca="1" si="67">AVERAGE(OFFSET(L$601,($A1139-$A$1119)*12,0,12,1))</f>
        <v>55.568575000000003</v>
      </c>
      <c r="M1139" s="10">
        <f t="shared" ca="1" si="67"/>
        <v>54.246991666666673</v>
      </c>
      <c r="N1139" s="10">
        <f t="shared" ca="1" si="67"/>
        <v>54.264025000000004</v>
      </c>
      <c r="O1139" s="10">
        <f t="shared" ca="1" si="67"/>
        <v>54.440558333333321</v>
      </c>
      <c r="P1139" s="10">
        <f t="shared" ca="1" si="67"/>
        <v>54.252250000000004</v>
      </c>
      <c r="Q1139" s="10">
        <f t="shared" ca="1" si="67"/>
        <v>55.035858333333344</v>
      </c>
      <c r="R1139" s="10">
        <f t="shared" ca="1" si="67"/>
        <v>55.760441666666658</v>
      </c>
      <c r="S1139" s="10">
        <f t="shared" ca="1" si="67"/>
        <v>53.234600000000007</v>
      </c>
      <c r="T1139" s="50">
        <f t="shared" ref="T1139:X1148" ca="1" si="68">SUM(OFFSET(T$601,($A1139-$A$1119)*12,0,12,1))</f>
        <v>357.24568100000005</v>
      </c>
      <c r="U1139" s="50">
        <f t="shared" ca="1" si="68"/>
        <v>142.03263249999998</v>
      </c>
      <c r="V1139" s="50">
        <f t="shared" ca="1" si="68"/>
        <v>50.187500000000007</v>
      </c>
      <c r="W1139" s="50">
        <f t="shared" ca="1" si="68"/>
        <v>5.0822234999999996</v>
      </c>
      <c r="X1139" s="50">
        <f t="shared" ca="1" si="68"/>
        <v>20.758966663999999</v>
      </c>
      <c r="Y1139" s="10"/>
      <c r="Z1139" s="10"/>
      <c r="AA1139" s="10"/>
      <c r="AB1139" s="10">
        <f t="shared" ref="AB1139:AC1157" ca="1" si="69">AVERAGE(OFFSET(AB$601,($A1139-$A$1119)*12,0,12,1))</f>
        <v>54.831133461937604</v>
      </c>
      <c r="AC1139" s="10">
        <f t="shared" ca="1" si="69"/>
        <v>54.336460251798563</v>
      </c>
    </row>
    <row r="1140" spans="1:29" ht="15" x14ac:dyDescent="0.2">
      <c r="A1140" s="11">
        <f t="shared" si="62"/>
        <v>2083</v>
      </c>
      <c r="B1140" s="10">
        <f t="shared" ca="1" si="66"/>
        <v>56.898683333333331</v>
      </c>
      <c r="C1140" s="10">
        <f t="shared" ca="1" si="66"/>
        <v>56.90485833333333</v>
      </c>
      <c r="D1140" s="10">
        <f t="shared" ca="1" si="66"/>
        <v>57.036983333333332</v>
      </c>
      <c r="E1140" s="10">
        <f t="shared" ca="1" si="66"/>
        <v>57.069091666666658</v>
      </c>
      <c r="F1140" s="10">
        <f t="shared" ca="1" si="66"/>
        <v>56.869658333333341</v>
      </c>
      <c r="G1140" s="10">
        <f t="shared" ca="1" si="66"/>
        <v>56.88689999999999</v>
      </c>
      <c r="H1140" s="10">
        <f t="shared" ca="1" si="66"/>
        <v>57.058199999999999</v>
      </c>
      <c r="I1140" s="10">
        <f t="shared" ca="1" si="66"/>
        <v>56.867925000000007</v>
      </c>
      <c r="J1140" s="10">
        <f t="shared" ca="1" si="66"/>
        <v>56.862658333333322</v>
      </c>
      <c r="K1140" s="10">
        <f t="shared" ca="1" si="66"/>
        <v>56.864041666666658</v>
      </c>
      <c r="L1140" s="10">
        <f t="shared" ca="1" si="67"/>
        <v>57.645199999999988</v>
      </c>
      <c r="M1140" s="10">
        <f t="shared" ca="1" si="67"/>
        <v>56.30265</v>
      </c>
      <c r="N1140" s="10">
        <f t="shared" ca="1" si="67"/>
        <v>56.319666666666656</v>
      </c>
      <c r="O1140" s="10">
        <f t="shared" ca="1" si="67"/>
        <v>56.496191666666668</v>
      </c>
      <c r="P1140" s="10">
        <f t="shared" ca="1" si="67"/>
        <v>56.307916666666671</v>
      </c>
      <c r="Q1140" s="10">
        <f t="shared" ca="1" si="67"/>
        <v>57.091491666666663</v>
      </c>
      <c r="R1140" s="10">
        <f t="shared" ca="1" si="67"/>
        <v>57.821241666666658</v>
      </c>
      <c r="S1140" s="10">
        <f t="shared" ca="1" si="67"/>
        <v>55.251208333333331</v>
      </c>
      <c r="T1140" s="50">
        <f t="shared" ca="1" si="68"/>
        <v>357.24568100000005</v>
      </c>
      <c r="U1140" s="50">
        <f t="shared" ca="1" si="68"/>
        <v>142.03263249999998</v>
      </c>
      <c r="V1140" s="50">
        <f t="shared" ca="1" si="68"/>
        <v>50.187500000000007</v>
      </c>
      <c r="W1140" s="50">
        <f t="shared" ca="1" si="68"/>
        <v>5.0822234999999996</v>
      </c>
      <c r="X1140" s="50">
        <f t="shared" ca="1" si="68"/>
        <v>20.758966663999999</v>
      </c>
      <c r="Y1140" s="10"/>
      <c r="Z1140" s="10"/>
      <c r="AA1140" s="10"/>
      <c r="AB1140" s="10">
        <f t="shared" ca="1" si="69"/>
        <v>56.907750830194338</v>
      </c>
      <c r="AC1140" s="10">
        <f t="shared" ca="1" si="69"/>
        <v>56.392107494004811</v>
      </c>
    </row>
    <row r="1141" spans="1:29" ht="15" x14ac:dyDescent="0.2">
      <c r="A1141" s="11">
        <f t="shared" si="62"/>
        <v>2084</v>
      </c>
      <c r="B1141" s="10">
        <f t="shared" ca="1" si="66"/>
        <v>59.053975000000008</v>
      </c>
      <c r="C1141" s="10">
        <f t="shared" ca="1" si="66"/>
        <v>59.060124999999999</v>
      </c>
      <c r="D1141" s="10">
        <f t="shared" ca="1" si="66"/>
        <v>59.192258333333321</v>
      </c>
      <c r="E1141" s="10">
        <f t="shared" ca="1" si="66"/>
        <v>59.224350000000015</v>
      </c>
      <c r="F1141" s="10">
        <f t="shared" ca="1" si="66"/>
        <v>59.024924999999996</v>
      </c>
      <c r="G1141" s="10">
        <f t="shared" ca="1" si="66"/>
        <v>59.042149999999992</v>
      </c>
      <c r="H1141" s="10">
        <f t="shared" ca="1" si="66"/>
        <v>59.213466666666655</v>
      </c>
      <c r="I1141" s="10">
        <f t="shared" ca="1" si="66"/>
        <v>59.023208333333336</v>
      </c>
      <c r="J1141" s="10">
        <f t="shared" ca="1" si="66"/>
        <v>59.017924999999998</v>
      </c>
      <c r="K1141" s="10">
        <f t="shared" ca="1" si="66"/>
        <v>59.019325000000002</v>
      </c>
      <c r="L1141" s="10">
        <f t="shared" ca="1" si="67"/>
        <v>59.800466666666672</v>
      </c>
      <c r="M1141" s="10">
        <f t="shared" ca="1" si="67"/>
        <v>58.436166666666672</v>
      </c>
      <c r="N1141" s="10">
        <f t="shared" ca="1" si="67"/>
        <v>58.45321666666667</v>
      </c>
      <c r="O1141" s="10">
        <f t="shared" ca="1" si="67"/>
        <v>58.629716666666667</v>
      </c>
      <c r="P1141" s="10">
        <f t="shared" ca="1" si="67"/>
        <v>58.441441666666663</v>
      </c>
      <c r="Q1141" s="10">
        <f t="shared" ca="1" si="67"/>
        <v>59.225016666666669</v>
      </c>
      <c r="R1141" s="10">
        <f t="shared" ca="1" si="67"/>
        <v>59.960091666666671</v>
      </c>
      <c r="S1141" s="10">
        <f t="shared" ca="1" si="67"/>
        <v>57.344183333333341</v>
      </c>
      <c r="T1141" s="50">
        <f t="shared" ca="1" si="68"/>
        <v>358.17703550000004</v>
      </c>
      <c r="U1141" s="50">
        <f t="shared" ca="1" si="68"/>
        <v>142.42176299999997</v>
      </c>
      <c r="V1141" s="50">
        <f t="shared" ca="1" si="68"/>
        <v>50.325000000000003</v>
      </c>
      <c r="W1141" s="50">
        <f t="shared" ca="1" si="68"/>
        <v>5.0961473999999995</v>
      </c>
      <c r="X1141" s="50">
        <f t="shared" ca="1" si="68"/>
        <v>20.800615543999996</v>
      </c>
      <c r="Y1141" s="10"/>
      <c r="Z1141" s="10"/>
      <c r="AA1141" s="10"/>
      <c r="AB1141" s="10">
        <f t="shared" ca="1" si="69"/>
        <v>59.063019833936913</v>
      </c>
      <c r="AC1141" s="10">
        <f t="shared" ca="1" si="69"/>
        <v>58.525631055155877</v>
      </c>
    </row>
    <row r="1142" spans="1:29" ht="15" x14ac:dyDescent="0.2">
      <c r="A1142" s="11">
        <f t="shared" si="62"/>
        <v>2085</v>
      </c>
      <c r="B1142" s="10">
        <f t="shared" ca="1" si="66"/>
        <v>61.290891666666653</v>
      </c>
      <c r="C1142" s="10">
        <f t="shared" ca="1" si="66"/>
        <v>61.297050000000006</v>
      </c>
      <c r="D1142" s="10">
        <f t="shared" ca="1" si="66"/>
        <v>61.429166666666667</v>
      </c>
      <c r="E1142" s="10">
        <f t="shared" ca="1" si="66"/>
        <v>61.461275000000001</v>
      </c>
      <c r="F1142" s="10">
        <f t="shared" ca="1" si="66"/>
        <v>61.261875000000003</v>
      </c>
      <c r="G1142" s="10">
        <f t="shared" ca="1" si="66"/>
        <v>61.27908333333334</v>
      </c>
      <c r="H1142" s="10">
        <f t="shared" ca="1" si="66"/>
        <v>61.450391666666661</v>
      </c>
      <c r="I1142" s="10">
        <f t="shared" ca="1" si="66"/>
        <v>61.260116666666654</v>
      </c>
      <c r="J1142" s="10">
        <f t="shared" ca="1" si="66"/>
        <v>61.254874999999998</v>
      </c>
      <c r="K1142" s="10">
        <f t="shared" ca="1" si="66"/>
        <v>61.256250000000001</v>
      </c>
      <c r="L1142" s="10">
        <f t="shared" ca="1" si="67"/>
        <v>62.037391666666672</v>
      </c>
      <c r="M1142" s="10">
        <f t="shared" ca="1" si="67"/>
        <v>60.650499999999994</v>
      </c>
      <c r="N1142" s="10">
        <f t="shared" ca="1" si="67"/>
        <v>60.667558333333339</v>
      </c>
      <c r="O1142" s="10">
        <f t="shared" ca="1" si="67"/>
        <v>60.844075000000004</v>
      </c>
      <c r="P1142" s="10">
        <f t="shared" ca="1" si="67"/>
        <v>60.655783333333339</v>
      </c>
      <c r="Q1142" s="10">
        <f t="shared" ca="1" si="67"/>
        <v>61.439375000000005</v>
      </c>
      <c r="R1142" s="10">
        <f t="shared" ca="1" si="67"/>
        <v>62.179974999999992</v>
      </c>
      <c r="S1142" s="10">
        <f t="shared" ca="1" si="67"/>
        <v>59.516458333333333</v>
      </c>
      <c r="T1142" s="50">
        <f t="shared" ca="1" si="68"/>
        <v>357.24568100000005</v>
      </c>
      <c r="U1142" s="50">
        <f t="shared" ca="1" si="68"/>
        <v>142.03263249999998</v>
      </c>
      <c r="V1142" s="50">
        <f t="shared" ca="1" si="68"/>
        <v>50.187500000000007</v>
      </c>
      <c r="W1142" s="50">
        <f t="shared" ca="1" si="68"/>
        <v>5.0822234999999996</v>
      </c>
      <c r="X1142" s="50">
        <f t="shared" ca="1" si="68"/>
        <v>20.758966663999999</v>
      </c>
      <c r="Y1142" s="10"/>
      <c r="Z1142" s="10"/>
      <c r="AA1142" s="10"/>
      <c r="AB1142" s="10">
        <f t="shared" ca="1" si="69"/>
        <v>61.299948991667691</v>
      </c>
      <c r="AC1142" s="10">
        <f t="shared" ca="1" si="69"/>
        <v>60.739977398081543</v>
      </c>
    </row>
    <row r="1143" spans="1:29" ht="15" x14ac:dyDescent="0.2">
      <c r="A1143" s="11">
        <f t="shared" si="62"/>
        <v>2086</v>
      </c>
      <c r="B1143" s="10">
        <f t="shared" ca="1" si="66"/>
        <v>63.612541666666665</v>
      </c>
      <c r="C1143" s="10">
        <f t="shared" ca="1" si="66"/>
        <v>63.61869166666667</v>
      </c>
      <c r="D1143" s="10">
        <f t="shared" ca="1" si="66"/>
        <v>63.750833333333333</v>
      </c>
      <c r="E1143" s="10">
        <f t="shared" ca="1" si="66"/>
        <v>63.782933333333325</v>
      </c>
      <c r="F1143" s="10">
        <f t="shared" ca="1" si="66"/>
        <v>63.583508333333327</v>
      </c>
      <c r="G1143" s="10">
        <f t="shared" ca="1" si="66"/>
        <v>63.600733333333331</v>
      </c>
      <c r="H1143" s="10">
        <f t="shared" ca="1" si="66"/>
        <v>63.77205</v>
      </c>
      <c r="I1143" s="10">
        <f t="shared" ca="1" si="66"/>
        <v>63.581799999999994</v>
      </c>
      <c r="J1143" s="10">
        <f t="shared" ca="1" si="66"/>
        <v>63.576508333333329</v>
      </c>
      <c r="K1143" s="10">
        <f t="shared" ca="1" si="66"/>
        <v>63.577908333333333</v>
      </c>
      <c r="L1143" s="10">
        <f t="shared" ca="1" si="67"/>
        <v>64.359050000000011</v>
      </c>
      <c r="M1143" s="10">
        <f t="shared" ca="1" si="67"/>
        <v>62.94874166666667</v>
      </c>
      <c r="N1143" s="10">
        <f t="shared" ca="1" si="67"/>
        <v>62.965791666666668</v>
      </c>
      <c r="O1143" s="10">
        <f t="shared" ca="1" si="67"/>
        <v>63.142308333333339</v>
      </c>
      <c r="P1143" s="10">
        <f t="shared" ca="1" si="67"/>
        <v>62.953999999999986</v>
      </c>
      <c r="Q1143" s="10">
        <f t="shared" ca="1" si="67"/>
        <v>63.737608333333334</v>
      </c>
      <c r="R1143" s="10">
        <f t="shared" ca="1" si="67"/>
        <v>64.483941666666681</v>
      </c>
      <c r="S1143" s="10">
        <f t="shared" ca="1" si="67"/>
        <v>61.771025000000002</v>
      </c>
      <c r="T1143" s="50">
        <f t="shared" ca="1" si="68"/>
        <v>357.24568100000005</v>
      </c>
      <c r="U1143" s="50">
        <f t="shared" ca="1" si="68"/>
        <v>142.03263249999998</v>
      </c>
      <c r="V1143" s="50">
        <f t="shared" ca="1" si="68"/>
        <v>50.187500000000007</v>
      </c>
      <c r="W1143" s="50">
        <f t="shared" ca="1" si="68"/>
        <v>5.0822234999999996</v>
      </c>
      <c r="X1143" s="50">
        <f t="shared" ca="1" si="68"/>
        <v>20.758966663999999</v>
      </c>
      <c r="Y1143" s="10"/>
      <c r="Z1143" s="10"/>
      <c r="AA1143" s="10"/>
      <c r="AB1143" s="10">
        <f t="shared" ca="1" si="69"/>
        <v>63.621597302880438</v>
      </c>
      <c r="AC1143" s="10">
        <f t="shared" ca="1" si="69"/>
        <v>63.038211211031175</v>
      </c>
    </row>
    <row r="1144" spans="1:29" ht="15" x14ac:dyDescent="0.2">
      <c r="A1144" s="11">
        <f t="shared" si="62"/>
        <v>2087</v>
      </c>
      <c r="B1144" s="10">
        <f t="shared" ca="1" si="66"/>
        <v>66.022158333333337</v>
      </c>
      <c r="C1144" s="10">
        <f t="shared" ca="1" si="66"/>
        <v>66.028308333333342</v>
      </c>
      <c r="D1144" s="10">
        <f t="shared" ca="1" si="66"/>
        <v>66.160441666666671</v>
      </c>
      <c r="E1144" s="10">
        <f t="shared" ca="1" si="66"/>
        <v>66.192541666666671</v>
      </c>
      <c r="F1144" s="10">
        <f t="shared" ca="1" si="66"/>
        <v>65.993108333333339</v>
      </c>
      <c r="G1144" s="10">
        <f t="shared" ca="1" si="66"/>
        <v>66.010358333333329</v>
      </c>
      <c r="H1144" s="10">
        <f t="shared" ca="1" si="66"/>
        <v>66.181658333333345</v>
      </c>
      <c r="I1144" s="10">
        <f t="shared" ca="1" si="66"/>
        <v>65.991408333333339</v>
      </c>
      <c r="J1144" s="10">
        <f t="shared" ca="1" si="66"/>
        <v>65.986108333333334</v>
      </c>
      <c r="K1144" s="10">
        <f t="shared" ca="1" si="66"/>
        <v>65.987508333333338</v>
      </c>
      <c r="L1144" s="10">
        <f t="shared" ca="1" si="67"/>
        <v>66.768658333333335</v>
      </c>
      <c r="M1144" s="10">
        <f t="shared" ca="1" si="67"/>
        <v>65.334041666666664</v>
      </c>
      <c r="N1144" s="10">
        <f t="shared" ca="1" si="67"/>
        <v>65.351083333333335</v>
      </c>
      <c r="O1144" s="10">
        <f t="shared" ca="1" si="67"/>
        <v>65.527599999999993</v>
      </c>
      <c r="P1144" s="10">
        <f t="shared" ca="1" si="67"/>
        <v>65.339291666666654</v>
      </c>
      <c r="Q1144" s="10">
        <f t="shared" ca="1" si="67"/>
        <v>66.122900000000016</v>
      </c>
      <c r="R1144" s="10">
        <f t="shared" ca="1" si="67"/>
        <v>66.875200000000007</v>
      </c>
      <c r="S1144" s="10">
        <f t="shared" ca="1" si="67"/>
        <v>64.111000000000004</v>
      </c>
      <c r="T1144" s="50">
        <f t="shared" ca="1" si="68"/>
        <v>357.24568100000005</v>
      </c>
      <c r="U1144" s="50">
        <f t="shared" ca="1" si="68"/>
        <v>142.03263249999998</v>
      </c>
      <c r="V1144" s="50">
        <f t="shared" ca="1" si="68"/>
        <v>50.187500000000007</v>
      </c>
      <c r="W1144" s="50">
        <f t="shared" ca="1" si="68"/>
        <v>5.0822234999999996</v>
      </c>
      <c r="X1144" s="50">
        <f t="shared" ca="1" si="68"/>
        <v>20.758966663999999</v>
      </c>
      <c r="Y1144" s="10"/>
      <c r="Z1144" s="10"/>
      <c r="AA1144" s="10"/>
      <c r="AB1144" s="10">
        <f t="shared" ca="1" si="69"/>
        <v>66.031208272577842</v>
      </c>
      <c r="AC1144" s="10">
        <f t="shared" ca="1" si="69"/>
        <v>65.423505755395681</v>
      </c>
    </row>
    <row r="1145" spans="1:29" ht="15" x14ac:dyDescent="0.2">
      <c r="A1145" s="11">
        <f t="shared" si="62"/>
        <v>2088</v>
      </c>
      <c r="B1145" s="10">
        <f t="shared" ca="1" si="66"/>
        <v>68.523041666666657</v>
      </c>
      <c r="C1145" s="10">
        <f t="shared" ca="1" si="66"/>
        <v>68.529199999999989</v>
      </c>
      <c r="D1145" s="10">
        <f t="shared" ca="1" si="66"/>
        <v>68.661341666666658</v>
      </c>
      <c r="E1145" s="10">
        <f t="shared" ca="1" si="66"/>
        <v>68.693425000000005</v>
      </c>
      <c r="F1145" s="10">
        <f t="shared" ca="1" si="66"/>
        <v>68.494008333333326</v>
      </c>
      <c r="G1145" s="10">
        <f t="shared" ca="1" si="66"/>
        <v>68.511233333333323</v>
      </c>
      <c r="H1145" s="10">
        <f t="shared" ca="1" si="66"/>
        <v>68.682541666666665</v>
      </c>
      <c r="I1145" s="10">
        <f t="shared" ca="1" si="66"/>
        <v>68.492291666666674</v>
      </c>
      <c r="J1145" s="10">
        <f t="shared" ca="1" si="66"/>
        <v>68.487008333333335</v>
      </c>
      <c r="K1145" s="10">
        <f t="shared" ca="1" si="66"/>
        <v>68.488399999999999</v>
      </c>
      <c r="L1145" s="10">
        <f t="shared" ca="1" si="67"/>
        <v>69.269541666666655</v>
      </c>
      <c r="M1145" s="10">
        <f t="shared" ca="1" si="67"/>
        <v>67.809691666666666</v>
      </c>
      <c r="N1145" s="10">
        <f t="shared" ca="1" si="67"/>
        <v>67.82672500000001</v>
      </c>
      <c r="O1145" s="10">
        <f t="shared" ca="1" si="67"/>
        <v>68.003250000000008</v>
      </c>
      <c r="P1145" s="10">
        <f t="shared" ca="1" si="67"/>
        <v>67.814949999999996</v>
      </c>
      <c r="Q1145" s="10">
        <f t="shared" ca="1" si="67"/>
        <v>68.598550000000003</v>
      </c>
      <c r="R1145" s="10">
        <f t="shared" ca="1" si="67"/>
        <v>69.357050000000001</v>
      </c>
      <c r="S1145" s="10">
        <f t="shared" ca="1" si="67"/>
        <v>66.539616666666674</v>
      </c>
      <c r="T1145" s="50">
        <f t="shared" ca="1" si="68"/>
        <v>358.17703550000004</v>
      </c>
      <c r="U1145" s="50">
        <f t="shared" ca="1" si="68"/>
        <v>142.42176299999997</v>
      </c>
      <c r="V1145" s="50">
        <f t="shared" ca="1" si="68"/>
        <v>50.325000000000003</v>
      </c>
      <c r="W1145" s="50">
        <f t="shared" ca="1" si="68"/>
        <v>5.0961473999999995</v>
      </c>
      <c r="X1145" s="50">
        <f t="shared" ca="1" si="68"/>
        <v>20.800615543999996</v>
      </c>
      <c r="Y1145" s="10"/>
      <c r="Z1145" s="10"/>
      <c r="AA1145" s="10"/>
      <c r="AB1145" s="10">
        <f t="shared" ca="1" si="69"/>
        <v>68.532098685642765</v>
      </c>
      <c r="AC1145" s="10">
        <f t="shared" ca="1" si="69"/>
        <v>67.899156474820145</v>
      </c>
    </row>
    <row r="1146" spans="1:29" ht="15" x14ac:dyDescent="0.2">
      <c r="A1146" s="11">
        <f t="shared" si="62"/>
        <v>2089</v>
      </c>
      <c r="B1146" s="10">
        <f t="shared" ca="1" si="66"/>
        <v>71.11866666666667</v>
      </c>
      <c r="C1146" s="10">
        <f t="shared" ca="1" si="66"/>
        <v>71.124825000000001</v>
      </c>
      <c r="D1146" s="10">
        <f t="shared" ca="1" si="66"/>
        <v>71.25695833333333</v>
      </c>
      <c r="E1146" s="10">
        <f t="shared" ca="1" si="66"/>
        <v>71.28905833333333</v>
      </c>
      <c r="F1146" s="10">
        <f t="shared" ca="1" si="66"/>
        <v>71.089633333333325</v>
      </c>
      <c r="G1146" s="10">
        <f t="shared" ca="1" si="66"/>
        <v>71.106874999999988</v>
      </c>
      <c r="H1146" s="10">
        <f t="shared" ca="1" si="66"/>
        <v>71.278166666666678</v>
      </c>
      <c r="I1146" s="10">
        <f t="shared" ca="1" si="66"/>
        <v>71.087916666666658</v>
      </c>
      <c r="J1146" s="10">
        <f t="shared" ca="1" si="66"/>
        <v>71.082633333333334</v>
      </c>
      <c r="K1146" s="10">
        <f t="shared" ca="1" si="66"/>
        <v>71.084033333333323</v>
      </c>
      <c r="L1146" s="10">
        <f t="shared" ca="1" si="67"/>
        <v>71.865166666666667</v>
      </c>
      <c r="M1146" s="10">
        <f t="shared" ca="1" si="67"/>
        <v>70.379124999999988</v>
      </c>
      <c r="N1146" s="10">
        <f t="shared" ca="1" si="67"/>
        <v>70.396166666666673</v>
      </c>
      <c r="O1146" s="10">
        <f t="shared" ca="1" si="67"/>
        <v>70.572683333333345</v>
      </c>
      <c r="P1146" s="10">
        <f t="shared" ca="1" si="67"/>
        <v>70.384375000000006</v>
      </c>
      <c r="Q1146" s="10">
        <f t="shared" ca="1" si="67"/>
        <v>71.167983333333325</v>
      </c>
      <c r="R1146" s="10">
        <f t="shared" ca="1" si="67"/>
        <v>71.932900000000004</v>
      </c>
      <c r="S1146" s="10">
        <f t="shared" ca="1" si="67"/>
        <v>69.060216666666662</v>
      </c>
      <c r="T1146" s="50">
        <f t="shared" ca="1" si="68"/>
        <v>357.24568100000005</v>
      </c>
      <c r="U1146" s="50">
        <f t="shared" ca="1" si="68"/>
        <v>142.03263249999998</v>
      </c>
      <c r="V1146" s="50">
        <f t="shared" ca="1" si="68"/>
        <v>50.187500000000007</v>
      </c>
      <c r="W1146" s="50">
        <f t="shared" ca="1" si="68"/>
        <v>5.0822234999999996</v>
      </c>
      <c r="X1146" s="50">
        <f t="shared" ca="1" si="68"/>
        <v>20.758966663999999</v>
      </c>
      <c r="Y1146" s="10"/>
      <c r="Z1146" s="10"/>
      <c r="AA1146" s="10"/>
      <c r="AB1146" s="10">
        <f t="shared" ca="1" si="69"/>
        <v>71.127725935823534</v>
      </c>
      <c r="AC1146" s="10">
        <f t="shared" ca="1" si="69"/>
        <v>70.468589088729018</v>
      </c>
    </row>
    <row r="1147" spans="1:29" ht="15" x14ac:dyDescent="0.2">
      <c r="A1147" s="11">
        <f t="shared" si="62"/>
        <v>2090</v>
      </c>
      <c r="B1147" s="10">
        <f t="shared" ca="1" si="66"/>
        <v>73.812625000000011</v>
      </c>
      <c r="C1147" s="10">
        <f t="shared" ca="1" si="66"/>
        <v>73.818783333333329</v>
      </c>
      <c r="D1147" s="10">
        <f t="shared" ca="1" si="66"/>
        <v>73.950924999999998</v>
      </c>
      <c r="E1147" s="10">
        <f t="shared" ca="1" si="66"/>
        <v>73.983024999999998</v>
      </c>
      <c r="F1147" s="10">
        <f t="shared" ca="1" si="66"/>
        <v>73.783608333333333</v>
      </c>
      <c r="G1147" s="10">
        <f t="shared" ca="1" si="66"/>
        <v>73.800825000000003</v>
      </c>
      <c r="H1147" s="10">
        <f t="shared" ca="1" si="66"/>
        <v>73.972141666666673</v>
      </c>
      <c r="I1147" s="10">
        <f t="shared" ca="1" si="66"/>
        <v>73.781866666666673</v>
      </c>
      <c r="J1147" s="10">
        <f t="shared" ca="1" si="66"/>
        <v>73.776608333333343</v>
      </c>
      <c r="K1147" s="10">
        <f t="shared" ca="1" si="66"/>
        <v>73.777975000000012</v>
      </c>
      <c r="L1147" s="10">
        <f t="shared" ca="1" si="67"/>
        <v>74.559141666666676</v>
      </c>
      <c r="M1147" s="10">
        <f t="shared" ca="1" si="67"/>
        <v>73.045874999999995</v>
      </c>
      <c r="N1147" s="10">
        <f t="shared" ca="1" si="67"/>
        <v>73.062933333333334</v>
      </c>
      <c r="O1147" s="10">
        <f t="shared" ca="1" si="67"/>
        <v>73.239458333333346</v>
      </c>
      <c r="P1147" s="10">
        <f t="shared" ca="1" si="67"/>
        <v>73.051141666666666</v>
      </c>
      <c r="Q1147" s="10">
        <f t="shared" ca="1" si="67"/>
        <v>73.834758333333326</v>
      </c>
      <c r="R1147" s="10">
        <f t="shared" ca="1" si="67"/>
        <v>74.606350000000006</v>
      </c>
      <c r="S1147" s="10">
        <f t="shared" ca="1" si="67"/>
        <v>71.676325000000006</v>
      </c>
      <c r="T1147" s="50">
        <f t="shared" ca="1" si="68"/>
        <v>357.24568100000005</v>
      </c>
      <c r="U1147" s="50">
        <f t="shared" ca="1" si="68"/>
        <v>142.03263249999998</v>
      </c>
      <c r="V1147" s="50">
        <f t="shared" ca="1" si="68"/>
        <v>50.187500000000007</v>
      </c>
      <c r="W1147" s="50">
        <f t="shared" ca="1" si="68"/>
        <v>5.0822234999999996</v>
      </c>
      <c r="X1147" s="50">
        <f t="shared" ca="1" si="68"/>
        <v>20.758966663999999</v>
      </c>
      <c r="Y1147" s="10"/>
      <c r="Z1147" s="10"/>
      <c r="AA1147" s="10"/>
      <c r="AB1147" s="10">
        <f t="shared" ca="1" si="69"/>
        <v>73.821688390290106</v>
      </c>
      <c r="AC1147" s="10">
        <f t="shared" ca="1" si="69"/>
        <v>73.13535377697842</v>
      </c>
    </row>
    <row r="1148" spans="1:29" ht="15" x14ac:dyDescent="0.2">
      <c r="A1148" s="11">
        <f t="shared" si="62"/>
        <v>2091</v>
      </c>
      <c r="B1148" s="10">
        <f t="shared" ca="1" si="66"/>
        <v>76.608624999999989</v>
      </c>
      <c r="C1148" s="10">
        <f t="shared" ca="1" si="66"/>
        <v>76.614800000000002</v>
      </c>
      <c r="D1148" s="10">
        <f t="shared" ca="1" si="66"/>
        <v>76.746925000000005</v>
      </c>
      <c r="E1148" s="10">
        <f t="shared" ca="1" si="66"/>
        <v>76.779016666666664</v>
      </c>
      <c r="F1148" s="10">
        <f t="shared" ca="1" si="66"/>
        <v>76.579591666666659</v>
      </c>
      <c r="G1148" s="10">
        <f t="shared" ca="1" si="66"/>
        <v>76.596833333333322</v>
      </c>
      <c r="H1148" s="10">
        <f t="shared" ca="1" si="66"/>
        <v>76.768149999999991</v>
      </c>
      <c r="I1148" s="10">
        <f t="shared" ca="1" si="66"/>
        <v>76.577874999999992</v>
      </c>
      <c r="J1148" s="10">
        <f t="shared" ca="1" si="66"/>
        <v>76.572591666666668</v>
      </c>
      <c r="K1148" s="10">
        <f t="shared" ca="1" si="66"/>
        <v>76.573975000000004</v>
      </c>
      <c r="L1148" s="10">
        <f t="shared" ca="1" si="67"/>
        <v>77.355149999999981</v>
      </c>
      <c r="M1148" s="10">
        <f t="shared" ca="1" si="67"/>
        <v>75.813683333333344</v>
      </c>
      <c r="N1148" s="10">
        <f t="shared" ca="1" si="67"/>
        <v>75.830725000000015</v>
      </c>
      <c r="O1148" s="10">
        <f t="shared" ca="1" si="67"/>
        <v>76.007241666666673</v>
      </c>
      <c r="P1148" s="10">
        <f t="shared" ca="1" si="67"/>
        <v>75.818941666666674</v>
      </c>
      <c r="Q1148" s="10">
        <f t="shared" ca="1" si="67"/>
        <v>76.602541666666667</v>
      </c>
      <c r="R1148" s="10">
        <f t="shared" ca="1" si="67"/>
        <v>77.381050000000002</v>
      </c>
      <c r="S1148" s="10">
        <f t="shared" ca="1" si="67"/>
        <v>74.391524999999987</v>
      </c>
      <c r="T1148" s="50">
        <f t="shared" ca="1" si="68"/>
        <v>357.24568100000005</v>
      </c>
      <c r="U1148" s="50">
        <f t="shared" ca="1" si="68"/>
        <v>142.03263249999998</v>
      </c>
      <c r="V1148" s="50">
        <f t="shared" ca="1" si="68"/>
        <v>50.187500000000007</v>
      </c>
      <c r="W1148" s="50">
        <f t="shared" ca="1" si="68"/>
        <v>5.0822234999999996</v>
      </c>
      <c r="X1148" s="50">
        <f t="shared" ca="1" si="68"/>
        <v>20.758966663999999</v>
      </c>
      <c r="Y1148" s="10"/>
      <c r="Z1148" s="10"/>
      <c r="AA1148" s="10"/>
      <c r="AB1148" s="10">
        <f t="shared" ca="1" si="69"/>
        <v>76.617689134354521</v>
      </c>
      <c r="AC1148" s="10">
        <f t="shared" ca="1" si="69"/>
        <v>75.903148621103114</v>
      </c>
    </row>
    <row r="1149" spans="1:29" ht="15" x14ac:dyDescent="0.2">
      <c r="A1149" s="11">
        <f t="shared" si="62"/>
        <v>2092</v>
      </c>
      <c r="B1149" s="10">
        <f t="shared" ref="B1149:K1157" ca="1" si="70">AVERAGE(OFFSET(B$601,($A1149-$A$1119)*12,0,12,1))</f>
        <v>79.510558333333336</v>
      </c>
      <c r="C1149" s="10">
        <f t="shared" ca="1" si="70"/>
        <v>79.516708333333327</v>
      </c>
      <c r="D1149" s="10">
        <f t="shared" ca="1" si="70"/>
        <v>79.648849999999996</v>
      </c>
      <c r="E1149" s="10">
        <f t="shared" ca="1" si="70"/>
        <v>79.680941666666669</v>
      </c>
      <c r="F1149" s="10">
        <f t="shared" ca="1" si="70"/>
        <v>79.481533333333331</v>
      </c>
      <c r="G1149" s="10">
        <f t="shared" ca="1" si="70"/>
        <v>79.498758333333342</v>
      </c>
      <c r="H1149" s="10">
        <f t="shared" ca="1" si="70"/>
        <v>79.670066666666671</v>
      </c>
      <c r="I1149" s="10">
        <f t="shared" ca="1" si="70"/>
        <v>79.479816666666665</v>
      </c>
      <c r="J1149" s="10">
        <f t="shared" ca="1" si="70"/>
        <v>79.474533333333326</v>
      </c>
      <c r="K1149" s="10">
        <f t="shared" ca="1" si="70"/>
        <v>79.475916666666677</v>
      </c>
      <c r="L1149" s="10">
        <f t="shared" ref="L1149:S1157" ca="1" si="71">AVERAGE(OFFSET(L$601,($A1149-$A$1119)*12,0,12,1))</f>
        <v>80.25706666666666</v>
      </c>
      <c r="M1149" s="10">
        <f t="shared" ca="1" si="71"/>
        <v>78.686308333333344</v>
      </c>
      <c r="N1149" s="10">
        <f t="shared" ca="1" si="71"/>
        <v>78.703383333333335</v>
      </c>
      <c r="O1149" s="10">
        <f t="shared" ca="1" si="71"/>
        <v>78.879874999999984</v>
      </c>
      <c r="P1149" s="10">
        <f t="shared" ca="1" si="71"/>
        <v>78.691583333333327</v>
      </c>
      <c r="Q1149" s="10">
        <f t="shared" ca="1" si="71"/>
        <v>79.475175000000007</v>
      </c>
      <c r="R1149" s="10">
        <f t="shared" ca="1" si="71"/>
        <v>80.260858333333331</v>
      </c>
      <c r="S1149" s="10">
        <f t="shared" ca="1" si="71"/>
        <v>77.209591666666682</v>
      </c>
      <c r="T1149" s="50">
        <f t="shared" ref="T1149:X1157" ca="1" si="72">SUM(OFFSET(T$601,($A1149-$A$1119)*12,0,12,1))</f>
        <v>358.17703550000004</v>
      </c>
      <c r="U1149" s="50">
        <f t="shared" ca="1" si="72"/>
        <v>142.42176299999997</v>
      </c>
      <c r="V1149" s="50">
        <f t="shared" ca="1" si="72"/>
        <v>50.325000000000003</v>
      </c>
      <c r="W1149" s="50">
        <f t="shared" ca="1" si="72"/>
        <v>5.0961473999999995</v>
      </c>
      <c r="X1149" s="50">
        <f t="shared" ca="1" si="72"/>
        <v>20.800615543999996</v>
      </c>
      <c r="Y1149" s="10"/>
      <c r="Z1149" s="10"/>
      <c r="AA1149" s="10"/>
      <c r="AB1149" s="10">
        <f t="shared" ca="1" si="69"/>
        <v>79.519616959262791</v>
      </c>
      <c r="AC1149" s="10">
        <f t="shared" ca="1" si="69"/>
        <v>78.775781714628295</v>
      </c>
    </row>
    <row r="1150" spans="1:29" ht="15" x14ac:dyDescent="0.2">
      <c r="A1150" s="11">
        <f t="shared" si="62"/>
        <v>2093</v>
      </c>
      <c r="B1150" s="10">
        <f t="shared" ca="1" si="70"/>
        <v>82.522424999999998</v>
      </c>
      <c r="C1150" s="10">
        <f t="shared" ca="1" si="70"/>
        <v>82.528566666666663</v>
      </c>
      <c r="D1150" s="10">
        <f t="shared" ca="1" si="70"/>
        <v>82.660700000000006</v>
      </c>
      <c r="E1150" s="10">
        <f t="shared" ca="1" si="70"/>
        <v>82.692799999999991</v>
      </c>
      <c r="F1150" s="10">
        <f t="shared" ca="1" si="70"/>
        <v>82.493383333333327</v>
      </c>
      <c r="G1150" s="10">
        <f t="shared" ca="1" si="70"/>
        <v>82.510616666666678</v>
      </c>
      <c r="H1150" s="10">
        <f t="shared" ca="1" si="70"/>
        <v>82.681924999999993</v>
      </c>
      <c r="I1150" s="10">
        <f t="shared" ca="1" si="70"/>
        <v>82.491666666666674</v>
      </c>
      <c r="J1150" s="10">
        <f t="shared" ca="1" si="70"/>
        <v>82.486383333333336</v>
      </c>
      <c r="K1150" s="10">
        <f t="shared" ca="1" si="70"/>
        <v>82.487774999999985</v>
      </c>
      <c r="L1150" s="10">
        <f t="shared" ca="1" si="71"/>
        <v>83.268924999999982</v>
      </c>
      <c r="M1150" s="10">
        <f t="shared" ca="1" si="71"/>
        <v>81.667774999999992</v>
      </c>
      <c r="N1150" s="10">
        <f t="shared" ca="1" si="71"/>
        <v>81.684833333333344</v>
      </c>
      <c r="O1150" s="10">
        <f t="shared" ca="1" si="71"/>
        <v>81.861350000000002</v>
      </c>
      <c r="P1150" s="10">
        <f t="shared" ca="1" si="71"/>
        <v>81.673033333333322</v>
      </c>
      <c r="Q1150" s="10">
        <f t="shared" ca="1" si="71"/>
        <v>82.45665000000001</v>
      </c>
      <c r="R1150" s="10">
        <f t="shared" ca="1" si="71"/>
        <v>83.249783333333326</v>
      </c>
      <c r="S1150" s="10">
        <f t="shared" ca="1" si="71"/>
        <v>80.134416666666667</v>
      </c>
      <c r="T1150" s="50">
        <f t="shared" ca="1" si="72"/>
        <v>357.24568100000005</v>
      </c>
      <c r="U1150" s="50">
        <f t="shared" ca="1" si="72"/>
        <v>142.03263249999998</v>
      </c>
      <c r="V1150" s="50">
        <f t="shared" ca="1" si="72"/>
        <v>50.187500000000007</v>
      </c>
      <c r="W1150" s="50">
        <f t="shared" ca="1" si="72"/>
        <v>5.0822234999999996</v>
      </c>
      <c r="X1150" s="50">
        <f t="shared" ca="1" si="72"/>
        <v>20.758966663999999</v>
      </c>
      <c r="Y1150" s="10"/>
      <c r="Z1150" s="10"/>
      <c r="AA1150" s="10"/>
      <c r="AB1150" s="10">
        <f t="shared" ca="1" si="69"/>
        <v>82.531472968091833</v>
      </c>
      <c r="AC1150" s="10">
        <f t="shared" ca="1" si="69"/>
        <v>81.757248800959232</v>
      </c>
    </row>
    <row r="1151" spans="1:29" ht="15" x14ac:dyDescent="0.2">
      <c r="A1151" s="11">
        <f t="shared" si="62"/>
        <v>2094</v>
      </c>
      <c r="B1151" s="10">
        <f t="shared" ca="1" si="70"/>
        <v>85.648375000000001</v>
      </c>
      <c r="C1151" s="10">
        <f t="shared" ca="1" si="70"/>
        <v>85.654533333333333</v>
      </c>
      <c r="D1151" s="10">
        <f t="shared" ca="1" si="70"/>
        <v>85.786683333333329</v>
      </c>
      <c r="E1151" s="10">
        <f t="shared" ca="1" si="70"/>
        <v>85.818741666666668</v>
      </c>
      <c r="F1151" s="10">
        <f t="shared" ca="1" si="70"/>
        <v>85.619341666666671</v>
      </c>
      <c r="G1151" s="10">
        <f t="shared" ca="1" si="70"/>
        <v>85.63655</v>
      </c>
      <c r="H1151" s="10">
        <f t="shared" ca="1" si="70"/>
        <v>85.807858333333343</v>
      </c>
      <c r="I1151" s="10">
        <f t="shared" ca="1" si="70"/>
        <v>85.617608333333337</v>
      </c>
      <c r="J1151" s="10">
        <f t="shared" ca="1" si="70"/>
        <v>85.61234166666668</v>
      </c>
      <c r="K1151" s="10">
        <f t="shared" ca="1" si="70"/>
        <v>85.613724999999988</v>
      </c>
      <c r="L1151" s="10">
        <f t="shared" ca="1" si="71"/>
        <v>86.394858333333332</v>
      </c>
      <c r="M1151" s="10">
        <f t="shared" ca="1" si="71"/>
        <v>84.76218333333334</v>
      </c>
      <c r="N1151" s="10">
        <f t="shared" ca="1" si="71"/>
        <v>84.779258333333345</v>
      </c>
      <c r="O1151" s="10">
        <f t="shared" ca="1" si="71"/>
        <v>84.955741666666668</v>
      </c>
      <c r="P1151" s="10">
        <f t="shared" ca="1" si="71"/>
        <v>84.767450000000011</v>
      </c>
      <c r="Q1151" s="10">
        <f t="shared" ca="1" si="71"/>
        <v>85.551041666666663</v>
      </c>
      <c r="R1151" s="10">
        <f t="shared" ca="1" si="71"/>
        <v>86.351933333333349</v>
      </c>
      <c r="S1151" s="10">
        <f t="shared" ca="1" si="71"/>
        <v>83.170024999999995</v>
      </c>
      <c r="T1151" s="50">
        <f t="shared" ca="1" si="72"/>
        <v>357.24568100000005</v>
      </c>
      <c r="U1151" s="50">
        <f t="shared" ca="1" si="72"/>
        <v>142.03263249999998</v>
      </c>
      <c r="V1151" s="50">
        <f t="shared" ca="1" si="72"/>
        <v>50.187500000000007</v>
      </c>
      <c r="W1151" s="50">
        <f t="shared" ca="1" si="72"/>
        <v>5.0822234999999996</v>
      </c>
      <c r="X1151" s="50">
        <f t="shared" ca="1" si="72"/>
        <v>20.758966663999999</v>
      </c>
      <c r="Y1151" s="10"/>
      <c r="Z1151" s="10"/>
      <c r="AA1151" s="10"/>
      <c r="AB1151" s="10">
        <f t="shared" ca="1" si="69"/>
        <v>85.657429142323011</v>
      </c>
      <c r="AC1151" s="10">
        <f t="shared" ca="1" si="69"/>
        <v>84.851651738609107</v>
      </c>
    </row>
    <row r="1152" spans="1:29" ht="15" x14ac:dyDescent="0.2">
      <c r="A1152" s="11">
        <f t="shared" si="62"/>
        <v>2095</v>
      </c>
      <c r="B1152" s="10">
        <f t="shared" ca="1" si="70"/>
        <v>88.892758333333347</v>
      </c>
      <c r="C1152" s="10">
        <f t="shared" ca="1" si="70"/>
        <v>88.898900000000012</v>
      </c>
      <c r="D1152" s="10">
        <f t="shared" ca="1" si="70"/>
        <v>89.031025</v>
      </c>
      <c r="E1152" s="10">
        <f t="shared" ca="1" si="70"/>
        <v>89.06313333333334</v>
      </c>
      <c r="F1152" s="10">
        <f t="shared" ca="1" si="70"/>
        <v>88.863716666666676</v>
      </c>
      <c r="G1152" s="10">
        <f t="shared" ca="1" si="70"/>
        <v>88.880941666666672</v>
      </c>
      <c r="H1152" s="10">
        <f t="shared" ca="1" si="70"/>
        <v>89.052250000000001</v>
      </c>
      <c r="I1152" s="10">
        <f t="shared" ca="1" si="70"/>
        <v>88.86196666666666</v>
      </c>
      <c r="J1152" s="10">
        <f t="shared" ca="1" si="70"/>
        <v>88.856716666666671</v>
      </c>
      <c r="K1152" s="10">
        <f t="shared" ca="1" si="70"/>
        <v>88.858091666666667</v>
      </c>
      <c r="L1152" s="10">
        <f t="shared" ca="1" si="71"/>
        <v>89.639250000000004</v>
      </c>
      <c r="M1152" s="10">
        <f t="shared" ca="1" si="71"/>
        <v>87.973816666666664</v>
      </c>
      <c r="N1152" s="10">
        <f t="shared" ca="1" si="71"/>
        <v>87.990875000000003</v>
      </c>
      <c r="O1152" s="10">
        <f t="shared" ca="1" si="71"/>
        <v>88.167391666666674</v>
      </c>
      <c r="P1152" s="10">
        <f t="shared" ca="1" si="71"/>
        <v>87.979075000000009</v>
      </c>
      <c r="Q1152" s="10">
        <f t="shared" ca="1" si="71"/>
        <v>88.762691666666669</v>
      </c>
      <c r="R1152" s="10">
        <f t="shared" ca="1" si="71"/>
        <v>89.571583333333322</v>
      </c>
      <c r="S1152" s="10">
        <f t="shared" ca="1" si="71"/>
        <v>86.320616666666652</v>
      </c>
      <c r="T1152" s="50">
        <f t="shared" ca="1" si="72"/>
        <v>357.24568100000005</v>
      </c>
      <c r="U1152" s="50">
        <f t="shared" ca="1" si="72"/>
        <v>142.03263249999998</v>
      </c>
      <c r="V1152" s="50">
        <f t="shared" ca="1" si="72"/>
        <v>50.187500000000007</v>
      </c>
      <c r="W1152" s="50">
        <f t="shared" ca="1" si="72"/>
        <v>5.0822234999999996</v>
      </c>
      <c r="X1152" s="50">
        <f t="shared" ca="1" si="72"/>
        <v>20.758966663999999</v>
      </c>
      <c r="Y1152" s="10"/>
      <c r="Z1152" s="10"/>
      <c r="AA1152" s="10"/>
      <c r="AB1152" s="10">
        <f t="shared" ca="1" si="69"/>
        <v>88.901801518285538</v>
      </c>
      <c r="AC1152" s="10">
        <f t="shared" ca="1" si="69"/>
        <v>88.06329046762589</v>
      </c>
    </row>
    <row r="1153" spans="1:29" ht="15" x14ac:dyDescent="0.2">
      <c r="A1153" s="11">
        <f t="shared" si="62"/>
        <v>2096</v>
      </c>
      <c r="B1153" s="10">
        <f t="shared" ca="1" si="70"/>
        <v>92.260008333333346</v>
      </c>
      <c r="C1153" s="10">
        <f t="shared" ca="1" si="70"/>
        <v>92.266175000000018</v>
      </c>
      <c r="D1153" s="10">
        <f t="shared" ca="1" si="70"/>
        <v>92.398308333333361</v>
      </c>
      <c r="E1153" s="10">
        <f t="shared" ca="1" si="70"/>
        <v>92.430391666666665</v>
      </c>
      <c r="F1153" s="10">
        <f t="shared" ca="1" si="70"/>
        <v>92.230991666666682</v>
      </c>
      <c r="G1153" s="10">
        <f t="shared" ca="1" si="70"/>
        <v>92.248208333333324</v>
      </c>
      <c r="H1153" s="10">
        <f t="shared" ca="1" si="70"/>
        <v>92.419516666666652</v>
      </c>
      <c r="I1153" s="10">
        <f t="shared" ca="1" si="70"/>
        <v>92.229258333333334</v>
      </c>
      <c r="J1153" s="10">
        <f t="shared" ca="1" si="70"/>
        <v>92.223991666666677</v>
      </c>
      <c r="K1153" s="10">
        <f t="shared" ca="1" si="70"/>
        <v>92.225358333333318</v>
      </c>
      <c r="L1153" s="10">
        <f t="shared" ca="1" si="71"/>
        <v>93.006516666666656</v>
      </c>
      <c r="M1153" s="10">
        <f t="shared" ca="1" si="71"/>
        <v>91.307124999999999</v>
      </c>
      <c r="N1153" s="10">
        <f t="shared" ca="1" si="71"/>
        <v>91.324141666666662</v>
      </c>
      <c r="O1153" s="10">
        <f t="shared" ca="1" si="71"/>
        <v>91.500683333333328</v>
      </c>
      <c r="P1153" s="10">
        <f t="shared" ca="1" si="71"/>
        <v>91.312358333333336</v>
      </c>
      <c r="Q1153" s="10">
        <f t="shared" ca="1" si="71"/>
        <v>92.095983333333336</v>
      </c>
      <c r="R1153" s="10">
        <f t="shared" ca="1" si="71"/>
        <v>92.913216666666656</v>
      </c>
      <c r="S1153" s="10">
        <f t="shared" ca="1" si="71"/>
        <v>89.590583333333328</v>
      </c>
      <c r="T1153" s="50">
        <f t="shared" ca="1" si="72"/>
        <v>358.17703550000004</v>
      </c>
      <c r="U1153" s="50">
        <f t="shared" ca="1" si="72"/>
        <v>142.42176299999997</v>
      </c>
      <c r="V1153" s="50">
        <f t="shared" ca="1" si="72"/>
        <v>50.325000000000003</v>
      </c>
      <c r="W1153" s="50">
        <f t="shared" ca="1" si="72"/>
        <v>5.0961473999999995</v>
      </c>
      <c r="X1153" s="50">
        <f t="shared" ca="1" si="72"/>
        <v>20.800615543999996</v>
      </c>
      <c r="Y1153" s="10"/>
      <c r="Z1153" s="10"/>
      <c r="AA1153" s="10"/>
      <c r="AB1153" s="10">
        <f t="shared" ca="1" si="69"/>
        <v>92.269073174108527</v>
      </c>
      <c r="AC1153" s="10">
        <f t="shared" ca="1" si="69"/>
        <v>91.396585251798555</v>
      </c>
    </row>
    <row r="1154" spans="1:29" ht="15" x14ac:dyDescent="0.2">
      <c r="A1154" s="11">
        <f t="shared" si="62"/>
        <v>2097</v>
      </c>
      <c r="B1154" s="10">
        <f t="shared" ca="1" si="70"/>
        <v>95.754833333333337</v>
      </c>
      <c r="C1154" s="10">
        <f t="shared" ca="1" si="70"/>
        <v>95.761008333333322</v>
      </c>
      <c r="D1154" s="10">
        <f t="shared" ca="1" si="70"/>
        <v>95.893141666666665</v>
      </c>
      <c r="E1154" s="10">
        <f t="shared" ca="1" si="70"/>
        <v>95.925233333333324</v>
      </c>
      <c r="F1154" s="10">
        <f t="shared" ca="1" si="70"/>
        <v>95.725799999999992</v>
      </c>
      <c r="G1154" s="10">
        <f t="shared" ca="1" si="70"/>
        <v>95.743016666666676</v>
      </c>
      <c r="H1154" s="10">
        <f t="shared" ca="1" si="70"/>
        <v>95.914341666666658</v>
      </c>
      <c r="I1154" s="10">
        <f t="shared" ca="1" si="70"/>
        <v>95.724075000000013</v>
      </c>
      <c r="J1154" s="10">
        <f t="shared" ca="1" si="70"/>
        <v>95.718800000000002</v>
      </c>
      <c r="K1154" s="10">
        <f t="shared" ca="1" si="70"/>
        <v>95.72018333333331</v>
      </c>
      <c r="L1154" s="10">
        <f t="shared" ca="1" si="71"/>
        <v>96.501341666666676</v>
      </c>
      <c r="M1154" s="10">
        <f t="shared" ca="1" si="71"/>
        <v>94.766658333333339</v>
      </c>
      <c r="N1154" s="10">
        <f t="shared" ca="1" si="71"/>
        <v>94.783708333333337</v>
      </c>
      <c r="O1154" s="10">
        <f t="shared" ca="1" si="71"/>
        <v>94.960224999999994</v>
      </c>
      <c r="P1154" s="10">
        <f t="shared" ca="1" si="71"/>
        <v>94.771933333333322</v>
      </c>
      <c r="Q1154" s="10">
        <f t="shared" ca="1" si="71"/>
        <v>95.555525000000003</v>
      </c>
      <c r="R1154" s="10">
        <f t="shared" ca="1" si="71"/>
        <v>96.381424999999993</v>
      </c>
      <c r="S1154" s="10">
        <f t="shared" ca="1" si="71"/>
        <v>92.984399999999994</v>
      </c>
      <c r="T1154" s="50">
        <f t="shared" ca="1" si="72"/>
        <v>357.24568100000005</v>
      </c>
      <c r="U1154" s="50">
        <f t="shared" ca="1" si="72"/>
        <v>142.03263249999998</v>
      </c>
      <c r="V1154" s="50">
        <f t="shared" ca="1" si="72"/>
        <v>50.187500000000007</v>
      </c>
      <c r="W1154" s="50">
        <f t="shared" ca="1" si="72"/>
        <v>5.0822234999999996</v>
      </c>
      <c r="X1154" s="50">
        <f t="shared" ca="1" si="72"/>
        <v>20.758966663999999</v>
      </c>
      <c r="Y1154" s="10"/>
      <c r="Z1154" s="10"/>
      <c r="AA1154" s="10"/>
      <c r="AB1154" s="10">
        <f t="shared" ca="1" si="69"/>
        <v>95.763894496828584</v>
      </c>
      <c r="AC1154" s="10">
        <f t="shared" ca="1" si="69"/>
        <v>94.856130275779364</v>
      </c>
    </row>
    <row r="1155" spans="1:29" ht="15" x14ac:dyDescent="0.2">
      <c r="A1155" s="11">
        <f t="shared" si="62"/>
        <v>2098</v>
      </c>
      <c r="B1155" s="10">
        <f t="shared" ca="1" si="70"/>
        <v>99.382058333333319</v>
      </c>
      <c r="C1155" s="10">
        <f t="shared" ca="1" si="70"/>
        <v>99.38822500000002</v>
      </c>
      <c r="D1155" s="10">
        <f t="shared" ca="1" si="70"/>
        <v>99.52035833333332</v>
      </c>
      <c r="E1155" s="10">
        <f t="shared" ca="1" si="70"/>
        <v>99.552450000000022</v>
      </c>
      <c r="F1155" s="10">
        <f t="shared" ca="1" si="70"/>
        <v>99.353033333333329</v>
      </c>
      <c r="G1155" s="10">
        <f t="shared" ca="1" si="70"/>
        <v>99.370241666666644</v>
      </c>
      <c r="H1155" s="10">
        <f t="shared" ca="1" si="70"/>
        <v>99.541566666666668</v>
      </c>
      <c r="I1155" s="10">
        <f t="shared" ca="1" si="70"/>
        <v>99.351308333333336</v>
      </c>
      <c r="J1155" s="10">
        <f t="shared" ca="1" si="70"/>
        <v>99.346033333333324</v>
      </c>
      <c r="K1155" s="10">
        <f t="shared" ca="1" si="70"/>
        <v>99.347408333333348</v>
      </c>
      <c r="L1155" s="10">
        <f t="shared" ca="1" si="71"/>
        <v>100.12856666666666</v>
      </c>
      <c r="M1155" s="10">
        <f t="shared" ca="1" si="71"/>
        <v>98.357291666666683</v>
      </c>
      <c r="N1155" s="10">
        <f t="shared" ca="1" si="71"/>
        <v>98.374324999999999</v>
      </c>
      <c r="O1155" s="10">
        <f t="shared" ca="1" si="71"/>
        <v>98.550849999999983</v>
      </c>
      <c r="P1155" s="10">
        <f t="shared" ca="1" si="71"/>
        <v>98.362549999999999</v>
      </c>
      <c r="Q1155" s="10">
        <f t="shared" ca="1" si="71"/>
        <v>99.146149999999992</v>
      </c>
      <c r="R1155" s="10">
        <f t="shared" ca="1" si="71"/>
        <v>99.981008333333321</v>
      </c>
      <c r="S1155" s="10">
        <f t="shared" ca="1" si="71"/>
        <v>96.50681666666668</v>
      </c>
      <c r="T1155" s="50">
        <f t="shared" ca="1" si="72"/>
        <v>357.24568100000005</v>
      </c>
      <c r="U1155" s="50">
        <f t="shared" ca="1" si="72"/>
        <v>142.03263249999998</v>
      </c>
      <c r="V1155" s="50">
        <f t="shared" ca="1" si="72"/>
        <v>50.187500000000007</v>
      </c>
      <c r="W1155" s="50">
        <f t="shared" ca="1" si="72"/>
        <v>5.0822234999999996</v>
      </c>
      <c r="X1155" s="50">
        <f t="shared" ca="1" si="72"/>
        <v>20.758966663999999</v>
      </c>
      <c r="Y1155" s="10"/>
      <c r="Z1155" s="10"/>
      <c r="AA1155" s="10"/>
      <c r="AB1155" s="10">
        <f t="shared" ca="1" si="69"/>
        <v>99.391119009590241</v>
      </c>
      <c r="AC1155" s="10">
        <f t="shared" ca="1" si="69"/>
        <v>98.446756474820134</v>
      </c>
    </row>
    <row r="1156" spans="1:29" ht="15" x14ac:dyDescent="0.2">
      <c r="A1156" s="11">
        <f t="shared" si="62"/>
        <v>2099</v>
      </c>
      <c r="B1156" s="10">
        <f t="shared" ca="1" si="70"/>
        <v>103.14668333333331</v>
      </c>
      <c r="C1156" s="10">
        <f t="shared" ca="1" si="70"/>
        <v>103.15285833333333</v>
      </c>
      <c r="D1156" s="10">
        <f t="shared" ca="1" si="70"/>
        <v>103.28498333333334</v>
      </c>
      <c r="E1156" s="10">
        <f t="shared" ca="1" si="70"/>
        <v>103.31708333333334</v>
      </c>
      <c r="F1156" s="10">
        <f t="shared" ca="1" si="70"/>
        <v>103.11765000000001</v>
      </c>
      <c r="G1156" s="10">
        <f t="shared" ca="1" si="70"/>
        <v>103.13488333333335</v>
      </c>
      <c r="H1156" s="10">
        <f t="shared" ca="1" si="70"/>
        <v>103.3062</v>
      </c>
      <c r="I1156" s="10">
        <f t="shared" ca="1" si="70"/>
        <v>103.11593333333333</v>
      </c>
      <c r="J1156" s="10">
        <f t="shared" ca="1" si="70"/>
        <v>103.11065000000001</v>
      </c>
      <c r="K1156" s="10">
        <f t="shared" ca="1" si="70"/>
        <v>103.11205000000001</v>
      </c>
      <c r="L1156" s="10">
        <f t="shared" ca="1" si="71"/>
        <v>103.89320000000002</v>
      </c>
      <c r="M1156" s="10">
        <f t="shared" ca="1" si="71"/>
        <v>102.08392499999998</v>
      </c>
      <c r="N1156" s="10">
        <f t="shared" ca="1" si="71"/>
        <v>102.10096666666668</v>
      </c>
      <c r="O1156" s="10">
        <f t="shared" ca="1" si="71"/>
        <v>102.27749166666666</v>
      </c>
      <c r="P1156" s="10">
        <f t="shared" ca="1" si="71"/>
        <v>102.08918333333332</v>
      </c>
      <c r="Q1156" s="10">
        <f t="shared" ca="1" si="71"/>
        <v>102.87279166666666</v>
      </c>
      <c r="R1156" s="10">
        <f t="shared" ca="1" si="71"/>
        <v>103.71698333333335</v>
      </c>
      <c r="S1156" s="10">
        <f t="shared" ca="1" si="71"/>
        <v>100.16262499999999</v>
      </c>
      <c r="T1156" s="50">
        <f t="shared" ca="1" si="72"/>
        <v>357.24568100000005</v>
      </c>
      <c r="U1156" s="50">
        <f t="shared" ca="1" si="72"/>
        <v>142.03263249999998</v>
      </c>
      <c r="V1156" s="50">
        <f t="shared" ca="1" si="72"/>
        <v>50.187500000000007</v>
      </c>
      <c r="W1156" s="50">
        <f t="shared" ca="1" si="72"/>
        <v>5.0822234999999996</v>
      </c>
      <c r="X1156" s="50">
        <f t="shared" ca="1" si="72"/>
        <v>20.758966663999999</v>
      </c>
      <c r="Y1156" s="10"/>
      <c r="Z1156" s="10"/>
      <c r="AA1156" s="10"/>
      <c r="AB1156" s="10">
        <f t="shared" ca="1" si="69"/>
        <v>103.1557464431127</v>
      </c>
      <c r="AC1156" s="10">
        <f t="shared" ca="1" si="69"/>
        <v>102.17339406474821</v>
      </c>
    </row>
    <row r="1157" spans="1:29" ht="15" x14ac:dyDescent="0.2">
      <c r="A1157" s="11">
        <f t="shared" si="62"/>
        <v>2100</v>
      </c>
      <c r="B1157" s="10">
        <f t="shared" ca="1" si="70"/>
        <v>107.05386666666665</v>
      </c>
      <c r="C1157" s="10">
        <f t="shared" ca="1" si="70"/>
        <v>107.06002500000001</v>
      </c>
      <c r="D1157" s="10">
        <f t="shared" ca="1" si="70"/>
        <v>107.19215833333332</v>
      </c>
      <c r="E1157" s="10">
        <f t="shared" ca="1" si="70"/>
        <v>107.22425</v>
      </c>
      <c r="F1157" s="10">
        <f t="shared" ca="1" si="70"/>
        <v>107.0248416666667</v>
      </c>
      <c r="G1157" s="10">
        <f t="shared" ca="1" si="70"/>
        <v>107.04204166666665</v>
      </c>
      <c r="H1157" s="10">
        <f t="shared" ca="1" si="70"/>
        <v>107.213375</v>
      </c>
      <c r="I1157" s="10">
        <f t="shared" ca="1" si="70"/>
        <v>107.0231</v>
      </c>
      <c r="J1157" s="10">
        <f t="shared" ca="1" si="70"/>
        <v>107.01784166666665</v>
      </c>
      <c r="K1157" s="10">
        <f t="shared" ca="1" si="70"/>
        <v>107.01920833333334</v>
      </c>
      <c r="L1157" s="10">
        <f t="shared" ca="1" si="71"/>
        <v>107.80037499999999</v>
      </c>
      <c r="M1157" s="10">
        <f t="shared" ca="1" si="71"/>
        <v>105.95165833333334</v>
      </c>
      <c r="N1157" s="10">
        <f t="shared" ca="1" si="71"/>
        <v>105.96869999999997</v>
      </c>
      <c r="O1157" s="10">
        <f t="shared" ca="1" si="71"/>
        <v>106.14521666666667</v>
      </c>
      <c r="P1157" s="10">
        <f t="shared" ca="1" si="71"/>
        <v>105.956925</v>
      </c>
      <c r="Q1157" s="10">
        <f t="shared" ca="1" si="71"/>
        <v>106.74051666666668</v>
      </c>
      <c r="R1157" s="10">
        <f t="shared" ca="1" si="71"/>
        <v>107.59436666666666</v>
      </c>
      <c r="S1157" s="10">
        <f t="shared" ca="1" si="71"/>
        <v>103.9569</v>
      </c>
      <c r="T1157" s="50">
        <f t="shared" ca="1" si="72"/>
        <v>358.17703550000004</v>
      </c>
      <c r="U1157" s="50">
        <f t="shared" ca="1" si="72"/>
        <v>142.42176299999997</v>
      </c>
      <c r="V1157" s="50">
        <f t="shared" ca="1" si="72"/>
        <v>50.325000000000003</v>
      </c>
      <c r="W1157" s="50">
        <f t="shared" ca="1" si="72"/>
        <v>5.0961473999999995</v>
      </c>
      <c r="X1157" s="50">
        <f t="shared" ca="1" si="72"/>
        <v>20.758966663999999</v>
      </c>
      <c r="Y1157" s="10"/>
      <c r="Z1157" s="10"/>
      <c r="AA1157" s="10"/>
      <c r="AB1157" s="10">
        <f t="shared" ca="1" si="69"/>
        <v>107.06292150185762</v>
      </c>
      <c r="AC1157" s="10">
        <f t="shared" ca="1" si="69"/>
        <v>106.04112482014388</v>
      </c>
    </row>
    <row r="1158" spans="1:29" ht="15" x14ac:dyDescent="0.2">
      <c r="A1158" s="11"/>
    </row>
    <row r="1159" spans="1:29" ht="15" x14ac:dyDescent="0.2">
      <c r="A1159" s="11"/>
    </row>
    <row r="1160" spans="1:29" ht="15" x14ac:dyDescent="0.2">
      <c r="A1160" s="11"/>
    </row>
    <row r="1161" spans="1:29" ht="15" x14ac:dyDescent="0.2">
      <c r="A1161" s="11"/>
    </row>
    <row r="1162" spans="1:29" ht="15" x14ac:dyDescent="0.2">
      <c r="A1162" s="11"/>
    </row>
    <row r="1163" spans="1:29" ht="15" x14ac:dyDescent="0.2">
      <c r="A1163" s="11"/>
    </row>
    <row r="1164" spans="1:29" ht="15" x14ac:dyDescent="0.2">
      <c r="A1164" s="11"/>
    </row>
    <row r="1165" spans="1:29" ht="15" x14ac:dyDescent="0.2">
      <c r="A1165" s="11"/>
    </row>
    <row r="1166" spans="1:29" ht="15" x14ac:dyDescent="0.2">
      <c r="A1166" s="11"/>
    </row>
    <row r="1167" spans="1:29" ht="15" x14ac:dyDescent="0.2">
      <c r="A1167" s="11"/>
    </row>
    <row r="1168" spans="1:29" ht="15" x14ac:dyDescent="0.2">
      <c r="A1168" s="11"/>
    </row>
    <row r="1169" spans="1:1" ht="15" x14ac:dyDescent="0.2">
      <c r="A1169" s="11"/>
    </row>
    <row r="1170" spans="1:1" ht="15" x14ac:dyDescent="0.2">
      <c r="A1170" s="11"/>
    </row>
    <row r="1171" spans="1:1" ht="15" x14ac:dyDescent="0.2">
      <c r="A1171" s="11"/>
    </row>
    <row r="1172" spans="1:1" ht="15" x14ac:dyDescent="0.2">
      <c r="A1172" s="11"/>
    </row>
  </sheetData>
  <mergeCells count="4">
    <mergeCell ref="Z9:AA9"/>
    <mergeCell ref="T9:Y9"/>
    <mergeCell ref="T10:Y10"/>
    <mergeCell ref="T8:Y8"/>
  </mergeCells>
  <pageMargins left="0.25" right="0.25" top="0.5" bottom="0.5" header="0.25" footer="0.25"/>
  <pageSetup paperSize="17" scale="3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locked="0" defaultSize="0" autoLine="0" autoPict="0">
                <anchor moveWithCells="1">
                  <from>
                    <xdr:col>7</xdr:col>
                    <xdr:colOff>285750</xdr:colOff>
                    <xdr:row>7</xdr:row>
                    <xdr:rowOff>28575</xdr:rowOff>
                  </from>
                  <to>
                    <xdr:col>8</xdr:col>
                    <xdr:colOff>552450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locked="0" defaultSize="0" autoLine="0" autoPict="0">
                <anchor moveWithCells="1">
                  <from>
                    <xdr:col>11</xdr:col>
                    <xdr:colOff>0</xdr:colOff>
                    <xdr:row>7</xdr:row>
                    <xdr:rowOff>133350</xdr:rowOff>
                  </from>
                  <to>
                    <xdr:col>12</xdr:col>
                    <xdr:colOff>266700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AD1176"/>
  <sheetViews>
    <sheetView zoomScale="70" zoomScaleNormal="70" workbookViewId="0">
      <pane xSplit="1" ySplit="11" topLeftCell="B12" activePane="bottomRight" state="frozen"/>
      <selection activeCell="A92" sqref="A92:XFD1065"/>
      <selection pane="topRight" activeCell="A92" sqref="A92:XFD1065"/>
      <selection pane="bottomLeft" activeCell="A92" sqref="A92:XFD1065"/>
      <selection pane="bottomRight" activeCell="B12" sqref="B12"/>
    </sheetView>
  </sheetViews>
  <sheetFormatPr defaultColWidth="7.109375" defaultRowHeight="12.75" x14ac:dyDescent="0.2"/>
  <cols>
    <col min="1" max="1" width="19.21875" style="9" customWidth="1"/>
    <col min="2" max="2" width="7.88671875" style="9" customWidth="1"/>
    <col min="3" max="14" width="13" style="8" customWidth="1"/>
    <col min="15" max="19" width="20.6640625" style="8" customWidth="1"/>
    <col min="20" max="20" width="15.44140625" style="8" customWidth="1"/>
    <col min="21" max="21" width="7.77734375" style="8" customWidth="1"/>
    <col min="22" max="16384" width="7.109375" style="8"/>
  </cols>
  <sheetData>
    <row r="1" spans="1:30" ht="15.75" x14ac:dyDescent="0.25">
      <c r="A1" s="108" t="s">
        <v>91</v>
      </c>
    </row>
    <row r="2" spans="1:30" ht="15.75" x14ac:dyDescent="0.25">
      <c r="A2" s="108" t="s">
        <v>92</v>
      </c>
    </row>
    <row r="3" spans="1:30" ht="15.75" x14ac:dyDescent="0.25">
      <c r="A3" s="108" t="s">
        <v>93</v>
      </c>
    </row>
    <row r="4" spans="1:30" ht="15.75" x14ac:dyDescent="0.25">
      <c r="A4" s="108" t="s">
        <v>94</v>
      </c>
    </row>
    <row r="5" spans="1:30" ht="15.75" x14ac:dyDescent="0.25">
      <c r="A5" s="108" t="s">
        <v>96</v>
      </c>
    </row>
    <row r="6" spans="1:30" ht="15.75" x14ac:dyDescent="0.25">
      <c r="A6" s="108" t="s">
        <v>95</v>
      </c>
    </row>
    <row r="8" spans="1:30" ht="15.75" x14ac:dyDescent="0.25">
      <c r="A8" s="25" t="s">
        <v>28</v>
      </c>
      <c r="B8" s="25"/>
      <c r="C8" s="107"/>
      <c r="O8" s="79"/>
      <c r="P8" s="79"/>
      <c r="Q8" s="79"/>
      <c r="R8" s="79"/>
      <c r="S8" s="79"/>
    </row>
    <row r="9" spans="1:30" ht="15.75" x14ac:dyDescent="0.25">
      <c r="A9" s="25"/>
      <c r="C9" s="117" t="s">
        <v>90</v>
      </c>
      <c r="D9" s="117"/>
      <c r="E9" s="117"/>
      <c r="F9" s="117"/>
      <c r="G9" s="106"/>
      <c r="H9" s="106"/>
      <c r="I9" s="122" t="s">
        <v>89</v>
      </c>
      <c r="J9" s="123"/>
      <c r="K9" s="123"/>
      <c r="L9" s="105"/>
      <c r="M9" s="81"/>
      <c r="N9" s="104"/>
      <c r="O9" s="121"/>
      <c r="P9" s="121"/>
      <c r="Q9" s="121"/>
      <c r="R9" s="103"/>
      <c r="S9" s="103"/>
    </row>
    <row r="10" spans="1:30" ht="97.9" customHeight="1" x14ac:dyDescent="0.25">
      <c r="A10" s="102"/>
      <c r="B10" s="102"/>
      <c r="C10" s="74" t="s">
        <v>76</v>
      </c>
      <c r="D10" s="78" t="s">
        <v>75</v>
      </c>
      <c r="E10" s="74" t="s">
        <v>74</v>
      </c>
      <c r="F10" s="74" t="s">
        <v>73</v>
      </c>
      <c r="G10" s="78" t="s">
        <v>72</v>
      </c>
      <c r="H10" s="78" t="s">
        <v>71</v>
      </c>
      <c r="I10" s="78" t="s">
        <v>70</v>
      </c>
      <c r="J10" s="78" t="s">
        <v>69</v>
      </c>
      <c r="K10" s="78" t="s">
        <v>68</v>
      </c>
      <c r="L10" s="74" t="s">
        <v>88</v>
      </c>
      <c r="M10" s="75" t="s">
        <v>67</v>
      </c>
      <c r="N10" s="19" t="s">
        <v>66</v>
      </c>
      <c r="O10" s="77" t="s">
        <v>87</v>
      </c>
      <c r="P10" s="77" t="s">
        <v>86</v>
      </c>
      <c r="Q10" s="77" t="s">
        <v>85</v>
      </c>
      <c r="R10" s="77" t="s">
        <v>84</v>
      </c>
      <c r="S10" s="101" t="s">
        <v>83</v>
      </c>
      <c r="T10" s="21" t="s">
        <v>82</v>
      </c>
    </row>
    <row r="11" spans="1:30" ht="15.75" x14ac:dyDescent="0.25">
      <c r="A11" s="20" t="s">
        <v>15</v>
      </c>
      <c r="B11" s="20" t="s">
        <v>81</v>
      </c>
      <c r="C11" s="20" t="s">
        <v>80</v>
      </c>
      <c r="D11" s="20" t="s">
        <v>80</v>
      </c>
      <c r="E11" s="20" t="s">
        <v>80</v>
      </c>
      <c r="F11" s="20" t="s">
        <v>80</v>
      </c>
      <c r="G11" s="20" t="s">
        <v>80</v>
      </c>
      <c r="H11" s="20" t="s">
        <v>80</v>
      </c>
      <c r="I11" s="20" t="s">
        <v>80</v>
      </c>
      <c r="J11" s="20" t="s">
        <v>80</v>
      </c>
      <c r="K11" s="20" t="s">
        <v>80</v>
      </c>
      <c r="L11" s="20" t="s">
        <v>80</v>
      </c>
      <c r="M11" s="100" t="s">
        <v>80</v>
      </c>
      <c r="N11" s="20" t="s">
        <v>80</v>
      </c>
      <c r="O11" s="20" t="s">
        <v>80</v>
      </c>
      <c r="P11" s="20" t="s">
        <v>80</v>
      </c>
      <c r="Q11" s="20" t="s">
        <v>80</v>
      </c>
      <c r="R11" s="20" t="s">
        <v>80</v>
      </c>
      <c r="S11" s="20" t="s">
        <v>80</v>
      </c>
      <c r="T11" s="20" t="s">
        <v>80</v>
      </c>
    </row>
    <row r="12" spans="1:30" ht="15" x14ac:dyDescent="0.2">
      <c r="A12" s="16">
        <v>41275</v>
      </c>
      <c r="B12" s="98">
        <v>31</v>
      </c>
      <c r="C12" s="84">
        <v>122.58</v>
      </c>
      <c r="D12" s="84">
        <v>297.94099999999997</v>
      </c>
      <c r="E12" s="93">
        <v>89.177000000000007</v>
      </c>
      <c r="F12" s="84">
        <v>200.30199999999999</v>
      </c>
      <c r="G12" s="87">
        <v>40</v>
      </c>
      <c r="H12" s="84">
        <v>0</v>
      </c>
      <c r="I12" s="84">
        <v>0</v>
      </c>
      <c r="J12" s="87">
        <v>100</v>
      </c>
      <c r="K12" s="87">
        <v>300</v>
      </c>
      <c r="L12" s="84">
        <v>1150</v>
      </c>
      <c r="M12" s="99"/>
      <c r="N12" s="84">
        <v>125</v>
      </c>
      <c r="O12" s="87">
        <v>240</v>
      </c>
      <c r="P12" s="87">
        <v>0</v>
      </c>
      <c r="Q12" s="87">
        <v>355</v>
      </c>
      <c r="R12" s="87">
        <v>100</v>
      </c>
      <c r="S12" s="84">
        <v>695</v>
      </c>
      <c r="T12" s="84">
        <v>50</v>
      </c>
      <c r="U12" s="85"/>
      <c r="V12" s="85"/>
      <c r="W12" s="85"/>
      <c r="X12" s="85"/>
      <c r="Y12" s="85"/>
      <c r="Z12" s="85"/>
      <c r="AA12" s="85"/>
      <c r="AB12" s="85"/>
      <c r="AC12" s="85"/>
      <c r="AD12" s="85"/>
    </row>
    <row r="13" spans="1:30" ht="15" x14ac:dyDescent="0.2">
      <c r="A13" s="16">
        <v>41306</v>
      </c>
      <c r="B13" s="98">
        <v>28</v>
      </c>
      <c r="C13" s="84">
        <v>122.58</v>
      </c>
      <c r="D13" s="84">
        <v>297.94099999999997</v>
      </c>
      <c r="E13" s="93">
        <v>89.177000000000007</v>
      </c>
      <c r="F13" s="84">
        <v>200.30199999999999</v>
      </c>
      <c r="G13" s="87">
        <v>40</v>
      </c>
      <c r="H13" s="84">
        <v>0</v>
      </c>
      <c r="I13" s="84">
        <v>0</v>
      </c>
      <c r="J13" s="87">
        <v>100</v>
      </c>
      <c r="K13" s="87">
        <v>300</v>
      </c>
      <c r="L13" s="84">
        <v>1150</v>
      </c>
      <c r="M13" s="99"/>
      <c r="N13" s="84">
        <v>125</v>
      </c>
      <c r="O13" s="87">
        <v>240</v>
      </c>
      <c r="P13" s="87">
        <v>0</v>
      </c>
      <c r="Q13" s="87">
        <v>355</v>
      </c>
      <c r="R13" s="87">
        <v>100</v>
      </c>
      <c r="S13" s="84">
        <v>695</v>
      </c>
      <c r="T13" s="84">
        <v>50</v>
      </c>
      <c r="U13" s="85"/>
      <c r="V13" s="85"/>
      <c r="W13" s="85"/>
      <c r="X13" s="85"/>
      <c r="Y13" s="85"/>
      <c r="Z13" s="85"/>
      <c r="AA13" s="85"/>
      <c r="AB13" s="85"/>
      <c r="AC13" s="85"/>
      <c r="AD13" s="85"/>
    </row>
    <row r="14" spans="1:30" ht="15" x14ac:dyDescent="0.2">
      <c r="A14" s="16">
        <v>41334</v>
      </c>
      <c r="B14" s="98">
        <v>31</v>
      </c>
      <c r="C14" s="84">
        <v>122.58</v>
      </c>
      <c r="D14" s="84">
        <v>297.94099999999997</v>
      </c>
      <c r="E14" s="93">
        <v>89.177000000000007</v>
      </c>
      <c r="F14" s="84">
        <v>200.30199999999999</v>
      </c>
      <c r="G14" s="87">
        <v>40</v>
      </c>
      <c r="H14" s="84">
        <v>0</v>
      </c>
      <c r="I14" s="84">
        <v>0</v>
      </c>
      <c r="J14" s="87">
        <v>100</v>
      </c>
      <c r="K14" s="87">
        <v>300</v>
      </c>
      <c r="L14" s="84">
        <v>1150</v>
      </c>
      <c r="M14" s="99"/>
      <c r="N14" s="84">
        <v>125</v>
      </c>
      <c r="O14" s="87">
        <v>240</v>
      </c>
      <c r="P14" s="87">
        <v>0</v>
      </c>
      <c r="Q14" s="87">
        <v>355</v>
      </c>
      <c r="R14" s="87">
        <v>100</v>
      </c>
      <c r="S14" s="84">
        <v>695</v>
      </c>
      <c r="T14" s="84">
        <v>50</v>
      </c>
      <c r="U14" s="85"/>
      <c r="V14" s="85"/>
      <c r="W14" s="85"/>
      <c r="X14" s="85"/>
      <c r="Y14" s="85"/>
      <c r="Z14" s="85"/>
      <c r="AA14" s="85"/>
      <c r="AB14" s="85"/>
      <c r="AC14" s="85"/>
      <c r="AD14" s="85"/>
    </row>
    <row r="15" spans="1:30" ht="15" x14ac:dyDescent="0.2">
      <c r="A15" s="16">
        <v>41365</v>
      </c>
      <c r="B15" s="98">
        <v>30</v>
      </c>
      <c r="C15" s="84">
        <v>141.29300000000001</v>
      </c>
      <c r="D15" s="84">
        <v>267.99299999999999</v>
      </c>
      <c r="E15" s="93">
        <v>115.01600000000001</v>
      </c>
      <c r="F15" s="84">
        <v>249.69800000000001</v>
      </c>
      <c r="G15" s="87">
        <v>40</v>
      </c>
      <c r="H15" s="84">
        <v>25</v>
      </c>
      <c r="I15" s="84">
        <v>0</v>
      </c>
      <c r="J15" s="87">
        <v>100</v>
      </c>
      <c r="K15" s="87">
        <v>300</v>
      </c>
      <c r="L15" s="84">
        <v>1239</v>
      </c>
      <c r="M15" s="99"/>
      <c r="N15" s="84">
        <v>125</v>
      </c>
      <c r="O15" s="87">
        <v>240</v>
      </c>
      <c r="P15" s="87">
        <v>120</v>
      </c>
      <c r="Q15" s="87">
        <v>235</v>
      </c>
      <c r="R15" s="87">
        <v>100</v>
      </c>
      <c r="S15" s="84">
        <v>695</v>
      </c>
      <c r="T15" s="84">
        <v>50</v>
      </c>
      <c r="U15" s="85"/>
      <c r="V15" s="85"/>
      <c r="W15" s="85"/>
      <c r="X15" s="85"/>
      <c r="Y15" s="85"/>
      <c r="Z15" s="85"/>
      <c r="AA15" s="85"/>
      <c r="AB15" s="85"/>
      <c r="AC15" s="85"/>
      <c r="AD15" s="85"/>
    </row>
    <row r="16" spans="1:30" ht="15" x14ac:dyDescent="0.2">
      <c r="A16" s="16">
        <v>41395</v>
      </c>
      <c r="B16" s="98">
        <v>31</v>
      </c>
      <c r="C16" s="84">
        <v>194.20500000000001</v>
      </c>
      <c r="D16" s="84">
        <v>267.46600000000001</v>
      </c>
      <c r="E16" s="93">
        <v>133.845</v>
      </c>
      <c r="F16" s="84">
        <v>213.48400000000001</v>
      </c>
      <c r="G16" s="87">
        <v>40</v>
      </c>
      <c r="H16" s="84">
        <v>25</v>
      </c>
      <c r="I16" s="99">
        <v>30</v>
      </c>
      <c r="J16" s="87">
        <v>100</v>
      </c>
      <c r="K16" s="87">
        <v>300</v>
      </c>
      <c r="L16" s="84">
        <v>1304</v>
      </c>
      <c r="M16" s="99"/>
      <c r="N16" s="84">
        <v>100</v>
      </c>
      <c r="O16" s="87">
        <v>240</v>
      </c>
      <c r="P16" s="87">
        <v>120</v>
      </c>
      <c r="Q16" s="87">
        <v>235</v>
      </c>
      <c r="R16" s="87">
        <v>100</v>
      </c>
      <c r="S16" s="84">
        <v>695</v>
      </c>
      <c r="T16" s="84">
        <v>50</v>
      </c>
      <c r="U16" s="85"/>
      <c r="V16" s="85"/>
      <c r="W16" s="85"/>
      <c r="X16" s="85"/>
      <c r="Y16" s="85"/>
      <c r="Z16" s="85"/>
      <c r="AA16" s="85"/>
      <c r="AB16" s="85"/>
      <c r="AC16" s="85"/>
      <c r="AD16" s="85"/>
    </row>
    <row r="17" spans="1:30" ht="15" x14ac:dyDescent="0.2">
      <c r="A17" s="16">
        <v>41426</v>
      </c>
      <c r="B17" s="98">
        <v>30</v>
      </c>
      <c r="C17" s="84">
        <v>194.20500000000001</v>
      </c>
      <c r="D17" s="84">
        <v>267.46600000000001</v>
      </c>
      <c r="E17" s="93">
        <v>133.845</v>
      </c>
      <c r="F17" s="84">
        <v>213.48400000000001</v>
      </c>
      <c r="G17" s="87">
        <v>40</v>
      </c>
      <c r="H17" s="84">
        <v>25</v>
      </c>
      <c r="I17" s="99">
        <v>30</v>
      </c>
      <c r="J17" s="87">
        <v>100</v>
      </c>
      <c r="K17" s="87">
        <v>300</v>
      </c>
      <c r="L17" s="84">
        <v>1304</v>
      </c>
      <c r="M17" s="99"/>
      <c r="N17" s="84">
        <v>55</v>
      </c>
      <c r="O17" s="87">
        <v>240</v>
      </c>
      <c r="P17" s="87">
        <v>120</v>
      </c>
      <c r="Q17" s="87">
        <v>235</v>
      </c>
      <c r="R17" s="87">
        <v>100</v>
      </c>
      <c r="S17" s="84">
        <v>695</v>
      </c>
      <c r="T17" s="84">
        <v>50</v>
      </c>
      <c r="U17" s="85"/>
      <c r="V17" s="85"/>
      <c r="W17" s="85"/>
      <c r="X17" s="85"/>
      <c r="Y17" s="85"/>
      <c r="Z17" s="85"/>
      <c r="AA17" s="85"/>
      <c r="AB17" s="85"/>
      <c r="AC17" s="85"/>
      <c r="AD17" s="85"/>
    </row>
    <row r="18" spans="1:30" ht="15" x14ac:dyDescent="0.2">
      <c r="A18" s="16">
        <v>41456</v>
      </c>
      <c r="B18" s="98">
        <v>31</v>
      </c>
      <c r="C18" s="84">
        <v>194.20500000000001</v>
      </c>
      <c r="D18" s="84">
        <v>267.46600000000001</v>
      </c>
      <c r="E18" s="93">
        <v>133.845</v>
      </c>
      <c r="F18" s="84">
        <v>213.48400000000001</v>
      </c>
      <c r="G18" s="87">
        <v>40</v>
      </c>
      <c r="H18" s="84">
        <v>25</v>
      </c>
      <c r="I18" s="99">
        <v>30</v>
      </c>
      <c r="J18" s="87">
        <v>100</v>
      </c>
      <c r="K18" s="87">
        <v>300</v>
      </c>
      <c r="L18" s="84">
        <v>1304</v>
      </c>
      <c r="M18" s="99"/>
      <c r="N18" s="84">
        <v>55</v>
      </c>
      <c r="O18" s="87">
        <v>240</v>
      </c>
      <c r="P18" s="87">
        <v>120</v>
      </c>
      <c r="Q18" s="87">
        <v>235</v>
      </c>
      <c r="R18" s="87">
        <v>100</v>
      </c>
      <c r="S18" s="84">
        <v>695</v>
      </c>
      <c r="T18" s="84">
        <v>0</v>
      </c>
      <c r="U18" s="85"/>
      <c r="V18" s="85"/>
      <c r="W18" s="85"/>
      <c r="X18" s="85"/>
      <c r="Y18" s="85"/>
      <c r="Z18" s="85"/>
      <c r="AA18" s="85"/>
      <c r="AB18" s="85"/>
      <c r="AC18" s="85"/>
      <c r="AD18" s="85"/>
    </row>
    <row r="19" spans="1:30" ht="15" x14ac:dyDescent="0.2">
      <c r="A19" s="16">
        <v>41487</v>
      </c>
      <c r="B19" s="98">
        <v>31</v>
      </c>
      <c r="C19" s="84">
        <v>194.20500000000001</v>
      </c>
      <c r="D19" s="84">
        <v>267.46600000000001</v>
      </c>
      <c r="E19" s="93">
        <v>133.845</v>
      </c>
      <c r="F19" s="84">
        <v>213.48400000000001</v>
      </c>
      <c r="G19" s="87">
        <v>40</v>
      </c>
      <c r="H19" s="84">
        <v>25</v>
      </c>
      <c r="I19" s="99">
        <v>30</v>
      </c>
      <c r="J19" s="87">
        <v>100</v>
      </c>
      <c r="K19" s="87">
        <v>300</v>
      </c>
      <c r="L19" s="84">
        <v>1304</v>
      </c>
      <c r="M19" s="99"/>
      <c r="N19" s="84">
        <v>55</v>
      </c>
      <c r="O19" s="87">
        <v>240</v>
      </c>
      <c r="P19" s="87">
        <v>120</v>
      </c>
      <c r="Q19" s="87">
        <v>235</v>
      </c>
      <c r="R19" s="87">
        <v>100</v>
      </c>
      <c r="S19" s="84">
        <v>695</v>
      </c>
      <c r="T19" s="84">
        <v>0</v>
      </c>
      <c r="U19" s="85"/>
      <c r="V19" s="85"/>
      <c r="W19" s="85"/>
      <c r="X19" s="85"/>
      <c r="Y19" s="85"/>
      <c r="Z19" s="85"/>
      <c r="AA19" s="85"/>
      <c r="AB19" s="85"/>
      <c r="AC19" s="85"/>
      <c r="AD19" s="85"/>
    </row>
    <row r="20" spans="1:30" ht="15" x14ac:dyDescent="0.2">
      <c r="A20" s="16">
        <v>41518</v>
      </c>
      <c r="B20" s="98">
        <v>30</v>
      </c>
      <c r="C20" s="84">
        <v>194.20500000000001</v>
      </c>
      <c r="D20" s="84">
        <v>267.46600000000001</v>
      </c>
      <c r="E20" s="93">
        <v>133.845</v>
      </c>
      <c r="F20" s="84">
        <v>213.48400000000001</v>
      </c>
      <c r="G20" s="87">
        <v>40</v>
      </c>
      <c r="H20" s="84">
        <v>25</v>
      </c>
      <c r="I20" s="99">
        <v>30</v>
      </c>
      <c r="J20" s="87">
        <v>100</v>
      </c>
      <c r="K20" s="87">
        <v>300</v>
      </c>
      <c r="L20" s="84">
        <v>1304</v>
      </c>
      <c r="M20" s="99"/>
      <c r="N20" s="84">
        <v>55</v>
      </c>
      <c r="O20" s="87">
        <v>240</v>
      </c>
      <c r="P20" s="87">
        <v>120</v>
      </c>
      <c r="Q20" s="87">
        <v>235</v>
      </c>
      <c r="R20" s="87">
        <v>100</v>
      </c>
      <c r="S20" s="84">
        <v>695</v>
      </c>
      <c r="T20" s="84">
        <v>0</v>
      </c>
      <c r="U20" s="85"/>
      <c r="V20" s="85"/>
      <c r="W20" s="85"/>
      <c r="X20" s="85"/>
      <c r="Y20" s="85"/>
      <c r="Z20" s="85"/>
      <c r="AA20" s="85"/>
      <c r="AB20" s="85"/>
      <c r="AC20" s="85"/>
      <c r="AD20" s="85"/>
    </row>
    <row r="21" spans="1:30" ht="15" x14ac:dyDescent="0.2">
      <c r="A21" s="16">
        <v>41548</v>
      </c>
      <c r="B21" s="98">
        <v>31</v>
      </c>
      <c r="C21" s="84">
        <v>131.881</v>
      </c>
      <c r="D21" s="84">
        <v>277.16699999999997</v>
      </c>
      <c r="E21" s="93">
        <v>79.08</v>
      </c>
      <c r="F21" s="84">
        <v>285.87200000000001</v>
      </c>
      <c r="G21" s="87">
        <v>40</v>
      </c>
      <c r="H21" s="84">
        <v>25</v>
      </c>
      <c r="I21" s="84">
        <v>0</v>
      </c>
      <c r="J21" s="87">
        <v>100</v>
      </c>
      <c r="K21" s="87">
        <v>300</v>
      </c>
      <c r="L21" s="84">
        <v>1239</v>
      </c>
      <c r="M21" s="99"/>
      <c r="N21" s="84">
        <v>100</v>
      </c>
      <c r="O21" s="87">
        <v>240</v>
      </c>
      <c r="P21" s="87">
        <v>120</v>
      </c>
      <c r="Q21" s="87">
        <v>235</v>
      </c>
      <c r="R21" s="87">
        <v>100</v>
      </c>
      <c r="S21" s="84">
        <v>695</v>
      </c>
      <c r="T21" s="84">
        <v>0</v>
      </c>
      <c r="U21" s="85"/>
      <c r="V21" s="85"/>
      <c r="W21" s="85"/>
      <c r="X21" s="85"/>
      <c r="Y21" s="85"/>
      <c r="Z21" s="85"/>
      <c r="AA21" s="85"/>
      <c r="AB21" s="85"/>
      <c r="AC21" s="85"/>
      <c r="AD21" s="85"/>
    </row>
    <row r="22" spans="1:30" ht="15" x14ac:dyDescent="0.2">
      <c r="A22" s="16">
        <v>41579</v>
      </c>
      <c r="B22" s="98">
        <v>30</v>
      </c>
      <c r="C22" s="84">
        <v>122.58</v>
      </c>
      <c r="D22" s="84">
        <v>297.94099999999997</v>
      </c>
      <c r="E22" s="93">
        <v>89.177000000000007</v>
      </c>
      <c r="F22" s="84">
        <v>200.30199999999999</v>
      </c>
      <c r="G22" s="87">
        <v>40</v>
      </c>
      <c r="H22" s="84">
        <v>0</v>
      </c>
      <c r="I22" s="84">
        <v>0</v>
      </c>
      <c r="J22" s="87">
        <v>100</v>
      </c>
      <c r="K22" s="87">
        <v>300</v>
      </c>
      <c r="L22" s="84">
        <v>1150</v>
      </c>
      <c r="M22" s="99"/>
      <c r="N22" s="84">
        <v>125</v>
      </c>
      <c r="O22" s="87">
        <v>240</v>
      </c>
      <c r="P22" s="87">
        <v>0</v>
      </c>
      <c r="Q22" s="87">
        <v>355</v>
      </c>
      <c r="R22" s="87">
        <v>100</v>
      </c>
      <c r="S22" s="84">
        <v>695</v>
      </c>
      <c r="T22" s="84">
        <v>50</v>
      </c>
      <c r="U22" s="85"/>
      <c r="V22" s="85"/>
      <c r="W22" s="85"/>
      <c r="X22" s="85"/>
      <c r="Y22" s="85"/>
      <c r="Z22" s="85"/>
      <c r="AA22" s="85"/>
      <c r="AB22" s="85"/>
      <c r="AC22" s="85"/>
      <c r="AD22" s="85"/>
    </row>
    <row r="23" spans="1:30" ht="15" x14ac:dyDescent="0.2">
      <c r="A23" s="16">
        <v>41609</v>
      </c>
      <c r="B23" s="98">
        <v>31</v>
      </c>
      <c r="C23" s="84">
        <v>122.58</v>
      </c>
      <c r="D23" s="84">
        <v>297.94099999999997</v>
      </c>
      <c r="E23" s="93">
        <v>89.177000000000007</v>
      </c>
      <c r="F23" s="84">
        <v>200.30199999999999</v>
      </c>
      <c r="G23" s="87">
        <v>40</v>
      </c>
      <c r="H23" s="84">
        <v>0</v>
      </c>
      <c r="I23" s="84">
        <v>0</v>
      </c>
      <c r="J23" s="87">
        <v>100</v>
      </c>
      <c r="K23" s="87">
        <v>300</v>
      </c>
      <c r="L23" s="84">
        <v>1150</v>
      </c>
      <c r="M23" s="99"/>
      <c r="N23" s="84">
        <v>125</v>
      </c>
      <c r="O23" s="87">
        <v>240</v>
      </c>
      <c r="P23" s="87">
        <v>0</v>
      </c>
      <c r="Q23" s="87">
        <v>355</v>
      </c>
      <c r="R23" s="87">
        <v>100</v>
      </c>
      <c r="S23" s="84">
        <v>695</v>
      </c>
      <c r="T23" s="84">
        <v>50</v>
      </c>
      <c r="U23" s="85"/>
      <c r="V23" s="85"/>
      <c r="W23" s="85"/>
      <c r="X23" s="85"/>
      <c r="Y23" s="85"/>
      <c r="Z23" s="85"/>
      <c r="AA23" s="85"/>
      <c r="AB23" s="85"/>
      <c r="AC23" s="85"/>
      <c r="AD23" s="85"/>
    </row>
    <row r="24" spans="1:30" ht="15.75" x14ac:dyDescent="0.25">
      <c r="A24" s="16">
        <v>41640</v>
      </c>
      <c r="B24" s="98">
        <v>31</v>
      </c>
      <c r="C24" s="84">
        <f>122.58</f>
        <v>122.58</v>
      </c>
      <c r="D24" s="84">
        <f>297.941</f>
        <v>297.94099999999997</v>
      </c>
      <c r="E24" s="93">
        <f>89.177</f>
        <v>89.177000000000007</v>
      </c>
      <c r="F24" s="84">
        <f>240.302-40</f>
        <v>200.30199999999999</v>
      </c>
      <c r="G24" s="87">
        <v>40</v>
      </c>
      <c r="H24" s="84">
        <v>0</v>
      </c>
      <c r="I24" s="84">
        <v>0</v>
      </c>
      <c r="J24" s="87">
        <v>100</v>
      </c>
      <c r="K24" s="87">
        <v>300</v>
      </c>
      <c r="L24" s="84">
        <f t="shared" ref="L24:L87" si="0">SUM(C24:K24)</f>
        <v>1150</v>
      </c>
      <c r="M24" s="95"/>
      <c r="N24" s="84">
        <f>100</f>
        <v>100</v>
      </c>
      <c r="O24" s="87">
        <v>240</v>
      </c>
      <c r="P24" s="87">
        <v>0</v>
      </c>
      <c r="Q24" s="87">
        <f t="shared" ref="Q24:Q87" si="1">695-R24-O24-P24</f>
        <v>355</v>
      </c>
      <c r="R24" s="87">
        <f t="shared" ref="R24:R87" si="2">200-J24</f>
        <v>100</v>
      </c>
      <c r="S24" s="84">
        <f t="shared" ref="S24:S87" si="3">SUM(O24:R24)</f>
        <v>695</v>
      </c>
      <c r="T24" s="84">
        <f>50</f>
        <v>50</v>
      </c>
      <c r="U24" s="85"/>
      <c r="V24" s="85"/>
      <c r="W24" s="85"/>
      <c r="X24" s="85"/>
      <c r="Y24" s="85"/>
      <c r="Z24" s="85"/>
      <c r="AA24" s="85"/>
      <c r="AB24" s="85"/>
      <c r="AC24" s="85"/>
      <c r="AD24" s="85"/>
    </row>
    <row r="25" spans="1:30" ht="15.75" x14ac:dyDescent="0.25">
      <c r="A25" s="16">
        <v>41671</v>
      </c>
      <c r="B25" s="98">
        <v>28</v>
      </c>
      <c r="C25" s="84">
        <f>122.58</f>
        <v>122.58</v>
      </c>
      <c r="D25" s="84">
        <f>297.941</f>
        <v>297.94099999999997</v>
      </c>
      <c r="E25" s="93">
        <f>89.177</f>
        <v>89.177000000000007</v>
      </c>
      <c r="F25" s="84">
        <f>240.302-40</f>
        <v>200.30199999999999</v>
      </c>
      <c r="G25" s="87">
        <v>40</v>
      </c>
      <c r="H25" s="84">
        <v>0</v>
      </c>
      <c r="I25" s="84">
        <v>0</v>
      </c>
      <c r="J25" s="87">
        <v>100</v>
      </c>
      <c r="K25" s="87">
        <v>300</v>
      </c>
      <c r="L25" s="84">
        <f t="shared" si="0"/>
        <v>1150</v>
      </c>
      <c r="M25" s="95"/>
      <c r="N25" s="84">
        <f>100</f>
        <v>100</v>
      </c>
      <c r="O25" s="87">
        <v>240</v>
      </c>
      <c r="P25" s="87">
        <v>0</v>
      </c>
      <c r="Q25" s="87">
        <f t="shared" si="1"/>
        <v>355</v>
      </c>
      <c r="R25" s="87">
        <f t="shared" si="2"/>
        <v>100</v>
      </c>
      <c r="S25" s="84">
        <f t="shared" si="3"/>
        <v>695</v>
      </c>
      <c r="T25" s="84">
        <f>50</f>
        <v>50</v>
      </c>
      <c r="U25" s="85"/>
      <c r="V25" s="85"/>
      <c r="W25" s="85"/>
      <c r="X25" s="85"/>
      <c r="Y25" s="85"/>
      <c r="Z25" s="85"/>
      <c r="AA25" s="85"/>
      <c r="AB25" s="85"/>
      <c r="AC25" s="85"/>
      <c r="AD25" s="85"/>
    </row>
    <row r="26" spans="1:30" ht="15.75" x14ac:dyDescent="0.25">
      <c r="A26" s="16">
        <v>41699</v>
      </c>
      <c r="B26" s="98">
        <v>31</v>
      </c>
      <c r="C26" s="84">
        <f>122.58</f>
        <v>122.58</v>
      </c>
      <c r="D26" s="84">
        <f>297.941</f>
        <v>297.94099999999997</v>
      </c>
      <c r="E26" s="93">
        <f>89.177</f>
        <v>89.177000000000007</v>
      </c>
      <c r="F26" s="84">
        <f>240.302-40</f>
        <v>200.30199999999999</v>
      </c>
      <c r="G26" s="87">
        <v>40</v>
      </c>
      <c r="H26" s="84">
        <v>0</v>
      </c>
      <c r="I26" s="84">
        <v>0</v>
      </c>
      <c r="J26" s="87">
        <v>100</v>
      </c>
      <c r="K26" s="87">
        <v>300</v>
      </c>
      <c r="L26" s="84">
        <f t="shared" si="0"/>
        <v>1150</v>
      </c>
      <c r="M26" s="95"/>
      <c r="N26" s="84">
        <f>100</f>
        <v>100</v>
      </c>
      <c r="O26" s="87">
        <v>240</v>
      </c>
      <c r="P26" s="87">
        <v>0</v>
      </c>
      <c r="Q26" s="87">
        <f t="shared" si="1"/>
        <v>355</v>
      </c>
      <c r="R26" s="87">
        <f t="shared" si="2"/>
        <v>100</v>
      </c>
      <c r="S26" s="84">
        <f t="shared" si="3"/>
        <v>695</v>
      </c>
      <c r="T26" s="84">
        <f>50</f>
        <v>50</v>
      </c>
      <c r="U26" s="85"/>
      <c r="V26" s="85"/>
      <c r="W26" s="85"/>
      <c r="X26" s="85"/>
      <c r="Y26" s="85"/>
      <c r="Z26" s="85"/>
      <c r="AA26" s="85"/>
      <c r="AB26" s="85"/>
      <c r="AC26" s="85"/>
      <c r="AD26" s="85"/>
    </row>
    <row r="27" spans="1:30" ht="15.75" x14ac:dyDescent="0.25">
      <c r="A27" s="16">
        <v>41730</v>
      </c>
      <c r="B27" s="98">
        <v>30</v>
      </c>
      <c r="C27" s="84">
        <f>141.293</f>
        <v>141.29300000000001</v>
      </c>
      <c r="D27" s="84">
        <f>267.993</f>
        <v>267.99299999999999</v>
      </c>
      <c r="E27" s="93">
        <f>115.016</f>
        <v>115.01600000000001</v>
      </c>
      <c r="F27" s="84">
        <f>314.698-40-25</f>
        <v>249.69799999999998</v>
      </c>
      <c r="G27" s="87">
        <v>40</v>
      </c>
      <c r="H27" s="84">
        <v>25</v>
      </c>
      <c r="I27" s="84">
        <v>0</v>
      </c>
      <c r="J27" s="87">
        <v>100</v>
      </c>
      <c r="K27" s="87">
        <v>300</v>
      </c>
      <c r="L27" s="84">
        <f t="shared" si="0"/>
        <v>1239</v>
      </c>
      <c r="M27" s="95"/>
      <c r="N27" s="84">
        <f>100</f>
        <v>100</v>
      </c>
      <c r="O27" s="87">
        <v>240</v>
      </c>
      <c r="P27" s="87">
        <f t="shared" ref="P27:P33" si="4">145-H27</f>
        <v>120</v>
      </c>
      <c r="Q27" s="87">
        <f t="shared" si="1"/>
        <v>235</v>
      </c>
      <c r="R27" s="87">
        <f t="shared" si="2"/>
        <v>100</v>
      </c>
      <c r="S27" s="84">
        <f t="shared" si="3"/>
        <v>695</v>
      </c>
      <c r="T27" s="84">
        <f>50</f>
        <v>50</v>
      </c>
      <c r="U27" s="85"/>
      <c r="V27" s="85"/>
      <c r="W27" s="85"/>
      <c r="X27" s="85"/>
      <c r="Y27" s="85"/>
      <c r="Z27" s="85"/>
      <c r="AA27" s="85"/>
      <c r="AB27" s="85"/>
      <c r="AC27" s="85"/>
      <c r="AD27" s="85"/>
    </row>
    <row r="28" spans="1:30" ht="15.75" x14ac:dyDescent="0.25">
      <c r="A28" s="16">
        <v>41760</v>
      </c>
      <c r="B28" s="98">
        <v>31</v>
      </c>
      <c r="C28" s="84">
        <f>194.205</f>
        <v>194.20500000000001</v>
      </c>
      <c r="D28" s="84">
        <f>267.466</f>
        <v>267.46600000000001</v>
      </c>
      <c r="E28" s="93">
        <f>133.845</f>
        <v>133.845</v>
      </c>
      <c r="F28" s="84">
        <f>278.484-40-25</f>
        <v>213.48399999999998</v>
      </c>
      <c r="G28" s="87">
        <v>40</v>
      </c>
      <c r="H28" s="84">
        <v>25</v>
      </c>
      <c r="I28" s="99">
        <v>50</v>
      </c>
      <c r="J28" s="87">
        <v>100</v>
      </c>
      <c r="K28" s="87">
        <v>300</v>
      </c>
      <c r="L28" s="84">
        <f t="shared" si="0"/>
        <v>1324</v>
      </c>
      <c r="M28" s="95"/>
      <c r="N28" s="84">
        <f>75</f>
        <v>75</v>
      </c>
      <c r="O28" s="87">
        <v>240</v>
      </c>
      <c r="P28" s="87">
        <f t="shared" si="4"/>
        <v>120</v>
      </c>
      <c r="Q28" s="87">
        <f t="shared" si="1"/>
        <v>235</v>
      </c>
      <c r="R28" s="87">
        <f t="shared" si="2"/>
        <v>100</v>
      </c>
      <c r="S28" s="84">
        <f t="shared" si="3"/>
        <v>695</v>
      </c>
      <c r="T28" s="84">
        <f>50</f>
        <v>50</v>
      </c>
      <c r="U28" s="85"/>
      <c r="V28" s="85"/>
      <c r="W28" s="85"/>
      <c r="X28" s="85"/>
      <c r="Y28" s="85"/>
      <c r="Z28" s="85"/>
      <c r="AA28" s="85"/>
      <c r="AB28" s="85"/>
      <c r="AC28" s="85"/>
      <c r="AD28" s="85"/>
    </row>
    <row r="29" spans="1:30" ht="15.75" x14ac:dyDescent="0.25">
      <c r="A29" s="16">
        <v>41791</v>
      </c>
      <c r="B29" s="98">
        <v>30</v>
      </c>
      <c r="C29" s="84">
        <f>194.205</f>
        <v>194.20500000000001</v>
      </c>
      <c r="D29" s="84">
        <f>267.466</f>
        <v>267.46600000000001</v>
      </c>
      <c r="E29" s="93">
        <f>133.845</f>
        <v>133.845</v>
      </c>
      <c r="F29" s="84">
        <f>278.484-40-25</f>
        <v>213.48399999999998</v>
      </c>
      <c r="G29" s="87">
        <v>40</v>
      </c>
      <c r="H29" s="84">
        <v>25</v>
      </c>
      <c r="I29" s="99">
        <v>50</v>
      </c>
      <c r="J29" s="87">
        <v>100</v>
      </c>
      <c r="K29" s="87">
        <v>300</v>
      </c>
      <c r="L29" s="84">
        <f t="shared" si="0"/>
        <v>1324</v>
      </c>
      <c r="M29" s="95"/>
      <c r="N29" s="84">
        <f>30</f>
        <v>30</v>
      </c>
      <c r="O29" s="87">
        <v>240</v>
      </c>
      <c r="P29" s="87">
        <f t="shared" si="4"/>
        <v>120</v>
      </c>
      <c r="Q29" s="87">
        <f t="shared" si="1"/>
        <v>235</v>
      </c>
      <c r="R29" s="87">
        <f t="shared" si="2"/>
        <v>100</v>
      </c>
      <c r="S29" s="84">
        <f t="shared" si="3"/>
        <v>695</v>
      </c>
      <c r="T29" s="84">
        <f>50</f>
        <v>50</v>
      </c>
      <c r="U29" s="85"/>
      <c r="V29" s="85"/>
      <c r="W29" s="85"/>
      <c r="X29" s="85"/>
      <c r="Y29" s="85"/>
      <c r="Z29" s="85"/>
      <c r="AA29" s="85"/>
      <c r="AB29" s="85"/>
      <c r="AC29" s="85"/>
      <c r="AD29" s="85"/>
    </row>
    <row r="30" spans="1:30" ht="15.75" x14ac:dyDescent="0.25">
      <c r="A30" s="16">
        <v>41821</v>
      </c>
      <c r="B30" s="98">
        <v>31</v>
      </c>
      <c r="C30" s="84">
        <f>194.205</f>
        <v>194.20500000000001</v>
      </c>
      <c r="D30" s="84">
        <f>267.466</f>
        <v>267.46600000000001</v>
      </c>
      <c r="E30" s="93">
        <f>133.845</f>
        <v>133.845</v>
      </c>
      <c r="F30" s="84">
        <f>278.484-40-25</f>
        <v>213.48399999999998</v>
      </c>
      <c r="G30" s="87">
        <v>40</v>
      </c>
      <c r="H30" s="84">
        <v>25</v>
      </c>
      <c r="I30" s="99">
        <v>50</v>
      </c>
      <c r="J30" s="87">
        <v>100</v>
      </c>
      <c r="K30" s="87">
        <v>300</v>
      </c>
      <c r="L30" s="84">
        <f t="shared" si="0"/>
        <v>1324</v>
      </c>
      <c r="M30" s="95"/>
      <c r="N30" s="84">
        <f>30</f>
        <v>30</v>
      </c>
      <c r="O30" s="87">
        <v>240</v>
      </c>
      <c r="P30" s="87">
        <f t="shared" si="4"/>
        <v>120</v>
      </c>
      <c r="Q30" s="87">
        <f t="shared" si="1"/>
        <v>235</v>
      </c>
      <c r="R30" s="87">
        <f t="shared" si="2"/>
        <v>100</v>
      </c>
      <c r="S30" s="84">
        <f t="shared" si="3"/>
        <v>695</v>
      </c>
      <c r="T30" s="84">
        <f>0</f>
        <v>0</v>
      </c>
      <c r="U30" s="85"/>
      <c r="V30" s="85"/>
      <c r="W30" s="85"/>
      <c r="X30" s="85"/>
      <c r="Y30" s="85"/>
      <c r="Z30" s="85"/>
      <c r="AA30" s="85"/>
      <c r="AB30" s="85"/>
      <c r="AC30" s="85"/>
      <c r="AD30" s="85"/>
    </row>
    <row r="31" spans="1:30" ht="15.75" x14ac:dyDescent="0.25">
      <c r="A31" s="16">
        <v>41852</v>
      </c>
      <c r="B31" s="98">
        <v>31</v>
      </c>
      <c r="C31" s="84">
        <f>194.205</f>
        <v>194.20500000000001</v>
      </c>
      <c r="D31" s="84">
        <f>267.466</f>
        <v>267.46600000000001</v>
      </c>
      <c r="E31" s="93">
        <f>133.845</f>
        <v>133.845</v>
      </c>
      <c r="F31" s="84">
        <f>278.484-40-25</f>
        <v>213.48399999999998</v>
      </c>
      <c r="G31" s="87">
        <v>40</v>
      </c>
      <c r="H31" s="84">
        <v>25</v>
      </c>
      <c r="I31" s="99">
        <v>50</v>
      </c>
      <c r="J31" s="87">
        <v>100</v>
      </c>
      <c r="K31" s="87">
        <v>300</v>
      </c>
      <c r="L31" s="84">
        <f t="shared" si="0"/>
        <v>1324</v>
      </c>
      <c r="M31" s="95"/>
      <c r="N31" s="84">
        <f>30</f>
        <v>30</v>
      </c>
      <c r="O31" s="87">
        <v>240</v>
      </c>
      <c r="P31" s="87">
        <f t="shared" si="4"/>
        <v>120</v>
      </c>
      <c r="Q31" s="87">
        <f t="shared" si="1"/>
        <v>235</v>
      </c>
      <c r="R31" s="87">
        <f t="shared" si="2"/>
        <v>100</v>
      </c>
      <c r="S31" s="84">
        <f t="shared" si="3"/>
        <v>695</v>
      </c>
      <c r="T31" s="84">
        <f>0</f>
        <v>0</v>
      </c>
      <c r="U31" s="85"/>
      <c r="V31" s="85"/>
      <c r="W31" s="85"/>
      <c r="X31" s="85"/>
      <c r="Y31" s="85"/>
      <c r="Z31" s="85"/>
      <c r="AA31" s="85"/>
      <c r="AB31" s="85"/>
      <c r="AC31" s="85"/>
      <c r="AD31" s="85"/>
    </row>
    <row r="32" spans="1:30" ht="15.75" x14ac:dyDescent="0.25">
      <c r="A32" s="16">
        <v>41883</v>
      </c>
      <c r="B32" s="98">
        <v>30</v>
      </c>
      <c r="C32" s="84">
        <f>194.205</f>
        <v>194.20500000000001</v>
      </c>
      <c r="D32" s="84">
        <f>267.466</f>
        <v>267.46600000000001</v>
      </c>
      <c r="E32" s="93">
        <f>133.845</f>
        <v>133.845</v>
      </c>
      <c r="F32" s="84">
        <f>278.484-40-25</f>
        <v>213.48399999999998</v>
      </c>
      <c r="G32" s="87">
        <v>40</v>
      </c>
      <c r="H32" s="84">
        <v>25</v>
      </c>
      <c r="I32" s="99">
        <v>50</v>
      </c>
      <c r="J32" s="87">
        <v>100</v>
      </c>
      <c r="K32" s="87">
        <v>300</v>
      </c>
      <c r="L32" s="84">
        <f t="shared" si="0"/>
        <v>1324</v>
      </c>
      <c r="M32" s="95"/>
      <c r="N32" s="84">
        <f>30</f>
        <v>30</v>
      </c>
      <c r="O32" s="87">
        <v>240</v>
      </c>
      <c r="P32" s="87">
        <f t="shared" si="4"/>
        <v>120</v>
      </c>
      <c r="Q32" s="87">
        <f t="shared" si="1"/>
        <v>235</v>
      </c>
      <c r="R32" s="87">
        <f t="shared" si="2"/>
        <v>100</v>
      </c>
      <c r="S32" s="84">
        <f t="shared" si="3"/>
        <v>695</v>
      </c>
      <c r="T32" s="84">
        <f>0</f>
        <v>0</v>
      </c>
      <c r="U32" s="85"/>
      <c r="V32" s="85"/>
      <c r="W32" s="85"/>
      <c r="X32" s="85"/>
      <c r="Y32" s="85"/>
      <c r="Z32" s="85"/>
      <c r="AA32" s="85"/>
      <c r="AB32" s="85"/>
      <c r="AC32" s="85"/>
      <c r="AD32" s="85"/>
    </row>
    <row r="33" spans="1:30" ht="15.75" x14ac:dyDescent="0.25">
      <c r="A33" s="16">
        <v>41913</v>
      </c>
      <c r="B33" s="98">
        <v>31</v>
      </c>
      <c r="C33" s="84">
        <f>131.881</f>
        <v>131.881</v>
      </c>
      <c r="D33" s="84">
        <f>277.167</f>
        <v>277.16699999999997</v>
      </c>
      <c r="E33" s="93">
        <f>79.08</f>
        <v>79.08</v>
      </c>
      <c r="F33" s="84">
        <f>350.872-40-25</f>
        <v>285.87200000000001</v>
      </c>
      <c r="G33" s="87">
        <v>40</v>
      </c>
      <c r="H33" s="84">
        <v>25</v>
      </c>
      <c r="I33" s="84">
        <v>0</v>
      </c>
      <c r="J33" s="87">
        <v>100</v>
      </c>
      <c r="K33" s="87">
        <v>300</v>
      </c>
      <c r="L33" s="84">
        <f t="shared" si="0"/>
        <v>1239</v>
      </c>
      <c r="M33" s="95"/>
      <c r="N33" s="84">
        <f>75</f>
        <v>75</v>
      </c>
      <c r="O33" s="87">
        <v>240</v>
      </c>
      <c r="P33" s="87">
        <f t="shared" si="4"/>
        <v>120</v>
      </c>
      <c r="Q33" s="87">
        <f t="shared" si="1"/>
        <v>235</v>
      </c>
      <c r="R33" s="87">
        <f t="shared" si="2"/>
        <v>100</v>
      </c>
      <c r="S33" s="84">
        <f t="shared" si="3"/>
        <v>695</v>
      </c>
      <c r="T33" s="84">
        <f>0</f>
        <v>0</v>
      </c>
      <c r="U33" s="85"/>
      <c r="V33" s="85"/>
      <c r="W33" s="85"/>
      <c r="X33" s="85"/>
      <c r="Y33" s="85"/>
      <c r="Z33" s="85"/>
      <c r="AA33" s="85"/>
      <c r="AB33" s="85"/>
      <c r="AC33" s="85"/>
      <c r="AD33" s="85"/>
    </row>
    <row r="34" spans="1:30" ht="15.75" x14ac:dyDescent="0.25">
      <c r="A34" s="16">
        <v>41944</v>
      </c>
      <c r="B34" s="98">
        <v>30</v>
      </c>
      <c r="C34" s="84">
        <f>122.58</f>
        <v>122.58</v>
      </c>
      <c r="D34" s="84">
        <f>297.941</f>
        <v>297.94099999999997</v>
      </c>
      <c r="E34" s="93">
        <f>89.177</f>
        <v>89.177000000000007</v>
      </c>
      <c r="F34" s="84">
        <f>240.302-40</f>
        <v>200.30199999999999</v>
      </c>
      <c r="G34" s="87">
        <v>40</v>
      </c>
      <c r="H34" s="84">
        <v>0</v>
      </c>
      <c r="I34" s="84">
        <v>0</v>
      </c>
      <c r="J34" s="87">
        <v>100</v>
      </c>
      <c r="K34" s="87">
        <v>300</v>
      </c>
      <c r="L34" s="84">
        <f t="shared" si="0"/>
        <v>1150</v>
      </c>
      <c r="M34" s="95"/>
      <c r="N34" s="84">
        <f>100</f>
        <v>100</v>
      </c>
      <c r="O34" s="87">
        <v>240</v>
      </c>
      <c r="P34" s="87">
        <v>0</v>
      </c>
      <c r="Q34" s="87">
        <f t="shared" si="1"/>
        <v>355</v>
      </c>
      <c r="R34" s="87">
        <f t="shared" si="2"/>
        <v>100</v>
      </c>
      <c r="S34" s="84">
        <f t="shared" si="3"/>
        <v>695</v>
      </c>
      <c r="T34" s="84">
        <f>50</f>
        <v>50</v>
      </c>
      <c r="U34" s="85"/>
      <c r="V34" s="85"/>
      <c r="W34" s="85"/>
      <c r="X34" s="85"/>
      <c r="Y34" s="85"/>
      <c r="Z34" s="85"/>
      <c r="AA34" s="85"/>
      <c r="AB34" s="85"/>
      <c r="AC34" s="85"/>
      <c r="AD34" s="85"/>
    </row>
    <row r="35" spans="1:30" ht="15.75" x14ac:dyDescent="0.25">
      <c r="A35" s="16">
        <v>41974</v>
      </c>
      <c r="B35" s="98">
        <v>31</v>
      </c>
      <c r="C35" s="84">
        <f>122.58</f>
        <v>122.58</v>
      </c>
      <c r="D35" s="84">
        <f>297.941</f>
        <v>297.94099999999997</v>
      </c>
      <c r="E35" s="93">
        <f>89.177</f>
        <v>89.177000000000007</v>
      </c>
      <c r="F35" s="84">
        <f>240.302-40</f>
        <v>200.30199999999999</v>
      </c>
      <c r="G35" s="87">
        <v>40</v>
      </c>
      <c r="H35" s="84">
        <v>0</v>
      </c>
      <c r="I35" s="84">
        <v>0</v>
      </c>
      <c r="J35" s="87">
        <v>100</v>
      </c>
      <c r="K35" s="87">
        <v>300</v>
      </c>
      <c r="L35" s="84">
        <f t="shared" si="0"/>
        <v>1150</v>
      </c>
      <c r="M35" s="95"/>
      <c r="N35" s="84">
        <f>100</f>
        <v>100</v>
      </c>
      <c r="O35" s="87">
        <v>240</v>
      </c>
      <c r="P35" s="87">
        <v>0</v>
      </c>
      <c r="Q35" s="87">
        <f t="shared" si="1"/>
        <v>355</v>
      </c>
      <c r="R35" s="87">
        <f t="shared" si="2"/>
        <v>100</v>
      </c>
      <c r="S35" s="84">
        <f t="shared" si="3"/>
        <v>695</v>
      </c>
      <c r="T35" s="84">
        <f>50</f>
        <v>50</v>
      </c>
      <c r="U35" s="85"/>
      <c r="V35" s="85"/>
      <c r="W35" s="85"/>
      <c r="X35" s="85"/>
      <c r="Y35" s="85"/>
      <c r="Z35" s="85"/>
      <c r="AA35" s="85"/>
      <c r="AB35" s="85"/>
      <c r="AC35" s="85"/>
      <c r="AD35" s="85"/>
    </row>
    <row r="36" spans="1:30" ht="15.75" x14ac:dyDescent="0.25">
      <c r="A36" s="16">
        <v>42005</v>
      </c>
      <c r="B36" s="98">
        <v>31</v>
      </c>
      <c r="C36" s="84">
        <f>122.58</f>
        <v>122.58</v>
      </c>
      <c r="D36" s="84">
        <f>297.941</f>
        <v>297.94099999999997</v>
      </c>
      <c r="E36" s="93">
        <f>89.177</f>
        <v>89.177000000000007</v>
      </c>
      <c r="F36" s="84">
        <f>240.302-40</f>
        <v>200.30199999999999</v>
      </c>
      <c r="G36" s="87">
        <v>40</v>
      </c>
      <c r="H36" s="84">
        <v>0</v>
      </c>
      <c r="I36" s="84">
        <v>0</v>
      </c>
      <c r="J36" s="87">
        <v>100</v>
      </c>
      <c r="K36" s="87">
        <v>300</v>
      </c>
      <c r="L36" s="84">
        <f t="shared" si="0"/>
        <v>1150</v>
      </c>
      <c r="M36" s="95"/>
      <c r="N36" s="84">
        <f>100</f>
        <v>100</v>
      </c>
      <c r="O36" s="87">
        <v>240</v>
      </c>
      <c r="P36" s="87">
        <v>0</v>
      </c>
      <c r="Q36" s="87">
        <f t="shared" si="1"/>
        <v>355</v>
      </c>
      <c r="R36" s="87">
        <f t="shared" si="2"/>
        <v>100</v>
      </c>
      <c r="S36" s="84">
        <f t="shared" si="3"/>
        <v>695</v>
      </c>
      <c r="T36" s="84">
        <f>50</f>
        <v>50</v>
      </c>
      <c r="U36" s="85"/>
      <c r="V36" s="85"/>
      <c r="W36" s="85"/>
      <c r="X36" s="85"/>
      <c r="Y36" s="85"/>
      <c r="Z36" s="85"/>
      <c r="AA36" s="85"/>
      <c r="AB36" s="85"/>
      <c r="AC36" s="85"/>
      <c r="AD36" s="85"/>
    </row>
    <row r="37" spans="1:30" ht="15.75" x14ac:dyDescent="0.25">
      <c r="A37" s="16">
        <v>42036</v>
      </c>
      <c r="B37" s="98">
        <v>28</v>
      </c>
      <c r="C37" s="84">
        <f>122.58</f>
        <v>122.58</v>
      </c>
      <c r="D37" s="84">
        <f>297.941</f>
        <v>297.94099999999997</v>
      </c>
      <c r="E37" s="93">
        <f>89.177</f>
        <v>89.177000000000007</v>
      </c>
      <c r="F37" s="84">
        <f>240.302-40</f>
        <v>200.30199999999999</v>
      </c>
      <c r="G37" s="87">
        <v>40</v>
      </c>
      <c r="H37" s="84">
        <v>0</v>
      </c>
      <c r="I37" s="84">
        <v>0</v>
      </c>
      <c r="J37" s="87">
        <v>100</v>
      </c>
      <c r="K37" s="87">
        <v>300</v>
      </c>
      <c r="L37" s="84">
        <f t="shared" si="0"/>
        <v>1150</v>
      </c>
      <c r="M37" s="95"/>
      <c r="N37" s="84">
        <f>100</f>
        <v>100</v>
      </c>
      <c r="O37" s="87">
        <v>240</v>
      </c>
      <c r="P37" s="87">
        <v>0</v>
      </c>
      <c r="Q37" s="87">
        <f t="shared" si="1"/>
        <v>355</v>
      </c>
      <c r="R37" s="87">
        <f t="shared" si="2"/>
        <v>100</v>
      </c>
      <c r="S37" s="84">
        <f t="shared" si="3"/>
        <v>695</v>
      </c>
      <c r="T37" s="84">
        <f>50</f>
        <v>50</v>
      </c>
      <c r="U37" s="85"/>
      <c r="V37" s="85"/>
      <c r="W37" s="85"/>
      <c r="X37" s="85"/>
      <c r="Y37" s="85"/>
      <c r="Z37" s="85"/>
      <c r="AA37" s="85"/>
      <c r="AB37" s="85"/>
      <c r="AC37" s="85"/>
      <c r="AD37" s="85"/>
    </row>
    <row r="38" spans="1:30" ht="15.75" x14ac:dyDescent="0.25">
      <c r="A38" s="16">
        <v>42064</v>
      </c>
      <c r="B38" s="98">
        <v>31</v>
      </c>
      <c r="C38" s="84">
        <f>122.58</f>
        <v>122.58</v>
      </c>
      <c r="D38" s="84">
        <f>297.941</f>
        <v>297.94099999999997</v>
      </c>
      <c r="E38" s="93">
        <f>89.177</f>
        <v>89.177000000000007</v>
      </c>
      <c r="F38" s="84">
        <f>240.302-40</f>
        <v>200.30199999999999</v>
      </c>
      <c r="G38" s="87">
        <v>40</v>
      </c>
      <c r="H38" s="84">
        <v>0</v>
      </c>
      <c r="I38" s="84">
        <v>0</v>
      </c>
      <c r="J38" s="87">
        <v>100</v>
      </c>
      <c r="K38" s="87">
        <v>300</v>
      </c>
      <c r="L38" s="84">
        <f t="shared" si="0"/>
        <v>1150</v>
      </c>
      <c r="M38" s="95"/>
      <c r="N38" s="84">
        <f>100</f>
        <v>100</v>
      </c>
      <c r="O38" s="87">
        <v>240</v>
      </c>
      <c r="P38" s="87">
        <v>0</v>
      </c>
      <c r="Q38" s="87">
        <f t="shared" si="1"/>
        <v>355</v>
      </c>
      <c r="R38" s="87">
        <f t="shared" si="2"/>
        <v>100</v>
      </c>
      <c r="S38" s="84">
        <f t="shared" si="3"/>
        <v>695</v>
      </c>
      <c r="T38" s="84">
        <f>50</f>
        <v>50</v>
      </c>
      <c r="U38" s="85"/>
      <c r="V38" s="85"/>
      <c r="W38" s="85"/>
      <c r="X38" s="85"/>
      <c r="Y38" s="85"/>
      <c r="Z38" s="85"/>
      <c r="AA38" s="85"/>
      <c r="AB38" s="85"/>
      <c r="AC38" s="85"/>
      <c r="AD38" s="85"/>
    </row>
    <row r="39" spans="1:30" ht="15.75" x14ac:dyDescent="0.25">
      <c r="A39" s="16">
        <v>42095</v>
      </c>
      <c r="B39" s="98">
        <v>30</v>
      </c>
      <c r="C39" s="84">
        <f>141.293</f>
        <v>141.29300000000001</v>
      </c>
      <c r="D39" s="84">
        <f>267.993</f>
        <v>267.99299999999999</v>
      </c>
      <c r="E39" s="93">
        <f>115.016</f>
        <v>115.01600000000001</v>
      </c>
      <c r="F39" s="84">
        <f>314.698-40-25-60-100</f>
        <v>89.697999999999979</v>
      </c>
      <c r="G39" s="87">
        <v>40</v>
      </c>
      <c r="H39" s="84">
        <f t="shared" ref="H39:H45" si="5">25+60+100</f>
        <v>185</v>
      </c>
      <c r="I39" s="84">
        <v>0</v>
      </c>
      <c r="J39" s="87">
        <v>100</v>
      </c>
      <c r="K39" s="87">
        <v>300</v>
      </c>
      <c r="L39" s="84">
        <f t="shared" si="0"/>
        <v>1239</v>
      </c>
      <c r="M39" s="95"/>
      <c r="N39" s="84">
        <f>100</f>
        <v>100</v>
      </c>
      <c r="O39" s="87">
        <v>240</v>
      </c>
      <c r="P39" s="87">
        <f t="shared" ref="P39:P45" si="6">120+40</f>
        <v>160</v>
      </c>
      <c r="Q39" s="87">
        <f t="shared" si="1"/>
        <v>195</v>
      </c>
      <c r="R39" s="87">
        <f t="shared" si="2"/>
        <v>100</v>
      </c>
      <c r="S39" s="84">
        <f t="shared" si="3"/>
        <v>695</v>
      </c>
      <c r="T39" s="84">
        <f>50</f>
        <v>50</v>
      </c>
      <c r="U39" s="85"/>
      <c r="V39" s="85"/>
      <c r="W39" s="85"/>
      <c r="X39" s="85"/>
      <c r="Y39" s="85"/>
      <c r="Z39" s="85"/>
      <c r="AA39" s="85"/>
      <c r="AB39" s="85"/>
      <c r="AC39" s="85"/>
      <c r="AD39" s="85"/>
    </row>
    <row r="40" spans="1:30" ht="15.75" x14ac:dyDescent="0.25">
      <c r="A40" s="16">
        <v>42125</v>
      </c>
      <c r="B40" s="98">
        <v>31</v>
      </c>
      <c r="C40" s="84">
        <f>194.205</f>
        <v>194.20500000000001</v>
      </c>
      <c r="D40" s="84">
        <f>267.466</f>
        <v>267.46600000000001</v>
      </c>
      <c r="E40" s="93">
        <f>133.845</f>
        <v>133.845</v>
      </c>
      <c r="F40" s="84">
        <f>278.484-40-25-60-100</f>
        <v>53.48399999999998</v>
      </c>
      <c r="G40" s="87">
        <v>40</v>
      </c>
      <c r="H40" s="84">
        <f t="shared" si="5"/>
        <v>185</v>
      </c>
      <c r="I40" s="99">
        <v>50</v>
      </c>
      <c r="J40" s="87">
        <v>100</v>
      </c>
      <c r="K40" s="87">
        <v>300</v>
      </c>
      <c r="L40" s="84">
        <f t="shared" si="0"/>
        <v>1324</v>
      </c>
      <c r="M40" s="95"/>
      <c r="N40" s="84">
        <f>75</f>
        <v>75</v>
      </c>
      <c r="O40" s="87">
        <v>240</v>
      </c>
      <c r="P40" s="87">
        <f t="shared" si="6"/>
        <v>160</v>
      </c>
      <c r="Q40" s="87">
        <f t="shared" si="1"/>
        <v>195</v>
      </c>
      <c r="R40" s="87">
        <f t="shared" si="2"/>
        <v>100</v>
      </c>
      <c r="S40" s="84">
        <f t="shared" si="3"/>
        <v>695</v>
      </c>
      <c r="T40" s="84">
        <f>50</f>
        <v>50</v>
      </c>
      <c r="U40" s="85"/>
      <c r="V40" s="85"/>
      <c r="W40" s="85"/>
      <c r="X40" s="85"/>
      <c r="Y40" s="85"/>
      <c r="Z40" s="85"/>
      <c r="AA40" s="85"/>
      <c r="AB40" s="85"/>
      <c r="AC40" s="85"/>
      <c r="AD40" s="85"/>
    </row>
    <row r="41" spans="1:30" ht="15.75" x14ac:dyDescent="0.25">
      <c r="A41" s="16">
        <v>42156</v>
      </c>
      <c r="B41" s="98">
        <v>30</v>
      </c>
      <c r="C41" s="84">
        <f>194.205</f>
        <v>194.20500000000001</v>
      </c>
      <c r="D41" s="84">
        <f>267.466</f>
        <v>267.46600000000001</v>
      </c>
      <c r="E41" s="93">
        <f>133.845</f>
        <v>133.845</v>
      </c>
      <c r="F41" s="84">
        <f>278.484-40-25-60-100</f>
        <v>53.48399999999998</v>
      </c>
      <c r="G41" s="87">
        <v>40</v>
      </c>
      <c r="H41" s="84">
        <f t="shared" si="5"/>
        <v>185</v>
      </c>
      <c r="I41" s="99">
        <v>50</v>
      </c>
      <c r="J41" s="87">
        <v>100</v>
      </c>
      <c r="K41" s="87">
        <v>300</v>
      </c>
      <c r="L41" s="84">
        <f t="shared" si="0"/>
        <v>1324</v>
      </c>
      <c r="M41" s="95"/>
      <c r="N41" s="84">
        <f>30</f>
        <v>30</v>
      </c>
      <c r="O41" s="87">
        <v>240</v>
      </c>
      <c r="P41" s="87">
        <f t="shared" si="6"/>
        <v>160</v>
      </c>
      <c r="Q41" s="87">
        <f t="shared" si="1"/>
        <v>195</v>
      </c>
      <c r="R41" s="87">
        <f t="shared" si="2"/>
        <v>100</v>
      </c>
      <c r="S41" s="84">
        <f t="shared" si="3"/>
        <v>695</v>
      </c>
      <c r="T41" s="84">
        <f>50</f>
        <v>50</v>
      </c>
      <c r="U41" s="85"/>
      <c r="V41" s="85"/>
      <c r="W41" s="85"/>
      <c r="X41" s="85"/>
      <c r="Y41" s="85"/>
      <c r="Z41" s="85"/>
      <c r="AA41" s="85"/>
      <c r="AB41" s="85"/>
      <c r="AC41" s="85"/>
      <c r="AD41" s="85"/>
    </row>
    <row r="42" spans="1:30" ht="15.75" x14ac:dyDescent="0.25">
      <c r="A42" s="16">
        <v>42186</v>
      </c>
      <c r="B42" s="98">
        <v>31</v>
      </c>
      <c r="C42" s="84">
        <f>194.205</f>
        <v>194.20500000000001</v>
      </c>
      <c r="D42" s="84">
        <f>267.466</f>
        <v>267.46600000000001</v>
      </c>
      <c r="E42" s="93">
        <f>133.845</f>
        <v>133.845</v>
      </c>
      <c r="F42" s="84">
        <f>278.484-40-25-60-100</f>
        <v>53.48399999999998</v>
      </c>
      <c r="G42" s="87">
        <v>40</v>
      </c>
      <c r="H42" s="84">
        <f t="shared" si="5"/>
        <v>185</v>
      </c>
      <c r="I42" s="99">
        <v>50</v>
      </c>
      <c r="J42" s="87">
        <v>100</v>
      </c>
      <c r="K42" s="87">
        <v>300</v>
      </c>
      <c r="L42" s="84">
        <f t="shared" si="0"/>
        <v>1324</v>
      </c>
      <c r="M42" s="95"/>
      <c r="N42" s="84">
        <f>30</f>
        <v>30</v>
      </c>
      <c r="O42" s="87">
        <v>240</v>
      </c>
      <c r="P42" s="87">
        <f t="shared" si="6"/>
        <v>160</v>
      </c>
      <c r="Q42" s="87">
        <f t="shared" si="1"/>
        <v>195</v>
      </c>
      <c r="R42" s="87">
        <f t="shared" si="2"/>
        <v>100</v>
      </c>
      <c r="S42" s="84">
        <f t="shared" si="3"/>
        <v>695</v>
      </c>
      <c r="T42" s="84">
        <f>0</f>
        <v>0</v>
      </c>
      <c r="U42" s="85"/>
      <c r="V42" s="85"/>
      <c r="W42" s="85"/>
      <c r="X42" s="85"/>
      <c r="Y42" s="85"/>
      <c r="Z42" s="85"/>
      <c r="AA42" s="85"/>
      <c r="AB42" s="85"/>
      <c r="AC42" s="85"/>
      <c r="AD42" s="85"/>
    </row>
    <row r="43" spans="1:30" ht="15.75" x14ac:dyDescent="0.25">
      <c r="A43" s="16">
        <v>42217</v>
      </c>
      <c r="B43" s="98">
        <v>31</v>
      </c>
      <c r="C43" s="84">
        <f>194.205</f>
        <v>194.20500000000001</v>
      </c>
      <c r="D43" s="84">
        <f>267.466</f>
        <v>267.46600000000001</v>
      </c>
      <c r="E43" s="93">
        <f>133.845</f>
        <v>133.845</v>
      </c>
      <c r="F43" s="84">
        <f>278.484-40-25-60-100</f>
        <v>53.48399999999998</v>
      </c>
      <c r="G43" s="87">
        <v>40</v>
      </c>
      <c r="H43" s="84">
        <f t="shared" si="5"/>
        <v>185</v>
      </c>
      <c r="I43" s="99">
        <v>50</v>
      </c>
      <c r="J43" s="87">
        <v>100</v>
      </c>
      <c r="K43" s="87">
        <v>300</v>
      </c>
      <c r="L43" s="84">
        <f t="shared" si="0"/>
        <v>1324</v>
      </c>
      <c r="M43" s="95"/>
      <c r="N43" s="84">
        <f>30</f>
        <v>30</v>
      </c>
      <c r="O43" s="87">
        <v>240</v>
      </c>
      <c r="P43" s="87">
        <f t="shared" si="6"/>
        <v>160</v>
      </c>
      <c r="Q43" s="87">
        <f t="shared" si="1"/>
        <v>195</v>
      </c>
      <c r="R43" s="87">
        <f t="shared" si="2"/>
        <v>100</v>
      </c>
      <c r="S43" s="84">
        <f t="shared" si="3"/>
        <v>695</v>
      </c>
      <c r="T43" s="84">
        <f>0</f>
        <v>0</v>
      </c>
      <c r="U43" s="85"/>
      <c r="V43" s="85"/>
      <c r="W43" s="85"/>
      <c r="X43" s="85"/>
      <c r="Y43" s="85"/>
      <c r="Z43" s="85"/>
      <c r="AA43" s="85"/>
      <c r="AB43" s="85"/>
      <c r="AC43" s="85"/>
      <c r="AD43" s="85"/>
    </row>
    <row r="44" spans="1:30" ht="15.75" x14ac:dyDescent="0.25">
      <c r="A44" s="16">
        <v>42248</v>
      </c>
      <c r="B44" s="98">
        <v>30</v>
      </c>
      <c r="C44" s="84">
        <f>194.205</f>
        <v>194.20500000000001</v>
      </c>
      <c r="D44" s="84">
        <f>267.466</f>
        <v>267.46600000000001</v>
      </c>
      <c r="E44" s="93">
        <f>133.845</f>
        <v>133.845</v>
      </c>
      <c r="F44" s="84">
        <f>278.484-40-25-60-100</f>
        <v>53.48399999999998</v>
      </c>
      <c r="G44" s="87">
        <v>40</v>
      </c>
      <c r="H44" s="84">
        <f t="shared" si="5"/>
        <v>185</v>
      </c>
      <c r="I44" s="99">
        <v>50</v>
      </c>
      <c r="J44" s="87">
        <v>100</v>
      </c>
      <c r="K44" s="87">
        <v>300</v>
      </c>
      <c r="L44" s="84">
        <f t="shared" si="0"/>
        <v>1324</v>
      </c>
      <c r="M44" s="95"/>
      <c r="N44" s="84">
        <f>30</f>
        <v>30</v>
      </c>
      <c r="O44" s="87">
        <v>240</v>
      </c>
      <c r="P44" s="87">
        <f t="shared" si="6"/>
        <v>160</v>
      </c>
      <c r="Q44" s="87">
        <f t="shared" si="1"/>
        <v>195</v>
      </c>
      <c r="R44" s="87">
        <f t="shared" si="2"/>
        <v>100</v>
      </c>
      <c r="S44" s="84">
        <f t="shared" si="3"/>
        <v>695</v>
      </c>
      <c r="T44" s="84">
        <f>0</f>
        <v>0</v>
      </c>
      <c r="U44" s="85"/>
      <c r="V44" s="85"/>
      <c r="W44" s="85"/>
      <c r="X44" s="85"/>
      <c r="Y44" s="85"/>
      <c r="Z44" s="85"/>
      <c r="AA44" s="85"/>
      <c r="AB44" s="85"/>
      <c r="AC44" s="85"/>
      <c r="AD44" s="85"/>
    </row>
    <row r="45" spans="1:30" ht="15.75" x14ac:dyDescent="0.25">
      <c r="A45" s="16">
        <v>42278</v>
      </c>
      <c r="B45" s="98">
        <v>31</v>
      </c>
      <c r="C45" s="84">
        <f>131.881</f>
        <v>131.881</v>
      </c>
      <c r="D45" s="84">
        <f>277.167</f>
        <v>277.16699999999997</v>
      </c>
      <c r="E45" s="93">
        <f>79.08</f>
        <v>79.08</v>
      </c>
      <c r="F45" s="84">
        <f>350.872-40-25-60-100</f>
        <v>125.87200000000001</v>
      </c>
      <c r="G45" s="87">
        <v>40</v>
      </c>
      <c r="H45" s="84">
        <f t="shared" si="5"/>
        <v>185</v>
      </c>
      <c r="I45" s="84">
        <v>0</v>
      </c>
      <c r="J45" s="87">
        <v>100</v>
      </c>
      <c r="K45" s="87">
        <v>300</v>
      </c>
      <c r="L45" s="84">
        <f t="shared" si="0"/>
        <v>1239</v>
      </c>
      <c r="M45" s="95"/>
      <c r="N45" s="84">
        <f>75</f>
        <v>75</v>
      </c>
      <c r="O45" s="87">
        <v>240</v>
      </c>
      <c r="P45" s="87">
        <f t="shared" si="6"/>
        <v>160</v>
      </c>
      <c r="Q45" s="87">
        <f t="shared" si="1"/>
        <v>195</v>
      </c>
      <c r="R45" s="87">
        <f t="shared" si="2"/>
        <v>100</v>
      </c>
      <c r="S45" s="84">
        <f t="shared" si="3"/>
        <v>695</v>
      </c>
      <c r="T45" s="84">
        <f>0</f>
        <v>0</v>
      </c>
      <c r="U45" s="85"/>
      <c r="V45" s="85"/>
      <c r="W45" s="85"/>
      <c r="X45" s="85"/>
      <c r="Y45" s="85"/>
      <c r="Z45" s="85"/>
      <c r="AA45" s="85"/>
      <c r="AB45" s="85"/>
      <c r="AC45" s="85"/>
      <c r="AD45" s="85"/>
    </row>
    <row r="46" spans="1:30" ht="15.75" x14ac:dyDescent="0.25">
      <c r="A46" s="16">
        <v>42309</v>
      </c>
      <c r="B46" s="98">
        <v>30</v>
      </c>
      <c r="C46" s="84">
        <f>122.58</f>
        <v>122.58</v>
      </c>
      <c r="D46" s="84">
        <f>297.941</f>
        <v>297.94099999999997</v>
      </c>
      <c r="E46" s="93">
        <f>89.177</f>
        <v>89.177000000000007</v>
      </c>
      <c r="F46" s="84">
        <f>240.302-40-60-100</f>
        <v>40.301999999999992</v>
      </c>
      <c r="G46" s="87">
        <v>40</v>
      </c>
      <c r="H46" s="84">
        <f>60+100</f>
        <v>160</v>
      </c>
      <c r="I46" s="84">
        <v>0</v>
      </c>
      <c r="J46" s="87">
        <v>100</v>
      </c>
      <c r="K46" s="87">
        <v>300</v>
      </c>
      <c r="L46" s="84">
        <f t="shared" si="0"/>
        <v>1150</v>
      </c>
      <c r="M46" s="95"/>
      <c r="N46" s="84">
        <f>100</f>
        <v>100</v>
      </c>
      <c r="O46" s="87">
        <v>240</v>
      </c>
      <c r="P46" s="87">
        <v>40</v>
      </c>
      <c r="Q46" s="87">
        <f t="shared" si="1"/>
        <v>315</v>
      </c>
      <c r="R46" s="87">
        <f t="shared" si="2"/>
        <v>100</v>
      </c>
      <c r="S46" s="84">
        <f t="shared" si="3"/>
        <v>695</v>
      </c>
      <c r="T46" s="84">
        <f>50</f>
        <v>50</v>
      </c>
      <c r="U46" s="85"/>
      <c r="V46" s="85"/>
      <c r="W46" s="85"/>
      <c r="X46" s="85"/>
      <c r="Y46" s="85"/>
      <c r="Z46" s="85"/>
      <c r="AA46" s="85"/>
      <c r="AB46" s="85"/>
      <c r="AC46" s="85"/>
      <c r="AD46" s="85"/>
    </row>
    <row r="47" spans="1:30" ht="15.75" x14ac:dyDescent="0.25">
      <c r="A47" s="16">
        <v>42339</v>
      </c>
      <c r="B47" s="98">
        <v>31</v>
      </c>
      <c r="C47" s="84">
        <f>122.58</f>
        <v>122.58</v>
      </c>
      <c r="D47" s="84">
        <f>297.941</f>
        <v>297.94099999999997</v>
      </c>
      <c r="E47" s="93">
        <f>89.177</f>
        <v>89.177000000000007</v>
      </c>
      <c r="F47" s="84">
        <f>240.302-40-60-100</f>
        <v>40.301999999999992</v>
      </c>
      <c r="G47" s="87">
        <v>40</v>
      </c>
      <c r="H47" s="84">
        <f>60+100</f>
        <v>160</v>
      </c>
      <c r="I47" s="84">
        <v>0</v>
      </c>
      <c r="J47" s="87">
        <v>100</v>
      </c>
      <c r="K47" s="87">
        <v>300</v>
      </c>
      <c r="L47" s="84">
        <f t="shared" si="0"/>
        <v>1150</v>
      </c>
      <c r="M47" s="95"/>
      <c r="N47" s="84">
        <f>100</f>
        <v>100</v>
      </c>
      <c r="O47" s="87">
        <v>240</v>
      </c>
      <c r="P47" s="87">
        <v>40</v>
      </c>
      <c r="Q47" s="87">
        <f t="shared" si="1"/>
        <v>315</v>
      </c>
      <c r="R47" s="87">
        <f t="shared" si="2"/>
        <v>100</v>
      </c>
      <c r="S47" s="84">
        <f t="shared" si="3"/>
        <v>695</v>
      </c>
      <c r="T47" s="84">
        <f>50</f>
        <v>50</v>
      </c>
      <c r="U47" s="85"/>
      <c r="V47" s="85"/>
      <c r="W47" s="85"/>
      <c r="X47" s="85"/>
      <c r="Y47" s="85"/>
      <c r="Z47" s="85"/>
      <c r="AA47" s="85"/>
      <c r="AB47" s="85"/>
      <c r="AC47" s="85"/>
      <c r="AD47" s="85"/>
    </row>
    <row r="48" spans="1:30" ht="15.75" x14ac:dyDescent="0.25">
      <c r="A48" s="16">
        <v>42370</v>
      </c>
      <c r="B48" s="98">
        <v>31</v>
      </c>
      <c r="C48" s="84">
        <f>122.58</f>
        <v>122.58</v>
      </c>
      <c r="D48" s="84">
        <f>297.941</f>
        <v>297.94099999999997</v>
      </c>
      <c r="E48" s="93">
        <f>89.177</f>
        <v>89.177000000000007</v>
      </c>
      <c r="F48" s="84">
        <f>240.302-40-60-100</f>
        <v>40.301999999999992</v>
      </c>
      <c r="G48" s="87">
        <v>40</v>
      </c>
      <c r="H48" s="84">
        <f>60+100</f>
        <v>160</v>
      </c>
      <c r="I48" s="84">
        <v>0</v>
      </c>
      <c r="J48" s="87">
        <v>100</v>
      </c>
      <c r="K48" s="87">
        <v>300</v>
      </c>
      <c r="L48" s="84">
        <f t="shared" si="0"/>
        <v>1150</v>
      </c>
      <c r="M48" s="95"/>
      <c r="N48" s="84">
        <f>100</f>
        <v>100</v>
      </c>
      <c r="O48" s="87">
        <v>240</v>
      </c>
      <c r="P48" s="87">
        <v>40</v>
      </c>
      <c r="Q48" s="87">
        <f t="shared" si="1"/>
        <v>315</v>
      </c>
      <c r="R48" s="87">
        <f t="shared" si="2"/>
        <v>100</v>
      </c>
      <c r="S48" s="84">
        <f t="shared" si="3"/>
        <v>695</v>
      </c>
      <c r="T48" s="84">
        <f>50</f>
        <v>50</v>
      </c>
      <c r="U48" s="85"/>
      <c r="V48" s="85"/>
      <c r="W48" s="85"/>
      <c r="X48" s="85"/>
      <c r="Y48" s="85"/>
      <c r="Z48" s="85"/>
      <c r="AA48" s="85"/>
      <c r="AB48" s="85"/>
      <c r="AC48" s="85"/>
      <c r="AD48" s="85"/>
    </row>
    <row r="49" spans="1:30" ht="15.75" x14ac:dyDescent="0.25">
      <c r="A49" s="16">
        <v>42401</v>
      </c>
      <c r="B49" s="98">
        <v>29</v>
      </c>
      <c r="C49" s="84">
        <f>122.58</f>
        <v>122.58</v>
      </c>
      <c r="D49" s="84">
        <f>297.941</f>
        <v>297.94099999999997</v>
      </c>
      <c r="E49" s="93">
        <f>89.177</f>
        <v>89.177000000000007</v>
      </c>
      <c r="F49" s="84">
        <f>240.302-40-60-100</f>
        <v>40.301999999999992</v>
      </c>
      <c r="G49" s="87">
        <v>40</v>
      </c>
      <c r="H49" s="84">
        <f>60+100</f>
        <v>160</v>
      </c>
      <c r="I49" s="84">
        <v>0</v>
      </c>
      <c r="J49" s="87">
        <v>100</v>
      </c>
      <c r="K49" s="87">
        <v>300</v>
      </c>
      <c r="L49" s="84">
        <f t="shared" si="0"/>
        <v>1150</v>
      </c>
      <c r="M49" s="95"/>
      <c r="N49" s="84">
        <f>100</f>
        <v>100</v>
      </c>
      <c r="O49" s="87">
        <v>240</v>
      </c>
      <c r="P49" s="87">
        <v>40</v>
      </c>
      <c r="Q49" s="87">
        <f t="shared" si="1"/>
        <v>315</v>
      </c>
      <c r="R49" s="87">
        <f t="shared" si="2"/>
        <v>100</v>
      </c>
      <c r="S49" s="84">
        <f t="shared" si="3"/>
        <v>695</v>
      </c>
      <c r="T49" s="84">
        <f>50</f>
        <v>50</v>
      </c>
      <c r="U49" s="85"/>
      <c r="V49" s="85"/>
      <c r="W49" s="85"/>
      <c r="X49" s="85"/>
      <c r="Y49" s="85"/>
      <c r="Z49" s="85"/>
      <c r="AA49" s="85"/>
      <c r="AB49" s="85"/>
      <c r="AC49" s="85"/>
      <c r="AD49" s="85"/>
    </row>
    <row r="50" spans="1:30" ht="15.75" x14ac:dyDescent="0.25">
      <c r="A50" s="16">
        <v>42430</v>
      </c>
      <c r="B50" s="98">
        <v>31</v>
      </c>
      <c r="C50" s="84">
        <f>122.58</f>
        <v>122.58</v>
      </c>
      <c r="D50" s="84">
        <f>297.941</f>
        <v>297.94099999999997</v>
      </c>
      <c r="E50" s="93">
        <f>89.177</f>
        <v>89.177000000000007</v>
      </c>
      <c r="F50" s="84">
        <f>240.302-40-60-100</f>
        <v>40.301999999999992</v>
      </c>
      <c r="G50" s="87">
        <v>40</v>
      </c>
      <c r="H50" s="84">
        <f>60+100</f>
        <v>160</v>
      </c>
      <c r="I50" s="84">
        <v>0</v>
      </c>
      <c r="J50" s="87">
        <v>100</v>
      </c>
      <c r="K50" s="87">
        <v>300</v>
      </c>
      <c r="L50" s="84">
        <f t="shared" si="0"/>
        <v>1150</v>
      </c>
      <c r="M50" s="95"/>
      <c r="N50" s="84">
        <f>100</f>
        <v>100</v>
      </c>
      <c r="O50" s="87">
        <v>240</v>
      </c>
      <c r="P50" s="87">
        <v>40</v>
      </c>
      <c r="Q50" s="87">
        <f t="shared" si="1"/>
        <v>315</v>
      </c>
      <c r="R50" s="87">
        <f t="shared" si="2"/>
        <v>100</v>
      </c>
      <c r="S50" s="84">
        <f t="shared" si="3"/>
        <v>695</v>
      </c>
      <c r="T50" s="84">
        <f>50</f>
        <v>50</v>
      </c>
      <c r="U50" s="85"/>
      <c r="V50" s="85"/>
      <c r="W50" s="85"/>
      <c r="X50" s="85"/>
      <c r="Y50" s="85"/>
      <c r="Z50" s="85"/>
      <c r="AA50" s="85"/>
      <c r="AB50" s="85"/>
      <c r="AC50" s="85"/>
      <c r="AD50" s="85"/>
    </row>
    <row r="51" spans="1:30" ht="15.75" x14ac:dyDescent="0.25">
      <c r="A51" s="16">
        <v>42461</v>
      </c>
      <c r="B51" s="98">
        <v>30</v>
      </c>
      <c r="C51" s="84">
        <f>141.293</f>
        <v>141.29300000000001</v>
      </c>
      <c r="D51" s="84">
        <f>267.993</f>
        <v>267.99299999999999</v>
      </c>
      <c r="E51" s="93">
        <f>115.016</f>
        <v>115.01600000000001</v>
      </c>
      <c r="F51" s="84">
        <f>314.698-40-25-60-100</f>
        <v>89.697999999999979</v>
      </c>
      <c r="G51" s="87">
        <v>40</v>
      </c>
      <c r="H51" s="84">
        <f t="shared" ref="H51:H57" si="7">25+60+100</f>
        <v>185</v>
      </c>
      <c r="I51" s="84">
        <v>0</v>
      </c>
      <c r="J51" s="87">
        <v>100</v>
      </c>
      <c r="K51" s="87">
        <v>300</v>
      </c>
      <c r="L51" s="84">
        <f t="shared" si="0"/>
        <v>1239</v>
      </c>
      <c r="M51" s="95"/>
      <c r="N51" s="84">
        <f>100</f>
        <v>100</v>
      </c>
      <c r="O51" s="87">
        <v>240</v>
      </c>
      <c r="P51" s="87">
        <v>160</v>
      </c>
      <c r="Q51" s="87">
        <f t="shared" si="1"/>
        <v>195</v>
      </c>
      <c r="R51" s="87">
        <f t="shared" si="2"/>
        <v>100</v>
      </c>
      <c r="S51" s="84">
        <f t="shared" si="3"/>
        <v>695</v>
      </c>
      <c r="T51" s="84">
        <f>50</f>
        <v>50</v>
      </c>
      <c r="U51" s="85"/>
      <c r="V51" s="85"/>
      <c r="W51" s="85"/>
      <c r="X51" s="85"/>
      <c r="Y51" s="85"/>
      <c r="Z51" s="85"/>
      <c r="AA51" s="85"/>
      <c r="AB51" s="85"/>
      <c r="AC51" s="85"/>
      <c r="AD51" s="85"/>
    </row>
    <row r="52" spans="1:30" ht="15.75" x14ac:dyDescent="0.25">
      <c r="A52" s="16">
        <v>42491</v>
      </c>
      <c r="B52" s="98">
        <v>31</v>
      </c>
      <c r="C52" s="84">
        <f>194.205</f>
        <v>194.20500000000001</v>
      </c>
      <c r="D52" s="84">
        <f>267.466</f>
        <v>267.46600000000001</v>
      </c>
      <c r="E52" s="93">
        <f>133.845</f>
        <v>133.845</v>
      </c>
      <c r="F52" s="84">
        <f>278.484-40-25-60-100</f>
        <v>53.48399999999998</v>
      </c>
      <c r="G52" s="87">
        <v>40</v>
      </c>
      <c r="H52" s="84">
        <f t="shared" si="7"/>
        <v>185</v>
      </c>
      <c r="I52" s="84">
        <f t="shared" ref="I52:I115" si="8">400-J52-K52</f>
        <v>0</v>
      </c>
      <c r="J52" s="87">
        <v>100</v>
      </c>
      <c r="K52" s="87">
        <v>300</v>
      </c>
      <c r="L52" s="84">
        <f t="shared" si="0"/>
        <v>1274</v>
      </c>
      <c r="M52" s="95"/>
      <c r="N52" s="84">
        <f>75</f>
        <v>75</v>
      </c>
      <c r="O52" s="87">
        <v>240</v>
      </c>
      <c r="P52" s="87">
        <v>160</v>
      </c>
      <c r="Q52" s="87">
        <f t="shared" si="1"/>
        <v>195</v>
      </c>
      <c r="R52" s="87">
        <f t="shared" si="2"/>
        <v>100</v>
      </c>
      <c r="S52" s="84">
        <f t="shared" si="3"/>
        <v>695</v>
      </c>
      <c r="T52" s="84">
        <f>50</f>
        <v>50</v>
      </c>
      <c r="U52" s="85"/>
      <c r="V52" s="85"/>
      <c r="W52" s="85"/>
      <c r="X52" s="85"/>
      <c r="Y52" s="85"/>
      <c r="Z52" s="85"/>
      <c r="AA52" s="85"/>
      <c r="AB52" s="85"/>
      <c r="AC52" s="85"/>
      <c r="AD52" s="85"/>
    </row>
    <row r="53" spans="1:30" ht="15.75" x14ac:dyDescent="0.25">
      <c r="A53" s="16">
        <v>42522</v>
      </c>
      <c r="B53" s="98">
        <v>30</v>
      </c>
      <c r="C53" s="84">
        <f>194.205</f>
        <v>194.20500000000001</v>
      </c>
      <c r="D53" s="84">
        <f>267.466</f>
        <v>267.46600000000001</v>
      </c>
      <c r="E53" s="93">
        <f>133.845</f>
        <v>133.845</v>
      </c>
      <c r="F53" s="84">
        <f>278.484-40-25-60-100</f>
        <v>53.48399999999998</v>
      </c>
      <c r="G53" s="87">
        <v>40</v>
      </c>
      <c r="H53" s="84">
        <f t="shared" si="7"/>
        <v>185</v>
      </c>
      <c r="I53" s="84">
        <f t="shared" si="8"/>
        <v>0</v>
      </c>
      <c r="J53" s="87">
        <v>100</v>
      </c>
      <c r="K53" s="87">
        <v>300</v>
      </c>
      <c r="L53" s="84">
        <f t="shared" si="0"/>
        <v>1274</v>
      </c>
      <c r="M53" s="95"/>
      <c r="N53" s="84">
        <f>30</f>
        <v>30</v>
      </c>
      <c r="O53" s="87">
        <v>240</v>
      </c>
      <c r="P53" s="87">
        <v>160</v>
      </c>
      <c r="Q53" s="87">
        <f t="shared" si="1"/>
        <v>195</v>
      </c>
      <c r="R53" s="87">
        <f t="shared" si="2"/>
        <v>100</v>
      </c>
      <c r="S53" s="84">
        <f t="shared" si="3"/>
        <v>695</v>
      </c>
      <c r="T53" s="84">
        <f>50</f>
        <v>50</v>
      </c>
      <c r="U53" s="85"/>
      <c r="V53" s="85"/>
      <c r="W53" s="85"/>
      <c r="X53" s="85"/>
      <c r="Y53" s="85"/>
      <c r="Z53" s="85"/>
      <c r="AA53" s="85"/>
      <c r="AB53" s="85"/>
      <c r="AC53" s="85"/>
      <c r="AD53" s="85"/>
    </row>
    <row r="54" spans="1:30" ht="15.75" x14ac:dyDescent="0.25">
      <c r="A54" s="16">
        <v>42552</v>
      </c>
      <c r="B54" s="98">
        <v>31</v>
      </c>
      <c r="C54" s="84">
        <f>194.205</f>
        <v>194.20500000000001</v>
      </c>
      <c r="D54" s="84">
        <f>267.466</f>
        <v>267.46600000000001</v>
      </c>
      <c r="E54" s="93">
        <f>133.845</f>
        <v>133.845</v>
      </c>
      <c r="F54" s="84">
        <f>278.484-40-25-60-100</f>
        <v>53.48399999999998</v>
      </c>
      <c r="G54" s="87">
        <v>40</v>
      </c>
      <c r="H54" s="84">
        <f t="shared" si="7"/>
        <v>185</v>
      </c>
      <c r="I54" s="84">
        <f t="shared" si="8"/>
        <v>0</v>
      </c>
      <c r="J54" s="87">
        <v>100</v>
      </c>
      <c r="K54" s="87">
        <v>300</v>
      </c>
      <c r="L54" s="84">
        <f t="shared" si="0"/>
        <v>1274</v>
      </c>
      <c r="M54" s="95"/>
      <c r="N54" s="84">
        <f>30</f>
        <v>30</v>
      </c>
      <c r="O54" s="87">
        <v>240</v>
      </c>
      <c r="P54" s="87">
        <v>160</v>
      </c>
      <c r="Q54" s="87">
        <f t="shared" si="1"/>
        <v>195</v>
      </c>
      <c r="R54" s="87">
        <f t="shared" si="2"/>
        <v>100</v>
      </c>
      <c r="S54" s="84">
        <f t="shared" si="3"/>
        <v>695</v>
      </c>
      <c r="T54" s="84">
        <f>0</f>
        <v>0</v>
      </c>
      <c r="U54" s="85"/>
      <c r="V54" s="85"/>
      <c r="W54" s="85"/>
      <c r="X54" s="85"/>
      <c r="Y54" s="85"/>
      <c r="Z54" s="85"/>
      <c r="AA54" s="85"/>
      <c r="AB54" s="85"/>
      <c r="AC54" s="85"/>
      <c r="AD54" s="85"/>
    </row>
    <row r="55" spans="1:30" ht="15.75" x14ac:dyDescent="0.25">
      <c r="A55" s="16">
        <v>42583</v>
      </c>
      <c r="B55" s="98">
        <v>31</v>
      </c>
      <c r="C55" s="84">
        <f>194.205</f>
        <v>194.20500000000001</v>
      </c>
      <c r="D55" s="84">
        <f>267.466</f>
        <v>267.46600000000001</v>
      </c>
      <c r="E55" s="93">
        <f>133.845</f>
        <v>133.845</v>
      </c>
      <c r="F55" s="84">
        <f>278.484-40-25-60-100</f>
        <v>53.48399999999998</v>
      </c>
      <c r="G55" s="87">
        <v>40</v>
      </c>
      <c r="H55" s="84">
        <f t="shared" si="7"/>
        <v>185</v>
      </c>
      <c r="I55" s="84">
        <f t="shared" si="8"/>
        <v>0</v>
      </c>
      <c r="J55" s="87">
        <v>100</v>
      </c>
      <c r="K55" s="87">
        <v>300</v>
      </c>
      <c r="L55" s="84">
        <f t="shared" si="0"/>
        <v>1274</v>
      </c>
      <c r="M55" s="95"/>
      <c r="N55" s="84">
        <f>30</f>
        <v>30</v>
      </c>
      <c r="O55" s="87">
        <v>240</v>
      </c>
      <c r="P55" s="87">
        <v>160</v>
      </c>
      <c r="Q55" s="87">
        <f t="shared" si="1"/>
        <v>195</v>
      </c>
      <c r="R55" s="87">
        <f t="shared" si="2"/>
        <v>100</v>
      </c>
      <c r="S55" s="84">
        <f t="shared" si="3"/>
        <v>695</v>
      </c>
      <c r="T55" s="84">
        <f>0</f>
        <v>0</v>
      </c>
      <c r="U55" s="85"/>
      <c r="V55" s="85"/>
      <c r="W55" s="85"/>
      <c r="X55" s="85"/>
      <c r="Y55" s="85"/>
      <c r="Z55" s="85"/>
      <c r="AA55" s="85"/>
      <c r="AB55" s="85"/>
      <c r="AC55" s="85"/>
      <c r="AD55" s="85"/>
    </row>
    <row r="56" spans="1:30" ht="15.75" x14ac:dyDescent="0.25">
      <c r="A56" s="16">
        <v>42614</v>
      </c>
      <c r="B56" s="98">
        <v>30</v>
      </c>
      <c r="C56" s="84">
        <f>194.205</f>
        <v>194.20500000000001</v>
      </c>
      <c r="D56" s="84">
        <f>267.466</f>
        <v>267.46600000000001</v>
      </c>
      <c r="E56" s="93">
        <f>133.845</f>
        <v>133.845</v>
      </c>
      <c r="F56" s="84">
        <f>278.484-40-25-60-100</f>
        <v>53.48399999999998</v>
      </c>
      <c r="G56" s="87">
        <v>40</v>
      </c>
      <c r="H56" s="84">
        <f t="shared" si="7"/>
        <v>185</v>
      </c>
      <c r="I56" s="84">
        <f t="shared" si="8"/>
        <v>0</v>
      </c>
      <c r="J56" s="87">
        <v>100</v>
      </c>
      <c r="K56" s="87">
        <v>300</v>
      </c>
      <c r="L56" s="84">
        <f t="shared" si="0"/>
        <v>1274</v>
      </c>
      <c r="M56" s="95"/>
      <c r="N56" s="84">
        <f>30</f>
        <v>30</v>
      </c>
      <c r="O56" s="87">
        <v>240</v>
      </c>
      <c r="P56" s="87">
        <v>160</v>
      </c>
      <c r="Q56" s="87">
        <f t="shared" si="1"/>
        <v>195</v>
      </c>
      <c r="R56" s="87">
        <f t="shared" si="2"/>
        <v>100</v>
      </c>
      <c r="S56" s="84">
        <f t="shared" si="3"/>
        <v>695</v>
      </c>
      <c r="T56" s="84">
        <f>0</f>
        <v>0</v>
      </c>
      <c r="U56" s="85"/>
      <c r="V56" s="85"/>
      <c r="W56" s="85"/>
      <c r="X56" s="85"/>
      <c r="Y56" s="85"/>
      <c r="Z56" s="85"/>
      <c r="AA56" s="85"/>
      <c r="AB56" s="85"/>
      <c r="AC56" s="85"/>
      <c r="AD56" s="85"/>
    </row>
    <row r="57" spans="1:30" ht="15.75" x14ac:dyDescent="0.25">
      <c r="A57" s="16">
        <v>42644</v>
      </c>
      <c r="B57" s="98">
        <v>31</v>
      </c>
      <c r="C57" s="84">
        <f>131.881</f>
        <v>131.881</v>
      </c>
      <c r="D57" s="84">
        <f>277.167</f>
        <v>277.16699999999997</v>
      </c>
      <c r="E57" s="93">
        <f>79.08</f>
        <v>79.08</v>
      </c>
      <c r="F57" s="84">
        <f>350.872-40-25-60-100</f>
        <v>125.87200000000001</v>
      </c>
      <c r="G57" s="87">
        <v>40</v>
      </c>
      <c r="H57" s="84">
        <f t="shared" si="7"/>
        <v>185</v>
      </c>
      <c r="I57" s="84">
        <f t="shared" si="8"/>
        <v>0</v>
      </c>
      <c r="J57" s="87">
        <v>100</v>
      </c>
      <c r="K57" s="87">
        <v>300</v>
      </c>
      <c r="L57" s="84">
        <f t="shared" si="0"/>
        <v>1239</v>
      </c>
      <c r="M57" s="95"/>
      <c r="N57" s="84">
        <f>75</f>
        <v>75</v>
      </c>
      <c r="O57" s="87">
        <v>240</v>
      </c>
      <c r="P57" s="87">
        <v>160</v>
      </c>
      <c r="Q57" s="87">
        <f t="shared" si="1"/>
        <v>195</v>
      </c>
      <c r="R57" s="87">
        <f t="shared" si="2"/>
        <v>100</v>
      </c>
      <c r="S57" s="84">
        <f t="shared" si="3"/>
        <v>695</v>
      </c>
      <c r="T57" s="84">
        <f>0</f>
        <v>0</v>
      </c>
      <c r="U57" s="85"/>
      <c r="V57" s="85"/>
      <c r="W57" s="85"/>
      <c r="X57" s="85"/>
      <c r="Y57" s="85"/>
      <c r="Z57" s="85"/>
      <c r="AA57" s="85"/>
      <c r="AB57" s="85"/>
      <c r="AC57" s="85"/>
      <c r="AD57" s="85"/>
    </row>
    <row r="58" spans="1:30" ht="15.75" x14ac:dyDescent="0.25">
      <c r="A58" s="16">
        <v>42675</v>
      </c>
      <c r="B58" s="98">
        <v>30</v>
      </c>
      <c r="C58" s="84">
        <f>122.58</f>
        <v>122.58</v>
      </c>
      <c r="D58" s="84">
        <f>297.941</f>
        <v>297.94099999999997</v>
      </c>
      <c r="E58" s="93">
        <f>89.177</f>
        <v>89.177000000000007</v>
      </c>
      <c r="F58" s="84">
        <f>240.302-40-60-100</f>
        <v>40.301999999999992</v>
      </c>
      <c r="G58" s="87">
        <v>40</v>
      </c>
      <c r="H58" s="84">
        <f>60+100</f>
        <v>160</v>
      </c>
      <c r="I58" s="84">
        <f t="shared" si="8"/>
        <v>0</v>
      </c>
      <c r="J58" s="87">
        <v>100</v>
      </c>
      <c r="K58" s="87">
        <v>300</v>
      </c>
      <c r="L58" s="84">
        <f t="shared" si="0"/>
        <v>1150</v>
      </c>
      <c r="M58" s="95"/>
      <c r="N58" s="84">
        <f>100</f>
        <v>100</v>
      </c>
      <c r="O58" s="87">
        <v>240</v>
      </c>
      <c r="P58" s="87">
        <v>40</v>
      </c>
      <c r="Q58" s="87">
        <f t="shared" si="1"/>
        <v>315</v>
      </c>
      <c r="R58" s="87">
        <f t="shared" si="2"/>
        <v>100</v>
      </c>
      <c r="S58" s="84">
        <f t="shared" si="3"/>
        <v>695</v>
      </c>
      <c r="T58" s="84">
        <f>50</f>
        <v>50</v>
      </c>
      <c r="U58" s="85"/>
      <c r="V58" s="85"/>
      <c r="W58" s="85"/>
      <c r="X58" s="85"/>
      <c r="Y58" s="85"/>
      <c r="Z58" s="85"/>
      <c r="AA58" s="85"/>
      <c r="AB58" s="85"/>
      <c r="AC58" s="85"/>
      <c r="AD58" s="85"/>
    </row>
    <row r="59" spans="1:30" ht="15.75" x14ac:dyDescent="0.25">
      <c r="A59" s="16">
        <v>42705</v>
      </c>
      <c r="B59" s="98">
        <v>31</v>
      </c>
      <c r="C59" s="84">
        <f>122.58</f>
        <v>122.58</v>
      </c>
      <c r="D59" s="84">
        <f>297.941</f>
        <v>297.94099999999997</v>
      </c>
      <c r="E59" s="93">
        <f>89.177</f>
        <v>89.177000000000007</v>
      </c>
      <c r="F59" s="84">
        <f>240.302-40-60-100</f>
        <v>40.301999999999992</v>
      </c>
      <c r="G59" s="87">
        <v>40</v>
      </c>
      <c r="H59" s="84">
        <f>60+100</f>
        <v>160</v>
      </c>
      <c r="I59" s="84">
        <f t="shared" si="8"/>
        <v>0</v>
      </c>
      <c r="J59" s="87">
        <v>100</v>
      </c>
      <c r="K59" s="87">
        <v>300</v>
      </c>
      <c r="L59" s="84">
        <f t="shared" si="0"/>
        <v>1150</v>
      </c>
      <c r="M59" s="95"/>
      <c r="N59" s="84">
        <f>100</f>
        <v>100</v>
      </c>
      <c r="O59" s="87">
        <v>240</v>
      </c>
      <c r="P59" s="87">
        <v>40</v>
      </c>
      <c r="Q59" s="87">
        <f t="shared" si="1"/>
        <v>315</v>
      </c>
      <c r="R59" s="87">
        <f t="shared" si="2"/>
        <v>100</v>
      </c>
      <c r="S59" s="84">
        <f t="shared" si="3"/>
        <v>695</v>
      </c>
      <c r="T59" s="84">
        <f>50</f>
        <v>50</v>
      </c>
      <c r="U59" s="85"/>
      <c r="V59" s="85"/>
      <c r="W59" s="85"/>
      <c r="X59" s="85"/>
      <c r="Y59" s="85"/>
      <c r="Z59" s="85"/>
      <c r="AA59" s="85"/>
      <c r="AB59" s="85"/>
      <c r="AC59" s="85"/>
      <c r="AD59" s="85"/>
    </row>
    <row r="60" spans="1:30" ht="15.75" x14ac:dyDescent="0.25">
      <c r="A60" s="16">
        <v>42736</v>
      </c>
      <c r="B60" s="98">
        <v>31</v>
      </c>
      <c r="C60" s="84">
        <f>122.58</f>
        <v>122.58</v>
      </c>
      <c r="D60" s="84">
        <f>297.941</f>
        <v>297.94099999999997</v>
      </c>
      <c r="E60" s="93">
        <f>89.177</f>
        <v>89.177000000000007</v>
      </c>
      <c r="F60" s="84">
        <f>240.302-40-60-100</f>
        <v>40.301999999999992</v>
      </c>
      <c r="G60" s="87">
        <v>40</v>
      </c>
      <c r="H60" s="84">
        <f>60+100</f>
        <v>160</v>
      </c>
      <c r="I60" s="84">
        <f t="shared" si="8"/>
        <v>0</v>
      </c>
      <c r="J60" s="87">
        <v>100</v>
      </c>
      <c r="K60" s="87">
        <v>300</v>
      </c>
      <c r="L60" s="84">
        <f t="shared" si="0"/>
        <v>1150</v>
      </c>
      <c r="M60" s="95">
        <v>400</v>
      </c>
      <c r="N60" s="84">
        <f>100</f>
        <v>100</v>
      </c>
      <c r="O60" s="87">
        <v>240</v>
      </c>
      <c r="P60" s="87">
        <v>40</v>
      </c>
      <c r="Q60" s="87">
        <f t="shared" si="1"/>
        <v>315</v>
      </c>
      <c r="R60" s="87">
        <f t="shared" si="2"/>
        <v>100</v>
      </c>
      <c r="S60" s="84">
        <f t="shared" si="3"/>
        <v>695</v>
      </c>
      <c r="T60" s="84">
        <f>50</f>
        <v>50</v>
      </c>
      <c r="U60" s="85"/>
      <c r="V60" s="85"/>
      <c r="W60" s="85"/>
      <c r="X60" s="85"/>
      <c r="Y60" s="85"/>
      <c r="Z60" s="85"/>
      <c r="AA60" s="85"/>
      <c r="AB60" s="85"/>
      <c r="AC60" s="85"/>
      <c r="AD60" s="85"/>
    </row>
    <row r="61" spans="1:30" ht="15.75" x14ac:dyDescent="0.25">
      <c r="A61" s="16">
        <v>42767</v>
      </c>
      <c r="B61" s="98">
        <v>28</v>
      </c>
      <c r="C61" s="84">
        <f>122.58</f>
        <v>122.58</v>
      </c>
      <c r="D61" s="84">
        <f>297.941</f>
        <v>297.94099999999997</v>
      </c>
      <c r="E61" s="93">
        <f>89.177</f>
        <v>89.177000000000007</v>
      </c>
      <c r="F61" s="84">
        <f>240.302-40-60-100</f>
        <v>40.301999999999992</v>
      </c>
      <c r="G61" s="87">
        <v>40</v>
      </c>
      <c r="H61" s="84">
        <f>60+100</f>
        <v>160</v>
      </c>
      <c r="I61" s="84">
        <f t="shared" si="8"/>
        <v>0</v>
      </c>
      <c r="J61" s="87">
        <v>100</v>
      </c>
      <c r="K61" s="87">
        <v>300</v>
      </c>
      <c r="L61" s="84">
        <f t="shared" si="0"/>
        <v>1150</v>
      </c>
      <c r="M61" s="95">
        <v>400</v>
      </c>
      <c r="N61" s="84">
        <f>100</f>
        <v>100</v>
      </c>
      <c r="O61" s="87">
        <v>240</v>
      </c>
      <c r="P61" s="87">
        <v>40</v>
      </c>
      <c r="Q61" s="87">
        <f t="shared" si="1"/>
        <v>315</v>
      </c>
      <c r="R61" s="87">
        <f t="shared" si="2"/>
        <v>100</v>
      </c>
      <c r="S61" s="84">
        <f t="shared" si="3"/>
        <v>695</v>
      </c>
      <c r="T61" s="84">
        <f>50</f>
        <v>50</v>
      </c>
      <c r="U61" s="85"/>
      <c r="V61" s="85"/>
      <c r="W61" s="85"/>
      <c r="X61" s="85"/>
      <c r="Y61" s="85"/>
      <c r="Z61" s="85"/>
      <c r="AA61" s="85"/>
      <c r="AB61" s="85"/>
      <c r="AC61" s="85"/>
      <c r="AD61" s="85"/>
    </row>
    <row r="62" spans="1:30" ht="15.75" x14ac:dyDescent="0.25">
      <c r="A62" s="16">
        <v>42795</v>
      </c>
      <c r="B62" s="98">
        <v>31</v>
      </c>
      <c r="C62" s="84">
        <f>122.58</f>
        <v>122.58</v>
      </c>
      <c r="D62" s="84">
        <f>297.941</f>
        <v>297.94099999999997</v>
      </c>
      <c r="E62" s="93">
        <f>89.177</f>
        <v>89.177000000000007</v>
      </c>
      <c r="F62" s="84">
        <f>240.302-40-60-100</f>
        <v>40.301999999999992</v>
      </c>
      <c r="G62" s="87">
        <v>40</v>
      </c>
      <c r="H62" s="84">
        <f>60+100</f>
        <v>160</v>
      </c>
      <c r="I62" s="84">
        <f t="shared" si="8"/>
        <v>0</v>
      </c>
      <c r="J62" s="87">
        <v>100</v>
      </c>
      <c r="K62" s="87">
        <v>300</v>
      </c>
      <c r="L62" s="84">
        <f t="shared" si="0"/>
        <v>1150</v>
      </c>
      <c r="M62" s="95">
        <v>400</v>
      </c>
      <c r="N62" s="84">
        <f>100</f>
        <v>100</v>
      </c>
      <c r="O62" s="87">
        <v>240</v>
      </c>
      <c r="P62" s="87">
        <v>40</v>
      </c>
      <c r="Q62" s="87">
        <f t="shared" si="1"/>
        <v>315</v>
      </c>
      <c r="R62" s="87">
        <f t="shared" si="2"/>
        <v>100</v>
      </c>
      <c r="S62" s="84">
        <f t="shared" si="3"/>
        <v>695</v>
      </c>
      <c r="T62" s="84">
        <f>50</f>
        <v>50</v>
      </c>
      <c r="U62" s="85"/>
      <c r="V62" s="85"/>
      <c r="W62" s="85"/>
      <c r="X62" s="85"/>
      <c r="Y62" s="85"/>
      <c r="Z62" s="85"/>
      <c r="AA62" s="85"/>
      <c r="AB62" s="85"/>
      <c r="AC62" s="85"/>
      <c r="AD62" s="85"/>
    </row>
    <row r="63" spans="1:30" ht="15.75" x14ac:dyDescent="0.25">
      <c r="A63" s="16">
        <v>42826</v>
      </c>
      <c r="B63" s="98">
        <v>30</v>
      </c>
      <c r="C63" s="84">
        <f>141.293</f>
        <v>141.29300000000001</v>
      </c>
      <c r="D63" s="84">
        <f>267.993</f>
        <v>267.99299999999999</v>
      </c>
      <c r="E63" s="93">
        <f>115.016</f>
        <v>115.01600000000001</v>
      </c>
      <c r="F63" s="84">
        <f>314.698-40-25-60-100</f>
        <v>89.697999999999979</v>
      </c>
      <c r="G63" s="87">
        <v>40</v>
      </c>
      <c r="H63" s="84">
        <f t="shared" ref="H63:H69" si="9">25+60+100</f>
        <v>185</v>
      </c>
      <c r="I63" s="84">
        <f t="shared" si="8"/>
        <v>0</v>
      </c>
      <c r="J63" s="87">
        <v>100</v>
      </c>
      <c r="K63" s="87">
        <v>300</v>
      </c>
      <c r="L63" s="84">
        <f t="shared" si="0"/>
        <v>1239</v>
      </c>
      <c r="M63" s="95">
        <v>400</v>
      </c>
      <c r="N63" s="84">
        <f>100</f>
        <v>100</v>
      </c>
      <c r="O63" s="87">
        <v>240</v>
      </c>
      <c r="P63" s="87">
        <v>160</v>
      </c>
      <c r="Q63" s="87">
        <f t="shared" si="1"/>
        <v>195</v>
      </c>
      <c r="R63" s="87">
        <f t="shared" si="2"/>
        <v>100</v>
      </c>
      <c r="S63" s="84">
        <f t="shared" si="3"/>
        <v>695</v>
      </c>
      <c r="T63" s="84">
        <f>50</f>
        <v>50</v>
      </c>
      <c r="U63" s="85"/>
      <c r="V63" s="85"/>
      <c r="W63" s="85"/>
      <c r="X63" s="85"/>
      <c r="Y63" s="85"/>
      <c r="Z63" s="85"/>
      <c r="AA63" s="85"/>
      <c r="AB63" s="85"/>
      <c r="AC63" s="85"/>
      <c r="AD63" s="85"/>
    </row>
    <row r="64" spans="1:30" ht="15.75" x14ac:dyDescent="0.25">
      <c r="A64" s="16">
        <v>42856</v>
      </c>
      <c r="B64" s="98">
        <v>31</v>
      </c>
      <c r="C64" s="84">
        <f>194.205</f>
        <v>194.20500000000001</v>
      </c>
      <c r="D64" s="84">
        <f>267.466</f>
        <v>267.46600000000001</v>
      </c>
      <c r="E64" s="93">
        <f>133.845</f>
        <v>133.845</v>
      </c>
      <c r="F64" s="84">
        <f>278.484-40-25-60-100</f>
        <v>53.48399999999998</v>
      </c>
      <c r="G64" s="87">
        <v>40</v>
      </c>
      <c r="H64" s="84">
        <f t="shared" si="9"/>
        <v>185</v>
      </c>
      <c r="I64" s="84">
        <f t="shared" si="8"/>
        <v>0</v>
      </c>
      <c r="J64" s="87">
        <v>100</v>
      </c>
      <c r="K64" s="87">
        <v>300</v>
      </c>
      <c r="L64" s="84">
        <f t="shared" si="0"/>
        <v>1274</v>
      </c>
      <c r="M64" s="95">
        <v>400</v>
      </c>
      <c r="N64" s="84">
        <f>75</f>
        <v>75</v>
      </c>
      <c r="O64" s="87">
        <v>240</v>
      </c>
      <c r="P64" s="87">
        <v>160</v>
      </c>
      <c r="Q64" s="87">
        <f t="shared" si="1"/>
        <v>195</v>
      </c>
      <c r="R64" s="87">
        <f t="shared" si="2"/>
        <v>100</v>
      </c>
      <c r="S64" s="84">
        <f t="shared" si="3"/>
        <v>695</v>
      </c>
      <c r="T64" s="84">
        <f>50</f>
        <v>50</v>
      </c>
      <c r="U64" s="85"/>
      <c r="V64" s="85"/>
      <c r="W64" s="85"/>
      <c r="X64" s="85"/>
      <c r="Y64" s="85"/>
      <c r="Z64" s="85"/>
      <c r="AA64" s="85"/>
      <c r="AB64" s="85"/>
      <c r="AC64" s="85"/>
      <c r="AD64" s="85"/>
    </row>
    <row r="65" spans="1:30" ht="15.75" x14ac:dyDescent="0.25">
      <c r="A65" s="16">
        <v>42887</v>
      </c>
      <c r="B65" s="98">
        <v>30</v>
      </c>
      <c r="C65" s="84">
        <f>194.205</f>
        <v>194.20500000000001</v>
      </c>
      <c r="D65" s="84">
        <f>267.466</f>
        <v>267.46600000000001</v>
      </c>
      <c r="E65" s="93">
        <f>133.845</f>
        <v>133.845</v>
      </c>
      <c r="F65" s="84">
        <f>278.484-40-25-60-100</f>
        <v>53.48399999999998</v>
      </c>
      <c r="G65" s="87">
        <v>40</v>
      </c>
      <c r="H65" s="84">
        <f t="shared" si="9"/>
        <v>185</v>
      </c>
      <c r="I65" s="84">
        <f t="shared" si="8"/>
        <v>0</v>
      </c>
      <c r="J65" s="87">
        <v>100</v>
      </c>
      <c r="K65" s="87">
        <v>300</v>
      </c>
      <c r="L65" s="84">
        <f t="shared" si="0"/>
        <v>1274</v>
      </c>
      <c r="M65" s="95">
        <v>400</v>
      </c>
      <c r="N65" s="84">
        <f>30</f>
        <v>30</v>
      </c>
      <c r="O65" s="87">
        <v>240</v>
      </c>
      <c r="P65" s="87">
        <v>160</v>
      </c>
      <c r="Q65" s="87">
        <f t="shared" si="1"/>
        <v>195</v>
      </c>
      <c r="R65" s="87">
        <f t="shared" si="2"/>
        <v>100</v>
      </c>
      <c r="S65" s="84">
        <f t="shared" si="3"/>
        <v>695</v>
      </c>
      <c r="T65" s="84">
        <f>50</f>
        <v>50</v>
      </c>
      <c r="U65" s="85"/>
      <c r="V65" s="85"/>
      <c r="W65" s="85"/>
      <c r="X65" s="85"/>
      <c r="Y65" s="85"/>
      <c r="Z65" s="85"/>
      <c r="AA65" s="85"/>
      <c r="AB65" s="85"/>
      <c r="AC65" s="85"/>
      <c r="AD65" s="85"/>
    </row>
    <row r="66" spans="1:30" ht="15.75" x14ac:dyDescent="0.25">
      <c r="A66" s="16">
        <v>42917</v>
      </c>
      <c r="B66" s="98">
        <v>31</v>
      </c>
      <c r="C66" s="84">
        <f>194.205</f>
        <v>194.20500000000001</v>
      </c>
      <c r="D66" s="84">
        <f>267.466</f>
        <v>267.46600000000001</v>
      </c>
      <c r="E66" s="93">
        <f>133.845</f>
        <v>133.845</v>
      </c>
      <c r="F66" s="84">
        <f>278.484-40-25-60-100</f>
        <v>53.48399999999998</v>
      </c>
      <c r="G66" s="87">
        <v>40</v>
      </c>
      <c r="H66" s="84">
        <f t="shared" si="9"/>
        <v>185</v>
      </c>
      <c r="I66" s="84">
        <f t="shared" si="8"/>
        <v>0</v>
      </c>
      <c r="J66" s="87">
        <v>100</v>
      </c>
      <c r="K66" s="87">
        <v>300</v>
      </c>
      <c r="L66" s="84">
        <f t="shared" si="0"/>
        <v>1274</v>
      </c>
      <c r="M66" s="95">
        <v>400</v>
      </c>
      <c r="N66" s="84">
        <f>30</f>
        <v>30</v>
      </c>
      <c r="O66" s="87">
        <v>240</v>
      </c>
      <c r="P66" s="87">
        <v>160</v>
      </c>
      <c r="Q66" s="87">
        <f t="shared" si="1"/>
        <v>195</v>
      </c>
      <c r="R66" s="87">
        <f t="shared" si="2"/>
        <v>100</v>
      </c>
      <c r="S66" s="84">
        <f t="shared" si="3"/>
        <v>695</v>
      </c>
      <c r="T66" s="84">
        <f>0</f>
        <v>0</v>
      </c>
      <c r="U66" s="85"/>
      <c r="V66" s="85"/>
      <c r="W66" s="85"/>
      <c r="X66" s="85"/>
      <c r="Y66" s="85"/>
      <c r="Z66" s="85"/>
      <c r="AA66" s="85"/>
      <c r="AB66" s="85"/>
      <c r="AC66" s="85"/>
      <c r="AD66" s="85"/>
    </row>
    <row r="67" spans="1:30" ht="15.75" x14ac:dyDescent="0.25">
      <c r="A67" s="16">
        <v>42948</v>
      </c>
      <c r="B67" s="98">
        <v>31</v>
      </c>
      <c r="C67" s="84">
        <f>194.205</f>
        <v>194.20500000000001</v>
      </c>
      <c r="D67" s="84">
        <f>267.466</f>
        <v>267.46600000000001</v>
      </c>
      <c r="E67" s="93">
        <f>133.845</f>
        <v>133.845</v>
      </c>
      <c r="F67" s="84">
        <f>278.484-40-25-60-100</f>
        <v>53.48399999999998</v>
      </c>
      <c r="G67" s="87">
        <v>40</v>
      </c>
      <c r="H67" s="84">
        <f t="shared" si="9"/>
        <v>185</v>
      </c>
      <c r="I67" s="84">
        <f t="shared" si="8"/>
        <v>0</v>
      </c>
      <c r="J67" s="87">
        <v>100</v>
      </c>
      <c r="K67" s="87">
        <v>300</v>
      </c>
      <c r="L67" s="84">
        <f t="shared" si="0"/>
        <v>1274</v>
      </c>
      <c r="M67" s="95">
        <v>400</v>
      </c>
      <c r="N67" s="84">
        <f>30</f>
        <v>30</v>
      </c>
      <c r="O67" s="87">
        <v>240</v>
      </c>
      <c r="P67" s="87">
        <v>160</v>
      </c>
      <c r="Q67" s="87">
        <f t="shared" si="1"/>
        <v>195</v>
      </c>
      <c r="R67" s="87">
        <f t="shared" si="2"/>
        <v>100</v>
      </c>
      <c r="S67" s="84">
        <f t="shared" si="3"/>
        <v>695</v>
      </c>
      <c r="T67" s="84">
        <f>0</f>
        <v>0</v>
      </c>
      <c r="U67" s="85"/>
      <c r="V67" s="85"/>
      <c r="W67" s="85"/>
      <c r="X67" s="85"/>
      <c r="Y67" s="85"/>
      <c r="Z67" s="85"/>
      <c r="AA67" s="85"/>
      <c r="AB67" s="85"/>
      <c r="AC67" s="85"/>
      <c r="AD67" s="85"/>
    </row>
    <row r="68" spans="1:30" ht="15.75" x14ac:dyDescent="0.25">
      <c r="A68" s="16">
        <v>42979</v>
      </c>
      <c r="B68" s="98">
        <v>30</v>
      </c>
      <c r="C68" s="84">
        <f>194.205</f>
        <v>194.20500000000001</v>
      </c>
      <c r="D68" s="84">
        <f>267.466</f>
        <v>267.46600000000001</v>
      </c>
      <c r="E68" s="93">
        <f>133.845</f>
        <v>133.845</v>
      </c>
      <c r="F68" s="84">
        <f>278.484-40-25-60-100</f>
        <v>53.48399999999998</v>
      </c>
      <c r="G68" s="87">
        <v>40</v>
      </c>
      <c r="H68" s="84">
        <f t="shared" si="9"/>
        <v>185</v>
      </c>
      <c r="I68" s="84">
        <f t="shared" si="8"/>
        <v>0</v>
      </c>
      <c r="J68" s="87">
        <v>100</v>
      </c>
      <c r="K68" s="87">
        <v>300</v>
      </c>
      <c r="L68" s="84">
        <f t="shared" si="0"/>
        <v>1274</v>
      </c>
      <c r="M68" s="95">
        <v>400</v>
      </c>
      <c r="N68" s="84">
        <f>30</f>
        <v>30</v>
      </c>
      <c r="O68" s="87">
        <v>240</v>
      </c>
      <c r="P68" s="87">
        <v>160</v>
      </c>
      <c r="Q68" s="87">
        <f t="shared" si="1"/>
        <v>195</v>
      </c>
      <c r="R68" s="87">
        <f t="shared" si="2"/>
        <v>100</v>
      </c>
      <c r="S68" s="84">
        <f t="shared" si="3"/>
        <v>695</v>
      </c>
      <c r="T68" s="84">
        <f>0</f>
        <v>0</v>
      </c>
      <c r="U68" s="85"/>
      <c r="V68" s="85"/>
      <c r="W68" s="85"/>
      <c r="X68" s="85"/>
      <c r="Y68" s="85"/>
      <c r="Z68" s="85"/>
      <c r="AA68" s="85"/>
      <c r="AB68" s="85"/>
      <c r="AC68" s="85"/>
      <c r="AD68" s="85"/>
    </row>
    <row r="69" spans="1:30" ht="15.75" x14ac:dyDescent="0.25">
      <c r="A69" s="16">
        <v>43009</v>
      </c>
      <c r="B69" s="98">
        <v>31</v>
      </c>
      <c r="C69" s="84">
        <f>131.881</f>
        <v>131.881</v>
      </c>
      <c r="D69" s="84">
        <f>277.167</f>
        <v>277.16699999999997</v>
      </c>
      <c r="E69" s="93">
        <f>79.08</f>
        <v>79.08</v>
      </c>
      <c r="F69" s="84">
        <f>350.872-40-25-60-100</f>
        <v>125.87200000000001</v>
      </c>
      <c r="G69" s="87">
        <v>40</v>
      </c>
      <c r="H69" s="84">
        <f t="shared" si="9"/>
        <v>185</v>
      </c>
      <c r="I69" s="84">
        <f t="shared" si="8"/>
        <v>0</v>
      </c>
      <c r="J69" s="87">
        <v>100</v>
      </c>
      <c r="K69" s="87">
        <v>300</v>
      </c>
      <c r="L69" s="84">
        <f t="shared" si="0"/>
        <v>1239</v>
      </c>
      <c r="M69" s="95">
        <v>400</v>
      </c>
      <c r="N69" s="84">
        <f>75</f>
        <v>75</v>
      </c>
      <c r="O69" s="87">
        <v>240</v>
      </c>
      <c r="P69" s="87">
        <v>160</v>
      </c>
      <c r="Q69" s="87">
        <f t="shared" si="1"/>
        <v>195</v>
      </c>
      <c r="R69" s="87">
        <f t="shared" si="2"/>
        <v>100</v>
      </c>
      <c r="S69" s="84">
        <f t="shared" si="3"/>
        <v>695</v>
      </c>
      <c r="T69" s="84">
        <f>0</f>
        <v>0</v>
      </c>
      <c r="U69" s="85"/>
      <c r="V69" s="85"/>
      <c r="W69" s="85"/>
      <c r="X69" s="85"/>
      <c r="Y69" s="85"/>
      <c r="Z69" s="85"/>
      <c r="AA69" s="85"/>
      <c r="AB69" s="85"/>
      <c r="AC69" s="85"/>
      <c r="AD69" s="85"/>
    </row>
    <row r="70" spans="1:30" ht="15.75" x14ac:dyDescent="0.25">
      <c r="A70" s="16">
        <v>43040</v>
      </c>
      <c r="B70" s="98">
        <v>30</v>
      </c>
      <c r="C70" s="84">
        <f>122.58</f>
        <v>122.58</v>
      </c>
      <c r="D70" s="84">
        <f>297.941</f>
        <v>297.94099999999997</v>
      </c>
      <c r="E70" s="93">
        <f>89.177</f>
        <v>89.177000000000007</v>
      </c>
      <c r="F70" s="84">
        <f>240.302-40-60-100</f>
        <v>40.301999999999992</v>
      </c>
      <c r="G70" s="87">
        <v>40</v>
      </c>
      <c r="H70" s="84">
        <f>60+100</f>
        <v>160</v>
      </c>
      <c r="I70" s="84">
        <f t="shared" si="8"/>
        <v>0</v>
      </c>
      <c r="J70" s="87">
        <v>100</v>
      </c>
      <c r="K70" s="87">
        <v>300</v>
      </c>
      <c r="L70" s="84">
        <f t="shared" si="0"/>
        <v>1150</v>
      </c>
      <c r="M70" s="95">
        <v>400</v>
      </c>
      <c r="N70" s="84">
        <f>100</f>
        <v>100</v>
      </c>
      <c r="O70" s="87">
        <v>240</v>
      </c>
      <c r="P70" s="87">
        <v>40</v>
      </c>
      <c r="Q70" s="87">
        <f t="shared" si="1"/>
        <v>315</v>
      </c>
      <c r="R70" s="87">
        <f t="shared" si="2"/>
        <v>100</v>
      </c>
      <c r="S70" s="84">
        <f t="shared" si="3"/>
        <v>695</v>
      </c>
      <c r="T70" s="84">
        <f>50</f>
        <v>50</v>
      </c>
      <c r="U70" s="85"/>
      <c r="V70" s="85"/>
      <c r="W70" s="85"/>
      <c r="X70" s="85"/>
      <c r="Y70" s="85"/>
      <c r="Z70" s="85"/>
      <c r="AA70" s="85"/>
      <c r="AB70" s="85"/>
      <c r="AC70" s="85"/>
      <c r="AD70" s="85"/>
    </row>
    <row r="71" spans="1:30" ht="15.75" x14ac:dyDescent="0.25">
      <c r="A71" s="16">
        <v>43070</v>
      </c>
      <c r="B71" s="98">
        <v>31</v>
      </c>
      <c r="C71" s="84">
        <f>122.58</f>
        <v>122.58</v>
      </c>
      <c r="D71" s="84">
        <f>297.941</f>
        <v>297.94099999999997</v>
      </c>
      <c r="E71" s="93">
        <f>89.177</f>
        <v>89.177000000000007</v>
      </c>
      <c r="F71" s="84">
        <f>240.302-40-60-100</f>
        <v>40.301999999999992</v>
      </c>
      <c r="G71" s="87">
        <v>40</v>
      </c>
      <c r="H71" s="84">
        <f>60+100</f>
        <v>160</v>
      </c>
      <c r="I71" s="84">
        <f t="shared" si="8"/>
        <v>0</v>
      </c>
      <c r="J71" s="87">
        <v>100</v>
      </c>
      <c r="K71" s="87">
        <v>300</v>
      </c>
      <c r="L71" s="84">
        <f t="shared" si="0"/>
        <v>1150</v>
      </c>
      <c r="M71" s="95">
        <v>400</v>
      </c>
      <c r="N71" s="84">
        <f>100</f>
        <v>100</v>
      </c>
      <c r="O71" s="87">
        <v>240</v>
      </c>
      <c r="P71" s="87">
        <v>40</v>
      </c>
      <c r="Q71" s="87">
        <f t="shared" si="1"/>
        <v>315</v>
      </c>
      <c r="R71" s="87">
        <f t="shared" si="2"/>
        <v>100</v>
      </c>
      <c r="S71" s="84">
        <f t="shared" si="3"/>
        <v>695</v>
      </c>
      <c r="T71" s="84">
        <f>50</f>
        <v>50</v>
      </c>
      <c r="U71" s="85"/>
      <c r="V71" s="85"/>
      <c r="W71" s="85"/>
      <c r="X71" s="85"/>
      <c r="Y71" s="85"/>
      <c r="Z71" s="85"/>
      <c r="AA71" s="85"/>
      <c r="AB71" s="85"/>
      <c r="AC71" s="85"/>
      <c r="AD71" s="85"/>
    </row>
    <row r="72" spans="1:30" ht="15.75" x14ac:dyDescent="0.25">
      <c r="A72" s="16">
        <v>43101</v>
      </c>
      <c r="B72" s="98">
        <v>31</v>
      </c>
      <c r="C72" s="84">
        <f>122.58</f>
        <v>122.58</v>
      </c>
      <c r="D72" s="84">
        <f>297.941</f>
        <v>297.94099999999997</v>
      </c>
      <c r="E72" s="93">
        <f>89.177</f>
        <v>89.177000000000007</v>
      </c>
      <c r="F72" s="84">
        <f>240.302-40-60-100</f>
        <v>40.301999999999992</v>
      </c>
      <c r="G72" s="87">
        <v>40</v>
      </c>
      <c r="H72" s="84">
        <f>60+100</f>
        <v>160</v>
      </c>
      <c r="I72" s="84">
        <f t="shared" si="8"/>
        <v>0</v>
      </c>
      <c r="J72" s="87">
        <v>100</v>
      </c>
      <c r="K72" s="87">
        <v>300</v>
      </c>
      <c r="L72" s="84">
        <f t="shared" si="0"/>
        <v>1150</v>
      </c>
      <c r="M72" s="95">
        <v>400</v>
      </c>
      <c r="N72" s="84">
        <f>100</f>
        <v>100</v>
      </c>
      <c r="O72" s="87">
        <v>240</v>
      </c>
      <c r="P72" s="87">
        <v>40</v>
      </c>
      <c r="Q72" s="87">
        <f t="shared" si="1"/>
        <v>315</v>
      </c>
      <c r="R72" s="87">
        <f t="shared" si="2"/>
        <v>100</v>
      </c>
      <c r="S72" s="84">
        <f t="shared" si="3"/>
        <v>695</v>
      </c>
      <c r="T72" s="84">
        <f>50</f>
        <v>50</v>
      </c>
      <c r="U72" s="85"/>
      <c r="V72" s="85"/>
      <c r="W72" s="85"/>
      <c r="X72" s="85"/>
      <c r="Y72" s="85"/>
      <c r="Z72" s="85"/>
      <c r="AA72" s="85"/>
      <c r="AB72" s="85"/>
      <c r="AC72" s="85"/>
      <c r="AD72" s="85"/>
    </row>
    <row r="73" spans="1:30" ht="15.75" x14ac:dyDescent="0.25">
      <c r="A73" s="16">
        <v>43132</v>
      </c>
      <c r="B73" s="98">
        <v>28</v>
      </c>
      <c r="C73" s="84">
        <f>122.58</f>
        <v>122.58</v>
      </c>
      <c r="D73" s="84">
        <f>297.941</f>
        <v>297.94099999999997</v>
      </c>
      <c r="E73" s="93">
        <f>89.177</f>
        <v>89.177000000000007</v>
      </c>
      <c r="F73" s="84">
        <f>240.302-40-60-100</f>
        <v>40.301999999999992</v>
      </c>
      <c r="G73" s="87">
        <v>40</v>
      </c>
      <c r="H73" s="84">
        <f>60+100</f>
        <v>160</v>
      </c>
      <c r="I73" s="84">
        <f t="shared" si="8"/>
        <v>0</v>
      </c>
      <c r="J73" s="87">
        <v>100</v>
      </c>
      <c r="K73" s="87">
        <v>300</v>
      </c>
      <c r="L73" s="84">
        <f t="shared" si="0"/>
        <v>1150</v>
      </c>
      <c r="M73" s="95">
        <v>400</v>
      </c>
      <c r="N73" s="84">
        <f>100</f>
        <v>100</v>
      </c>
      <c r="O73" s="87">
        <v>240</v>
      </c>
      <c r="P73" s="87">
        <v>40</v>
      </c>
      <c r="Q73" s="87">
        <f t="shared" si="1"/>
        <v>315</v>
      </c>
      <c r="R73" s="87">
        <f t="shared" si="2"/>
        <v>100</v>
      </c>
      <c r="S73" s="84">
        <f t="shared" si="3"/>
        <v>695</v>
      </c>
      <c r="T73" s="84">
        <f>50</f>
        <v>50</v>
      </c>
      <c r="U73" s="85"/>
      <c r="V73" s="85"/>
      <c r="W73" s="85"/>
      <c r="X73" s="85"/>
      <c r="Y73" s="85"/>
      <c r="Z73" s="85"/>
      <c r="AA73" s="85"/>
      <c r="AB73" s="85"/>
      <c r="AC73" s="85"/>
      <c r="AD73" s="85"/>
    </row>
    <row r="74" spans="1:30" ht="15.75" x14ac:dyDescent="0.25">
      <c r="A74" s="16">
        <v>43160</v>
      </c>
      <c r="B74" s="98">
        <v>31</v>
      </c>
      <c r="C74" s="84">
        <f>122.58</f>
        <v>122.58</v>
      </c>
      <c r="D74" s="84">
        <f>297.941</f>
        <v>297.94099999999997</v>
      </c>
      <c r="E74" s="93">
        <f>89.177</f>
        <v>89.177000000000007</v>
      </c>
      <c r="F74" s="84">
        <f>240.302-40-60-100</f>
        <v>40.301999999999992</v>
      </c>
      <c r="G74" s="87">
        <v>40</v>
      </c>
      <c r="H74" s="84">
        <f>60+100</f>
        <v>160</v>
      </c>
      <c r="I74" s="84">
        <f t="shared" si="8"/>
        <v>0</v>
      </c>
      <c r="J74" s="87">
        <v>100</v>
      </c>
      <c r="K74" s="87">
        <v>300</v>
      </c>
      <c r="L74" s="84">
        <f t="shared" si="0"/>
        <v>1150</v>
      </c>
      <c r="M74" s="95">
        <v>400</v>
      </c>
      <c r="N74" s="84">
        <f>100</f>
        <v>100</v>
      </c>
      <c r="O74" s="87">
        <v>240</v>
      </c>
      <c r="P74" s="87">
        <v>40</v>
      </c>
      <c r="Q74" s="87">
        <f t="shared" si="1"/>
        <v>315</v>
      </c>
      <c r="R74" s="87">
        <f t="shared" si="2"/>
        <v>100</v>
      </c>
      <c r="S74" s="84">
        <f t="shared" si="3"/>
        <v>695</v>
      </c>
      <c r="T74" s="84">
        <f>50</f>
        <v>50</v>
      </c>
      <c r="U74" s="85"/>
      <c r="V74" s="85"/>
      <c r="W74" s="85"/>
      <c r="X74" s="85"/>
      <c r="Y74" s="85"/>
      <c r="Z74" s="85"/>
      <c r="AA74" s="85"/>
      <c r="AB74" s="85"/>
      <c r="AC74" s="85"/>
      <c r="AD74" s="85"/>
    </row>
    <row r="75" spans="1:30" ht="15.75" x14ac:dyDescent="0.25">
      <c r="A75" s="16">
        <v>43191</v>
      </c>
      <c r="B75" s="98">
        <v>30</v>
      </c>
      <c r="C75" s="84">
        <f>141.293</f>
        <v>141.29300000000001</v>
      </c>
      <c r="D75" s="84">
        <f>267.993</f>
        <v>267.99299999999999</v>
      </c>
      <c r="E75" s="93">
        <f>115.016</f>
        <v>115.01600000000001</v>
      </c>
      <c r="F75" s="84">
        <f>314.698-40-25-60-100</f>
        <v>89.697999999999979</v>
      </c>
      <c r="G75" s="87">
        <v>40</v>
      </c>
      <c r="H75" s="84">
        <f t="shared" ref="H75:H81" si="10">25+60+100</f>
        <v>185</v>
      </c>
      <c r="I75" s="84">
        <f t="shared" si="8"/>
        <v>0</v>
      </c>
      <c r="J75" s="87">
        <v>100</v>
      </c>
      <c r="K75" s="87">
        <v>300</v>
      </c>
      <c r="L75" s="84">
        <f t="shared" si="0"/>
        <v>1239</v>
      </c>
      <c r="M75" s="95">
        <v>400</v>
      </c>
      <c r="N75" s="84">
        <f>100</f>
        <v>100</v>
      </c>
      <c r="O75" s="87">
        <v>240</v>
      </c>
      <c r="P75" s="87">
        <v>160</v>
      </c>
      <c r="Q75" s="87">
        <f t="shared" si="1"/>
        <v>195</v>
      </c>
      <c r="R75" s="87">
        <f t="shared" si="2"/>
        <v>100</v>
      </c>
      <c r="S75" s="84">
        <f t="shared" si="3"/>
        <v>695</v>
      </c>
      <c r="T75" s="84">
        <f>50</f>
        <v>50</v>
      </c>
      <c r="U75" s="85"/>
      <c r="V75" s="85"/>
      <c r="W75" s="85"/>
      <c r="X75" s="85"/>
      <c r="Y75" s="85"/>
      <c r="Z75" s="85"/>
      <c r="AA75" s="85"/>
      <c r="AB75" s="85"/>
      <c r="AC75" s="85"/>
      <c r="AD75" s="85"/>
    </row>
    <row r="76" spans="1:30" ht="15.75" x14ac:dyDescent="0.25">
      <c r="A76" s="16">
        <v>43221</v>
      </c>
      <c r="B76" s="98">
        <v>31</v>
      </c>
      <c r="C76" s="84">
        <f>194.205</f>
        <v>194.20500000000001</v>
      </c>
      <c r="D76" s="84">
        <f>267.466</f>
        <v>267.46600000000001</v>
      </c>
      <c r="E76" s="93">
        <f>133.845</f>
        <v>133.845</v>
      </c>
      <c r="F76" s="84">
        <f>278.484-40-25-60-100</f>
        <v>53.48399999999998</v>
      </c>
      <c r="G76" s="87">
        <v>40</v>
      </c>
      <c r="H76" s="84">
        <f t="shared" si="10"/>
        <v>185</v>
      </c>
      <c r="I76" s="84">
        <f t="shared" si="8"/>
        <v>0</v>
      </c>
      <c r="J76" s="87">
        <v>100</v>
      </c>
      <c r="K76" s="87">
        <v>300</v>
      </c>
      <c r="L76" s="84">
        <f t="shared" si="0"/>
        <v>1274</v>
      </c>
      <c r="M76" s="95">
        <v>400</v>
      </c>
      <c r="N76" s="84">
        <f>75</f>
        <v>75</v>
      </c>
      <c r="O76" s="87">
        <v>240</v>
      </c>
      <c r="P76" s="87">
        <v>160</v>
      </c>
      <c r="Q76" s="87">
        <f t="shared" si="1"/>
        <v>195</v>
      </c>
      <c r="R76" s="87">
        <f t="shared" si="2"/>
        <v>100</v>
      </c>
      <c r="S76" s="84">
        <f t="shared" si="3"/>
        <v>695</v>
      </c>
      <c r="T76" s="84">
        <f>50</f>
        <v>50</v>
      </c>
      <c r="U76" s="85"/>
      <c r="V76" s="85"/>
      <c r="W76" s="85"/>
      <c r="X76" s="85"/>
      <c r="Y76" s="85"/>
      <c r="Z76" s="85"/>
      <c r="AA76" s="85"/>
      <c r="AB76" s="85"/>
      <c r="AC76" s="85"/>
      <c r="AD76" s="85"/>
    </row>
    <row r="77" spans="1:30" ht="15.75" x14ac:dyDescent="0.25">
      <c r="A77" s="16">
        <v>43252</v>
      </c>
      <c r="B77" s="98">
        <v>30</v>
      </c>
      <c r="C77" s="84">
        <f>194.205</f>
        <v>194.20500000000001</v>
      </c>
      <c r="D77" s="84">
        <f>267.466</f>
        <v>267.46600000000001</v>
      </c>
      <c r="E77" s="93">
        <f>133.845</f>
        <v>133.845</v>
      </c>
      <c r="F77" s="84">
        <f>278.484-40-25-60-100</f>
        <v>53.48399999999998</v>
      </c>
      <c r="G77" s="87">
        <v>40</v>
      </c>
      <c r="H77" s="84">
        <f t="shared" si="10"/>
        <v>185</v>
      </c>
      <c r="I77" s="84">
        <f t="shared" si="8"/>
        <v>0</v>
      </c>
      <c r="J77" s="87">
        <v>100</v>
      </c>
      <c r="K77" s="87">
        <v>300</v>
      </c>
      <c r="L77" s="84">
        <f t="shared" si="0"/>
        <v>1274</v>
      </c>
      <c r="M77" s="95">
        <v>400</v>
      </c>
      <c r="N77" s="84">
        <f>30</f>
        <v>30</v>
      </c>
      <c r="O77" s="87">
        <v>240</v>
      </c>
      <c r="P77" s="87">
        <v>160</v>
      </c>
      <c r="Q77" s="87">
        <f t="shared" si="1"/>
        <v>195</v>
      </c>
      <c r="R77" s="87">
        <f t="shared" si="2"/>
        <v>100</v>
      </c>
      <c r="S77" s="84">
        <f t="shared" si="3"/>
        <v>695</v>
      </c>
      <c r="T77" s="84">
        <f>50</f>
        <v>50</v>
      </c>
      <c r="U77" s="85"/>
      <c r="V77" s="85"/>
      <c r="W77" s="85"/>
      <c r="X77" s="85"/>
      <c r="Y77" s="85"/>
      <c r="Z77" s="85"/>
      <c r="AA77" s="85"/>
      <c r="AB77" s="85"/>
      <c r="AC77" s="85"/>
      <c r="AD77" s="85"/>
    </row>
    <row r="78" spans="1:30" ht="15.75" x14ac:dyDescent="0.25">
      <c r="A78" s="16">
        <v>43282</v>
      </c>
      <c r="B78" s="98">
        <v>31</v>
      </c>
      <c r="C78" s="84">
        <f>194.205</f>
        <v>194.20500000000001</v>
      </c>
      <c r="D78" s="84">
        <f>267.466</f>
        <v>267.46600000000001</v>
      </c>
      <c r="E78" s="93">
        <f>133.845</f>
        <v>133.845</v>
      </c>
      <c r="F78" s="84">
        <f>278.484-40-25-60-100</f>
        <v>53.48399999999998</v>
      </c>
      <c r="G78" s="87">
        <v>40</v>
      </c>
      <c r="H78" s="84">
        <f t="shared" si="10"/>
        <v>185</v>
      </c>
      <c r="I78" s="84">
        <f t="shared" si="8"/>
        <v>0</v>
      </c>
      <c r="J78" s="87">
        <v>100</v>
      </c>
      <c r="K78" s="87">
        <v>300</v>
      </c>
      <c r="L78" s="84">
        <f t="shared" si="0"/>
        <v>1274</v>
      </c>
      <c r="M78" s="95">
        <v>400</v>
      </c>
      <c r="N78" s="84">
        <f>30</f>
        <v>30</v>
      </c>
      <c r="O78" s="87">
        <v>240</v>
      </c>
      <c r="P78" s="87">
        <v>160</v>
      </c>
      <c r="Q78" s="87">
        <f t="shared" si="1"/>
        <v>195</v>
      </c>
      <c r="R78" s="87">
        <f t="shared" si="2"/>
        <v>100</v>
      </c>
      <c r="S78" s="84">
        <f t="shared" si="3"/>
        <v>695</v>
      </c>
      <c r="T78" s="84">
        <f>0</f>
        <v>0</v>
      </c>
      <c r="U78" s="85"/>
      <c r="V78" s="85"/>
      <c r="W78" s="85"/>
      <c r="X78" s="85"/>
      <c r="Y78" s="85"/>
      <c r="Z78" s="85"/>
      <c r="AA78" s="85"/>
      <c r="AB78" s="85"/>
      <c r="AC78" s="85"/>
      <c r="AD78" s="85"/>
    </row>
    <row r="79" spans="1:30" ht="15.75" x14ac:dyDescent="0.25">
      <c r="A79" s="16">
        <v>43313</v>
      </c>
      <c r="B79" s="98">
        <v>31</v>
      </c>
      <c r="C79" s="84">
        <f>194.205</f>
        <v>194.20500000000001</v>
      </c>
      <c r="D79" s="84">
        <f>267.466</f>
        <v>267.46600000000001</v>
      </c>
      <c r="E79" s="93">
        <f>133.845</f>
        <v>133.845</v>
      </c>
      <c r="F79" s="84">
        <f>278.484-40-25-60-100</f>
        <v>53.48399999999998</v>
      </c>
      <c r="G79" s="87">
        <v>40</v>
      </c>
      <c r="H79" s="84">
        <f t="shared" si="10"/>
        <v>185</v>
      </c>
      <c r="I79" s="84">
        <f t="shared" si="8"/>
        <v>0</v>
      </c>
      <c r="J79" s="87">
        <v>100</v>
      </c>
      <c r="K79" s="87">
        <v>300</v>
      </c>
      <c r="L79" s="84">
        <f t="shared" si="0"/>
        <v>1274</v>
      </c>
      <c r="M79" s="95">
        <v>400</v>
      </c>
      <c r="N79" s="84">
        <f>30</f>
        <v>30</v>
      </c>
      <c r="O79" s="87">
        <v>240</v>
      </c>
      <c r="P79" s="87">
        <v>160</v>
      </c>
      <c r="Q79" s="87">
        <f t="shared" si="1"/>
        <v>195</v>
      </c>
      <c r="R79" s="87">
        <f t="shared" si="2"/>
        <v>100</v>
      </c>
      <c r="S79" s="84">
        <f t="shared" si="3"/>
        <v>695</v>
      </c>
      <c r="T79" s="84">
        <f>0</f>
        <v>0</v>
      </c>
      <c r="U79" s="85"/>
      <c r="V79" s="85"/>
      <c r="W79" s="85"/>
      <c r="X79" s="85"/>
      <c r="Y79" s="85"/>
      <c r="Z79" s="85"/>
      <c r="AA79" s="85"/>
      <c r="AB79" s="85"/>
      <c r="AC79" s="85"/>
      <c r="AD79" s="85"/>
    </row>
    <row r="80" spans="1:30" ht="15.75" x14ac:dyDescent="0.25">
      <c r="A80" s="16">
        <v>43344</v>
      </c>
      <c r="B80" s="98">
        <v>30</v>
      </c>
      <c r="C80" s="84">
        <f>194.205</f>
        <v>194.20500000000001</v>
      </c>
      <c r="D80" s="84">
        <f>267.466</f>
        <v>267.46600000000001</v>
      </c>
      <c r="E80" s="93">
        <f>133.845</f>
        <v>133.845</v>
      </c>
      <c r="F80" s="84">
        <f>278.484-40-25-60-100</f>
        <v>53.48399999999998</v>
      </c>
      <c r="G80" s="87">
        <v>40</v>
      </c>
      <c r="H80" s="84">
        <f t="shared" si="10"/>
        <v>185</v>
      </c>
      <c r="I80" s="84">
        <f t="shared" si="8"/>
        <v>0</v>
      </c>
      <c r="J80" s="87">
        <v>100</v>
      </c>
      <c r="K80" s="87">
        <v>300</v>
      </c>
      <c r="L80" s="84">
        <f t="shared" si="0"/>
        <v>1274</v>
      </c>
      <c r="M80" s="95">
        <v>400</v>
      </c>
      <c r="N80" s="84">
        <f>30</f>
        <v>30</v>
      </c>
      <c r="O80" s="87">
        <v>240</v>
      </c>
      <c r="P80" s="87">
        <v>160</v>
      </c>
      <c r="Q80" s="87">
        <f t="shared" si="1"/>
        <v>195</v>
      </c>
      <c r="R80" s="87">
        <f t="shared" si="2"/>
        <v>100</v>
      </c>
      <c r="S80" s="84">
        <f t="shared" si="3"/>
        <v>695</v>
      </c>
      <c r="T80" s="84">
        <f>0</f>
        <v>0</v>
      </c>
      <c r="U80" s="85"/>
      <c r="V80" s="85"/>
      <c r="W80" s="85"/>
      <c r="X80" s="85"/>
      <c r="Y80" s="85"/>
      <c r="Z80" s="85"/>
      <c r="AA80" s="85"/>
      <c r="AB80" s="85"/>
      <c r="AC80" s="85"/>
      <c r="AD80" s="85"/>
    </row>
    <row r="81" spans="1:30" ht="15.75" x14ac:dyDescent="0.25">
      <c r="A81" s="16">
        <v>43374</v>
      </c>
      <c r="B81" s="98">
        <v>31</v>
      </c>
      <c r="C81" s="84">
        <f>131.881</f>
        <v>131.881</v>
      </c>
      <c r="D81" s="84">
        <f>277.167</f>
        <v>277.16699999999997</v>
      </c>
      <c r="E81" s="93">
        <f>79.08</f>
        <v>79.08</v>
      </c>
      <c r="F81" s="84">
        <f>350.872-40-25-60-100</f>
        <v>125.87200000000001</v>
      </c>
      <c r="G81" s="87">
        <v>40</v>
      </c>
      <c r="H81" s="84">
        <f t="shared" si="10"/>
        <v>185</v>
      </c>
      <c r="I81" s="84">
        <f t="shared" si="8"/>
        <v>0</v>
      </c>
      <c r="J81" s="87">
        <v>100</v>
      </c>
      <c r="K81" s="87">
        <v>300</v>
      </c>
      <c r="L81" s="84">
        <f t="shared" si="0"/>
        <v>1239</v>
      </c>
      <c r="M81" s="95">
        <v>400</v>
      </c>
      <c r="N81" s="84">
        <f>75</f>
        <v>75</v>
      </c>
      <c r="O81" s="87">
        <v>240</v>
      </c>
      <c r="P81" s="87">
        <v>160</v>
      </c>
      <c r="Q81" s="87">
        <f t="shared" si="1"/>
        <v>195</v>
      </c>
      <c r="R81" s="87">
        <f t="shared" si="2"/>
        <v>100</v>
      </c>
      <c r="S81" s="84">
        <f t="shared" si="3"/>
        <v>695</v>
      </c>
      <c r="T81" s="84">
        <f>0</f>
        <v>0</v>
      </c>
      <c r="U81" s="85"/>
      <c r="V81" s="85"/>
      <c r="W81" s="85"/>
      <c r="X81" s="85"/>
      <c r="Y81" s="85"/>
      <c r="Z81" s="85"/>
      <c r="AA81" s="85"/>
      <c r="AB81" s="85"/>
      <c r="AC81" s="85"/>
      <c r="AD81" s="85"/>
    </row>
    <row r="82" spans="1:30" ht="15.75" x14ac:dyDescent="0.25">
      <c r="A82" s="16">
        <v>43405</v>
      </c>
      <c r="B82" s="98">
        <v>30</v>
      </c>
      <c r="C82" s="84">
        <f>122.58</f>
        <v>122.58</v>
      </c>
      <c r="D82" s="84">
        <f>297.941</f>
        <v>297.94099999999997</v>
      </c>
      <c r="E82" s="93">
        <f>89.177</f>
        <v>89.177000000000007</v>
      </c>
      <c r="F82" s="84">
        <f>240.302-40-60-100</f>
        <v>40.301999999999992</v>
      </c>
      <c r="G82" s="87">
        <v>40</v>
      </c>
      <c r="H82" s="84">
        <f>60+100</f>
        <v>160</v>
      </c>
      <c r="I82" s="84">
        <f t="shared" si="8"/>
        <v>0</v>
      </c>
      <c r="J82" s="87">
        <v>100</v>
      </c>
      <c r="K82" s="87">
        <v>300</v>
      </c>
      <c r="L82" s="84">
        <f t="shared" si="0"/>
        <v>1150</v>
      </c>
      <c r="M82" s="95">
        <v>400</v>
      </c>
      <c r="N82" s="84">
        <f>100</f>
        <v>100</v>
      </c>
      <c r="O82" s="87">
        <v>240</v>
      </c>
      <c r="P82" s="87">
        <v>40</v>
      </c>
      <c r="Q82" s="87">
        <f t="shared" si="1"/>
        <v>315</v>
      </c>
      <c r="R82" s="87">
        <f t="shared" si="2"/>
        <v>100</v>
      </c>
      <c r="S82" s="84">
        <f t="shared" si="3"/>
        <v>695</v>
      </c>
      <c r="T82" s="84">
        <f>50</f>
        <v>50</v>
      </c>
      <c r="U82" s="85"/>
      <c r="V82" s="85"/>
      <c r="W82" s="85"/>
      <c r="X82" s="85"/>
      <c r="Y82" s="85"/>
      <c r="Z82" s="85"/>
      <c r="AA82" s="85"/>
      <c r="AB82" s="85"/>
      <c r="AC82" s="85"/>
      <c r="AD82" s="85"/>
    </row>
    <row r="83" spans="1:30" ht="15.75" x14ac:dyDescent="0.25">
      <c r="A83" s="16">
        <v>43435</v>
      </c>
      <c r="B83" s="98">
        <v>31</v>
      </c>
      <c r="C83" s="84">
        <f>122.58</f>
        <v>122.58</v>
      </c>
      <c r="D83" s="84">
        <f>297.941</f>
        <v>297.94099999999997</v>
      </c>
      <c r="E83" s="93">
        <f>89.177</f>
        <v>89.177000000000007</v>
      </c>
      <c r="F83" s="84">
        <f>240.302-40-60-100</f>
        <v>40.301999999999992</v>
      </c>
      <c r="G83" s="87">
        <v>40</v>
      </c>
      <c r="H83" s="84">
        <f>60+100</f>
        <v>160</v>
      </c>
      <c r="I83" s="84">
        <f t="shared" si="8"/>
        <v>0</v>
      </c>
      <c r="J83" s="87">
        <v>100</v>
      </c>
      <c r="K83" s="87">
        <v>300</v>
      </c>
      <c r="L83" s="84">
        <f t="shared" si="0"/>
        <v>1150</v>
      </c>
      <c r="M83" s="95">
        <v>400</v>
      </c>
      <c r="N83" s="84">
        <f>100</f>
        <v>100</v>
      </c>
      <c r="O83" s="87">
        <v>240</v>
      </c>
      <c r="P83" s="87">
        <v>40</v>
      </c>
      <c r="Q83" s="87">
        <f t="shared" si="1"/>
        <v>315</v>
      </c>
      <c r="R83" s="87">
        <f t="shared" si="2"/>
        <v>100</v>
      </c>
      <c r="S83" s="84">
        <f t="shared" si="3"/>
        <v>695</v>
      </c>
      <c r="T83" s="84">
        <f>50</f>
        <v>50</v>
      </c>
      <c r="U83" s="85"/>
      <c r="V83" s="85"/>
      <c r="W83" s="85"/>
      <c r="X83" s="85"/>
      <c r="Y83" s="85"/>
      <c r="Z83" s="85"/>
      <c r="AA83" s="85"/>
      <c r="AB83" s="85"/>
      <c r="AC83" s="85"/>
      <c r="AD83" s="85"/>
    </row>
    <row r="84" spans="1:30" ht="15.75" x14ac:dyDescent="0.25">
      <c r="A84" s="16">
        <v>43466</v>
      </c>
      <c r="B84" s="98">
        <v>31</v>
      </c>
      <c r="C84" s="84">
        <f>122.58</f>
        <v>122.58</v>
      </c>
      <c r="D84" s="84">
        <f>297.941</f>
        <v>297.94099999999997</v>
      </c>
      <c r="E84" s="93">
        <f>89.177</f>
        <v>89.177000000000007</v>
      </c>
      <c r="F84" s="84">
        <f>240.302-40-60-100</f>
        <v>40.301999999999992</v>
      </c>
      <c r="G84" s="87">
        <v>40</v>
      </c>
      <c r="H84" s="84">
        <f>60+100</f>
        <v>160</v>
      </c>
      <c r="I84" s="84">
        <f t="shared" si="8"/>
        <v>0</v>
      </c>
      <c r="J84" s="87">
        <v>100</v>
      </c>
      <c r="K84" s="87">
        <v>300</v>
      </c>
      <c r="L84" s="84">
        <f t="shared" si="0"/>
        <v>1150</v>
      </c>
      <c r="M84" s="95">
        <v>400</v>
      </c>
      <c r="N84" s="84">
        <f>100</f>
        <v>100</v>
      </c>
      <c r="O84" s="87">
        <v>240</v>
      </c>
      <c r="P84" s="87">
        <v>40</v>
      </c>
      <c r="Q84" s="87">
        <f t="shared" si="1"/>
        <v>315</v>
      </c>
      <c r="R84" s="87">
        <f t="shared" si="2"/>
        <v>100</v>
      </c>
      <c r="S84" s="84">
        <f t="shared" si="3"/>
        <v>695</v>
      </c>
      <c r="T84" s="84">
        <f>50</f>
        <v>50</v>
      </c>
      <c r="U84" s="85"/>
      <c r="V84" s="85"/>
      <c r="W84" s="85"/>
      <c r="X84" s="85"/>
      <c r="Y84" s="85"/>
      <c r="Z84" s="85"/>
      <c r="AA84" s="85"/>
      <c r="AB84" s="85"/>
      <c r="AC84" s="85"/>
      <c r="AD84" s="85"/>
    </row>
    <row r="85" spans="1:30" ht="15.75" x14ac:dyDescent="0.25">
      <c r="A85" s="16">
        <v>43497</v>
      </c>
      <c r="B85" s="98">
        <v>28</v>
      </c>
      <c r="C85" s="84">
        <f>122.58</f>
        <v>122.58</v>
      </c>
      <c r="D85" s="84">
        <f>297.941</f>
        <v>297.94099999999997</v>
      </c>
      <c r="E85" s="93">
        <f>89.177</f>
        <v>89.177000000000007</v>
      </c>
      <c r="F85" s="84">
        <f>240.302-40-60-100</f>
        <v>40.301999999999992</v>
      </c>
      <c r="G85" s="87">
        <v>40</v>
      </c>
      <c r="H85" s="84">
        <f>60+100</f>
        <v>160</v>
      </c>
      <c r="I85" s="84">
        <f t="shared" si="8"/>
        <v>0</v>
      </c>
      <c r="J85" s="87">
        <v>100</v>
      </c>
      <c r="K85" s="87">
        <v>300</v>
      </c>
      <c r="L85" s="84">
        <f t="shared" si="0"/>
        <v>1150</v>
      </c>
      <c r="M85" s="95">
        <v>400</v>
      </c>
      <c r="N85" s="84">
        <f>100</f>
        <v>100</v>
      </c>
      <c r="O85" s="87">
        <v>240</v>
      </c>
      <c r="P85" s="87">
        <v>40</v>
      </c>
      <c r="Q85" s="87">
        <f t="shared" si="1"/>
        <v>315</v>
      </c>
      <c r="R85" s="87">
        <f t="shared" si="2"/>
        <v>100</v>
      </c>
      <c r="S85" s="84">
        <f t="shared" si="3"/>
        <v>695</v>
      </c>
      <c r="T85" s="84">
        <f>50</f>
        <v>50</v>
      </c>
      <c r="U85" s="85"/>
      <c r="V85" s="85"/>
      <c r="W85" s="85"/>
      <c r="X85" s="85"/>
      <c r="Y85" s="85"/>
      <c r="Z85" s="85"/>
      <c r="AA85" s="85"/>
      <c r="AB85" s="85"/>
      <c r="AC85" s="85"/>
      <c r="AD85" s="85"/>
    </row>
    <row r="86" spans="1:30" ht="15.75" x14ac:dyDescent="0.25">
      <c r="A86" s="16">
        <v>43525</v>
      </c>
      <c r="B86" s="98">
        <v>31</v>
      </c>
      <c r="C86" s="84">
        <f>122.58</f>
        <v>122.58</v>
      </c>
      <c r="D86" s="84">
        <f>297.941</f>
        <v>297.94099999999997</v>
      </c>
      <c r="E86" s="93">
        <f>89.177</f>
        <v>89.177000000000007</v>
      </c>
      <c r="F86" s="84">
        <f>240.302-40-60-100</f>
        <v>40.301999999999992</v>
      </c>
      <c r="G86" s="87">
        <v>40</v>
      </c>
      <c r="H86" s="84">
        <f>60+100</f>
        <v>160</v>
      </c>
      <c r="I86" s="84">
        <f t="shared" si="8"/>
        <v>0</v>
      </c>
      <c r="J86" s="87">
        <v>100</v>
      </c>
      <c r="K86" s="87">
        <v>300</v>
      </c>
      <c r="L86" s="84">
        <f t="shared" si="0"/>
        <v>1150</v>
      </c>
      <c r="M86" s="95">
        <v>400</v>
      </c>
      <c r="N86" s="84">
        <f>100</f>
        <v>100</v>
      </c>
      <c r="O86" s="87">
        <v>240</v>
      </c>
      <c r="P86" s="87">
        <v>40</v>
      </c>
      <c r="Q86" s="87">
        <f t="shared" si="1"/>
        <v>315</v>
      </c>
      <c r="R86" s="87">
        <f t="shared" si="2"/>
        <v>100</v>
      </c>
      <c r="S86" s="84">
        <f t="shared" si="3"/>
        <v>695</v>
      </c>
      <c r="T86" s="84">
        <f>50</f>
        <v>50</v>
      </c>
      <c r="U86" s="85"/>
      <c r="V86" s="85"/>
      <c r="W86" s="85"/>
      <c r="X86" s="85"/>
      <c r="Y86" s="85"/>
      <c r="Z86" s="85"/>
      <c r="AA86" s="85"/>
      <c r="AB86" s="85"/>
      <c r="AC86" s="85"/>
      <c r="AD86" s="85"/>
    </row>
    <row r="87" spans="1:30" ht="15.75" x14ac:dyDescent="0.25">
      <c r="A87" s="16">
        <v>43556</v>
      </c>
      <c r="B87" s="98">
        <v>30</v>
      </c>
      <c r="C87" s="84">
        <f>141.293</f>
        <v>141.29300000000001</v>
      </c>
      <c r="D87" s="84">
        <f>267.993</f>
        <v>267.99299999999999</v>
      </c>
      <c r="E87" s="93">
        <f>115.016</f>
        <v>115.01600000000001</v>
      </c>
      <c r="F87" s="84">
        <f>314.698-40-25-60-100</f>
        <v>89.697999999999979</v>
      </c>
      <c r="G87" s="87">
        <v>40</v>
      </c>
      <c r="H87" s="84">
        <f t="shared" ref="H87:H93" si="11">25+60+100</f>
        <v>185</v>
      </c>
      <c r="I87" s="84">
        <f t="shared" si="8"/>
        <v>0</v>
      </c>
      <c r="J87" s="87">
        <v>100</v>
      </c>
      <c r="K87" s="87">
        <v>300</v>
      </c>
      <c r="L87" s="84">
        <f t="shared" si="0"/>
        <v>1239</v>
      </c>
      <c r="M87" s="95">
        <v>400</v>
      </c>
      <c r="N87" s="84">
        <f>100</f>
        <v>100</v>
      </c>
      <c r="O87" s="87">
        <v>240</v>
      </c>
      <c r="P87" s="87">
        <v>160</v>
      </c>
      <c r="Q87" s="87">
        <f t="shared" si="1"/>
        <v>195</v>
      </c>
      <c r="R87" s="87">
        <f t="shared" si="2"/>
        <v>100</v>
      </c>
      <c r="S87" s="84">
        <f t="shared" si="3"/>
        <v>695</v>
      </c>
      <c r="T87" s="84">
        <f>50</f>
        <v>50</v>
      </c>
      <c r="U87" s="85"/>
      <c r="V87" s="85"/>
      <c r="W87" s="85"/>
      <c r="X87" s="85"/>
      <c r="Y87" s="85"/>
      <c r="Z87" s="85"/>
      <c r="AA87" s="85"/>
      <c r="AB87" s="85"/>
      <c r="AC87" s="85"/>
      <c r="AD87" s="85"/>
    </row>
    <row r="88" spans="1:30" ht="15.75" x14ac:dyDescent="0.25">
      <c r="A88" s="16">
        <v>43586</v>
      </c>
      <c r="B88" s="98">
        <v>31</v>
      </c>
      <c r="C88" s="84">
        <f>194.205</f>
        <v>194.20500000000001</v>
      </c>
      <c r="D88" s="84">
        <f>267.466</f>
        <v>267.46600000000001</v>
      </c>
      <c r="E88" s="93">
        <f>133.845</f>
        <v>133.845</v>
      </c>
      <c r="F88" s="84">
        <f>278.484-40-25-60-100</f>
        <v>53.48399999999998</v>
      </c>
      <c r="G88" s="87">
        <v>40</v>
      </c>
      <c r="H88" s="84">
        <f t="shared" si="11"/>
        <v>185</v>
      </c>
      <c r="I88" s="84">
        <f t="shared" si="8"/>
        <v>0</v>
      </c>
      <c r="J88" s="87">
        <v>100</v>
      </c>
      <c r="K88" s="87">
        <v>300</v>
      </c>
      <c r="L88" s="84">
        <f t="shared" ref="L88:L151" si="12">SUM(C88:K88)</f>
        <v>1274</v>
      </c>
      <c r="M88" s="95">
        <v>400</v>
      </c>
      <c r="N88" s="84">
        <f>75</f>
        <v>75</v>
      </c>
      <c r="O88" s="87">
        <v>240</v>
      </c>
      <c r="P88" s="87">
        <v>160</v>
      </c>
      <c r="Q88" s="87">
        <f t="shared" ref="Q88:Q151" si="13">695-R88-O88-P88</f>
        <v>195</v>
      </c>
      <c r="R88" s="87">
        <f t="shared" ref="R88:R151" si="14">200-J88</f>
        <v>100</v>
      </c>
      <c r="S88" s="84">
        <f t="shared" ref="S88:S151" si="15">SUM(O88:R88)</f>
        <v>695</v>
      </c>
      <c r="T88" s="84">
        <f>50</f>
        <v>50</v>
      </c>
      <c r="U88" s="85"/>
      <c r="V88" s="85"/>
      <c r="W88" s="85"/>
      <c r="X88" s="85"/>
      <c r="Y88" s="85"/>
      <c r="Z88" s="85"/>
      <c r="AA88" s="85"/>
      <c r="AB88" s="85"/>
      <c r="AC88" s="85"/>
      <c r="AD88" s="85"/>
    </row>
    <row r="89" spans="1:30" ht="15.75" x14ac:dyDescent="0.25">
      <c r="A89" s="16">
        <v>43617</v>
      </c>
      <c r="B89" s="98">
        <v>30</v>
      </c>
      <c r="C89" s="84">
        <f>194.205</f>
        <v>194.20500000000001</v>
      </c>
      <c r="D89" s="84">
        <f>267.466</f>
        <v>267.46600000000001</v>
      </c>
      <c r="E89" s="93">
        <f>133.845</f>
        <v>133.845</v>
      </c>
      <c r="F89" s="84">
        <f>278.484-40-25-60-100</f>
        <v>53.48399999999998</v>
      </c>
      <c r="G89" s="87">
        <v>40</v>
      </c>
      <c r="H89" s="84">
        <f t="shared" si="11"/>
        <v>185</v>
      </c>
      <c r="I89" s="84">
        <f t="shared" si="8"/>
        <v>0</v>
      </c>
      <c r="J89" s="87">
        <v>100</v>
      </c>
      <c r="K89" s="87">
        <v>300</v>
      </c>
      <c r="L89" s="84">
        <f t="shared" si="12"/>
        <v>1274</v>
      </c>
      <c r="M89" s="95">
        <v>400</v>
      </c>
      <c r="N89" s="84">
        <f>30</f>
        <v>30</v>
      </c>
      <c r="O89" s="87">
        <v>240</v>
      </c>
      <c r="P89" s="87">
        <v>160</v>
      </c>
      <c r="Q89" s="87">
        <f t="shared" si="13"/>
        <v>195</v>
      </c>
      <c r="R89" s="87">
        <f t="shared" si="14"/>
        <v>100</v>
      </c>
      <c r="S89" s="84">
        <f t="shared" si="15"/>
        <v>695</v>
      </c>
      <c r="T89" s="84">
        <f>50</f>
        <v>50</v>
      </c>
      <c r="U89" s="85"/>
      <c r="V89" s="85"/>
      <c r="W89" s="85"/>
      <c r="X89" s="85"/>
      <c r="Y89" s="85"/>
      <c r="Z89" s="85"/>
      <c r="AA89" s="85"/>
      <c r="AB89" s="85"/>
      <c r="AC89" s="85"/>
      <c r="AD89" s="85"/>
    </row>
    <row r="90" spans="1:30" ht="15.75" x14ac:dyDescent="0.25">
      <c r="A90" s="16">
        <v>43647</v>
      </c>
      <c r="B90" s="98">
        <v>31</v>
      </c>
      <c r="C90" s="84">
        <f>194.205</f>
        <v>194.20500000000001</v>
      </c>
      <c r="D90" s="84">
        <f>267.466</f>
        <v>267.46600000000001</v>
      </c>
      <c r="E90" s="93">
        <f>133.845</f>
        <v>133.845</v>
      </c>
      <c r="F90" s="84">
        <f>278.484-40-25-60-100</f>
        <v>53.48399999999998</v>
      </c>
      <c r="G90" s="87">
        <v>40</v>
      </c>
      <c r="H90" s="84">
        <f t="shared" si="11"/>
        <v>185</v>
      </c>
      <c r="I90" s="84">
        <f t="shared" si="8"/>
        <v>0</v>
      </c>
      <c r="J90" s="87">
        <v>100</v>
      </c>
      <c r="K90" s="87">
        <v>300</v>
      </c>
      <c r="L90" s="84">
        <f t="shared" si="12"/>
        <v>1274</v>
      </c>
      <c r="M90" s="95">
        <v>400</v>
      </c>
      <c r="N90" s="84">
        <f>30</f>
        <v>30</v>
      </c>
      <c r="O90" s="87">
        <v>240</v>
      </c>
      <c r="P90" s="87">
        <v>160</v>
      </c>
      <c r="Q90" s="87">
        <f t="shared" si="13"/>
        <v>195</v>
      </c>
      <c r="R90" s="87">
        <f t="shared" si="14"/>
        <v>100</v>
      </c>
      <c r="S90" s="84">
        <f t="shared" si="15"/>
        <v>695</v>
      </c>
      <c r="T90" s="84">
        <f>0</f>
        <v>0</v>
      </c>
      <c r="U90" s="85"/>
      <c r="V90" s="85"/>
      <c r="W90" s="85"/>
      <c r="X90" s="85"/>
      <c r="Y90" s="85"/>
      <c r="Z90" s="85"/>
      <c r="AA90" s="85"/>
      <c r="AB90" s="85"/>
      <c r="AC90" s="85"/>
      <c r="AD90" s="85"/>
    </row>
    <row r="91" spans="1:30" ht="15.75" x14ac:dyDescent="0.25">
      <c r="A91" s="16">
        <v>43678</v>
      </c>
      <c r="B91" s="98">
        <v>31</v>
      </c>
      <c r="C91" s="84">
        <f>194.205</f>
        <v>194.20500000000001</v>
      </c>
      <c r="D91" s="84">
        <f>267.466</f>
        <v>267.46600000000001</v>
      </c>
      <c r="E91" s="93">
        <f>133.845</f>
        <v>133.845</v>
      </c>
      <c r="F91" s="84">
        <f>278.484-40-25-60-100</f>
        <v>53.48399999999998</v>
      </c>
      <c r="G91" s="87">
        <v>40</v>
      </c>
      <c r="H91" s="84">
        <f t="shared" si="11"/>
        <v>185</v>
      </c>
      <c r="I91" s="84">
        <f t="shared" si="8"/>
        <v>0</v>
      </c>
      <c r="J91" s="87">
        <v>100</v>
      </c>
      <c r="K91" s="87">
        <v>300</v>
      </c>
      <c r="L91" s="84">
        <f t="shared" si="12"/>
        <v>1274</v>
      </c>
      <c r="M91" s="95">
        <v>400</v>
      </c>
      <c r="N91" s="84">
        <f>30</f>
        <v>30</v>
      </c>
      <c r="O91" s="87">
        <v>240</v>
      </c>
      <c r="P91" s="87">
        <v>160</v>
      </c>
      <c r="Q91" s="87">
        <f t="shared" si="13"/>
        <v>195</v>
      </c>
      <c r="R91" s="87">
        <f t="shared" si="14"/>
        <v>100</v>
      </c>
      <c r="S91" s="84">
        <f t="shared" si="15"/>
        <v>695</v>
      </c>
      <c r="T91" s="84">
        <f>0</f>
        <v>0</v>
      </c>
      <c r="U91" s="85"/>
      <c r="V91" s="85"/>
      <c r="W91" s="85"/>
      <c r="X91" s="85"/>
      <c r="Y91" s="85"/>
      <c r="Z91" s="85"/>
      <c r="AA91" s="85"/>
      <c r="AB91" s="85"/>
      <c r="AC91" s="85"/>
      <c r="AD91" s="85"/>
    </row>
    <row r="92" spans="1:30" ht="15.75" x14ac:dyDescent="0.25">
      <c r="A92" s="16">
        <v>43709</v>
      </c>
      <c r="B92" s="98">
        <v>30</v>
      </c>
      <c r="C92" s="84">
        <f>194.205</f>
        <v>194.20500000000001</v>
      </c>
      <c r="D92" s="84">
        <f>267.466</f>
        <v>267.46600000000001</v>
      </c>
      <c r="E92" s="93">
        <f>133.845</f>
        <v>133.845</v>
      </c>
      <c r="F92" s="84">
        <f>278.484-40-25-60-100</f>
        <v>53.48399999999998</v>
      </c>
      <c r="G92" s="87">
        <v>40</v>
      </c>
      <c r="H92" s="84">
        <f t="shared" si="11"/>
        <v>185</v>
      </c>
      <c r="I92" s="84">
        <f t="shared" si="8"/>
        <v>0</v>
      </c>
      <c r="J92" s="87">
        <v>100</v>
      </c>
      <c r="K92" s="87">
        <v>300</v>
      </c>
      <c r="L92" s="84">
        <f t="shared" si="12"/>
        <v>1274</v>
      </c>
      <c r="M92" s="95">
        <v>400</v>
      </c>
      <c r="N92" s="84">
        <f>30</f>
        <v>30</v>
      </c>
      <c r="O92" s="87">
        <v>240</v>
      </c>
      <c r="P92" s="87">
        <v>160</v>
      </c>
      <c r="Q92" s="87">
        <f t="shared" si="13"/>
        <v>195</v>
      </c>
      <c r="R92" s="87">
        <f t="shared" si="14"/>
        <v>100</v>
      </c>
      <c r="S92" s="84">
        <f t="shared" si="15"/>
        <v>695</v>
      </c>
      <c r="T92" s="84">
        <f>0</f>
        <v>0</v>
      </c>
      <c r="U92" s="85"/>
      <c r="V92" s="85"/>
      <c r="W92" s="85"/>
      <c r="X92" s="85"/>
      <c r="Y92" s="85"/>
      <c r="Z92" s="85"/>
      <c r="AA92" s="85"/>
      <c r="AB92" s="85"/>
      <c r="AC92" s="85"/>
      <c r="AD92" s="85"/>
    </row>
    <row r="93" spans="1:30" ht="15.75" x14ac:dyDescent="0.25">
      <c r="A93" s="16">
        <v>43739</v>
      </c>
      <c r="B93" s="98">
        <v>31</v>
      </c>
      <c r="C93" s="84">
        <f>131.881</f>
        <v>131.881</v>
      </c>
      <c r="D93" s="84">
        <f>277.167</f>
        <v>277.16699999999997</v>
      </c>
      <c r="E93" s="93">
        <f>79.08</f>
        <v>79.08</v>
      </c>
      <c r="F93" s="84">
        <f>350.872-40-25-60-100</f>
        <v>125.87200000000001</v>
      </c>
      <c r="G93" s="87">
        <v>40</v>
      </c>
      <c r="H93" s="84">
        <f t="shared" si="11"/>
        <v>185</v>
      </c>
      <c r="I93" s="84">
        <f t="shared" si="8"/>
        <v>0</v>
      </c>
      <c r="J93" s="87">
        <v>100</v>
      </c>
      <c r="K93" s="87">
        <v>300</v>
      </c>
      <c r="L93" s="84">
        <f t="shared" si="12"/>
        <v>1239</v>
      </c>
      <c r="M93" s="95">
        <v>400</v>
      </c>
      <c r="N93" s="84">
        <f>75</f>
        <v>75</v>
      </c>
      <c r="O93" s="87">
        <v>240</v>
      </c>
      <c r="P93" s="87">
        <v>160</v>
      </c>
      <c r="Q93" s="87">
        <f t="shared" si="13"/>
        <v>195</v>
      </c>
      <c r="R93" s="87">
        <f t="shared" si="14"/>
        <v>100</v>
      </c>
      <c r="S93" s="84">
        <f t="shared" si="15"/>
        <v>695</v>
      </c>
      <c r="T93" s="84">
        <f>0</f>
        <v>0</v>
      </c>
      <c r="U93" s="85"/>
      <c r="V93" s="85"/>
      <c r="W93" s="85"/>
      <c r="X93" s="85"/>
      <c r="Y93" s="85"/>
      <c r="Z93" s="85"/>
      <c r="AA93" s="85"/>
      <c r="AB93" s="85"/>
      <c r="AC93" s="85"/>
      <c r="AD93" s="85"/>
    </row>
    <row r="94" spans="1:30" ht="15.75" x14ac:dyDescent="0.25">
      <c r="A94" s="16">
        <v>43770</v>
      </c>
      <c r="B94" s="98">
        <v>30</v>
      </c>
      <c r="C94" s="84">
        <f>122.58</f>
        <v>122.58</v>
      </c>
      <c r="D94" s="84">
        <f>297.941</f>
        <v>297.94099999999997</v>
      </c>
      <c r="E94" s="93">
        <f>89.177</f>
        <v>89.177000000000007</v>
      </c>
      <c r="F94" s="84">
        <f>240.302-40-60-100</f>
        <v>40.301999999999992</v>
      </c>
      <c r="G94" s="87">
        <v>40</v>
      </c>
      <c r="H94" s="84">
        <f>60+100</f>
        <v>160</v>
      </c>
      <c r="I94" s="84">
        <f t="shared" si="8"/>
        <v>0</v>
      </c>
      <c r="J94" s="87">
        <v>100</v>
      </c>
      <c r="K94" s="87">
        <v>300</v>
      </c>
      <c r="L94" s="84">
        <f t="shared" si="12"/>
        <v>1150</v>
      </c>
      <c r="M94" s="95">
        <v>400</v>
      </c>
      <c r="N94" s="84">
        <f>100</f>
        <v>100</v>
      </c>
      <c r="O94" s="87">
        <v>240</v>
      </c>
      <c r="P94" s="87">
        <v>40</v>
      </c>
      <c r="Q94" s="87">
        <f t="shared" si="13"/>
        <v>315</v>
      </c>
      <c r="R94" s="87">
        <f t="shared" si="14"/>
        <v>100</v>
      </c>
      <c r="S94" s="84">
        <f t="shared" si="15"/>
        <v>695</v>
      </c>
      <c r="T94" s="84">
        <f>50</f>
        <v>50</v>
      </c>
      <c r="U94" s="85"/>
      <c r="V94" s="85"/>
      <c r="W94" s="85"/>
      <c r="X94" s="85"/>
      <c r="Y94" s="85"/>
      <c r="Z94" s="85"/>
      <c r="AA94" s="85"/>
      <c r="AB94" s="85"/>
      <c r="AC94" s="85"/>
      <c r="AD94" s="85"/>
    </row>
    <row r="95" spans="1:30" ht="15.75" x14ac:dyDescent="0.25">
      <c r="A95" s="16">
        <v>43800</v>
      </c>
      <c r="B95" s="98">
        <v>31</v>
      </c>
      <c r="C95" s="84">
        <f>122.58</f>
        <v>122.58</v>
      </c>
      <c r="D95" s="84">
        <f>297.941</f>
        <v>297.94099999999997</v>
      </c>
      <c r="E95" s="93">
        <f>89.177</f>
        <v>89.177000000000007</v>
      </c>
      <c r="F95" s="84">
        <f>240.302-40-60-100</f>
        <v>40.301999999999992</v>
      </c>
      <c r="G95" s="87">
        <v>40</v>
      </c>
      <c r="H95" s="84">
        <f>60+100</f>
        <v>160</v>
      </c>
      <c r="I95" s="84">
        <f t="shared" si="8"/>
        <v>0</v>
      </c>
      <c r="J95" s="87">
        <v>100</v>
      </c>
      <c r="K95" s="87">
        <v>300</v>
      </c>
      <c r="L95" s="84">
        <f t="shared" si="12"/>
        <v>1150</v>
      </c>
      <c r="M95" s="95">
        <v>400</v>
      </c>
      <c r="N95" s="84">
        <f>100</f>
        <v>100</v>
      </c>
      <c r="O95" s="87">
        <v>240</v>
      </c>
      <c r="P95" s="87">
        <v>40</v>
      </c>
      <c r="Q95" s="87">
        <f t="shared" si="13"/>
        <v>315</v>
      </c>
      <c r="R95" s="87">
        <f t="shared" si="14"/>
        <v>100</v>
      </c>
      <c r="S95" s="84">
        <f t="shared" si="15"/>
        <v>695</v>
      </c>
      <c r="T95" s="84">
        <f>50</f>
        <v>50</v>
      </c>
      <c r="U95" s="85"/>
      <c r="V95" s="85"/>
      <c r="W95" s="85"/>
      <c r="X95" s="85"/>
      <c r="Y95" s="85"/>
      <c r="Z95" s="85"/>
      <c r="AA95" s="85"/>
      <c r="AB95" s="85"/>
      <c r="AC95" s="85"/>
      <c r="AD95" s="85"/>
    </row>
    <row r="96" spans="1:30" ht="15.75" x14ac:dyDescent="0.25">
      <c r="A96" s="16">
        <v>43831</v>
      </c>
      <c r="B96" s="98">
        <v>31</v>
      </c>
      <c r="C96" s="84">
        <f>122.58</f>
        <v>122.58</v>
      </c>
      <c r="D96" s="84">
        <f>297.941</f>
        <v>297.94099999999997</v>
      </c>
      <c r="E96" s="93">
        <f>89.177</f>
        <v>89.177000000000007</v>
      </c>
      <c r="F96" s="84">
        <f>240.302-40-60-100</f>
        <v>40.301999999999992</v>
      </c>
      <c r="G96" s="87">
        <v>40</v>
      </c>
      <c r="H96" s="84">
        <f>60+100</f>
        <v>160</v>
      </c>
      <c r="I96" s="84">
        <f t="shared" si="8"/>
        <v>0</v>
      </c>
      <c r="J96" s="87">
        <v>100</v>
      </c>
      <c r="K96" s="87">
        <v>300</v>
      </c>
      <c r="L96" s="84">
        <f t="shared" si="12"/>
        <v>1150</v>
      </c>
      <c r="M96" s="95">
        <v>400</v>
      </c>
      <c r="N96" s="84">
        <f>100</f>
        <v>100</v>
      </c>
      <c r="O96" s="87">
        <v>240</v>
      </c>
      <c r="P96" s="87">
        <v>40</v>
      </c>
      <c r="Q96" s="87">
        <f t="shared" si="13"/>
        <v>315</v>
      </c>
      <c r="R96" s="87">
        <f t="shared" si="14"/>
        <v>100</v>
      </c>
      <c r="S96" s="84">
        <f t="shared" si="15"/>
        <v>695</v>
      </c>
      <c r="T96" s="84">
        <f>50</f>
        <v>50</v>
      </c>
      <c r="U96" s="85"/>
      <c r="V96" s="85"/>
      <c r="W96" s="85"/>
      <c r="X96" s="85"/>
      <c r="Y96" s="85"/>
      <c r="Z96" s="85"/>
      <c r="AA96" s="85"/>
      <c r="AB96" s="85"/>
      <c r="AC96" s="85"/>
      <c r="AD96" s="85"/>
    </row>
    <row r="97" spans="1:30" ht="15.75" x14ac:dyDescent="0.25">
      <c r="A97" s="16">
        <v>43862</v>
      </c>
      <c r="B97" s="98">
        <v>29</v>
      </c>
      <c r="C97" s="84">
        <f>122.58</f>
        <v>122.58</v>
      </c>
      <c r="D97" s="84">
        <f>297.941</f>
        <v>297.94099999999997</v>
      </c>
      <c r="E97" s="93">
        <f>89.177</f>
        <v>89.177000000000007</v>
      </c>
      <c r="F97" s="84">
        <f>240.302-40-60-100</f>
        <v>40.301999999999992</v>
      </c>
      <c r="G97" s="87">
        <v>40</v>
      </c>
      <c r="H97" s="84">
        <f>60+100</f>
        <v>160</v>
      </c>
      <c r="I97" s="84">
        <f t="shared" si="8"/>
        <v>0</v>
      </c>
      <c r="J97" s="87">
        <v>100</v>
      </c>
      <c r="K97" s="87">
        <v>300</v>
      </c>
      <c r="L97" s="84">
        <f t="shared" si="12"/>
        <v>1150</v>
      </c>
      <c r="M97" s="95">
        <v>400</v>
      </c>
      <c r="N97" s="84">
        <f>100</f>
        <v>100</v>
      </c>
      <c r="O97" s="87">
        <v>240</v>
      </c>
      <c r="P97" s="87">
        <v>40</v>
      </c>
      <c r="Q97" s="87">
        <f t="shared" si="13"/>
        <v>315</v>
      </c>
      <c r="R97" s="87">
        <f t="shared" si="14"/>
        <v>100</v>
      </c>
      <c r="S97" s="84">
        <f t="shared" si="15"/>
        <v>695</v>
      </c>
      <c r="T97" s="84">
        <f>50</f>
        <v>50</v>
      </c>
      <c r="U97" s="85"/>
      <c r="V97" s="85"/>
      <c r="W97" s="85"/>
      <c r="X97" s="85"/>
      <c r="Y97" s="85"/>
      <c r="Z97" s="85"/>
      <c r="AA97" s="85"/>
      <c r="AB97" s="85"/>
      <c r="AC97" s="85"/>
      <c r="AD97" s="85"/>
    </row>
    <row r="98" spans="1:30" ht="15.75" x14ac:dyDescent="0.25">
      <c r="A98" s="16">
        <v>43891</v>
      </c>
      <c r="B98" s="98">
        <v>31</v>
      </c>
      <c r="C98" s="84">
        <f>122.58</f>
        <v>122.58</v>
      </c>
      <c r="D98" s="84">
        <f>297.941</f>
        <v>297.94099999999997</v>
      </c>
      <c r="E98" s="93">
        <f>89.177</f>
        <v>89.177000000000007</v>
      </c>
      <c r="F98" s="84">
        <f>240.302-40-60-100</f>
        <v>40.301999999999992</v>
      </c>
      <c r="G98" s="87">
        <v>40</v>
      </c>
      <c r="H98" s="84">
        <f>60+100</f>
        <v>160</v>
      </c>
      <c r="I98" s="84">
        <f t="shared" si="8"/>
        <v>0</v>
      </c>
      <c r="J98" s="87">
        <v>100</v>
      </c>
      <c r="K98" s="87">
        <v>300</v>
      </c>
      <c r="L98" s="84">
        <f t="shared" si="12"/>
        <v>1150</v>
      </c>
      <c r="M98" s="95">
        <v>400</v>
      </c>
      <c r="N98" s="84">
        <f>100</f>
        <v>100</v>
      </c>
      <c r="O98" s="87">
        <v>240</v>
      </c>
      <c r="P98" s="87">
        <v>40</v>
      </c>
      <c r="Q98" s="87">
        <f t="shared" si="13"/>
        <v>315</v>
      </c>
      <c r="R98" s="87">
        <f t="shared" si="14"/>
        <v>100</v>
      </c>
      <c r="S98" s="84">
        <f t="shared" si="15"/>
        <v>695</v>
      </c>
      <c r="T98" s="84">
        <f>50</f>
        <v>50</v>
      </c>
      <c r="U98" s="85"/>
      <c r="V98" s="85"/>
      <c r="W98" s="85"/>
      <c r="X98" s="85"/>
      <c r="Y98" s="85"/>
      <c r="Z98" s="85"/>
      <c r="AA98" s="85"/>
      <c r="AB98" s="85"/>
      <c r="AC98" s="85"/>
      <c r="AD98" s="85"/>
    </row>
    <row r="99" spans="1:30" ht="15.75" x14ac:dyDescent="0.25">
      <c r="A99" s="16">
        <v>43922</v>
      </c>
      <c r="B99" s="98">
        <v>30</v>
      </c>
      <c r="C99" s="84">
        <f>141.293</f>
        <v>141.29300000000001</v>
      </c>
      <c r="D99" s="84">
        <f>267.993</f>
        <v>267.99299999999999</v>
      </c>
      <c r="E99" s="93">
        <f>115.016</f>
        <v>115.01600000000001</v>
      </c>
      <c r="F99" s="84">
        <f>314.698-40-25-60-100</f>
        <v>89.697999999999979</v>
      </c>
      <c r="G99" s="87">
        <v>40</v>
      </c>
      <c r="H99" s="84">
        <f t="shared" ref="H99:H105" si="16">25+60+100</f>
        <v>185</v>
      </c>
      <c r="I99" s="84">
        <f t="shared" si="8"/>
        <v>0</v>
      </c>
      <c r="J99" s="87">
        <v>100</v>
      </c>
      <c r="K99" s="87">
        <v>300</v>
      </c>
      <c r="L99" s="84">
        <f t="shared" si="12"/>
        <v>1239</v>
      </c>
      <c r="M99" s="95">
        <v>400</v>
      </c>
      <c r="N99" s="84">
        <f>100</f>
        <v>100</v>
      </c>
      <c r="O99" s="87">
        <v>240</v>
      </c>
      <c r="P99" s="87">
        <v>160</v>
      </c>
      <c r="Q99" s="87">
        <f t="shared" si="13"/>
        <v>195</v>
      </c>
      <c r="R99" s="87">
        <f t="shared" si="14"/>
        <v>100</v>
      </c>
      <c r="S99" s="84">
        <f t="shared" si="15"/>
        <v>695</v>
      </c>
      <c r="T99" s="84">
        <f>50</f>
        <v>50</v>
      </c>
      <c r="U99" s="85"/>
      <c r="V99" s="85"/>
      <c r="W99" s="85"/>
      <c r="X99" s="85"/>
      <c r="Y99" s="85"/>
      <c r="Z99" s="85"/>
      <c r="AA99" s="85"/>
      <c r="AB99" s="85"/>
      <c r="AC99" s="85"/>
      <c r="AD99" s="85"/>
    </row>
    <row r="100" spans="1:30" ht="15.75" x14ac:dyDescent="0.25">
      <c r="A100" s="16">
        <v>43952</v>
      </c>
      <c r="B100" s="98">
        <v>31</v>
      </c>
      <c r="C100" s="84">
        <f>194.205</f>
        <v>194.20500000000001</v>
      </c>
      <c r="D100" s="84">
        <f>267.466</f>
        <v>267.46600000000001</v>
      </c>
      <c r="E100" s="93">
        <f>133.845</f>
        <v>133.845</v>
      </c>
      <c r="F100" s="84">
        <f>278.484-40-25-60-100</f>
        <v>53.48399999999998</v>
      </c>
      <c r="G100" s="87">
        <v>40</v>
      </c>
      <c r="H100" s="84">
        <f t="shared" si="16"/>
        <v>185</v>
      </c>
      <c r="I100" s="84">
        <f t="shared" si="8"/>
        <v>0</v>
      </c>
      <c r="J100" s="87">
        <v>100</v>
      </c>
      <c r="K100" s="87">
        <v>300</v>
      </c>
      <c r="L100" s="84">
        <f t="shared" si="12"/>
        <v>1274</v>
      </c>
      <c r="M100" s="95">
        <v>600</v>
      </c>
      <c r="N100" s="84">
        <f>75</f>
        <v>75</v>
      </c>
      <c r="O100" s="87">
        <v>240</v>
      </c>
      <c r="P100" s="87">
        <v>160</v>
      </c>
      <c r="Q100" s="87">
        <f t="shared" si="13"/>
        <v>195</v>
      </c>
      <c r="R100" s="87">
        <f t="shared" si="14"/>
        <v>100</v>
      </c>
      <c r="S100" s="84">
        <f t="shared" si="15"/>
        <v>695</v>
      </c>
      <c r="T100" s="84">
        <f>50</f>
        <v>50</v>
      </c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</row>
    <row r="101" spans="1:30" ht="15.75" x14ac:dyDescent="0.25">
      <c r="A101" s="16">
        <v>43983</v>
      </c>
      <c r="B101" s="98">
        <v>30</v>
      </c>
      <c r="C101" s="84">
        <f>194.205</f>
        <v>194.20500000000001</v>
      </c>
      <c r="D101" s="84">
        <f>267.466</f>
        <v>267.46600000000001</v>
      </c>
      <c r="E101" s="93">
        <f>133.845</f>
        <v>133.845</v>
      </c>
      <c r="F101" s="84">
        <f>278.484-40-25-60-100</f>
        <v>53.48399999999998</v>
      </c>
      <c r="G101" s="87">
        <v>40</v>
      </c>
      <c r="H101" s="84">
        <f t="shared" si="16"/>
        <v>185</v>
      </c>
      <c r="I101" s="84">
        <f t="shared" si="8"/>
        <v>0</v>
      </c>
      <c r="J101" s="87">
        <v>100</v>
      </c>
      <c r="K101" s="87">
        <v>300</v>
      </c>
      <c r="L101" s="84">
        <f t="shared" si="12"/>
        <v>1274</v>
      </c>
      <c r="M101" s="95">
        <v>600</v>
      </c>
      <c r="N101" s="84">
        <f>30</f>
        <v>30</v>
      </c>
      <c r="O101" s="87">
        <v>240</v>
      </c>
      <c r="P101" s="87">
        <v>160</v>
      </c>
      <c r="Q101" s="87">
        <f t="shared" si="13"/>
        <v>195</v>
      </c>
      <c r="R101" s="87">
        <f t="shared" si="14"/>
        <v>100</v>
      </c>
      <c r="S101" s="84">
        <f t="shared" si="15"/>
        <v>695</v>
      </c>
      <c r="T101" s="84">
        <f>50</f>
        <v>50</v>
      </c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</row>
    <row r="102" spans="1:30" ht="15.75" x14ac:dyDescent="0.25">
      <c r="A102" s="16">
        <v>44013</v>
      </c>
      <c r="B102" s="98">
        <v>31</v>
      </c>
      <c r="C102" s="84">
        <f>194.205</f>
        <v>194.20500000000001</v>
      </c>
      <c r="D102" s="84">
        <f>267.466</f>
        <v>267.46600000000001</v>
      </c>
      <c r="E102" s="93">
        <f>133.845</f>
        <v>133.845</v>
      </c>
      <c r="F102" s="84">
        <f>278.484-40-25-60-100</f>
        <v>53.48399999999998</v>
      </c>
      <c r="G102" s="87">
        <v>40</v>
      </c>
      <c r="H102" s="84">
        <f t="shared" si="16"/>
        <v>185</v>
      </c>
      <c r="I102" s="84">
        <f t="shared" si="8"/>
        <v>0</v>
      </c>
      <c r="J102" s="87">
        <v>100</v>
      </c>
      <c r="K102" s="87">
        <v>300</v>
      </c>
      <c r="L102" s="84">
        <f t="shared" si="12"/>
        <v>1274</v>
      </c>
      <c r="M102" s="95">
        <v>600</v>
      </c>
      <c r="N102" s="84">
        <f>30</f>
        <v>30</v>
      </c>
      <c r="O102" s="87">
        <v>240</v>
      </c>
      <c r="P102" s="87">
        <v>160</v>
      </c>
      <c r="Q102" s="87">
        <f t="shared" si="13"/>
        <v>195</v>
      </c>
      <c r="R102" s="87">
        <f t="shared" si="14"/>
        <v>100</v>
      </c>
      <c r="S102" s="84">
        <f t="shared" si="15"/>
        <v>695</v>
      </c>
      <c r="T102" s="84">
        <f>0</f>
        <v>0</v>
      </c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</row>
    <row r="103" spans="1:30" ht="15.75" x14ac:dyDescent="0.25">
      <c r="A103" s="16">
        <v>44044</v>
      </c>
      <c r="B103" s="98">
        <v>31</v>
      </c>
      <c r="C103" s="84">
        <f>194.205</f>
        <v>194.20500000000001</v>
      </c>
      <c r="D103" s="84">
        <f>267.466</f>
        <v>267.46600000000001</v>
      </c>
      <c r="E103" s="93">
        <f>133.845</f>
        <v>133.845</v>
      </c>
      <c r="F103" s="84">
        <f>278.484-40-25-60-100</f>
        <v>53.48399999999998</v>
      </c>
      <c r="G103" s="87">
        <v>40</v>
      </c>
      <c r="H103" s="84">
        <f t="shared" si="16"/>
        <v>185</v>
      </c>
      <c r="I103" s="84">
        <f t="shared" si="8"/>
        <v>0</v>
      </c>
      <c r="J103" s="87">
        <v>100</v>
      </c>
      <c r="K103" s="87">
        <v>300</v>
      </c>
      <c r="L103" s="84">
        <f t="shared" si="12"/>
        <v>1274</v>
      </c>
      <c r="M103" s="95">
        <v>600</v>
      </c>
      <c r="N103" s="84">
        <f>30</f>
        <v>30</v>
      </c>
      <c r="O103" s="87">
        <v>240</v>
      </c>
      <c r="P103" s="87">
        <v>160</v>
      </c>
      <c r="Q103" s="87">
        <f t="shared" si="13"/>
        <v>195</v>
      </c>
      <c r="R103" s="87">
        <f t="shared" si="14"/>
        <v>100</v>
      </c>
      <c r="S103" s="84">
        <f t="shared" si="15"/>
        <v>695</v>
      </c>
      <c r="T103" s="84">
        <f>0</f>
        <v>0</v>
      </c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</row>
    <row r="104" spans="1:30" ht="15.75" x14ac:dyDescent="0.25">
      <c r="A104" s="16">
        <v>44075</v>
      </c>
      <c r="B104" s="98">
        <v>30</v>
      </c>
      <c r="C104" s="84">
        <f>194.205</f>
        <v>194.20500000000001</v>
      </c>
      <c r="D104" s="84">
        <f>267.466</f>
        <v>267.46600000000001</v>
      </c>
      <c r="E104" s="93">
        <f>133.845</f>
        <v>133.845</v>
      </c>
      <c r="F104" s="84">
        <f>278.484-40-25-60-100</f>
        <v>53.48399999999998</v>
      </c>
      <c r="G104" s="87">
        <v>40</v>
      </c>
      <c r="H104" s="84">
        <f t="shared" si="16"/>
        <v>185</v>
      </c>
      <c r="I104" s="84">
        <f t="shared" si="8"/>
        <v>0</v>
      </c>
      <c r="J104" s="87">
        <v>100</v>
      </c>
      <c r="K104" s="87">
        <v>300</v>
      </c>
      <c r="L104" s="84">
        <f t="shared" si="12"/>
        <v>1274</v>
      </c>
      <c r="M104" s="95">
        <v>600</v>
      </c>
      <c r="N104" s="84">
        <f>30</f>
        <v>30</v>
      </c>
      <c r="O104" s="87">
        <v>240</v>
      </c>
      <c r="P104" s="87">
        <v>160</v>
      </c>
      <c r="Q104" s="87">
        <f t="shared" si="13"/>
        <v>195</v>
      </c>
      <c r="R104" s="87">
        <f t="shared" si="14"/>
        <v>100</v>
      </c>
      <c r="S104" s="84">
        <f t="shared" si="15"/>
        <v>695</v>
      </c>
      <c r="T104" s="84">
        <f>0</f>
        <v>0</v>
      </c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</row>
    <row r="105" spans="1:30" ht="15.75" x14ac:dyDescent="0.25">
      <c r="A105" s="16">
        <v>44105</v>
      </c>
      <c r="B105" s="98">
        <v>31</v>
      </c>
      <c r="C105" s="84">
        <f>131.881</f>
        <v>131.881</v>
      </c>
      <c r="D105" s="84">
        <f>277.167</f>
        <v>277.16699999999997</v>
      </c>
      <c r="E105" s="93">
        <f>79.08</f>
        <v>79.08</v>
      </c>
      <c r="F105" s="84">
        <f>350.872-40-25-60-100</f>
        <v>125.87200000000001</v>
      </c>
      <c r="G105" s="87">
        <v>40</v>
      </c>
      <c r="H105" s="84">
        <f t="shared" si="16"/>
        <v>185</v>
      </c>
      <c r="I105" s="84">
        <f t="shared" si="8"/>
        <v>0</v>
      </c>
      <c r="J105" s="87">
        <v>100</v>
      </c>
      <c r="K105" s="87">
        <v>300</v>
      </c>
      <c r="L105" s="84">
        <f t="shared" si="12"/>
        <v>1239</v>
      </c>
      <c r="M105" s="95">
        <v>600</v>
      </c>
      <c r="N105" s="84">
        <f>75</f>
        <v>75</v>
      </c>
      <c r="O105" s="87">
        <v>240</v>
      </c>
      <c r="P105" s="87">
        <v>160</v>
      </c>
      <c r="Q105" s="87">
        <f t="shared" si="13"/>
        <v>195</v>
      </c>
      <c r="R105" s="87">
        <f t="shared" si="14"/>
        <v>100</v>
      </c>
      <c r="S105" s="84">
        <f t="shared" si="15"/>
        <v>695</v>
      </c>
      <c r="T105" s="84">
        <f>0</f>
        <v>0</v>
      </c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</row>
    <row r="106" spans="1:30" ht="15.75" x14ac:dyDescent="0.25">
      <c r="A106" s="16">
        <v>44136</v>
      </c>
      <c r="B106" s="98">
        <v>30</v>
      </c>
      <c r="C106" s="84">
        <f>122.58</f>
        <v>122.58</v>
      </c>
      <c r="D106" s="84">
        <f>297.941</f>
        <v>297.94099999999997</v>
      </c>
      <c r="E106" s="93">
        <f>89.177</f>
        <v>89.177000000000007</v>
      </c>
      <c r="F106" s="84">
        <f>240.302-40-60-100</f>
        <v>40.301999999999992</v>
      </c>
      <c r="G106" s="87">
        <v>40</v>
      </c>
      <c r="H106" s="84">
        <f>60+100</f>
        <v>160</v>
      </c>
      <c r="I106" s="84">
        <f t="shared" si="8"/>
        <v>0</v>
      </c>
      <c r="J106" s="87">
        <v>100</v>
      </c>
      <c r="K106" s="87">
        <v>300</v>
      </c>
      <c r="L106" s="84">
        <f t="shared" si="12"/>
        <v>1150</v>
      </c>
      <c r="M106" s="95">
        <v>600</v>
      </c>
      <c r="N106" s="84">
        <f>100</f>
        <v>100</v>
      </c>
      <c r="O106" s="87">
        <v>240</v>
      </c>
      <c r="P106" s="87">
        <v>40</v>
      </c>
      <c r="Q106" s="87">
        <f t="shared" si="13"/>
        <v>315</v>
      </c>
      <c r="R106" s="87">
        <f t="shared" si="14"/>
        <v>100</v>
      </c>
      <c r="S106" s="84">
        <f t="shared" si="15"/>
        <v>695</v>
      </c>
      <c r="T106" s="84">
        <f>50</f>
        <v>50</v>
      </c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</row>
    <row r="107" spans="1:30" ht="15.75" x14ac:dyDescent="0.25">
      <c r="A107" s="16">
        <v>44166</v>
      </c>
      <c r="B107" s="98">
        <v>31</v>
      </c>
      <c r="C107" s="84">
        <f>122.58</f>
        <v>122.58</v>
      </c>
      <c r="D107" s="84">
        <f>297.941</f>
        <v>297.94099999999997</v>
      </c>
      <c r="E107" s="93">
        <f>89.177</f>
        <v>89.177000000000007</v>
      </c>
      <c r="F107" s="84">
        <f>240.302-40-60-100</f>
        <v>40.301999999999992</v>
      </c>
      <c r="G107" s="87">
        <v>40</v>
      </c>
      <c r="H107" s="84">
        <f>60+100</f>
        <v>160</v>
      </c>
      <c r="I107" s="84">
        <f t="shared" si="8"/>
        <v>0</v>
      </c>
      <c r="J107" s="87">
        <v>100</v>
      </c>
      <c r="K107" s="87">
        <v>300</v>
      </c>
      <c r="L107" s="84">
        <f t="shared" si="12"/>
        <v>1150</v>
      </c>
      <c r="M107" s="95">
        <v>600</v>
      </c>
      <c r="N107" s="84">
        <f>100</f>
        <v>100</v>
      </c>
      <c r="O107" s="87">
        <v>240</v>
      </c>
      <c r="P107" s="87">
        <v>40</v>
      </c>
      <c r="Q107" s="87">
        <f t="shared" si="13"/>
        <v>315</v>
      </c>
      <c r="R107" s="87">
        <f t="shared" si="14"/>
        <v>100</v>
      </c>
      <c r="S107" s="84">
        <f t="shared" si="15"/>
        <v>695</v>
      </c>
      <c r="T107" s="84">
        <f>50</f>
        <v>50</v>
      </c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</row>
    <row r="108" spans="1:30" ht="15.75" x14ac:dyDescent="0.25">
      <c r="A108" s="16">
        <v>44197</v>
      </c>
      <c r="B108" s="98">
        <v>31</v>
      </c>
      <c r="C108" s="84">
        <f>122.58</f>
        <v>122.58</v>
      </c>
      <c r="D108" s="84">
        <f>297.941</f>
        <v>297.94099999999997</v>
      </c>
      <c r="E108" s="93">
        <f>89.177</f>
        <v>89.177000000000007</v>
      </c>
      <c r="F108" s="84">
        <f>240.302-40-60-100</f>
        <v>40.301999999999992</v>
      </c>
      <c r="G108" s="87">
        <v>40</v>
      </c>
      <c r="H108" s="84">
        <f>60+100</f>
        <v>160</v>
      </c>
      <c r="I108" s="84">
        <f t="shared" si="8"/>
        <v>0</v>
      </c>
      <c r="J108" s="87">
        <v>100</v>
      </c>
      <c r="K108" s="87">
        <v>300</v>
      </c>
      <c r="L108" s="84">
        <f t="shared" si="12"/>
        <v>1150</v>
      </c>
      <c r="M108" s="95">
        <v>600</v>
      </c>
      <c r="N108" s="84">
        <f>100</f>
        <v>100</v>
      </c>
      <c r="O108" s="87">
        <v>240</v>
      </c>
      <c r="P108" s="87">
        <v>40</v>
      </c>
      <c r="Q108" s="87">
        <f t="shared" si="13"/>
        <v>315</v>
      </c>
      <c r="R108" s="87">
        <f t="shared" si="14"/>
        <v>100</v>
      </c>
      <c r="S108" s="84">
        <f t="shared" si="15"/>
        <v>695</v>
      </c>
      <c r="T108" s="84">
        <f>50</f>
        <v>50</v>
      </c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</row>
    <row r="109" spans="1:30" ht="15.75" x14ac:dyDescent="0.25">
      <c r="A109" s="16">
        <v>44228</v>
      </c>
      <c r="B109" s="98">
        <v>28</v>
      </c>
      <c r="C109" s="84">
        <f>122.58</f>
        <v>122.58</v>
      </c>
      <c r="D109" s="84">
        <f>297.941</f>
        <v>297.94099999999997</v>
      </c>
      <c r="E109" s="93">
        <f>89.177</f>
        <v>89.177000000000007</v>
      </c>
      <c r="F109" s="84">
        <f>240.302-40-60-100</f>
        <v>40.301999999999992</v>
      </c>
      <c r="G109" s="87">
        <v>40</v>
      </c>
      <c r="H109" s="84">
        <f>60+100</f>
        <v>160</v>
      </c>
      <c r="I109" s="84">
        <f t="shared" si="8"/>
        <v>0</v>
      </c>
      <c r="J109" s="87">
        <v>100</v>
      </c>
      <c r="K109" s="87">
        <v>300</v>
      </c>
      <c r="L109" s="84">
        <f t="shared" si="12"/>
        <v>1150</v>
      </c>
      <c r="M109" s="95">
        <v>600</v>
      </c>
      <c r="N109" s="84">
        <f>100</f>
        <v>100</v>
      </c>
      <c r="O109" s="87">
        <v>240</v>
      </c>
      <c r="P109" s="87">
        <v>40</v>
      </c>
      <c r="Q109" s="87">
        <f t="shared" si="13"/>
        <v>315</v>
      </c>
      <c r="R109" s="87">
        <f t="shared" si="14"/>
        <v>100</v>
      </c>
      <c r="S109" s="84">
        <f t="shared" si="15"/>
        <v>695</v>
      </c>
      <c r="T109" s="84">
        <f>50</f>
        <v>50</v>
      </c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</row>
    <row r="110" spans="1:30" ht="15.75" x14ac:dyDescent="0.25">
      <c r="A110" s="16">
        <v>44256</v>
      </c>
      <c r="B110" s="98">
        <v>31</v>
      </c>
      <c r="C110" s="84">
        <f>122.58</f>
        <v>122.58</v>
      </c>
      <c r="D110" s="84">
        <f>297.941</f>
        <v>297.94099999999997</v>
      </c>
      <c r="E110" s="93">
        <f>89.177</f>
        <v>89.177000000000007</v>
      </c>
      <c r="F110" s="84">
        <f>240.302-40-60-100</f>
        <v>40.301999999999992</v>
      </c>
      <c r="G110" s="87">
        <v>40</v>
      </c>
      <c r="H110" s="84">
        <f>60+100</f>
        <v>160</v>
      </c>
      <c r="I110" s="84">
        <f t="shared" si="8"/>
        <v>0</v>
      </c>
      <c r="J110" s="87">
        <v>100</v>
      </c>
      <c r="K110" s="87">
        <v>300</v>
      </c>
      <c r="L110" s="84">
        <f t="shared" si="12"/>
        <v>1150</v>
      </c>
      <c r="M110" s="95">
        <v>600</v>
      </c>
      <c r="N110" s="84">
        <f>100</f>
        <v>100</v>
      </c>
      <c r="O110" s="87">
        <v>240</v>
      </c>
      <c r="P110" s="87">
        <v>40</v>
      </c>
      <c r="Q110" s="87">
        <f t="shared" si="13"/>
        <v>315</v>
      </c>
      <c r="R110" s="87">
        <f t="shared" si="14"/>
        <v>100</v>
      </c>
      <c r="S110" s="84">
        <f t="shared" si="15"/>
        <v>695</v>
      </c>
      <c r="T110" s="84">
        <f>50</f>
        <v>50</v>
      </c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</row>
    <row r="111" spans="1:30" ht="15.75" x14ac:dyDescent="0.25">
      <c r="A111" s="16">
        <v>44287</v>
      </c>
      <c r="B111" s="98">
        <v>30</v>
      </c>
      <c r="C111" s="84">
        <f>141.293</f>
        <v>141.29300000000001</v>
      </c>
      <c r="D111" s="84">
        <f>267.993</f>
        <v>267.99299999999999</v>
      </c>
      <c r="E111" s="93">
        <f>115.016</f>
        <v>115.01600000000001</v>
      </c>
      <c r="F111" s="84">
        <f>314.698-40-25-60-100</f>
        <v>89.697999999999979</v>
      </c>
      <c r="G111" s="87">
        <v>40</v>
      </c>
      <c r="H111" s="84">
        <f t="shared" ref="H111:H117" si="17">25+60+100</f>
        <v>185</v>
      </c>
      <c r="I111" s="84">
        <f t="shared" si="8"/>
        <v>0</v>
      </c>
      <c r="J111" s="87">
        <v>100</v>
      </c>
      <c r="K111" s="87">
        <v>300</v>
      </c>
      <c r="L111" s="84">
        <f t="shared" si="12"/>
        <v>1239</v>
      </c>
      <c r="M111" s="95">
        <v>600</v>
      </c>
      <c r="N111" s="84">
        <f>100</f>
        <v>100</v>
      </c>
      <c r="O111" s="87">
        <v>240</v>
      </c>
      <c r="P111" s="87">
        <v>160</v>
      </c>
      <c r="Q111" s="87">
        <f t="shared" si="13"/>
        <v>195</v>
      </c>
      <c r="R111" s="87">
        <f t="shared" si="14"/>
        <v>100</v>
      </c>
      <c r="S111" s="84">
        <f t="shared" si="15"/>
        <v>695</v>
      </c>
      <c r="T111" s="84">
        <f>50</f>
        <v>50</v>
      </c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</row>
    <row r="112" spans="1:30" ht="15.75" x14ac:dyDescent="0.25">
      <c r="A112" s="16">
        <v>44317</v>
      </c>
      <c r="B112" s="98">
        <v>31</v>
      </c>
      <c r="C112" s="84">
        <f>194.205</f>
        <v>194.20500000000001</v>
      </c>
      <c r="D112" s="84">
        <f>267.466</f>
        <v>267.46600000000001</v>
      </c>
      <c r="E112" s="93">
        <f>133.845</f>
        <v>133.845</v>
      </c>
      <c r="F112" s="84">
        <f>278.484-40-25-60-100</f>
        <v>53.48399999999998</v>
      </c>
      <c r="G112" s="87">
        <v>40</v>
      </c>
      <c r="H112" s="84">
        <f t="shared" si="17"/>
        <v>185</v>
      </c>
      <c r="I112" s="84">
        <f t="shared" si="8"/>
        <v>0</v>
      </c>
      <c r="J112" s="87">
        <v>100</v>
      </c>
      <c r="K112" s="87">
        <v>300</v>
      </c>
      <c r="L112" s="84">
        <f t="shared" si="12"/>
        <v>1274</v>
      </c>
      <c r="M112" s="95">
        <v>600</v>
      </c>
      <c r="N112" s="84">
        <f>75</f>
        <v>75</v>
      </c>
      <c r="O112" s="87">
        <v>240</v>
      </c>
      <c r="P112" s="87">
        <v>160</v>
      </c>
      <c r="Q112" s="87">
        <f t="shared" si="13"/>
        <v>195</v>
      </c>
      <c r="R112" s="87">
        <f t="shared" si="14"/>
        <v>100</v>
      </c>
      <c r="S112" s="84">
        <f t="shared" si="15"/>
        <v>695</v>
      </c>
      <c r="T112" s="84">
        <f>50</f>
        <v>50</v>
      </c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</row>
    <row r="113" spans="1:30" ht="15.75" x14ac:dyDescent="0.25">
      <c r="A113" s="16">
        <v>44348</v>
      </c>
      <c r="B113" s="98">
        <v>30</v>
      </c>
      <c r="C113" s="84">
        <f>194.205</f>
        <v>194.20500000000001</v>
      </c>
      <c r="D113" s="84">
        <f>267.466</f>
        <v>267.46600000000001</v>
      </c>
      <c r="E113" s="93">
        <f>133.845</f>
        <v>133.845</v>
      </c>
      <c r="F113" s="84">
        <f>278.484-40-25-60-100</f>
        <v>53.48399999999998</v>
      </c>
      <c r="G113" s="87">
        <v>40</v>
      </c>
      <c r="H113" s="84">
        <f t="shared" si="17"/>
        <v>185</v>
      </c>
      <c r="I113" s="84">
        <f t="shared" si="8"/>
        <v>0</v>
      </c>
      <c r="J113" s="87">
        <v>100</v>
      </c>
      <c r="K113" s="87">
        <v>300</v>
      </c>
      <c r="L113" s="84">
        <f t="shared" si="12"/>
        <v>1274</v>
      </c>
      <c r="M113" s="95">
        <v>600</v>
      </c>
      <c r="N113" s="84">
        <f>30</f>
        <v>30</v>
      </c>
      <c r="O113" s="87">
        <v>240</v>
      </c>
      <c r="P113" s="87">
        <v>160</v>
      </c>
      <c r="Q113" s="87">
        <f t="shared" si="13"/>
        <v>195</v>
      </c>
      <c r="R113" s="87">
        <f t="shared" si="14"/>
        <v>100</v>
      </c>
      <c r="S113" s="84">
        <f t="shared" si="15"/>
        <v>695</v>
      </c>
      <c r="T113" s="84">
        <f>50</f>
        <v>50</v>
      </c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</row>
    <row r="114" spans="1:30" ht="15.75" x14ac:dyDescent="0.25">
      <c r="A114" s="16">
        <v>44378</v>
      </c>
      <c r="B114" s="98">
        <v>31</v>
      </c>
      <c r="C114" s="84">
        <f>194.205</f>
        <v>194.20500000000001</v>
      </c>
      <c r="D114" s="84">
        <f>267.466</f>
        <v>267.46600000000001</v>
      </c>
      <c r="E114" s="93">
        <f>133.845</f>
        <v>133.845</v>
      </c>
      <c r="F114" s="84">
        <f>278.484-40-25-60-100</f>
        <v>53.48399999999998</v>
      </c>
      <c r="G114" s="87">
        <v>40</v>
      </c>
      <c r="H114" s="84">
        <f t="shared" si="17"/>
        <v>185</v>
      </c>
      <c r="I114" s="84">
        <f t="shared" si="8"/>
        <v>0</v>
      </c>
      <c r="J114" s="87">
        <v>100</v>
      </c>
      <c r="K114" s="87">
        <v>300</v>
      </c>
      <c r="L114" s="84">
        <f t="shared" si="12"/>
        <v>1274</v>
      </c>
      <c r="M114" s="95">
        <v>600</v>
      </c>
      <c r="N114" s="84">
        <f>30</f>
        <v>30</v>
      </c>
      <c r="O114" s="87">
        <v>240</v>
      </c>
      <c r="P114" s="87">
        <v>160</v>
      </c>
      <c r="Q114" s="87">
        <f t="shared" si="13"/>
        <v>195</v>
      </c>
      <c r="R114" s="87">
        <f t="shared" si="14"/>
        <v>100</v>
      </c>
      <c r="S114" s="84">
        <f t="shared" si="15"/>
        <v>695</v>
      </c>
      <c r="T114" s="84">
        <f>0</f>
        <v>0</v>
      </c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</row>
    <row r="115" spans="1:30" ht="15.75" x14ac:dyDescent="0.25">
      <c r="A115" s="16">
        <v>44409</v>
      </c>
      <c r="B115" s="98">
        <v>31</v>
      </c>
      <c r="C115" s="84">
        <f>194.205</f>
        <v>194.20500000000001</v>
      </c>
      <c r="D115" s="84">
        <f>267.466</f>
        <v>267.46600000000001</v>
      </c>
      <c r="E115" s="93">
        <f>133.845</f>
        <v>133.845</v>
      </c>
      <c r="F115" s="84">
        <f>278.484-40-25-60-100</f>
        <v>53.48399999999998</v>
      </c>
      <c r="G115" s="87">
        <v>40</v>
      </c>
      <c r="H115" s="84">
        <f t="shared" si="17"/>
        <v>185</v>
      </c>
      <c r="I115" s="84">
        <f t="shared" si="8"/>
        <v>0</v>
      </c>
      <c r="J115" s="87">
        <v>100</v>
      </c>
      <c r="K115" s="87">
        <v>300</v>
      </c>
      <c r="L115" s="84">
        <f t="shared" si="12"/>
        <v>1274</v>
      </c>
      <c r="M115" s="95">
        <v>600</v>
      </c>
      <c r="N115" s="84">
        <f>30</f>
        <v>30</v>
      </c>
      <c r="O115" s="87">
        <v>240</v>
      </c>
      <c r="P115" s="87">
        <v>160</v>
      </c>
      <c r="Q115" s="87">
        <f t="shared" si="13"/>
        <v>195</v>
      </c>
      <c r="R115" s="87">
        <f t="shared" si="14"/>
        <v>100</v>
      </c>
      <c r="S115" s="84">
        <f t="shared" si="15"/>
        <v>695</v>
      </c>
      <c r="T115" s="84">
        <f>0</f>
        <v>0</v>
      </c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</row>
    <row r="116" spans="1:30" ht="15.75" x14ac:dyDescent="0.25">
      <c r="A116" s="16">
        <v>44440</v>
      </c>
      <c r="B116" s="98">
        <v>30</v>
      </c>
      <c r="C116" s="84">
        <f>194.205</f>
        <v>194.20500000000001</v>
      </c>
      <c r="D116" s="84">
        <f>267.466</f>
        <v>267.46600000000001</v>
      </c>
      <c r="E116" s="93">
        <f>133.845</f>
        <v>133.845</v>
      </c>
      <c r="F116" s="84">
        <f>278.484-40-25-60-100</f>
        <v>53.48399999999998</v>
      </c>
      <c r="G116" s="87">
        <v>40</v>
      </c>
      <c r="H116" s="84">
        <f t="shared" si="17"/>
        <v>185</v>
      </c>
      <c r="I116" s="84">
        <f t="shared" ref="I116:I179" si="18">400-J116-K116</f>
        <v>0</v>
      </c>
      <c r="J116" s="87">
        <v>100</v>
      </c>
      <c r="K116" s="87">
        <v>300</v>
      </c>
      <c r="L116" s="84">
        <f t="shared" si="12"/>
        <v>1274</v>
      </c>
      <c r="M116" s="95">
        <v>600</v>
      </c>
      <c r="N116" s="84">
        <f>30</f>
        <v>30</v>
      </c>
      <c r="O116" s="87">
        <v>240</v>
      </c>
      <c r="P116" s="87">
        <v>160</v>
      </c>
      <c r="Q116" s="87">
        <f t="shared" si="13"/>
        <v>195</v>
      </c>
      <c r="R116" s="87">
        <f t="shared" si="14"/>
        <v>100</v>
      </c>
      <c r="S116" s="84">
        <f t="shared" si="15"/>
        <v>695</v>
      </c>
      <c r="T116" s="84">
        <f>0</f>
        <v>0</v>
      </c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</row>
    <row r="117" spans="1:30" ht="15.75" x14ac:dyDescent="0.25">
      <c r="A117" s="16">
        <v>44470</v>
      </c>
      <c r="B117" s="98">
        <v>31</v>
      </c>
      <c r="C117" s="84">
        <f>131.881</f>
        <v>131.881</v>
      </c>
      <c r="D117" s="84">
        <f>277.167</f>
        <v>277.16699999999997</v>
      </c>
      <c r="E117" s="93">
        <f>79.08</f>
        <v>79.08</v>
      </c>
      <c r="F117" s="84">
        <f>350.872-40-25-60-100</f>
        <v>125.87200000000001</v>
      </c>
      <c r="G117" s="87">
        <v>40</v>
      </c>
      <c r="H117" s="84">
        <f t="shared" si="17"/>
        <v>185</v>
      </c>
      <c r="I117" s="84">
        <f t="shared" si="18"/>
        <v>0</v>
      </c>
      <c r="J117" s="87">
        <v>100</v>
      </c>
      <c r="K117" s="87">
        <v>300</v>
      </c>
      <c r="L117" s="84">
        <f t="shared" si="12"/>
        <v>1239</v>
      </c>
      <c r="M117" s="95">
        <v>600</v>
      </c>
      <c r="N117" s="84">
        <f>75</f>
        <v>75</v>
      </c>
      <c r="O117" s="87">
        <v>240</v>
      </c>
      <c r="P117" s="87">
        <v>160</v>
      </c>
      <c r="Q117" s="87">
        <f t="shared" si="13"/>
        <v>195</v>
      </c>
      <c r="R117" s="87">
        <f t="shared" si="14"/>
        <v>100</v>
      </c>
      <c r="S117" s="84">
        <f t="shared" si="15"/>
        <v>695</v>
      </c>
      <c r="T117" s="84">
        <f>0</f>
        <v>0</v>
      </c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</row>
    <row r="118" spans="1:30" ht="15.75" x14ac:dyDescent="0.25">
      <c r="A118" s="16">
        <v>44501</v>
      </c>
      <c r="B118" s="98">
        <v>30</v>
      </c>
      <c r="C118" s="84">
        <f>122.58</f>
        <v>122.58</v>
      </c>
      <c r="D118" s="84">
        <f>297.941</f>
        <v>297.94099999999997</v>
      </c>
      <c r="E118" s="93">
        <f>89.177</f>
        <v>89.177000000000007</v>
      </c>
      <c r="F118" s="84">
        <f>240.302-40-60-100</f>
        <v>40.301999999999992</v>
      </c>
      <c r="G118" s="87">
        <v>40</v>
      </c>
      <c r="H118" s="84">
        <f>60+100</f>
        <v>160</v>
      </c>
      <c r="I118" s="84">
        <f t="shared" si="18"/>
        <v>0</v>
      </c>
      <c r="J118" s="87">
        <v>100</v>
      </c>
      <c r="K118" s="87">
        <v>300</v>
      </c>
      <c r="L118" s="84">
        <f t="shared" si="12"/>
        <v>1150</v>
      </c>
      <c r="M118" s="95">
        <v>600</v>
      </c>
      <c r="N118" s="84">
        <f>100</f>
        <v>100</v>
      </c>
      <c r="O118" s="87">
        <v>240</v>
      </c>
      <c r="P118" s="87">
        <v>40</v>
      </c>
      <c r="Q118" s="87">
        <f t="shared" si="13"/>
        <v>315</v>
      </c>
      <c r="R118" s="87">
        <f t="shared" si="14"/>
        <v>100</v>
      </c>
      <c r="S118" s="84">
        <f t="shared" si="15"/>
        <v>695</v>
      </c>
      <c r="T118" s="84">
        <f>50</f>
        <v>50</v>
      </c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</row>
    <row r="119" spans="1:30" ht="15.75" x14ac:dyDescent="0.25">
      <c r="A119" s="16">
        <v>44531</v>
      </c>
      <c r="B119" s="98">
        <v>31</v>
      </c>
      <c r="C119" s="84">
        <f>122.58</f>
        <v>122.58</v>
      </c>
      <c r="D119" s="84">
        <f>297.941</f>
        <v>297.94099999999997</v>
      </c>
      <c r="E119" s="93">
        <f>89.177</f>
        <v>89.177000000000007</v>
      </c>
      <c r="F119" s="84">
        <f>240.302-40-60-100</f>
        <v>40.301999999999992</v>
      </c>
      <c r="G119" s="87">
        <v>40</v>
      </c>
      <c r="H119" s="84">
        <f>60+100</f>
        <v>160</v>
      </c>
      <c r="I119" s="84">
        <f t="shared" si="18"/>
        <v>0</v>
      </c>
      <c r="J119" s="87">
        <v>100</v>
      </c>
      <c r="K119" s="87">
        <v>300</v>
      </c>
      <c r="L119" s="84">
        <f t="shared" si="12"/>
        <v>1150</v>
      </c>
      <c r="M119" s="95">
        <v>600</v>
      </c>
      <c r="N119" s="84">
        <f>100</f>
        <v>100</v>
      </c>
      <c r="O119" s="87">
        <v>240</v>
      </c>
      <c r="P119" s="87">
        <v>40</v>
      </c>
      <c r="Q119" s="87">
        <f t="shared" si="13"/>
        <v>315</v>
      </c>
      <c r="R119" s="87">
        <f t="shared" si="14"/>
        <v>100</v>
      </c>
      <c r="S119" s="84">
        <f t="shared" si="15"/>
        <v>695</v>
      </c>
      <c r="T119" s="84">
        <f>50</f>
        <v>50</v>
      </c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</row>
    <row r="120" spans="1:30" ht="15.75" x14ac:dyDescent="0.25">
      <c r="A120" s="16">
        <v>44562</v>
      </c>
      <c r="B120" s="98">
        <v>31</v>
      </c>
      <c r="C120" s="84">
        <f>122.58</f>
        <v>122.58</v>
      </c>
      <c r="D120" s="84">
        <f>297.941</f>
        <v>297.94099999999997</v>
      </c>
      <c r="E120" s="93">
        <f>89.177</f>
        <v>89.177000000000007</v>
      </c>
      <c r="F120" s="84">
        <f>240.302-40-60-100</f>
        <v>40.301999999999992</v>
      </c>
      <c r="G120" s="87">
        <v>40</v>
      </c>
      <c r="H120" s="84">
        <f>60+100</f>
        <v>160</v>
      </c>
      <c r="I120" s="84">
        <f t="shared" si="18"/>
        <v>0</v>
      </c>
      <c r="J120" s="87">
        <v>100</v>
      </c>
      <c r="K120" s="87">
        <v>300</v>
      </c>
      <c r="L120" s="84">
        <f t="shared" si="12"/>
        <v>1150</v>
      </c>
      <c r="M120" s="95">
        <v>600</v>
      </c>
      <c r="N120" s="84">
        <f>100</f>
        <v>100</v>
      </c>
      <c r="O120" s="87">
        <v>240</v>
      </c>
      <c r="P120" s="87">
        <v>40</v>
      </c>
      <c r="Q120" s="87">
        <f t="shared" si="13"/>
        <v>315</v>
      </c>
      <c r="R120" s="87">
        <f t="shared" si="14"/>
        <v>100</v>
      </c>
      <c r="S120" s="84">
        <f t="shared" si="15"/>
        <v>695</v>
      </c>
      <c r="T120" s="84">
        <f>50</f>
        <v>50</v>
      </c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</row>
    <row r="121" spans="1:30" ht="15.75" x14ac:dyDescent="0.25">
      <c r="A121" s="16">
        <v>44593</v>
      </c>
      <c r="B121" s="98">
        <v>28</v>
      </c>
      <c r="C121" s="84">
        <f>122.58</f>
        <v>122.58</v>
      </c>
      <c r="D121" s="84">
        <f>297.941</f>
        <v>297.94099999999997</v>
      </c>
      <c r="E121" s="93">
        <f>89.177</f>
        <v>89.177000000000007</v>
      </c>
      <c r="F121" s="84">
        <f>240.302-40-60-100</f>
        <v>40.301999999999992</v>
      </c>
      <c r="G121" s="87">
        <v>40</v>
      </c>
      <c r="H121" s="84">
        <f>60+100</f>
        <v>160</v>
      </c>
      <c r="I121" s="84">
        <f t="shared" si="18"/>
        <v>0</v>
      </c>
      <c r="J121" s="87">
        <v>100</v>
      </c>
      <c r="K121" s="87">
        <v>300</v>
      </c>
      <c r="L121" s="84">
        <f t="shared" si="12"/>
        <v>1150</v>
      </c>
      <c r="M121" s="95">
        <v>600</v>
      </c>
      <c r="N121" s="84">
        <f>100</f>
        <v>100</v>
      </c>
      <c r="O121" s="87">
        <v>240</v>
      </c>
      <c r="P121" s="87">
        <v>40</v>
      </c>
      <c r="Q121" s="87">
        <f t="shared" si="13"/>
        <v>315</v>
      </c>
      <c r="R121" s="87">
        <f t="shared" si="14"/>
        <v>100</v>
      </c>
      <c r="S121" s="84">
        <f t="shared" si="15"/>
        <v>695</v>
      </c>
      <c r="T121" s="84">
        <f>50</f>
        <v>50</v>
      </c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</row>
    <row r="122" spans="1:30" ht="15.75" x14ac:dyDescent="0.25">
      <c r="A122" s="16">
        <v>44621</v>
      </c>
      <c r="B122" s="98">
        <v>31</v>
      </c>
      <c r="C122" s="84">
        <f>122.58</f>
        <v>122.58</v>
      </c>
      <c r="D122" s="84">
        <f>297.941</f>
        <v>297.94099999999997</v>
      </c>
      <c r="E122" s="93">
        <f>89.177</f>
        <v>89.177000000000007</v>
      </c>
      <c r="F122" s="84">
        <f>240.302-40-60-100</f>
        <v>40.301999999999992</v>
      </c>
      <c r="G122" s="87">
        <v>40</v>
      </c>
      <c r="H122" s="84">
        <f>60+100</f>
        <v>160</v>
      </c>
      <c r="I122" s="84">
        <f t="shared" si="18"/>
        <v>0</v>
      </c>
      <c r="J122" s="87">
        <v>100</v>
      </c>
      <c r="K122" s="87">
        <v>300</v>
      </c>
      <c r="L122" s="84">
        <f t="shared" si="12"/>
        <v>1150</v>
      </c>
      <c r="M122" s="95">
        <v>600</v>
      </c>
      <c r="N122" s="84">
        <f>100</f>
        <v>100</v>
      </c>
      <c r="O122" s="87">
        <v>240</v>
      </c>
      <c r="P122" s="87">
        <v>40</v>
      </c>
      <c r="Q122" s="87">
        <f t="shared" si="13"/>
        <v>315</v>
      </c>
      <c r="R122" s="87">
        <f t="shared" si="14"/>
        <v>100</v>
      </c>
      <c r="S122" s="84">
        <f t="shared" si="15"/>
        <v>695</v>
      </c>
      <c r="T122" s="84">
        <f>50</f>
        <v>50</v>
      </c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</row>
    <row r="123" spans="1:30" ht="15.75" x14ac:dyDescent="0.25">
      <c r="A123" s="16">
        <v>44652</v>
      </c>
      <c r="B123" s="98">
        <v>30</v>
      </c>
      <c r="C123" s="84">
        <f>141.293</f>
        <v>141.29300000000001</v>
      </c>
      <c r="D123" s="84">
        <f>267.993</f>
        <v>267.99299999999999</v>
      </c>
      <c r="E123" s="93">
        <f>115.016</f>
        <v>115.01600000000001</v>
      </c>
      <c r="F123" s="84">
        <f>314.698-40-25-60-100</f>
        <v>89.697999999999979</v>
      </c>
      <c r="G123" s="87">
        <v>40</v>
      </c>
      <c r="H123" s="84">
        <f t="shared" ref="H123:H129" si="19">25+60+100</f>
        <v>185</v>
      </c>
      <c r="I123" s="84">
        <f t="shared" si="18"/>
        <v>0</v>
      </c>
      <c r="J123" s="87">
        <v>100</v>
      </c>
      <c r="K123" s="87">
        <v>300</v>
      </c>
      <c r="L123" s="84">
        <f t="shared" si="12"/>
        <v>1239</v>
      </c>
      <c r="M123" s="95">
        <v>600</v>
      </c>
      <c r="N123" s="84">
        <f>100</f>
        <v>100</v>
      </c>
      <c r="O123" s="87">
        <v>240</v>
      </c>
      <c r="P123" s="87">
        <v>160</v>
      </c>
      <c r="Q123" s="87">
        <f t="shared" si="13"/>
        <v>195</v>
      </c>
      <c r="R123" s="87">
        <f t="shared" si="14"/>
        <v>100</v>
      </c>
      <c r="S123" s="84">
        <f t="shared" si="15"/>
        <v>695</v>
      </c>
      <c r="T123" s="84">
        <f>50</f>
        <v>50</v>
      </c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</row>
    <row r="124" spans="1:30" ht="15.75" x14ac:dyDescent="0.25">
      <c r="A124" s="16">
        <v>44682</v>
      </c>
      <c r="B124" s="98">
        <v>31</v>
      </c>
      <c r="C124" s="84">
        <f>194.205</f>
        <v>194.20500000000001</v>
      </c>
      <c r="D124" s="84">
        <f>267.466</f>
        <v>267.46600000000001</v>
      </c>
      <c r="E124" s="93">
        <f>133.845</f>
        <v>133.845</v>
      </c>
      <c r="F124" s="84">
        <f>278.484-40-25-60-100</f>
        <v>53.48399999999998</v>
      </c>
      <c r="G124" s="87">
        <v>40</v>
      </c>
      <c r="H124" s="84">
        <f t="shared" si="19"/>
        <v>185</v>
      </c>
      <c r="I124" s="84">
        <f t="shared" si="18"/>
        <v>0</v>
      </c>
      <c r="J124" s="87">
        <v>100</v>
      </c>
      <c r="K124" s="87">
        <v>300</v>
      </c>
      <c r="L124" s="84">
        <f t="shared" si="12"/>
        <v>1274</v>
      </c>
      <c r="M124" s="95">
        <v>600</v>
      </c>
      <c r="N124" s="84">
        <f>75</f>
        <v>75</v>
      </c>
      <c r="O124" s="87">
        <v>240</v>
      </c>
      <c r="P124" s="87">
        <v>160</v>
      </c>
      <c r="Q124" s="87">
        <f t="shared" si="13"/>
        <v>195</v>
      </c>
      <c r="R124" s="87">
        <f t="shared" si="14"/>
        <v>100</v>
      </c>
      <c r="S124" s="84">
        <f t="shared" si="15"/>
        <v>695</v>
      </c>
      <c r="T124" s="84">
        <f>50</f>
        <v>50</v>
      </c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</row>
    <row r="125" spans="1:30" ht="15.75" x14ac:dyDescent="0.25">
      <c r="A125" s="16">
        <v>44713</v>
      </c>
      <c r="B125" s="98">
        <v>30</v>
      </c>
      <c r="C125" s="84">
        <f>194.205</f>
        <v>194.20500000000001</v>
      </c>
      <c r="D125" s="84">
        <f>267.466</f>
        <v>267.46600000000001</v>
      </c>
      <c r="E125" s="93">
        <f>133.845</f>
        <v>133.845</v>
      </c>
      <c r="F125" s="84">
        <f>278.484-40-25-60-100</f>
        <v>53.48399999999998</v>
      </c>
      <c r="G125" s="87">
        <v>40</v>
      </c>
      <c r="H125" s="84">
        <f t="shared" si="19"/>
        <v>185</v>
      </c>
      <c r="I125" s="84">
        <f t="shared" si="18"/>
        <v>0</v>
      </c>
      <c r="J125" s="87">
        <v>100</v>
      </c>
      <c r="K125" s="87">
        <v>300</v>
      </c>
      <c r="L125" s="84">
        <f t="shared" si="12"/>
        <v>1274</v>
      </c>
      <c r="M125" s="95">
        <v>600</v>
      </c>
      <c r="N125" s="84">
        <f>30</f>
        <v>30</v>
      </c>
      <c r="O125" s="87">
        <v>240</v>
      </c>
      <c r="P125" s="87">
        <v>160</v>
      </c>
      <c r="Q125" s="87">
        <f t="shared" si="13"/>
        <v>195</v>
      </c>
      <c r="R125" s="87">
        <f t="shared" si="14"/>
        <v>100</v>
      </c>
      <c r="S125" s="84">
        <f t="shared" si="15"/>
        <v>695</v>
      </c>
      <c r="T125" s="84">
        <f>50</f>
        <v>50</v>
      </c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</row>
    <row r="126" spans="1:30" ht="15.75" x14ac:dyDescent="0.25">
      <c r="A126" s="16">
        <v>44743</v>
      </c>
      <c r="B126" s="98">
        <v>31</v>
      </c>
      <c r="C126" s="84">
        <f>194.205</f>
        <v>194.20500000000001</v>
      </c>
      <c r="D126" s="84">
        <f>267.466</f>
        <v>267.46600000000001</v>
      </c>
      <c r="E126" s="93">
        <f>133.845</f>
        <v>133.845</v>
      </c>
      <c r="F126" s="84">
        <f>278.484-40-25-60-100</f>
        <v>53.48399999999998</v>
      </c>
      <c r="G126" s="87">
        <v>40</v>
      </c>
      <c r="H126" s="84">
        <f t="shared" si="19"/>
        <v>185</v>
      </c>
      <c r="I126" s="84">
        <f t="shared" si="18"/>
        <v>0</v>
      </c>
      <c r="J126" s="87">
        <v>100</v>
      </c>
      <c r="K126" s="87">
        <v>300</v>
      </c>
      <c r="L126" s="84">
        <f t="shared" si="12"/>
        <v>1274</v>
      </c>
      <c r="M126" s="95">
        <v>600</v>
      </c>
      <c r="N126" s="84">
        <f>30</f>
        <v>30</v>
      </c>
      <c r="O126" s="87">
        <v>240</v>
      </c>
      <c r="P126" s="87">
        <v>160</v>
      </c>
      <c r="Q126" s="87">
        <f t="shared" si="13"/>
        <v>195</v>
      </c>
      <c r="R126" s="87">
        <f t="shared" si="14"/>
        <v>100</v>
      </c>
      <c r="S126" s="84">
        <f t="shared" si="15"/>
        <v>695</v>
      </c>
      <c r="T126" s="84">
        <f>0</f>
        <v>0</v>
      </c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</row>
    <row r="127" spans="1:30" ht="15.75" x14ac:dyDescent="0.25">
      <c r="A127" s="16">
        <v>44774</v>
      </c>
      <c r="B127" s="98">
        <v>31</v>
      </c>
      <c r="C127" s="84">
        <f>194.205</f>
        <v>194.20500000000001</v>
      </c>
      <c r="D127" s="84">
        <f>267.466</f>
        <v>267.46600000000001</v>
      </c>
      <c r="E127" s="93">
        <f>133.845</f>
        <v>133.845</v>
      </c>
      <c r="F127" s="84">
        <f>278.484-40-25-60-100</f>
        <v>53.48399999999998</v>
      </c>
      <c r="G127" s="87">
        <v>40</v>
      </c>
      <c r="H127" s="84">
        <f t="shared" si="19"/>
        <v>185</v>
      </c>
      <c r="I127" s="84">
        <f t="shared" si="18"/>
        <v>0</v>
      </c>
      <c r="J127" s="87">
        <v>100</v>
      </c>
      <c r="K127" s="87">
        <v>300</v>
      </c>
      <c r="L127" s="84">
        <f t="shared" si="12"/>
        <v>1274</v>
      </c>
      <c r="M127" s="95">
        <v>600</v>
      </c>
      <c r="N127" s="84">
        <f>30</f>
        <v>30</v>
      </c>
      <c r="O127" s="87">
        <v>240</v>
      </c>
      <c r="P127" s="87">
        <v>160</v>
      </c>
      <c r="Q127" s="87">
        <f t="shared" si="13"/>
        <v>195</v>
      </c>
      <c r="R127" s="87">
        <f t="shared" si="14"/>
        <v>100</v>
      </c>
      <c r="S127" s="84">
        <f t="shared" si="15"/>
        <v>695</v>
      </c>
      <c r="T127" s="84">
        <f>0</f>
        <v>0</v>
      </c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</row>
    <row r="128" spans="1:30" ht="15.75" x14ac:dyDescent="0.25">
      <c r="A128" s="16">
        <v>44805</v>
      </c>
      <c r="B128" s="98">
        <v>30</v>
      </c>
      <c r="C128" s="84">
        <f>194.205</f>
        <v>194.20500000000001</v>
      </c>
      <c r="D128" s="84">
        <f>267.466</f>
        <v>267.46600000000001</v>
      </c>
      <c r="E128" s="93">
        <f>133.845</f>
        <v>133.845</v>
      </c>
      <c r="F128" s="84">
        <f>278.484-40-25-60-100</f>
        <v>53.48399999999998</v>
      </c>
      <c r="G128" s="87">
        <v>40</v>
      </c>
      <c r="H128" s="84">
        <f t="shared" si="19"/>
        <v>185</v>
      </c>
      <c r="I128" s="84">
        <f t="shared" si="18"/>
        <v>0</v>
      </c>
      <c r="J128" s="87">
        <v>100</v>
      </c>
      <c r="K128" s="87">
        <v>300</v>
      </c>
      <c r="L128" s="84">
        <f t="shared" si="12"/>
        <v>1274</v>
      </c>
      <c r="M128" s="95">
        <v>600</v>
      </c>
      <c r="N128" s="84">
        <f>30</f>
        <v>30</v>
      </c>
      <c r="O128" s="87">
        <v>240</v>
      </c>
      <c r="P128" s="87">
        <v>160</v>
      </c>
      <c r="Q128" s="87">
        <f t="shared" si="13"/>
        <v>195</v>
      </c>
      <c r="R128" s="87">
        <f t="shared" si="14"/>
        <v>100</v>
      </c>
      <c r="S128" s="84">
        <f t="shared" si="15"/>
        <v>695</v>
      </c>
      <c r="T128" s="84">
        <f>0</f>
        <v>0</v>
      </c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</row>
    <row r="129" spans="1:30" ht="15.75" x14ac:dyDescent="0.25">
      <c r="A129" s="16">
        <v>44835</v>
      </c>
      <c r="B129" s="98">
        <v>31</v>
      </c>
      <c r="C129" s="84">
        <f>131.881</f>
        <v>131.881</v>
      </c>
      <c r="D129" s="84">
        <f>277.167</f>
        <v>277.16699999999997</v>
      </c>
      <c r="E129" s="93">
        <f>79.08</f>
        <v>79.08</v>
      </c>
      <c r="F129" s="84">
        <f>350.872-40-25-60-100</f>
        <v>125.87200000000001</v>
      </c>
      <c r="G129" s="87">
        <v>40</v>
      </c>
      <c r="H129" s="84">
        <f t="shared" si="19"/>
        <v>185</v>
      </c>
      <c r="I129" s="84">
        <f t="shared" si="18"/>
        <v>0</v>
      </c>
      <c r="J129" s="87">
        <v>100</v>
      </c>
      <c r="K129" s="87">
        <v>300</v>
      </c>
      <c r="L129" s="84">
        <f t="shared" si="12"/>
        <v>1239</v>
      </c>
      <c r="M129" s="95">
        <v>600</v>
      </c>
      <c r="N129" s="84">
        <f>75</f>
        <v>75</v>
      </c>
      <c r="O129" s="87">
        <v>240</v>
      </c>
      <c r="P129" s="87">
        <v>160</v>
      </c>
      <c r="Q129" s="87">
        <f t="shared" si="13"/>
        <v>195</v>
      </c>
      <c r="R129" s="87">
        <f t="shared" si="14"/>
        <v>100</v>
      </c>
      <c r="S129" s="84">
        <f t="shared" si="15"/>
        <v>695</v>
      </c>
      <c r="T129" s="84">
        <f>0</f>
        <v>0</v>
      </c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</row>
    <row r="130" spans="1:30" ht="15.75" x14ac:dyDescent="0.25">
      <c r="A130" s="16">
        <v>44866</v>
      </c>
      <c r="B130" s="98">
        <v>30</v>
      </c>
      <c r="C130" s="84">
        <f>122.58</f>
        <v>122.58</v>
      </c>
      <c r="D130" s="84">
        <f>297.941</f>
        <v>297.94099999999997</v>
      </c>
      <c r="E130" s="93">
        <f>89.177</f>
        <v>89.177000000000007</v>
      </c>
      <c r="F130" s="84">
        <f>240.302-40-60-100</f>
        <v>40.301999999999992</v>
      </c>
      <c r="G130" s="87">
        <v>40</v>
      </c>
      <c r="H130" s="84">
        <f>60+100</f>
        <v>160</v>
      </c>
      <c r="I130" s="84">
        <f t="shared" si="18"/>
        <v>0</v>
      </c>
      <c r="J130" s="87">
        <v>100</v>
      </c>
      <c r="K130" s="87">
        <v>300</v>
      </c>
      <c r="L130" s="84">
        <f t="shared" si="12"/>
        <v>1150</v>
      </c>
      <c r="M130" s="95">
        <v>600</v>
      </c>
      <c r="N130" s="84">
        <f>100</f>
        <v>100</v>
      </c>
      <c r="O130" s="87">
        <v>240</v>
      </c>
      <c r="P130" s="87">
        <v>40</v>
      </c>
      <c r="Q130" s="87">
        <f t="shared" si="13"/>
        <v>315</v>
      </c>
      <c r="R130" s="87">
        <f t="shared" si="14"/>
        <v>100</v>
      </c>
      <c r="S130" s="84">
        <f t="shared" si="15"/>
        <v>695</v>
      </c>
      <c r="T130" s="84">
        <f>50</f>
        <v>50</v>
      </c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</row>
    <row r="131" spans="1:30" ht="15.75" x14ac:dyDescent="0.25">
      <c r="A131" s="16">
        <v>44896</v>
      </c>
      <c r="B131" s="98">
        <v>31</v>
      </c>
      <c r="C131" s="84">
        <f>122.58</f>
        <v>122.58</v>
      </c>
      <c r="D131" s="84">
        <f>297.941</f>
        <v>297.94099999999997</v>
      </c>
      <c r="E131" s="93">
        <f>89.177</f>
        <v>89.177000000000007</v>
      </c>
      <c r="F131" s="84">
        <f>240.302-40-60-100</f>
        <v>40.301999999999992</v>
      </c>
      <c r="G131" s="87">
        <v>40</v>
      </c>
      <c r="H131" s="84">
        <f>60+100</f>
        <v>160</v>
      </c>
      <c r="I131" s="84">
        <f t="shared" si="18"/>
        <v>0</v>
      </c>
      <c r="J131" s="87">
        <v>100</v>
      </c>
      <c r="K131" s="87">
        <v>300</v>
      </c>
      <c r="L131" s="84">
        <f t="shared" si="12"/>
        <v>1150</v>
      </c>
      <c r="M131" s="95">
        <v>600</v>
      </c>
      <c r="N131" s="84">
        <f>100</f>
        <v>100</v>
      </c>
      <c r="O131" s="87">
        <v>240</v>
      </c>
      <c r="P131" s="87">
        <v>40</v>
      </c>
      <c r="Q131" s="87">
        <f t="shared" si="13"/>
        <v>315</v>
      </c>
      <c r="R131" s="87">
        <f t="shared" si="14"/>
        <v>100</v>
      </c>
      <c r="S131" s="84">
        <f t="shared" si="15"/>
        <v>695</v>
      </c>
      <c r="T131" s="84">
        <f>50</f>
        <v>50</v>
      </c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</row>
    <row r="132" spans="1:30" ht="15.75" x14ac:dyDescent="0.25">
      <c r="A132" s="16">
        <v>44927</v>
      </c>
      <c r="B132" s="98">
        <v>31</v>
      </c>
      <c r="C132" s="84">
        <f>122.58</f>
        <v>122.58</v>
      </c>
      <c r="D132" s="84">
        <f>297.941</f>
        <v>297.94099999999997</v>
      </c>
      <c r="E132" s="93">
        <f>89.177</f>
        <v>89.177000000000007</v>
      </c>
      <c r="F132" s="84">
        <f>240.302-40-60-100</f>
        <v>40.301999999999992</v>
      </c>
      <c r="G132" s="87">
        <v>40</v>
      </c>
      <c r="H132" s="84">
        <f>60+100</f>
        <v>160</v>
      </c>
      <c r="I132" s="84">
        <f t="shared" si="18"/>
        <v>0</v>
      </c>
      <c r="J132" s="87">
        <v>100</v>
      </c>
      <c r="K132" s="87">
        <v>300</v>
      </c>
      <c r="L132" s="84">
        <f t="shared" si="12"/>
        <v>1150</v>
      </c>
      <c r="M132" s="95">
        <v>600</v>
      </c>
      <c r="N132" s="84">
        <f>100</f>
        <v>100</v>
      </c>
      <c r="O132" s="87">
        <v>240</v>
      </c>
      <c r="P132" s="87">
        <v>40</v>
      </c>
      <c r="Q132" s="87">
        <f t="shared" si="13"/>
        <v>315</v>
      </c>
      <c r="R132" s="87">
        <f t="shared" si="14"/>
        <v>100</v>
      </c>
      <c r="S132" s="84">
        <f t="shared" si="15"/>
        <v>695</v>
      </c>
      <c r="T132" s="84">
        <f>50</f>
        <v>50</v>
      </c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</row>
    <row r="133" spans="1:30" ht="15.75" x14ac:dyDescent="0.25">
      <c r="A133" s="16">
        <v>44958</v>
      </c>
      <c r="B133" s="98">
        <v>28</v>
      </c>
      <c r="C133" s="84">
        <f>122.58</f>
        <v>122.58</v>
      </c>
      <c r="D133" s="84">
        <f>297.941</f>
        <v>297.94099999999997</v>
      </c>
      <c r="E133" s="93">
        <f>89.177</f>
        <v>89.177000000000007</v>
      </c>
      <c r="F133" s="84">
        <f>240.302-40-60-100</f>
        <v>40.301999999999992</v>
      </c>
      <c r="G133" s="87">
        <v>40</v>
      </c>
      <c r="H133" s="84">
        <f>60+100</f>
        <v>160</v>
      </c>
      <c r="I133" s="84">
        <f t="shared" si="18"/>
        <v>0</v>
      </c>
      <c r="J133" s="87">
        <v>100</v>
      </c>
      <c r="K133" s="87">
        <v>300</v>
      </c>
      <c r="L133" s="84">
        <f t="shared" si="12"/>
        <v>1150</v>
      </c>
      <c r="M133" s="95">
        <v>600</v>
      </c>
      <c r="N133" s="84">
        <f>100</f>
        <v>100</v>
      </c>
      <c r="O133" s="87">
        <v>240</v>
      </c>
      <c r="P133" s="87">
        <v>40</v>
      </c>
      <c r="Q133" s="87">
        <f t="shared" si="13"/>
        <v>315</v>
      </c>
      <c r="R133" s="87">
        <f t="shared" si="14"/>
        <v>100</v>
      </c>
      <c r="S133" s="84">
        <f t="shared" si="15"/>
        <v>695</v>
      </c>
      <c r="T133" s="84">
        <f>50</f>
        <v>50</v>
      </c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</row>
    <row r="134" spans="1:30" ht="15.75" x14ac:dyDescent="0.25">
      <c r="A134" s="16">
        <v>44986</v>
      </c>
      <c r="B134" s="98">
        <v>31</v>
      </c>
      <c r="C134" s="84">
        <f>122.58</f>
        <v>122.58</v>
      </c>
      <c r="D134" s="84">
        <f>297.941</f>
        <v>297.94099999999997</v>
      </c>
      <c r="E134" s="93">
        <f>89.177</f>
        <v>89.177000000000007</v>
      </c>
      <c r="F134" s="84">
        <f>240.302-40-60-100</f>
        <v>40.301999999999992</v>
      </c>
      <c r="G134" s="87">
        <v>40</v>
      </c>
      <c r="H134" s="84">
        <f>60+100</f>
        <v>160</v>
      </c>
      <c r="I134" s="84">
        <f t="shared" si="18"/>
        <v>0</v>
      </c>
      <c r="J134" s="87">
        <v>100</v>
      </c>
      <c r="K134" s="87">
        <v>300</v>
      </c>
      <c r="L134" s="84">
        <f t="shared" si="12"/>
        <v>1150</v>
      </c>
      <c r="M134" s="95">
        <v>600</v>
      </c>
      <c r="N134" s="84">
        <f>100</f>
        <v>100</v>
      </c>
      <c r="O134" s="87">
        <v>240</v>
      </c>
      <c r="P134" s="87">
        <v>40</v>
      </c>
      <c r="Q134" s="87">
        <f t="shared" si="13"/>
        <v>315</v>
      </c>
      <c r="R134" s="87">
        <f t="shared" si="14"/>
        <v>100</v>
      </c>
      <c r="S134" s="84">
        <f t="shared" si="15"/>
        <v>695</v>
      </c>
      <c r="T134" s="84">
        <f>50</f>
        <v>50</v>
      </c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</row>
    <row r="135" spans="1:30" ht="15.75" x14ac:dyDescent="0.25">
      <c r="A135" s="16">
        <v>45017</v>
      </c>
      <c r="B135" s="98">
        <v>30</v>
      </c>
      <c r="C135" s="84">
        <f>141.293</f>
        <v>141.29300000000001</v>
      </c>
      <c r="D135" s="84">
        <f>267.993</f>
        <v>267.99299999999999</v>
      </c>
      <c r="E135" s="93">
        <f>115.016</f>
        <v>115.01600000000001</v>
      </c>
      <c r="F135" s="84">
        <f>314.698-40-25-60-100</f>
        <v>89.697999999999979</v>
      </c>
      <c r="G135" s="87">
        <v>40</v>
      </c>
      <c r="H135" s="84">
        <f t="shared" ref="H135:H141" si="20">25+60+100</f>
        <v>185</v>
      </c>
      <c r="I135" s="84">
        <f t="shared" si="18"/>
        <v>0</v>
      </c>
      <c r="J135" s="87">
        <v>100</v>
      </c>
      <c r="K135" s="87">
        <v>300</v>
      </c>
      <c r="L135" s="84">
        <f t="shared" si="12"/>
        <v>1239</v>
      </c>
      <c r="M135" s="95">
        <v>600</v>
      </c>
      <c r="N135" s="84">
        <f>100</f>
        <v>100</v>
      </c>
      <c r="O135" s="87">
        <v>240</v>
      </c>
      <c r="P135" s="87">
        <v>160</v>
      </c>
      <c r="Q135" s="87">
        <f t="shared" si="13"/>
        <v>195</v>
      </c>
      <c r="R135" s="87">
        <f t="shared" si="14"/>
        <v>100</v>
      </c>
      <c r="S135" s="84">
        <f t="shared" si="15"/>
        <v>695</v>
      </c>
      <c r="T135" s="84">
        <f>50</f>
        <v>50</v>
      </c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</row>
    <row r="136" spans="1:30" ht="15.75" x14ac:dyDescent="0.25">
      <c r="A136" s="16">
        <v>45047</v>
      </c>
      <c r="B136" s="98">
        <v>31</v>
      </c>
      <c r="C136" s="84">
        <f>194.205</f>
        <v>194.20500000000001</v>
      </c>
      <c r="D136" s="84">
        <f>267.466</f>
        <v>267.46600000000001</v>
      </c>
      <c r="E136" s="93">
        <f>133.845</f>
        <v>133.845</v>
      </c>
      <c r="F136" s="84">
        <f>278.484-40-25-60-100</f>
        <v>53.48399999999998</v>
      </c>
      <c r="G136" s="87">
        <v>40</v>
      </c>
      <c r="H136" s="84">
        <f t="shared" si="20"/>
        <v>185</v>
      </c>
      <c r="I136" s="84">
        <f t="shared" si="18"/>
        <v>0</v>
      </c>
      <c r="J136" s="87">
        <v>100</v>
      </c>
      <c r="K136" s="87">
        <v>300</v>
      </c>
      <c r="L136" s="84">
        <f t="shared" si="12"/>
        <v>1274</v>
      </c>
      <c r="M136" s="95">
        <v>600</v>
      </c>
      <c r="N136" s="84">
        <f>75</f>
        <v>75</v>
      </c>
      <c r="O136" s="87">
        <v>240</v>
      </c>
      <c r="P136" s="87">
        <v>160</v>
      </c>
      <c r="Q136" s="87">
        <f t="shared" si="13"/>
        <v>195</v>
      </c>
      <c r="R136" s="87">
        <f t="shared" si="14"/>
        <v>100</v>
      </c>
      <c r="S136" s="84">
        <f t="shared" si="15"/>
        <v>695</v>
      </c>
      <c r="T136" s="84">
        <f>50</f>
        <v>50</v>
      </c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</row>
    <row r="137" spans="1:30" ht="15.75" x14ac:dyDescent="0.25">
      <c r="A137" s="16">
        <v>45078</v>
      </c>
      <c r="B137" s="98">
        <v>30</v>
      </c>
      <c r="C137" s="84">
        <f>194.205</f>
        <v>194.20500000000001</v>
      </c>
      <c r="D137" s="84">
        <f>267.466</f>
        <v>267.46600000000001</v>
      </c>
      <c r="E137" s="93">
        <f>133.845</f>
        <v>133.845</v>
      </c>
      <c r="F137" s="84">
        <f>278.484-40-25-60-100</f>
        <v>53.48399999999998</v>
      </c>
      <c r="G137" s="87">
        <v>40</v>
      </c>
      <c r="H137" s="84">
        <f t="shared" si="20"/>
        <v>185</v>
      </c>
      <c r="I137" s="84">
        <f t="shared" si="18"/>
        <v>0</v>
      </c>
      <c r="J137" s="87">
        <v>100</v>
      </c>
      <c r="K137" s="87">
        <v>300</v>
      </c>
      <c r="L137" s="84">
        <f t="shared" si="12"/>
        <v>1274</v>
      </c>
      <c r="M137" s="95">
        <v>600</v>
      </c>
      <c r="N137" s="84">
        <f>30</f>
        <v>30</v>
      </c>
      <c r="O137" s="87">
        <v>240</v>
      </c>
      <c r="P137" s="87">
        <v>160</v>
      </c>
      <c r="Q137" s="87">
        <f t="shared" si="13"/>
        <v>195</v>
      </c>
      <c r="R137" s="87">
        <f t="shared" si="14"/>
        <v>100</v>
      </c>
      <c r="S137" s="84">
        <f t="shared" si="15"/>
        <v>695</v>
      </c>
      <c r="T137" s="84">
        <f>50</f>
        <v>50</v>
      </c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</row>
    <row r="138" spans="1:30" ht="15.75" x14ac:dyDescent="0.25">
      <c r="A138" s="16">
        <v>45108</v>
      </c>
      <c r="B138" s="98">
        <v>31</v>
      </c>
      <c r="C138" s="84">
        <f>194.205</f>
        <v>194.20500000000001</v>
      </c>
      <c r="D138" s="84">
        <f>267.466</f>
        <v>267.46600000000001</v>
      </c>
      <c r="E138" s="93">
        <f>133.845</f>
        <v>133.845</v>
      </c>
      <c r="F138" s="84">
        <f>278.484-40-25-60-100</f>
        <v>53.48399999999998</v>
      </c>
      <c r="G138" s="87">
        <v>40</v>
      </c>
      <c r="H138" s="84">
        <f t="shared" si="20"/>
        <v>185</v>
      </c>
      <c r="I138" s="84">
        <f t="shared" si="18"/>
        <v>0</v>
      </c>
      <c r="J138" s="87">
        <v>100</v>
      </c>
      <c r="K138" s="87">
        <v>300</v>
      </c>
      <c r="L138" s="84">
        <f t="shared" si="12"/>
        <v>1274</v>
      </c>
      <c r="M138" s="95">
        <v>600</v>
      </c>
      <c r="N138" s="84">
        <f>30</f>
        <v>30</v>
      </c>
      <c r="O138" s="87">
        <v>240</v>
      </c>
      <c r="P138" s="87">
        <v>160</v>
      </c>
      <c r="Q138" s="87">
        <f t="shared" si="13"/>
        <v>195</v>
      </c>
      <c r="R138" s="87">
        <f t="shared" si="14"/>
        <v>100</v>
      </c>
      <c r="S138" s="84">
        <f t="shared" si="15"/>
        <v>695</v>
      </c>
      <c r="T138" s="84">
        <f>0</f>
        <v>0</v>
      </c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</row>
    <row r="139" spans="1:30" ht="15.75" x14ac:dyDescent="0.25">
      <c r="A139" s="16">
        <v>45139</v>
      </c>
      <c r="B139" s="98">
        <v>31</v>
      </c>
      <c r="C139" s="84">
        <f>194.205</f>
        <v>194.20500000000001</v>
      </c>
      <c r="D139" s="84">
        <f>267.466</f>
        <v>267.46600000000001</v>
      </c>
      <c r="E139" s="93">
        <f>133.845</f>
        <v>133.845</v>
      </c>
      <c r="F139" s="84">
        <f>278.484-40-25-60-100</f>
        <v>53.48399999999998</v>
      </c>
      <c r="G139" s="87">
        <v>40</v>
      </c>
      <c r="H139" s="84">
        <f t="shared" si="20"/>
        <v>185</v>
      </c>
      <c r="I139" s="84">
        <f t="shared" si="18"/>
        <v>0</v>
      </c>
      <c r="J139" s="87">
        <v>100</v>
      </c>
      <c r="K139" s="87">
        <v>300</v>
      </c>
      <c r="L139" s="84">
        <f t="shared" si="12"/>
        <v>1274</v>
      </c>
      <c r="M139" s="95">
        <v>600</v>
      </c>
      <c r="N139" s="84">
        <f>30</f>
        <v>30</v>
      </c>
      <c r="O139" s="87">
        <v>240</v>
      </c>
      <c r="P139" s="87">
        <v>160</v>
      </c>
      <c r="Q139" s="87">
        <f t="shared" si="13"/>
        <v>195</v>
      </c>
      <c r="R139" s="87">
        <f t="shared" si="14"/>
        <v>100</v>
      </c>
      <c r="S139" s="84">
        <f t="shared" si="15"/>
        <v>695</v>
      </c>
      <c r="T139" s="84">
        <f>0</f>
        <v>0</v>
      </c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</row>
    <row r="140" spans="1:30" ht="15.75" x14ac:dyDescent="0.25">
      <c r="A140" s="16">
        <v>45170</v>
      </c>
      <c r="B140" s="98">
        <v>30</v>
      </c>
      <c r="C140" s="84">
        <f>194.205</f>
        <v>194.20500000000001</v>
      </c>
      <c r="D140" s="84">
        <f>267.466</f>
        <v>267.46600000000001</v>
      </c>
      <c r="E140" s="93">
        <f>133.845</f>
        <v>133.845</v>
      </c>
      <c r="F140" s="84">
        <f>278.484-40-25-60-100</f>
        <v>53.48399999999998</v>
      </c>
      <c r="G140" s="87">
        <v>40</v>
      </c>
      <c r="H140" s="84">
        <f t="shared" si="20"/>
        <v>185</v>
      </c>
      <c r="I140" s="84">
        <f t="shared" si="18"/>
        <v>0</v>
      </c>
      <c r="J140" s="87">
        <v>100</v>
      </c>
      <c r="K140" s="87">
        <v>300</v>
      </c>
      <c r="L140" s="84">
        <f t="shared" si="12"/>
        <v>1274</v>
      </c>
      <c r="M140" s="95">
        <v>600</v>
      </c>
      <c r="N140" s="84">
        <f>30</f>
        <v>30</v>
      </c>
      <c r="O140" s="87">
        <v>240</v>
      </c>
      <c r="P140" s="87">
        <v>160</v>
      </c>
      <c r="Q140" s="87">
        <f t="shared" si="13"/>
        <v>195</v>
      </c>
      <c r="R140" s="87">
        <f t="shared" si="14"/>
        <v>100</v>
      </c>
      <c r="S140" s="84">
        <f t="shared" si="15"/>
        <v>695</v>
      </c>
      <c r="T140" s="84">
        <f>0</f>
        <v>0</v>
      </c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</row>
    <row r="141" spans="1:30" ht="15.75" x14ac:dyDescent="0.25">
      <c r="A141" s="16">
        <v>45200</v>
      </c>
      <c r="B141" s="98">
        <v>31</v>
      </c>
      <c r="C141" s="84">
        <f>131.881</f>
        <v>131.881</v>
      </c>
      <c r="D141" s="84">
        <f>277.167</f>
        <v>277.16699999999997</v>
      </c>
      <c r="E141" s="93">
        <f>79.08</f>
        <v>79.08</v>
      </c>
      <c r="F141" s="84">
        <f>350.872-40-25-60-100</f>
        <v>125.87200000000001</v>
      </c>
      <c r="G141" s="87">
        <v>40</v>
      </c>
      <c r="H141" s="84">
        <f t="shared" si="20"/>
        <v>185</v>
      </c>
      <c r="I141" s="84">
        <f t="shared" si="18"/>
        <v>0</v>
      </c>
      <c r="J141" s="87">
        <v>100</v>
      </c>
      <c r="K141" s="87">
        <v>300</v>
      </c>
      <c r="L141" s="84">
        <f t="shared" si="12"/>
        <v>1239</v>
      </c>
      <c r="M141" s="95">
        <v>600</v>
      </c>
      <c r="N141" s="84">
        <f>75</f>
        <v>75</v>
      </c>
      <c r="O141" s="87">
        <v>240</v>
      </c>
      <c r="P141" s="87">
        <v>160</v>
      </c>
      <c r="Q141" s="87">
        <f t="shared" si="13"/>
        <v>195</v>
      </c>
      <c r="R141" s="87">
        <f t="shared" si="14"/>
        <v>100</v>
      </c>
      <c r="S141" s="84">
        <f t="shared" si="15"/>
        <v>695</v>
      </c>
      <c r="T141" s="84">
        <f>0</f>
        <v>0</v>
      </c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</row>
    <row r="142" spans="1:30" ht="15.75" x14ac:dyDescent="0.25">
      <c r="A142" s="16">
        <v>45231</v>
      </c>
      <c r="B142" s="98">
        <v>30</v>
      </c>
      <c r="C142" s="84">
        <f>122.58</f>
        <v>122.58</v>
      </c>
      <c r="D142" s="84">
        <f>297.941</f>
        <v>297.94099999999997</v>
      </c>
      <c r="E142" s="93">
        <f>89.177</f>
        <v>89.177000000000007</v>
      </c>
      <c r="F142" s="84">
        <f>240.302-40-60-100</f>
        <v>40.301999999999992</v>
      </c>
      <c r="G142" s="87">
        <v>40</v>
      </c>
      <c r="H142" s="84">
        <f>60+100</f>
        <v>160</v>
      </c>
      <c r="I142" s="84">
        <f t="shared" si="18"/>
        <v>0</v>
      </c>
      <c r="J142" s="87">
        <v>100</v>
      </c>
      <c r="K142" s="87">
        <v>300</v>
      </c>
      <c r="L142" s="84">
        <f t="shared" si="12"/>
        <v>1150</v>
      </c>
      <c r="M142" s="95">
        <v>600</v>
      </c>
      <c r="N142" s="84">
        <f>100</f>
        <v>100</v>
      </c>
      <c r="O142" s="87">
        <v>240</v>
      </c>
      <c r="P142" s="87">
        <v>40</v>
      </c>
      <c r="Q142" s="87">
        <f t="shared" si="13"/>
        <v>315</v>
      </c>
      <c r="R142" s="87">
        <f t="shared" si="14"/>
        <v>100</v>
      </c>
      <c r="S142" s="84">
        <f t="shared" si="15"/>
        <v>695</v>
      </c>
      <c r="T142" s="84">
        <f>50</f>
        <v>50</v>
      </c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</row>
    <row r="143" spans="1:30" ht="15.75" x14ac:dyDescent="0.25">
      <c r="A143" s="16">
        <v>45261</v>
      </c>
      <c r="B143" s="98">
        <v>31</v>
      </c>
      <c r="C143" s="84">
        <f>122.58</f>
        <v>122.58</v>
      </c>
      <c r="D143" s="84">
        <f>297.941</f>
        <v>297.94099999999997</v>
      </c>
      <c r="E143" s="93">
        <f>89.177</f>
        <v>89.177000000000007</v>
      </c>
      <c r="F143" s="84">
        <f>240.302-40-60-100</f>
        <v>40.301999999999992</v>
      </c>
      <c r="G143" s="87">
        <v>40</v>
      </c>
      <c r="H143" s="84">
        <f>60+100</f>
        <v>160</v>
      </c>
      <c r="I143" s="84">
        <f t="shared" si="18"/>
        <v>0</v>
      </c>
      <c r="J143" s="87">
        <v>100</v>
      </c>
      <c r="K143" s="87">
        <v>300</v>
      </c>
      <c r="L143" s="84">
        <f t="shared" si="12"/>
        <v>1150</v>
      </c>
      <c r="M143" s="95">
        <v>600</v>
      </c>
      <c r="N143" s="84">
        <f>100</f>
        <v>100</v>
      </c>
      <c r="O143" s="87">
        <v>240</v>
      </c>
      <c r="P143" s="87">
        <v>40</v>
      </c>
      <c r="Q143" s="87">
        <f t="shared" si="13"/>
        <v>315</v>
      </c>
      <c r="R143" s="87">
        <f t="shared" si="14"/>
        <v>100</v>
      </c>
      <c r="S143" s="84">
        <f t="shared" si="15"/>
        <v>695</v>
      </c>
      <c r="T143" s="84">
        <f>50</f>
        <v>50</v>
      </c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</row>
    <row r="144" spans="1:30" ht="15.75" x14ac:dyDescent="0.25">
      <c r="A144" s="16">
        <v>45292</v>
      </c>
      <c r="B144" s="98">
        <v>31</v>
      </c>
      <c r="C144" s="84">
        <f>122.58</f>
        <v>122.58</v>
      </c>
      <c r="D144" s="84">
        <f>297.941</f>
        <v>297.94099999999997</v>
      </c>
      <c r="E144" s="93">
        <f>89.177</f>
        <v>89.177000000000007</v>
      </c>
      <c r="F144" s="84">
        <f>240.302-40-60-100</f>
        <v>40.301999999999992</v>
      </c>
      <c r="G144" s="87">
        <v>40</v>
      </c>
      <c r="H144" s="84">
        <f>60+100</f>
        <v>160</v>
      </c>
      <c r="I144" s="84">
        <f t="shared" si="18"/>
        <v>0</v>
      </c>
      <c r="J144" s="87">
        <v>100</v>
      </c>
      <c r="K144" s="87">
        <v>300</v>
      </c>
      <c r="L144" s="84">
        <f t="shared" si="12"/>
        <v>1150</v>
      </c>
      <c r="M144" s="95">
        <v>600</v>
      </c>
      <c r="N144" s="84">
        <f>100</f>
        <v>100</v>
      </c>
      <c r="O144" s="87">
        <v>240</v>
      </c>
      <c r="P144" s="87">
        <v>40</v>
      </c>
      <c r="Q144" s="87">
        <f t="shared" si="13"/>
        <v>315</v>
      </c>
      <c r="R144" s="87">
        <f t="shared" si="14"/>
        <v>100</v>
      </c>
      <c r="S144" s="84">
        <f t="shared" si="15"/>
        <v>695</v>
      </c>
      <c r="T144" s="84">
        <f>50</f>
        <v>50</v>
      </c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</row>
    <row r="145" spans="1:30" ht="15.75" x14ac:dyDescent="0.25">
      <c r="A145" s="16">
        <v>45323</v>
      </c>
      <c r="B145" s="98">
        <v>29</v>
      </c>
      <c r="C145" s="84">
        <f>122.58</f>
        <v>122.58</v>
      </c>
      <c r="D145" s="84">
        <f>297.941</f>
        <v>297.94099999999997</v>
      </c>
      <c r="E145" s="93">
        <f>89.177</f>
        <v>89.177000000000007</v>
      </c>
      <c r="F145" s="84">
        <f>240.302-40-60-100</f>
        <v>40.301999999999992</v>
      </c>
      <c r="G145" s="87">
        <v>40</v>
      </c>
      <c r="H145" s="84">
        <f>60+100</f>
        <v>160</v>
      </c>
      <c r="I145" s="84">
        <f t="shared" si="18"/>
        <v>0</v>
      </c>
      <c r="J145" s="87">
        <v>100</v>
      </c>
      <c r="K145" s="87">
        <v>300</v>
      </c>
      <c r="L145" s="84">
        <f t="shared" si="12"/>
        <v>1150</v>
      </c>
      <c r="M145" s="95">
        <v>600</v>
      </c>
      <c r="N145" s="84">
        <f>100</f>
        <v>100</v>
      </c>
      <c r="O145" s="87">
        <v>240</v>
      </c>
      <c r="P145" s="87">
        <v>40</v>
      </c>
      <c r="Q145" s="87">
        <f t="shared" si="13"/>
        <v>315</v>
      </c>
      <c r="R145" s="87">
        <f t="shared" si="14"/>
        <v>100</v>
      </c>
      <c r="S145" s="84">
        <f t="shared" si="15"/>
        <v>695</v>
      </c>
      <c r="T145" s="84">
        <f>50</f>
        <v>50</v>
      </c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</row>
    <row r="146" spans="1:30" ht="15.75" x14ac:dyDescent="0.25">
      <c r="A146" s="16">
        <v>45352</v>
      </c>
      <c r="B146" s="98">
        <v>31</v>
      </c>
      <c r="C146" s="84">
        <f>122.58</f>
        <v>122.58</v>
      </c>
      <c r="D146" s="84">
        <f>297.941</f>
        <v>297.94099999999997</v>
      </c>
      <c r="E146" s="93">
        <f>89.177</f>
        <v>89.177000000000007</v>
      </c>
      <c r="F146" s="84">
        <f>240.302-40-60-100</f>
        <v>40.301999999999992</v>
      </c>
      <c r="G146" s="87">
        <v>40</v>
      </c>
      <c r="H146" s="84">
        <f>60+100</f>
        <v>160</v>
      </c>
      <c r="I146" s="84">
        <f t="shared" si="18"/>
        <v>0</v>
      </c>
      <c r="J146" s="87">
        <v>100</v>
      </c>
      <c r="K146" s="87">
        <v>300</v>
      </c>
      <c r="L146" s="84">
        <f t="shared" si="12"/>
        <v>1150</v>
      </c>
      <c r="M146" s="95">
        <v>600</v>
      </c>
      <c r="N146" s="84">
        <f>100</f>
        <v>100</v>
      </c>
      <c r="O146" s="87">
        <v>240</v>
      </c>
      <c r="P146" s="87">
        <v>40</v>
      </c>
      <c r="Q146" s="87">
        <f t="shared" si="13"/>
        <v>315</v>
      </c>
      <c r="R146" s="87">
        <f t="shared" si="14"/>
        <v>100</v>
      </c>
      <c r="S146" s="84">
        <f t="shared" si="15"/>
        <v>695</v>
      </c>
      <c r="T146" s="84">
        <f>50</f>
        <v>50</v>
      </c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</row>
    <row r="147" spans="1:30" ht="15.75" x14ac:dyDescent="0.25">
      <c r="A147" s="16">
        <v>45383</v>
      </c>
      <c r="B147" s="98">
        <v>30</v>
      </c>
      <c r="C147" s="84">
        <f>141.293</f>
        <v>141.29300000000001</v>
      </c>
      <c r="D147" s="84">
        <f>267.993</f>
        <v>267.99299999999999</v>
      </c>
      <c r="E147" s="93">
        <f>115.016</f>
        <v>115.01600000000001</v>
      </c>
      <c r="F147" s="84">
        <f>314.698-40-25-60-100</f>
        <v>89.697999999999979</v>
      </c>
      <c r="G147" s="87">
        <v>40</v>
      </c>
      <c r="H147" s="84">
        <f t="shared" ref="H147:H153" si="21">25+60+100</f>
        <v>185</v>
      </c>
      <c r="I147" s="84">
        <f t="shared" si="18"/>
        <v>0</v>
      </c>
      <c r="J147" s="87">
        <v>100</v>
      </c>
      <c r="K147" s="87">
        <v>300</v>
      </c>
      <c r="L147" s="84">
        <f t="shared" si="12"/>
        <v>1239</v>
      </c>
      <c r="M147" s="95">
        <v>600</v>
      </c>
      <c r="N147" s="84">
        <f>100</f>
        <v>100</v>
      </c>
      <c r="O147" s="87">
        <v>240</v>
      </c>
      <c r="P147" s="87">
        <v>160</v>
      </c>
      <c r="Q147" s="87">
        <f t="shared" si="13"/>
        <v>195</v>
      </c>
      <c r="R147" s="87">
        <f t="shared" si="14"/>
        <v>100</v>
      </c>
      <c r="S147" s="84">
        <f t="shared" si="15"/>
        <v>695</v>
      </c>
      <c r="T147" s="84">
        <f>50</f>
        <v>50</v>
      </c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</row>
    <row r="148" spans="1:30" ht="15.75" x14ac:dyDescent="0.25">
      <c r="A148" s="16">
        <v>45413</v>
      </c>
      <c r="B148" s="98">
        <v>31</v>
      </c>
      <c r="C148" s="84">
        <f>194.205</f>
        <v>194.20500000000001</v>
      </c>
      <c r="D148" s="84">
        <f>267.466</f>
        <v>267.46600000000001</v>
      </c>
      <c r="E148" s="93">
        <f>133.845</f>
        <v>133.845</v>
      </c>
      <c r="F148" s="84">
        <f>278.484-40-25-60-100</f>
        <v>53.48399999999998</v>
      </c>
      <c r="G148" s="87">
        <v>40</v>
      </c>
      <c r="H148" s="84">
        <f t="shared" si="21"/>
        <v>185</v>
      </c>
      <c r="I148" s="84">
        <f t="shared" si="18"/>
        <v>0</v>
      </c>
      <c r="J148" s="87">
        <v>100</v>
      </c>
      <c r="K148" s="87">
        <v>300</v>
      </c>
      <c r="L148" s="84">
        <f t="shared" si="12"/>
        <v>1274</v>
      </c>
      <c r="M148" s="95">
        <v>600</v>
      </c>
      <c r="N148" s="84">
        <f>75</f>
        <v>75</v>
      </c>
      <c r="O148" s="87">
        <v>240</v>
      </c>
      <c r="P148" s="87">
        <v>160</v>
      </c>
      <c r="Q148" s="87">
        <f t="shared" si="13"/>
        <v>195</v>
      </c>
      <c r="R148" s="87">
        <f t="shared" si="14"/>
        <v>100</v>
      </c>
      <c r="S148" s="84">
        <f t="shared" si="15"/>
        <v>695</v>
      </c>
      <c r="T148" s="84">
        <f>50</f>
        <v>50</v>
      </c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</row>
    <row r="149" spans="1:30" ht="15.75" x14ac:dyDescent="0.25">
      <c r="A149" s="16">
        <v>45444</v>
      </c>
      <c r="B149" s="98">
        <v>30</v>
      </c>
      <c r="C149" s="84">
        <f>194.205</f>
        <v>194.20500000000001</v>
      </c>
      <c r="D149" s="84">
        <f>267.466</f>
        <v>267.46600000000001</v>
      </c>
      <c r="E149" s="93">
        <f>133.845</f>
        <v>133.845</v>
      </c>
      <c r="F149" s="84">
        <f>278.484-40-25-60-100</f>
        <v>53.48399999999998</v>
      </c>
      <c r="G149" s="87">
        <v>40</v>
      </c>
      <c r="H149" s="84">
        <f t="shared" si="21"/>
        <v>185</v>
      </c>
      <c r="I149" s="84">
        <f t="shared" si="18"/>
        <v>0</v>
      </c>
      <c r="J149" s="87">
        <v>100</v>
      </c>
      <c r="K149" s="87">
        <v>300</v>
      </c>
      <c r="L149" s="84">
        <f t="shared" si="12"/>
        <v>1274</v>
      </c>
      <c r="M149" s="95">
        <v>600</v>
      </c>
      <c r="N149" s="84">
        <f>30</f>
        <v>30</v>
      </c>
      <c r="O149" s="87">
        <v>240</v>
      </c>
      <c r="P149" s="87">
        <v>160</v>
      </c>
      <c r="Q149" s="87">
        <f t="shared" si="13"/>
        <v>195</v>
      </c>
      <c r="R149" s="87">
        <f t="shared" si="14"/>
        <v>100</v>
      </c>
      <c r="S149" s="84">
        <f t="shared" si="15"/>
        <v>695</v>
      </c>
      <c r="T149" s="84">
        <f>50</f>
        <v>50</v>
      </c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</row>
    <row r="150" spans="1:30" ht="15.75" x14ac:dyDescent="0.25">
      <c r="A150" s="16">
        <v>45474</v>
      </c>
      <c r="B150" s="98">
        <v>31</v>
      </c>
      <c r="C150" s="84">
        <f>194.205</f>
        <v>194.20500000000001</v>
      </c>
      <c r="D150" s="84">
        <f>267.466</f>
        <v>267.46600000000001</v>
      </c>
      <c r="E150" s="93">
        <f>133.845</f>
        <v>133.845</v>
      </c>
      <c r="F150" s="84">
        <f>278.484-40-25-60-100</f>
        <v>53.48399999999998</v>
      </c>
      <c r="G150" s="87">
        <v>40</v>
      </c>
      <c r="H150" s="84">
        <f t="shared" si="21"/>
        <v>185</v>
      </c>
      <c r="I150" s="84">
        <f t="shared" si="18"/>
        <v>0</v>
      </c>
      <c r="J150" s="87">
        <v>100</v>
      </c>
      <c r="K150" s="87">
        <v>300</v>
      </c>
      <c r="L150" s="84">
        <f t="shared" si="12"/>
        <v>1274</v>
      </c>
      <c r="M150" s="95">
        <v>600</v>
      </c>
      <c r="N150" s="84">
        <f>30</f>
        <v>30</v>
      </c>
      <c r="O150" s="87">
        <v>240</v>
      </c>
      <c r="P150" s="87">
        <v>160</v>
      </c>
      <c r="Q150" s="87">
        <f t="shared" si="13"/>
        <v>195</v>
      </c>
      <c r="R150" s="87">
        <f t="shared" si="14"/>
        <v>100</v>
      </c>
      <c r="S150" s="84">
        <f t="shared" si="15"/>
        <v>695</v>
      </c>
      <c r="T150" s="84">
        <f>0</f>
        <v>0</v>
      </c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</row>
    <row r="151" spans="1:30" ht="15.75" x14ac:dyDescent="0.25">
      <c r="A151" s="16">
        <v>45505</v>
      </c>
      <c r="B151" s="98">
        <v>31</v>
      </c>
      <c r="C151" s="84">
        <f>194.205</f>
        <v>194.20500000000001</v>
      </c>
      <c r="D151" s="84">
        <f>267.466</f>
        <v>267.46600000000001</v>
      </c>
      <c r="E151" s="93">
        <f>133.845</f>
        <v>133.845</v>
      </c>
      <c r="F151" s="84">
        <f>278.484-40-25-60-100</f>
        <v>53.48399999999998</v>
      </c>
      <c r="G151" s="87">
        <v>40</v>
      </c>
      <c r="H151" s="84">
        <f t="shared" si="21"/>
        <v>185</v>
      </c>
      <c r="I151" s="84">
        <f t="shared" si="18"/>
        <v>0</v>
      </c>
      <c r="J151" s="87">
        <v>100</v>
      </c>
      <c r="K151" s="87">
        <v>300</v>
      </c>
      <c r="L151" s="84">
        <f t="shared" si="12"/>
        <v>1274</v>
      </c>
      <c r="M151" s="95">
        <v>600</v>
      </c>
      <c r="N151" s="84">
        <f>30</f>
        <v>30</v>
      </c>
      <c r="O151" s="87">
        <v>240</v>
      </c>
      <c r="P151" s="87">
        <v>160</v>
      </c>
      <c r="Q151" s="87">
        <f t="shared" si="13"/>
        <v>195</v>
      </c>
      <c r="R151" s="87">
        <f t="shared" si="14"/>
        <v>100</v>
      </c>
      <c r="S151" s="84">
        <f t="shared" si="15"/>
        <v>695</v>
      </c>
      <c r="T151" s="84">
        <f>0</f>
        <v>0</v>
      </c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</row>
    <row r="152" spans="1:30" ht="15.75" x14ac:dyDescent="0.25">
      <c r="A152" s="16">
        <v>45536</v>
      </c>
      <c r="B152" s="98">
        <v>30</v>
      </c>
      <c r="C152" s="84">
        <f>194.205</f>
        <v>194.20500000000001</v>
      </c>
      <c r="D152" s="84">
        <f>267.466</f>
        <v>267.46600000000001</v>
      </c>
      <c r="E152" s="93">
        <f>133.845</f>
        <v>133.845</v>
      </c>
      <c r="F152" s="84">
        <f>278.484-40-25-60-100</f>
        <v>53.48399999999998</v>
      </c>
      <c r="G152" s="87">
        <v>40</v>
      </c>
      <c r="H152" s="84">
        <f t="shared" si="21"/>
        <v>185</v>
      </c>
      <c r="I152" s="84">
        <f t="shared" si="18"/>
        <v>0</v>
      </c>
      <c r="J152" s="87">
        <v>100</v>
      </c>
      <c r="K152" s="87">
        <v>300</v>
      </c>
      <c r="L152" s="84">
        <f t="shared" ref="L152:L215" si="22">SUM(C152:K152)</f>
        <v>1274</v>
      </c>
      <c r="M152" s="95">
        <v>600</v>
      </c>
      <c r="N152" s="84">
        <f>30</f>
        <v>30</v>
      </c>
      <c r="O152" s="87">
        <v>240</v>
      </c>
      <c r="P152" s="87">
        <v>160</v>
      </c>
      <c r="Q152" s="87">
        <f t="shared" ref="Q152:Q215" si="23">695-R152-O152-P152</f>
        <v>195</v>
      </c>
      <c r="R152" s="87">
        <f t="shared" ref="R152:R215" si="24">200-J152</f>
        <v>100</v>
      </c>
      <c r="S152" s="84">
        <f t="shared" ref="S152:S215" si="25">SUM(O152:R152)</f>
        <v>695</v>
      </c>
      <c r="T152" s="84">
        <f>0</f>
        <v>0</v>
      </c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</row>
    <row r="153" spans="1:30" ht="15.75" x14ac:dyDescent="0.25">
      <c r="A153" s="16">
        <v>45566</v>
      </c>
      <c r="B153" s="98">
        <v>31</v>
      </c>
      <c r="C153" s="84">
        <f>131.881</f>
        <v>131.881</v>
      </c>
      <c r="D153" s="84">
        <f>277.167</f>
        <v>277.16699999999997</v>
      </c>
      <c r="E153" s="93">
        <f>79.08</f>
        <v>79.08</v>
      </c>
      <c r="F153" s="84">
        <f>350.872-40-25-60-100</f>
        <v>125.87200000000001</v>
      </c>
      <c r="G153" s="87">
        <v>40</v>
      </c>
      <c r="H153" s="84">
        <f t="shared" si="21"/>
        <v>185</v>
      </c>
      <c r="I153" s="84">
        <f t="shared" si="18"/>
        <v>0</v>
      </c>
      <c r="J153" s="87">
        <v>100</v>
      </c>
      <c r="K153" s="87">
        <v>300</v>
      </c>
      <c r="L153" s="84">
        <f t="shared" si="22"/>
        <v>1239</v>
      </c>
      <c r="M153" s="95">
        <v>600</v>
      </c>
      <c r="N153" s="84">
        <f>75</f>
        <v>75</v>
      </c>
      <c r="O153" s="87">
        <v>240</v>
      </c>
      <c r="P153" s="87">
        <v>160</v>
      </c>
      <c r="Q153" s="87">
        <f t="shared" si="23"/>
        <v>195</v>
      </c>
      <c r="R153" s="87">
        <f t="shared" si="24"/>
        <v>100</v>
      </c>
      <c r="S153" s="84">
        <f t="shared" si="25"/>
        <v>695</v>
      </c>
      <c r="T153" s="84">
        <f>0</f>
        <v>0</v>
      </c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</row>
    <row r="154" spans="1:30" ht="15.75" x14ac:dyDescent="0.25">
      <c r="A154" s="16">
        <v>45597</v>
      </c>
      <c r="B154" s="98">
        <v>30</v>
      </c>
      <c r="C154" s="84">
        <f>122.58</f>
        <v>122.58</v>
      </c>
      <c r="D154" s="84">
        <f>297.941</f>
        <v>297.94099999999997</v>
      </c>
      <c r="E154" s="93">
        <f>89.177</f>
        <v>89.177000000000007</v>
      </c>
      <c r="F154" s="84">
        <f>240.302-40-60-100</f>
        <v>40.301999999999992</v>
      </c>
      <c r="G154" s="87">
        <v>40</v>
      </c>
      <c r="H154" s="84">
        <f>60+100</f>
        <v>160</v>
      </c>
      <c r="I154" s="84">
        <f t="shared" si="18"/>
        <v>0</v>
      </c>
      <c r="J154" s="87">
        <v>100</v>
      </c>
      <c r="K154" s="87">
        <v>300</v>
      </c>
      <c r="L154" s="84">
        <f t="shared" si="22"/>
        <v>1150</v>
      </c>
      <c r="M154" s="95">
        <v>600</v>
      </c>
      <c r="N154" s="84">
        <f>100</f>
        <v>100</v>
      </c>
      <c r="O154" s="87">
        <v>240</v>
      </c>
      <c r="P154" s="87">
        <v>40</v>
      </c>
      <c r="Q154" s="87">
        <f t="shared" si="23"/>
        <v>315</v>
      </c>
      <c r="R154" s="87">
        <f t="shared" si="24"/>
        <v>100</v>
      </c>
      <c r="S154" s="84">
        <f t="shared" si="25"/>
        <v>695</v>
      </c>
      <c r="T154" s="84">
        <f>50</f>
        <v>50</v>
      </c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</row>
    <row r="155" spans="1:30" ht="15.75" x14ac:dyDescent="0.25">
      <c r="A155" s="16">
        <v>45627</v>
      </c>
      <c r="B155" s="98">
        <v>31</v>
      </c>
      <c r="C155" s="84">
        <f>122.58</f>
        <v>122.58</v>
      </c>
      <c r="D155" s="84">
        <f>297.941</f>
        <v>297.94099999999997</v>
      </c>
      <c r="E155" s="93">
        <f>89.177</f>
        <v>89.177000000000007</v>
      </c>
      <c r="F155" s="84">
        <f>240.302-40-60-100</f>
        <v>40.301999999999992</v>
      </c>
      <c r="G155" s="87">
        <v>40</v>
      </c>
      <c r="H155" s="84">
        <f>60+100</f>
        <v>160</v>
      </c>
      <c r="I155" s="84">
        <f t="shared" si="18"/>
        <v>0</v>
      </c>
      <c r="J155" s="87">
        <v>100</v>
      </c>
      <c r="K155" s="87">
        <v>300</v>
      </c>
      <c r="L155" s="84">
        <f t="shared" si="22"/>
        <v>1150</v>
      </c>
      <c r="M155" s="95">
        <v>600</v>
      </c>
      <c r="N155" s="84">
        <f>100</f>
        <v>100</v>
      </c>
      <c r="O155" s="87">
        <v>240</v>
      </c>
      <c r="P155" s="87">
        <v>40</v>
      </c>
      <c r="Q155" s="87">
        <f t="shared" si="23"/>
        <v>315</v>
      </c>
      <c r="R155" s="87">
        <f t="shared" si="24"/>
        <v>100</v>
      </c>
      <c r="S155" s="84">
        <f t="shared" si="25"/>
        <v>695</v>
      </c>
      <c r="T155" s="84">
        <f>50</f>
        <v>50</v>
      </c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</row>
    <row r="156" spans="1:30" ht="15.75" x14ac:dyDescent="0.25">
      <c r="A156" s="16">
        <v>45658</v>
      </c>
      <c r="B156" s="98">
        <v>31</v>
      </c>
      <c r="C156" s="84">
        <f>122.58</f>
        <v>122.58</v>
      </c>
      <c r="D156" s="84">
        <f>297.941</f>
        <v>297.94099999999997</v>
      </c>
      <c r="E156" s="93">
        <f>89.177</f>
        <v>89.177000000000007</v>
      </c>
      <c r="F156" s="84">
        <f>240.302-40-60-100</f>
        <v>40.301999999999992</v>
      </c>
      <c r="G156" s="87">
        <v>40</v>
      </c>
      <c r="H156" s="84">
        <f>60+100</f>
        <v>160</v>
      </c>
      <c r="I156" s="84">
        <f t="shared" si="18"/>
        <v>0</v>
      </c>
      <c r="J156" s="87">
        <v>100</v>
      </c>
      <c r="K156" s="87">
        <v>300</v>
      </c>
      <c r="L156" s="84">
        <f t="shared" si="22"/>
        <v>1150</v>
      </c>
      <c r="M156" s="95">
        <v>600</v>
      </c>
      <c r="N156" s="84">
        <f>100</f>
        <v>100</v>
      </c>
      <c r="O156" s="87">
        <v>240</v>
      </c>
      <c r="P156" s="87">
        <v>40</v>
      </c>
      <c r="Q156" s="87">
        <f t="shared" si="23"/>
        <v>315</v>
      </c>
      <c r="R156" s="87">
        <f t="shared" si="24"/>
        <v>100</v>
      </c>
      <c r="S156" s="84">
        <f t="shared" si="25"/>
        <v>695</v>
      </c>
      <c r="T156" s="84">
        <f>50</f>
        <v>50</v>
      </c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</row>
    <row r="157" spans="1:30" ht="15.75" x14ac:dyDescent="0.25">
      <c r="A157" s="16">
        <v>45689</v>
      </c>
      <c r="B157" s="98">
        <v>28</v>
      </c>
      <c r="C157" s="84">
        <f>122.58</f>
        <v>122.58</v>
      </c>
      <c r="D157" s="84">
        <f>297.941</f>
        <v>297.94099999999997</v>
      </c>
      <c r="E157" s="93">
        <f>89.177</f>
        <v>89.177000000000007</v>
      </c>
      <c r="F157" s="84">
        <f>240.302-40-60-100</f>
        <v>40.301999999999992</v>
      </c>
      <c r="G157" s="87">
        <v>40</v>
      </c>
      <c r="H157" s="84">
        <f>60+100</f>
        <v>160</v>
      </c>
      <c r="I157" s="84">
        <f t="shared" si="18"/>
        <v>0</v>
      </c>
      <c r="J157" s="87">
        <v>100</v>
      </c>
      <c r="K157" s="87">
        <v>300</v>
      </c>
      <c r="L157" s="84">
        <f t="shared" si="22"/>
        <v>1150</v>
      </c>
      <c r="M157" s="95">
        <v>600</v>
      </c>
      <c r="N157" s="84">
        <f>100</f>
        <v>100</v>
      </c>
      <c r="O157" s="87">
        <v>240</v>
      </c>
      <c r="P157" s="87">
        <v>40</v>
      </c>
      <c r="Q157" s="87">
        <f t="shared" si="23"/>
        <v>315</v>
      </c>
      <c r="R157" s="87">
        <f t="shared" si="24"/>
        <v>100</v>
      </c>
      <c r="S157" s="84">
        <f t="shared" si="25"/>
        <v>695</v>
      </c>
      <c r="T157" s="84">
        <f>50</f>
        <v>50</v>
      </c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</row>
    <row r="158" spans="1:30" ht="15.75" x14ac:dyDescent="0.25">
      <c r="A158" s="16">
        <v>45717</v>
      </c>
      <c r="B158" s="98">
        <v>31</v>
      </c>
      <c r="C158" s="84">
        <f>122.58</f>
        <v>122.58</v>
      </c>
      <c r="D158" s="84">
        <f>297.941</f>
        <v>297.94099999999997</v>
      </c>
      <c r="E158" s="93">
        <f>89.177</f>
        <v>89.177000000000007</v>
      </c>
      <c r="F158" s="84">
        <f>240.302-40-60-100</f>
        <v>40.301999999999992</v>
      </c>
      <c r="G158" s="87">
        <v>40</v>
      </c>
      <c r="H158" s="84">
        <f>60+100</f>
        <v>160</v>
      </c>
      <c r="I158" s="84">
        <f t="shared" si="18"/>
        <v>0</v>
      </c>
      <c r="J158" s="87">
        <v>100</v>
      </c>
      <c r="K158" s="87">
        <v>300</v>
      </c>
      <c r="L158" s="84">
        <f t="shared" si="22"/>
        <v>1150</v>
      </c>
      <c r="M158" s="95">
        <v>600</v>
      </c>
      <c r="N158" s="84">
        <f>100</f>
        <v>100</v>
      </c>
      <c r="O158" s="87">
        <v>240</v>
      </c>
      <c r="P158" s="87">
        <v>40</v>
      </c>
      <c r="Q158" s="87">
        <f t="shared" si="23"/>
        <v>315</v>
      </c>
      <c r="R158" s="87">
        <f t="shared" si="24"/>
        <v>100</v>
      </c>
      <c r="S158" s="84">
        <f t="shared" si="25"/>
        <v>695</v>
      </c>
      <c r="T158" s="84">
        <f>50</f>
        <v>50</v>
      </c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</row>
    <row r="159" spans="1:30" ht="15.75" x14ac:dyDescent="0.25">
      <c r="A159" s="16">
        <v>45748</v>
      </c>
      <c r="B159" s="98">
        <v>30</v>
      </c>
      <c r="C159" s="84">
        <f>141.293</f>
        <v>141.29300000000001</v>
      </c>
      <c r="D159" s="84">
        <f>267.993</f>
        <v>267.99299999999999</v>
      </c>
      <c r="E159" s="93">
        <f>115.016</f>
        <v>115.01600000000001</v>
      </c>
      <c r="F159" s="84">
        <f>314.698-40-25-60-100</f>
        <v>89.697999999999979</v>
      </c>
      <c r="G159" s="87">
        <v>40</v>
      </c>
      <c r="H159" s="84">
        <f t="shared" ref="H159:H165" si="26">25+60+100</f>
        <v>185</v>
      </c>
      <c r="I159" s="84">
        <f t="shared" si="18"/>
        <v>0</v>
      </c>
      <c r="J159" s="87">
        <v>100</v>
      </c>
      <c r="K159" s="87">
        <v>300</v>
      </c>
      <c r="L159" s="84">
        <f t="shared" si="22"/>
        <v>1239</v>
      </c>
      <c r="M159" s="95">
        <v>600</v>
      </c>
      <c r="N159" s="84">
        <f>100</f>
        <v>100</v>
      </c>
      <c r="O159" s="87">
        <v>240</v>
      </c>
      <c r="P159" s="87">
        <v>160</v>
      </c>
      <c r="Q159" s="87">
        <f t="shared" si="23"/>
        <v>195</v>
      </c>
      <c r="R159" s="87">
        <f t="shared" si="24"/>
        <v>100</v>
      </c>
      <c r="S159" s="84">
        <f t="shared" si="25"/>
        <v>695</v>
      </c>
      <c r="T159" s="84">
        <f>50</f>
        <v>50</v>
      </c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</row>
    <row r="160" spans="1:30" ht="15.75" x14ac:dyDescent="0.25">
      <c r="A160" s="16">
        <v>45778</v>
      </c>
      <c r="B160" s="98">
        <v>31</v>
      </c>
      <c r="C160" s="84">
        <f>194.205</f>
        <v>194.20500000000001</v>
      </c>
      <c r="D160" s="84">
        <f>267.466</f>
        <v>267.46600000000001</v>
      </c>
      <c r="E160" s="93">
        <f>133.845</f>
        <v>133.845</v>
      </c>
      <c r="F160" s="84">
        <f>278.484-40-25-60-100</f>
        <v>53.48399999999998</v>
      </c>
      <c r="G160" s="87">
        <v>40</v>
      </c>
      <c r="H160" s="84">
        <f t="shared" si="26"/>
        <v>185</v>
      </c>
      <c r="I160" s="84">
        <f t="shared" si="18"/>
        <v>0</v>
      </c>
      <c r="J160" s="87">
        <v>100</v>
      </c>
      <c r="K160" s="87">
        <v>300</v>
      </c>
      <c r="L160" s="84">
        <f t="shared" si="22"/>
        <v>1274</v>
      </c>
      <c r="M160" s="95">
        <v>600</v>
      </c>
      <c r="N160" s="84">
        <f>75</f>
        <v>75</v>
      </c>
      <c r="O160" s="87">
        <v>240</v>
      </c>
      <c r="P160" s="87">
        <v>160</v>
      </c>
      <c r="Q160" s="87">
        <f t="shared" si="23"/>
        <v>195</v>
      </c>
      <c r="R160" s="87">
        <f t="shared" si="24"/>
        <v>100</v>
      </c>
      <c r="S160" s="84">
        <f t="shared" si="25"/>
        <v>695</v>
      </c>
      <c r="T160" s="84">
        <f>50</f>
        <v>50</v>
      </c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</row>
    <row r="161" spans="1:30" ht="15.75" x14ac:dyDescent="0.25">
      <c r="A161" s="16">
        <v>45809</v>
      </c>
      <c r="B161" s="98">
        <v>30</v>
      </c>
      <c r="C161" s="84">
        <f>194.205</f>
        <v>194.20500000000001</v>
      </c>
      <c r="D161" s="84">
        <f>267.466</f>
        <v>267.46600000000001</v>
      </c>
      <c r="E161" s="93">
        <f>133.845</f>
        <v>133.845</v>
      </c>
      <c r="F161" s="84">
        <f>278.484-40-25-60-100</f>
        <v>53.48399999999998</v>
      </c>
      <c r="G161" s="87">
        <v>40</v>
      </c>
      <c r="H161" s="84">
        <f t="shared" si="26"/>
        <v>185</v>
      </c>
      <c r="I161" s="84">
        <f t="shared" si="18"/>
        <v>0</v>
      </c>
      <c r="J161" s="87">
        <v>100</v>
      </c>
      <c r="K161" s="87">
        <v>300</v>
      </c>
      <c r="L161" s="84">
        <f t="shared" si="22"/>
        <v>1274</v>
      </c>
      <c r="M161" s="95">
        <v>600</v>
      </c>
      <c r="N161" s="84">
        <f>30</f>
        <v>30</v>
      </c>
      <c r="O161" s="87">
        <v>240</v>
      </c>
      <c r="P161" s="87">
        <v>160</v>
      </c>
      <c r="Q161" s="87">
        <f t="shared" si="23"/>
        <v>195</v>
      </c>
      <c r="R161" s="87">
        <f t="shared" si="24"/>
        <v>100</v>
      </c>
      <c r="S161" s="84">
        <f t="shared" si="25"/>
        <v>695</v>
      </c>
      <c r="T161" s="84">
        <f>50</f>
        <v>50</v>
      </c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</row>
    <row r="162" spans="1:30" ht="15.75" x14ac:dyDescent="0.25">
      <c r="A162" s="16">
        <v>45839</v>
      </c>
      <c r="B162" s="98">
        <v>31</v>
      </c>
      <c r="C162" s="84">
        <f>194.205</f>
        <v>194.20500000000001</v>
      </c>
      <c r="D162" s="84">
        <f>267.466</f>
        <v>267.46600000000001</v>
      </c>
      <c r="E162" s="93">
        <f>133.845</f>
        <v>133.845</v>
      </c>
      <c r="F162" s="84">
        <f>278.484-40-25-60-100</f>
        <v>53.48399999999998</v>
      </c>
      <c r="G162" s="87">
        <v>40</v>
      </c>
      <c r="H162" s="84">
        <f t="shared" si="26"/>
        <v>185</v>
      </c>
      <c r="I162" s="84">
        <f t="shared" si="18"/>
        <v>0</v>
      </c>
      <c r="J162" s="87">
        <v>100</v>
      </c>
      <c r="K162" s="87">
        <v>300</v>
      </c>
      <c r="L162" s="84">
        <f t="shared" si="22"/>
        <v>1274</v>
      </c>
      <c r="M162" s="95">
        <v>600</v>
      </c>
      <c r="N162" s="84">
        <f>30</f>
        <v>30</v>
      </c>
      <c r="O162" s="87">
        <v>240</v>
      </c>
      <c r="P162" s="87">
        <v>160</v>
      </c>
      <c r="Q162" s="87">
        <f t="shared" si="23"/>
        <v>195</v>
      </c>
      <c r="R162" s="87">
        <f t="shared" si="24"/>
        <v>100</v>
      </c>
      <c r="S162" s="84">
        <f t="shared" si="25"/>
        <v>695</v>
      </c>
      <c r="T162" s="84">
        <f>0</f>
        <v>0</v>
      </c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</row>
    <row r="163" spans="1:30" ht="15.75" x14ac:dyDescent="0.25">
      <c r="A163" s="16">
        <v>45870</v>
      </c>
      <c r="B163" s="98">
        <v>31</v>
      </c>
      <c r="C163" s="84">
        <f>194.205</f>
        <v>194.20500000000001</v>
      </c>
      <c r="D163" s="84">
        <f>267.466</f>
        <v>267.46600000000001</v>
      </c>
      <c r="E163" s="93">
        <f>133.845</f>
        <v>133.845</v>
      </c>
      <c r="F163" s="84">
        <f>278.484-40-25-60-100</f>
        <v>53.48399999999998</v>
      </c>
      <c r="G163" s="87">
        <v>40</v>
      </c>
      <c r="H163" s="84">
        <f t="shared" si="26"/>
        <v>185</v>
      </c>
      <c r="I163" s="84">
        <f t="shared" si="18"/>
        <v>0</v>
      </c>
      <c r="J163" s="87">
        <v>100</v>
      </c>
      <c r="K163" s="87">
        <v>300</v>
      </c>
      <c r="L163" s="84">
        <f t="shared" si="22"/>
        <v>1274</v>
      </c>
      <c r="M163" s="95">
        <v>600</v>
      </c>
      <c r="N163" s="84">
        <f>30</f>
        <v>30</v>
      </c>
      <c r="O163" s="87">
        <v>240</v>
      </c>
      <c r="P163" s="87">
        <v>160</v>
      </c>
      <c r="Q163" s="87">
        <f t="shared" si="23"/>
        <v>195</v>
      </c>
      <c r="R163" s="87">
        <f t="shared" si="24"/>
        <v>100</v>
      </c>
      <c r="S163" s="84">
        <f t="shared" si="25"/>
        <v>695</v>
      </c>
      <c r="T163" s="84">
        <f>0</f>
        <v>0</v>
      </c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</row>
    <row r="164" spans="1:30" ht="15.75" x14ac:dyDescent="0.25">
      <c r="A164" s="16">
        <v>45901</v>
      </c>
      <c r="B164" s="98">
        <v>30</v>
      </c>
      <c r="C164" s="84">
        <f>194.205</f>
        <v>194.20500000000001</v>
      </c>
      <c r="D164" s="84">
        <f>267.466</f>
        <v>267.46600000000001</v>
      </c>
      <c r="E164" s="93">
        <f>133.845</f>
        <v>133.845</v>
      </c>
      <c r="F164" s="84">
        <f>278.484-40-25-60-100</f>
        <v>53.48399999999998</v>
      </c>
      <c r="G164" s="87">
        <v>40</v>
      </c>
      <c r="H164" s="84">
        <f t="shared" si="26"/>
        <v>185</v>
      </c>
      <c r="I164" s="84">
        <f t="shared" si="18"/>
        <v>0</v>
      </c>
      <c r="J164" s="87">
        <v>100</v>
      </c>
      <c r="K164" s="87">
        <v>300</v>
      </c>
      <c r="L164" s="84">
        <f t="shared" si="22"/>
        <v>1274</v>
      </c>
      <c r="M164" s="95">
        <v>600</v>
      </c>
      <c r="N164" s="84">
        <f>30</f>
        <v>30</v>
      </c>
      <c r="O164" s="87">
        <v>240</v>
      </c>
      <c r="P164" s="87">
        <v>160</v>
      </c>
      <c r="Q164" s="87">
        <f t="shared" si="23"/>
        <v>195</v>
      </c>
      <c r="R164" s="87">
        <f t="shared" si="24"/>
        <v>100</v>
      </c>
      <c r="S164" s="84">
        <f t="shared" si="25"/>
        <v>695</v>
      </c>
      <c r="T164" s="84">
        <f>0</f>
        <v>0</v>
      </c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</row>
    <row r="165" spans="1:30" ht="15.75" x14ac:dyDescent="0.25">
      <c r="A165" s="16">
        <v>45931</v>
      </c>
      <c r="B165" s="98">
        <v>31</v>
      </c>
      <c r="C165" s="84">
        <f>131.881</f>
        <v>131.881</v>
      </c>
      <c r="D165" s="84">
        <f>277.167</f>
        <v>277.16699999999997</v>
      </c>
      <c r="E165" s="93">
        <f>79.08</f>
        <v>79.08</v>
      </c>
      <c r="F165" s="84">
        <f>350.872-40-25-60-100</f>
        <v>125.87200000000001</v>
      </c>
      <c r="G165" s="87">
        <v>40</v>
      </c>
      <c r="H165" s="84">
        <f t="shared" si="26"/>
        <v>185</v>
      </c>
      <c r="I165" s="84">
        <f t="shared" si="18"/>
        <v>0</v>
      </c>
      <c r="J165" s="87">
        <v>100</v>
      </c>
      <c r="K165" s="87">
        <v>300</v>
      </c>
      <c r="L165" s="84">
        <f t="shared" si="22"/>
        <v>1239</v>
      </c>
      <c r="M165" s="95">
        <v>600</v>
      </c>
      <c r="N165" s="84">
        <f>75</f>
        <v>75</v>
      </c>
      <c r="O165" s="87">
        <v>240</v>
      </c>
      <c r="P165" s="87">
        <v>160</v>
      </c>
      <c r="Q165" s="87">
        <f t="shared" si="23"/>
        <v>195</v>
      </c>
      <c r="R165" s="87">
        <f t="shared" si="24"/>
        <v>100</v>
      </c>
      <c r="S165" s="84">
        <f t="shared" si="25"/>
        <v>695</v>
      </c>
      <c r="T165" s="84">
        <f>0</f>
        <v>0</v>
      </c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</row>
    <row r="166" spans="1:30" ht="15.75" x14ac:dyDescent="0.25">
      <c r="A166" s="16">
        <v>45962</v>
      </c>
      <c r="B166" s="98">
        <v>30</v>
      </c>
      <c r="C166" s="84">
        <f>122.58</f>
        <v>122.58</v>
      </c>
      <c r="D166" s="84">
        <f>297.941</f>
        <v>297.94099999999997</v>
      </c>
      <c r="E166" s="93">
        <f>89.177</f>
        <v>89.177000000000007</v>
      </c>
      <c r="F166" s="84">
        <f>240.302-40-60-100</f>
        <v>40.301999999999992</v>
      </c>
      <c r="G166" s="87">
        <v>40</v>
      </c>
      <c r="H166" s="84">
        <f>60+100</f>
        <v>160</v>
      </c>
      <c r="I166" s="84">
        <f t="shared" si="18"/>
        <v>0</v>
      </c>
      <c r="J166" s="87">
        <v>100</v>
      </c>
      <c r="K166" s="87">
        <v>300</v>
      </c>
      <c r="L166" s="84">
        <f t="shared" si="22"/>
        <v>1150</v>
      </c>
      <c r="M166" s="95">
        <v>600</v>
      </c>
      <c r="N166" s="84">
        <f>100</f>
        <v>100</v>
      </c>
      <c r="O166" s="87">
        <v>240</v>
      </c>
      <c r="P166" s="87">
        <v>40</v>
      </c>
      <c r="Q166" s="87">
        <f t="shared" si="23"/>
        <v>315</v>
      </c>
      <c r="R166" s="87">
        <f t="shared" si="24"/>
        <v>100</v>
      </c>
      <c r="S166" s="84">
        <f t="shared" si="25"/>
        <v>695</v>
      </c>
      <c r="T166" s="84">
        <f>50</f>
        <v>50</v>
      </c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</row>
    <row r="167" spans="1:30" ht="15.75" x14ac:dyDescent="0.25">
      <c r="A167" s="16">
        <v>45992</v>
      </c>
      <c r="B167" s="98">
        <v>31</v>
      </c>
      <c r="C167" s="84">
        <f>122.58</f>
        <v>122.58</v>
      </c>
      <c r="D167" s="84">
        <f>297.941</f>
        <v>297.94099999999997</v>
      </c>
      <c r="E167" s="93">
        <f>89.177</f>
        <v>89.177000000000007</v>
      </c>
      <c r="F167" s="84">
        <f>240.302-40-60-100</f>
        <v>40.301999999999992</v>
      </c>
      <c r="G167" s="87">
        <v>40</v>
      </c>
      <c r="H167" s="84">
        <f>60+100</f>
        <v>160</v>
      </c>
      <c r="I167" s="84">
        <f t="shared" si="18"/>
        <v>0</v>
      </c>
      <c r="J167" s="87">
        <v>100</v>
      </c>
      <c r="K167" s="87">
        <v>300</v>
      </c>
      <c r="L167" s="84">
        <f t="shared" si="22"/>
        <v>1150</v>
      </c>
      <c r="M167" s="95">
        <v>600</v>
      </c>
      <c r="N167" s="84">
        <f>100</f>
        <v>100</v>
      </c>
      <c r="O167" s="87">
        <v>240</v>
      </c>
      <c r="P167" s="87">
        <v>40</v>
      </c>
      <c r="Q167" s="87">
        <f t="shared" si="23"/>
        <v>315</v>
      </c>
      <c r="R167" s="87">
        <f t="shared" si="24"/>
        <v>100</v>
      </c>
      <c r="S167" s="84">
        <f t="shared" si="25"/>
        <v>695</v>
      </c>
      <c r="T167" s="84">
        <f>50</f>
        <v>50</v>
      </c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</row>
    <row r="168" spans="1:30" ht="15.75" x14ac:dyDescent="0.25">
      <c r="A168" s="16">
        <v>46023</v>
      </c>
      <c r="B168" s="98">
        <v>31</v>
      </c>
      <c r="C168" s="84">
        <f>122.58</f>
        <v>122.58</v>
      </c>
      <c r="D168" s="84">
        <f>297.941</f>
        <v>297.94099999999997</v>
      </c>
      <c r="E168" s="93">
        <f>89.177</f>
        <v>89.177000000000007</v>
      </c>
      <c r="F168" s="84">
        <f>240.302-40-60-100</f>
        <v>40.301999999999992</v>
      </c>
      <c r="G168" s="87">
        <v>40</v>
      </c>
      <c r="H168" s="84">
        <f>60+100</f>
        <v>160</v>
      </c>
      <c r="I168" s="84">
        <f t="shared" si="18"/>
        <v>0</v>
      </c>
      <c r="J168" s="87">
        <v>100</v>
      </c>
      <c r="K168" s="87">
        <v>300</v>
      </c>
      <c r="L168" s="84">
        <f t="shared" si="22"/>
        <v>1150</v>
      </c>
      <c r="M168" s="95">
        <v>600</v>
      </c>
      <c r="N168" s="84">
        <f>100</f>
        <v>100</v>
      </c>
      <c r="O168" s="87">
        <v>240</v>
      </c>
      <c r="P168" s="87">
        <v>40</v>
      </c>
      <c r="Q168" s="87">
        <f t="shared" si="23"/>
        <v>315</v>
      </c>
      <c r="R168" s="87">
        <f t="shared" si="24"/>
        <v>100</v>
      </c>
      <c r="S168" s="84">
        <f t="shared" si="25"/>
        <v>695</v>
      </c>
      <c r="T168" s="84">
        <f>50</f>
        <v>50</v>
      </c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</row>
    <row r="169" spans="1:30" ht="15.75" x14ac:dyDescent="0.25">
      <c r="A169" s="16">
        <v>46054</v>
      </c>
      <c r="B169" s="98">
        <v>28</v>
      </c>
      <c r="C169" s="84">
        <f>122.58</f>
        <v>122.58</v>
      </c>
      <c r="D169" s="84">
        <f>297.941</f>
        <v>297.94099999999997</v>
      </c>
      <c r="E169" s="93">
        <f>89.177</f>
        <v>89.177000000000007</v>
      </c>
      <c r="F169" s="84">
        <f>240.302-40-60-100</f>
        <v>40.301999999999992</v>
      </c>
      <c r="G169" s="87">
        <v>40</v>
      </c>
      <c r="H169" s="84">
        <f>60+100</f>
        <v>160</v>
      </c>
      <c r="I169" s="84">
        <f t="shared" si="18"/>
        <v>0</v>
      </c>
      <c r="J169" s="87">
        <v>100</v>
      </c>
      <c r="K169" s="87">
        <v>300</v>
      </c>
      <c r="L169" s="84">
        <f t="shared" si="22"/>
        <v>1150</v>
      </c>
      <c r="M169" s="95">
        <v>600</v>
      </c>
      <c r="N169" s="84">
        <f>100</f>
        <v>100</v>
      </c>
      <c r="O169" s="87">
        <v>240</v>
      </c>
      <c r="P169" s="87">
        <v>40</v>
      </c>
      <c r="Q169" s="87">
        <f t="shared" si="23"/>
        <v>315</v>
      </c>
      <c r="R169" s="87">
        <f t="shared" si="24"/>
        <v>100</v>
      </c>
      <c r="S169" s="84">
        <f t="shared" si="25"/>
        <v>695</v>
      </c>
      <c r="T169" s="84">
        <f>50</f>
        <v>50</v>
      </c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</row>
    <row r="170" spans="1:30" ht="15.75" x14ac:dyDescent="0.25">
      <c r="A170" s="16">
        <v>46082</v>
      </c>
      <c r="B170" s="98">
        <v>31</v>
      </c>
      <c r="C170" s="84">
        <f>122.58</f>
        <v>122.58</v>
      </c>
      <c r="D170" s="84">
        <f>297.941</f>
        <v>297.94099999999997</v>
      </c>
      <c r="E170" s="93">
        <f>89.177</f>
        <v>89.177000000000007</v>
      </c>
      <c r="F170" s="84">
        <f>240.302-40-60-100</f>
        <v>40.301999999999992</v>
      </c>
      <c r="G170" s="87">
        <v>40</v>
      </c>
      <c r="H170" s="84">
        <f>60+100</f>
        <v>160</v>
      </c>
      <c r="I170" s="84">
        <f t="shared" si="18"/>
        <v>0</v>
      </c>
      <c r="J170" s="87">
        <v>100</v>
      </c>
      <c r="K170" s="87">
        <v>300</v>
      </c>
      <c r="L170" s="84">
        <f t="shared" si="22"/>
        <v>1150</v>
      </c>
      <c r="M170" s="95">
        <v>600</v>
      </c>
      <c r="N170" s="84">
        <f>100</f>
        <v>100</v>
      </c>
      <c r="O170" s="87">
        <v>240</v>
      </c>
      <c r="P170" s="87">
        <v>40</v>
      </c>
      <c r="Q170" s="87">
        <f t="shared" si="23"/>
        <v>315</v>
      </c>
      <c r="R170" s="87">
        <f t="shared" si="24"/>
        <v>100</v>
      </c>
      <c r="S170" s="84">
        <f t="shared" si="25"/>
        <v>695</v>
      </c>
      <c r="T170" s="84">
        <f>50</f>
        <v>50</v>
      </c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</row>
    <row r="171" spans="1:30" ht="15.75" x14ac:dyDescent="0.25">
      <c r="A171" s="16">
        <v>46113</v>
      </c>
      <c r="B171" s="98">
        <v>30</v>
      </c>
      <c r="C171" s="84">
        <f>141.293</f>
        <v>141.29300000000001</v>
      </c>
      <c r="D171" s="84">
        <f>267.993</f>
        <v>267.99299999999999</v>
      </c>
      <c r="E171" s="93">
        <f>115.016</f>
        <v>115.01600000000001</v>
      </c>
      <c r="F171" s="84">
        <f>314.698-40-25-60-100</f>
        <v>89.697999999999979</v>
      </c>
      <c r="G171" s="87">
        <v>40</v>
      </c>
      <c r="H171" s="84">
        <f t="shared" ref="H171:H177" si="27">25+60+100</f>
        <v>185</v>
      </c>
      <c r="I171" s="84">
        <f t="shared" si="18"/>
        <v>0</v>
      </c>
      <c r="J171" s="87">
        <v>100</v>
      </c>
      <c r="K171" s="87">
        <v>300</v>
      </c>
      <c r="L171" s="84">
        <f t="shared" si="22"/>
        <v>1239</v>
      </c>
      <c r="M171" s="95">
        <v>600</v>
      </c>
      <c r="N171" s="84">
        <f>100</f>
        <v>100</v>
      </c>
      <c r="O171" s="87">
        <v>240</v>
      </c>
      <c r="P171" s="87">
        <v>160</v>
      </c>
      <c r="Q171" s="87">
        <f t="shared" si="23"/>
        <v>195</v>
      </c>
      <c r="R171" s="87">
        <f t="shared" si="24"/>
        <v>100</v>
      </c>
      <c r="S171" s="84">
        <f t="shared" si="25"/>
        <v>695</v>
      </c>
      <c r="T171" s="84">
        <f>50</f>
        <v>50</v>
      </c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</row>
    <row r="172" spans="1:30" ht="15.75" x14ac:dyDescent="0.25">
      <c r="A172" s="16">
        <v>46143</v>
      </c>
      <c r="B172" s="98">
        <v>31</v>
      </c>
      <c r="C172" s="84">
        <f>194.205</f>
        <v>194.20500000000001</v>
      </c>
      <c r="D172" s="84">
        <f>267.466</f>
        <v>267.46600000000001</v>
      </c>
      <c r="E172" s="93">
        <f>133.845</f>
        <v>133.845</v>
      </c>
      <c r="F172" s="84">
        <f>278.484-40-25-60-100</f>
        <v>53.48399999999998</v>
      </c>
      <c r="G172" s="87">
        <v>40</v>
      </c>
      <c r="H172" s="84">
        <f t="shared" si="27"/>
        <v>185</v>
      </c>
      <c r="I172" s="84">
        <f t="shared" si="18"/>
        <v>0</v>
      </c>
      <c r="J172" s="87">
        <v>100</v>
      </c>
      <c r="K172" s="87">
        <v>300</v>
      </c>
      <c r="L172" s="84">
        <f t="shared" si="22"/>
        <v>1274</v>
      </c>
      <c r="M172" s="95">
        <v>600</v>
      </c>
      <c r="N172" s="84">
        <f>75</f>
        <v>75</v>
      </c>
      <c r="O172" s="87">
        <v>240</v>
      </c>
      <c r="P172" s="87">
        <v>160</v>
      </c>
      <c r="Q172" s="87">
        <f t="shared" si="23"/>
        <v>195</v>
      </c>
      <c r="R172" s="87">
        <f t="shared" si="24"/>
        <v>100</v>
      </c>
      <c r="S172" s="84">
        <f t="shared" si="25"/>
        <v>695</v>
      </c>
      <c r="T172" s="84">
        <f>50</f>
        <v>50</v>
      </c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</row>
    <row r="173" spans="1:30" ht="15.75" x14ac:dyDescent="0.25">
      <c r="A173" s="16">
        <v>46174</v>
      </c>
      <c r="B173" s="98">
        <v>30</v>
      </c>
      <c r="C173" s="84">
        <f>194.205</f>
        <v>194.20500000000001</v>
      </c>
      <c r="D173" s="84">
        <f>267.466</f>
        <v>267.46600000000001</v>
      </c>
      <c r="E173" s="93">
        <f>133.845</f>
        <v>133.845</v>
      </c>
      <c r="F173" s="84">
        <f>278.484-40-25-60-100</f>
        <v>53.48399999999998</v>
      </c>
      <c r="G173" s="87">
        <v>40</v>
      </c>
      <c r="H173" s="84">
        <f t="shared" si="27"/>
        <v>185</v>
      </c>
      <c r="I173" s="84">
        <f t="shared" si="18"/>
        <v>0</v>
      </c>
      <c r="J173" s="87">
        <v>100</v>
      </c>
      <c r="K173" s="87">
        <v>300</v>
      </c>
      <c r="L173" s="84">
        <f t="shared" si="22"/>
        <v>1274</v>
      </c>
      <c r="M173" s="95">
        <v>600</v>
      </c>
      <c r="N173" s="84">
        <f>30</f>
        <v>30</v>
      </c>
      <c r="O173" s="87">
        <v>240</v>
      </c>
      <c r="P173" s="87">
        <v>160</v>
      </c>
      <c r="Q173" s="87">
        <f t="shared" si="23"/>
        <v>195</v>
      </c>
      <c r="R173" s="87">
        <f t="shared" si="24"/>
        <v>100</v>
      </c>
      <c r="S173" s="84">
        <f t="shared" si="25"/>
        <v>695</v>
      </c>
      <c r="T173" s="84">
        <f>50</f>
        <v>50</v>
      </c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</row>
    <row r="174" spans="1:30" ht="15.75" x14ac:dyDescent="0.25">
      <c r="A174" s="16">
        <v>46204</v>
      </c>
      <c r="B174" s="98">
        <v>31</v>
      </c>
      <c r="C174" s="84">
        <f>194.205</f>
        <v>194.20500000000001</v>
      </c>
      <c r="D174" s="84">
        <f>267.466</f>
        <v>267.46600000000001</v>
      </c>
      <c r="E174" s="93">
        <f>133.845</f>
        <v>133.845</v>
      </c>
      <c r="F174" s="84">
        <f>278.484-40-25-60-100</f>
        <v>53.48399999999998</v>
      </c>
      <c r="G174" s="87">
        <v>40</v>
      </c>
      <c r="H174" s="84">
        <f t="shared" si="27"/>
        <v>185</v>
      </c>
      <c r="I174" s="84">
        <f t="shared" si="18"/>
        <v>0</v>
      </c>
      <c r="J174" s="87">
        <v>100</v>
      </c>
      <c r="K174" s="87">
        <v>300</v>
      </c>
      <c r="L174" s="84">
        <f t="shared" si="22"/>
        <v>1274</v>
      </c>
      <c r="M174" s="95">
        <v>600</v>
      </c>
      <c r="N174" s="84">
        <f>30</f>
        <v>30</v>
      </c>
      <c r="O174" s="87">
        <v>240</v>
      </c>
      <c r="P174" s="87">
        <v>160</v>
      </c>
      <c r="Q174" s="87">
        <f t="shared" si="23"/>
        <v>195</v>
      </c>
      <c r="R174" s="87">
        <f t="shared" si="24"/>
        <v>100</v>
      </c>
      <c r="S174" s="84">
        <f t="shared" si="25"/>
        <v>695</v>
      </c>
      <c r="T174" s="84">
        <f>0</f>
        <v>0</v>
      </c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</row>
    <row r="175" spans="1:30" ht="15.75" x14ac:dyDescent="0.25">
      <c r="A175" s="16">
        <v>46235</v>
      </c>
      <c r="B175" s="98">
        <v>31</v>
      </c>
      <c r="C175" s="84">
        <f>194.205</f>
        <v>194.20500000000001</v>
      </c>
      <c r="D175" s="84">
        <f>267.466</f>
        <v>267.46600000000001</v>
      </c>
      <c r="E175" s="93">
        <f>133.845</f>
        <v>133.845</v>
      </c>
      <c r="F175" s="84">
        <f>278.484-40-25-60-100</f>
        <v>53.48399999999998</v>
      </c>
      <c r="G175" s="87">
        <v>40</v>
      </c>
      <c r="H175" s="84">
        <f t="shared" si="27"/>
        <v>185</v>
      </c>
      <c r="I175" s="84">
        <f t="shared" si="18"/>
        <v>0</v>
      </c>
      <c r="J175" s="87">
        <v>100</v>
      </c>
      <c r="K175" s="87">
        <v>300</v>
      </c>
      <c r="L175" s="84">
        <f t="shared" si="22"/>
        <v>1274</v>
      </c>
      <c r="M175" s="95">
        <v>600</v>
      </c>
      <c r="N175" s="84">
        <f>30</f>
        <v>30</v>
      </c>
      <c r="O175" s="87">
        <v>240</v>
      </c>
      <c r="P175" s="87">
        <v>160</v>
      </c>
      <c r="Q175" s="87">
        <f t="shared" si="23"/>
        <v>195</v>
      </c>
      <c r="R175" s="87">
        <f t="shared" si="24"/>
        <v>100</v>
      </c>
      <c r="S175" s="84">
        <f t="shared" si="25"/>
        <v>695</v>
      </c>
      <c r="T175" s="84">
        <f>0</f>
        <v>0</v>
      </c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</row>
    <row r="176" spans="1:30" ht="15.75" x14ac:dyDescent="0.25">
      <c r="A176" s="16">
        <v>46266</v>
      </c>
      <c r="B176" s="98">
        <v>30</v>
      </c>
      <c r="C176" s="84">
        <f>194.205</f>
        <v>194.20500000000001</v>
      </c>
      <c r="D176" s="84">
        <f>267.466</f>
        <v>267.46600000000001</v>
      </c>
      <c r="E176" s="93">
        <f>133.845</f>
        <v>133.845</v>
      </c>
      <c r="F176" s="84">
        <f>278.484-40-25-60-100</f>
        <v>53.48399999999998</v>
      </c>
      <c r="G176" s="87">
        <v>40</v>
      </c>
      <c r="H176" s="84">
        <f t="shared" si="27"/>
        <v>185</v>
      </c>
      <c r="I176" s="84">
        <f t="shared" si="18"/>
        <v>0</v>
      </c>
      <c r="J176" s="87">
        <v>100</v>
      </c>
      <c r="K176" s="87">
        <v>300</v>
      </c>
      <c r="L176" s="84">
        <f t="shared" si="22"/>
        <v>1274</v>
      </c>
      <c r="M176" s="95">
        <v>600</v>
      </c>
      <c r="N176" s="84">
        <f>30</f>
        <v>30</v>
      </c>
      <c r="O176" s="87">
        <v>240</v>
      </c>
      <c r="P176" s="87">
        <v>160</v>
      </c>
      <c r="Q176" s="87">
        <f t="shared" si="23"/>
        <v>195</v>
      </c>
      <c r="R176" s="87">
        <f t="shared" si="24"/>
        <v>100</v>
      </c>
      <c r="S176" s="84">
        <f t="shared" si="25"/>
        <v>695</v>
      </c>
      <c r="T176" s="84">
        <f>0</f>
        <v>0</v>
      </c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</row>
    <row r="177" spans="1:30" ht="15.75" x14ac:dyDescent="0.25">
      <c r="A177" s="16">
        <v>46296</v>
      </c>
      <c r="B177" s="98">
        <v>31</v>
      </c>
      <c r="C177" s="84">
        <f>131.881</f>
        <v>131.881</v>
      </c>
      <c r="D177" s="84">
        <f>277.167</f>
        <v>277.16699999999997</v>
      </c>
      <c r="E177" s="93">
        <f>79.08</f>
        <v>79.08</v>
      </c>
      <c r="F177" s="84">
        <f>350.872-40-25-60-100</f>
        <v>125.87200000000001</v>
      </c>
      <c r="G177" s="87">
        <v>40</v>
      </c>
      <c r="H177" s="84">
        <f t="shared" si="27"/>
        <v>185</v>
      </c>
      <c r="I177" s="84">
        <f t="shared" si="18"/>
        <v>0</v>
      </c>
      <c r="J177" s="87">
        <v>100</v>
      </c>
      <c r="K177" s="87">
        <v>300</v>
      </c>
      <c r="L177" s="84">
        <f t="shared" si="22"/>
        <v>1239</v>
      </c>
      <c r="M177" s="95">
        <v>600</v>
      </c>
      <c r="N177" s="84">
        <f>75</f>
        <v>75</v>
      </c>
      <c r="O177" s="87">
        <v>240</v>
      </c>
      <c r="P177" s="87">
        <v>160</v>
      </c>
      <c r="Q177" s="87">
        <f t="shared" si="23"/>
        <v>195</v>
      </c>
      <c r="R177" s="87">
        <f t="shared" si="24"/>
        <v>100</v>
      </c>
      <c r="S177" s="84">
        <f t="shared" si="25"/>
        <v>695</v>
      </c>
      <c r="T177" s="84">
        <f>0</f>
        <v>0</v>
      </c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</row>
    <row r="178" spans="1:30" ht="15.75" x14ac:dyDescent="0.25">
      <c r="A178" s="16">
        <v>46327</v>
      </c>
      <c r="B178" s="98">
        <v>30</v>
      </c>
      <c r="C178" s="84">
        <f>122.58</f>
        <v>122.58</v>
      </c>
      <c r="D178" s="84">
        <f>297.941</f>
        <v>297.94099999999997</v>
      </c>
      <c r="E178" s="93">
        <f>89.177</f>
        <v>89.177000000000007</v>
      </c>
      <c r="F178" s="84">
        <f>240.302-40-60-100</f>
        <v>40.301999999999992</v>
      </c>
      <c r="G178" s="87">
        <v>40</v>
      </c>
      <c r="H178" s="84">
        <f>60+100</f>
        <v>160</v>
      </c>
      <c r="I178" s="84">
        <f t="shared" si="18"/>
        <v>0</v>
      </c>
      <c r="J178" s="87">
        <v>100</v>
      </c>
      <c r="K178" s="87">
        <v>300</v>
      </c>
      <c r="L178" s="84">
        <f t="shared" si="22"/>
        <v>1150</v>
      </c>
      <c r="M178" s="95">
        <v>600</v>
      </c>
      <c r="N178" s="84">
        <f>100</f>
        <v>100</v>
      </c>
      <c r="O178" s="87">
        <v>240</v>
      </c>
      <c r="P178" s="87">
        <v>40</v>
      </c>
      <c r="Q178" s="87">
        <f t="shared" si="23"/>
        <v>315</v>
      </c>
      <c r="R178" s="87">
        <f t="shared" si="24"/>
        <v>100</v>
      </c>
      <c r="S178" s="84">
        <f t="shared" si="25"/>
        <v>695</v>
      </c>
      <c r="T178" s="84">
        <f>50</f>
        <v>50</v>
      </c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</row>
    <row r="179" spans="1:30" ht="15.75" x14ac:dyDescent="0.25">
      <c r="A179" s="16">
        <v>46357</v>
      </c>
      <c r="B179" s="98">
        <v>31</v>
      </c>
      <c r="C179" s="84">
        <f>122.58</f>
        <v>122.58</v>
      </c>
      <c r="D179" s="84">
        <f>297.941</f>
        <v>297.94099999999997</v>
      </c>
      <c r="E179" s="93">
        <f>89.177</f>
        <v>89.177000000000007</v>
      </c>
      <c r="F179" s="84">
        <f>240.302-40-60-100</f>
        <v>40.301999999999992</v>
      </c>
      <c r="G179" s="87">
        <v>40</v>
      </c>
      <c r="H179" s="84">
        <f>60+100</f>
        <v>160</v>
      </c>
      <c r="I179" s="84">
        <f t="shared" si="18"/>
        <v>0</v>
      </c>
      <c r="J179" s="87">
        <v>100</v>
      </c>
      <c r="K179" s="87">
        <v>300</v>
      </c>
      <c r="L179" s="84">
        <f t="shared" si="22"/>
        <v>1150</v>
      </c>
      <c r="M179" s="95">
        <v>600</v>
      </c>
      <c r="N179" s="84">
        <f>100</f>
        <v>100</v>
      </c>
      <c r="O179" s="87">
        <v>240</v>
      </c>
      <c r="P179" s="87">
        <v>40</v>
      </c>
      <c r="Q179" s="87">
        <f t="shared" si="23"/>
        <v>315</v>
      </c>
      <c r="R179" s="87">
        <f t="shared" si="24"/>
        <v>100</v>
      </c>
      <c r="S179" s="84">
        <f t="shared" si="25"/>
        <v>695</v>
      </c>
      <c r="T179" s="84">
        <f>50</f>
        <v>50</v>
      </c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</row>
    <row r="180" spans="1:30" ht="15.75" x14ac:dyDescent="0.25">
      <c r="A180" s="16">
        <v>46388</v>
      </c>
      <c r="B180" s="98">
        <v>31</v>
      </c>
      <c r="C180" s="84">
        <f>122.58</f>
        <v>122.58</v>
      </c>
      <c r="D180" s="84">
        <f>297.941</f>
        <v>297.94099999999997</v>
      </c>
      <c r="E180" s="93">
        <f>89.177</f>
        <v>89.177000000000007</v>
      </c>
      <c r="F180" s="84">
        <f>240.302-40-60-100</f>
        <v>40.301999999999992</v>
      </c>
      <c r="G180" s="87">
        <v>40</v>
      </c>
      <c r="H180" s="84">
        <f>60+100</f>
        <v>160</v>
      </c>
      <c r="I180" s="84">
        <f t="shared" ref="I180:I243" si="28">400-J180-K180</f>
        <v>0</v>
      </c>
      <c r="J180" s="87">
        <v>100</v>
      </c>
      <c r="K180" s="87">
        <v>300</v>
      </c>
      <c r="L180" s="84">
        <f t="shared" si="22"/>
        <v>1150</v>
      </c>
      <c r="M180" s="95">
        <v>600</v>
      </c>
      <c r="N180" s="84">
        <f>100</f>
        <v>100</v>
      </c>
      <c r="O180" s="87">
        <v>240</v>
      </c>
      <c r="P180" s="87">
        <v>40</v>
      </c>
      <c r="Q180" s="87">
        <f t="shared" si="23"/>
        <v>315</v>
      </c>
      <c r="R180" s="87">
        <f t="shared" si="24"/>
        <v>100</v>
      </c>
      <c r="S180" s="84">
        <f t="shared" si="25"/>
        <v>695</v>
      </c>
      <c r="T180" s="84">
        <f>50</f>
        <v>50</v>
      </c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</row>
    <row r="181" spans="1:30" ht="15.75" x14ac:dyDescent="0.25">
      <c r="A181" s="16">
        <v>46419</v>
      </c>
      <c r="B181" s="98">
        <v>28</v>
      </c>
      <c r="C181" s="84">
        <f>122.58</f>
        <v>122.58</v>
      </c>
      <c r="D181" s="84">
        <f>297.941</f>
        <v>297.94099999999997</v>
      </c>
      <c r="E181" s="93">
        <f>89.177</f>
        <v>89.177000000000007</v>
      </c>
      <c r="F181" s="84">
        <f>240.302-40-60-100</f>
        <v>40.301999999999992</v>
      </c>
      <c r="G181" s="87">
        <v>40</v>
      </c>
      <c r="H181" s="84">
        <f>60+100</f>
        <v>160</v>
      </c>
      <c r="I181" s="84">
        <f t="shared" si="28"/>
        <v>0</v>
      </c>
      <c r="J181" s="87">
        <v>100</v>
      </c>
      <c r="K181" s="87">
        <v>300</v>
      </c>
      <c r="L181" s="84">
        <f t="shared" si="22"/>
        <v>1150</v>
      </c>
      <c r="M181" s="95">
        <v>600</v>
      </c>
      <c r="N181" s="84">
        <f>100</f>
        <v>100</v>
      </c>
      <c r="O181" s="87">
        <v>240</v>
      </c>
      <c r="P181" s="87">
        <v>40</v>
      </c>
      <c r="Q181" s="87">
        <f t="shared" si="23"/>
        <v>315</v>
      </c>
      <c r="R181" s="87">
        <f t="shared" si="24"/>
        <v>100</v>
      </c>
      <c r="S181" s="84">
        <f t="shared" si="25"/>
        <v>695</v>
      </c>
      <c r="T181" s="84">
        <f>50</f>
        <v>50</v>
      </c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</row>
    <row r="182" spans="1:30" ht="15.75" x14ac:dyDescent="0.25">
      <c r="A182" s="16">
        <v>46447</v>
      </c>
      <c r="B182" s="98">
        <v>31</v>
      </c>
      <c r="C182" s="84">
        <f>122.58</f>
        <v>122.58</v>
      </c>
      <c r="D182" s="84">
        <f>297.941</f>
        <v>297.94099999999997</v>
      </c>
      <c r="E182" s="93">
        <f>89.177</f>
        <v>89.177000000000007</v>
      </c>
      <c r="F182" s="84">
        <f>240.302-40-60-100</f>
        <v>40.301999999999992</v>
      </c>
      <c r="G182" s="87">
        <v>40</v>
      </c>
      <c r="H182" s="84">
        <f>60+100</f>
        <v>160</v>
      </c>
      <c r="I182" s="84">
        <f t="shared" si="28"/>
        <v>0</v>
      </c>
      <c r="J182" s="87">
        <v>100</v>
      </c>
      <c r="K182" s="87">
        <v>300</v>
      </c>
      <c r="L182" s="84">
        <f t="shared" si="22"/>
        <v>1150</v>
      </c>
      <c r="M182" s="95">
        <v>600</v>
      </c>
      <c r="N182" s="84">
        <f>100</f>
        <v>100</v>
      </c>
      <c r="O182" s="87">
        <v>240</v>
      </c>
      <c r="P182" s="87">
        <v>40</v>
      </c>
      <c r="Q182" s="87">
        <f t="shared" si="23"/>
        <v>315</v>
      </c>
      <c r="R182" s="87">
        <f t="shared" si="24"/>
        <v>100</v>
      </c>
      <c r="S182" s="84">
        <f t="shared" si="25"/>
        <v>695</v>
      </c>
      <c r="T182" s="84">
        <f>50</f>
        <v>50</v>
      </c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</row>
    <row r="183" spans="1:30" ht="15.75" x14ac:dyDescent="0.25">
      <c r="A183" s="16">
        <v>46478</v>
      </c>
      <c r="B183" s="98">
        <v>30</v>
      </c>
      <c r="C183" s="84">
        <f>141.293</f>
        <v>141.29300000000001</v>
      </c>
      <c r="D183" s="84">
        <f>267.993</f>
        <v>267.99299999999999</v>
      </c>
      <c r="E183" s="93">
        <f>115.016</f>
        <v>115.01600000000001</v>
      </c>
      <c r="F183" s="84">
        <f>314.698-40-25-60-100</f>
        <v>89.697999999999979</v>
      </c>
      <c r="G183" s="87">
        <v>40</v>
      </c>
      <c r="H183" s="84">
        <f t="shared" ref="H183:H189" si="29">25+60+100</f>
        <v>185</v>
      </c>
      <c r="I183" s="84">
        <f t="shared" si="28"/>
        <v>0</v>
      </c>
      <c r="J183" s="87">
        <v>100</v>
      </c>
      <c r="K183" s="87">
        <v>300</v>
      </c>
      <c r="L183" s="84">
        <f t="shared" si="22"/>
        <v>1239</v>
      </c>
      <c r="M183" s="95">
        <v>600</v>
      </c>
      <c r="N183" s="84">
        <f>100</f>
        <v>100</v>
      </c>
      <c r="O183" s="87">
        <v>240</v>
      </c>
      <c r="P183" s="87">
        <v>160</v>
      </c>
      <c r="Q183" s="87">
        <f t="shared" si="23"/>
        <v>195</v>
      </c>
      <c r="R183" s="87">
        <f t="shared" si="24"/>
        <v>100</v>
      </c>
      <c r="S183" s="84">
        <f t="shared" si="25"/>
        <v>695</v>
      </c>
      <c r="T183" s="84">
        <f>50</f>
        <v>50</v>
      </c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</row>
    <row r="184" spans="1:30" ht="15.75" x14ac:dyDescent="0.25">
      <c r="A184" s="16">
        <v>46508</v>
      </c>
      <c r="B184" s="98">
        <v>31</v>
      </c>
      <c r="C184" s="84">
        <f>194.205</f>
        <v>194.20500000000001</v>
      </c>
      <c r="D184" s="84">
        <f>267.466</f>
        <v>267.46600000000001</v>
      </c>
      <c r="E184" s="93">
        <f>133.845</f>
        <v>133.845</v>
      </c>
      <c r="F184" s="84">
        <f>278.484-40-25-60-100</f>
        <v>53.48399999999998</v>
      </c>
      <c r="G184" s="87">
        <v>40</v>
      </c>
      <c r="H184" s="84">
        <f t="shared" si="29"/>
        <v>185</v>
      </c>
      <c r="I184" s="84">
        <f t="shared" si="28"/>
        <v>0</v>
      </c>
      <c r="J184" s="87">
        <v>100</v>
      </c>
      <c r="K184" s="87">
        <v>300</v>
      </c>
      <c r="L184" s="84">
        <f t="shared" si="22"/>
        <v>1274</v>
      </c>
      <c r="M184" s="95">
        <v>600</v>
      </c>
      <c r="N184" s="84">
        <f>75</f>
        <v>75</v>
      </c>
      <c r="O184" s="87">
        <v>240</v>
      </c>
      <c r="P184" s="87">
        <v>160</v>
      </c>
      <c r="Q184" s="87">
        <f t="shared" si="23"/>
        <v>195</v>
      </c>
      <c r="R184" s="87">
        <f t="shared" si="24"/>
        <v>100</v>
      </c>
      <c r="S184" s="84">
        <f t="shared" si="25"/>
        <v>695</v>
      </c>
      <c r="T184" s="84">
        <f>50</f>
        <v>50</v>
      </c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</row>
    <row r="185" spans="1:30" ht="15.75" x14ac:dyDescent="0.25">
      <c r="A185" s="16">
        <v>46539</v>
      </c>
      <c r="B185" s="98">
        <v>30</v>
      </c>
      <c r="C185" s="84">
        <f>194.205</f>
        <v>194.20500000000001</v>
      </c>
      <c r="D185" s="84">
        <f>267.466</f>
        <v>267.46600000000001</v>
      </c>
      <c r="E185" s="93">
        <f>133.845</f>
        <v>133.845</v>
      </c>
      <c r="F185" s="84">
        <f>278.484-40-25-60-100</f>
        <v>53.48399999999998</v>
      </c>
      <c r="G185" s="87">
        <v>40</v>
      </c>
      <c r="H185" s="84">
        <f t="shared" si="29"/>
        <v>185</v>
      </c>
      <c r="I185" s="84">
        <f t="shared" si="28"/>
        <v>0</v>
      </c>
      <c r="J185" s="87">
        <v>100</v>
      </c>
      <c r="K185" s="87">
        <v>300</v>
      </c>
      <c r="L185" s="84">
        <f t="shared" si="22"/>
        <v>1274</v>
      </c>
      <c r="M185" s="95">
        <v>600</v>
      </c>
      <c r="N185" s="84">
        <f>30</f>
        <v>30</v>
      </c>
      <c r="O185" s="87">
        <v>240</v>
      </c>
      <c r="P185" s="87">
        <v>160</v>
      </c>
      <c r="Q185" s="87">
        <f t="shared" si="23"/>
        <v>195</v>
      </c>
      <c r="R185" s="87">
        <f t="shared" si="24"/>
        <v>100</v>
      </c>
      <c r="S185" s="84">
        <f t="shared" si="25"/>
        <v>695</v>
      </c>
      <c r="T185" s="84">
        <f>50</f>
        <v>50</v>
      </c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</row>
    <row r="186" spans="1:30" ht="15.75" x14ac:dyDescent="0.25">
      <c r="A186" s="16">
        <v>46569</v>
      </c>
      <c r="B186" s="98">
        <v>31</v>
      </c>
      <c r="C186" s="84">
        <f>194.205</f>
        <v>194.20500000000001</v>
      </c>
      <c r="D186" s="84">
        <f>267.466</f>
        <v>267.46600000000001</v>
      </c>
      <c r="E186" s="93">
        <f>133.845</f>
        <v>133.845</v>
      </c>
      <c r="F186" s="84">
        <f>278.484-40-25-60-100</f>
        <v>53.48399999999998</v>
      </c>
      <c r="G186" s="87">
        <v>40</v>
      </c>
      <c r="H186" s="84">
        <f t="shared" si="29"/>
        <v>185</v>
      </c>
      <c r="I186" s="84">
        <f t="shared" si="28"/>
        <v>0</v>
      </c>
      <c r="J186" s="87">
        <v>100</v>
      </c>
      <c r="K186" s="87">
        <v>300</v>
      </c>
      <c r="L186" s="84">
        <f t="shared" si="22"/>
        <v>1274</v>
      </c>
      <c r="M186" s="95">
        <v>600</v>
      </c>
      <c r="N186" s="84">
        <f>30</f>
        <v>30</v>
      </c>
      <c r="O186" s="87">
        <v>240</v>
      </c>
      <c r="P186" s="87">
        <v>160</v>
      </c>
      <c r="Q186" s="87">
        <f t="shared" si="23"/>
        <v>195</v>
      </c>
      <c r="R186" s="87">
        <f t="shared" si="24"/>
        <v>100</v>
      </c>
      <c r="S186" s="84">
        <f t="shared" si="25"/>
        <v>695</v>
      </c>
      <c r="T186" s="84">
        <f>0</f>
        <v>0</v>
      </c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</row>
    <row r="187" spans="1:30" ht="15.75" x14ac:dyDescent="0.25">
      <c r="A187" s="16">
        <v>46600</v>
      </c>
      <c r="B187" s="98">
        <v>31</v>
      </c>
      <c r="C187" s="84">
        <f>194.205</f>
        <v>194.20500000000001</v>
      </c>
      <c r="D187" s="84">
        <f>267.466</f>
        <v>267.46600000000001</v>
      </c>
      <c r="E187" s="93">
        <f>133.845</f>
        <v>133.845</v>
      </c>
      <c r="F187" s="84">
        <f>278.484-40-25-60-100</f>
        <v>53.48399999999998</v>
      </c>
      <c r="G187" s="87">
        <v>40</v>
      </c>
      <c r="H187" s="84">
        <f t="shared" si="29"/>
        <v>185</v>
      </c>
      <c r="I187" s="84">
        <f t="shared" si="28"/>
        <v>0</v>
      </c>
      <c r="J187" s="87">
        <v>100</v>
      </c>
      <c r="K187" s="87">
        <v>300</v>
      </c>
      <c r="L187" s="84">
        <f t="shared" si="22"/>
        <v>1274</v>
      </c>
      <c r="M187" s="95">
        <v>600</v>
      </c>
      <c r="N187" s="84">
        <f>30</f>
        <v>30</v>
      </c>
      <c r="O187" s="87">
        <v>240</v>
      </c>
      <c r="P187" s="87">
        <v>160</v>
      </c>
      <c r="Q187" s="87">
        <f t="shared" si="23"/>
        <v>195</v>
      </c>
      <c r="R187" s="87">
        <f t="shared" si="24"/>
        <v>100</v>
      </c>
      <c r="S187" s="84">
        <f t="shared" si="25"/>
        <v>695</v>
      </c>
      <c r="T187" s="84">
        <f>0</f>
        <v>0</v>
      </c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</row>
    <row r="188" spans="1:30" ht="15.75" x14ac:dyDescent="0.25">
      <c r="A188" s="16">
        <v>46631</v>
      </c>
      <c r="B188" s="98">
        <v>30</v>
      </c>
      <c r="C188" s="84">
        <f>194.205</f>
        <v>194.20500000000001</v>
      </c>
      <c r="D188" s="84">
        <f>267.466</f>
        <v>267.46600000000001</v>
      </c>
      <c r="E188" s="93">
        <f>133.845</f>
        <v>133.845</v>
      </c>
      <c r="F188" s="84">
        <f>278.484-40-25-60-100</f>
        <v>53.48399999999998</v>
      </c>
      <c r="G188" s="87">
        <v>40</v>
      </c>
      <c r="H188" s="84">
        <f t="shared" si="29"/>
        <v>185</v>
      </c>
      <c r="I188" s="84">
        <f t="shared" si="28"/>
        <v>0</v>
      </c>
      <c r="J188" s="87">
        <v>100</v>
      </c>
      <c r="K188" s="87">
        <v>300</v>
      </c>
      <c r="L188" s="84">
        <f t="shared" si="22"/>
        <v>1274</v>
      </c>
      <c r="M188" s="95">
        <v>600</v>
      </c>
      <c r="N188" s="84">
        <f>30</f>
        <v>30</v>
      </c>
      <c r="O188" s="87">
        <v>240</v>
      </c>
      <c r="P188" s="87">
        <v>160</v>
      </c>
      <c r="Q188" s="87">
        <f t="shared" si="23"/>
        <v>195</v>
      </c>
      <c r="R188" s="87">
        <f t="shared" si="24"/>
        <v>100</v>
      </c>
      <c r="S188" s="84">
        <f t="shared" si="25"/>
        <v>695</v>
      </c>
      <c r="T188" s="84">
        <f>0</f>
        <v>0</v>
      </c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</row>
    <row r="189" spans="1:30" ht="15.75" x14ac:dyDescent="0.25">
      <c r="A189" s="16">
        <v>46661</v>
      </c>
      <c r="B189" s="98">
        <v>31</v>
      </c>
      <c r="C189" s="84">
        <f>131.881</f>
        <v>131.881</v>
      </c>
      <c r="D189" s="84">
        <f>277.167</f>
        <v>277.16699999999997</v>
      </c>
      <c r="E189" s="93">
        <f>79.08</f>
        <v>79.08</v>
      </c>
      <c r="F189" s="84">
        <f>350.872-40-25-60-100</f>
        <v>125.87200000000001</v>
      </c>
      <c r="G189" s="87">
        <v>40</v>
      </c>
      <c r="H189" s="84">
        <f t="shared" si="29"/>
        <v>185</v>
      </c>
      <c r="I189" s="84">
        <f t="shared" si="28"/>
        <v>0</v>
      </c>
      <c r="J189" s="87">
        <v>100</v>
      </c>
      <c r="K189" s="87">
        <v>300</v>
      </c>
      <c r="L189" s="84">
        <f t="shared" si="22"/>
        <v>1239</v>
      </c>
      <c r="M189" s="95">
        <v>600</v>
      </c>
      <c r="N189" s="84">
        <f>75</f>
        <v>75</v>
      </c>
      <c r="O189" s="87">
        <v>240</v>
      </c>
      <c r="P189" s="87">
        <v>160</v>
      </c>
      <c r="Q189" s="87">
        <f t="shared" si="23"/>
        <v>195</v>
      </c>
      <c r="R189" s="87">
        <f t="shared" si="24"/>
        <v>100</v>
      </c>
      <c r="S189" s="84">
        <f t="shared" si="25"/>
        <v>695</v>
      </c>
      <c r="T189" s="84">
        <f>0</f>
        <v>0</v>
      </c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</row>
    <row r="190" spans="1:30" ht="15.75" x14ac:dyDescent="0.25">
      <c r="A190" s="16">
        <v>46692</v>
      </c>
      <c r="B190" s="98">
        <v>30</v>
      </c>
      <c r="C190" s="84">
        <f>122.58</f>
        <v>122.58</v>
      </c>
      <c r="D190" s="84">
        <f>297.941</f>
        <v>297.94099999999997</v>
      </c>
      <c r="E190" s="93">
        <f>89.177</f>
        <v>89.177000000000007</v>
      </c>
      <c r="F190" s="84">
        <f>240.302-40-60-100</f>
        <v>40.301999999999992</v>
      </c>
      <c r="G190" s="87">
        <v>40</v>
      </c>
      <c r="H190" s="84">
        <f>60+100</f>
        <v>160</v>
      </c>
      <c r="I190" s="84">
        <f t="shared" si="28"/>
        <v>0</v>
      </c>
      <c r="J190" s="87">
        <v>100</v>
      </c>
      <c r="K190" s="87">
        <v>300</v>
      </c>
      <c r="L190" s="84">
        <f t="shared" si="22"/>
        <v>1150</v>
      </c>
      <c r="M190" s="95">
        <v>600</v>
      </c>
      <c r="N190" s="84">
        <f>100</f>
        <v>100</v>
      </c>
      <c r="O190" s="87">
        <v>240</v>
      </c>
      <c r="P190" s="87">
        <v>40</v>
      </c>
      <c r="Q190" s="87">
        <f t="shared" si="23"/>
        <v>315</v>
      </c>
      <c r="R190" s="87">
        <f t="shared" si="24"/>
        <v>100</v>
      </c>
      <c r="S190" s="84">
        <f t="shared" si="25"/>
        <v>695</v>
      </c>
      <c r="T190" s="84">
        <f>50</f>
        <v>50</v>
      </c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</row>
    <row r="191" spans="1:30" ht="15.75" x14ac:dyDescent="0.25">
      <c r="A191" s="16">
        <v>46722</v>
      </c>
      <c r="B191" s="98">
        <v>31</v>
      </c>
      <c r="C191" s="84">
        <f>122.58</f>
        <v>122.58</v>
      </c>
      <c r="D191" s="84">
        <f>297.941</f>
        <v>297.94099999999997</v>
      </c>
      <c r="E191" s="93">
        <f>89.177</f>
        <v>89.177000000000007</v>
      </c>
      <c r="F191" s="84">
        <f>240.302-40-60-100</f>
        <v>40.301999999999992</v>
      </c>
      <c r="G191" s="87">
        <v>40</v>
      </c>
      <c r="H191" s="84">
        <f>60+100</f>
        <v>160</v>
      </c>
      <c r="I191" s="84">
        <f t="shared" si="28"/>
        <v>0</v>
      </c>
      <c r="J191" s="87">
        <v>100</v>
      </c>
      <c r="K191" s="87">
        <v>300</v>
      </c>
      <c r="L191" s="84">
        <f t="shared" si="22"/>
        <v>1150</v>
      </c>
      <c r="M191" s="95">
        <v>600</v>
      </c>
      <c r="N191" s="84">
        <f>100</f>
        <v>100</v>
      </c>
      <c r="O191" s="87">
        <v>240</v>
      </c>
      <c r="P191" s="87">
        <v>40</v>
      </c>
      <c r="Q191" s="87">
        <f t="shared" si="23"/>
        <v>315</v>
      </c>
      <c r="R191" s="87">
        <f t="shared" si="24"/>
        <v>100</v>
      </c>
      <c r="S191" s="84">
        <f t="shared" si="25"/>
        <v>695</v>
      </c>
      <c r="T191" s="84">
        <f>50</f>
        <v>50</v>
      </c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</row>
    <row r="192" spans="1:30" ht="15.75" x14ac:dyDescent="0.25">
      <c r="A192" s="16">
        <v>46753</v>
      </c>
      <c r="B192" s="98">
        <v>31</v>
      </c>
      <c r="C192" s="84">
        <f>122.58</f>
        <v>122.58</v>
      </c>
      <c r="D192" s="84">
        <f>297.941</f>
        <v>297.94099999999997</v>
      </c>
      <c r="E192" s="93">
        <f>89.177</f>
        <v>89.177000000000007</v>
      </c>
      <c r="F192" s="84">
        <f>240.302-40-60-100</f>
        <v>40.301999999999992</v>
      </c>
      <c r="G192" s="87">
        <v>40</v>
      </c>
      <c r="H192" s="84">
        <f>60+100</f>
        <v>160</v>
      </c>
      <c r="I192" s="84">
        <f t="shared" si="28"/>
        <v>0</v>
      </c>
      <c r="J192" s="87">
        <v>100</v>
      </c>
      <c r="K192" s="87">
        <v>300</v>
      </c>
      <c r="L192" s="84">
        <f t="shared" si="22"/>
        <v>1150</v>
      </c>
      <c r="M192" s="95">
        <v>600</v>
      </c>
      <c r="N192" s="84">
        <f>100</f>
        <v>100</v>
      </c>
      <c r="O192" s="87">
        <v>240</v>
      </c>
      <c r="P192" s="87">
        <v>40</v>
      </c>
      <c r="Q192" s="87">
        <f t="shared" si="23"/>
        <v>315</v>
      </c>
      <c r="R192" s="87">
        <f t="shared" si="24"/>
        <v>100</v>
      </c>
      <c r="S192" s="84">
        <f t="shared" si="25"/>
        <v>695</v>
      </c>
      <c r="T192" s="84">
        <f>50</f>
        <v>50</v>
      </c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</row>
    <row r="193" spans="1:30" ht="15.75" x14ac:dyDescent="0.25">
      <c r="A193" s="16">
        <v>46784</v>
      </c>
      <c r="B193" s="98">
        <v>29</v>
      </c>
      <c r="C193" s="84">
        <f>122.58</f>
        <v>122.58</v>
      </c>
      <c r="D193" s="84">
        <f>297.941</f>
        <v>297.94099999999997</v>
      </c>
      <c r="E193" s="93">
        <f>89.177</f>
        <v>89.177000000000007</v>
      </c>
      <c r="F193" s="84">
        <f>240.302-40-60-100</f>
        <v>40.301999999999992</v>
      </c>
      <c r="G193" s="87">
        <v>40</v>
      </c>
      <c r="H193" s="84">
        <f>60+100</f>
        <v>160</v>
      </c>
      <c r="I193" s="84">
        <f t="shared" si="28"/>
        <v>0</v>
      </c>
      <c r="J193" s="87">
        <v>100</v>
      </c>
      <c r="K193" s="87">
        <v>300</v>
      </c>
      <c r="L193" s="84">
        <f t="shared" si="22"/>
        <v>1150</v>
      </c>
      <c r="M193" s="95">
        <v>600</v>
      </c>
      <c r="N193" s="84">
        <f>100</f>
        <v>100</v>
      </c>
      <c r="O193" s="87">
        <v>240</v>
      </c>
      <c r="P193" s="87">
        <v>40</v>
      </c>
      <c r="Q193" s="87">
        <f t="shared" si="23"/>
        <v>315</v>
      </c>
      <c r="R193" s="87">
        <f t="shared" si="24"/>
        <v>100</v>
      </c>
      <c r="S193" s="84">
        <f t="shared" si="25"/>
        <v>695</v>
      </c>
      <c r="T193" s="84">
        <f>50</f>
        <v>50</v>
      </c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</row>
    <row r="194" spans="1:30" ht="15.75" x14ac:dyDescent="0.25">
      <c r="A194" s="16">
        <v>46813</v>
      </c>
      <c r="B194" s="98">
        <v>31</v>
      </c>
      <c r="C194" s="84">
        <f>122.58</f>
        <v>122.58</v>
      </c>
      <c r="D194" s="84">
        <f>297.941</f>
        <v>297.94099999999997</v>
      </c>
      <c r="E194" s="93">
        <f>89.177</f>
        <v>89.177000000000007</v>
      </c>
      <c r="F194" s="84">
        <f>240.302-40-60-100</f>
        <v>40.301999999999992</v>
      </c>
      <c r="G194" s="87">
        <v>40</v>
      </c>
      <c r="H194" s="84">
        <f>60+100</f>
        <v>160</v>
      </c>
      <c r="I194" s="84">
        <f t="shared" si="28"/>
        <v>0</v>
      </c>
      <c r="J194" s="87">
        <v>100</v>
      </c>
      <c r="K194" s="87">
        <v>300</v>
      </c>
      <c r="L194" s="84">
        <f t="shared" si="22"/>
        <v>1150</v>
      </c>
      <c r="M194" s="95">
        <v>600</v>
      </c>
      <c r="N194" s="84">
        <f>100</f>
        <v>100</v>
      </c>
      <c r="O194" s="87">
        <v>240</v>
      </c>
      <c r="P194" s="87">
        <v>40</v>
      </c>
      <c r="Q194" s="87">
        <f t="shared" si="23"/>
        <v>315</v>
      </c>
      <c r="R194" s="87">
        <f t="shared" si="24"/>
        <v>100</v>
      </c>
      <c r="S194" s="84">
        <f t="shared" si="25"/>
        <v>695</v>
      </c>
      <c r="T194" s="84">
        <f>50</f>
        <v>50</v>
      </c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</row>
    <row r="195" spans="1:30" ht="15.75" x14ac:dyDescent="0.25">
      <c r="A195" s="16">
        <v>46844</v>
      </c>
      <c r="B195" s="98">
        <v>30</v>
      </c>
      <c r="C195" s="84">
        <f>141.293</f>
        <v>141.29300000000001</v>
      </c>
      <c r="D195" s="84">
        <f>267.993</f>
        <v>267.99299999999999</v>
      </c>
      <c r="E195" s="93">
        <f>115.016</f>
        <v>115.01600000000001</v>
      </c>
      <c r="F195" s="84">
        <f>314.698-40-25-60-100</f>
        <v>89.697999999999979</v>
      </c>
      <c r="G195" s="87">
        <v>40</v>
      </c>
      <c r="H195" s="84">
        <f t="shared" ref="H195:H201" si="30">25+60+100</f>
        <v>185</v>
      </c>
      <c r="I195" s="84">
        <f t="shared" si="28"/>
        <v>0</v>
      </c>
      <c r="J195" s="87">
        <v>100</v>
      </c>
      <c r="K195" s="87">
        <v>300</v>
      </c>
      <c r="L195" s="84">
        <f t="shared" si="22"/>
        <v>1239</v>
      </c>
      <c r="M195" s="95">
        <v>600</v>
      </c>
      <c r="N195" s="84">
        <f>100</f>
        <v>100</v>
      </c>
      <c r="O195" s="87">
        <v>240</v>
      </c>
      <c r="P195" s="87">
        <v>160</v>
      </c>
      <c r="Q195" s="87">
        <f t="shared" si="23"/>
        <v>195</v>
      </c>
      <c r="R195" s="87">
        <f t="shared" si="24"/>
        <v>100</v>
      </c>
      <c r="S195" s="84">
        <f t="shared" si="25"/>
        <v>695</v>
      </c>
      <c r="T195" s="84">
        <f>50</f>
        <v>50</v>
      </c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</row>
    <row r="196" spans="1:30" ht="15.75" x14ac:dyDescent="0.25">
      <c r="A196" s="16">
        <v>46874</v>
      </c>
      <c r="B196" s="98">
        <v>31</v>
      </c>
      <c r="C196" s="84">
        <f>194.205</f>
        <v>194.20500000000001</v>
      </c>
      <c r="D196" s="84">
        <f>267.466</f>
        <v>267.46600000000001</v>
      </c>
      <c r="E196" s="93">
        <f>133.845</f>
        <v>133.845</v>
      </c>
      <c r="F196" s="84">
        <f>278.484-40-25-60-100</f>
        <v>53.48399999999998</v>
      </c>
      <c r="G196" s="87">
        <v>40</v>
      </c>
      <c r="H196" s="84">
        <f t="shared" si="30"/>
        <v>185</v>
      </c>
      <c r="I196" s="84">
        <f t="shared" si="28"/>
        <v>0</v>
      </c>
      <c r="J196" s="87">
        <v>100</v>
      </c>
      <c r="K196" s="87">
        <v>300</v>
      </c>
      <c r="L196" s="84">
        <f t="shared" si="22"/>
        <v>1274</v>
      </c>
      <c r="M196" s="95">
        <v>600</v>
      </c>
      <c r="N196" s="84">
        <f>75</f>
        <v>75</v>
      </c>
      <c r="O196" s="87">
        <v>240</v>
      </c>
      <c r="P196" s="87">
        <v>160</v>
      </c>
      <c r="Q196" s="87">
        <f t="shared" si="23"/>
        <v>195</v>
      </c>
      <c r="R196" s="87">
        <f t="shared" si="24"/>
        <v>100</v>
      </c>
      <c r="S196" s="84">
        <f t="shared" si="25"/>
        <v>695</v>
      </c>
      <c r="T196" s="84">
        <f>50</f>
        <v>50</v>
      </c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</row>
    <row r="197" spans="1:30" ht="15.75" x14ac:dyDescent="0.25">
      <c r="A197" s="16">
        <v>46905</v>
      </c>
      <c r="B197" s="98">
        <v>30</v>
      </c>
      <c r="C197" s="84">
        <f>194.205</f>
        <v>194.20500000000001</v>
      </c>
      <c r="D197" s="84">
        <f>267.466</f>
        <v>267.46600000000001</v>
      </c>
      <c r="E197" s="93">
        <f>133.845</f>
        <v>133.845</v>
      </c>
      <c r="F197" s="84">
        <f>278.484-40-25-60-100</f>
        <v>53.48399999999998</v>
      </c>
      <c r="G197" s="87">
        <v>40</v>
      </c>
      <c r="H197" s="84">
        <f t="shared" si="30"/>
        <v>185</v>
      </c>
      <c r="I197" s="84">
        <f t="shared" si="28"/>
        <v>0</v>
      </c>
      <c r="J197" s="87">
        <v>100</v>
      </c>
      <c r="K197" s="87">
        <v>300</v>
      </c>
      <c r="L197" s="84">
        <f t="shared" si="22"/>
        <v>1274</v>
      </c>
      <c r="M197" s="95">
        <v>600</v>
      </c>
      <c r="N197" s="84">
        <f>30</f>
        <v>30</v>
      </c>
      <c r="O197" s="87">
        <v>240</v>
      </c>
      <c r="P197" s="87">
        <v>160</v>
      </c>
      <c r="Q197" s="87">
        <f t="shared" si="23"/>
        <v>195</v>
      </c>
      <c r="R197" s="87">
        <f t="shared" si="24"/>
        <v>100</v>
      </c>
      <c r="S197" s="84">
        <f t="shared" si="25"/>
        <v>695</v>
      </c>
      <c r="T197" s="84">
        <f>50</f>
        <v>50</v>
      </c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</row>
    <row r="198" spans="1:30" ht="15.75" x14ac:dyDescent="0.25">
      <c r="A198" s="16">
        <v>46935</v>
      </c>
      <c r="B198" s="98">
        <v>31</v>
      </c>
      <c r="C198" s="84">
        <f>194.205</f>
        <v>194.20500000000001</v>
      </c>
      <c r="D198" s="84">
        <f>267.466</f>
        <v>267.46600000000001</v>
      </c>
      <c r="E198" s="93">
        <f>133.845</f>
        <v>133.845</v>
      </c>
      <c r="F198" s="84">
        <f>278.484-40-25-60-100</f>
        <v>53.48399999999998</v>
      </c>
      <c r="G198" s="87">
        <v>40</v>
      </c>
      <c r="H198" s="84">
        <f t="shared" si="30"/>
        <v>185</v>
      </c>
      <c r="I198" s="84">
        <f t="shared" si="28"/>
        <v>0</v>
      </c>
      <c r="J198" s="87">
        <v>100</v>
      </c>
      <c r="K198" s="87">
        <v>300</v>
      </c>
      <c r="L198" s="84">
        <f t="shared" si="22"/>
        <v>1274</v>
      </c>
      <c r="M198" s="95">
        <v>600</v>
      </c>
      <c r="N198" s="84">
        <f>30</f>
        <v>30</v>
      </c>
      <c r="O198" s="87">
        <v>240</v>
      </c>
      <c r="P198" s="87">
        <v>160</v>
      </c>
      <c r="Q198" s="87">
        <f t="shared" si="23"/>
        <v>195</v>
      </c>
      <c r="R198" s="87">
        <f t="shared" si="24"/>
        <v>100</v>
      </c>
      <c r="S198" s="84">
        <f t="shared" si="25"/>
        <v>695</v>
      </c>
      <c r="T198" s="84">
        <f>0</f>
        <v>0</v>
      </c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</row>
    <row r="199" spans="1:30" ht="15.75" x14ac:dyDescent="0.25">
      <c r="A199" s="16">
        <v>46966</v>
      </c>
      <c r="B199" s="98">
        <v>31</v>
      </c>
      <c r="C199" s="84">
        <f>194.205</f>
        <v>194.20500000000001</v>
      </c>
      <c r="D199" s="84">
        <f>267.466</f>
        <v>267.46600000000001</v>
      </c>
      <c r="E199" s="93">
        <f>133.845</f>
        <v>133.845</v>
      </c>
      <c r="F199" s="84">
        <f>278.484-40-25-60-100</f>
        <v>53.48399999999998</v>
      </c>
      <c r="G199" s="87">
        <v>40</v>
      </c>
      <c r="H199" s="84">
        <f t="shared" si="30"/>
        <v>185</v>
      </c>
      <c r="I199" s="84">
        <f t="shared" si="28"/>
        <v>0</v>
      </c>
      <c r="J199" s="87">
        <v>100</v>
      </c>
      <c r="K199" s="87">
        <v>300</v>
      </c>
      <c r="L199" s="84">
        <f t="shared" si="22"/>
        <v>1274</v>
      </c>
      <c r="M199" s="95">
        <v>600</v>
      </c>
      <c r="N199" s="84">
        <f>30</f>
        <v>30</v>
      </c>
      <c r="O199" s="87">
        <v>240</v>
      </c>
      <c r="P199" s="87">
        <v>160</v>
      </c>
      <c r="Q199" s="87">
        <f t="shared" si="23"/>
        <v>195</v>
      </c>
      <c r="R199" s="87">
        <f t="shared" si="24"/>
        <v>100</v>
      </c>
      <c r="S199" s="84">
        <f t="shared" si="25"/>
        <v>695</v>
      </c>
      <c r="T199" s="84">
        <f>0</f>
        <v>0</v>
      </c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</row>
    <row r="200" spans="1:30" ht="15.75" x14ac:dyDescent="0.25">
      <c r="A200" s="16">
        <v>46997</v>
      </c>
      <c r="B200" s="98">
        <v>30</v>
      </c>
      <c r="C200" s="84">
        <f>194.205</f>
        <v>194.20500000000001</v>
      </c>
      <c r="D200" s="84">
        <f>267.466</f>
        <v>267.46600000000001</v>
      </c>
      <c r="E200" s="93">
        <f>133.845</f>
        <v>133.845</v>
      </c>
      <c r="F200" s="84">
        <f>278.484-40-25-60-100</f>
        <v>53.48399999999998</v>
      </c>
      <c r="G200" s="87">
        <v>40</v>
      </c>
      <c r="H200" s="84">
        <f t="shared" si="30"/>
        <v>185</v>
      </c>
      <c r="I200" s="84">
        <f t="shared" si="28"/>
        <v>0</v>
      </c>
      <c r="J200" s="87">
        <v>100</v>
      </c>
      <c r="K200" s="87">
        <v>300</v>
      </c>
      <c r="L200" s="84">
        <f t="shared" si="22"/>
        <v>1274</v>
      </c>
      <c r="M200" s="95">
        <v>600</v>
      </c>
      <c r="N200" s="84">
        <f>30</f>
        <v>30</v>
      </c>
      <c r="O200" s="87">
        <v>240</v>
      </c>
      <c r="P200" s="87">
        <v>160</v>
      </c>
      <c r="Q200" s="87">
        <f t="shared" si="23"/>
        <v>195</v>
      </c>
      <c r="R200" s="87">
        <f t="shared" si="24"/>
        <v>100</v>
      </c>
      <c r="S200" s="84">
        <f t="shared" si="25"/>
        <v>695</v>
      </c>
      <c r="T200" s="84">
        <f>0</f>
        <v>0</v>
      </c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</row>
    <row r="201" spans="1:30" ht="15.75" x14ac:dyDescent="0.25">
      <c r="A201" s="16">
        <v>47027</v>
      </c>
      <c r="B201" s="98">
        <v>31</v>
      </c>
      <c r="C201" s="84">
        <f>131.881</f>
        <v>131.881</v>
      </c>
      <c r="D201" s="84">
        <f>277.167</f>
        <v>277.16699999999997</v>
      </c>
      <c r="E201" s="93">
        <f>79.08</f>
        <v>79.08</v>
      </c>
      <c r="F201" s="84">
        <f>350.872-40-25-60-100</f>
        <v>125.87200000000001</v>
      </c>
      <c r="G201" s="87">
        <v>40</v>
      </c>
      <c r="H201" s="84">
        <f t="shared" si="30"/>
        <v>185</v>
      </c>
      <c r="I201" s="84">
        <f t="shared" si="28"/>
        <v>0</v>
      </c>
      <c r="J201" s="87">
        <v>100</v>
      </c>
      <c r="K201" s="87">
        <v>300</v>
      </c>
      <c r="L201" s="84">
        <f t="shared" si="22"/>
        <v>1239</v>
      </c>
      <c r="M201" s="95">
        <v>600</v>
      </c>
      <c r="N201" s="84">
        <f>75</f>
        <v>75</v>
      </c>
      <c r="O201" s="87">
        <v>240</v>
      </c>
      <c r="P201" s="87">
        <v>160</v>
      </c>
      <c r="Q201" s="87">
        <f t="shared" si="23"/>
        <v>195</v>
      </c>
      <c r="R201" s="87">
        <f t="shared" si="24"/>
        <v>100</v>
      </c>
      <c r="S201" s="84">
        <f t="shared" si="25"/>
        <v>695</v>
      </c>
      <c r="T201" s="84">
        <f>0</f>
        <v>0</v>
      </c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</row>
    <row r="202" spans="1:30" ht="15.75" x14ac:dyDescent="0.25">
      <c r="A202" s="16">
        <v>47058</v>
      </c>
      <c r="B202" s="98">
        <v>30</v>
      </c>
      <c r="C202" s="84">
        <f>122.58</f>
        <v>122.58</v>
      </c>
      <c r="D202" s="84">
        <f>297.941</f>
        <v>297.94099999999997</v>
      </c>
      <c r="E202" s="93">
        <f>89.177</f>
        <v>89.177000000000007</v>
      </c>
      <c r="F202" s="84">
        <f>240.302-40-60-100</f>
        <v>40.301999999999992</v>
      </c>
      <c r="G202" s="87">
        <v>40</v>
      </c>
      <c r="H202" s="84">
        <f>60+100</f>
        <v>160</v>
      </c>
      <c r="I202" s="84">
        <f t="shared" si="28"/>
        <v>0</v>
      </c>
      <c r="J202" s="87">
        <v>100</v>
      </c>
      <c r="K202" s="87">
        <v>300</v>
      </c>
      <c r="L202" s="84">
        <f t="shared" si="22"/>
        <v>1150</v>
      </c>
      <c r="M202" s="95">
        <v>600</v>
      </c>
      <c r="N202" s="84">
        <f>100</f>
        <v>100</v>
      </c>
      <c r="O202" s="87">
        <v>240</v>
      </c>
      <c r="P202" s="87">
        <v>40</v>
      </c>
      <c r="Q202" s="87">
        <f t="shared" si="23"/>
        <v>315</v>
      </c>
      <c r="R202" s="87">
        <f t="shared" si="24"/>
        <v>100</v>
      </c>
      <c r="S202" s="84">
        <f t="shared" si="25"/>
        <v>695</v>
      </c>
      <c r="T202" s="84">
        <f>50</f>
        <v>50</v>
      </c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</row>
    <row r="203" spans="1:30" ht="15.75" x14ac:dyDescent="0.25">
      <c r="A203" s="16">
        <v>47088</v>
      </c>
      <c r="B203" s="98">
        <v>31</v>
      </c>
      <c r="C203" s="84">
        <f>122.58</f>
        <v>122.58</v>
      </c>
      <c r="D203" s="84">
        <f>297.941</f>
        <v>297.94099999999997</v>
      </c>
      <c r="E203" s="93">
        <f>89.177</f>
        <v>89.177000000000007</v>
      </c>
      <c r="F203" s="84">
        <f>240.302-40-60-100</f>
        <v>40.301999999999992</v>
      </c>
      <c r="G203" s="87">
        <v>40</v>
      </c>
      <c r="H203" s="84">
        <f>60+100</f>
        <v>160</v>
      </c>
      <c r="I203" s="84">
        <f t="shared" si="28"/>
        <v>0</v>
      </c>
      <c r="J203" s="87">
        <v>100</v>
      </c>
      <c r="K203" s="87">
        <v>300</v>
      </c>
      <c r="L203" s="84">
        <f t="shared" si="22"/>
        <v>1150</v>
      </c>
      <c r="M203" s="95">
        <v>600</v>
      </c>
      <c r="N203" s="84">
        <f>100</f>
        <v>100</v>
      </c>
      <c r="O203" s="87">
        <v>240</v>
      </c>
      <c r="P203" s="87">
        <v>40</v>
      </c>
      <c r="Q203" s="87">
        <f t="shared" si="23"/>
        <v>315</v>
      </c>
      <c r="R203" s="87">
        <f t="shared" si="24"/>
        <v>100</v>
      </c>
      <c r="S203" s="84">
        <f t="shared" si="25"/>
        <v>695</v>
      </c>
      <c r="T203" s="84">
        <f>50</f>
        <v>50</v>
      </c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</row>
    <row r="204" spans="1:30" ht="15.75" x14ac:dyDescent="0.25">
      <c r="A204" s="16">
        <v>47119</v>
      </c>
      <c r="B204" s="98">
        <v>31</v>
      </c>
      <c r="C204" s="84">
        <f>122.58</f>
        <v>122.58</v>
      </c>
      <c r="D204" s="84">
        <f>297.941</f>
        <v>297.94099999999997</v>
      </c>
      <c r="E204" s="93">
        <f>89.177</f>
        <v>89.177000000000007</v>
      </c>
      <c r="F204" s="84">
        <f>240.302-40-60-100</f>
        <v>40.301999999999992</v>
      </c>
      <c r="G204" s="87">
        <v>40</v>
      </c>
      <c r="H204" s="84">
        <f>60+100</f>
        <v>160</v>
      </c>
      <c r="I204" s="84">
        <f t="shared" si="28"/>
        <v>0</v>
      </c>
      <c r="J204" s="87">
        <v>100</v>
      </c>
      <c r="K204" s="87">
        <v>300</v>
      </c>
      <c r="L204" s="84">
        <f t="shared" si="22"/>
        <v>1150</v>
      </c>
      <c r="M204" s="95">
        <v>600</v>
      </c>
      <c r="N204" s="84">
        <f>100</f>
        <v>100</v>
      </c>
      <c r="O204" s="87">
        <v>240</v>
      </c>
      <c r="P204" s="87">
        <v>40</v>
      </c>
      <c r="Q204" s="87">
        <f t="shared" si="23"/>
        <v>315</v>
      </c>
      <c r="R204" s="87">
        <f t="shared" si="24"/>
        <v>100</v>
      </c>
      <c r="S204" s="84">
        <f t="shared" si="25"/>
        <v>695</v>
      </c>
      <c r="T204" s="84">
        <f>50</f>
        <v>50</v>
      </c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</row>
    <row r="205" spans="1:30" ht="15.75" x14ac:dyDescent="0.25">
      <c r="A205" s="16">
        <v>47150</v>
      </c>
      <c r="B205" s="98">
        <v>28</v>
      </c>
      <c r="C205" s="84">
        <f>122.58</f>
        <v>122.58</v>
      </c>
      <c r="D205" s="84">
        <f>297.941</f>
        <v>297.94099999999997</v>
      </c>
      <c r="E205" s="93">
        <f>89.177</f>
        <v>89.177000000000007</v>
      </c>
      <c r="F205" s="84">
        <f>240.302-40-60-100</f>
        <v>40.301999999999992</v>
      </c>
      <c r="G205" s="87">
        <v>40</v>
      </c>
      <c r="H205" s="84">
        <f>60+100</f>
        <v>160</v>
      </c>
      <c r="I205" s="84">
        <f t="shared" si="28"/>
        <v>0</v>
      </c>
      <c r="J205" s="87">
        <v>100</v>
      </c>
      <c r="K205" s="87">
        <v>300</v>
      </c>
      <c r="L205" s="84">
        <f t="shared" si="22"/>
        <v>1150</v>
      </c>
      <c r="M205" s="95">
        <v>600</v>
      </c>
      <c r="N205" s="84">
        <f>100</f>
        <v>100</v>
      </c>
      <c r="O205" s="87">
        <v>240</v>
      </c>
      <c r="P205" s="87">
        <v>40</v>
      </c>
      <c r="Q205" s="87">
        <f t="shared" si="23"/>
        <v>315</v>
      </c>
      <c r="R205" s="87">
        <f t="shared" si="24"/>
        <v>100</v>
      </c>
      <c r="S205" s="84">
        <f t="shared" si="25"/>
        <v>695</v>
      </c>
      <c r="T205" s="84">
        <f>50</f>
        <v>50</v>
      </c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</row>
    <row r="206" spans="1:30" ht="15.75" x14ac:dyDescent="0.25">
      <c r="A206" s="16">
        <v>47178</v>
      </c>
      <c r="B206" s="98">
        <v>31</v>
      </c>
      <c r="C206" s="84">
        <f>122.58</f>
        <v>122.58</v>
      </c>
      <c r="D206" s="84">
        <f>297.941</f>
        <v>297.94099999999997</v>
      </c>
      <c r="E206" s="93">
        <f>89.177</f>
        <v>89.177000000000007</v>
      </c>
      <c r="F206" s="84">
        <f>240.302-40-60-100</f>
        <v>40.301999999999992</v>
      </c>
      <c r="G206" s="87">
        <v>40</v>
      </c>
      <c r="H206" s="84">
        <f>60+100</f>
        <v>160</v>
      </c>
      <c r="I206" s="84">
        <f t="shared" si="28"/>
        <v>0</v>
      </c>
      <c r="J206" s="87">
        <v>100</v>
      </c>
      <c r="K206" s="87">
        <v>300</v>
      </c>
      <c r="L206" s="84">
        <f t="shared" si="22"/>
        <v>1150</v>
      </c>
      <c r="M206" s="95">
        <v>600</v>
      </c>
      <c r="N206" s="84">
        <f>100</f>
        <v>100</v>
      </c>
      <c r="O206" s="87">
        <v>240</v>
      </c>
      <c r="P206" s="87">
        <v>40</v>
      </c>
      <c r="Q206" s="87">
        <f t="shared" si="23"/>
        <v>315</v>
      </c>
      <c r="R206" s="87">
        <f t="shared" si="24"/>
        <v>100</v>
      </c>
      <c r="S206" s="84">
        <f t="shared" si="25"/>
        <v>695</v>
      </c>
      <c r="T206" s="84">
        <f>50</f>
        <v>50</v>
      </c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</row>
    <row r="207" spans="1:30" ht="15.75" x14ac:dyDescent="0.25">
      <c r="A207" s="16">
        <v>47209</v>
      </c>
      <c r="B207" s="98">
        <v>30</v>
      </c>
      <c r="C207" s="84">
        <f>141.293</f>
        <v>141.29300000000001</v>
      </c>
      <c r="D207" s="84">
        <f>267.993</f>
        <v>267.99299999999999</v>
      </c>
      <c r="E207" s="93">
        <f>115.016</f>
        <v>115.01600000000001</v>
      </c>
      <c r="F207" s="84">
        <f>314.698-40-25-60-100</f>
        <v>89.697999999999979</v>
      </c>
      <c r="G207" s="87">
        <v>40</v>
      </c>
      <c r="H207" s="84">
        <f t="shared" ref="H207:H213" si="31">25+60+100</f>
        <v>185</v>
      </c>
      <c r="I207" s="84">
        <f t="shared" si="28"/>
        <v>0</v>
      </c>
      <c r="J207" s="87">
        <v>100</v>
      </c>
      <c r="K207" s="87">
        <v>300</v>
      </c>
      <c r="L207" s="84">
        <f t="shared" si="22"/>
        <v>1239</v>
      </c>
      <c r="M207" s="95">
        <v>600</v>
      </c>
      <c r="N207" s="84">
        <f>100</f>
        <v>100</v>
      </c>
      <c r="O207" s="87">
        <v>240</v>
      </c>
      <c r="P207" s="87">
        <v>160</v>
      </c>
      <c r="Q207" s="87">
        <f t="shared" si="23"/>
        <v>195</v>
      </c>
      <c r="R207" s="87">
        <f t="shared" si="24"/>
        <v>100</v>
      </c>
      <c r="S207" s="84">
        <f t="shared" si="25"/>
        <v>695</v>
      </c>
      <c r="T207" s="84">
        <f>50</f>
        <v>50</v>
      </c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</row>
    <row r="208" spans="1:30" ht="15.75" x14ac:dyDescent="0.25">
      <c r="A208" s="16">
        <v>47239</v>
      </c>
      <c r="B208" s="98">
        <v>31</v>
      </c>
      <c r="C208" s="84">
        <f>194.205</f>
        <v>194.20500000000001</v>
      </c>
      <c r="D208" s="84">
        <f>267.466</f>
        <v>267.46600000000001</v>
      </c>
      <c r="E208" s="93">
        <f>133.845</f>
        <v>133.845</v>
      </c>
      <c r="F208" s="84">
        <f>278.484-40-25-60-100</f>
        <v>53.48399999999998</v>
      </c>
      <c r="G208" s="87">
        <v>40</v>
      </c>
      <c r="H208" s="84">
        <f t="shared" si="31"/>
        <v>185</v>
      </c>
      <c r="I208" s="84">
        <f t="shared" si="28"/>
        <v>0</v>
      </c>
      <c r="J208" s="87">
        <v>100</v>
      </c>
      <c r="K208" s="87">
        <v>300</v>
      </c>
      <c r="L208" s="84">
        <f t="shared" si="22"/>
        <v>1274</v>
      </c>
      <c r="M208" s="95">
        <v>600</v>
      </c>
      <c r="N208" s="84">
        <f>75</f>
        <v>75</v>
      </c>
      <c r="O208" s="87">
        <v>240</v>
      </c>
      <c r="P208" s="87">
        <v>160</v>
      </c>
      <c r="Q208" s="87">
        <f t="shared" si="23"/>
        <v>195</v>
      </c>
      <c r="R208" s="87">
        <f t="shared" si="24"/>
        <v>100</v>
      </c>
      <c r="S208" s="84">
        <f t="shared" si="25"/>
        <v>695</v>
      </c>
      <c r="T208" s="84">
        <f>50</f>
        <v>50</v>
      </c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</row>
    <row r="209" spans="1:30" ht="15.75" x14ac:dyDescent="0.25">
      <c r="A209" s="16">
        <v>47270</v>
      </c>
      <c r="B209" s="98">
        <v>30</v>
      </c>
      <c r="C209" s="84">
        <f>194.205</f>
        <v>194.20500000000001</v>
      </c>
      <c r="D209" s="84">
        <f>267.466</f>
        <v>267.46600000000001</v>
      </c>
      <c r="E209" s="93">
        <f>133.845</f>
        <v>133.845</v>
      </c>
      <c r="F209" s="84">
        <f>278.484-40-25-60-100</f>
        <v>53.48399999999998</v>
      </c>
      <c r="G209" s="87">
        <v>40</v>
      </c>
      <c r="H209" s="84">
        <f t="shared" si="31"/>
        <v>185</v>
      </c>
      <c r="I209" s="84">
        <f t="shared" si="28"/>
        <v>0</v>
      </c>
      <c r="J209" s="87">
        <v>100</v>
      </c>
      <c r="K209" s="87">
        <v>300</v>
      </c>
      <c r="L209" s="84">
        <f t="shared" si="22"/>
        <v>1274</v>
      </c>
      <c r="M209" s="95">
        <v>600</v>
      </c>
      <c r="N209" s="84">
        <f>30</f>
        <v>30</v>
      </c>
      <c r="O209" s="87">
        <v>240</v>
      </c>
      <c r="P209" s="87">
        <v>160</v>
      </c>
      <c r="Q209" s="87">
        <f t="shared" si="23"/>
        <v>195</v>
      </c>
      <c r="R209" s="87">
        <f t="shared" si="24"/>
        <v>100</v>
      </c>
      <c r="S209" s="84">
        <f t="shared" si="25"/>
        <v>695</v>
      </c>
      <c r="T209" s="84">
        <f>50</f>
        <v>50</v>
      </c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</row>
    <row r="210" spans="1:30" ht="15.75" x14ac:dyDescent="0.25">
      <c r="A210" s="16">
        <v>47300</v>
      </c>
      <c r="B210" s="98">
        <v>31</v>
      </c>
      <c r="C210" s="84">
        <f>194.205</f>
        <v>194.20500000000001</v>
      </c>
      <c r="D210" s="84">
        <f>267.466</f>
        <v>267.46600000000001</v>
      </c>
      <c r="E210" s="93">
        <f>133.845</f>
        <v>133.845</v>
      </c>
      <c r="F210" s="84">
        <f>278.484-40-25-60-100</f>
        <v>53.48399999999998</v>
      </c>
      <c r="G210" s="87">
        <v>40</v>
      </c>
      <c r="H210" s="84">
        <f t="shared" si="31"/>
        <v>185</v>
      </c>
      <c r="I210" s="84">
        <f t="shared" si="28"/>
        <v>0</v>
      </c>
      <c r="J210" s="87">
        <v>100</v>
      </c>
      <c r="K210" s="87">
        <v>300</v>
      </c>
      <c r="L210" s="84">
        <f t="shared" si="22"/>
        <v>1274</v>
      </c>
      <c r="M210" s="95">
        <v>600</v>
      </c>
      <c r="N210" s="84">
        <f>30</f>
        <v>30</v>
      </c>
      <c r="O210" s="87">
        <v>240</v>
      </c>
      <c r="P210" s="87">
        <v>160</v>
      </c>
      <c r="Q210" s="87">
        <f t="shared" si="23"/>
        <v>195</v>
      </c>
      <c r="R210" s="87">
        <f t="shared" si="24"/>
        <v>100</v>
      </c>
      <c r="S210" s="84">
        <f t="shared" si="25"/>
        <v>695</v>
      </c>
      <c r="T210" s="84">
        <f>0</f>
        <v>0</v>
      </c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</row>
    <row r="211" spans="1:30" ht="15.75" x14ac:dyDescent="0.25">
      <c r="A211" s="16">
        <v>47331</v>
      </c>
      <c r="B211" s="98">
        <v>31</v>
      </c>
      <c r="C211" s="84">
        <f>194.205</f>
        <v>194.20500000000001</v>
      </c>
      <c r="D211" s="84">
        <f>267.466</f>
        <v>267.46600000000001</v>
      </c>
      <c r="E211" s="93">
        <f>133.845</f>
        <v>133.845</v>
      </c>
      <c r="F211" s="84">
        <f>278.484-40-25-60-100</f>
        <v>53.48399999999998</v>
      </c>
      <c r="G211" s="87">
        <v>40</v>
      </c>
      <c r="H211" s="84">
        <f t="shared" si="31"/>
        <v>185</v>
      </c>
      <c r="I211" s="84">
        <f t="shared" si="28"/>
        <v>0</v>
      </c>
      <c r="J211" s="87">
        <v>100</v>
      </c>
      <c r="K211" s="87">
        <v>300</v>
      </c>
      <c r="L211" s="84">
        <f t="shared" si="22"/>
        <v>1274</v>
      </c>
      <c r="M211" s="95">
        <v>600</v>
      </c>
      <c r="N211" s="84">
        <f>30</f>
        <v>30</v>
      </c>
      <c r="O211" s="87">
        <v>240</v>
      </c>
      <c r="P211" s="87">
        <v>160</v>
      </c>
      <c r="Q211" s="87">
        <f t="shared" si="23"/>
        <v>195</v>
      </c>
      <c r="R211" s="87">
        <f t="shared" si="24"/>
        <v>100</v>
      </c>
      <c r="S211" s="84">
        <f t="shared" si="25"/>
        <v>695</v>
      </c>
      <c r="T211" s="84">
        <f>0</f>
        <v>0</v>
      </c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</row>
    <row r="212" spans="1:30" ht="15.75" x14ac:dyDescent="0.25">
      <c r="A212" s="16">
        <v>47362</v>
      </c>
      <c r="B212" s="98">
        <v>30</v>
      </c>
      <c r="C212" s="84">
        <f>194.205</f>
        <v>194.20500000000001</v>
      </c>
      <c r="D212" s="84">
        <f>267.466</f>
        <v>267.46600000000001</v>
      </c>
      <c r="E212" s="93">
        <f>133.845</f>
        <v>133.845</v>
      </c>
      <c r="F212" s="84">
        <f>278.484-40-25-60-100</f>
        <v>53.48399999999998</v>
      </c>
      <c r="G212" s="87">
        <v>40</v>
      </c>
      <c r="H212" s="84">
        <f t="shared" si="31"/>
        <v>185</v>
      </c>
      <c r="I212" s="84">
        <f t="shared" si="28"/>
        <v>0</v>
      </c>
      <c r="J212" s="87">
        <v>100</v>
      </c>
      <c r="K212" s="87">
        <v>300</v>
      </c>
      <c r="L212" s="84">
        <f t="shared" si="22"/>
        <v>1274</v>
      </c>
      <c r="M212" s="95">
        <v>600</v>
      </c>
      <c r="N212" s="84">
        <f>30</f>
        <v>30</v>
      </c>
      <c r="O212" s="87">
        <v>240</v>
      </c>
      <c r="P212" s="87">
        <v>160</v>
      </c>
      <c r="Q212" s="87">
        <f t="shared" si="23"/>
        <v>195</v>
      </c>
      <c r="R212" s="87">
        <f t="shared" si="24"/>
        <v>100</v>
      </c>
      <c r="S212" s="84">
        <f t="shared" si="25"/>
        <v>695</v>
      </c>
      <c r="T212" s="84">
        <f>0</f>
        <v>0</v>
      </c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</row>
    <row r="213" spans="1:30" ht="15.75" x14ac:dyDescent="0.25">
      <c r="A213" s="16">
        <v>47392</v>
      </c>
      <c r="B213" s="98">
        <v>31</v>
      </c>
      <c r="C213" s="84">
        <f>131.881</f>
        <v>131.881</v>
      </c>
      <c r="D213" s="84">
        <f>277.167</f>
        <v>277.16699999999997</v>
      </c>
      <c r="E213" s="93">
        <f>79.08</f>
        <v>79.08</v>
      </c>
      <c r="F213" s="84">
        <f>350.872-40-25-60-100</f>
        <v>125.87200000000001</v>
      </c>
      <c r="G213" s="87">
        <v>40</v>
      </c>
      <c r="H213" s="84">
        <f t="shared" si="31"/>
        <v>185</v>
      </c>
      <c r="I213" s="84">
        <f t="shared" si="28"/>
        <v>0</v>
      </c>
      <c r="J213" s="87">
        <v>100</v>
      </c>
      <c r="K213" s="87">
        <v>300</v>
      </c>
      <c r="L213" s="84">
        <f t="shared" si="22"/>
        <v>1239</v>
      </c>
      <c r="M213" s="95">
        <v>600</v>
      </c>
      <c r="N213" s="84">
        <f>75</f>
        <v>75</v>
      </c>
      <c r="O213" s="87">
        <v>240</v>
      </c>
      <c r="P213" s="87">
        <v>160</v>
      </c>
      <c r="Q213" s="87">
        <f t="shared" si="23"/>
        <v>195</v>
      </c>
      <c r="R213" s="87">
        <f t="shared" si="24"/>
        <v>100</v>
      </c>
      <c r="S213" s="84">
        <f t="shared" si="25"/>
        <v>695</v>
      </c>
      <c r="T213" s="84">
        <f>0</f>
        <v>0</v>
      </c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</row>
    <row r="214" spans="1:30" ht="15.75" x14ac:dyDescent="0.25">
      <c r="A214" s="16">
        <v>47423</v>
      </c>
      <c r="B214" s="98">
        <v>30</v>
      </c>
      <c r="C214" s="84">
        <f>122.58</f>
        <v>122.58</v>
      </c>
      <c r="D214" s="84">
        <f>297.941</f>
        <v>297.94099999999997</v>
      </c>
      <c r="E214" s="93">
        <f>89.177</f>
        <v>89.177000000000007</v>
      </c>
      <c r="F214" s="84">
        <f>240.302-40-60-100</f>
        <v>40.301999999999992</v>
      </c>
      <c r="G214" s="87">
        <v>40</v>
      </c>
      <c r="H214" s="84">
        <f>60+100</f>
        <v>160</v>
      </c>
      <c r="I214" s="84">
        <f t="shared" si="28"/>
        <v>0</v>
      </c>
      <c r="J214" s="87">
        <v>100</v>
      </c>
      <c r="K214" s="87">
        <v>300</v>
      </c>
      <c r="L214" s="84">
        <f t="shared" si="22"/>
        <v>1150</v>
      </c>
      <c r="M214" s="95">
        <v>600</v>
      </c>
      <c r="N214" s="84">
        <f>100</f>
        <v>100</v>
      </c>
      <c r="O214" s="87">
        <v>240</v>
      </c>
      <c r="P214" s="87">
        <v>40</v>
      </c>
      <c r="Q214" s="87">
        <f t="shared" si="23"/>
        <v>315</v>
      </c>
      <c r="R214" s="87">
        <f t="shared" si="24"/>
        <v>100</v>
      </c>
      <c r="S214" s="84">
        <f t="shared" si="25"/>
        <v>695</v>
      </c>
      <c r="T214" s="84">
        <f>50</f>
        <v>50</v>
      </c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</row>
    <row r="215" spans="1:30" ht="15.75" x14ac:dyDescent="0.25">
      <c r="A215" s="16">
        <v>47453</v>
      </c>
      <c r="B215" s="98">
        <v>31</v>
      </c>
      <c r="C215" s="84">
        <f>122.58</f>
        <v>122.58</v>
      </c>
      <c r="D215" s="84">
        <f>297.941</f>
        <v>297.94099999999997</v>
      </c>
      <c r="E215" s="93">
        <f>89.177</f>
        <v>89.177000000000007</v>
      </c>
      <c r="F215" s="84">
        <f>240.302-40-60-100</f>
        <v>40.301999999999992</v>
      </c>
      <c r="G215" s="87">
        <v>40</v>
      </c>
      <c r="H215" s="84">
        <f>60+100</f>
        <v>160</v>
      </c>
      <c r="I215" s="84">
        <f t="shared" si="28"/>
        <v>0</v>
      </c>
      <c r="J215" s="87">
        <v>100</v>
      </c>
      <c r="K215" s="87">
        <v>300</v>
      </c>
      <c r="L215" s="84">
        <f t="shared" si="22"/>
        <v>1150</v>
      </c>
      <c r="M215" s="95">
        <v>600</v>
      </c>
      <c r="N215" s="84">
        <f>100</f>
        <v>100</v>
      </c>
      <c r="O215" s="87">
        <v>240</v>
      </c>
      <c r="P215" s="87">
        <v>40</v>
      </c>
      <c r="Q215" s="87">
        <f t="shared" si="23"/>
        <v>315</v>
      </c>
      <c r="R215" s="87">
        <f t="shared" si="24"/>
        <v>100</v>
      </c>
      <c r="S215" s="84">
        <f t="shared" si="25"/>
        <v>695</v>
      </c>
      <c r="T215" s="84">
        <f>50</f>
        <v>50</v>
      </c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</row>
    <row r="216" spans="1:30" ht="15.75" x14ac:dyDescent="0.25">
      <c r="A216" s="16">
        <v>47484</v>
      </c>
      <c r="B216" s="98">
        <v>31</v>
      </c>
      <c r="C216" s="84">
        <f>122.58</f>
        <v>122.58</v>
      </c>
      <c r="D216" s="84">
        <f>297.941</f>
        <v>297.94099999999997</v>
      </c>
      <c r="E216" s="93">
        <f>89.177</f>
        <v>89.177000000000007</v>
      </c>
      <c r="F216" s="84">
        <f>240.302-40-60-100</f>
        <v>40.301999999999992</v>
      </c>
      <c r="G216" s="87">
        <v>40</v>
      </c>
      <c r="H216" s="84">
        <f>60+100</f>
        <v>160</v>
      </c>
      <c r="I216" s="84">
        <f t="shared" si="28"/>
        <v>0</v>
      </c>
      <c r="J216" s="87">
        <v>100</v>
      </c>
      <c r="K216" s="87">
        <v>300</v>
      </c>
      <c r="L216" s="84">
        <f t="shared" ref="L216:L279" si="32">SUM(C216:K216)</f>
        <v>1150</v>
      </c>
      <c r="M216" s="95">
        <v>600</v>
      </c>
      <c r="N216" s="84">
        <f>100</f>
        <v>100</v>
      </c>
      <c r="O216" s="87">
        <v>240</v>
      </c>
      <c r="P216" s="87">
        <v>40</v>
      </c>
      <c r="Q216" s="87">
        <f t="shared" ref="Q216:Q279" si="33">695-R216-O216-P216</f>
        <v>315</v>
      </c>
      <c r="R216" s="87">
        <f t="shared" ref="R216:R279" si="34">200-J216</f>
        <v>100</v>
      </c>
      <c r="S216" s="84">
        <f t="shared" ref="S216:S279" si="35">SUM(O216:R216)</f>
        <v>695</v>
      </c>
      <c r="T216" s="84">
        <f>50</f>
        <v>50</v>
      </c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</row>
    <row r="217" spans="1:30" ht="15.75" x14ac:dyDescent="0.25">
      <c r="A217" s="16">
        <v>47515</v>
      </c>
      <c r="B217" s="98">
        <v>28</v>
      </c>
      <c r="C217" s="84">
        <f>122.58</f>
        <v>122.58</v>
      </c>
      <c r="D217" s="84">
        <f>297.941</f>
        <v>297.94099999999997</v>
      </c>
      <c r="E217" s="93">
        <f>89.177</f>
        <v>89.177000000000007</v>
      </c>
      <c r="F217" s="84">
        <f>240.302-40-60-100</f>
        <v>40.301999999999992</v>
      </c>
      <c r="G217" s="87">
        <v>40</v>
      </c>
      <c r="H217" s="84">
        <f>60+100</f>
        <v>160</v>
      </c>
      <c r="I217" s="84">
        <f t="shared" si="28"/>
        <v>0</v>
      </c>
      <c r="J217" s="87">
        <v>100</v>
      </c>
      <c r="K217" s="87">
        <v>300</v>
      </c>
      <c r="L217" s="84">
        <f t="shared" si="32"/>
        <v>1150</v>
      </c>
      <c r="M217" s="95">
        <v>600</v>
      </c>
      <c r="N217" s="84">
        <f>100</f>
        <v>100</v>
      </c>
      <c r="O217" s="87">
        <v>240</v>
      </c>
      <c r="P217" s="87">
        <v>40</v>
      </c>
      <c r="Q217" s="87">
        <f t="shared" si="33"/>
        <v>315</v>
      </c>
      <c r="R217" s="87">
        <f t="shared" si="34"/>
        <v>100</v>
      </c>
      <c r="S217" s="84">
        <f t="shared" si="35"/>
        <v>695</v>
      </c>
      <c r="T217" s="84">
        <f>50</f>
        <v>50</v>
      </c>
      <c r="U217" s="85"/>
      <c r="V217" s="85"/>
      <c r="W217" s="85"/>
      <c r="X217" s="85"/>
      <c r="Y217" s="85"/>
      <c r="Z217" s="85"/>
      <c r="AA217" s="85"/>
      <c r="AB217" s="85"/>
      <c r="AC217" s="85"/>
      <c r="AD217" s="85"/>
    </row>
    <row r="218" spans="1:30" ht="15.75" x14ac:dyDescent="0.25">
      <c r="A218" s="16">
        <v>47543</v>
      </c>
      <c r="B218" s="98">
        <v>31</v>
      </c>
      <c r="C218" s="84">
        <f>122.58</f>
        <v>122.58</v>
      </c>
      <c r="D218" s="84">
        <f>297.941</f>
        <v>297.94099999999997</v>
      </c>
      <c r="E218" s="93">
        <f>89.177</f>
        <v>89.177000000000007</v>
      </c>
      <c r="F218" s="84">
        <f>240.302-40-60-100</f>
        <v>40.301999999999992</v>
      </c>
      <c r="G218" s="87">
        <v>40</v>
      </c>
      <c r="H218" s="84">
        <f>60+100</f>
        <v>160</v>
      </c>
      <c r="I218" s="84">
        <f t="shared" si="28"/>
        <v>0</v>
      </c>
      <c r="J218" s="87">
        <v>100</v>
      </c>
      <c r="K218" s="87">
        <v>300</v>
      </c>
      <c r="L218" s="84">
        <f t="shared" si="32"/>
        <v>1150</v>
      </c>
      <c r="M218" s="95">
        <v>600</v>
      </c>
      <c r="N218" s="84">
        <f>100</f>
        <v>100</v>
      </c>
      <c r="O218" s="87">
        <v>240</v>
      </c>
      <c r="P218" s="87">
        <v>40</v>
      </c>
      <c r="Q218" s="87">
        <f t="shared" si="33"/>
        <v>315</v>
      </c>
      <c r="R218" s="87">
        <f t="shared" si="34"/>
        <v>100</v>
      </c>
      <c r="S218" s="84">
        <f t="shared" si="35"/>
        <v>695</v>
      </c>
      <c r="T218" s="84">
        <f>50</f>
        <v>50</v>
      </c>
      <c r="U218" s="85"/>
      <c r="V218" s="85"/>
      <c r="W218" s="85"/>
      <c r="X218" s="85"/>
      <c r="Y218" s="85"/>
      <c r="Z218" s="85"/>
      <c r="AA218" s="85"/>
      <c r="AB218" s="85"/>
      <c r="AC218" s="85"/>
      <c r="AD218" s="85"/>
    </row>
    <row r="219" spans="1:30" ht="15.75" x14ac:dyDescent="0.25">
      <c r="A219" s="16">
        <v>47574</v>
      </c>
      <c r="B219" s="98">
        <v>30</v>
      </c>
      <c r="C219" s="84">
        <f>141.293</f>
        <v>141.29300000000001</v>
      </c>
      <c r="D219" s="84">
        <f>267.993</f>
        <v>267.99299999999999</v>
      </c>
      <c r="E219" s="93">
        <f>115.016</f>
        <v>115.01600000000001</v>
      </c>
      <c r="F219" s="84">
        <f>314.698-40-25-60-100</f>
        <v>89.697999999999979</v>
      </c>
      <c r="G219" s="87">
        <v>40</v>
      </c>
      <c r="H219" s="84">
        <f t="shared" ref="H219:H225" si="36">25+60+100</f>
        <v>185</v>
      </c>
      <c r="I219" s="84">
        <f t="shared" si="28"/>
        <v>0</v>
      </c>
      <c r="J219" s="87">
        <v>100</v>
      </c>
      <c r="K219" s="87">
        <v>300</v>
      </c>
      <c r="L219" s="84">
        <f t="shared" si="32"/>
        <v>1239</v>
      </c>
      <c r="M219" s="95">
        <v>600</v>
      </c>
      <c r="N219" s="84">
        <f>100</f>
        <v>100</v>
      </c>
      <c r="O219" s="87">
        <v>240</v>
      </c>
      <c r="P219" s="87">
        <v>160</v>
      </c>
      <c r="Q219" s="87">
        <f t="shared" si="33"/>
        <v>195</v>
      </c>
      <c r="R219" s="87">
        <f t="shared" si="34"/>
        <v>100</v>
      </c>
      <c r="S219" s="84">
        <f t="shared" si="35"/>
        <v>695</v>
      </c>
      <c r="T219" s="84">
        <f>50</f>
        <v>50</v>
      </c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</row>
    <row r="220" spans="1:30" ht="15.75" x14ac:dyDescent="0.25">
      <c r="A220" s="16">
        <v>47604</v>
      </c>
      <c r="B220" s="98">
        <v>31</v>
      </c>
      <c r="C220" s="84">
        <f>194.205</f>
        <v>194.20500000000001</v>
      </c>
      <c r="D220" s="84">
        <f>267.466</f>
        <v>267.46600000000001</v>
      </c>
      <c r="E220" s="93">
        <f>133.845</f>
        <v>133.845</v>
      </c>
      <c r="F220" s="84">
        <f>278.484-40-25-60-100</f>
        <v>53.48399999999998</v>
      </c>
      <c r="G220" s="87">
        <v>40</v>
      </c>
      <c r="H220" s="84">
        <f t="shared" si="36"/>
        <v>185</v>
      </c>
      <c r="I220" s="84">
        <f t="shared" si="28"/>
        <v>0</v>
      </c>
      <c r="J220" s="87">
        <v>100</v>
      </c>
      <c r="K220" s="87">
        <v>300</v>
      </c>
      <c r="L220" s="84">
        <f t="shared" si="32"/>
        <v>1274</v>
      </c>
      <c r="M220" s="95">
        <v>600</v>
      </c>
      <c r="N220" s="84">
        <f>75</f>
        <v>75</v>
      </c>
      <c r="O220" s="87">
        <v>240</v>
      </c>
      <c r="P220" s="87">
        <v>160</v>
      </c>
      <c r="Q220" s="87">
        <f t="shared" si="33"/>
        <v>195</v>
      </c>
      <c r="R220" s="87">
        <f t="shared" si="34"/>
        <v>100</v>
      </c>
      <c r="S220" s="84">
        <f t="shared" si="35"/>
        <v>695</v>
      </c>
      <c r="T220" s="84">
        <f>50</f>
        <v>50</v>
      </c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</row>
    <row r="221" spans="1:30" ht="15.75" x14ac:dyDescent="0.25">
      <c r="A221" s="16">
        <v>47635</v>
      </c>
      <c r="B221" s="98">
        <v>30</v>
      </c>
      <c r="C221" s="84">
        <f>194.205</f>
        <v>194.20500000000001</v>
      </c>
      <c r="D221" s="84">
        <f>267.466</f>
        <v>267.46600000000001</v>
      </c>
      <c r="E221" s="93">
        <f>133.845</f>
        <v>133.845</v>
      </c>
      <c r="F221" s="84">
        <f>278.484-40-25-60-100</f>
        <v>53.48399999999998</v>
      </c>
      <c r="G221" s="87">
        <v>40</v>
      </c>
      <c r="H221" s="84">
        <f t="shared" si="36"/>
        <v>185</v>
      </c>
      <c r="I221" s="84">
        <f t="shared" si="28"/>
        <v>0</v>
      </c>
      <c r="J221" s="87">
        <v>100</v>
      </c>
      <c r="K221" s="87">
        <v>300</v>
      </c>
      <c r="L221" s="84">
        <f t="shared" si="32"/>
        <v>1274</v>
      </c>
      <c r="M221" s="95">
        <v>600</v>
      </c>
      <c r="N221" s="84">
        <f>30</f>
        <v>30</v>
      </c>
      <c r="O221" s="87">
        <v>240</v>
      </c>
      <c r="P221" s="87">
        <v>160</v>
      </c>
      <c r="Q221" s="87">
        <f t="shared" si="33"/>
        <v>195</v>
      </c>
      <c r="R221" s="87">
        <f t="shared" si="34"/>
        <v>100</v>
      </c>
      <c r="S221" s="84">
        <f t="shared" si="35"/>
        <v>695</v>
      </c>
      <c r="T221" s="84">
        <f>50</f>
        <v>50</v>
      </c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</row>
    <row r="222" spans="1:30" ht="15.75" x14ac:dyDescent="0.25">
      <c r="A222" s="16">
        <v>47665</v>
      </c>
      <c r="B222" s="98">
        <v>31</v>
      </c>
      <c r="C222" s="84">
        <f>194.205</f>
        <v>194.20500000000001</v>
      </c>
      <c r="D222" s="84">
        <f>267.466</f>
        <v>267.46600000000001</v>
      </c>
      <c r="E222" s="93">
        <f>133.845</f>
        <v>133.845</v>
      </c>
      <c r="F222" s="84">
        <f>278.484-40-25-60-100</f>
        <v>53.48399999999998</v>
      </c>
      <c r="G222" s="87">
        <v>40</v>
      </c>
      <c r="H222" s="84">
        <f t="shared" si="36"/>
        <v>185</v>
      </c>
      <c r="I222" s="84">
        <f t="shared" si="28"/>
        <v>0</v>
      </c>
      <c r="J222" s="87">
        <v>100</v>
      </c>
      <c r="K222" s="87">
        <v>300</v>
      </c>
      <c r="L222" s="84">
        <f t="shared" si="32"/>
        <v>1274</v>
      </c>
      <c r="M222" s="95">
        <v>600</v>
      </c>
      <c r="N222" s="84">
        <f>30</f>
        <v>30</v>
      </c>
      <c r="O222" s="87">
        <v>240</v>
      </c>
      <c r="P222" s="87">
        <v>160</v>
      </c>
      <c r="Q222" s="87">
        <f t="shared" si="33"/>
        <v>195</v>
      </c>
      <c r="R222" s="87">
        <f t="shared" si="34"/>
        <v>100</v>
      </c>
      <c r="S222" s="84">
        <f t="shared" si="35"/>
        <v>695</v>
      </c>
      <c r="T222" s="84">
        <f>0</f>
        <v>0</v>
      </c>
      <c r="U222" s="85"/>
      <c r="V222" s="85"/>
      <c r="W222" s="85"/>
      <c r="X222" s="85"/>
      <c r="Y222" s="85"/>
      <c r="Z222" s="85"/>
      <c r="AA222" s="85"/>
      <c r="AB222" s="85"/>
      <c r="AC222" s="85"/>
      <c r="AD222" s="85"/>
    </row>
    <row r="223" spans="1:30" ht="15.75" x14ac:dyDescent="0.25">
      <c r="A223" s="16">
        <v>47696</v>
      </c>
      <c r="B223" s="98">
        <v>31</v>
      </c>
      <c r="C223" s="84">
        <f>194.205</f>
        <v>194.20500000000001</v>
      </c>
      <c r="D223" s="84">
        <f>267.466</f>
        <v>267.46600000000001</v>
      </c>
      <c r="E223" s="93">
        <f>133.845</f>
        <v>133.845</v>
      </c>
      <c r="F223" s="84">
        <f>278.484-40-25-60-100</f>
        <v>53.48399999999998</v>
      </c>
      <c r="G223" s="87">
        <v>40</v>
      </c>
      <c r="H223" s="84">
        <f t="shared" si="36"/>
        <v>185</v>
      </c>
      <c r="I223" s="84">
        <f t="shared" si="28"/>
        <v>0</v>
      </c>
      <c r="J223" s="87">
        <v>100</v>
      </c>
      <c r="K223" s="87">
        <v>300</v>
      </c>
      <c r="L223" s="84">
        <f t="shared" si="32"/>
        <v>1274</v>
      </c>
      <c r="M223" s="95">
        <v>600</v>
      </c>
      <c r="N223" s="84">
        <f>30</f>
        <v>30</v>
      </c>
      <c r="O223" s="87">
        <v>240</v>
      </c>
      <c r="P223" s="87">
        <v>160</v>
      </c>
      <c r="Q223" s="87">
        <f t="shared" si="33"/>
        <v>195</v>
      </c>
      <c r="R223" s="87">
        <f t="shared" si="34"/>
        <v>100</v>
      </c>
      <c r="S223" s="84">
        <f t="shared" si="35"/>
        <v>695</v>
      </c>
      <c r="T223" s="84">
        <f>0</f>
        <v>0</v>
      </c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</row>
    <row r="224" spans="1:30" ht="15.75" x14ac:dyDescent="0.25">
      <c r="A224" s="16">
        <v>47727</v>
      </c>
      <c r="B224" s="98">
        <v>30</v>
      </c>
      <c r="C224" s="84">
        <f>194.205</f>
        <v>194.20500000000001</v>
      </c>
      <c r="D224" s="84">
        <f>267.466</f>
        <v>267.46600000000001</v>
      </c>
      <c r="E224" s="93">
        <f>133.845</f>
        <v>133.845</v>
      </c>
      <c r="F224" s="84">
        <f>278.484-40-25-60-100</f>
        <v>53.48399999999998</v>
      </c>
      <c r="G224" s="87">
        <v>40</v>
      </c>
      <c r="H224" s="84">
        <f t="shared" si="36"/>
        <v>185</v>
      </c>
      <c r="I224" s="84">
        <f t="shared" si="28"/>
        <v>0</v>
      </c>
      <c r="J224" s="87">
        <v>100</v>
      </c>
      <c r="K224" s="87">
        <v>300</v>
      </c>
      <c r="L224" s="84">
        <f t="shared" si="32"/>
        <v>1274</v>
      </c>
      <c r="M224" s="95">
        <v>600</v>
      </c>
      <c r="N224" s="84">
        <f>30</f>
        <v>30</v>
      </c>
      <c r="O224" s="87">
        <v>240</v>
      </c>
      <c r="P224" s="87">
        <v>160</v>
      </c>
      <c r="Q224" s="87">
        <f t="shared" si="33"/>
        <v>195</v>
      </c>
      <c r="R224" s="87">
        <f t="shared" si="34"/>
        <v>100</v>
      </c>
      <c r="S224" s="84">
        <f t="shared" si="35"/>
        <v>695</v>
      </c>
      <c r="T224" s="84">
        <f>0</f>
        <v>0</v>
      </c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</row>
    <row r="225" spans="1:30" ht="15.75" x14ac:dyDescent="0.25">
      <c r="A225" s="16">
        <v>47757</v>
      </c>
      <c r="B225" s="98">
        <v>31</v>
      </c>
      <c r="C225" s="84">
        <f>131.881</f>
        <v>131.881</v>
      </c>
      <c r="D225" s="84">
        <f>277.167</f>
        <v>277.16699999999997</v>
      </c>
      <c r="E225" s="93">
        <f>79.08</f>
        <v>79.08</v>
      </c>
      <c r="F225" s="84">
        <f>350.872-40-25-60-100</f>
        <v>125.87200000000001</v>
      </c>
      <c r="G225" s="87">
        <v>40</v>
      </c>
      <c r="H225" s="84">
        <f t="shared" si="36"/>
        <v>185</v>
      </c>
      <c r="I225" s="84">
        <f t="shared" si="28"/>
        <v>0</v>
      </c>
      <c r="J225" s="87">
        <v>100</v>
      </c>
      <c r="K225" s="87">
        <v>300</v>
      </c>
      <c r="L225" s="84">
        <f t="shared" si="32"/>
        <v>1239</v>
      </c>
      <c r="M225" s="95">
        <v>600</v>
      </c>
      <c r="N225" s="84">
        <f>75</f>
        <v>75</v>
      </c>
      <c r="O225" s="87">
        <v>240</v>
      </c>
      <c r="P225" s="87">
        <v>160</v>
      </c>
      <c r="Q225" s="87">
        <f t="shared" si="33"/>
        <v>195</v>
      </c>
      <c r="R225" s="87">
        <f t="shared" si="34"/>
        <v>100</v>
      </c>
      <c r="S225" s="84">
        <f t="shared" si="35"/>
        <v>695</v>
      </c>
      <c r="T225" s="84">
        <f>0</f>
        <v>0</v>
      </c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</row>
    <row r="226" spans="1:30" ht="15.75" x14ac:dyDescent="0.25">
      <c r="A226" s="16">
        <v>47788</v>
      </c>
      <c r="B226" s="98">
        <v>30</v>
      </c>
      <c r="C226" s="84">
        <f>122.58</f>
        <v>122.58</v>
      </c>
      <c r="D226" s="84">
        <f>297.941</f>
        <v>297.94099999999997</v>
      </c>
      <c r="E226" s="93">
        <f>89.177</f>
        <v>89.177000000000007</v>
      </c>
      <c r="F226" s="84">
        <f>240.302-40-60-100</f>
        <v>40.301999999999992</v>
      </c>
      <c r="G226" s="87">
        <v>40</v>
      </c>
      <c r="H226" s="84">
        <f>60+100</f>
        <v>160</v>
      </c>
      <c r="I226" s="84">
        <f t="shared" si="28"/>
        <v>0</v>
      </c>
      <c r="J226" s="87">
        <v>100</v>
      </c>
      <c r="K226" s="87">
        <v>300</v>
      </c>
      <c r="L226" s="84">
        <f t="shared" si="32"/>
        <v>1150</v>
      </c>
      <c r="M226" s="95">
        <v>600</v>
      </c>
      <c r="N226" s="84">
        <f>100</f>
        <v>100</v>
      </c>
      <c r="O226" s="87">
        <v>240</v>
      </c>
      <c r="P226" s="87">
        <v>40</v>
      </c>
      <c r="Q226" s="87">
        <f t="shared" si="33"/>
        <v>315</v>
      </c>
      <c r="R226" s="87">
        <f t="shared" si="34"/>
        <v>100</v>
      </c>
      <c r="S226" s="84">
        <f t="shared" si="35"/>
        <v>695</v>
      </c>
      <c r="T226" s="84">
        <f>50</f>
        <v>50</v>
      </c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</row>
    <row r="227" spans="1:30" ht="15.75" x14ac:dyDescent="0.25">
      <c r="A227" s="16">
        <v>47818</v>
      </c>
      <c r="B227" s="98">
        <v>31</v>
      </c>
      <c r="C227" s="84">
        <f>122.58</f>
        <v>122.58</v>
      </c>
      <c r="D227" s="84">
        <f>297.941</f>
        <v>297.94099999999997</v>
      </c>
      <c r="E227" s="93">
        <f>89.177</f>
        <v>89.177000000000007</v>
      </c>
      <c r="F227" s="84">
        <f>240.302-40-60-100</f>
        <v>40.301999999999992</v>
      </c>
      <c r="G227" s="87">
        <v>40</v>
      </c>
      <c r="H227" s="84">
        <f>60+100</f>
        <v>160</v>
      </c>
      <c r="I227" s="84">
        <f t="shared" si="28"/>
        <v>0</v>
      </c>
      <c r="J227" s="87">
        <v>100</v>
      </c>
      <c r="K227" s="87">
        <v>300</v>
      </c>
      <c r="L227" s="84">
        <f t="shared" si="32"/>
        <v>1150</v>
      </c>
      <c r="M227" s="95">
        <v>600</v>
      </c>
      <c r="N227" s="84">
        <f>100</f>
        <v>100</v>
      </c>
      <c r="O227" s="87">
        <v>240</v>
      </c>
      <c r="P227" s="87">
        <v>40</v>
      </c>
      <c r="Q227" s="87">
        <f t="shared" si="33"/>
        <v>315</v>
      </c>
      <c r="R227" s="87">
        <f t="shared" si="34"/>
        <v>100</v>
      </c>
      <c r="S227" s="84">
        <f t="shared" si="35"/>
        <v>695</v>
      </c>
      <c r="T227" s="84">
        <f>50</f>
        <v>50</v>
      </c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</row>
    <row r="228" spans="1:30" ht="15.75" x14ac:dyDescent="0.25">
      <c r="A228" s="16">
        <v>47849</v>
      </c>
      <c r="B228" s="98">
        <v>31</v>
      </c>
      <c r="C228" s="84">
        <f>122.58</f>
        <v>122.58</v>
      </c>
      <c r="D228" s="84">
        <f>297.941</f>
        <v>297.94099999999997</v>
      </c>
      <c r="E228" s="93">
        <f>89.177</f>
        <v>89.177000000000007</v>
      </c>
      <c r="F228" s="84">
        <f>240.302-40-60-100</f>
        <v>40.301999999999992</v>
      </c>
      <c r="G228" s="87">
        <v>40</v>
      </c>
      <c r="H228" s="84">
        <f>60+100</f>
        <v>160</v>
      </c>
      <c r="I228" s="84">
        <f t="shared" si="28"/>
        <v>0</v>
      </c>
      <c r="J228" s="87">
        <v>100</v>
      </c>
      <c r="K228" s="87">
        <v>300</v>
      </c>
      <c r="L228" s="84">
        <f t="shared" si="32"/>
        <v>1150</v>
      </c>
      <c r="M228" s="95">
        <v>600</v>
      </c>
      <c r="N228" s="84">
        <f>100</f>
        <v>100</v>
      </c>
      <c r="O228" s="87">
        <v>240</v>
      </c>
      <c r="P228" s="87">
        <v>40</v>
      </c>
      <c r="Q228" s="87">
        <f t="shared" si="33"/>
        <v>315</v>
      </c>
      <c r="R228" s="87">
        <f t="shared" si="34"/>
        <v>100</v>
      </c>
      <c r="S228" s="84">
        <f t="shared" si="35"/>
        <v>695</v>
      </c>
      <c r="T228" s="84">
        <f>50</f>
        <v>50</v>
      </c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</row>
    <row r="229" spans="1:30" ht="15.75" x14ac:dyDescent="0.25">
      <c r="A229" s="16">
        <v>47880</v>
      </c>
      <c r="B229" s="98">
        <v>28</v>
      </c>
      <c r="C229" s="84">
        <f>122.58</f>
        <v>122.58</v>
      </c>
      <c r="D229" s="84">
        <f>297.941</f>
        <v>297.94099999999997</v>
      </c>
      <c r="E229" s="93">
        <f>89.177</f>
        <v>89.177000000000007</v>
      </c>
      <c r="F229" s="84">
        <f>240.302-40-60-100</f>
        <v>40.301999999999992</v>
      </c>
      <c r="G229" s="87">
        <v>40</v>
      </c>
      <c r="H229" s="84">
        <f>60+100</f>
        <v>160</v>
      </c>
      <c r="I229" s="84">
        <f t="shared" si="28"/>
        <v>0</v>
      </c>
      <c r="J229" s="87">
        <v>100</v>
      </c>
      <c r="K229" s="87">
        <v>300</v>
      </c>
      <c r="L229" s="84">
        <f t="shared" si="32"/>
        <v>1150</v>
      </c>
      <c r="M229" s="95">
        <v>600</v>
      </c>
      <c r="N229" s="84">
        <f>100</f>
        <v>100</v>
      </c>
      <c r="O229" s="87">
        <v>240</v>
      </c>
      <c r="P229" s="87">
        <v>40</v>
      </c>
      <c r="Q229" s="87">
        <f t="shared" si="33"/>
        <v>315</v>
      </c>
      <c r="R229" s="87">
        <f t="shared" si="34"/>
        <v>100</v>
      </c>
      <c r="S229" s="84">
        <f t="shared" si="35"/>
        <v>695</v>
      </c>
      <c r="T229" s="84">
        <f>50</f>
        <v>50</v>
      </c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</row>
    <row r="230" spans="1:30" ht="15.75" x14ac:dyDescent="0.25">
      <c r="A230" s="16">
        <v>47908</v>
      </c>
      <c r="B230" s="98">
        <v>31</v>
      </c>
      <c r="C230" s="84">
        <f>122.58</f>
        <v>122.58</v>
      </c>
      <c r="D230" s="84">
        <f>297.941</f>
        <v>297.94099999999997</v>
      </c>
      <c r="E230" s="93">
        <f>89.177</f>
        <v>89.177000000000007</v>
      </c>
      <c r="F230" s="84">
        <f>240.302-40-60-100</f>
        <v>40.301999999999992</v>
      </c>
      <c r="G230" s="87">
        <v>40</v>
      </c>
      <c r="H230" s="84">
        <f>60+100</f>
        <v>160</v>
      </c>
      <c r="I230" s="84">
        <f t="shared" si="28"/>
        <v>0</v>
      </c>
      <c r="J230" s="87">
        <v>100</v>
      </c>
      <c r="K230" s="87">
        <v>300</v>
      </c>
      <c r="L230" s="84">
        <f t="shared" si="32"/>
        <v>1150</v>
      </c>
      <c r="M230" s="95">
        <v>600</v>
      </c>
      <c r="N230" s="84">
        <f>100</f>
        <v>100</v>
      </c>
      <c r="O230" s="87">
        <v>240</v>
      </c>
      <c r="P230" s="87">
        <v>40</v>
      </c>
      <c r="Q230" s="87">
        <f t="shared" si="33"/>
        <v>315</v>
      </c>
      <c r="R230" s="87">
        <f t="shared" si="34"/>
        <v>100</v>
      </c>
      <c r="S230" s="84">
        <f t="shared" si="35"/>
        <v>695</v>
      </c>
      <c r="T230" s="84">
        <f>50</f>
        <v>50</v>
      </c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</row>
    <row r="231" spans="1:30" ht="15.75" x14ac:dyDescent="0.25">
      <c r="A231" s="16">
        <v>47939</v>
      </c>
      <c r="B231" s="98">
        <v>30</v>
      </c>
      <c r="C231" s="84">
        <f>141.293</f>
        <v>141.29300000000001</v>
      </c>
      <c r="D231" s="84">
        <f>267.993</f>
        <v>267.99299999999999</v>
      </c>
      <c r="E231" s="93">
        <f>115.016</f>
        <v>115.01600000000001</v>
      </c>
      <c r="F231" s="84">
        <f>314.698-40-25-60-100</f>
        <v>89.697999999999979</v>
      </c>
      <c r="G231" s="87">
        <v>40</v>
      </c>
      <c r="H231" s="84">
        <f t="shared" ref="H231:H237" si="37">25+60+100</f>
        <v>185</v>
      </c>
      <c r="I231" s="84">
        <f t="shared" si="28"/>
        <v>0</v>
      </c>
      <c r="J231" s="87">
        <v>100</v>
      </c>
      <c r="K231" s="87">
        <v>300</v>
      </c>
      <c r="L231" s="84">
        <f t="shared" si="32"/>
        <v>1239</v>
      </c>
      <c r="M231" s="95">
        <v>600</v>
      </c>
      <c r="N231" s="84">
        <f>100</f>
        <v>100</v>
      </c>
      <c r="O231" s="87">
        <v>240</v>
      </c>
      <c r="P231" s="87">
        <v>160</v>
      </c>
      <c r="Q231" s="87">
        <f t="shared" si="33"/>
        <v>195</v>
      </c>
      <c r="R231" s="87">
        <f t="shared" si="34"/>
        <v>100</v>
      </c>
      <c r="S231" s="84">
        <f t="shared" si="35"/>
        <v>695</v>
      </c>
      <c r="T231" s="84">
        <f>50</f>
        <v>50</v>
      </c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</row>
    <row r="232" spans="1:30" ht="15.75" x14ac:dyDescent="0.25">
      <c r="A232" s="16">
        <v>47969</v>
      </c>
      <c r="B232" s="98">
        <v>31</v>
      </c>
      <c r="C232" s="84">
        <f>194.205</f>
        <v>194.20500000000001</v>
      </c>
      <c r="D232" s="84">
        <f>267.466</f>
        <v>267.46600000000001</v>
      </c>
      <c r="E232" s="93">
        <f>133.845</f>
        <v>133.845</v>
      </c>
      <c r="F232" s="84">
        <f>278.484-40-25-60-100</f>
        <v>53.48399999999998</v>
      </c>
      <c r="G232" s="87">
        <v>40</v>
      </c>
      <c r="H232" s="84">
        <f t="shared" si="37"/>
        <v>185</v>
      </c>
      <c r="I232" s="84">
        <f t="shared" si="28"/>
        <v>0</v>
      </c>
      <c r="J232" s="87">
        <v>100</v>
      </c>
      <c r="K232" s="87">
        <v>300</v>
      </c>
      <c r="L232" s="84">
        <f t="shared" si="32"/>
        <v>1274</v>
      </c>
      <c r="M232" s="95">
        <v>600</v>
      </c>
      <c r="N232" s="84">
        <f>75</f>
        <v>75</v>
      </c>
      <c r="O232" s="87">
        <v>240</v>
      </c>
      <c r="P232" s="87">
        <v>160</v>
      </c>
      <c r="Q232" s="87">
        <f t="shared" si="33"/>
        <v>195</v>
      </c>
      <c r="R232" s="87">
        <f t="shared" si="34"/>
        <v>100</v>
      </c>
      <c r="S232" s="84">
        <f t="shared" si="35"/>
        <v>695</v>
      </c>
      <c r="T232" s="84">
        <f>50</f>
        <v>50</v>
      </c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</row>
    <row r="233" spans="1:30" ht="15.75" x14ac:dyDescent="0.25">
      <c r="A233" s="16">
        <v>48000</v>
      </c>
      <c r="B233" s="98">
        <v>30</v>
      </c>
      <c r="C233" s="84">
        <f>194.205</f>
        <v>194.20500000000001</v>
      </c>
      <c r="D233" s="84">
        <f>267.466</f>
        <v>267.46600000000001</v>
      </c>
      <c r="E233" s="93">
        <f>133.845</f>
        <v>133.845</v>
      </c>
      <c r="F233" s="84">
        <f>278.484-40-25-60-100</f>
        <v>53.48399999999998</v>
      </c>
      <c r="G233" s="87">
        <v>40</v>
      </c>
      <c r="H233" s="84">
        <f t="shared" si="37"/>
        <v>185</v>
      </c>
      <c r="I233" s="84">
        <f t="shared" si="28"/>
        <v>0</v>
      </c>
      <c r="J233" s="87">
        <v>100</v>
      </c>
      <c r="K233" s="87">
        <v>300</v>
      </c>
      <c r="L233" s="84">
        <f t="shared" si="32"/>
        <v>1274</v>
      </c>
      <c r="M233" s="95">
        <v>600</v>
      </c>
      <c r="N233" s="84">
        <f>30</f>
        <v>30</v>
      </c>
      <c r="O233" s="87">
        <v>240</v>
      </c>
      <c r="P233" s="87">
        <v>160</v>
      </c>
      <c r="Q233" s="87">
        <f t="shared" si="33"/>
        <v>195</v>
      </c>
      <c r="R233" s="87">
        <f t="shared" si="34"/>
        <v>100</v>
      </c>
      <c r="S233" s="84">
        <f t="shared" si="35"/>
        <v>695</v>
      </c>
      <c r="T233" s="84">
        <f>50</f>
        <v>50</v>
      </c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</row>
    <row r="234" spans="1:30" ht="15.75" x14ac:dyDescent="0.25">
      <c r="A234" s="16">
        <v>48030</v>
      </c>
      <c r="B234" s="98">
        <v>31</v>
      </c>
      <c r="C234" s="84">
        <f>194.205</f>
        <v>194.20500000000001</v>
      </c>
      <c r="D234" s="84">
        <f>267.466</f>
        <v>267.46600000000001</v>
      </c>
      <c r="E234" s="93">
        <f>133.845</f>
        <v>133.845</v>
      </c>
      <c r="F234" s="84">
        <f>278.484-40-25-60-100</f>
        <v>53.48399999999998</v>
      </c>
      <c r="G234" s="87">
        <v>40</v>
      </c>
      <c r="H234" s="84">
        <f t="shared" si="37"/>
        <v>185</v>
      </c>
      <c r="I234" s="84">
        <f t="shared" si="28"/>
        <v>0</v>
      </c>
      <c r="J234" s="87">
        <v>100</v>
      </c>
      <c r="K234" s="87">
        <v>300</v>
      </c>
      <c r="L234" s="84">
        <f t="shared" si="32"/>
        <v>1274</v>
      </c>
      <c r="M234" s="95">
        <v>600</v>
      </c>
      <c r="N234" s="84">
        <f>30</f>
        <v>30</v>
      </c>
      <c r="O234" s="87">
        <v>240</v>
      </c>
      <c r="P234" s="87">
        <v>160</v>
      </c>
      <c r="Q234" s="87">
        <f t="shared" si="33"/>
        <v>195</v>
      </c>
      <c r="R234" s="87">
        <f t="shared" si="34"/>
        <v>100</v>
      </c>
      <c r="S234" s="84">
        <f t="shared" si="35"/>
        <v>695</v>
      </c>
      <c r="T234" s="84">
        <f>0</f>
        <v>0</v>
      </c>
      <c r="U234" s="85"/>
      <c r="V234" s="85"/>
      <c r="W234" s="85"/>
      <c r="X234" s="85"/>
      <c r="Y234" s="85"/>
      <c r="Z234" s="85"/>
      <c r="AA234" s="85"/>
      <c r="AB234" s="85"/>
      <c r="AC234" s="85"/>
      <c r="AD234" s="85"/>
    </row>
    <row r="235" spans="1:30" ht="15.75" x14ac:dyDescent="0.25">
      <c r="A235" s="16">
        <v>48061</v>
      </c>
      <c r="B235" s="98">
        <v>31</v>
      </c>
      <c r="C235" s="84">
        <f>194.205</f>
        <v>194.20500000000001</v>
      </c>
      <c r="D235" s="84">
        <f>267.466</f>
        <v>267.46600000000001</v>
      </c>
      <c r="E235" s="93">
        <f>133.845</f>
        <v>133.845</v>
      </c>
      <c r="F235" s="84">
        <f>278.484-40-25-60-100</f>
        <v>53.48399999999998</v>
      </c>
      <c r="G235" s="87">
        <v>40</v>
      </c>
      <c r="H235" s="84">
        <f t="shared" si="37"/>
        <v>185</v>
      </c>
      <c r="I235" s="84">
        <f t="shared" si="28"/>
        <v>0</v>
      </c>
      <c r="J235" s="87">
        <v>100</v>
      </c>
      <c r="K235" s="87">
        <v>300</v>
      </c>
      <c r="L235" s="84">
        <f t="shared" si="32"/>
        <v>1274</v>
      </c>
      <c r="M235" s="95">
        <v>600</v>
      </c>
      <c r="N235" s="84">
        <f>30</f>
        <v>30</v>
      </c>
      <c r="O235" s="87">
        <v>240</v>
      </c>
      <c r="P235" s="87">
        <v>160</v>
      </c>
      <c r="Q235" s="87">
        <f t="shared" si="33"/>
        <v>195</v>
      </c>
      <c r="R235" s="87">
        <f t="shared" si="34"/>
        <v>100</v>
      </c>
      <c r="S235" s="84">
        <f t="shared" si="35"/>
        <v>695</v>
      </c>
      <c r="T235" s="84">
        <f>0</f>
        <v>0</v>
      </c>
      <c r="U235" s="85"/>
      <c r="V235" s="85"/>
      <c r="W235" s="85"/>
      <c r="X235" s="85"/>
      <c r="Y235" s="85"/>
      <c r="Z235" s="85"/>
      <c r="AA235" s="85"/>
      <c r="AB235" s="85"/>
      <c r="AC235" s="85"/>
      <c r="AD235" s="85"/>
    </row>
    <row r="236" spans="1:30" ht="15.75" x14ac:dyDescent="0.25">
      <c r="A236" s="16">
        <v>48092</v>
      </c>
      <c r="B236" s="98">
        <v>30</v>
      </c>
      <c r="C236" s="84">
        <f>194.205</f>
        <v>194.20500000000001</v>
      </c>
      <c r="D236" s="84">
        <f>267.466</f>
        <v>267.46600000000001</v>
      </c>
      <c r="E236" s="93">
        <f>133.845</f>
        <v>133.845</v>
      </c>
      <c r="F236" s="84">
        <f>278.484-40-25-60-100</f>
        <v>53.48399999999998</v>
      </c>
      <c r="G236" s="87">
        <v>40</v>
      </c>
      <c r="H236" s="84">
        <f t="shared" si="37"/>
        <v>185</v>
      </c>
      <c r="I236" s="84">
        <f t="shared" si="28"/>
        <v>0</v>
      </c>
      <c r="J236" s="87">
        <v>100</v>
      </c>
      <c r="K236" s="87">
        <v>300</v>
      </c>
      <c r="L236" s="84">
        <f t="shared" si="32"/>
        <v>1274</v>
      </c>
      <c r="M236" s="95">
        <v>600</v>
      </c>
      <c r="N236" s="84">
        <f>30</f>
        <v>30</v>
      </c>
      <c r="O236" s="87">
        <v>240</v>
      </c>
      <c r="P236" s="87">
        <v>160</v>
      </c>
      <c r="Q236" s="87">
        <f t="shared" si="33"/>
        <v>195</v>
      </c>
      <c r="R236" s="87">
        <f t="shared" si="34"/>
        <v>100</v>
      </c>
      <c r="S236" s="84">
        <f t="shared" si="35"/>
        <v>695</v>
      </c>
      <c r="T236" s="84">
        <f>0</f>
        <v>0</v>
      </c>
      <c r="U236" s="85"/>
      <c r="V236" s="85"/>
      <c r="W236" s="85"/>
      <c r="X236" s="85"/>
      <c r="Y236" s="85"/>
      <c r="Z236" s="85"/>
      <c r="AA236" s="85"/>
      <c r="AB236" s="85"/>
      <c r="AC236" s="85"/>
      <c r="AD236" s="85"/>
    </row>
    <row r="237" spans="1:30" ht="15.75" x14ac:dyDescent="0.25">
      <c r="A237" s="16">
        <v>48122</v>
      </c>
      <c r="B237" s="98">
        <v>31</v>
      </c>
      <c r="C237" s="84">
        <f>131.881</f>
        <v>131.881</v>
      </c>
      <c r="D237" s="84">
        <f>277.167</f>
        <v>277.16699999999997</v>
      </c>
      <c r="E237" s="93">
        <f>79.08</f>
        <v>79.08</v>
      </c>
      <c r="F237" s="84">
        <f>350.872-40-25-60-100</f>
        <v>125.87200000000001</v>
      </c>
      <c r="G237" s="87">
        <v>40</v>
      </c>
      <c r="H237" s="84">
        <f t="shared" si="37"/>
        <v>185</v>
      </c>
      <c r="I237" s="84">
        <f t="shared" si="28"/>
        <v>0</v>
      </c>
      <c r="J237" s="87">
        <v>100</v>
      </c>
      <c r="K237" s="87">
        <v>300</v>
      </c>
      <c r="L237" s="84">
        <f t="shared" si="32"/>
        <v>1239</v>
      </c>
      <c r="M237" s="95">
        <v>600</v>
      </c>
      <c r="N237" s="84">
        <f>75</f>
        <v>75</v>
      </c>
      <c r="O237" s="87">
        <v>240</v>
      </c>
      <c r="P237" s="87">
        <v>160</v>
      </c>
      <c r="Q237" s="87">
        <f t="shared" si="33"/>
        <v>195</v>
      </c>
      <c r="R237" s="87">
        <f t="shared" si="34"/>
        <v>100</v>
      </c>
      <c r="S237" s="84">
        <f t="shared" si="35"/>
        <v>695</v>
      </c>
      <c r="T237" s="84">
        <f>0</f>
        <v>0</v>
      </c>
      <c r="U237" s="85"/>
      <c r="V237" s="85"/>
      <c r="W237" s="85"/>
      <c r="X237" s="85"/>
      <c r="Y237" s="85"/>
      <c r="Z237" s="85"/>
      <c r="AA237" s="85"/>
      <c r="AB237" s="85"/>
      <c r="AC237" s="85"/>
      <c r="AD237" s="85"/>
    </row>
    <row r="238" spans="1:30" ht="15.75" x14ac:dyDescent="0.25">
      <c r="A238" s="16">
        <v>48153</v>
      </c>
      <c r="B238" s="98">
        <v>30</v>
      </c>
      <c r="C238" s="84">
        <f>122.58</f>
        <v>122.58</v>
      </c>
      <c r="D238" s="84">
        <f>297.941</f>
        <v>297.94099999999997</v>
      </c>
      <c r="E238" s="93">
        <f>89.177</f>
        <v>89.177000000000007</v>
      </c>
      <c r="F238" s="84">
        <f>240.302-40-60-100</f>
        <v>40.301999999999992</v>
      </c>
      <c r="G238" s="87">
        <v>40</v>
      </c>
      <c r="H238" s="84">
        <f>60+100</f>
        <v>160</v>
      </c>
      <c r="I238" s="84">
        <f t="shared" si="28"/>
        <v>0</v>
      </c>
      <c r="J238" s="87">
        <v>100</v>
      </c>
      <c r="K238" s="87">
        <v>300</v>
      </c>
      <c r="L238" s="84">
        <f t="shared" si="32"/>
        <v>1150</v>
      </c>
      <c r="M238" s="95">
        <v>600</v>
      </c>
      <c r="N238" s="84">
        <f>100</f>
        <v>100</v>
      </c>
      <c r="O238" s="87">
        <v>240</v>
      </c>
      <c r="P238" s="87">
        <v>40</v>
      </c>
      <c r="Q238" s="87">
        <f t="shared" si="33"/>
        <v>315</v>
      </c>
      <c r="R238" s="87">
        <f t="shared" si="34"/>
        <v>100</v>
      </c>
      <c r="S238" s="84">
        <f t="shared" si="35"/>
        <v>695</v>
      </c>
      <c r="T238" s="84">
        <f>50</f>
        <v>50</v>
      </c>
      <c r="U238" s="85"/>
      <c r="V238" s="85"/>
      <c r="W238" s="85"/>
      <c r="X238" s="85"/>
      <c r="Y238" s="85"/>
      <c r="Z238" s="85"/>
      <c r="AA238" s="85"/>
      <c r="AB238" s="85"/>
      <c r="AC238" s="85"/>
      <c r="AD238" s="85"/>
    </row>
    <row r="239" spans="1:30" ht="15.75" x14ac:dyDescent="0.25">
      <c r="A239" s="16">
        <v>48183</v>
      </c>
      <c r="B239" s="98">
        <v>31</v>
      </c>
      <c r="C239" s="84">
        <f>122.58</f>
        <v>122.58</v>
      </c>
      <c r="D239" s="84">
        <f>297.941</f>
        <v>297.94099999999997</v>
      </c>
      <c r="E239" s="93">
        <f>89.177</f>
        <v>89.177000000000007</v>
      </c>
      <c r="F239" s="84">
        <f>240.302-40-60-100</f>
        <v>40.301999999999992</v>
      </c>
      <c r="G239" s="87">
        <v>40</v>
      </c>
      <c r="H239" s="84">
        <f>60+100</f>
        <v>160</v>
      </c>
      <c r="I239" s="84">
        <f t="shared" si="28"/>
        <v>0</v>
      </c>
      <c r="J239" s="87">
        <v>100</v>
      </c>
      <c r="K239" s="87">
        <v>300</v>
      </c>
      <c r="L239" s="84">
        <f t="shared" si="32"/>
        <v>1150</v>
      </c>
      <c r="M239" s="95">
        <v>600</v>
      </c>
      <c r="N239" s="84">
        <f>100</f>
        <v>100</v>
      </c>
      <c r="O239" s="87">
        <v>240</v>
      </c>
      <c r="P239" s="87">
        <v>40</v>
      </c>
      <c r="Q239" s="87">
        <f t="shared" si="33"/>
        <v>315</v>
      </c>
      <c r="R239" s="87">
        <f t="shared" si="34"/>
        <v>100</v>
      </c>
      <c r="S239" s="84">
        <f t="shared" si="35"/>
        <v>695</v>
      </c>
      <c r="T239" s="84">
        <f>50</f>
        <v>50</v>
      </c>
      <c r="U239" s="85"/>
      <c r="V239" s="85"/>
      <c r="W239" s="85"/>
      <c r="X239" s="85"/>
      <c r="Y239" s="85"/>
      <c r="Z239" s="85"/>
      <c r="AA239" s="85"/>
      <c r="AB239" s="85"/>
      <c r="AC239" s="85"/>
      <c r="AD239" s="85"/>
    </row>
    <row r="240" spans="1:30" ht="15.75" x14ac:dyDescent="0.25">
      <c r="A240" s="16">
        <v>48214</v>
      </c>
      <c r="B240" s="98">
        <v>31</v>
      </c>
      <c r="C240" s="84">
        <f>122.58</f>
        <v>122.58</v>
      </c>
      <c r="D240" s="84">
        <f>297.941</f>
        <v>297.94099999999997</v>
      </c>
      <c r="E240" s="93">
        <f>89.177</f>
        <v>89.177000000000007</v>
      </c>
      <c r="F240" s="84">
        <f>240.302-40-60-100</f>
        <v>40.301999999999992</v>
      </c>
      <c r="G240" s="87">
        <v>40</v>
      </c>
      <c r="H240" s="84">
        <f>60+100</f>
        <v>160</v>
      </c>
      <c r="I240" s="84">
        <f t="shared" si="28"/>
        <v>0</v>
      </c>
      <c r="J240" s="87">
        <v>100</v>
      </c>
      <c r="K240" s="87">
        <v>300</v>
      </c>
      <c r="L240" s="84">
        <f t="shared" si="32"/>
        <v>1150</v>
      </c>
      <c r="M240" s="95">
        <v>600</v>
      </c>
      <c r="N240" s="84">
        <f>100</f>
        <v>100</v>
      </c>
      <c r="O240" s="87">
        <v>240</v>
      </c>
      <c r="P240" s="87">
        <v>40</v>
      </c>
      <c r="Q240" s="87">
        <f t="shared" si="33"/>
        <v>315</v>
      </c>
      <c r="R240" s="87">
        <f t="shared" si="34"/>
        <v>100</v>
      </c>
      <c r="S240" s="84">
        <f t="shared" si="35"/>
        <v>695</v>
      </c>
      <c r="T240" s="84">
        <f>50</f>
        <v>50</v>
      </c>
      <c r="U240" s="85"/>
      <c r="V240" s="85"/>
      <c r="W240" s="85"/>
      <c r="X240" s="85"/>
      <c r="Y240" s="85"/>
      <c r="Z240" s="85"/>
      <c r="AA240" s="85"/>
      <c r="AB240" s="85"/>
      <c r="AC240" s="85"/>
      <c r="AD240" s="85"/>
    </row>
    <row r="241" spans="1:30" ht="15.75" x14ac:dyDescent="0.25">
      <c r="A241" s="16">
        <v>48245</v>
      </c>
      <c r="B241" s="98">
        <v>29</v>
      </c>
      <c r="C241" s="84">
        <f>122.58</f>
        <v>122.58</v>
      </c>
      <c r="D241" s="84">
        <f>297.941</f>
        <v>297.94099999999997</v>
      </c>
      <c r="E241" s="93">
        <f>89.177</f>
        <v>89.177000000000007</v>
      </c>
      <c r="F241" s="84">
        <f>240.302-40-60-100</f>
        <v>40.301999999999992</v>
      </c>
      <c r="G241" s="87">
        <v>40</v>
      </c>
      <c r="H241" s="84">
        <f>60+100</f>
        <v>160</v>
      </c>
      <c r="I241" s="84">
        <f t="shared" si="28"/>
        <v>0</v>
      </c>
      <c r="J241" s="87">
        <v>100</v>
      </c>
      <c r="K241" s="87">
        <v>300</v>
      </c>
      <c r="L241" s="84">
        <f t="shared" si="32"/>
        <v>1150</v>
      </c>
      <c r="M241" s="95">
        <v>600</v>
      </c>
      <c r="N241" s="84">
        <f>100</f>
        <v>100</v>
      </c>
      <c r="O241" s="87">
        <v>240</v>
      </c>
      <c r="P241" s="87">
        <v>40</v>
      </c>
      <c r="Q241" s="87">
        <f t="shared" si="33"/>
        <v>315</v>
      </c>
      <c r="R241" s="87">
        <f t="shared" si="34"/>
        <v>100</v>
      </c>
      <c r="S241" s="84">
        <f t="shared" si="35"/>
        <v>695</v>
      </c>
      <c r="T241" s="84">
        <f>50</f>
        <v>50</v>
      </c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</row>
    <row r="242" spans="1:30" ht="15.75" x14ac:dyDescent="0.25">
      <c r="A242" s="16">
        <v>48274</v>
      </c>
      <c r="B242" s="98">
        <v>31</v>
      </c>
      <c r="C242" s="84">
        <f>122.58</f>
        <v>122.58</v>
      </c>
      <c r="D242" s="84">
        <f>297.941</f>
        <v>297.94099999999997</v>
      </c>
      <c r="E242" s="93">
        <f>89.177</f>
        <v>89.177000000000007</v>
      </c>
      <c r="F242" s="84">
        <f>240.302-40-60-100</f>
        <v>40.301999999999992</v>
      </c>
      <c r="G242" s="87">
        <v>40</v>
      </c>
      <c r="H242" s="84">
        <f>60+100</f>
        <v>160</v>
      </c>
      <c r="I242" s="84">
        <f t="shared" si="28"/>
        <v>0</v>
      </c>
      <c r="J242" s="87">
        <v>100</v>
      </c>
      <c r="K242" s="87">
        <v>300</v>
      </c>
      <c r="L242" s="84">
        <f t="shared" si="32"/>
        <v>1150</v>
      </c>
      <c r="M242" s="95">
        <v>600</v>
      </c>
      <c r="N242" s="84">
        <f>100</f>
        <v>100</v>
      </c>
      <c r="O242" s="87">
        <v>240</v>
      </c>
      <c r="P242" s="87">
        <v>40</v>
      </c>
      <c r="Q242" s="87">
        <f t="shared" si="33"/>
        <v>315</v>
      </c>
      <c r="R242" s="87">
        <f t="shared" si="34"/>
        <v>100</v>
      </c>
      <c r="S242" s="84">
        <f t="shared" si="35"/>
        <v>695</v>
      </c>
      <c r="T242" s="84">
        <f>50</f>
        <v>50</v>
      </c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</row>
    <row r="243" spans="1:30" ht="15.75" x14ac:dyDescent="0.25">
      <c r="A243" s="16">
        <v>48305</v>
      </c>
      <c r="B243" s="98">
        <v>30</v>
      </c>
      <c r="C243" s="84">
        <f>141.293</f>
        <v>141.29300000000001</v>
      </c>
      <c r="D243" s="84">
        <f>267.993</f>
        <v>267.99299999999999</v>
      </c>
      <c r="E243" s="93">
        <f>115.016</f>
        <v>115.01600000000001</v>
      </c>
      <c r="F243" s="84">
        <f>314.698-40-25-60-100</f>
        <v>89.697999999999979</v>
      </c>
      <c r="G243" s="87">
        <v>40</v>
      </c>
      <c r="H243" s="84">
        <f t="shared" ref="H243:H249" si="38">25+60+100</f>
        <v>185</v>
      </c>
      <c r="I243" s="84">
        <f t="shared" si="28"/>
        <v>0</v>
      </c>
      <c r="J243" s="87">
        <v>100</v>
      </c>
      <c r="K243" s="87">
        <v>300</v>
      </c>
      <c r="L243" s="84">
        <f t="shared" si="32"/>
        <v>1239</v>
      </c>
      <c r="M243" s="95">
        <v>600</v>
      </c>
      <c r="N243" s="84">
        <f>100</f>
        <v>100</v>
      </c>
      <c r="O243" s="87">
        <v>240</v>
      </c>
      <c r="P243" s="87">
        <v>160</v>
      </c>
      <c r="Q243" s="87">
        <f t="shared" si="33"/>
        <v>195</v>
      </c>
      <c r="R243" s="87">
        <f t="shared" si="34"/>
        <v>100</v>
      </c>
      <c r="S243" s="84">
        <f t="shared" si="35"/>
        <v>695</v>
      </c>
      <c r="T243" s="84">
        <f>50</f>
        <v>50</v>
      </c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</row>
    <row r="244" spans="1:30" ht="15.75" x14ac:dyDescent="0.25">
      <c r="A244" s="16">
        <v>48335</v>
      </c>
      <c r="B244" s="98">
        <v>31</v>
      </c>
      <c r="C244" s="84">
        <f>194.205</f>
        <v>194.20500000000001</v>
      </c>
      <c r="D244" s="84">
        <f>267.466</f>
        <v>267.46600000000001</v>
      </c>
      <c r="E244" s="93">
        <f>133.845</f>
        <v>133.845</v>
      </c>
      <c r="F244" s="84">
        <f>278.484-40-25-60-100</f>
        <v>53.48399999999998</v>
      </c>
      <c r="G244" s="87">
        <v>40</v>
      </c>
      <c r="H244" s="84">
        <f t="shared" si="38"/>
        <v>185</v>
      </c>
      <c r="I244" s="84">
        <f t="shared" ref="I244:I307" si="39">400-J244-K244</f>
        <v>0</v>
      </c>
      <c r="J244" s="87">
        <v>100</v>
      </c>
      <c r="K244" s="87">
        <v>300</v>
      </c>
      <c r="L244" s="84">
        <f t="shared" si="32"/>
        <v>1274</v>
      </c>
      <c r="M244" s="95">
        <v>600</v>
      </c>
      <c r="N244" s="84">
        <f>75</f>
        <v>75</v>
      </c>
      <c r="O244" s="87">
        <v>240</v>
      </c>
      <c r="P244" s="87">
        <v>160</v>
      </c>
      <c r="Q244" s="87">
        <f t="shared" si="33"/>
        <v>195</v>
      </c>
      <c r="R244" s="87">
        <f t="shared" si="34"/>
        <v>100</v>
      </c>
      <c r="S244" s="84">
        <f t="shared" si="35"/>
        <v>695</v>
      </c>
      <c r="T244" s="84">
        <f>50</f>
        <v>50</v>
      </c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</row>
    <row r="245" spans="1:30" ht="15.75" x14ac:dyDescent="0.25">
      <c r="A245" s="16">
        <v>48366</v>
      </c>
      <c r="B245" s="98">
        <v>30</v>
      </c>
      <c r="C245" s="84">
        <f>194.205</f>
        <v>194.20500000000001</v>
      </c>
      <c r="D245" s="84">
        <f>267.466</f>
        <v>267.46600000000001</v>
      </c>
      <c r="E245" s="93">
        <f>133.845</f>
        <v>133.845</v>
      </c>
      <c r="F245" s="84">
        <f>278.484-40-25-60-100</f>
        <v>53.48399999999998</v>
      </c>
      <c r="G245" s="87">
        <v>40</v>
      </c>
      <c r="H245" s="84">
        <f t="shared" si="38"/>
        <v>185</v>
      </c>
      <c r="I245" s="84">
        <f t="shared" si="39"/>
        <v>0</v>
      </c>
      <c r="J245" s="87">
        <v>100</v>
      </c>
      <c r="K245" s="87">
        <v>300</v>
      </c>
      <c r="L245" s="84">
        <f t="shared" si="32"/>
        <v>1274</v>
      </c>
      <c r="M245" s="95">
        <v>600</v>
      </c>
      <c r="N245" s="84">
        <f>30</f>
        <v>30</v>
      </c>
      <c r="O245" s="87">
        <v>240</v>
      </c>
      <c r="P245" s="87">
        <v>160</v>
      </c>
      <c r="Q245" s="87">
        <f t="shared" si="33"/>
        <v>195</v>
      </c>
      <c r="R245" s="87">
        <f t="shared" si="34"/>
        <v>100</v>
      </c>
      <c r="S245" s="84">
        <f t="shared" si="35"/>
        <v>695</v>
      </c>
      <c r="T245" s="84">
        <f>50</f>
        <v>50</v>
      </c>
      <c r="U245" s="85"/>
      <c r="V245" s="85"/>
      <c r="W245" s="85"/>
      <c r="X245" s="85"/>
      <c r="Y245" s="85"/>
      <c r="Z245" s="85"/>
      <c r="AA245" s="85"/>
      <c r="AB245" s="85"/>
      <c r="AC245" s="85"/>
      <c r="AD245" s="85"/>
    </row>
    <row r="246" spans="1:30" ht="15.75" x14ac:dyDescent="0.25">
      <c r="A246" s="16">
        <v>48396</v>
      </c>
      <c r="B246" s="98">
        <v>31</v>
      </c>
      <c r="C246" s="84">
        <f>194.205</f>
        <v>194.20500000000001</v>
      </c>
      <c r="D246" s="84">
        <f>267.466</f>
        <v>267.46600000000001</v>
      </c>
      <c r="E246" s="93">
        <f>133.845</f>
        <v>133.845</v>
      </c>
      <c r="F246" s="84">
        <f>278.484-40-25-60-100</f>
        <v>53.48399999999998</v>
      </c>
      <c r="G246" s="87">
        <v>40</v>
      </c>
      <c r="H246" s="84">
        <f t="shared" si="38"/>
        <v>185</v>
      </c>
      <c r="I246" s="84">
        <f t="shared" si="39"/>
        <v>0</v>
      </c>
      <c r="J246" s="87">
        <v>100</v>
      </c>
      <c r="K246" s="87">
        <v>300</v>
      </c>
      <c r="L246" s="84">
        <f t="shared" si="32"/>
        <v>1274</v>
      </c>
      <c r="M246" s="95">
        <v>600</v>
      </c>
      <c r="N246" s="84">
        <f>30</f>
        <v>30</v>
      </c>
      <c r="O246" s="87">
        <v>240</v>
      </c>
      <c r="P246" s="87">
        <v>160</v>
      </c>
      <c r="Q246" s="87">
        <f t="shared" si="33"/>
        <v>195</v>
      </c>
      <c r="R246" s="87">
        <f t="shared" si="34"/>
        <v>100</v>
      </c>
      <c r="S246" s="84">
        <f t="shared" si="35"/>
        <v>695</v>
      </c>
      <c r="T246" s="84">
        <f>0</f>
        <v>0</v>
      </c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</row>
    <row r="247" spans="1:30" ht="15.75" x14ac:dyDescent="0.25">
      <c r="A247" s="16">
        <v>48427</v>
      </c>
      <c r="B247" s="98">
        <v>31</v>
      </c>
      <c r="C247" s="84">
        <f>194.205</f>
        <v>194.20500000000001</v>
      </c>
      <c r="D247" s="84">
        <f>267.466</f>
        <v>267.46600000000001</v>
      </c>
      <c r="E247" s="93">
        <f>133.845</f>
        <v>133.845</v>
      </c>
      <c r="F247" s="84">
        <f>278.484-40-25-60-100</f>
        <v>53.48399999999998</v>
      </c>
      <c r="G247" s="87">
        <v>40</v>
      </c>
      <c r="H247" s="84">
        <f t="shared" si="38"/>
        <v>185</v>
      </c>
      <c r="I247" s="84">
        <f t="shared" si="39"/>
        <v>0</v>
      </c>
      <c r="J247" s="87">
        <v>100</v>
      </c>
      <c r="K247" s="87">
        <v>300</v>
      </c>
      <c r="L247" s="84">
        <f t="shared" si="32"/>
        <v>1274</v>
      </c>
      <c r="M247" s="95">
        <v>600</v>
      </c>
      <c r="N247" s="84">
        <f>30</f>
        <v>30</v>
      </c>
      <c r="O247" s="87">
        <v>240</v>
      </c>
      <c r="P247" s="87">
        <v>160</v>
      </c>
      <c r="Q247" s="87">
        <f t="shared" si="33"/>
        <v>195</v>
      </c>
      <c r="R247" s="87">
        <f t="shared" si="34"/>
        <v>100</v>
      </c>
      <c r="S247" s="84">
        <f t="shared" si="35"/>
        <v>695</v>
      </c>
      <c r="T247" s="84">
        <f>0</f>
        <v>0</v>
      </c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</row>
    <row r="248" spans="1:30" ht="15.75" x14ac:dyDescent="0.25">
      <c r="A248" s="16">
        <v>48458</v>
      </c>
      <c r="B248" s="98">
        <v>30</v>
      </c>
      <c r="C248" s="84">
        <f>194.205</f>
        <v>194.20500000000001</v>
      </c>
      <c r="D248" s="84">
        <f>267.466</f>
        <v>267.46600000000001</v>
      </c>
      <c r="E248" s="93">
        <f>133.845</f>
        <v>133.845</v>
      </c>
      <c r="F248" s="84">
        <f>278.484-40-25-60-100</f>
        <v>53.48399999999998</v>
      </c>
      <c r="G248" s="87">
        <v>40</v>
      </c>
      <c r="H248" s="84">
        <f t="shared" si="38"/>
        <v>185</v>
      </c>
      <c r="I248" s="84">
        <f t="shared" si="39"/>
        <v>0</v>
      </c>
      <c r="J248" s="87">
        <v>100</v>
      </c>
      <c r="K248" s="87">
        <v>300</v>
      </c>
      <c r="L248" s="84">
        <f t="shared" si="32"/>
        <v>1274</v>
      </c>
      <c r="M248" s="95">
        <v>600</v>
      </c>
      <c r="N248" s="84">
        <f>30</f>
        <v>30</v>
      </c>
      <c r="O248" s="87">
        <v>240</v>
      </c>
      <c r="P248" s="87">
        <v>160</v>
      </c>
      <c r="Q248" s="87">
        <f t="shared" si="33"/>
        <v>195</v>
      </c>
      <c r="R248" s="87">
        <f t="shared" si="34"/>
        <v>100</v>
      </c>
      <c r="S248" s="84">
        <f t="shared" si="35"/>
        <v>695</v>
      </c>
      <c r="T248" s="84">
        <f>0</f>
        <v>0</v>
      </c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</row>
    <row r="249" spans="1:30" ht="15.75" x14ac:dyDescent="0.25">
      <c r="A249" s="16">
        <v>48488</v>
      </c>
      <c r="B249" s="98">
        <v>31</v>
      </c>
      <c r="C249" s="84">
        <f>131.881</f>
        <v>131.881</v>
      </c>
      <c r="D249" s="84">
        <f>277.167</f>
        <v>277.16699999999997</v>
      </c>
      <c r="E249" s="93">
        <f>79.08</f>
        <v>79.08</v>
      </c>
      <c r="F249" s="84">
        <f>350.872-40-25-60-100</f>
        <v>125.87200000000001</v>
      </c>
      <c r="G249" s="87">
        <v>40</v>
      </c>
      <c r="H249" s="84">
        <f t="shared" si="38"/>
        <v>185</v>
      </c>
      <c r="I249" s="84">
        <f t="shared" si="39"/>
        <v>0</v>
      </c>
      <c r="J249" s="87">
        <v>100</v>
      </c>
      <c r="K249" s="87">
        <v>300</v>
      </c>
      <c r="L249" s="84">
        <f t="shared" si="32"/>
        <v>1239</v>
      </c>
      <c r="M249" s="95">
        <v>600</v>
      </c>
      <c r="N249" s="84">
        <f>75</f>
        <v>75</v>
      </c>
      <c r="O249" s="87">
        <v>240</v>
      </c>
      <c r="P249" s="87">
        <v>160</v>
      </c>
      <c r="Q249" s="87">
        <f t="shared" si="33"/>
        <v>195</v>
      </c>
      <c r="R249" s="87">
        <f t="shared" si="34"/>
        <v>100</v>
      </c>
      <c r="S249" s="84">
        <f t="shared" si="35"/>
        <v>695</v>
      </c>
      <c r="T249" s="84">
        <f>0</f>
        <v>0</v>
      </c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</row>
    <row r="250" spans="1:30" ht="15.75" x14ac:dyDescent="0.25">
      <c r="A250" s="16">
        <v>48519</v>
      </c>
      <c r="B250" s="98">
        <v>30</v>
      </c>
      <c r="C250" s="84">
        <f>122.58</f>
        <v>122.58</v>
      </c>
      <c r="D250" s="84">
        <f>297.941</f>
        <v>297.94099999999997</v>
      </c>
      <c r="E250" s="93">
        <f>89.177</f>
        <v>89.177000000000007</v>
      </c>
      <c r="F250" s="84">
        <f>240.302-40-60-100</f>
        <v>40.301999999999992</v>
      </c>
      <c r="G250" s="87">
        <v>40</v>
      </c>
      <c r="H250" s="84">
        <f>60+100</f>
        <v>160</v>
      </c>
      <c r="I250" s="84">
        <f t="shared" si="39"/>
        <v>0</v>
      </c>
      <c r="J250" s="87">
        <v>100</v>
      </c>
      <c r="K250" s="87">
        <v>300</v>
      </c>
      <c r="L250" s="84">
        <f t="shared" si="32"/>
        <v>1150</v>
      </c>
      <c r="M250" s="95">
        <v>600</v>
      </c>
      <c r="N250" s="84">
        <f>100</f>
        <v>100</v>
      </c>
      <c r="O250" s="87">
        <v>240</v>
      </c>
      <c r="P250" s="87">
        <v>40</v>
      </c>
      <c r="Q250" s="87">
        <f t="shared" si="33"/>
        <v>315</v>
      </c>
      <c r="R250" s="87">
        <f t="shared" si="34"/>
        <v>100</v>
      </c>
      <c r="S250" s="84">
        <f t="shared" si="35"/>
        <v>695</v>
      </c>
      <c r="T250" s="84">
        <f>50</f>
        <v>50</v>
      </c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</row>
    <row r="251" spans="1:30" ht="15.75" x14ac:dyDescent="0.25">
      <c r="A251" s="16">
        <v>48549</v>
      </c>
      <c r="B251" s="98">
        <v>31</v>
      </c>
      <c r="C251" s="84">
        <f>122.58</f>
        <v>122.58</v>
      </c>
      <c r="D251" s="84">
        <f>297.941</f>
        <v>297.94099999999997</v>
      </c>
      <c r="E251" s="93">
        <f>89.177</f>
        <v>89.177000000000007</v>
      </c>
      <c r="F251" s="84">
        <f>240.302-40-60-100</f>
        <v>40.301999999999992</v>
      </c>
      <c r="G251" s="87">
        <v>40</v>
      </c>
      <c r="H251" s="84">
        <f>60+100</f>
        <v>160</v>
      </c>
      <c r="I251" s="84">
        <f t="shared" si="39"/>
        <v>0</v>
      </c>
      <c r="J251" s="87">
        <v>100</v>
      </c>
      <c r="K251" s="87">
        <v>300</v>
      </c>
      <c r="L251" s="84">
        <f t="shared" si="32"/>
        <v>1150</v>
      </c>
      <c r="M251" s="95">
        <v>600</v>
      </c>
      <c r="N251" s="84">
        <f>100</f>
        <v>100</v>
      </c>
      <c r="O251" s="87">
        <v>240</v>
      </c>
      <c r="P251" s="87">
        <v>40</v>
      </c>
      <c r="Q251" s="87">
        <f t="shared" si="33"/>
        <v>315</v>
      </c>
      <c r="R251" s="87">
        <f t="shared" si="34"/>
        <v>100</v>
      </c>
      <c r="S251" s="84">
        <f t="shared" si="35"/>
        <v>695</v>
      </c>
      <c r="T251" s="84">
        <f>50</f>
        <v>50</v>
      </c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</row>
    <row r="252" spans="1:30" ht="15.75" x14ac:dyDescent="0.25">
      <c r="A252" s="16">
        <v>48580</v>
      </c>
      <c r="B252" s="98">
        <v>31</v>
      </c>
      <c r="C252" s="84">
        <f>122.58</f>
        <v>122.58</v>
      </c>
      <c r="D252" s="84">
        <f>297.941</f>
        <v>297.94099999999997</v>
      </c>
      <c r="E252" s="93">
        <f>89.177</f>
        <v>89.177000000000007</v>
      </c>
      <c r="F252" s="84">
        <f>240.302-40-60-100</f>
        <v>40.301999999999992</v>
      </c>
      <c r="G252" s="87">
        <v>40</v>
      </c>
      <c r="H252" s="84">
        <f>60+100</f>
        <v>160</v>
      </c>
      <c r="I252" s="84">
        <f t="shared" si="39"/>
        <v>0</v>
      </c>
      <c r="J252" s="87">
        <v>100</v>
      </c>
      <c r="K252" s="87">
        <v>300</v>
      </c>
      <c r="L252" s="84">
        <f t="shared" si="32"/>
        <v>1150</v>
      </c>
      <c r="M252" s="95">
        <v>600</v>
      </c>
      <c r="N252" s="84">
        <f>100</f>
        <v>100</v>
      </c>
      <c r="O252" s="87">
        <v>240</v>
      </c>
      <c r="P252" s="87">
        <v>40</v>
      </c>
      <c r="Q252" s="87">
        <f t="shared" si="33"/>
        <v>315</v>
      </c>
      <c r="R252" s="87">
        <f t="shared" si="34"/>
        <v>100</v>
      </c>
      <c r="S252" s="84">
        <f t="shared" si="35"/>
        <v>695</v>
      </c>
      <c r="T252" s="84">
        <f>50</f>
        <v>50</v>
      </c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</row>
    <row r="253" spans="1:30" ht="15.75" x14ac:dyDescent="0.25">
      <c r="A253" s="16">
        <v>48611</v>
      </c>
      <c r="B253" s="98">
        <v>28</v>
      </c>
      <c r="C253" s="84">
        <f>122.58</f>
        <v>122.58</v>
      </c>
      <c r="D253" s="84">
        <f>297.941</f>
        <v>297.94099999999997</v>
      </c>
      <c r="E253" s="93">
        <f>89.177</f>
        <v>89.177000000000007</v>
      </c>
      <c r="F253" s="84">
        <f>240.302-40-60-100</f>
        <v>40.301999999999992</v>
      </c>
      <c r="G253" s="87">
        <v>40</v>
      </c>
      <c r="H253" s="84">
        <f>60+100</f>
        <v>160</v>
      </c>
      <c r="I253" s="84">
        <f t="shared" si="39"/>
        <v>0</v>
      </c>
      <c r="J253" s="87">
        <v>100</v>
      </c>
      <c r="K253" s="87">
        <v>300</v>
      </c>
      <c r="L253" s="84">
        <f t="shared" si="32"/>
        <v>1150</v>
      </c>
      <c r="M253" s="95">
        <v>600</v>
      </c>
      <c r="N253" s="84">
        <f>100</f>
        <v>100</v>
      </c>
      <c r="O253" s="87">
        <v>240</v>
      </c>
      <c r="P253" s="87">
        <v>40</v>
      </c>
      <c r="Q253" s="87">
        <f t="shared" si="33"/>
        <v>315</v>
      </c>
      <c r="R253" s="87">
        <f t="shared" si="34"/>
        <v>100</v>
      </c>
      <c r="S253" s="84">
        <f t="shared" si="35"/>
        <v>695</v>
      </c>
      <c r="T253" s="84">
        <f>50</f>
        <v>50</v>
      </c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</row>
    <row r="254" spans="1:30" ht="15.75" x14ac:dyDescent="0.25">
      <c r="A254" s="16">
        <v>48639</v>
      </c>
      <c r="B254" s="98">
        <v>31</v>
      </c>
      <c r="C254" s="84">
        <f>122.58</f>
        <v>122.58</v>
      </c>
      <c r="D254" s="84">
        <f>297.941</f>
        <v>297.94099999999997</v>
      </c>
      <c r="E254" s="93">
        <f>89.177</f>
        <v>89.177000000000007</v>
      </c>
      <c r="F254" s="84">
        <f>240.302-40-60-100</f>
        <v>40.301999999999992</v>
      </c>
      <c r="G254" s="87">
        <v>40</v>
      </c>
      <c r="H254" s="84">
        <f>60+100</f>
        <v>160</v>
      </c>
      <c r="I254" s="84">
        <f t="shared" si="39"/>
        <v>0</v>
      </c>
      <c r="J254" s="87">
        <v>100</v>
      </c>
      <c r="K254" s="87">
        <v>300</v>
      </c>
      <c r="L254" s="84">
        <f t="shared" si="32"/>
        <v>1150</v>
      </c>
      <c r="M254" s="95">
        <v>600</v>
      </c>
      <c r="N254" s="84">
        <f>100</f>
        <v>100</v>
      </c>
      <c r="O254" s="87">
        <v>240</v>
      </c>
      <c r="P254" s="87">
        <v>40</v>
      </c>
      <c r="Q254" s="87">
        <f t="shared" si="33"/>
        <v>315</v>
      </c>
      <c r="R254" s="87">
        <f t="shared" si="34"/>
        <v>100</v>
      </c>
      <c r="S254" s="84">
        <f t="shared" si="35"/>
        <v>695</v>
      </c>
      <c r="T254" s="84">
        <f>50</f>
        <v>50</v>
      </c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</row>
    <row r="255" spans="1:30" ht="15.75" x14ac:dyDescent="0.25">
      <c r="A255" s="16">
        <v>48670</v>
      </c>
      <c r="B255" s="98">
        <v>30</v>
      </c>
      <c r="C255" s="84">
        <f>141.293</f>
        <v>141.29300000000001</v>
      </c>
      <c r="D255" s="84">
        <f>267.993</f>
        <v>267.99299999999999</v>
      </c>
      <c r="E255" s="93">
        <f>115.016</f>
        <v>115.01600000000001</v>
      </c>
      <c r="F255" s="84">
        <f>314.698-40-25-60-100</f>
        <v>89.697999999999979</v>
      </c>
      <c r="G255" s="87">
        <v>40</v>
      </c>
      <c r="H255" s="84">
        <f t="shared" ref="H255:H261" si="40">25+60+100</f>
        <v>185</v>
      </c>
      <c r="I255" s="84">
        <f t="shared" si="39"/>
        <v>0</v>
      </c>
      <c r="J255" s="87">
        <v>100</v>
      </c>
      <c r="K255" s="87">
        <v>300</v>
      </c>
      <c r="L255" s="84">
        <f t="shared" si="32"/>
        <v>1239</v>
      </c>
      <c r="M255" s="95">
        <v>600</v>
      </c>
      <c r="N255" s="84">
        <f>100</f>
        <v>100</v>
      </c>
      <c r="O255" s="87">
        <v>240</v>
      </c>
      <c r="P255" s="87">
        <v>160</v>
      </c>
      <c r="Q255" s="87">
        <f t="shared" si="33"/>
        <v>195</v>
      </c>
      <c r="R255" s="87">
        <f t="shared" si="34"/>
        <v>100</v>
      </c>
      <c r="S255" s="84">
        <f t="shared" si="35"/>
        <v>695</v>
      </c>
      <c r="T255" s="84">
        <f>50</f>
        <v>50</v>
      </c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</row>
    <row r="256" spans="1:30" ht="15.75" x14ac:dyDescent="0.25">
      <c r="A256" s="16">
        <v>48700</v>
      </c>
      <c r="B256" s="98">
        <v>31</v>
      </c>
      <c r="C256" s="84">
        <f>194.205</f>
        <v>194.20500000000001</v>
      </c>
      <c r="D256" s="84">
        <f>267.466</f>
        <v>267.46600000000001</v>
      </c>
      <c r="E256" s="93">
        <f>133.845</f>
        <v>133.845</v>
      </c>
      <c r="F256" s="84">
        <f>278.484-40-25-60-100</f>
        <v>53.48399999999998</v>
      </c>
      <c r="G256" s="87">
        <v>40</v>
      </c>
      <c r="H256" s="84">
        <f t="shared" si="40"/>
        <v>185</v>
      </c>
      <c r="I256" s="84">
        <f t="shared" si="39"/>
        <v>0</v>
      </c>
      <c r="J256" s="87">
        <v>100</v>
      </c>
      <c r="K256" s="87">
        <v>300</v>
      </c>
      <c r="L256" s="84">
        <f t="shared" si="32"/>
        <v>1274</v>
      </c>
      <c r="M256" s="95">
        <v>600</v>
      </c>
      <c r="N256" s="84">
        <f>75</f>
        <v>75</v>
      </c>
      <c r="O256" s="87">
        <v>240</v>
      </c>
      <c r="P256" s="87">
        <v>160</v>
      </c>
      <c r="Q256" s="87">
        <f t="shared" si="33"/>
        <v>195</v>
      </c>
      <c r="R256" s="87">
        <f t="shared" si="34"/>
        <v>100</v>
      </c>
      <c r="S256" s="84">
        <f t="shared" si="35"/>
        <v>695</v>
      </c>
      <c r="T256" s="84">
        <f>50</f>
        <v>50</v>
      </c>
      <c r="U256" s="85"/>
      <c r="V256" s="85"/>
      <c r="W256" s="85"/>
      <c r="X256" s="85"/>
      <c r="Y256" s="85"/>
      <c r="Z256" s="85"/>
      <c r="AA256" s="85"/>
      <c r="AB256" s="85"/>
      <c r="AC256" s="85"/>
      <c r="AD256" s="85"/>
    </row>
    <row r="257" spans="1:30" ht="15.75" x14ac:dyDescent="0.25">
      <c r="A257" s="16">
        <v>48731</v>
      </c>
      <c r="B257" s="98">
        <v>30</v>
      </c>
      <c r="C257" s="84">
        <f>194.205</f>
        <v>194.20500000000001</v>
      </c>
      <c r="D257" s="84">
        <f>267.466</f>
        <v>267.46600000000001</v>
      </c>
      <c r="E257" s="93">
        <f>133.845</f>
        <v>133.845</v>
      </c>
      <c r="F257" s="84">
        <f>278.484-40-25-60-100</f>
        <v>53.48399999999998</v>
      </c>
      <c r="G257" s="87">
        <v>40</v>
      </c>
      <c r="H257" s="84">
        <f t="shared" si="40"/>
        <v>185</v>
      </c>
      <c r="I257" s="84">
        <f t="shared" si="39"/>
        <v>0</v>
      </c>
      <c r="J257" s="87">
        <v>100</v>
      </c>
      <c r="K257" s="87">
        <v>300</v>
      </c>
      <c r="L257" s="84">
        <f t="shared" si="32"/>
        <v>1274</v>
      </c>
      <c r="M257" s="95">
        <v>600</v>
      </c>
      <c r="N257" s="84">
        <f>30</f>
        <v>30</v>
      </c>
      <c r="O257" s="87">
        <v>240</v>
      </c>
      <c r="P257" s="87">
        <v>160</v>
      </c>
      <c r="Q257" s="87">
        <f t="shared" si="33"/>
        <v>195</v>
      </c>
      <c r="R257" s="87">
        <f t="shared" si="34"/>
        <v>100</v>
      </c>
      <c r="S257" s="84">
        <f t="shared" si="35"/>
        <v>695</v>
      </c>
      <c r="T257" s="84">
        <f>50</f>
        <v>50</v>
      </c>
      <c r="U257" s="85"/>
      <c r="V257" s="85"/>
      <c r="W257" s="85"/>
      <c r="X257" s="85"/>
      <c r="Y257" s="85"/>
      <c r="Z257" s="85"/>
      <c r="AA257" s="85"/>
      <c r="AB257" s="85"/>
      <c r="AC257" s="85"/>
      <c r="AD257" s="85"/>
    </row>
    <row r="258" spans="1:30" ht="15.75" x14ac:dyDescent="0.25">
      <c r="A258" s="16">
        <v>48761</v>
      </c>
      <c r="B258" s="98">
        <v>31</v>
      </c>
      <c r="C258" s="84">
        <f>194.205</f>
        <v>194.20500000000001</v>
      </c>
      <c r="D258" s="84">
        <f>267.466</f>
        <v>267.46600000000001</v>
      </c>
      <c r="E258" s="93">
        <f>133.845</f>
        <v>133.845</v>
      </c>
      <c r="F258" s="84">
        <f>278.484-40-25-60-100</f>
        <v>53.48399999999998</v>
      </c>
      <c r="G258" s="87">
        <v>40</v>
      </c>
      <c r="H258" s="84">
        <f t="shared" si="40"/>
        <v>185</v>
      </c>
      <c r="I258" s="84">
        <f t="shared" si="39"/>
        <v>0</v>
      </c>
      <c r="J258" s="87">
        <v>100</v>
      </c>
      <c r="K258" s="87">
        <v>300</v>
      </c>
      <c r="L258" s="84">
        <f t="shared" si="32"/>
        <v>1274</v>
      </c>
      <c r="M258" s="95">
        <v>600</v>
      </c>
      <c r="N258" s="84">
        <f>30</f>
        <v>30</v>
      </c>
      <c r="O258" s="87">
        <v>240</v>
      </c>
      <c r="P258" s="87">
        <v>160</v>
      </c>
      <c r="Q258" s="87">
        <f t="shared" si="33"/>
        <v>195</v>
      </c>
      <c r="R258" s="87">
        <f t="shared" si="34"/>
        <v>100</v>
      </c>
      <c r="S258" s="84">
        <f t="shared" si="35"/>
        <v>695</v>
      </c>
      <c r="T258" s="84">
        <f>0</f>
        <v>0</v>
      </c>
      <c r="U258" s="85"/>
      <c r="V258" s="85"/>
      <c r="W258" s="85"/>
      <c r="X258" s="85"/>
      <c r="Y258" s="85"/>
      <c r="Z258" s="85"/>
      <c r="AA258" s="85"/>
      <c r="AB258" s="85"/>
      <c r="AC258" s="85"/>
      <c r="AD258" s="85"/>
    </row>
    <row r="259" spans="1:30" ht="15.75" x14ac:dyDescent="0.25">
      <c r="A259" s="16">
        <v>48792</v>
      </c>
      <c r="B259" s="98">
        <v>31</v>
      </c>
      <c r="C259" s="84">
        <f>194.205</f>
        <v>194.20500000000001</v>
      </c>
      <c r="D259" s="84">
        <f>267.466</f>
        <v>267.46600000000001</v>
      </c>
      <c r="E259" s="93">
        <f>133.845</f>
        <v>133.845</v>
      </c>
      <c r="F259" s="84">
        <f>278.484-40-25-60-100</f>
        <v>53.48399999999998</v>
      </c>
      <c r="G259" s="87">
        <v>40</v>
      </c>
      <c r="H259" s="84">
        <f t="shared" si="40"/>
        <v>185</v>
      </c>
      <c r="I259" s="84">
        <f t="shared" si="39"/>
        <v>0</v>
      </c>
      <c r="J259" s="87">
        <v>100</v>
      </c>
      <c r="K259" s="87">
        <v>300</v>
      </c>
      <c r="L259" s="84">
        <f t="shared" si="32"/>
        <v>1274</v>
      </c>
      <c r="M259" s="95">
        <v>600</v>
      </c>
      <c r="N259" s="84">
        <f>30</f>
        <v>30</v>
      </c>
      <c r="O259" s="87">
        <v>240</v>
      </c>
      <c r="P259" s="87">
        <v>160</v>
      </c>
      <c r="Q259" s="87">
        <f t="shared" si="33"/>
        <v>195</v>
      </c>
      <c r="R259" s="87">
        <f t="shared" si="34"/>
        <v>100</v>
      </c>
      <c r="S259" s="84">
        <f t="shared" si="35"/>
        <v>695</v>
      </c>
      <c r="T259" s="84">
        <f>0</f>
        <v>0</v>
      </c>
      <c r="U259" s="85"/>
      <c r="V259" s="85"/>
      <c r="W259" s="85"/>
      <c r="X259" s="85"/>
      <c r="Y259" s="85"/>
      <c r="Z259" s="85"/>
      <c r="AA259" s="85"/>
      <c r="AB259" s="85"/>
      <c r="AC259" s="85"/>
      <c r="AD259" s="85"/>
    </row>
    <row r="260" spans="1:30" ht="15.75" x14ac:dyDescent="0.25">
      <c r="A260" s="16">
        <v>48823</v>
      </c>
      <c r="B260" s="98">
        <v>30</v>
      </c>
      <c r="C260" s="84">
        <f>194.205</f>
        <v>194.20500000000001</v>
      </c>
      <c r="D260" s="84">
        <f>267.466</f>
        <v>267.46600000000001</v>
      </c>
      <c r="E260" s="93">
        <f>133.845</f>
        <v>133.845</v>
      </c>
      <c r="F260" s="84">
        <f>278.484-40-25-60-100</f>
        <v>53.48399999999998</v>
      </c>
      <c r="G260" s="87">
        <v>40</v>
      </c>
      <c r="H260" s="84">
        <f t="shared" si="40"/>
        <v>185</v>
      </c>
      <c r="I260" s="84">
        <f t="shared" si="39"/>
        <v>0</v>
      </c>
      <c r="J260" s="87">
        <v>100</v>
      </c>
      <c r="K260" s="87">
        <v>300</v>
      </c>
      <c r="L260" s="84">
        <f t="shared" si="32"/>
        <v>1274</v>
      </c>
      <c r="M260" s="95">
        <v>600</v>
      </c>
      <c r="N260" s="84">
        <f>30</f>
        <v>30</v>
      </c>
      <c r="O260" s="87">
        <v>240</v>
      </c>
      <c r="P260" s="87">
        <v>160</v>
      </c>
      <c r="Q260" s="87">
        <f t="shared" si="33"/>
        <v>195</v>
      </c>
      <c r="R260" s="87">
        <f t="shared" si="34"/>
        <v>100</v>
      </c>
      <c r="S260" s="84">
        <f t="shared" si="35"/>
        <v>695</v>
      </c>
      <c r="T260" s="84">
        <f>0</f>
        <v>0</v>
      </c>
      <c r="U260" s="85"/>
      <c r="V260" s="85"/>
      <c r="W260" s="85"/>
      <c r="X260" s="85"/>
      <c r="Y260" s="85"/>
      <c r="Z260" s="85"/>
      <c r="AA260" s="85"/>
      <c r="AB260" s="85"/>
      <c r="AC260" s="85"/>
      <c r="AD260" s="85"/>
    </row>
    <row r="261" spans="1:30" ht="15.75" x14ac:dyDescent="0.25">
      <c r="A261" s="16">
        <v>48853</v>
      </c>
      <c r="B261" s="98">
        <v>31</v>
      </c>
      <c r="C261" s="84">
        <f>131.881</f>
        <v>131.881</v>
      </c>
      <c r="D261" s="84">
        <f>277.167</f>
        <v>277.16699999999997</v>
      </c>
      <c r="E261" s="93">
        <f>79.08</f>
        <v>79.08</v>
      </c>
      <c r="F261" s="84">
        <f>350.872-40-25-60-100</f>
        <v>125.87200000000001</v>
      </c>
      <c r="G261" s="87">
        <v>40</v>
      </c>
      <c r="H261" s="84">
        <f t="shared" si="40"/>
        <v>185</v>
      </c>
      <c r="I261" s="84">
        <f t="shared" si="39"/>
        <v>0</v>
      </c>
      <c r="J261" s="87">
        <v>100</v>
      </c>
      <c r="K261" s="87">
        <v>300</v>
      </c>
      <c r="L261" s="84">
        <f t="shared" si="32"/>
        <v>1239</v>
      </c>
      <c r="M261" s="95">
        <v>600</v>
      </c>
      <c r="N261" s="84">
        <f>75</f>
        <v>75</v>
      </c>
      <c r="O261" s="87">
        <v>240</v>
      </c>
      <c r="P261" s="87">
        <v>160</v>
      </c>
      <c r="Q261" s="87">
        <f t="shared" si="33"/>
        <v>195</v>
      </c>
      <c r="R261" s="87">
        <f t="shared" si="34"/>
        <v>100</v>
      </c>
      <c r="S261" s="84">
        <f t="shared" si="35"/>
        <v>695</v>
      </c>
      <c r="T261" s="84">
        <f>0</f>
        <v>0</v>
      </c>
      <c r="U261" s="85"/>
      <c r="V261" s="85"/>
      <c r="W261" s="85"/>
      <c r="X261" s="85"/>
      <c r="Y261" s="85"/>
      <c r="Z261" s="85"/>
      <c r="AA261" s="85"/>
      <c r="AB261" s="85"/>
      <c r="AC261" s="85"/>
      <c r="AD261" s="85"/>
    </row>
    <row r="262" spans="1:30" ht="15.75" x14ac:dyDescent="0.25">
      <c r="A262" s="16">
        <v>48884</v>
      </c>
      <c r="B262" s="98">
        <v>30</v>
      </c>
      <c r="C262" s="84">
        <f>122.58</f>
        <v>122.58</v>
      </c>
      <c r="D262" s="84">
        <f>297.941</f>
        <v>297.94099999999997</v>
      </c>
      <c r="E262" s="93">
        <f>89.177</f>
        <v>89.177000000000007</v>
      </c>
      <c r="F262" s="84">
        <f>240.302-40-60-100</f>
        <v>40.301999999999992</v>
      </c>
      <c r="G262" s="87">
        <v>40</v>
      </c>
      <c r="H262" s="84">
        <f>60+100</f>
        <v>160</v>
      </c>
      <c r="I262" s="84">
        <f t="shared" si="39"/>
        <v>0</v>
      </c>
      <c r="J262" s="87">
        <v>100</v>
      </c>
      <c r="K262" s="87">
        <v>300</v>
      </c>
      <c r="L262" s="84">
        <f t="shared" si="32"/>
        <v>1150</v>
      </c>
      <c r="M262" s="95">
        <v>600</v>
      </c>
      <c r="N262" s="84">
        <f>100</f>
        <v>100</v>
      </c>
      <c r="O262" s="87">
        <v>240</v>
      </c>
      <c r="P262" s="87">
        <v>40</v>
      </c>
      <c r="Q262" s="87">
        <f t="shared" si="33"/>
        <v>315</v>
      </c>
      <c r="R262" s="87">
        <f t="shared" si="34"/>
        <v>100</v>
      </c>
      <c r="S262" s="84">
        <f t="shared" si="35"/>
        <v>695</v>
      </c>
      <c r="T262" s="84">
        <f>50</f>
        <v>50</v>
      </c>
      <c r="U262" s="85"/>
      <c r="V262" s="85"/>
      <c r="W262" s="85"/>
      <c r="X262" s="85"/>
      <c r="Y262" s="85"/>
      <c r="Z262" s="85"/>
      <c r="AA262" s="85"/>
      <c r="AB262" s="85"/>
      <c r="AC262" s="85"/>
      <c r="AD262" s="85"/>
    </row>
    <row r="263" spans="1:30" ht="15.75" x14ac:dyDescent="0.25">
      <c r="A263" s="16">
        <v>48914</v>
      </c>
      <c r="B263" s="98">
        <v>31</v>
      </c>
      <c r="C263" s="84">
        <f>122.58</f>
        <v>122.58</v>
      </c>
      <c r="D263" s="84">
        <f>297.941</f>
        <v>297.94099999999997</v>
      </c>
      <c r="E263" s="93">
        <f>89.177</f>
        <v>89.177000000000007</v>
      </c>
      <c r="F263" s="84">
        <f>240.302-40-60-100</f>
        <v>40.301999999999992</v>
      </c>
      <c r="G263" s="87">
        <v>40</v>
      </c>
      <c r="H263" s="84">
        <f>60+100</f>
        <v>160</v>
      </c>
      <c r="I263" s="84">
        <f t="shared" si="39"/>
        <v>0</v>
      </c>
      <c r="J263" s="87">
        <v>100</v>
      </c>
      <c r="K263" s="87">
        <v>300</v>
      </c>
      <c r="L263" s="84">
        <f t="shared" si="32"/>
        <v>1150</v>
      </c>
      <c r="M263" s="95">
        <v>600</v>
      </c>
      <c r="N263" s="84">
        <f>100</f>
        <v>100</v>
      </c>
      <c r="O263" s="87">
        <v>240</v>
      </c>
      <c r="P263" s="87">
        <v>40</v>
      </c>
      <c r="Q263" s="87">
        <f t="shared" si="33"/>
        <v>315</v>
      </c>
      <c r="R263" s="87">
        <f t="shared" si="34"/>
        <v>100</v>
      </c>
      <c r="S263" s="84">
        <f t="shared" si="35"/>
        <v>695</v>
      </c>
      <c r="T263" s="84">
        <f>50</f>
        <v>50</v>
      </c>
      <c r="U263" s="85"/>
      <c r="V263" s="85"/>
      <c r="W263" s="85"/>
      <c r="X263" s="85"/>
      <c r="Y263" s="85"/>
      <c r="Z263" s="85"/>
      <c r="AA263" s="85"/>
      <c r="AB263" s="85"/>
      <c r="AC263" s="85"/>
      <c r="AD263" s="85"/>
    </row>
    <row r="264" spans="1:30" ht="15.75" x14ac:dyDescent="0.25">
      <c r="A264" s="16">
        <v>48945</v>
      </c>
      <c r="B264" s="98">
        <v>31</v>
      </c>
      <c r="C264" s="84">
        <f>122.58</f>
        <v>122.58</v>
      </c>
      <c r="D264" s="84">
        <f>297.941</f>
        <v>297.94099999999997</v>
      </c>
      <c r="E264" s="93">
        <f>89.177</f>
        <v>89.177000000000007</v>
      </c>
      <c r="F264" s="84">
        <f>240.302-40-60-100</f>
        <v>40.301999999999992</v>
      </c>
      <c r="G264" s="87">
        <v>40</v>
      </c>
      <c r="H264" s="84">
        <f>60+100</f>
        <v>160</v>
      </c>
      <c r="I264" s="84">
        <f t="shared" si="39"/>
        <v>0</v>
      </c>
      <c r="J264" s="87">
        <v>100</v>
      </c>
      <c r="K264" s="87">
        <v>300</v>
      </c>
      <c r="L264" s="84">
        <f t="shared" si="32"/>
        <v>1150</v>
      </c>
      <c r="M264" s="95">
        <v>600</v>
      </c>
      <c r="N264" s="84">
        <f>100</f>
        <v>100</v>
      </c>
      <c r="O264" s="87">
        <v>240</v>
      </c>
      <c r="P264" s="87">
        <v>40</v>
      </c>
      <c r="Q264" s="87">
        <f t="shared" si="33"/>
        <v>315</v>
      </c>
      <c r="R264" s="87">
        <f t="shared" si="34"/>
        <v>100</v>
      </c>
      <c r="S264" s="84">
        <f t="shared" si="35"/>
        <v>695</v>
      </c>
      <c r="T264" s="84">
        <f>50</f>
        <v>50</v>
      </c>
      <c r="U264" s="85"/>
      <c r="V264" s="85"/>
      <c r="W264" s="85"/>
      <c r="X264" s="85"/>
      <c r="Y264" s="85"/>
      <c r="Z264" s="85"/>
      <c r="AA264" s="85"/>
      <c r="AB264" s="85"/>
      <c r="AC264" s="85"/>
      <c r="AD264" s="85"/>
    </row>
    <row r="265" spans="1:30" ht="15.75" x14ac:dyDescent="0.25">
      <c r="A265" s="16">
        <v>48976</v>
      </c>
      <c r="B265" s="98">
        <v>28</v>
      </c>
      <c r="C265" s="84">
        <f>122.58</f>
        <v>122.58</v>
      </c>
      <c r="D265" s="84">
        <f>297.941</f>
        <v>297.94099999999997</v>
      </c>
      <c r="E265" s="93">
        <f>89.177</f>
        <v>89.177000000000007</v>
      </c>
      <c r="F265" s="84">
        <f>240.302-40-60-100</f>
        <v>40.301999999999992</v>
      </c>
      <c r="G265" s="87">
        <v>40</v>
      </c>
      <c r="H265" s="84">
        <f>60+100</f>
        <v>160</v>
      </c>
      <c r="I265" s="84">
        <f t="shared" si="39"/>
        <v>0</v>
      </c>
      <c r="J265" s="87">
        <v>100</v>
      </c>
      <c r="K265" s="87">
        <v>300</v>
      </c>
      <c r="L265" s="84">
        <f t="shared" si="32"/>
        <v>1150</v>
      </c>
      <c r="M265" s="95">
        <v>600</v>
      </c>
      <c r="N265" s="84">
        <f>100</f>
        <v>100</v>
      </c>
      <c r="O265" s="87">
        <v>240</v>
      </c>
      <c r="P265" s="87">
        <v>40</v>
      </c>
      <c r="Q265" s="87">
        <f t="shared" si="33"/>
        <v>315</v>
      </c>
      <c r="R265" s="87">
        <f t="shared" si="34"/>
        <v>100</v>
      </c>
      <c r="S265" s="84">
        <f t="shared" si="35"/>
        <v>695</v>
      </c>
      <c r="T265" s="84">
        <f>50</f>
        <v>50</v>
      </c>
      <c r="U265" s="85"/>
      <c r="V265" s="85"/>
      <c r="W265" s="85"/>
      <c r="X265" s="85"/>
      <c r="Y265" s="85"/>
      <c r="Z265" s="85"/>
      <c r="AA265" s="85"/>
      <c r="AB265" s="85"/>
      <c r="AC265" s="85"/>
      <c r="AD265" s="85"/>
    </row>
    <row r="266" spans="1:30" ht="15.75" x14ac:dyDescent="0.25">
      <c r="A266" s="16">
        <v>49004</v>
      </c>
      <c r="B266" s="98">
        <v>31</v>
      </c>
      <c r="C266" s="84">
        <f>122.58</f>
        <v>122.58</v>
      </c>
      <c r="D266" s="84">
        <f>297.941</f>
        <v>297.94099999999997</v>
      </c>
      <c r="E266" s="93">
        <f>89.177</f>
        <v>89.177000000000007</v>
      </c>
      <c r="F266" s="84">
        <f>240.302-40-60-100</f>
        <v>40.301999999999992</v>
      </c>
      <c r="G266" s="87">
        <v>40</v>
      </c>
      <c r="H266" s="84">
        <f>60+100</f>
        <v>160</v>
      </c>
      <c r="I266" s="84">
        <f t="shared" si="39"/>
        <v>0</v>
      </c>
      <c r="J266" s="87">
        <v>100</v>
      </c>
      <c r="K266" s="87">
        <v>300</v>
      </c>
      <c r="L266" s="84">
        <f t="shared" si="32"/>
        <v>1150</v>
      </c>
      <c r="M266" s="95">
        <v>600</v>
      </c>
      <c r="N266" s="84">
        <f>100</f>
        <v>100</v>
      </c>
      <c r="O266" s="87">
        <v>240</v>
      </c>
      <c r="P266" s="87">
        <v>40</v>
      </c>
      <c r="Q266" s="87">
        <f t="shared" si="33"/>
        <v>315</v>
      </c>
      <c r="R266" s="87">
        <f t="shared" si="34"/>
        <v>100</v>
      </c>
      <c r="S266" s="84">
        <f t="shared" si="35"/>
        <v>695</v>
      </c>
      <c r="T266" s="84">
        <f>50</f>
        <v>50</v>
      </c>
      <c r="U266" s="85"/>
      <c r="V266" s="85"/>
      <c r="W266" s="85"/>
      <c r="X266" s="85"/>
      <c r="Y266" s="85"/>
      <c r="Z266" s="85"/>
      <c r="AA266" s="85"/>
      <c r="AB266" s="85"/>
      <c r="AC266" s="85"/>
      <c r="AD266" s="85"/>
    </row>
    <row r="267" spans="1:30" ht="15.75" x14ac:dyDescent="0.25">
      <c r="A267" s="16">
        <v>49035</v>
      </c>
      <c r="B267" s="98">
        <v>30</v>
      </c>
      <c r="C267" s="84">
        <f>141.293</f>
        <v>141.29300000000001</v>
      </c>
      <c r="D267" s="84">
        <f>267.993</f>
        <v>267.99299999999999</v>
      </c>
      <c r="E267" s="93">
        <f>115.016</f>
        <v>115.01600000000001</v>
      </c>
      <c r="F267" s="84">
        <f>314.698-40-25-60-100</f>
        <v>89.697999999999979</v>
      </c>
      <c r="G267" s="87">
        <v>40</v>
      </c>
      <c r="H267" s="84">
        <f t="shared" ref="H267:H273" si="41">25+60+100</f>
        <v>185</v>
      </c>
      <c r="I267" s="84">
        <f t="shared" si="39"/>
        <v>0</v>
      </c>
      <c r="J267" s="87">
        <v>100</v>
      </c>
      <c r="K267" s="87">
        <v>300</v>
      </c>
      <c r="L267" s="84">
        <f t="shared" si="32"/>
        <v>1239</v>
      </c>
      <c r="M267" s="95">
        <v>600</v>
      </c>
      <c r="N267" s="84">
        <f>100</f>
        <v>100</v>
      </c>
      <c r="O267" s="87">
        <v>240</v>
      </c>
      <c r="P267" s="87">
        <v>160</v>
      </c>
      <c r="Q267" s="87">
        <f t="shared" si="33"/>
        <v>195</v>
      </c>
      <c r="R267" s="87">
        <f t="shared" si="34"/>
        <v>100</v>
      </c>
      <c r="S267" s="84">
        <f t="shared" si="35"/>
        <v>695</v>
      </c>
      <c r="T267" s="84">
        <f>50</f>
        <v>50</v>
      </c>
      <c r="U267" s="85"/>
      <c r="V267" s="85"/>
      <c r="W267" s="85"/>
      <c r="X267" s="85"/>
      <c r="Y267" s="85"/>
      <c r="Z267" s="85"/>
      <c r="AA267" s="85"/>
      <c r="AB267" s="85"/>
      <c r="AC267" s="85"/>
      <c r="AD267" s="85"/>
    </row>
    <row r="268" spans="1:30" ht="15.75" x14ac:dyDescent="0.25">
      <c r="A268" s="16">
        <v>49065</v>
      </c>
      <c r="B268" s="98">
        <v>31</v>
      </c>
      <c r="C268" s="84">
        <f>194.205</f>
        <v>194.20500000000001</v>
      </c>
      <c r="D268" s="84">
        <f>267.466</f>
        <v>267.46600000000001</v>
      </c>
      <c r="E268" s="93">
        <f>133.845</f>
        <v>133.845</v>
      </c>
      <c r="F268" s="84">
        <f>278.484-40-25-60-100</f>
        <v>53.48399999999998</v>
      </c>
      <c r="G268" s="87">
        <v>40</v>
      </c>
      <c r="H268" s="84">
        <f t="shared" si="41"/>
        <v>185</v>
      </c>
      <c r="I268" s="84">
        <f t="shared" si="39"/>
        <v>0</v>
      </c>
      <c r="J268" s="87">
        <v>100</v>
      </c>
      <c r="K268" s="87">
        <v>300</v>
      </c>
      <c r="L268" s="84">
        <f t="shared" si="32"/>
        <v>1274</v>
      </c>
      <c r="M268" s="95">
        <v>600</v>
      </c>
      <c r="N268" s="84">
        <f>75</f>
        <v>75</v>
      </c>
      <c r="O268" s="87">
        <v>240</v>
      </c>
      <c r="P268" s="87">
        <v>160</v>
      </c>
      <c r="Q268" s="87">
        <f t="shared" si="33"/>
        <v>195</v>
      </c>
      <c r="R268" s="87">
        <f t="shared" si="34"/>
        <v>100</v>
      </c>
      <c r="S268" s="84">
        <f t="shared" si="35"/>
        <v>695</v>
      </c>
      <c r="T268" s="84">
        <f>50</f>
        <v>50</v>
      </c>
      <c r="U268" s="85"/>
      <c r="V268" s="85"/>
      <c r="W268" s="85"/>
      <c r="X268" s="85"/>
      <c r="Y268" s="85"/>
      <c r="Z268" s="85"/>
      <c r="AA268" s="85"/>
      <c r="AB268" s="85"/>
      <c r="AC268" s="85"/>
      <c r="AD268" s="85"/>
    </row>
    <row r="269" spans="1:30" ht="15.75" x14ac:dyDescent="0.25">
      <c r="A269" s="16">
        <v>49096</v>
      </c>
      <c r="B269" s="98">
        <v>30</v>
      </c>
      <c r="C269" s="84">
        <f>194.205</f>
        <v>194.20500000000001</v>
      </c>
      <c r="D269" s="84">
        <f>267.466</f>
        <v>267.46600000000001</v>
      </c>
      <c r="E269" s="93">
        <f>133.845</f>
        <v>133.845</v>
      </c>
      <c r="F269" s="84">
        <f>278.484-40-25-60-100</f>
        <v>53.48399999999998</v>
      </c>
      <c r="G269" s="87">
        <v>40</v>
      </c>
      <c r="H269" s="84">
        <f t="shared" si="41"/>
        <v>185</v>
      </c>
      <c r="I269" s="84">
        <f t="shared" si="39"/>
        <v>0</v>
      </c>
      <c r="J269" s="87">
        <v>100</v>
      </c>
      <c r="K269" s="87">
        <v>300</v>
      </c>
      <c r="L269" s="84">
        <f t="shared" si="32"/>
        <v>1274</v>
      </c>
      <c r="M269" s="95">
        <v>600</v>
      </c>
      <c r="N269" s="84">
        <f>30</f>
        <v>30</v>
      </c>
      <c r="O269" s="87">
        <v>240</v>
      </c>
      <c r="P269" s="87">
        <v>160</v>
      </c>
      <c r="Q269" s="87">
        <f t="shared" si="33"/>
        <v>195</v>
      </c>
      <c r="R269" s="87">
        <f t="shared" si="34"/>
        <v>100</v>
      </c>
      <c r="S269" s="84">
        <f t="shared" si="35"/>
        <v>695</v>
      </c>
      <c r="T269" s="84">
        <f>50</f>
        <v>50</v>
      </c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</row>
    <row r="270" spans="1:30" ht="15.75" x14ac:dyDescent="0.25">
      <c r="A270" s="16">
        <v>49126</v>
      </c>
      <c r="B270" s="98">
        <v>31</v>
      </c>
      <c r="C270" s="84">
        <f>194.205</f>
        <v>194.20500000000001</v>
      </c>
      <c r="D270" s="84">
        <f>267.466</f>
        <v>267.46600000000001</v>
      </c>
      <c r="E270" s="93">
        <f>133.845</f>
        <v>133.845</v>
      </c>
      <c r="F270" s="84">
        <f>278.484-40-25-60-100</f>
        <v>53.48399999999998</v>
      </c>
      <c r="G270" s="87">
        <v>40</v>
      </c>
      <c r="H270" s="84">
        <f t="shared" si="41"/>
        <v>185</v>
      </c>
      <c r="I270" s="84">
        <f t="shared" si="39"/>
        <v>0</v>
      </c>
      <c r="J270" s="87">
        <v>100</v>
      </c>
      <c r="K270" s="87">
        <v>300</v>
      </c>
      <c r="L270" s="84">
        <f t="shared" si="32"/>
        <v>1274</v>
      </c>
      <c r="M270" s="95">
        <v>600</v>
      </c>
      <c r="N270" s="84">
        <f>30</f>
        <v>30</v>
      </c>
      <c r="O270" s="87">
        <v>240</v>
      </c>
      <c r="P270" s="87">
        <v>160</v>
      </c>
      <c r="Q270" s="87">
        <f t="shared" si="33"/>
        <v>195</v>
      </c>
      <c r="R270" s="87">
        <f t="shared" si="34"/>
        <v>100</v>
      </c>
      <c r="S270" s="84">
        <f t="shared" si="35"/>
        <v>695</v>
      </c>
      <c r="T270" s="84">
        <f>0</f>
        <v>0</v>
      </c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</row>
    <row r="271" spans="1:30" ht="15.75" x14ac:dyDescent="0.25">
      <c r="A271" s="16">
        <v>49157</v>
      </c>
      <c r="B271" s="98">
        <v>31</v>
      </c>
      <c r="C271" s="84">
        <f>194.205</f>
        <v>194.20500000000001</v>
      </c>
      <c r="D271" s="84">
        <f>267.466</f>
        <v>267.46600000000001</v>
      </c>
      <c r="E271" s="93">
        <f>133.845</f>
        <v>133.845</v>
      </c>
      <c r="F271" s="84">
        <f>278.484-40-25-60-100</f>
        <v>53.48399999999998</v>
      </c>
      <c r="G271" s="87">
        <v>40</v>
      </c>
      <c r="H271" s="84">
        <f t="shared" si="41"/>
        <v>185</v>
      </c>
      <c r="I271" s="84">
        <f t="shared" si="39"/>
        <v>0</v>
      </c>
      <c r="J271" s="87">
        <v>100</v>
      </c>
      <c r="K271" s="87">
        <v>300</v>
      </c>
      <c r="L271" s="84">
        <f t="shared" si="32"/>
        <v>1274</v>
      </c>
      <c r="M271" s="95">
        <v>600</v>
      </c>
      <c r="N271" s="84">
        <f>30</f>
        <v>30</v>
      </c>
      <c r="O271" s="87">
        <v>240</v>
      </c>
      <c r="P271" s="87">
        <v>160</v>
      </c>
      <c r="Q271" s="87">
        <f t="shared" si="33"/>
        <v>195</v>
      </c>
      <c r="R271" s="87">
        <f t="shared" si="34"/>
        <v>100</v>
      </c>
      <c r="S271" s="84">
        <f t="shared" si="35"/>
        <v>695</v>
      </c>
      <c r="T271" s="84">
        <f>0</f>
        <v>0</v>
      </c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</row>
    <row r="272" spans="1:30" ht="15.75" x14ac:dyDescent="0.25">
      <c r="A272" s="16">
        <v>49188</v>
      </c>
      <c r="B272" s="98">
        <v>30</v>
      </c>
      <c r="C272" s="84">
        <f>194.205</f>
        <v>194.20500000000001</v>
      </c>
      <c r="D272" s="84">
        <f>267.466</f>
        <v>267.46600000000001</v>
      </c>
      <c r="E272" s="93">
        <f>133.845</f>
        <v>133.845</v>
      </c>
      <c r="F272" s="84">
        <f>278.484-40-25-60-100</f>
        <v>53.48399999999998</v>
      </c>
      <c r="G272" s="87">
        <v>40</v>
      </c>
      <c r="H272" s="84">
        <f t="shared" si="41"/>
        <v>185</v>
      </c>
      <c r="I272" s="84">
        <f t="shared" si="39"/>
        <v>0</v>
      </c>
      <c r="J272" s="87">
        <v>100</v>
      </c>
      <c r="K272" s="87">
        <v>300</v>
      </c>
      <c r="L272" s="84">
        <f t="shared" si="32"/>
        <v>1274</v>
      </c>
      <c r="M272" s="95">
        <v>600</v>
      </c>
      <c r="N272" s="84">
        <f>30</f>
        <v>30</v>
      </c>
      <c r="O272" s="87">
        <v>240</v>
      </c>
      <c r="P272" s="87">
        <v>160</v>
      </c>
      <c r="Q272" s="87">
        <f t="shared" si="33"/>
        <v>195</v>
      </c>
      <c r="R272" s="87">
        <f t="shared" si="34"/>
        <v>100</v>
      </c>
      <c r="S272" s="84">
        <f t="shared" si="35"/>
        <v>695</v>
      </c>
      <c r="T272" s="84">
        <f>0</f>
        <v>0</v>
      </c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</row>
    <row r="273" spans="1:30" ht="15.75" x14ac:dyDescent="0.25">
      <c r="A273" s="16">
        <v>49218</v>
      </c>
      <c r="B273" s="98">
        <v>31</v>
      </c>
      <c r="C273" s="84">
        <f>131.881</f>
        <v>131.881</v>
      </c>
      <c r="D273" s="84">
        <f>277.167</f>
        <v>277.16699999999997</v>
      </c>
      <c r="E273" s="93">
        <f>79.08</f>
        <v>79.08</v>
      </c>
      <c r="F273" s="84">
        <f>350.872-40-25-60-100</f>
        <v>125.87200000000001</v>
      </c>
      <c r="G273" s="87">
        <v>40</v>
      </c>
      <c r="H273" s="84">
        <f t="shared" si="41"/>
        <v>185</v>
      </c>
      <c r="I273" s="84">
        <f t="shared" si="39"/>
        <v>0</v>
      </c>
      <c r="J273" s="87">
        <v>100</v>
      </c>
      <c r="K273" s="87">
        <v>300</v>
      </c>
      <c r="L273" s="84">
        <f t="shared" si="32"/>
        <v>1239</v>
      </c>
      <c r="M273" s="95">
        <v>600</v>
      </c>
      <c r="N273" s="84">
        <f>75</f>
        <v>75</v>
      </c>
      <c r="O273" s="87">
        <v>240</v>
      </c>
      <c r="P273" s="87">
        <v>160</v>
      </c>
      <c r="Q273" s="87">
        <f t="shared" si="33"/>
        <v>195</v>
      </c>
      <c r="R273" s="87">
        <f t="shared" si="34"/>
        <v>100</v>
      </c>
      <c r="S273" s="84">
        <f t="shared" si="35"/>
        <v>695</v>
      </c>
      <c r="T273" s="84">
        <f>0</f>
        <v>0</v>
      </c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</row>
    <row r="274" spans="1:30" ht="15.75" x14ac:dyDescent="0.25">
      <c r="A274" s="16">
        <v>49249</v>
      </c>
      <c r="B274" s="98">
        <v>30</v>
      </c>
      <c r="C274" s="84">
        <f>122.58</f>
        <v>122.58</v>
      </c>
      <c r="D274" s="84">
        <f>297.941</f>
        <v>297.94099999999997</v>
      </c>
      <c r="E274" s="93">
        <f>89.177</f>
        <v>89.177000000000007</v>
      </c>
      <c r="F274" s="84">
        <f>240.302-40-60-100</f>
        <v>40.301999999999992</v>
      </c>
      <c r="G274" s="87">
        <v>40</v>
      </c>
      <c r="H274" s="84">
        <f>60+100</f>
        <v>160</v>
      </c>
      <c r="I274" s="84">
        <f t="shared" si="39"/>
        <v>0</v>
      </c>
      <c r="J274" s="87">
        <v>100</v>
      </c>
      <c r="K274" s="87">
        <v>300</v>
      </c>
      <c r="L274" s="84">
        <f t="shared" si="32"/>
        <v>1150</v>
      </c>
      <c r="M274" s="95">
        <v>600</v>
      </c>
      <c r="N274" s="84">
        <f>100</f>
        <v>100</v>
      </c>
      <c r="O274" s="87">
        <v>240</v>
      </c>
      <c r="P274" s="87">
        <v>40</v>
      </c>
      <c r="Q274" s="87">
        <f t="shared" si="33"/>
        <v>315</v>
      </c>
      <c r="R274" s="87">
        <f t="shared" si="34"/>
        <v>100</v>
      </c>
      <c r="S274" s="84">
        <f t="shared" si="35"/>
        <v>695</v>
      </c>
      <c r="T274" s="84">
        <f>50</f>
        <v>50</v>
      </c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</row>
    <row r="275" spans="1:30" ht="15.75" x14ac:dyDescent="0.25">
      <c r="A275" s="16">
        <v>49279</v>
      </c>
      <c r="B275" s="98">
        <v>31</v>
      </c>
      <c r="C275" s="84">
        <f>122.58</f>
        <v>122.58</v>
      </c>
      <c r="D275" s="84">
        <f>297.941</f>
        <v>297.94099999999997</v>
      </c>
      <c r="E275" s="93">
        <f>89.177</f>
        <v>89.177000000000007</v>
      </c>
      <c r="F275" s="84">
        <f>240.302-40-60-100</f>
        <v>40.301999999999992</v>
      </c>
      <c r="G275" s="87">
        <v>40</v>
      </c>
      <c r="H275" s="84">
        <f>60+100</f>
        <v>160</v>
      </c>
      <c r="I275" s="84">
        <f t="shared" si="39"/>
        <v>0</v>
      </c>
      <c r="J275" s="87">
        <v>100</v>
      </c>
      <c r="K275" s="87">
        <v>300</v>
      </c>
      <c r="L275" s="84">
        <f t="shared" si="32"/>
        <v>1150</v>
      </c>
      <c r="M275" s="95">
        <v>600</v>
      </c>
      <c r="N275" s="84">
        <f>100</f>
        <v>100</v>
      </c>
      <c r="O275" s="87">
        <v>240</v>
      </c>
      <c r="P275" s="87">
        <v>40</v>
      </c>
      <c r="Q275" s="87">
        <f t="shared" si="33"/>
        <v>315</v>
      </c>
      <c r="R275" s="87">
        <f t="shared" si="34"/>
        <v>100</v>
      </c>
      <c r="S275" s="84">
        <f t="shared" si="35"/>
        <v>695</v>
      </c>
      <c r="T275" s="84">
        <f>50</f>
        <v>50</v>
      </c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</row>
    <row r="276" spans="1:30" ht="15.75" x14ac:dyDescent="0.25">
      <c r="A276" s="16">
        <v>49310</v>
      </c>
      <c r="B276" s="98">
        <v>31</v>
      </c>
      <c r="C276" s="84">
        <f>122.58</f>
        <v>122.58</v>
      </c>
      <c r="D276" s="84">
        <f>297.941</f>
        <v>297.94099999999997</v>
      </c>
      <c r="E276" s="93">
        <f>89.177</f>
        <v>89.177000000000007</v>
      </c>
      <c r="F276" s="84">
        <f>240.302-40-60-100</f>
        <v>40.301999999999992</v>
      </c>
      <c r="G276" s="87">
        <v>40</v>
      </c>
      <c r="H276" s="84">
        <f>60+100</f>
        <v>160</v>
      </c>
      <c r="I276" s="84">
        <f t="shared" si="39"/>
        <v>0</v>
      </c>
      <c r="J276" s="87">
        <v>100</v>
      </c>
      <c r="K276" s="87">
        <v>300</v>
      </c>
      <c r="L276" s="84">
        <f t="shared" si="32"/>
        <v>1150</v>
      </c>
      <c r="M276" s="95">
        <v>600</v>
      </c>
      <c r="N276" s="84">
        <f>100</f>
        <v>100</v>
      </c>
      <c r="O276" s="87">
        <v>240</v>
      </c>
      <c r="P276" s="87">
        <v>40</v>
      </c>
      <c r="Q276" s="87">
        <f t="shared" si="33"/>
        <v>315</v>
      </c>
      <c r="R276" s="87">
        <f t="shared" si="34"/>
        <v>100</v>
      </c>
      <c r="S276" s="84">
        <f t="shared" si="35"/>
        <v>695</v>
      </c>
      <c r="T276" s="84">
        <f>50</f>
        <v>50</v>
      </c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</row>
    <row r="277" spans="1:30" ht="15.75" x14ac:dyDescent="0.25">
      <c r="A277" s="16">
        <v>49341</v>
      </c>
      <c r="B277" s="98">
        <v>28</v>
      </c>
      <c r="C277" s="84">
        <f>122.58</f>
        <v>122.58</v>
      </c>
      <c r="D277" s="84">
        <f>297.941</f>
        <v>297.94099999999997</v>
      </c>
      <c r="E277" s="93">
        <f>89.177</f>
        <v>89.177000000000007</v>
      </c>
      <c r="F277" s="84">
        <f>240.302-40-60-100</f>
        <v>40.301999999999992</v>
      </c>
      <c r="G277" s="87">
        <v>40</v>
      </c>
      <c r="H277" s="84">
        <f>60+100</f>
        <v>160</v>
      </c>
      <c r="I277" s="84">
        <f t="shared" si="39"/>
        <v>0</v>
      </c>
      <c r="J277" s="87">
        <v>100</v>
      </c>
      <c r="K277" s="87">
        <v>300</v>
      </c>
      <c r="L277" s="84">
        <f t="shared" si="32"/>
        <v>1150</v>
      </c>
      <c r="M277" s="95">
        <v>600</v>
      </c>
      <c r="N277" s="84">
        <f>100</f>
        <v>100</v>
      </c>
      <c r="O277" s="87">
        <v>240</v>
      </c>
      <c r="P277" s="87">
        <v>40</v>
      </c>
      <c r="Q277" s="87">
        <f t="shared" si="33"/>
        <v>315</v>
      </c>
      <c r="R277" s="87">
        <f t="shared" si="34"/>
        <v>100</v>
      </c>
      <c r="S277" s="84">
        <f t="shared" si="35"/>
        <v>695</v>
      </c>
      <c r="T277" s="84">
        <f>50</f>
        <v>50</v>
      </c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</row>
    <row r="278" spans="1:30" ht="15.75" x14ac:dyDescent="0.25">
      <c r="A278" s="16">
        <v>49369</v>
      </c>
      <c r="B278" s="98">
        <v>31</v>
      </c>
      <c r="C278" s="84">
        <f>122.58</f>
        <v>122.58</v>
      </c>
      <c r="D278" s="84">
        <f>297.941</f>
        <v>297.94099999999997</v>
      </c>
      <c r="E278" s="93">
        <f>89.177</f>
        <v>89.177000000000007</v>
      </c>
      <c r="F278" s="84">
        <f>240.302-40-60-100</f>
        <v>40.301999999999992</v>
      </c>
      <c r="G278" s="87">
        <v>40</v>
      </c>
      <c r="H278" s="84">
        <f>60+100</f>
        <v>160</v>
      </c>
      <c r="I278" s="84">
        <f t="shared" si="39"/>
        <v>0</v>
      </c>
      <c r="J278" s="87">
        <v>100</v>
      </c>
      <c r="K278" s="87">
        <v>300</v>
      </c>
      <c r="L278" s="84">
        <f t="shared" si="32"/>
        <v>1150</v>
      </c>
      <c r="M278" s="95">
        <v>600</v>
      </c>
      <c r="N278" s="84">
        <f>100</f>
        <v>100</v>
      </c>
      <c r="O278" s="87">
        <v>240</v>
      </c>
      <c r="P278" s="87">
        <v>40</v>
      </c>
      <c r="Q278" s="87">
        <f t="shared" si="33"/>
        <v>315</v>
      </c>
      <c r="R278" s="87">
        <f t="shared" si="34"/>
        <v>100</v>
      </c>
      <c r="S278" s="84">
        <f t="shared" si="35"/>
        <v>695</v>
      </c>
      <c r="T278" s="84">
        <f>50</f>
        <v>50</v>
      </c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</row>
    <row r="279" spans="1:30" ht="15.75" x14ac:dyDescent="0.25">
      <c r="A279" s="16">
        <v>49400</v>
      </c>
      <c r="B279" s="98">
        <v>30</v>
      </c>
      <c r="C279" s="84">
        <f>141.293</f>
        <v>141.29300000000001</v>
      </c>
      <c r="D279" s="84">
        <f>267.993</f>
        <v>267.99299999999999</v>
      </c>
      <c r="E279" s="93">
        <f>115.016</f>
        <v>115.01600000000001</v>
      </c>
      <c r="F279" s="84">
        <f>314.698-40-25-60-100</f>
        <v>89.697999999999979</v>
      </c>
      <c r="G279" s="87">
        <v>40</v>
      </c>
      <c r="H279" s="84">
        <f t="shared" ref="H279:H285" si="42">25+60+100</f>
        <v>185</v>
      </c>
      <c r="I279" s="84">
        <f t="shared" si="39"/>
        <v>0</v>
      </c>
      <c r="J279" s="87">
        <v>100</v>
      </c>
      <c r="K279" s="87">
        <v>300</v>
      </c>
      <c r="L279" s="84">
        <f t="shared" si="32"/>
        <v>1239</v>
      </c>
      <c r="M279" s="95">
        <v>600</v>
      </c>
      <c r="N279" s="84">
        <f>100</f>
        <v>100</v>
      </c>
      <c r="O279" s="87">
        <v>240</v>
      </c>
      <c r="P279" s="87">
        <v>160</v>
      </c>
      <c r="Q279" s="87">
        <f t="shared" si="33"/>
        <v>195</v>
      </c>
      <c r="R279" s="87">
        <f t="shared" si="34"/>
        <v>100</v>
      </c>
      <c r="S279" s="84">
        <f t="shared" si="35"/>
        <v>695</v>
      </c>
      <c r="T279" s="84">
        <f>50</f>
        <v>50</v>
      </c>
      <c r="U279" s="85"/>
      <c r="V279" s="85"/>
      <c r="W279" s="85"/>
      <c r="X279" s="85"/>
      <c r="Y279" s="85"/>
      <c r="Z279" s="85"/>
      <c r="AA279" s="85"/>
      <c r="AB279" s="85"/>
      <c r="AC279" s="85"/>
      <c r="AD279" s="85"/>
    </row>
    <row r="280" spans="1:30" ht="15.75" x14ac:dyDescent="0.25">
      <c r="A280" s="16">
        <v>49430</v>
      </c>
      <c r="B280" s="98">
        <v>31</v>
      </c>
      <c r="C280" s="84">
        <f>194.205</f>
        <v>194.20500000000001</v>
      </c>
      <c r="D280" s="84">
        <f>267.466</f>
        <v>267.46600000000001</v>
      </c>
      <c r="E280" s="93">
        <f>133.845</f>
        <v>133.845</v>
      </c>
      <c r="F280" s="84">
        <f>278.484-40-25-60-100</f>
        <v>53.48399999999998</v>
      </c>
      <c r="G280" s="87">
        <v>40</v>
      </c>
      <c r="H280" s="84">
        <f t="shared" si="42"/>
        <v>185</v>
      </c>
      <c r="I280" s="84">
        <f t="shared" si="39"/>
        <v>0</v>
      </c>
      <c r="J280" s="87">
        <v>100</v>
      </c>
      <c r="K280" s="87">
        <v>300</v>
      </c>
      <c r="L280" s="84">
        <f t="shared" ref="L280:L343" si="43">SUM(C280:K280)</f>
        <v>1274</v>
      </c>
      <c r="M280" s="95">
        <v>600</v>
      </c>
      <c r="N280" s="84">
        <f>75</f>
        <v>75</v>
      </c>
      <c r="O280" s="87">
        <v>240</v>
      </c>
      <c r="P280" s="87">
        <v>160</v>
      </c>
      <c r="Q280" s="87">
        <f t="shared" ref="Q280:Q343" si="44">695-R280-O280-P280</f>
        <v>195</v>
      </c>
      <c r="R280" s="87">
        <f t="shared" ref="R280:R343" si="45">200-J280</f>
        <v>100</v>
      </c>
      <c r="S280" s="84">
        <f t="shared" ref="S280:S343" si="46">SUM(O280:R280)</f>
        <v>695</v>
      </c>
      <c r="T280" s="84">
        <f>50</f>
        <v>50</v>
      </c>
      <c r="U280" s="85"/>
      <c r="V280" s="85"/>
      <c r="W280" s="85"/>
      <c r="X280" s="85"/>
      <c r="Y280" s="85"/>
      <c r="Z280" s="85"/>
      <c r="AA280" s="85"/>
      <c r="AB280" s="85"/>
      <c r="AC280" s="85"/>
      <c r="AD280" s="85"/>
    </row>
    <row r="281" spans="1:30" ht="15.75" x14ac:dyDescent="0.25">
      <c r="A281" s="15">
        <v>49461</v>
      </c>
      <c r="B281" s="98">
        <v>30</v>
      </c>
      <c r="C281" s="84">
        <f>194.205</f>
        <v>194.20500000000001</v>
      </c>
      <c r="D281" s="84">
        <f>267.466</f>
        <v>267.46600000000001</v>
      </c>
      <c r="E281" s="93">
        <f>133.845</f>
        <v>133.845</v>
      </c>
      <c r="F281" s="84">
        <f>278.484-40-25-60-100</f>
        <v>53.48399999999998</v>
      </c>
      <c r="G281" s="87">
        <v>40</v>
      </c>
      <c r="H281" s="84">
        <f t="shared" si="42"/>
        <v>185</v>
      </c>
      <c r="I281" s="84">
        <f t="shared" si="39"/>
        <v>0</v>
      </c>
      <c r="J281" s="87">
        <v>100</v>
      </c>
      <c r="K281" s="87">
        <v>300</v>
      </c>
      <c r="L281" s="84">
        <f t="shared" si="43"/>
        <v>1274</v>
      </c>
      <c r="M281" s="95">
        <v>600</v>
      </c>
      <c r="N281" s="84">
        <f>30</f>
        <v>30</v>
      </c>
      <c r="O281" s="87">
        <v>240</v>
      </c>
      <c r="P281" s="87">
        <v>160</v>
      </c>
      <c r="Q281" s="87">
        <f t="shared" si="44"/>
        <v>195</v>
      </c>
      <c r="R281" s="87">
        <f t="shared" si="45"/>
        <v>100</v>
      </c>
      <c r="S281" s="84">
        <f t="shared" si="46"/>
        <v>695</v>
      </c>
      <c r="T281" s="84">
        <f>50</f>
        <v>50</v>
      </c>
      <c r="U281" s="85"/>
      <c r="V281" s="85"/>
      <c r="W281" s="85"/>
      <c r="X281" s="85"/>
      <c r="Y281" s="85"/>
      <c r="Z281" s="85"/>
      <c r="AA281" s="85"/>
      <c r="AB281" s="85"/>
      <c r="AC281" s="85"/>
      <c r="AD281" s="85"/>
    </row>
    <row r="282" spans="1:30" ht="15.75" x14ac:dyDescent="0.25">
      <c r="A282" s="15">
        <v>49491</v>
      </c>
      <c r="B282" s="98">
        <v>31</v>
      </c>
      <c r="C282" s="84">
        <f>194.205</f>
        <v>194.20500000000001</v>
      </c>
      <c r="D282" s="84">
        <f>267.466</f>
        <v>267.46600000000001</v>
      </c>
      <c r="E282" s="93">
        <f>133.845</f>
        <v>133.845</v>
      </c>
      <c r="F282" s="84">
        <f>278.484-40-25-60-100</f>
        <v>53.48399999999998</v>
      </c>
      <c r="G282" s="87">
        <v>40</v>
      </c>
      <c r="H282" s="84">
        <f t="shared" si="42"/>
        <v>185</v>
      </c>
      <c r="I282" s="84">
        <f t="shared" si="39"/>
        <v>0</v>
      </c>
      <c r="J282" s="87">
        <v>100</v>
      </c>
      <c r="K282" s="87">
        <v>300</v>
      </c>
      <c r="L282" s="84">
        <f t="shared" si="43"/>
        <v>1274</v>
      </c>
      <c r="M282" s="95">
        <v>600</v>
      </c>
      <c r="N282" s="84">
        <f>30</f>
        <v>30</v>
      </c>
      <c r="O282" s="87">
        <v>240</v>
      </c>
      <c r="P282" s="87">
        <v>160</v>
      </c>
      <c r="Q282" s="87">
        <f t="shared" si="44"/>
        <v>195</v>
      </c>
      <c r="R282" s="87">
        <f t="shared" si="45"/>
        <v>100</v>
      </c>
      <c r="S282" s="84">
        <f t="shared" si="46"/>
        <v>695</v>
      </c>
      <c r="T282" s="84">
        <f>0</f>
        <v>0</v>
      </c>
      <c r="U282" s="85"/>
      <c r="V282" s="85"/>
      <c r="W282" s="85"/>
      <c r="X282" s="85"/>
      <c r="Y282" s="85"/>
      <c r="Z282" s="85"/>
      <c r="AA282" s="85"/>
      <c r="AB282" s="85"/>
      <c r="AC282" s="85"/>
      <c r="AD282" s="85"/>
    </row>
    <row r="283" spans="1:30" ht="15.75" x14ac:dyDescent="0.25">
      <c r="A283" s="15">
        <v>49522</v>
      </c>
      <c r="B283" s="98">
        <v>31</v>
      </c>
      <c r="C283" s="84">
        <f>194.205</f>
        <v>194.20500000000001</v>
      </c>
      <c r="D283" s="84">
        <f>267.466</f>
        <v>267.46600000000001</v>
      </c>
      <c r="E283" s="93">
        <f>133.845</f>
        <v>133.845</v>
      </c>
      <c r="F283" s="84">
        <f>278.484-40-25-60-100</f>
        <v>53.48399999999998</v>
      </c>
      <c r="G283" s="87">
        <v>40</v>
      </c>
      <c r="H283" s="84">
        <f t="shared" si="42"/>
        <v>185</v>
      </c>
      <c r="I283" s="84">
        <f t="shared" si="39"/>
        <v>0</v>
      </c>
      <c r="J283" s="87">
        <v>100</v>
      </c>
      <c r="K283" s="87">
        <v>300</v>
      </c>
      <c r="L283" s="84">
        <f t="shared" si="43"/>
        <v>1274</v>
      </c>
      <c r="M283" s="95">
        <v>600</v>
      </c>
      <c r="N283" s="84">
        <f>30</f>
        <v>30</v>
      </c>
      <c r="O283" s="87">
        <v>240</v>
      </c>
      <c r="P283" s="87">
        <v>160</v>
      </c>
      <c r="Q283" s="87">
        <f t="shared" si="44"/>
        <v>195</v>
      </c>
      <c r="R283" s="87">
        <f t="shared" si="45"/>
        <v>100</v>
      </c>
      <c r="S283" s="84">
        <f t="shared" si="46"/>
        <v>695</v>
      </c>
      <c r="T283" s="84">
        <f>0</f>
        <v>0</v>
      </c>
      <c r="U283" s="85"/>
      <c r="V283" s="85"/>
      <c r="W283" s="85"/>
      <c r="X283" s="85"/>
      <c r="Y283" s="85"/>
      <c r="Z283" s="85"/>
      <c r="AA283" s="85"/>
      <c r="AB283" s="85"/>
      <c r="AC283" s="85"/>
      <c r="AD283" s="85"/>
    </row>
    <row r="284" spans="1:30" ht="15.75" x14ac:dyDescent="0.25">
      <c r="A284" s="15">
        <v>49553</v>
      </c>
      <c r="B284" s="98">
        <v>30</v>
      </c>
      <c r="C284" s="84">
        <f>194.205</f>
        <v>194.20500000000001</v>
      </c>
      <c r="D284" s="84">
        <f>267.466</f>
        <v>267.46600000000001</v>
      </c>
      <c r="E284" s="93">
        <f>133.845</f>
        <v>133.845</v>
      </c>
      <c r="F284" s="84">
        <f>278.484-40-25-60-100</f>
        <v>53.48399999999998</v>
      </c>
      <c r="G284" s="87">
        <v>40</v>
      </c>
      <c r="H284" s="84">
        <f t="shared" si="42"/>
        <v>185</v>
      </c>
      <c r="I284" s="84">
        <f t="shared" si="39"/>
        <v>0</v>
      </c>
      <c r="J284" s="87">
        <v>100</v>
      </c>
      <c r="K284" s="87">
        <v>300</v>
      </c>
      <c r="L284" s="84">
        <f t="shared" si="43"/>
        <v>1274</v>
      </c>
      <c r="M284" s="95">
        <v>600</v>
      </c>
      <c r="N284" s="84">
        <f>30</f>
        <v>30</v>
      </c>
      <c r="O284" s="87">
        <v>240</v>
      </c>
      <c r="P284" s="87">
        <v>160</v>
      </c>
      <c r="Q284" s="87">
        <f t="shared" si="44"/>
        <v>195</v>
      </c>
      <c r="R284" s="87">
        <f t="shared" si="45"/>
        <v>100</v>
      </c>
      <c r="S284" s="84">
        <f t="shared" si="46"/>
        <v>695</v>
      </c>
      <c r="T284" s="84">
        <f>0</f>
        <v>0</v>
      </c>
      <c r="U284" s="85"/>
      <c r="V284" s="85"/>
      <c r="W284" s="85"/>
      <c r="X284" s="85"/>
      <c r="Y284" s="85"/>
      <c r="Z284" s="85"/>
      <c r="AA284" s="85"/>
      <c r="AB284" s="85"/>
      <c r="AC284" s="85"/>
      <c r="AD284" s="85"/>
    </row>
    <row r="285" spans="1:30" ht="15.75" x14ac:dyDescent="0.25">
      <c r="A285" s="15">
        <v>49583</v>
      </c>
      <c r="B285" s="98">
        <v>31</v>
      </c>
      <c r="C285" s="84">
        <f>131.881</f>
        <v>131.881</v>
      </c>
      <c r="D285" s="84">
        <f>277.167</f>
        <v>277.16699999999997</v>
      </c>
      <c r="E285" s="93">
        <f>79.08</f>
        <v>79.08</v>
      </c>
      <c r="F285" s="84">
        <f>350.872-40-25-60-100</f>
        <v>125.87200000000001</v>
      </c>
      <c r="G285" s="87">
        <v>40</v>
      </c>
      <c r="H285" s="84">
        <f t="shared" si="42"/>
        <v>185</v>
      </c>
      <c r="I285" s="84">
        <f t="shared" si="39"/>
        <v>0</v>
      </c>
      <c r="J285" s="87">
        <v>100</v>
      </c>
      <c r="K285" s="87">
        <v>300</v>
      </c>
      <c r="L285" s="84">
        <f t="shared" si="43"/>
        <v>1239</v>
      </c>
      <c r="M285" s="95">
        <v>600</v>
      </c>
      <c r="N285" s="84">
        <f>75</f>
        <v>75</v>
      </c>
      <c r="O285" s="87">
        <v>240</v>
      </c>
      <c r="P285" s="87">
        <v>160</v>
      </c>
      <c r="Q285" s="87">
        <f t="shared" si="44"/>
        <v>195</v>
      </c>
      <c r="R285" s="87">
        <f t="shared" si="45"/>
        <v>100</v>
      </c>
      <c r="S285" s="84">
        <f t="shared" si="46"/>
        <v>695</v>
      </c>
      <c r="T285" s="84">
        <f>0</f>
        <v>0</v>
      </c>
      <c r="U285" s="85"/>
      <c r="V285" s="85"/>
      <c r="W285" s="85"/>
      <c r="X285" s="85"/>
      <c r="Y285" s="85"/>
      <c r="Z285" s="85"/>
      <c r="AA285" s="85"/>
      <c r="AB285" s="85"/>
      <c r="AC285" s="85"/>
      <c r="AD285" s="85"/>
    </row>
    <row r="286" spans="1:30" ht="15.75" x14ac:dyDescent="0.25">
      <c r="A286" s="15">
        <v>49614</v>
      </c>
      <c r="B286" s="98">
        <v>30</v>
      </c>
      <c r="C286" s="84">
        <f>122.58</f>
        <v>122.58</v>
      </c>
      <c r="D286" s="84">
        <f>297.941</f>
        <v>297.94099999999997</v>
      </c>
      <c r="E286" s="93">
        <f>89.177</f>
        <v>89.177000000000007</v>
      </c>
      <c r="F286" s="84">
        <f>240.302-40-60-100</f>
        <v>40.301999999999992</v>
      </c>
      <c r="G286" s="87">
        <v>40</v>
      </c>
      <c r="H286" s="84">
        <f>60+100</f>
        <v>160</v>
      </c>
      <c r="I286" s="84">
        <f t="shared" si="39"/>
        <v>0</v>
      </c>
      <c r="J286" s="87">
        <v>100</v>
      </c>
      <c r="K286" s="87">
        <v>300</v>
      </c>
      <c r="L286" s="84">
        <f t="shared" si="43"/>
        <v>1150</v>
      </c>
      <c r="M286" s="95">
        <v>600</v>
      </c>
      <c r="N286" s="84">
        <f>100</f>
        <v>100</v>
      </c>
      <c r="O286" s="87">
        <v>240</v>
      </c>
      <c r="P286" s="87">
        <v>40</v>
      </c>
      <c r="Q286" s="87">
        <f t="shared" si="44"/>
        <v>315</v>
      </c>
      <c r="R286" s="87">
        <f t="shared" si="45"/>
        <v>100</v>
      </c>
      <c r="S286" s="84">
        <f t="shared" si="46"/>
        <v>695</v>
      </c>
      <c r="T286" s="84">
        <f>50</f>
        <v>50</v>
      </c>
      <c r="U286" s="85"/>
      <c r="V286" s="85"/>
      <c r="W286" s="85"/>
      <c r="X286" s="85"/>
      <c r="Y286" s="85"/>
      <c r="Z286" s="85"/>
      <c r="AA286" s="85"/>
      <c r="AB286" s="85"/>
      <c r="AC286" s="85"/>
      <c r="AD286" s="85"/>
    </row>
    <row r="287" spans="1:30" ht="15.75" x14ac:dyDescent="0.25">
      <c r="A287" s="15">
        <v>49644</v>
      </c>
      <c r="B287" s="98">
        <v>31</v>
      </c>
      <c r="C287" s="84">
        <f>122.58</f>
        <v>122.58</v>
      </c>
      <c r="D287" s="84">
        <f>297.941</f>
        <v>297.94099999999997</v>
      </c>
      <c r="E287" s="93">
        <f>89.177</f>
        <v>89.177000000000007</v>
      </c>
      <c r="F287" s="84">
        <f>240.302-40-60-100</f>
        <v>40.301999999999992</v>
      </c>
      <c r="G287" s="87">
        <v>40</v>
      </c>
      <c r="H287" s="84">
        <f>60+100</f>
        <v>160</v>
      </c>
      <c r="I287" s="84">
        <f t="shared" si="39"/>
        <v>0</v>
      </c>
      <c r="J287" s="87">
        <v>100</v>
      </c>
      <c r="K287" s="87">
        <v>300</v>
      </c>
      <c r="L287" s="84">
        <f t="shared" si="43"/>
        <v>1150</v>
      </c>
      <c r="M287" s="95">
        <v>600</v>
      </c>
      <c r="N287" s="84">
        <f>100</f>
        <v>100</v>
      </c>
      <c r="O287" s="87">
        <v>240</v>
      </c>
      <c r="P287" s="87">
        <v>40</v>
      </c>
      <c r="Q287" s="87">
        <f t="shared" si="44"/>
        <v>315</v>
      </c>
      <c r="R287" s="87">
        <f t="shared" si="45"/>
        <v>100</v>
      </c>
      <c r="S287" s="84">
        <f t="shared" si="46"/>
        <v>695</v>
      </c>
      <c r="T287" s="84">
        <f>50</f>
        <v>50</v>
      </c>
      <c r="U287" s="85"/>
      <c r="V287" s="85"/>
      <c r="W287" s="85"/>
      <c r="X287" s="85"/>
      <c r="Y287" s="85"/>
      <c r="Z287" s="85"/>
      <c r="AA287" s="85"/>
      <c r="AB287" s="85"/>
      <c r="AC287" s="85"/>
      <c r="AD287" s="85"/>
    </row>
    <row r="288" spans="1:30" ht="15.75" x14ac:dyDescent="0.25">
      <c r="A288" s="15">
        <v>49675</v>
      </c>
      <c r="B288" s="98">
        <v>31</v>
      </c>
      <c r="C288" s="84">
        <f>122.58</f>
        <v>122.58</v>
      </c>
      <c r="D288" s="84">
        <f>297.941</f>
        <v>297.94099999999997</v>
      </c>
      <c r="E288" s="93">
        <f>89.177</f>
        <v>89.177000000000007</v>
      </c>
      <c r="F288" s="84">
        <f>240.302-40-60-100</f>
        <v>40.301999999999992</v>
      </c>
      <c r="G288" s="87">
        <v>40</v>
      </c>
      <c r="H288" s="84">
        <f>60+100</f>
        <v>160</v>
      </c>
      <c r="I288" s="84">
        <f t="shared" si="39"/>
        <v>0</v>
      </c>
      <c r="J288" s="87">
        <v>100</v>
      </c>
      <c r="K288" s="87">
        <v>300</v>
      </c>
      <c r="L288" s="84">
        <f t="shared" si="43"/>
        <v>1150</v>
      </c>
      <c r="M288" s="95">
        <v>600</v>
      </c>
      <c r="N288" s="84">
        <f>100</f>
        <v>100</v>
      </c>
      <c r="O288" s="87">
        <v>240</v>
      </c>
      <c r="P288" s="87">
        <v>40</v>
      </c>
      <c r="Q288" s="87">
        <f t="shared" si="44"/>
        <v>315</v>
      </c>
      <c r="R288" s="87">
        <f t="shared" si="45"/>
        <v>100</v>
      </c>
      <c r="S288" s="84">
        <f t="shared" si="46"/>
        <v>695</v>
      </c>
      <c r="T288" s="84">
        <f>50</f>
        <v>50</v>
      </c>
      <c r="U288" s="85"/>
      <c r="V288" s="85"/>
      <c r="W288" s="85"/>
      <c r="X288" s="85"/>
      <c r="Y288" s="85"/>
      <c r="Z288" s="85"/>
      <c r="AA288" s="85"/>
      <c r="AB288" s="85"/>
      <c r="AC288" s="85"/>
      <c r="AD288" s="85"/>
    </row>
    <row r="289" spans="1:30" ht="15.75" x14ac:dyDescent="0.25">
      <c r="A289" s="15">
        <v>49706</v>
      </c>
      <c r="B289" s="98">
        <v>29</v>
      </c>
      <c r="C289" s="84">
        <f>122.58</f>
        <v>122.58</v>
      </c>
      <c r="D289" s="84">
        <f>297.941</f>
        <v>297.94099999999997</v>
      </c>
      <c r="E289" s="93">
        <f>89.177</f>
        <v>89.177000000000007</v>
      </c>
      <c r="F289" s="84">
        <f>240.302-40-60-100</f>
        <v>40.301999999999992</v>
      </c>
      <c r="G289" s="87">
        <v>40</v>
      </c>
      <c r="H289" s="84">
        <f>60+100</f>
        <v>160</v>
      </c>
      <c r="I289" s="84">
        <f t="shared" si="39"/>
        <v>0</v>
      </c>
      <c r="J289" s="87">
        <v>100</v>
      </c>
      <c r="K289" s="87">
        <v>300</v>
      </c>
      <c r="L289" s="84">
        <f t="shared" si="43"/>
        <v>1150</v>
      </c>
      <c r="M289" s="95">
        <v>600</v>
      </c>
      <c r="N289" s="84">
        <f>100</f>
        <v>100</v>
      </c>
      <c r="O289" s="87">
        <v>240</v>
      </c>
      <c r="P289" s="87">
        <v>40</v>
      </c>
      <c r="Q289" s="87">
        <f t="shared" si="44"/>
        <v>315</v>
      </c>
      <c r="R289" s="87">
        <f t="shared" si="45"/>
        <v>100</v>
      </c>
      <c r="S289" s="84">
        <f t="shared" si="46"/>
        <v>695</v>
      </c>
      <c r="T289" s="84">
        <f>50</f>
        <v>50</v>
      </c>
      <c r="U289" s="85"/>
      <c r="V289" s="85"/>
      <c r="W289" s="85"/>
      <c r="X289" s="85"/>
      <c r="Y289" s="85"/>
      <c r="Z289" s="85"/>
      <c r="AA289" s="85"/>
      <c r="AB289" s="85"/>
      <c r="AC289" s="85"/>
      <c r="AD289" s="85"/>
    </row>
    <row r="290" spans="1:30" ht="15.75" x14ac:dyDescent="0.25">
      <c r="A290" s="15">
        <v>49735</v>
      </c>
      <c r="B290" s="98">
        <v>31</v>
      </c>
      <c r="C290" s="84">
        <f>122.58</f>
        <v>122.58</v>
      </c>
      <c r="D290" s="84">
        <f>297.941</f>
        <v>297.94099999999997</v>
      </c>
      <c r="E290" s="93">
        <f>89.177</f>
        <v>89.177000000000007</v>
      </c>
      <c r="F290" s="84">
        <f>240.302-40-60-100</f>
        <v>40.301999999999992</v>
      </c>
      <c r="G290" s="87">
        <v>40</v>
      </c>
      <c r="H290" s="84">
        <f>60+100</f>
        <v>160</v>
      </c>
      <c r="I290" s="84">
        <f t="shared" si="39"/>
        <v>0</v>
      </c>
      <c r="J290" s="87">
        <v>100</v>
      </c>
      <c r="K290" s="87">
        <v>300</v>
      </c>
      <c r="L290" s="84">
        <f t="shared" si="43"/>
        <v>1150</v>
      </c>
      <c r="M290" s="95">
        <v>600</v>
      </c>
      <c r="N290" s="84">
        <f>100</f>
        <v>100</v>
      </c>
      <c r="O290" s="87">
        <v>240</v>
      </c>
      <c r="P290" s="87">
        <v>40</v>
      </c>
      <c r="Q290" s="87">
        <f t="shared" si="44"/>
        <v>315</v>
      </c>
      <c r="R290" s="87">
        <f t="shared" si="45"/>
        <v>100</v>
      </c>
      <c r="S290" s="84">
        <f t="shared" si="46"/>
        <v>695</v>
      </c>
      <c r="T290" s="84">
        <f>50</f>
        <v>50</v>
      </c>
      <c r="U290" s="85"/>
      <c r="V290" s="85"/>
      <c r="W290" s="85"/>
      <c r="X290" s="85"/>
      <c r="Y290" s="85"/>
      <c r="Z290" s="85"/>
      <c r="AA290" s="85"/>
      <c r="AB290" s="85"/>
      <c r="AC290" s="85"/>
      <c r="AD290" s="85"/>
    </row>
    <row r="291" spans="1:30" ht="15.75" x14ac:dyDescent="0.25">
      <c r="A291" s="15">
        <v>49766</v>
      </c>
      <c r="B291" s="98">
        <v>30</v>
      </c>
      <c r="C291" s="84">
        <f>141.293</f>
        <v>141.29300000000001</v>
      </c>
      <c r="D291" s="84">
        <f>267.993</f>
        <v>267.99299999999999</v>
      </c>
      <c r="E291" s="93">
        <f>115.016</f>
        <v>115.01600000000001</v>
      </c>
      <c r="F291" s="84">
        <f>314.698-40-25-60-100</f>
        <v>89.697999999999979</v>
      </c>
      <c r="G291" s="87">
        <v>40</v>
      </c>
      <c r="H291" s="84">
        <f t="shared" ref="H291:H297" si="47">25+60+100</f>
        <v>185</v>
      </c>
      <c r="I291" s="84">
        <f t="shared" si="39"/>
        <v>0</v>
      </c>
      <c r="J291" s="87">
        <v>100</v>
      </c>
      <c r="K291" s="87">
        <v>300</v>
      </c>
      <c r="L291" s="84">
        <f t="shared" si="43"/>
        <v>1239</v>
      </c>
      <c r="M291" s="95">
        <v>600</v>
      </c>
      <c r="N291" s="84">
        <f>100</f>
        <v>100</v>
      </c>
      <c r="O291" s="87">
        <v>240</v>
      </c>
      <c r="P291" s="87">
        <v>160</v>
      </c>
      <c r="Q291" s="87">
        <f t="shared" si="44"/>
        <v>195</v>
      </c>
      <c r="R291" s="87">
        <f t="shared" si="45"/>
        <v>100</v>
      </c>
      <c r="S291" s="84">
        <f t="shared" si="46"/>
        <v>695</v>
      </c>
      <c r="T291" s="84">
        <f>50</f>
        <v>50</v>
      </c>
      <c r="U291" s="85"/>
      <c r="V291" s="85"/>
      <c r="W291" s="85"/>
      <c r="X291" s="85"/>
      <c r="Y291" s="85"/>
      <c r="Z291" s="85"/>
      <c r="AA291" s="85"/>
      <c r="AB291" s="85"/>
      <c r="AC291" s="85"/>
      <c r="AD291" s="85"/>
    </row>
    <row r="292" spans="1:30" ht="15.75" x14ac:dyDescent="0.25">
      <c r="A292" s="15">
        <v>49796</v>
      </c>
      <c r="B292" s="98">
        <v>31</v>
      </c>
      <c r="C292" s="84">
        <f>194.205</f>
        <v>194.20500000000001</v>
      </c>
      <c r="D292" s="84">
        <f>267.466</f>
        <v>267.46600000000001</v>
      </c>
      <c r="E292" s="93">
        <f>133.845</f>
        <v>133.845</v>
      </c>
      <c r="F292" s="84">
        <f>278.484-40-25-60-100</f>
        <v>53.48399999999998</v>
      </c>
      <c r="G292" s="87">
        <v>40</v>
      </c>
      <c r="H292" s="84">
        <f t="shared" si="47"/>
        <v>185</v>
      </c>
      <c r="I292" s="84">
        <f t="shared" si="39"/>
        <v>0</v>
      </c>
      <c r="J292" s="87">
        <v>100</v>
      </c>
      <c r="K292" s="87">
        <v>300</v>
      </c>
      <c r="L292" s="84">
        <f t="shared" si="43"/>
        <v>1274</v>
      </c>
      <c r="M292" s="95">
        <v>600</v>
      </c>
      <c r="N292" s="84">
        <f>75</f>
        <v>75</v>
      </c>
      <c r="O292" s="87">
        <v>240</v>
      </c>
      <c r="P292" s="87">
        <v>160</v>
      </c>
      <c r="Q292" s="87">
        <f t="shared" si="44"/>
        <v>195</v>
      </c>
      <c r="R292" s="87">
        <f t="shared" si="45"/>
        <v>100</v>
      </c>
      <c r="S292" s="84">
        <f t="shared" si="46"/>
        <v>695</v>
      </c>
      <c r="T292" s="84">
        <f>50</f>
        <v>50</v>
      </c>
      <c r="U292" s="85"/>
      <c r="V292" s="85"/>
      <c r="W292" s="85"/>
      <c r="X292" s="85"/>
      <c r="Y292" s="85"/>
      <c r="Z292" s="85"/>
      <c r="AA292" s="85"/>
      <c r="AB292" s="85"/>
      <c r="AC292" s="85"/>
      <c r="AD292" s="85"/>
    </row>
    <row r="293" spans="1:30" ht="15.75" x14ac:dyDescent="0.25">
      <c r="A293" s="15">
        <v>49827</v>
      </c>
      <c r="B293" s="98">
        <v>30</v>
      </c>
      <c r="C293" s="84">
        <f>194.205</f>
        <v>194.20500000000001</v>
      </c>
      <c r="D293" s="84">
        <f>267.466</f>
        <v>267.46600000000001</v>
      </c>
      <c r="E293" s="93">
        <f>133.845</f>
        <v>133.845</v>
      </c>
      <c r="F293" s="84">
        <f>278.484-40-25-60-100</f>
        <v>53.48399999999998</v>
      </c>
      <c r="G293" s="87">
        <v>40</v>
      </c>
      <c r="H293" s="84">
        <f t="shared" si="47"/>
        <v>185</v>
      </c>
      <c r="I293" s="84">
        <f t="shared" si="39"/>
        <v>0</v>
      </c>
      <c r="J293" s="87">
        <v>100</v>
      </c>
      <c r="K293" s="87">
        <v>300</v>
      </c>
      <c r="L293" s="84">
        <f t="shared" si="43"/>
        <v>1274</v>
      </c>
      <c r="M293" s="95">
        <v>600</v>
      </c>
      <c r="N293" s="84">
        <f>30</f>
        <v>30</v>
      </c>
      <c r="O293" s="87">
        <v>240</v>
      </c>
      <c r="P293" s="87">
        <v>160</v>
      </c>
      <c r="Q293" s="87">
        <f t="shared" si="44"/>
        <v>195</v>
      </c>
      <c r="R293" s="87">
        <f t="shared" si="45"/>
        <v>100</v>
      </c>
      <c r="S293" s="84">
        <f t="shared" si="46"/>
        <v>695</v>
      </c>
      <c r="T293" s="84">
        <f>50</f>
        <v>50</v>
      </c>
      <c r="U293" s="85"/>
      <c r="V293" s="85"/>
      <c r="W293" s="85"/>
      <c r="X293" s="85"/>
      <c r="Y293" s="85"/>
      <c r="Z293" s="85"/>
      <c r="AA293" s="85"/>
      <c r="AB293" s="85"/>
      <c r="AC293" s="85"/>
      <c r="AD293" s="85"/>
    </row>
    <row r="294" spans="1:30" ht="15.75" x14ac:dyDescent="0.25">
      <c r="A294" s="15">
        <v>49857</v>
      </c>
      <c r="B294" s="98">
        <v>31</v>
      </c>
      <c r="C294" s="84">
        <f>194.205</f>
        <v>194.20500000000001</v>
      </c>
      <c r="D294" s="84">
        <f>267.466</f>
        <v>267.46600000000001</v>
      </c>
      <c r="E294" s="93">
        <f>133.845</f>
        <v>133.845</v>
      </c>
      <c r="F294" s="84">
        <f>278.484-40-25-60-100</f>
        <v>53.48399999999998</v>
      </c>
      <c r="G294" s="87">
        <v>40</v>
      </c>
      <c r="H294" s="84">
        <f t="shared" si="47"/>
        <v>185</v>
      </c>
      <c r="I294" s="84">
        <f t="shared" si="39"/>
        <v>0</v>
      </c>
      <c r="J294" s="87">
        <v>100</v>
      </c>
      <c r="K294" s="87">
        <v>300</v>
      </c>
      <c r="L294" s="84">
        <f t="shared" si="43"/>
        <v>1274</v>
      </c>
      <c r="M294" s="95">
        <v>600</v>
      </c>
      <c r="N294" s="84">
        <f>30</f>
        <v>30</v>
      </c>
      <c r="O294" s="87">
        <v>240</v>
      </c>
      <c r="P294" s="87">
        <v>160</v>
      </c>
      <c r="Q294" s="87">
        <f t="shared" si="44"/>
        <v>195</v>
      </c>
      <c r="R294" s="87">
        <f t="shared" si="45"/>
        <v>100</v>
      </c>
      <c r="S294" s="84">
        <f t="shared" si="46"/>
        <v>695</v>
      </c>
      <c r="T294" s="84">
        <f>0</f>
        <v>0</v>
      </c>
      <c r="U294" s="85"/>
      <c r="V294" s="85"/>
      <c r="W294" s="85"/>
      <c r="X294" s="85"/>
      <c r="Y294" s="85"/>
      <c r="Z294" s="85"/>
      <c r="AA294" s="85"/>
      <c r="AB294" s="85"/>
      <c r="AC294" s="85"/>
      <c r="AD294" s="85"/>
    </row>
    <row r="295" spans="1:30" ht="15.75" x14ac:dyDescent="0.25">
      <c r="A295" s="15">
        <v>49888</v>
      </c>
      <c r="B295" s="98">
        <v>31</v>
      </c>
      <c r="C295" s="84">
        <f>194.205</f>
        <v>194.20500000000001</v>
      </c>
      <c r="D295" s="84">
        <f>267.466</f>
        <v>267.46600000000001</v>
      </c>
      <c r="E295" s="93">
        <f>133.845</f>
        <v>133.845</v>
      </c>
      <c r="F295" s="84">
        <f>278.484-40-25-60-100</f>
        <v>53.48399999999998</v>
      </c>
      <c r="G295" s="87">
        <v>40</v>
      </c>
      <c r="H295" s="84">
        <f t="shared" si="47"/>
        <v>185</v>
      </c>
      <c r="I295" s="84">
        <f t="shared" si="39"/>
        <v>0</v>
      </c>
      <c r="J295" s="87">
        <v>100</v>
      </c>
      <c r="K295" s="87">
        <v>300</v>
      </c>
      <c r="L295" s="84">
        <f t="shared" si="43"/>
        <v>1274</v>
      </c>
      <c r="M295" s="95">
        <v>600</v>
      </c>
      <c r="N295" s="84">
        <f>30</f>
        <v>30</v>
      </c>
      <c r="O295" s="87">
        <v>240</v>
      </c>
      <c r="P295" s="87">
        <v>160</v>
      </c>
      <c r="Q295" s="87">
        <f t="shared" si="44"/>
        <v>195</v>
      </c>
      <c r="R295" s="87">
        <f t="shared" si="45"/>
        <v>100</v>
      </c>
      <c r="S295" s="84">
        <f t="shared" si="46"/>
        <v>695</v>
      </c>
      <c r="T295" s="84">
        <f>0</f>
        <v>0</v>
      </c>
      <c r="U295" s="85"/>
      <c r="V295" s="85"/>
      <c r="W295" s="85"/>
      <c r="X295" s="85"/>
      <c r="Y295" s="85"/>
      <c r="Z295" s="85"/>
      <c r="AA295" s="85"/>
      <c r="AB295" s="85"/>
      <c r="AC295" s="85"/>
      <c r="AD295" s="85"/>
    </row>
    <row r="296" spans="1:30" ht="15.75" x14ac:dyDescent="0.25">
      <c r="A296" s="15">
        <v>49919</v>
      </c>
      <c r="B296" s="98">
        <v>30</v>
      </c>
      <c r="C296" s="84">
        <f>194.205</f>
        <v>194.20500000000001</v>
      </c>
      <c r="D296" s="84">
        <f>267.466</f>
        <v>267.46600000000001</v>
      </c>
      <c r="E296" s="93">
        <f>133.845</f>
        <v>133.845</v>
      </c>
      <c r="F296" s="84">
        <f>278.484-40-25-60-100</f>
        <v>53.48399999999998</v>
      </c>
      <c r="G296" s="87">
        <v>40</v>
      </c>
      <c r="H296" s="84">
        <f t="shared" si="47"/>
        <v>185</v>
      </c>
      <c r="I296" s="84">
        <f t="shared" si="39"/>
        <v>0</v>
      </c>
      <c r="J296" s="87">
        <v>100</v>
      </c>
      <c r="K296" s="87">
        <v>300</v>
      </c>
      <c r="L296" s="84">
        <f t="shared" si="43"/>
        <v>1274</v>
      </c>
      <c r="M296" s="95">
        <v>600</v>
      </c>
      <c r="N296" s="84">
        <f>30</f>
        <v>30</v>
      </c>
      <c r="O296" s="87">
        <v>240</v>
      </c>
      <c r="P296" s="87">
        <v>160</v>
      </c>
      <c r="Q296" s="87">
        <f t="shared" si="44"/>
        <v>195</v>
      </c>
      <c r="R296" s="87">
        <f t="shared" si="45"/>
        <v>100</v>
      </c>
      <c r="S296" s="84">
        <f t="shared" si="46"/>
        <v>695</v>
      </c>
      <c r="T296" s="84">
        <f>0</f>
        <v>0</v>
      </c>
      <c r="U296" s="85"/>
      <c r="V296" s="85"/>
      <c r="W296" s="85"/>
      <c r="X296" s="85"/>
      <c r="Y296" s="85"/>
      <c r="Z296" s="85"/>
      <c r="AA296" s="85"/>
      <c r="AB296" s="85"/>
      <c r="AC296" s="85"/>
      <c r="AD296" s="85"/>
    </row>
    <row r="297" spans="1:30" ht="15.75" x14ac:dyDescent="0.25">
      <c r="A297" s="15">
        <v>49949</v>
      </c>
      <c r="B297" s="98">
        <v>31</v>
      </c>
      <c r="C297" s="84">
        <f>131.881</f>
        <v>131.881</v>
      </c>
      <c r="D297" s="84">
        <f>277.167</f>
        <v>277.16699999999997</v>
      </c>
      <c r="E297" s="93">
        <f>79.08</f>
        <v>79.08</v>
      </c>
      <c r="F297" s="84">
        <f>350.872-40-25-60-100</f>
        <v>125.87200000000001</v>
      </c>
      <c r="G297" s="87">
        <v>40</v>
      </c>
      <c r="H297" s="84">
        <f t="shared" si="47"/>
        <v>185</v>
      </c>
      <c r="I297" s="84">
        <f t="shared" si="39"/>
        <v>0</v>
      </c>
      <c r="J297" s="87">
        <v>100</v>
      </c>
      <c r="K297" s="87">
        <v>300</v>
      </c>
      <c r="L297" s="84">
        <f t="shared" si="43"/>
        <v>1239</v>
      </c>
      <c r="M297" s="95">
        <v>600</v>
      </c>
      <c r="N297" s="84">
        <f>75</f>
        <v>75</v>
      </c>
      <c r="O297" s="87">
        <v>240</v>
      </c>
      <c r="P297" s="87">
        <v>160</v>
      </c>
      <c r="Q297" s="87">
        <f t="shared" si="44"/>
        <v>195</v>
      </c>
      <c r="R297" s="87">
        <f t="shared" si="45"/>
        <v>100</v>
      </c>
      <c r="S297" s="84">
        <f t="shared" si="46"/>
        <v>695</v>
      </c>
      <c r="T297" s="84">
        <f>0</f>
        <v>0</v>
      </c>
      <c r="U297" s="85"/>
      <c r="V297" s="85"/>
      <c r="W297" s="85"/>
      <c r="X297" s="85"/>
      <c r="Y297" s="85"/>
      <c r="Z297" s="85"/>
      <c r="AA297" s="85"/>
      <c r="AB297" s="85"/>
      <c r="AC297" s="85"/>
      <c r="AD297" s="85"/>
    </row>
    <row r="298" spans="1:30" ht="15.75" x14ac:dyDescent="0.25">
      <c r="A298" s="15">
        <v>49980</v>
      </c>
      <c r="B298" s="98">
        <v>30</v>
      </c>
      <c r="C298" s="84">
        <f>122.58</f>
        <v>122.58</v>
      </c>
      <c r="D298" s="84">
        <f>297.941</f>
        <v>297.94099999999997</v>
      </c>
      <c r="E298" s="93">
        <f>89.177</f>
        <v>89.177000000000007</v>
      </c>
      <c r="F298" s="84">
        <f>240.302-40-60-100</f>
        <v>40.301999999999992</v>
      </c>
      <c r="G298" s="87">
        <v>40</v>
      </c>
      <c r="H298" s="84">
        <f>60+100</f>
        <v>160</v>
      </c>
      <c r="I298" s="84">
        <f t="shared" si="39"/>
        <v>0</v>
      </c>
      <c r="J298" s="87">
        <v>100</v>
      </c>
      <c r="K298" s="87">
        <v>300</v>
      </c>
      <c r="L298" s="84">
        <f t="shared" si="43"/>
        <v>1150</v>
      </c>
      <c r="M298" s="95">
        <v>600</v>
      </c>
      <c r="N298" s="84">
        <f>100</f>
        <v>100</v>
      </c>
      <c r="O298" s="87">
        <v>240</v>
      </c>
      <c r="P298" s="87">
        <v>40</v>
      </c>
      <c r="Q298" s="87">
        <f t="shared" si="44"/>
        <v>315</v>
      </c>
      <c r="R298" s="87">
        <f t="shared" si="45"/>
        <v>100</v>
      </c>
      <c r="S298" s="84">
        <f t="shared" si="46"/>
        <v>695</v>
      </c>
      <c r="T298" s="84">
        <f>50</f>
        <v>50</v>
      </c>
      <c r="U298" s="85"/>
      <c r="V298" s="85"/>
      <c r="W298" s="85"/>
      <c r="X298" s="85"/>
      <c r="Y298" s="85"/>
      <c r="Z298" s="85"/>
      <c r="AA298" s="85"/>
      <c r="AB298" s="85"/>
      <c r="AC298" s="85"/>
      <c r="AD298" s="85"/>
    </row>
    <row r="299" spans="1:30" ht="15.75" x14ac:dyDescent="0.25">
      <c r="A299" s="15">
        <v>50010</v>
      </c>
      <c r="B299" s="98">
        <v>31</v>
      </c>
      <c r="C299" s="84">
        <f>122.58</f>
        <v>122.58</v>
      </c>
      <c r="D299" s="84">
        <f>297.941</f>
        <v>297.94099999999997</v>
      </c>
      <c r="E299" s="93">
        <f>89.177</f>
        <v>89.177000000000007</v>
      </c>
      <c r="F299" s="84">
        <f>240.302-40-60-100</f>
        <v>40.301999999999992</v>
      </c>
      <c r="G299" s="87">
        <v>40</v>
      </c>
      <c r="H299" s="84">
        <f>60+100</f>
        <v>160</v>
      </c>
      <c r="I299" s="84">
        <f t="shared" si="39"/>
        <v>0</v>
      </c>
      <c r="J299" s="87">
        <v>100</v>
      </c>
      <c r="K299" s="87">
        <v>300</v>
      </c>
      <c r="L299" s="84">
        <f t="shared" si="43"/>
        <v>1150</v>
      </c>
      <c r="M299" s="95">
        <v>600</v>
      </c>
      <c r="N299" s="84">
        <f>100</f>
        <v>100</v>
      </c>
      <c r="O299" s="87">
        <v>240</v>
      </c>
      <c r="P299" s="87">
        <v>40</v>
      </c>
      <c r="Q299" s="87">
        <f t="shared" si="44"/>
        <v>315</v>
      </c>
      <c r="R299" s="87">
        <f t="shared" si="45"/>
        <v>100</v>
      </c>
      <c r="S299" s="84">
        <f t="shared" si="46"/>
        <v>695</v>
      </c>
      <c r="T299" s="84">
        <f>50</f>
        <v>50</v>
      </c>
      <c r="U299" s="85"/>
      <c r="V299" s="85"/>
      <c r="W299" s="85"/>
      <c r="X299" s="85"/>
      <c r="Y299" s="85"/>
      <c r="Z299" s="85"/>
      <c r="AA299" s="85"/>
      <c r="AB299" s="85"/>
      <c r="AC299" s="85"/>
      <c r="AD299" s="85"/>
    </row>
    <row r="300" spans="1:30" ht="15.75" x14ac:dyDescent="0.25">
      <c r="A300" s="15">
        <v>50041</v>
      </c>
      <c r="B300" s="98">
        <v>31</v>
      </c>
      <c r="C300" s="84">
        <f>122.58</f>
        <v>122.58</v>
      </c>
      <c r="D300" s="84">
        <f>297.941</f>
        <v>297.94099999999997</v>
      </c>
      <c r="E300" s="93">
        <f>89.177</f>
        <v>89.177000000000007</v>
      </c>
      <c r="F300" s="84">
        <f>240.302-40-60-100</f>
        <v>40.301999999999992</v>
      </c>
      <c r="G300" s="87">
        <v>40</v>
      </c>
      <c r="H300" s="84">
        <f>60+100</f>
        <v>160</v>
      </c>
      <c r="I300" s="84">
        <f t="shared" si="39"/>
        <v>0</v>
      </c>
      <c r="J300" s="87">
        <v>100</v>
      </c>
      <c r="K300" s="87">
        <v>300</v>
      </c>
      <c r="L300" s="84">
        <f t="shared" si="43"/>
        <v>1150</v>
      </c>
      <c r="M300" s="95">
        <v>600</v>
      </c>
      <c r="N300" s="84">
        <f>100</f>
        <v>100</v>
      </c>
      <c r="O300" s="87">
        <v>240</v>
      </c>
      <c r="P300" s="87">
        <v>40</v>
      </c>
      <c r="Q300" s="87">
        <f t="shared" si="44"/>
        <v>315</v>
      </c>
      <c r="R300" s="87">
        <f t="shared" si="45"/>
        <v>100</v>
      </c>
      <c r="S300" s="84">
        <f t="shared" si="46"/>
        <v>695</v>
      </c>
      <c r="T300" s="84">
        <f>50</f>
        <v>50</v>
      </c>
      <c r="U300" s="85"/>
      <c r="V300" s="85"/>
      <c r="W300" s="85"/>
      <c r="X300" s="85"/>
      <c r="Y300" s="85"/>
      <c r="Z300" s="85"/>
      <c r="AA300" s="85"/>
      <c r="AB300" s="85"/>
      <c r="AC300" s="85"/>
      <c r="AD300" s="85"/>
    </row>
    <row r="301" spans="1:30" ht="15.75" x14ac:dyDescent="0.25">
      <c r="A301" s="15">
        <v>50072</v>
      </c>
      <c r="B301" s="98">
        <v>28</v>
      </c>
      <c r="C301" s="84">
        <f>122.58</f>
        <v>122.58</v>
      </c>
      <c r="D301" s="84">
        <f>297.941</f>
        <v>297.94099999999997</v>
      </c>
      <c r="E301" s="93">
        <f>89.177</f>
        <v>89.177000000000007</v>
      </c>
      <c r="F301" s="84">
        <f>240.302-40-60-100</f>
        <v>40.301999999999992</v>
      </c>
      <c r="G301" s="87">
        <v>40</v>
      </c>
      <c r="H301" s="84">
        <f>60+100</f>
        <v>160</v>
      </c>
      <c r="I301" s="84">
        <f t="shared" si="39"/>
        <v>0</v>
      </c>
      <c r="J301" s="87">
        <v>100</v>
      </c>
      <c r="K301" s="87">
        <v>300</v>
      </c>
      <c r="L301" s="84">
        <f t="shared" si="43"/>
        <v>1150</v>
      </c>
      <c r="M301" s="95">
        <v>600</v>
      </c>
      <c r="N301" s="84">
        <f>100</f>
        <v>100</v>
      </c>
      <c r="O301" s="87">
        <v>240</v>
      </c>
      <c r="P301" s="87">
        <v>40</v>
      </c>
      <c r="Q301" s="87">
        <f t="shared" si="44"/>
        <v>315</v>
      </c>
      <c r="R301" s="87">
        <f t="shared" si="45"/>
        <v>100</v>
      </c>
      <c r="S301" s="84">
        <f t="shared" si="46"/>
        <v>695</v>
      </c>
      <c r="T301" s="84">
        <f>50</f>
        <v>50</v>
      </c>
      <c r="U301" s="85"/>
      <c r="V301" s="85"/>
      <c r="W301" s="85"/>
      <c r="X301" s="85"/>
      <c r="Y301" s="85"/>
      <c r="Z301" s="85"/>
      <c r="AA301" s="85"/>
      <c r="AB301" s="85"/>
      <c r="AC301" s="85"/>
      <c r="AD301" s="85"/>
    </row>
    <row r="302" spans="1:30" ht="15.75" x14ac:dyDescent="0.25">
      <c r="A302" s="15">
        <v>50100</v>
      </c>
      <c r="B302" s="98">
        <v>31</v>
      </c>
      <c r="C302" s="84">
        <f>122.58</f>
        <v>122.58</v>
      </c>
      <c r="D302" s="84">
        <f>297.941</f>
        <v>297.94099999999997</v>
      </c>
      <c r="E302" s="93">
        <f>89.177</f>
        <v>89.177000000000007</v>
      </c>
      <c r="F302" s="84">
        <f>240.302-40-60-100</f>
        <v>40.301999999999992</v>
      </c>
      <c r="G302" s="87">
        <v>40</v>
      </c>
      <c r="H302" s="84">
        <f>60+100</f>
        <v>160</v>
      </c>
      <c r="I302" s="84">
        <f t="shared" si="39"/>
        <v>0</v>
      </c>
      <c r="J302" s="87">
        <v>100</v>
      </c>
      <c r="K302" s="87">
        <v>300</v>
      </c>
      <c r="L302" s="84">
        <f t="shared" si="43"/>
        <v>1150</v>
      </c>
      <c r="M302" s="95">
        <v>600</v>
      </c>
      <c r="N302" s="84">
        <f>100</f>
        <v>100</v>
      </c>
      <c r="O302" s="87">
        <v>240</v>
      </c>
      <c r="P302" s="87">
        <v>40</v>
      </c>
      <c r="Q302" s="87">
        <f t="shared" si="44"/>
        <v>315</v>
      </c>
      <c r="R302" s="87">
        <f t="shared" si="45"/>
        <v>100</v>
      </c>
      <c r="S302" s="84">
        <f t="shared" si="46"/>
        <v>695</v>
      </c>
      <c r="T302" s="84">
        <f>50</f>
        <v>50</v>
      </c>
      <c r="U302" s="85"/>
      <c r="V302" s="85"/>
      <c r="W302" s="85"/>
      <c r="X302" s="85"/>
      <c r="Y302" s="85"/>
      <c r="Z302" s="85"/>
      <c r="AA302" s="85"/>
      <c r="AB302" s="85"/>
      <c r="AC302" s="85"/>
      <c r="AD302" s="85"/>
    </row>
    <row r="303" spans="1:30" ht="15.75" x14ac:dyDescent="0.25">
      <c r="A303" s="15">
        <v>50131</v>
      </c>
      <c r="B303" s="98">
        <v>30</v>
      </c>
      <c r="C303" s="84">
        <f>141.293</f>
        <v>141.29300000000001</v>
      </c>
      <c r="D303" s="84">
        <f>267.993</f>
        <v>267.99299999999999</v>
      </c>
      <c r="E303" s="93">
        <f>115.016</f>
        <v>115.01600000000001</v>
      </c>
      <c r="F303" s="84">
        <f>314.698-40-25-60-100</f>
        <v>89.697999999999979</v>
      </c>
      <c r="G303" s="87">
        <v>40</v>
      </c>
      <c r="H303" s="84">
        <f t="shared" ref="H303:H309" si="48">25+60+100</f>
        <v>185</v>
      </c>
      <c r="I303" s="84">
        <f t="shared" si="39"/>
        <v>0</v>
      </c>
      <c r="J303" s="87">
        <v>100</v>
      </c>
      <c r="K303" s="87">
        <v>300</v>
      </c>
      <c r="L303" s="84">
        <f t="shared" si="43"/>
        <v>1239</v>
      </c>
      <c r="M303" s="95">
        <v>600</v>
      </c>
      <c r="N303" s="84">
        <f>100</f>
        <v>100</v>
      </c>
      <c r="O303" s="87">
        <v>240</v>
      </c>
      <c r="P303" s="87">
        <v>160</v>
      </c>
      <c r="Q303" s="87">
        <f t="shared" si="44"/>
        <v>195</v>
      </c>
      <c r="R303" s="87">
        <f t="shared" si="45"/>
        <v>100</v>
      </c>
      <c r="S303" s="84">
        <f t="shared" si="46"/>
        <v>695</v>
      </c>
      <c r="T303" s="84">
        <f>50</f>
        <v>50</v>
      </c>
      <c r="U303" s="85"/>
      <c r="V303" s="85"/>
      <c r="W303" s="85"/>
      <c r="X303" s="85"/>
      <c r="Y303" s="85"/>
      <c r="Z303" s="85"/>
      <c r="AA303" s="85"/>
      <c r="AB303" s="85"/>
      <c r="AC303" s="85"/>
      <c r="AD303" s="85"/>
    </row>
    <row r="304" spans="1:30" ht="15.75" x14ac:dyDescent="0.25">
      <c r="A304" s="15">
        <v>50161</v>
      </c>
      <c r="B304" s="98">
        <v>31</v>
      </c>
      <c r="C304" s="84">
        <f>194.205</f>
        <v>194.20500000000001</v>
      </c>
      <c r="D304" s="84">
        <f>267.466</f>
        <v>267.46600000000001</v>
      </c>
      <c r="E304" s="93">
        <f>133.845</f>
        <v>133.845</v>
      </c>
      <c r="F304" s="84">
        <f>278.484-40-25-60-100</f>
        <v>53.48399999999998</v>
      </c>
      <c r="G304" s="87">
        <v>40</v>
      </c>
      <c r="H304" s="84">
        <f t="shared" si="48"/>
        <v>185</v>
      </c>
      <c r="I304" s="84">
        <f t="shared" si="39"/>
        <v>0</v>
      </c>
      <c r="J304" s="87">
        <v>100</v>
      </c>
      <c r="K304" s="87">
        <v>300</v>
      </c>
      <c r="L304" s="84">
        <f t="shared" si="43"/>
        <v>1274</v>
      </c>
      <c r="M304" s="95">
        <v>600</v>
      </c>
      <c r="N304" s="84">
        <f>75</f>
        <v>75</v>
      </c>
      <c r="O304" s="87">
        <v>240</v>
      </c>
      <c r="P304" s="87">
        <v>160</v>
      </c>
      <c r="Q304" s="87">
        <f t="shared" si="44"/>
        <v>195</v>
      </c>
      <c r="R304" s="87">
        <f t="shared" si="45"/>
        <v>100</v>
      </c>
      <c r="S304" s="84">
        <f t="shared" si="46"/>
        <v>695</v>
      </c>
      <c r="T304" s="84">
        <f>50</f>
        <v>50</v>
      </c>
      <c r="U304" s="85"/>
      <c r="V304" s="85"/>
      <c r="W304" s="85"/>
      <c r="X304" s="85"/>
      <c r="Y304" s="85"/>
      <c r="Z304" s="85"/>
      <c r="AA304" s="85"/>
      <c r="AB304" s="85"/>
      <c r="AC304" s="85"/>
      <c r="AD304" s="85"/>
    </row>
    <row r="305" spans="1:30" ht="15.75" x14ac:dyDescent="0.25">
      <c r="A305" s="15">
        <v>50192</v>
      </c>
      <c r="B305" s="98">
        <v>30</v>
      </c>
      <c r="C305" s="84">
        <f>194.205</f>
        <v>194.20500000000001</v>
      </c>
      <c r="D305" s="84">
        <f>267.466</f>
        <v>267.46600000000001</v>
      </c>
      <c r="E305" s="93">
        <f>133.845</f>
        <v>133.845</v>
      </c>
      <c r="F305" s="84">
        <f>278.484-40-25-60-100</f>
        <v>53.48399999999998</v>
      </c>
      <c r="G305" s="87">
        <v>40</v>
      </c>
      <c r="H305" s="84">
        <f t="shared" si="48"/>
        <v>185</v>
      </c>
      <c r="I305" s="84">
        <f t="shared" si="39"/>
        <v>0</v>
      </c>
      <c r="J305" s="87">
        <v>100</v>
      </c>
      <c r="K305" s="87">
        <v>300</v>
      </c>
      <c r="L305" s="84">
        <f t="shared" si="43"/>
        <v>1274</v>
      </c>
      <c r="M305" s="95">
        <v>600</v>
      </c>
      <c r="N305" s="84">
        <f>30</f>
        <v>30</v>
      </c>
      <c r="O305" s="87">
        <v>240</v>
      </c>
      <c r="P305" s="87">
        <v>160</v>
      </c>
      <c r="Q305" s="87">
        <f t="shared" si="44"/>
        <v>195</v>
      </c>
      <c r="R305" s="87">
        <f t="shared" si="45"/>
        <v>100</v>
      </c>
      <c r="S305" s="84">
        <f t="shared" si="46"/>
        <v>695</v>
      </c>
      <c r="T305" s="84">
        <f>50</f>
        <v>50</v>
      </c>
      <c r="U305" s="85"/>
      <c r="V305" s="85"/>
      <c r="W305" s="85"/>
      <c r="X305" s="85"/>
      <c r="Y305" s="85"/>
      <c r="Z305" s="85"/>
      <c r="AA305" s="85"/>
      <c r="AB305" s="85"/>
      <c r="AC305" s="85"/>
      <c r="AD305" s="85"/>
    </row>
    <row r="306" spans="1:30" ht="15.75" x14ac:dyDescent="0.25">
      <c r="A306" s="15">
        <v>50222</v>
      </c>
      <c r="B306" s="98">
        <v>31</v>
      </c>
      <c r="C306" s="84">
        <f>194.205</f>
        <v>194.20500000000001</v>
      </c>
      <c r="D306" s="84">
        <f>267.466</f>
        <v>267.46600000000001</v>
      </c>
      <c r="E306" s="93">
        <f>133.845</f>
        <v>133.845</v>
      </c>
      <c r="F306" s="84">
        <f>278.484-40-25-60-100</f>
        <v>53.48399999999998</v>
      </c>
      <c r="G306" s="87">
        <v>40</v>
      </c>
      <c r="H306" s="84">
        <f t="shared" si="48"/>
        <v>185</v>
      </c>
      <c r="I306" s="84">
        <f t="shared" si="39"/>
        <v>0</v>
      </c>
      <c r="J306" s="87">
        <v>100</v>
      </c>
      <c r="K306" s="87">
        <v>300</v>
      </c>
      <c r="L306" s="84">
        <f t="shared" si="43"/>
        <v>1274</v>
      </c>
      <c r="M306" s="95">
        <v>600</v>
      </c>
      <c r="N306" s="84">
        <f>30</f>
        <v>30</v>
      </c>
      <c r="O306" s="87">
        <v>240</v>
      </c>
      <c r="P306" s="87">
        <v>160</v>
      </c>
      <c r="Q306" s="87">
        <f t="shared" si="44"/>
        <v>195</v>
      </c>
      <c r="R306" s="87">
        <f t="shared" si="45"/>
        <v>100</v>
      </c>
      <c r="S306" s="84">
        <f t="shared" si="46"/>
        <v>695</v>
      </c>
      <c r="T306" s="84">
        <f>0</f>
        <v>0</v>
      </c>
      <c r="U306" s="85"/>
      <c r="V306" s="85"/>
      <c r="W306" s="85"/>
      <c r="X306" s="85"/>
      <c r="Y306" s="85"/>
      <c r="Z306" s="85"/>
      <c r="AA306" s="85"/>
      <c r="AB306" s="85"/>
      <c r="AC306" s="85"/>
      <c r="AD306" s="85"/>
    </row>
    <row r="307" spans="1:30" ht="15.75" x14ac:dyDescent="0.25">
      <c r="A307" s="15">
        <v>50253</v>
      </c>
      <c r="B307" s="98">
        <v>31</v>
      </c>
      <c r="C307" s="84">
        <f>194.205</f>
        <v>194.20500000000001</v>
      </c>
      <c r="D307" s="84">
        <f>267.466</f>
        <v>267.46600000000001</v>
      </c>
      <c r="E307" s="93">
        <f>133.845</f>
        <v>133.845</v>
      </c>
      <c r="F307" s="84">
        <f>278.484-40-25-60-100</f>
        <v>53.48399999999998</v>
      </c>
      <c r="G307" s="87">
        <v>40</v>
      </c>
      <c r="H307" s="84">
        <f t="shared" si="48"/>
        <v>185</v>
      </c>
      <c r="I307" s="84">
        <f t="shared" si="39"/>
        <v>0</v>
      </c>
      <c r="J307" s="87">
        <v>100</v>
      </c>
      <c r="K307" s="87">
        <v>300</v>
      </c>
      <c r="L307" s="84">
        <f t="shared" si="43"/>
        <v>1274</v>
      </c>
      <c r="M307" s="95">
        <v>600</v>
      </c>
      <c r="N307" s="84">
        <f>30</f>
        <v>30</v>
      </c>
      <c r="O307" s="87">
        <v>240</v>
      </c>
      <c r="P307" s="87">
        <v>160</v>
      </c>
      <c r="Q307" s="87">
        <f t="shared" si="44"/>
        <v>195</v>
      </c>
      <c r="R307" s="87">
        <f t="shared" si="45"/>
        <v>100</v>
      </c>
      <c r="S307" s="84">
        <f t="shared" si="46"/>
        <v>695</v>
      </c>
      <c r="T307" s="84">
        <f>0</f>
        <v>0</v>
      </c>
      <c r="U307" s="85"/>
      <c r="V307" s="85"/>
      <c r="W307" s="85"/>
      <c r="X307" s="85"/>
      <c r="Y307" s="85"/>
      <c r="Z307" s="85"/>
      <c r="AA307" s="85"/>
      <c r="AB307" s="85"/>
      <c r="AC307" s="85"/>
      <c r="AD307" s="85"/>
    </row>
    <row r="308" spans="1:30" ht="15.75" x14ac:dyDescent="0.25">
      <c r="A308" s="15">
        <v>50284</v>
      </c>
      <c r="B308" s="98">
        <v>30</v>
      </c>
      <c r="C308" s="84">
        <f>194.205</f>
        <v>194.20500000000001</v>
      </c>
      <c r="D308" s="84">
        <f>267.466</f>
        <v>267.46600000000001</v>
      </c>
      <c r="E308" s="93">
        <f>133.845</f>
        <v>133.845</v>
      </c>
      <c r="F308" s="84">
        <f>278.484-40-25-60-100</f>
        <v>53.48399999999998</v>
      </c>
      <c r="G308" s="87">
        <v>40</v>
      </c>
      <c r="H308" s="84">
        <f t="shared" si="48"/>
        <v>185</v>
      </c>
      <c r="I308" s="84">
        <f t="shared" ref="I308:I371" si="49">400-J308-K308</f>
        <v>0</v>
      </c>
      <c r="J308" s="87">
        <v>100</v>
      </c>
      <c r="K308" s="87">
        <v>300</v>
      </c>
      <c r="L308" s="84">
        <f t="shared" si="43"/>
        <v>1274</v>
      </c>
      <c r="M308" s="95">
        <v>600</v>
      </c>
      <c r="N308" s="84">
        <f>30</f>
        <v>30</v>
      </c>
      <c r="O308" s="87">
        <v>240</v>
      </c>
      <c r="P308" s="87">
        <v>160</v>
      </c>
      <c r="Q308" s="87">
        <f t="shared" si="44"/>
        <v>195</v>
      </c>
      <c r="R308" s="87">
        <f t="shared" si="45"/>
        <v>100</v>
      </c>
      <c r="S308" s="84">
        <f t="shared" si="46"/>
        <v>695</v>
      </c>
      <c r="T308" s="84">
        <f>0</f>
        <v>0</v>
      </c>
      <c r="U308" s="85"/>
      <c r="V308" s="85"/>
      <c r="W308" s="85"/>
      <c r="X308" s="85"/>
      <c r="Y308" s="85"/>
      <c r="Z308" s="85"/>
      <c r="AA308" s="85"/>
      <c r="AB308" s="85"/>
      <c r="AC308" s="85"/>
      <c r="AD308" s="85"/>
    </row>
    <row r="309" spans="1:30" ht="15.75" x14ac:dyDescent="0.25">
      <c r="A309" s="15">
        <v>50314</v>
      </c>
      <c r="B309" s="98">
        <v>31</v>
      </c>
      <c r="C309" s="84">
        <f>131.881</f>
        <v>131.881</v>
      </c>
      <c r="D309" s="84">
        <f>277.167</f>
        <v>277.16699999999997</v>
      </c>
      <c r="E309" s="93">
        <f>79.08</f>
        <v>79.08</v>
      </c>
      <c r="F309" s="84">
        <f>350.872-40-25-60-100</f>
        <v>125.87200000000001</v>
      </c>
      <c r="G309" s="87">
        <v>40</v>
      </c>
      <c r="H309" s="84">
        <f t="shared" si="48"/>
        <v>185</v>
      </c>
      <c r="I309" s="84">
        <f t="shared" si="49"/>
        <v>0</v>
      </c>
      <c r="J309" s="87">
        <v>100</v>
      </c>
      <c r="K309" s="87">
        <v>300</v>
      </c>
      <c r="L309" s="84">
        <f t="shared" si="43"/>
        <v>1239</v>
      </c>
      <c r="M309" s="95">
        <v>600</v>
      </c>
      <c r="N309" s="84">
        <f>75</f>
        <v>75</v>
      </c>
      <c r="O309" s="87">
        <v>240</v>
      </c>
      <c r="P309" s="87">
        <v>160</v>
      </c>
      <c r="Q309" s="87">
        <f t="shared" si="44"/>
        <v>195</v>
      </c>
      <c r="R309" s="87">
        <f t="shared" si="45"/>
        <v>100</v>
      </c>
      <c r="S309" s="84">
        <f t="shared" si="46"/>
        <v>695</v>
      </c>
      <c r="T309" s="84">
        <f>0</f>
        <v>0</v>
      </c>
      <c r="U309" s="85"/>
      <c r="V309" s="85"/>
      <c r="W309" s="85"/>
      <c r="X309" s="85"/>
      <c r="Y309" s="85"/>
      <c r="Z309" s="85"/>
      <c r="AA309" s="85"/>
      <c r="AB309" s="85"/>
      <c r="AC309" s="85"/>
      <c r="AD309" s="85"/>
    </row>
    <row r="310" spans="1:30" ht="15.75" x14ac:dyDescent="0.25">
      <c r="A310" s="15">
        <v>50345</v>
      </c>
      <c r="B310" s="98">
        <v>30</v>
      </c>
      <c r="C310" s="84">
        <f>122.58</f>
        <v>122.58</v>
      </c>
      <c r="D310" s="84">
        <f>297.941</f>
        <v>297.94099999999997</v>
      </c>
      <c r="E310" s="93">
        <f>89.177</f>
        <v>89.177000000000007</v>
      </c>
      <c r="F310" s="84">
        <f>240.302-40-60-100</f>
        <v>40.301999999999992</v>
      </c>
      <c r="G310" s="87">
        <v>40</v>
      </c>
      <c r="H310" s="84">
        <f>60+100</f>
        <v>160</v>
      </c>
      <c r="I310" s="84">
        <f t="shared" si="49"/>
        <v>0</v>
      </c>
      <c r="J310" s="87">
        <v>100</v>
      </c>
      <c r="K310" s="87">
        <v>300</v>
      </c>
      <c r="L310" s="84">
        <f t="shared" si="43"/>
        <v>1150</v>
      </c>
      <c r="M310" s="95">
        <v>600</v>
      </c>
      <c r="N310" s="84">
        <f>100</f>
        <v>100</v>
      </c>
      <c r="O310" s="87">
        <v>240</v>
      </c>
      <c r="P310" s="87">
        <v>40</v>
      </c>
      <c r="Q310" s="87">
        <f t="shared" si="44"/>
        <v>315</v>
      </c>
      <c r="R310" s="87">
        <f t="shared" si="45"/>
        <v>100</v>
      </c>
      <c r="S310" s="84">
        <f t="shared" si="46"/>
        <v>695</v>
      </c>
      <c r="T310" s="84">
        <f>50</f>
        <v>50</v>
      </c>
      <c r="U310" s="85"/>
      <c r="V310" s="85"/>
      <c r="W310" s="85"/>
      <c r="X310" s="85"/>
      <c r="Y310" s="85"/>
      <c r="Z310" s="85"/>
      <c r="AA310" s="85"/>
      <c r="AB310" s="85"/>
      <c r="AC310" s="85"/>
      <c r="AD310" s="85"/>
    </row>
    <row r="311" spans="1:30" ht="15.75" x14ac:dyDescent="0.25">
      <c r="A311" s="15">
        <v>50375</v>
      </c>
      <c r="B311" s="98">
        <v>31</v>
      </c>
      <c r="C311" s="84">
        <f>122.58</f>
        <v>122.58</v>
      </c>
      <c r="D311" s="84">
        <f>297.941</f>
        <v>297.94099999999997</v>
      </c>
      <c r="E311" s="93">
        <f>89.177</f>
        <v>89.177000000000007</v>
      </c>
      <c r="F311" s="84">
        <f>240.302-40-60-100</f>
        <v>40.301999999999992</v>
      </c>
      <c r="G311" s="87">
        <v>40</v>
      </c>
      <c r="H311" s="84">
        <f>60+100</f>
        <v>160</v>
      </c>
      <c r="I311" s="84">
        <f t="shared" si="49"/>
        <v>0</v>
      </c>
      <c r="J311" s="87">
        <v>100</v>
      </c>
      <c r="K311" s="87">
        <v>300</v>
      </c>
      <c r="L311" s="84">
        <f t="shared" si="43"/>
        <v>1150</v>
      </c>
      <c r="M311" s="95">
        <v>600</v>
      </c>
      <c r="N311" s="84">
        <f>100</f>
        <v>100</v>
      </c>
      <c r="O311" s="87">
        <v>240</v>
      </c>
      <c r="P311" s="87">
        <v>40</v>
      </c>
      <c r="Q311" s="87">
        <f t="shared" si="44"/>
        <v>315</v>
      </c>
      <c r="R311" s="87">
        <f t="shared" si="45"/>
        <v>100</v>
      </c>
      <c r="S311" s="84">
        <f t="shared" si="46"/>
        <v>695</v>
      </c>
      <c r="T311" s="84">
        <f>50</f>
        <v>50</v>
      </c>
      <c r="U311" s="85"/>
      <c r="V311" s="85"/>
      <c r="W311" s="85"/>
      <c r="X311" s="85"/>
      <c r="Y311" s="85"/>
      <c r="Z311" s="85"/>
      <c r="AA311" s="85"/>
      <c r="AB311" s="85"/>
      <c r="AC311" s="85"/>
      <c r="AD311" s="85"/>
    </row>
    <row r="312" spans="1:30" ht="15.75" x14ac:dyDescent="0.25">
      <c r="A312" s="14">
        <v>50436</v>
      </c>
      <c r="B312" s="97">
        <v>31</v>
      </c>
      <c r="C312" s="84">
        <f>122.58</f>
        <v>122.58</v>
      </c>
      <c r="D312" s="84">
        <f>297.941</f>
        <v>297.94099999999997</v>
      </c>
      <c r="E312" s="93">
        <f>89.177</f>
        <v>89.177000000000007</v>
      </c>
      <c r="F312" s="84">
        <f>240.302-40-60-100</f>
        <v>40.301999999999992</v>
      </c>
      <c r="G312" s="87">
        <v>40</v>
      </c>
      <c r="H312" s="84">
        <f>60+100</f>
        <v>160</v>
      </c>
      <c r="I312" s="84">
        <f t="shared" si="49"/>
        <v>0</v>
      </c>
      <c r="J312" s="87">
        <v>100</v>
      </c>
      <c r="K312" s="87">
        <v>300</v>
      </c>
      <c r="L312" s="84">
        <f t="shared" si="43"/>
        <v>1150</v>
      </c>
      <c r="M312" s="95">
        <v>600</v>
      </c>
      <c r="N312" s="84">
        <f>100</f>
        <v>100</v>
      </c>
      <c r="O312" s="87">
        <v>240</v>
      </c>
      <c r="P312" s="87">
        <v>40</v>
      </c>
      <c r="Q312" s="87">
        <f t="shared" si="44"/>
        <v>315</v>
      </c>
      <c r="R312" s="87">
        <f t="shared" si="45"/>
        <v>100</v>
      </c>
      <c r="S312" s="84">
        <f t="shared" si="46"/>
        <v>695</v>
      </c>
      <c r="T312" s="84">
        <f>50</f>
        <v>50</v>
      </c>
      <c r="U312" s="85"/>
      <c r="V312" s="85"/>
      <c r="W312" s="85"/>
      <c r="X312" s="85"/>
      <c r="Y312" s="85"/>
      <c r="Z312" s="85"/>
      <c r="AA312" s="85"/>
      <c r="AB312" s="85"/>
      <c r="AC312" s="85"/>
      <c r="AD312" s="85"/>
    </row>
    <row r="313" spans="1:30" ht="15.75" x14ac:dyDescent="0.25">
      <c r="A313" s="14">
        <v>50464</v>
      </c>
      <c r="B313" s="97">
        <v>28</v>
      </c>
      <c r="C313" s="84">
        <f>122.58</f>
        <v>122.58</v>
      </c>
      <c r="D313" s="84">
        <f>297.941</f>
        <v>297.94099999999997</v>
      </c>
      <c r="E313" s="93">
        <f>89.177</f>
        <v>89.177000000000007</v>
      </c>
      <c r="F313" s="84">
        <f>240.302-40-60-100</f>
        <v>40.301999999999992</v>
      </c>
      <c r="G313" s="87">
        <v>40</v>
      </c>
      <c r="H313" s="84">
        <f>60+100</f>
        <v>160</v>
      </c>
      <c r="I313" s="84">
        <f t="shared" si="49"/>
        <v>0</v>
      </c>
      <c r="J313" s="87">
        <v>100</v>
      </c>
      <c r="K313" s="87">
        <v>300</v>
      </c>
      <c r="L313" s="84">
        <f t="shared" si="43"/>
        <v>1150</v>
      </c>
      <c r="M313" s="95">
        <v>600</v>
      </c>
      <c r="N313" s="84">
        <f>100</f>
        <v>100</v>
      </c>
      <c r="O313" s="87">
        <v>240</v>
      </c>
      <c r="P313" s="87">
        <v>40</v>
      </c>
      <c r="Q313" s="87">
        <f t="shared" si="44"/>
        <v>315</v>
      </c>
      <c r="R313" s="87">
        <f t="shared" si="45"/>
        <v>100</v>
      </c>
      <c r="S313" s="84">
        <f t="shared" si="46"/>
        <v>695</v>
      </c>
      <c r="T313" s="84">
        <f>50</f>
        <v>50</v>
      </c>
      <c r="U313" s="85"/>
      <c r="V313" s="85"/>
      <c r="W313" s="85"/>
      <c r="X313" s="85"/>
      <c r="Y313" s="85"/>
      <c r="Z313" s="85"/>
      <c r="AA313" s="85"/>
      <c r="AB313" s="85"/>
      <c r="AC313" s="85"/>
      <c r="AD313" s="85"/>
    </row>
    <row r="314" spans="1:30" ht="15.75" x14ac:dyDescent="0.25">
      <c r="A314" s="14">
        <v>50495</v>
      </c>
      <c r="B314" s="97">
        <v>31</v>
      </c>
      <c r="C314" s="84">
        <f>122.58</f>
        <v>122.58</v>
      </c>
      <c r="D314" s="84">
        <f>297.941</f>
        <v>297.94099999999997</v>
      </c>
      <c r="E314" s="93">
        <f>89.177</f>
        <v>89.177000000000007</v>
      </c>
      <c r="F314" s="84">
        <f>240.302-40-60-100</f>
        <v>40.301999999999992</v>
      </c>
      <c r="G314" s="87">
        <v>40</v>
      </c>
      <c r="H314" s="84">
        <f>60+100</f>
        <v>160</v>
      </c>
      <c r="I314" s="84">
        <f t="shared" si="49"/>
        <v>0</v>
      </c>
      <c r="J314" s="87">
        <v>100</v>
      </c>
      <c r="K314" s="87">
        <v>300</v>
      </c>
      <c r="L314" s="84">
        <f t="shared" si="43"/>
        <v>1150</v>
      </c>
      <c r="M314" s="95">
        <v>600</v>
      </c>
      <c r="N314" s="84">
        <f>100</f>
        <v>100</v>
      </c>
      <c r="O314" s="87">
        <v>240</v>
      </c>
      <c r="P314" s="87">
        <v>40</v>
      </c>
      <c r="Q314" s="87">
        <f t="shared" si="44"/>
        <v>315</v>
      </c>
      <c r="R314" s="87">
        <f t="shared" si="45"/>
        <v>100</v>
      </c>
      <c r="S314" s="84">
        <f t="shared" si="46"/>
        <v>695</v>
      </c>
      <c r="T314" s="84">
        <f>50</f>
        <v>50</v>
      </c>
      <c r="U314" s="85"/>
      <c r="V314" s="85"/>
      <c r="W314" s="85"/>
      <c r="X314" s="85"/>
      <c r="Y314" s="85"/>
      <c r="Z314" s="85"/>
      <c r="AA314" s="85"/>
      <c r="AB314" s="85"/>
      <c r="AC314" s="85"/>
      <c r="AD314" s="85"/>
    </row>
    <row r="315" spans="1:30" ht="15.75" x14ac:dyDescent="0.25">
      <c r="A315" s="14">
        <v>50525</v>
      </c>
      <c r="B315" s="97">
        <v>30</v>
      </c>
      <c r="C315" s="84">
        <f>141.293</f>
        <v>141.29300000000001</v>
      </c>
      <c r="D315" s="84">
        <f>267.993</f>
        <v>267.99299999999999</v>
      </c>
      <c r="E315" s="93">
        <f>115.016</f>
        <v>115.01600000000001</v>
      </c>
      <c r="F315" s="84">
        <f>314.698-40-25-60-100</f>
        <v>89.697999999999979</v>
      </c>
      <c r="G315" s="87">
        <v>40</v>
      </c>
      <c r="H315" s="84">
        <f t="shared" ref="H315:H321" si="50">25+60+100</f>
        <v>185</v>
      </c>
      <c r="I315" s="84">
        <f t="shared" si="49"/>
        <v>0</v>
      </c>
      <c r="J315" s="87">
        <v>100</v>
      </c>
      <c r="K315" s="87">
        <v>300</v>
      </c>
      <c r="L315" s="84">
        <f t="shared" si="43"/>
        <v>1239</v>
      </c>
      <c r="M315" s="95">
        <v>600</v>
      </c>
      <c r="N315" s="84">
        <f>100</f>
        <v>100</v>
      </c>
      <c r="O315" s="87">
        <v>240</v>
      </c>
      <c r="P315" s="87">
        <v>160</v>
      </c>
      <c r="Q315" s="87">
        <f t="shared" si="44"/>
        <v>195</v>
      </c>
      <c r="R315" s="87">
        <f t="shared" si="45"/>
        <v>100</v>
      </c>
      <c r="S315" s="84">
        <f t="shared" si="46"/>
        <v>695</v>
      </c>
      <c r="T315" s="84">
        <f>50</f>
        <v>50</v>
      </c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</row>
    <row r="316" spans="1:30" ht="15.75" x14ac:dyDescent="0.25">
      <c r="A316" s="14">
        <v>50556</v>
      </c>
      <c r="B316" s="97">
        <v>31</v>
      </c>
      <c r="C316" s="84">
        <f>194.205</f>
        <v>194.20500000000001</v>
      </c>
      <c r="D316" s="84">
        <f>267.466</f>
        <v>267.46600000000001</v>
      </c>
      <c r="E316" s="93">
        <f>133.845</f>
        <v>133.845</v>
      </c>
      <c r="F316" s="84">
        <f>278.484-40-25-60-100</f>
        <v>53.48399999999998</v>
      </c>
      <c r="G316" s="87">
        <v>40</v>
      </c>
      <c r="H316" s="84">
        <f t="shared" si="50"/>
        <v>185</v>
      </c>
      <c r="I316" s="84">
        <f t="shared" si="49"/>
        <v>0</v>
      </c>
      <c r="J316" s="87">
        <v>100</v>
      </c>
      <c r="K316" s="87">
        <v>300</v>
      </c>
      <c r="L316" s="84">
        <f t="shared" si="43"/>
        <v>1274</v>
      </c>
      <c r="M316" s="95">
        <v>600</v>
      </c>
      <c r="N316" s="84">
        <f>75</f>
        <v>75</v>
      </c>
      <c r="O316" s="87">
        <v>240</v>
      </c>
      <c r="P316" s="87">
        <v>160</v>
      </c>
      <c r="Q316" s="87">
        <f t="shared" si="44"/>
        <v>195</v>
      </c>
      <c r="R316" s="87">
        <f t="shared" si="45"/>
        <v>100</v>
      </c>
      <c r="S316" s="84">
        <f t="shared" si="46"/>
        <v>695</v>
      </c>
      <c r="T316" s="84">
        <f>50</f>
        <v>50</v>
      </c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</row>
    <row r="317" spans="1:30" ht="15.75" x14ac:dyDescent="0.25">
      <c r="A317" s="14">
        <v>50586</v>
      </c>
      <c r="B317" s="97">
        <v>30</v>
      </c>
      <c r="C317" s="84">
        <f>194.205</f>
        <v>194.20500000000001</v>
      </c>
      <c r="D317" s="84">
        <f>267.466</f>
        <v>267.46600000000001</v>
      </c>
      <c r="E317" s="93">
        <f>133.845</f>
        <v>133.845</v>
      </c>
      <c r="F317" s="84">
        <f>278.484-40-25-60-100</f>
        <v>53.48399999999998</v>
      </c>
      <c r="G317" s="87">
        <v>40</v>
      </c>
      <c r="H317" s="84">
        <f t="shared" si="50"/>
        <v>185</v>
      </c>
      <c r="I317" s="84">
        <f t="shared" si="49"/>
        <v>0</v>
      </c>
      <c r="J317" s="87">
        <v>100</v>
      </c>
      <c r="K317" s="87">
        <v>300</v>
      </c>
      <c r="L317" s="84">
        <f t="shared" si="43"/>
        <v>1274</v>
      </c>
      <c r="M317" s="95">
        <v>600</v>
      </c>
      <c r="N317" s="84">
        <f>30</f>
        <v>30</v>
      </c>
      <c r="O317" s="87">
        <v>240</v>
      </c>
      <c r="P317" s="87">
        <v>160</v>
      </c>
      <c r="Q317" s="87">
        <f t="shared" si="44"/>
        <v>195</v>
      </c>
      <c r="R317" s="87">
        <f t="shared" si="45"/>
        <v>100</v>
      </c>
      <c r="S317" s="84">
        <f t="shared" si="46"/>
        <v>695</v>
      </c>
      <c r="T317" s="84">
        <f>50</f>
        <v>50</v>
      </c>
      <c r="U317" s="85"/>
      <c r="V317" s="85"/>
      <c r="W317" s="85"/>
      <c r="X317" s="85"/>
      <c r="Y317" s="85"/>
      <c r="Z317" s="85"/>
      <c r="AA317" s="85"/>
      <c r="AB317" s="85"/>
      <c r="AC317" s="85"/>
      <c r="AD317" s="85"/>
    </row>
    <row r="318" spans="1:30" ht="15.75" x14ac:dyDescent="0.25">
      <c r="A318" s="14">
        <v>50617</v>
      </c>
      <c r="B318" s="97">
        <v>31</v>
      </c>
      <c r="C318" s="84">
        <f>194.205</f>
        <v>194.20500000000001</v>
      </c>
      <c r="D318" s="84">
        <f>267.466</f>
        <v>267.46600000000001</v>
      </c>
      <c r="E318" s="93">
        <f>133.845</f>
        <v>133.845</v>
      </c>
      <c r="F318" s="84">
        <f>278.484-40-25-60-100</f>
        <v>53.48399999999998</v>
      </c>
      <c r="G318" s="87">
        <v>40</v>
      </c>
      <c r="H318" s="84">
        <f t="shared" si="50"/>
        <v>185</v>
      </c>
      <c r="I318" s="84">
        <f t="shared" si="49"/>
        <v>0</v>
      </c>
      <c r="J318" s="87">
        <v>100</v>
      </c>
      <c r="K318" s="87">
        <v>300</v>
      </c>
      <c r="L318" s="84">
        <f t="shared" si="43"/>
        <v>1274</v>
      </c>
      <c r="M318" s="95">
        <v>600</v>
      </c>
      <c r="N318" s="84">
        <f>30</f>
        <v>30</v>
      </c>
      <c r="O318" s="87">
        <v>240</v>
      </c>
      <c r="P318" s="87">
        <v>160</v>
      </c>
      <c r="Q318" s="87">
        <f t="shared" si="44"/>
        <v>195</v>
      </c>
      <c r="R318" s="87">
        <f t="shared" si="45"/>
        <v>100</v>
      </c>
      <c r="S318" s="84">
        <f t="shared" si="46"/>
        <v>695</v>
      </c>
      <c r="T318" s="84">
        <f>0</f>
        <v>0</v>
      </c>
      <c r="U318" s="85"/>
      <c r="V318" s="85"/>
      <c r="W318" s="85"/>
      <c r="X318" s="85"/>
      <c r="Y318" s="85"/>
      <c r="Z318" s="85"/>
      <c r="AA318" s="85"/>
      <c r="AB318" s="85"/>
      <c r="AC318" s="85"/>
      <c r="AD318" s="85"/>
    </row>
    <row r="319" spans="1:30" ht="15.75" x14ac:dyDescent="0.25">
      <c r="A319" s="14">
        <v>50648</v>
      </c>
      <c r="B319" s="97">
        <v>31</v>
      </c>
      <c r="C319" s="84">
        <f>194.205</f>
        <v>194.20500000000001</v>
      </c>
      <c r="D319" s="84">
        <f>267.466</f>
        <v>267.46600000000001</v>
      </c>
      <c r="E319" s="93">
        <f>133.845</f>
        <v>133.845</v>
      </c>
      <c r="F319" s="84">
        <f>278.484-40-25-60-100</f>
        <v>53.48399999999998</v>
      </c>
      <c r="G319" s="87">
        <v>40</v>
      </c>
      <c r="H319" s="84">
        <f t="shared" si="50"/>
        <v>185</v>
      </c>
      <c r="I319" s="84">
        <f t="shared" si="49"/>
        <v>0</v>
      </c>
      <c r="J319" s="87">
        <v>100</v>
      </c>
      <c r="K319" s="87">
        <v>300</v>
      </c>
      <c r="L319" s="84">
        <f t="shared" si="43"/>
        <v>1274</v>
      </c>
      <c r="M319" s="95">
        <v>600</v>
      </c>
      <c r="N319" s="84">
        <f>30</f>
        <v>30</v>
      </c>
      <c r="O319" s="87">
        <v>240</v>
      </c>
      <c r="P319" s="87">
        <v>160</v>
      </c>
      <c r="Q319" s="87">
        <f t="shared" si="44"/>
        <v>195</v>
      </c>
      <c r="R319" s="87">
        <f t="shared" si="45"/>
        <v>100</v>
      </c>
      <c r="S319" s="84">
        <f t="shared" si="46"/>
        <v>695</v>
      </c>
      <c r="T319" s="84">
        <f>0</f>
        <v>0</v>
      </c>
      <c r="U319" s="85"/>
      <c r="V319" s="85"/>
      <c r="W319" s="85"/>
      <c r="X319" s="85"/>
      <c r="Y319" s="85"/>
      <c r="Z319" s="85"/>
      <c r="AA319" s="85"/>
      <c r="AB319" s="85"/>
      <c r="AC319" s="85"/>
      <c r="AD319" s="85"/>
    </row>
    <row r="320" spans="1:30" ht="15.75" x14ac:dyDescent="0.25">
      <c r="A320" s="14">
        <v>50678</v>
      </c>
      <c r="B320" s="97">
        <v>30</v>
      </c>
      <c r="C320" s="84">
        <f>194.205</f>
        <v>194.20500000000001</v>
      </c>
      <c r="D320" s="84">
        <f>267.466</f>
        <v>267.46600000000001</v>
      </c>
      <c r="E320" s="93">
        <f>133.845</f>
        <v>133.845</v>
      </c>
      <c r="F320" s="84">
        <f>278.484-40-25-60-100</f>
        <v>53.48399999999998</v>
      </c>
      <c r="G320" s="87">
        <v>40</v>
      </c>
      <c r="H320" s="84">
        <f t="shared" si="50"/>
        <v>185</v>
      </c>
      <c r="I320" s="84">
        <f t="shared" si="49"/>
        <v>0</v>
      </c>
      <c r="J320" s="87">
        <v>100</v>
      </c>
      <c r="K320" s="87">
        <v>300</v>
      </c>
      <c r="L320" s="84">
        <f t="shared" si="43"/>
        <v>1274</v>
      </c>
      <c r="M320" s="95">
        <v>600</v>
      </c>
      <c r="N320" s="84">
        <f>30</f>
        <v>30</v>
      </c>
      <c r="O320" s="87">
        <v>240</v>
      </c>
      <c r="P320" s="87">
        <v>160</v>
      </c>
      <c r="Q320" s="87">
        <f t="shared" si="44"/>
        <v>195</v>
      </c>
      <c r="R320" s="87">
        <f t="shared" si="45"/>
        <v>100</v>
      </c>
      <c r="S320" s="84">
        <f t="shared" si="46"/>
        <v>695</v>
      </c>
      <c r="T320" s="84">
        <f>0</f>
        <v>0</v>
      </c>
      <c r="U320" s="85"/>
      <c r="V320" s="85"/>
      <c r="W320" s="85"/>
      <c r="X320" s="85"/>
      <c r="Y320" s="85"/>
      <c r="Z320" s="85"/>
      <c r="AA320" s="85"/>
      <c r="AB320" s="85"/>
      <c r="AC320" s="85"/>
      <c r="AD320" s="85"/>
    </row>
    <row r="321" spans="1:30" ht="15.75" x14ac:dyDescent="0.25">
      <c r="A321" s="14">
        <v>50709</v>
      </c>
      <c r="B321" s="97">
        <v>31</v>
      </c>
      <c r="C321" s="84">
        <f>131.881</f>
        <v>131.881</v>
      </c>
      <c r="D321" s="84">
        <f>277.167</f>
        <v>277.16699999999997</v>
      </c>
      <c r="E321" s="93">
        <f>79.08</f>
        <v>79.08</v>
      </c>
      <c r="F321" s="84">
        <f>350.872-40-25-60-100</f>
        <v>125.87200000000001</v>
      </c>
      <c r="G321" s="87">
        <v>40</v>
      </c>
      <c r="H321" s="84">
        <f t="shared" si="50"/>
        <v>185</v>
      </c>
      <c r="I321" s="84">
        <f t="shared" si="49"/>
        <v>0</v>
      </c>
      <c r="J321" s="87">
        <v>100</v>
      </c>
      <c r="K321" s="87">
        <v>300</v>
      </c>
      <c r="L321" s="84">
        <f t="shared" si="43"/>
        <v>1239</v>
      </c>
      <c r="M321" s="95">
        <v>600</v>
      </c>
      <c r="N321" s="84">
        <f>75</f>
        <v>75</v>
      </c>
      <c r="O321" s="87">
        <v>240</v>
      </c>
      <c r="P321" s="87">
        <v>160</v>
      </c>
      <c r="Q321" s="87">
        <f t="shared" si="44"/>
        <v>195</v>
      </c>
      <c r="R321" s="87">
        <f t="shared" si="45"/>
        <v>100</v>
      </c>
      <c r="S321" s="84">
        <f t="shared" si="46"/>
        <v>695</v>
      </c>
      <c r="T321" s="84">
        <f>0</f>
        <v>0</v>
      </c>
      <c r="U321" s="85"/>
      <c r="V321" s="85"/>
      <c r="W321" s="85"/>
      <c r="X321" s="85"/>
      <c r="Y321" s="85"/>
      <c r="Z321" s="85"/>
      <c r="AA321" s="85"/>
      <c r="AB321" s="85"/>
      <c r="AC321" s="85"/>
      <c r="AD321" s="85"/>
    </row>
    <row r="322" spans="1:30" ht="15.75" x14ac:dyDescent="0.25">
      <c r="A322" s="14">
        <v>50739</v>
      </c>
      <c r="B322" s="97">
        <v>30</v>
      </c>
      <c r="C322" s="84">
        <f>122.58</f>
        <v>122.58</v>
      </c>
      <c r="D322" s="84">
        <f>297.941</f>
        <v>297.94099999999997</v>
      </c>
      <c r="E322" s="93">
        <f>89.177</f>
        <v>89.177000000000007</v>
      </c>
      <c r="F322" s="84">
        <f>240.302-40-60-100</f>
        <v>40.301999999999992</v>
      </c>
      <c r="G322" s="87">
        <v>40</v>
      </c>
      <c r="H322" s="84">
        <f>60+100</f>
        <v>160</v>
      </c>
      <c r="I322" s="84">
        <f t="shared" si="49"/>
        <v>0</v>
      </c>
      <c r="J322" s="87">
        <v>100</v>
      </c>
      <c r="K322" s="87">
        <v>300</v>
      </c>
      <c r="L322" s="84">
        <f t="shared" si="43"/>
        <v>1150</v>
      </c>
      <c r="M322" s="95">
        <v>600</v>
      </c>
      <c r="N322" s="84">
        <f>100</f>
        <v>100</v>
      </c>
      <c r="O322" s="87">
        <v>240</v>
      </c>
      <c r="P322" s="87">
        <v>40</v>
      </c>
      <c r="Q322" s="87">
        <f t="shared" si="44"/>
        <v>315</v>
      </c>
      <c r="R322" s="87">
        <f t="shared" si="45"/>
        <v>100</v>
      </c>
      <c r="S322" s="84">
        <f t="shared" si="46"/>
        <v>695</v>
      </c>
      <c r="T322" s="84">
        <f>50</f>
        <v>50</v>
      </c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</row>
    <row r="323" spans="1:30" ht="15.75" x14ac:dyDescent="0.25">
      <c r="A323" s="14">
        <v>50770</v>
      </c>
      <c r="B323" s="97">
        <v>31</v>
      </c>
      <c r="C323" s="84">
        <f>122.58</f>
        <v>122.58</v>
      </c>
      <c r="D323" s="84">
        <f>297.941</f>
        <v>297.94099999999997</v>
      </c>
      <c r="E323" s="93">
        <f>89.177</f>
        <v>89.177000000000007</v>
      </c>
      <c r="F323" s="84">
        <f>240.302-40-60-100</f>
        <v>40.301999999999992</v>
      </c>
      <c r="G323" s="87">
        <v>40</v>
      </c>
      <c r="H323" s="84">
        <f>60+100</f>
        <v>160</v>
      </c>
      <c r="I323" s="84">
        <f t="shared" si="49"/>
        <v>0</v>
      </c>
      <c r="J323" s="87">
        <v>100</v>
      </c>
      <c r="K323" s="87">
        <v>300</v>
      </c>
      <c r="L323" s="84">
        <f t="shared" si="43"/>
        <v>1150</v>
      </c>
      <c r="M323" s="95">
        <v>600</v>
      </c>
      <c r="N323" s="84">
        <f>100</f>
        <v>100</v>
      </c>
      <c r="O323" s="87">
        <v>240</v>
      </c>
      <c r="P323" s="87">
        <v>40</v>
      </c>
      <c r="Q323" s="87">
        <f t="shared" si="44"/>
        <v>315</v>
      </c>
      <c r="R323" s="87">
        <f t="shared" si="45"/>
        <v>100</v>
      </c>
      <c r="S323" s="84">
        <f t="shared" si="46"/>
        <v>695</v>
      </c>
      <c r="T323" s="84">
        <f>50</f>
        <v>50</v>
      </c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</row>
    <row r="324" spans="1:30" ht="15.75" x14ac:dyDescent="0.25">
      <c r="A324" s="14">
        <v>50801</v>
      </c>
      <c r="B324" s="97">
        <v>31</v>
      </c>
      <c r="C324" s="84">
        <f>122.58</f>
        <v>122.58</v>
      </c>
      <c r="D324" s="84">
        <f>297.941</f>
        <v>297.94099999999997</v>
      </c>
      <c r="E324" s="93">
        <f>89.177</f>
        <v>89.177000000000007</v>
      </c>
      <c r="F324" s="84">
        <f>240.302-40-60-100</f>
        <v>40.301999999999992</v>
      </c>
      <c r="G324" s="87">
        <v>40</v>
      </c>
      <c r="H324" s="84">
        <f>60+100</f>
        <v>160</v>
      </c>
      <c r="I324" s="84">
        <f t="shared" si="49"/>
        <v>0</v>
      </c>
      <c r="J324" s="87">
        <v>100</v>
      </c>
      <c r="K324" s="87">
        <v>300</v>
      </c>
      <c r="L324" s="84">
        <f t="shared" si="43"/>
        <v>1150</v>
      </c>
      <c r="M324" s="95">
        <v>600</v>
      </c>
      <c r="N324" s="84">
        <f>100</f>
        <v>100</v>
      </c>
      <c r="O324" s="87">
        <v>240</v>
      </c>
      <c r="P324" s="87">
        <v>40</v>
      </c>
      <c r="Q324" s="87">
        <f t="shared" si="44"/>
        <v>315</v>
      </c>
      <c r="R324" s="87">
        <f t="shared" si="45"/>
        <v>100</v>
      </c>
      <c r="S324" s="84">
        <f t="shared" si="46"/>
        <v>695</v>
      </c>
      <c r="T324" s="84">
        <f>50</f>
        <v>50</v>
      </c>
      <c r="U324" s="85"/>
      <c r="V324" s="85"/>
      <c r="W324" s="85"/>
      <c r="X324" s="85"/>
      <c r="Y324" s="85"/>
      <c r="Z324" s="85"/>
      <c r="AA324" s="85"/>
      <c r="AB324" s="85"/>
      <c r="AC324" s="85"/>
      <c r="AD324" s="85"/>
    </row>
    <row r="325" spans="1:30" ht="15.75" x14ac:dyDescent="0.25">
      <c r="A325" s="14">
        <v>50829</v>
      </c>
      <c r="B325" s="97">
        <v>28</v>
      </c>
      <c r="C325" s="84">
        <f>122.58</f>
        <v>122.58</v>
      </c>
      <c r="D325" s="84">
        <f>297.941</f>
        <v>297.94099999999997</v>
      </c>
      <c r="E325" s="93">
        <f>89.177</f>
        <v>89.177000000000007</v>
      </c>
      <c r="F325" s="84">
        <f>240.302-40-60-100</f>
        <v>40.301999999999992</v>
      </c>
      <c r="G325" s="87">
        <v>40</v>
      </c>
      <c r="H325" s="84">
        <f>60+100</f>
        <v>160</v>
      </c>
      <c r="I325" s="84">
        <f t="shared" si="49"/>
        <v>0</v>
      </c>
      <c r="J325" s="87">
        <v>100</v>
      </c>
      <c r="K325" s="87">
        <v>300</v>
      </c>
      <c r="L325" s="84">
        <f t="shared" si="43"/>
        <v>1150</v>
      </c>
      <c r="M325" s="95">
        <v>600</v>
      </c>
      <c r="N325" s="84">
        <f>100</f>
        <v>100</v>
      </c>
      <c r="O325" s="87">
        <v>240</v>
      </c>
      <c r="P325" s="87">
        <v>40</v>
      </c>
      <c r="Q325" s="87">
        <f t="shared" si="44"/>
        <v>315</v>
      </c>
      <c r="R325" s="87">
        <f t="shared" si="45"/>
        <v>100</v>
      </c>
      <c r="S325" s="84">
        <f t="shared" si="46"/>
        <v>695</v>
      </c>
      <c r="T325" s="84">
        <f>50</f>
        <v>50</v>
      </c>
      <c r="U325" s="85"/>
      <c r="V325" s="85"/>
      <c r="W325" s="85"/>
      <c r="X325" s="85"/>
      <c r="Y325" s="85"/>
      <c r="Z325" s="85"/>
      <c r="AA325" s="85"/>
      <c r="AB325" s="85"/>
      <c r="AC325" s="85"/>
      <c r="AD325" s="85"/>
    </row>
    <row r="326" spans="1:30" ht="15.75" x14ac:dyDescent="0.25">
      <c r="A326" s="14">
        <v>50860</v>
      </c>
      <c r="B326" s="97">
        <v>31</v>
      </c>
      <c r="C326" s="84">
        <f>122.58</f>
        <v>122.58</v>
      </c>
      <c r="D326" s="84">
        <f>297.941</f>
        <v>297.94099999999997</v>
      </c>
      <c r="E326" s="93">
        <f>89.177</f>
        <v>89.177000000000007</v>
      </c>
      <c r="F326" s="84">
        <f>240.302-40-60-100</f>
        <v>40.301999999999992</v>
      </c>
      <c r="G326" s="87">
        <v>40</v>
      </c>
      <c r="H326" s="84">
        <f>60+100</f>
        <v>160</v>
      </c>
      <c r="I326" s="84">
        <f t="shared" si="49"/>
        <v>0</v>
      </c>
      <c r="J326" s="87">
        <v>100</v>
      </c>
      <c r="K326" s="87">
        <v>300</v>
      </c>
      <c r="L326" s="84">
        <f t="shared" si="43"/>
        <v>1150</v>
      </c>
      <c r="M326" s="95">
        <v>600</v>
      </c>
      <c r="N326" s="84">
        <f>100</f>
        <v>100</v>
      </c>
      <c r="O326" s="87">
        <v>240</v>
      </c>
      <c r="P326" s="87">
        <v>40</v>
      </c>
      <c r="Q326" s="87">
        <f t="shared" si="44"/>
        <v>315</v>
      </c>
      <c r="R326" s="87">
        <f t="shared" si="45"/>
        <v>100</v>
      </c>
      <c r="S326" s="84">
        <f t="shared" si="46"/>
        <v>695</v>
      </c>
      <c r="T326" s="84">
        <f>50</f>
        <v>50</v>
      </c>
      <c r="U326" s="85"/>
      <c r="V326" s="85"/>
      <c r="W326" s="85"/>
      <c r="X326" s="85"/>
      <c r="Y326" s="85"/>
      <c r="Z326" s="85"/>
      <c r="AA326" s="85"/>
      <c r="AB326" s="85"/>
      <c r="AC326" s="85"/>
      <c r="AD326" s="85"/>
    </row>
    <row r="327" spans="1:30" ht="15.75" x14ac:dyDescent="0.25">
      <c r="A327" s="14">
        <v>50890</v>
      </c>
      <c r="B327" s="97">
        <v>30</v>
      </c>
      <c r="C327" s="84">
        <f>141.293</f>
        <v>141.29300000000001</v>
      </c>
      <c r="D327" s="84">
        <f>267.993</f>
        <v>267.99299999999999</v>
      </c>
      <c r="E327" s="93">
        <f>115.016</f>
        <v>115.01600000000001</v>
      </c>
      <c r="F327" s="84">
        <f>314.698-40-25-60-100</f>
        <v>89.697999999999979</v>
      </c>
      <c r="G327" s="87">
        <v>40</v>
      </c>
      <c r="H327" s="84">
        <f t="shared" ref="H327:H333" si="51">25+60+100</f>
        <v>185</v>
      </c>
      <c r="I327" s="84">
        <f t="shared" si="49"/>
        <v>0</v>
      </c>
      <c r="J327" s="87">
        <v>100</v>
      </c>
      <c r="K327" s="87">
        <v>300</v>
      </c>
      <c r="L327" s="84">
        <f t="shared" si="43"/>
        <v>1239</v>
      </c>
      <c r="M327" s="95">
        <v>600</v>
      </c>
      <c r="N327" s="84">
        <f>100</f>
        <v>100</v>
      </c>
      <c r="O327" s="87">
        <v>240</v>
      </c>
      <c r="P327" s="87">
        <v>160</v>
      </c>
      <c r="Q327" s="87">
        <f t="shared" si="44"/>
        <v>195</v>
      </c>
      <c r="R327" s="87">
        <f t="shared" si="45"/>
        <v>100</v>
      </c>
      <c r="S327" s="84">
        <f t="shared" si="46"/>
        <v>695</v>
      </c>
      <c r="T327" s="84">
        <f>50</f>
        <v>50</v>
      </c>
      <c r="U327" s="85"/>
      <c r="V327" s="85"/>
      <c r="W327" s="85"/>
      <c r="X327" s="85"/>
      <c r="Y327" s="85"/>
      <c r="Z327" s="85"/>
      <c r="AA327" s="85"/>
      <c r="AB327" s="85"/>
      <c r="AC327" s="85"/>
      <c r="AD327" s="85"/>
    </row>
    <row r="328" spans="1:30" ht="15.75" x14ac:dyDescent="0.25">
      <c r="A328" s="14">
        <v>50921</v>
      </c>
      <c r="B328" s="97">
        <v>31</v>
      </c>
      <c r="C328" s="84">
        <f>194.205</f>
        <v>194.20500000000001</v>
      </c>
      <c r="D328" s="84">
        <f>267.466</f>
        <v>267.46600000000001</v>
      </c>
      <c r="E328" s="93">
        <f>133.845</f>
        <v>133.845</v>
      </c>
      <c r="F328" s="84">
        <f>278.484-40-25-60-100</f>
        <v>53.48399999999998</v>
      </c>
      <c r="G328" s="87">
        <v>40</v>
      </c>
      <c r="H328" s="84">
        <f t="shared" si="51"/>
        <v>185</v>
      </c>
      <c r="I328" s="84">
        <f t="shared" si="49"/>
        <v>0</v>
      </c>
      <c r="J328" s="87">
        <v>100</v>
      </c>
      <c r="K328" s="87">
        <v>300</v>
      </c>
      <c r="L328" s="84">
        <f t="shared" si="43"/>
        <v>1274</v>
      </c>
      <c r="M328" s="95">
        <v>600</v>
      </c>
      <c r="N328" s="84">
        <f>75</f>
        <v>75</v>
      </c>
      <c r="O328" s="87">
        <v>240</v>
      </c>
      <c r="P328" s="87">
        <v>160</v>
      </c>
      <c r="Q328" s="87">
        <f t="shared" si="44"/>
        <v>195</v>
      </c>
      <c r="R328" s="87">
        <f t="shared" si="45"/>
        <v>100</v>
      </c>
      <c r="S328" s="84">
        <f t="shared" si="46"/>
        <v>695</v>
      </c>
      <c r="T328" s="84">
        <f>50</f>
        <v>50</v>
      </c>
      <c r="U328" s="85"/>
      <c r="V328" s="85"/>
      <c r="W328" s="85"/>
      <c r="X328" s="85"/>
      <c r="Y328" s="85"/>
      <c r="Z328" s="85"/>
      <c r="AA328" s="85"/>
      <c r="AB328" s="85"/>
      <c r="AC328" s="85"/>
      <c r="AD328" s="85"/>
    </row>
    <row r="329" spans="1:30" ht="15.75" x14ac:dyDescent="0.25">
      <c r="A329" s="14">
        <v>50951</v>
      </c>
      <c r="B329" s="97">
        <v>30</v>
      </c>
      <c r="C329" s="84">
        <f>194.205</f>
        <v>194.20500000000001</v>
      </c>
      <c r="D329" s="84">
        <f>267.466</f>
        <v>267.46600000000001</v>
      </c>
      <c r="E329" s="93">
        <f>133.845</f>
        <v>133.845</v>
      </c>
      <c r="F329" s="84">
        <f>278.484-40-25-60-100</f>
        <v>53.48399999999998</v>
      </c>
      <c r="G329" s="87">
        <v>40</v>
      </c>
      <c r="H329" s="84">
        <f t="shared" si="51"/>
        <v>185</v>
      </c>
      <c r="I329" s="84">
        <f t="shared" si="49"/>
        <v>0</v>
      </c>
      <c r="J329" s="87">
        <v>100</v>
      </c>
      <c r="K329" s="87">
        <v>300</v>
      </c>
      <c r="L329" s="84">
        <f t="shared" si="43"/>
        <v>1274</v>
      </c>
      <c r="M329" s="95">
        <v>600</v>
      </c>
      <c r="N329" s="84">
        <f>30</f>
        <v>30</v>
      </c>
      <c r="O329" s="87">
        <v>240</v>
      </c>
      <c r="P329" s="87">
        <v>160</v>
      </c>
      <c r="Q329" s="87">
        <f t="shared" si="44"/>
        <v>195</v>
      </c>
      <c r="R329" s="87">
        <f t="shared" si="45"/>
        <v>100</v>
      </c>
      <c r="S329" s="84">
        <f t="shared" si="46"/>
        <v>695</v>
      </c>
      <c r="T329" s="84">
        <f>50</f>
        <v>50</v>
      </c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</row>
    <row r="330" spans="1:30" ht="15.75" x14ac:dyDescent="0.25">
      <c r="A330" s="14">
        <v>50982</v>
      </c>
      <c r="B330" s="97">
        <v>31</v>
      </c>
      <c r="C330" s="84">
        <f>194.205</f>
        <v>194.20500000000001</v>
      </c>
      <c r="D330" s="84">
        <f>267.466</f>
        <v>267.46600000000001</v>
      </c>
      <c r="E330" s="93">
        <f>133.845</f>
        <v>133.845</v>
      </c>
      <c r="F330" s="84">
        <f>278.484-40-25-60-100</f>
        <v>53.48399999999998</v>
      </c>
      <c r="G330" s="87">
        <v>40</v>
      </c>
      <c r="H330" s="84">
        <f t="shared" si="51"/>
        <v>185</v>
      </c>
      <c r="I330" s="84">
        <f t="shared" si="49"/>
        <v>0</v>
      </c>
      <c r="J330" s="87">
        <v>100</v>
      </c>
      <c r="K330" s="87">
        <v>300</v>
      </c>
      <c r="L330" s="84">
        <f t="shared" si="43"/>
        <v>1274</v>
      </c>
      <c r="M330" s="95">
        <v>600</v>
      </c>
      <c r="N330" s="84">
        <f>30</f>
        <v>30</v>
      </c>
      <c r="O330" s="87">
        <v>240</v>
      </c>
      <c r="P330" s="87">
        <v>160</v>
      </c>
      <c r="Q330" s="87">
        <f t="shared" si="44"/>
        <v>195</v>
      </c>
      <c r="R330" s="87">
        <f t="shared" si="45"/>
        <v>100</v>
      </c>
      <c r="S330" s="84">
        <f t="shared" si="46"/>
        <v>695</v>
      </c>
      <c r="T330" s="84">
        <f>0</f>
        <v>0</v>
      </c>
      <c r="U330" s="85"/>
      <c r="V330" s="85"/>
      <c r="W330" s="85"/>
      <c r="X330" s="85"/>
      <c r="Y330" s="85"/>
      <c r="Z330" s="85"/>
      <c r="AA330" s="85"/>
      <c r="AB330" s="85"/>
      <c r="AC330" s="85"/>
      <c r="AD330" s="85"/>
    </row>
    <row r="331" spans="1:30" ht="15.75" x14ac:dyDescent="0.25">
      <c r="A331" s="14">
        <v>51013</v>
      </c>
      <c r="B331" s="97">
        <v>31</v>
      </c>
      <c r="C331" s="84">
        <f>194.205</f>
        <v>194.20500000000001</v>
      </c>
      <c r="D331" s="84">
        <f>267.466</f>
        <v>267.46600000000001</v>
      </c>
      <c r="E331" s="93">
        <f>133.845</f>
        <v>133.845</v>
      </c>
      <c r="F331" s="84">
        <f>278.484-40-25-60-100</f>
        <v>53.48399999999998</v>
      </c>
      <c r="G331" s="87">
        <v>40</v>
      </c>
      <c r="H331" s="84">
        <f t="shared" si="51"/>
        <v>185</v>
      </c>
      <c r="I331" s="84">
        <f t="shared" si="49"/>
        <v>0</v>
      </c>
      <c r="J331" s="87">
        <v>100</v>
      </c>
      <c r="K331" s="87">
        <v>300</v>
      </c>
      <c r="L331" s="84">
        <f t="shared" si="43"/>
        <v>1274</v>
      </c>
      <c r="M331" s="95">
        <v>600</v>
      </c>
      <c r="N331" s="84">
        <f>30</f>
        <v>30</v>
      </c>
      <c r="O331" s="87">
        <v>240</v>
      </c>
      <c r="P331" s="87">
        <v>160</v>
      </c>
      <c r="Q331" s="87">
        <f t="shared" si="44"/>
        <v>195</v>
      </c>
      <c r="R331" s="87">
        <f t="shared" si="45"/>
        <v>100</v>
      </c>
      <c r="S331" s="84">
        <f t="shared" si="46"/>
        <v>695</v>
      </c>
      <c r="T331" s="84">
        <f>0</f>
        <v>0</v>
      </c>
      <c r="U331" s="85"/>
      <c r="V331" s="85"/>
      <c r="W331" s="85"/>
      <c r="X331" s="85"/>
      <c r="Y331" s="85"/>
      <c r="Z331" s="85"/>
      <c r="AA331" s="85"/>
      <c r="AB331" s="85"/>
      <c r="AC331" s="85"/>
      <c r="AD331" s="85"/>
    </row>
    <row r="332" spans="1:30" ht="15.75" x14ac:dyDescent="0.25">
      <c r="A332" s="14">
        <v>51043</v>
      </c>
      <c r="B332" s="97">
        <v>30</v>
      </c>
      <c r="C332" s="84">
        <f>194.205</f>
        <v>194.20500000000001</v>
      </c>
      <c r="D332" s="84">
        <f>267.466</f>
        <v>267.46600000000001</v>
      </c>
      <c r="E332" s="93">
        <f>133.845</f>
        <v>133.845</v>
      </c>
      <c r="F332" s="84">
        <f>278.484-40-25-60-100</f>
        <v>53.48399999999998</v>
      </c>
      <c r="G332" s="87">
        <v>40</v>
      </c>
      <c r="H332" s="84">
        <f t="shared" si="51"/>
        <v>185</v>
      </c>
      <c r="I332" s="84">
        <f t="shared" si="49"/>
        <v>0</v>
      </c>
      <c r="J332" s="87">
        <v>100</v>
      </c>
      <c r="K332" s="87">
        <v>300</v>
      </c>
      <c r="L332" s="84">
        <f t="shared" si="43"/>
        <v>1274</v>
      </c>
      <c r="M332" s="95">
        <v>600</v>
      </c>
      <c r="N332" s="84">
        <f>30</f>
        <v>30</v>
      </c>
      <c r="O332" s="87">
        <v>240</v>
      </c>
      <c r="P332" s="87">
        <v>160</v>
      </c>
      <c r="Q332" s="87">
        <f t="shared" si="44"/>
        <v>195</v>
      </c>
      <c r="R332" s="87">
        <f t="shared" si="45"/>
        <v>100</v>
      </c>
      <c r="S332" s="84">
        <f t="shared" si="46"/>
        <v>695</v>
      </c>
      <c r="T332" s="84">
        <f>0</f>
        <v>0</v>
      </c>
      <c r="U332" s="85"/>
      <c r="V332" s="85"/>
      <c r="W332" s="85"/>
      <c r="X332" s="85"/>
      <c r="Y332" s="85"/>
      <c r="Z332" s="85"/>
      <c r="AA332" s="85"/>
      <c r="AB332" s="85"/>
      <c r="AC332" s="85"/>
      <c r="AD332" s="85"/>
    </row>
    <row r="333" spans="1:30" ht="15.75" x14ac:dyDescent="0.25">
      <c r="A333" s="14">
        <v>51074</v>
      </c>
      <c r="B333" s="97">
        <v>31</v>
      </c>
      <c r="C333" s="84">
        <f>131.881</f>
        <v>131.881</v>
      </c>
      <c r="D333" s="84">
        <f>277.167</f>
        <v>277.16699999999997</v>
      </c>
      <c r="E333" s="93">
        <f>79.08</f>
        <v>79.08</v>
      </c>
      <c r="F333" s="84">
        <f>350.872-40-25-60-100</f>
        <v>125.87200000000001</v>
      </c>
      <c r="G333" s="87">
        <v>40</v>
      </c>
      <c r="H333" s="84">
        <f t="shared" si="51"/>
        <v>185</v>
      </c>
      <c r="I333" s="84">
        <f t="shared" si="49"/>
        <v>0</v>
      </c>
      <c r="J333" s="87">
        <v>100</v>
      </c>
      <c r="K333" s="87">
        <v>300</v>
      </c>
      <c r="L333" s="84">
        <f t="shared" si="43"/>
        <v>1239</v>
      </c>
      <c r="M333" s="95">
        <v>600</v>
      </c>
      <c r="N333" s="84">
        <f>75</f>
        <v>75</v>
      </c>
      <c r="O333" s="87">
        <v>240</v>
      </c>
      <c r="P333" s="87">
        <v>160</v>
      </c>
      <c r="Q333" s="87">
        <f t="shared" si="44"/>
        <v>195</v>
      </c>
      <c r="R333" s="87">
        <f t="shared" si="45"/>
        <v>100</v>
      </c>
      <c r="S333" s="84">
        <f t="shared" si="46"/>
        <v>695</v>
      </c>
      <c r="T333" s="84">
        <f>0</f>
        <v>0</v>
      </c>
      <c r="U333" s="85"/>
      <c r="V333" s="85"/>
      <c r="W333" s="85"/>
      <c r="X333" s="85"/>
      <c r="Y333" s="85"/>
      <c r="Z333" s="85"/>
      <c r="AA333" s="85"/>
      <c r="AB333" s="85"/>
      <c r="AC333" s="85"/>
      <c r="AD333" s="85"/>
    </row>
    <row r="334" spans="1:30" ht="15.75" x14ac:dyDescent="0.25">
      <c r="A334" s="14">
        <v>51104</v>
      </c>
      <c r="B334" s="97">
        <v>30</v>
      </c>
      <c r="C334" s="84">
        <f>122.58</f>
        <v>122.58</v>
      </c>
      <c r="D334" s="84">
        <f>297.941</f>
        <v>297.94099999999997</v>
      </c>
      <c r="E334" s="93">
        <f>89.177</f>
        <v>89.177000000000007</v>
      </c>
      <c r="F334" s="84">
        <f>240.302-40-60-100</f>
        <v>40.301999999999992</v>
      </c>
      <c r="G334" s="87">
        <v>40</v>
      </c>
      <c r="H334" s="84">
        <f>60+100</f>
        <v>160</v>
      </c>
      <c r="I334" s="84">
        <f t="shared" si="49"/>
        <v>0</v>
      </c>
      <c r="J334" s="87">
        <v>100</v>
      </c>
      <c r="K334" s="87">
        <v>300</v>
      </c>
      <c r="L334" s="84">
        <f t="shared" si="43"/>
        <v>1150</v>
      </c>
      <c r="M334" s="95">
        <v>600</v>
      </c>
      <c r="N334" s="84">
        <f>100</f>
        <v>100</v>
      </c>
      <c r="O334" s="87">
        <v>240</v>
      </c>
      <c r="P334" s="87">
        <v>40</v>
      </c>
      <c r="Q334" s="87">
        <f t="shared" si="44"/>
        <v>315</v>
      </c>
      <c r="R334" s="87">
        <f t="shared" si="45"/>
        <v>100</v>
      </c>
      <c r="S334" s="84">
        <f t="shared" si="46"/>
        <v>695</v>
      </c>
      <c r="T334" s="84">
        <f>50</f>
        <v>50</v>
      </c>
      <c r="U334" s="85"/>
      <c r="V334" s="85"/>
      <c r="W334" s="85"/>
      <c r="X334" s="85"/>
      <c r="Y334" s="85"/>
      <c r="Z334" s="85"/>
      <c r="AA334" s="85"/>
      <c r="AB334" s="85"/>
      <c r="AC334" s="85"/>
      <c r="AD334" s="85"/>
    </row>
    <row r="335" spans="1:30" ht="15.75" x14ac:dyDescent="0.25">
      <c r="A335" s="14">
        <v>51135</v>
      </c>
      <c r="B335" s="97">
        <v>31</v>
      </c>
      <c r="C335" s="84">
        <f>122.58</f>
        <v>122.58</v>
      </c>
      <c r="D335" s="84">
        <f>297.941</f>
        <v>297.94099999999997</v>
      </c>
      <c r="E335" s="93">
        <f>89.177</f>
        <v>89.177000000000007</v>
      </c>
      <c r="F335" s="84">
        <f>240.302-40-60-100</f>
        <v>40.301999999999992</v>
      </c>
      <c r="G335" s="87">
        <v>40</v>
      </c>
      <c r="H335" s="84">
        <f>60+100</f>
        <v>160</v>
      </c>
      <c r="I335" s="84">
        <f t="shared" si="49"/>
        <v>0</v>
      </c>
      <c r="J335" s="87">
        <v>100</v>
      </c>
      <c r="K335" s="87">
        <v>300</v>
      </c>
      <c r="L335" s="84">
        <f t="shared" si="43"/>
        <v>1150</v>
      </c>
      <c r="M335" s="95">
        <v>600</v>
      </c>
      <c r="N335" s="84">
        <f>100</f>
        <v>100</v>
      </c>
      <c r="O335" s="87">
        <v>240</v>
      </c>
      <c r="P335" s="87">
        <v>40</v>
      </c>
      <c r="Q335" s="87">
        <f t="shared" si="44"/>
        <v>315</v>
      </c>
      <c r="R335" s="87">
        <f t="shared" si="45"/>
        <v>100</v>
      </c>
      <c r="S335" s="84">
        <f t="shared" si="46"/>
        <v>695</v>
      </c>
      <c r="T335" s="84">
        <f>50</f>
        <v>50</v>
      </c>
      <c r="U335" s="85"/>
      <c r="V335" s="85"/>
      <c r="W335" s="85"/>
      <c r="X335" s="85"/>
      <c r="Y335" s="85"/>
      <c r="Z335" s="85"/>
      <c r="AA335" s="85"/>
      <c r="AB335" s="85"/>
      <c r="AC335" s="85"/>
      <c r="AD335" s="85"/>
    </row>
    <row r="336" spans="1:30" ht="15.75" x14ac:dyDescent="0.25">
      <c r="A336" s="14">
        <v>51166</v>
      </c>
      <c r="B336" s="97">
        <v>31</v>
      </c>
      <c r="C336" s="84">
        <f>122.58</f>
        <v>122.58</v>
      </c>
      <c r="D336" s="84">
        <f>297.941</f>
        <v>297.94099999999997</v>
      </c>
      <c r="E336" s="93">
        <f>89.177</f>
        <v>89.177000000000007</v>
      </c>
      <c r="F336" s="84">
        <f>240.302-40-60-100</f>
        <v>40.301999999999992</v>
      </c>
      <c r="G336" s="87">
        <v>40</v>
      </c>
      <c r="H336" s="84">
        <f>60+100</f>
        <v>160</v>
      </c>
      <c r="I336" s="84">
        <f t="shared" si="49"/>
        <v>0</v>
      </c>
      <c r="J336" s="87">
        <v>100</v>
      </c>
      <c r="K336" s="87">
        <v>300</v>
      </c>
      <c r="L336" s="84">
        <f t="shared" si="43"/>
        <v>1150</v>
      </c>
      <c r="M336" s="95">
        <v>600</v>
      </c>
      <c r="N336" s="84">
        <f>100</f>
        <v>100</v>
      </c>
      <c r="O336" s="87">
        <v>240</v>
      </c>
      <c r="P336" s="87">
        <v>40</v>
      </c>
      <c r="Q336" s="87">
        <f t="shared" si="44"/>
        <v>315</v>
      </c>
      <c r="R336" s="87">
        <f t="shared" si="45"/>
        <v>100</v>
      </c>
      <c r="S336" s="84">
        <f t="shared" si="46"/>
        <v>695</v>
      </c>
      <c r="T336" s="84">
        <f>50</f>
        <v>50</v>
      </c>
      <c r="U336" s="85"/>
      <c r="V336" s="85"/>
      <c r="W336" s="85"/>
      <c r="X336" s="85"/>
      <c r="Y336" s="85"/>
      <c r="Z336" s="85"/>
      <c r="AA336" s="85"/>
      <c r="AB336" s="85"/>
      <c r="AC336" s="85"/>
      <c r="AD336" s="85"/>
    </row>
    <row r="337" spans="1:30" ht="15.75" x14ac:dyDescent="0.25">
      <c r="A337" s="14">
        <v>51194</v>
      </c>
      <c r="B337" s="97">
        <v>29</v>
      </c>
      <c r="C337" s="84">
        <f>122.58</f>
        <v>122.58</v>
      </c>
      <c r="D337" s="84">
        <f>297.941</f>
        <v>297.94099999999997</v>
      </c>
      <c r="E337" s="93">
        <f>89.177</f>
        <v>89.177000000000007</v>
      </c>
      <c r="F337" s="84">
        <f>240.302-40-60-100</f>
        <v>40.301999999999992</v>
      </c>
      <c r="G337" s="87">
        <v>40</v>
      </c>
      <c r="H337" s="84">
        <f>60+100</f>
        <v>160</v>
      </c>
      <c r="I337" s="84">
        <f t="shared" si="49"/>
        <v>0</v>
      </c>
      <c r="J337" s="87">
        <v>100</v>
      </c>
      <c r="K337" s="87">
        <v>300</v>
      </c>
      <c r="L337" s="84">
        <f t="shared" si="43"/>
        <v>1150</v>
      </c>
      <c r="M337" s="95">
        <v>600</v>
      </c>
      <c r="N337" s="84">
        <f>100</f>
        <v>100</v>
      </c>
      <c r="O337" s="87">
        <v>240</v>
      </c>
      <c r="P337" s="87">
        <v>40</v>
      </c>
      <c r="Q337" s="87">
        <f t="shared" si="44"/>
        <v>315</v>
      </c>
      <c r="R337" s="87">
        <f t="shared" si="45"/>
        <v>100</v>
      </c>
      <c r="S337" s="84">
        <f t="shared" si="46"/>
        <v>695</v>
      </c>
      <c r="T337" s="84">
        <f>50</f>
        <v>50</v>
      </c>
      <c r="U337" s="85"/>
      <c r="V337" s="85"/>
      <c r="W337" s="85"/>
      <c r="X337" s="85"/>
      <c r="Y337" s="85"/>
      <c r="Z337" s="85"/>
      <c r="AA337" s="85"/>
      <c r="AB337" s="85"/>
      <c r="AC337" s="85"/>
      <c r="AD337" s="85"/>
    </row>
    <row r="338" spans="1:30" ht="15.75" x14ac:dyDescent="0.25">
      <c r="A338" s="14">
        <v>51226</v>
      </c>
      <c r="B338" s="97">
        <v>31</v>
      </c>
      <c r="C338" s="84">
        <f>122.58</f>
        <v>122.58</v>
      </c>
      <c r="D338" s="84">
        <f>297.941</f>
        <v>297.94099999999997</v>
      </c>
      <c r="E338" s="93">
        <f>89.177</f>
        <v>89.177000000000007</v>
      </c>
      <c r="F338" s="84">
        <f>240.302-40-60-100</f>
        <v>40.301999999999992</v>
      </c>
      <c r="G338" s="87">
        <v>40</v>
      </c>
      <c r="H338" s="84">
        <f>60+100</f>
        <v>160</v>
      </c>
      <c r="I338" s="84">
        <f t="shared" si="49"/>
        <v>0</v>
      </c>
      <c r="J338" s="87">
        <v>100</v>
      </c>
      <c r="K338" s="87">
        <v>300</v>
      </c>
      <c r="L338" s="84">
        <f t="shared" si="43"/>
        <v>1150</v>
      </c>
      <c r="M338" s="95">
        <v>600</v>
      </c>
      <c r="N338" s="84">
        <f>100</f>
        <v>100</v>
      </c>
      <c r="O338" s="87">
        <v>240</v>
      </c>
      <c r="P338" s="87">
        <v>40</v>
      </c>
      <c r="Q338" s="87">
        <f t="shared" si="44"/>
        <v>315</v>
      </c>
      <c r="R338" s="87">
        <f t="shared" si="45"/>
        <v>100</v>
      </c>
      <c r="S338" s="84">
        <f t="shared" si="46"/>
        <v>695</v>
      </c>
      <c r="T338" s="84">
        <f>50</f>
        <v>50</v>
      </c>
      <c r="U338" s="85"/>
      <c r="V338" s="85"/>
      <c r="W338" s="85"/>
      <c r="X338" s="85"/>
      <c r="Y338" s="85"/>
      <c r="Z338" s="85"/>
      <c r="AA338" s="85"/>
      <c r="AB338" s="85"/>
      <c r="AC338" s="85"/>
      <c r="AD338" s="85"/>
    </row>
    <row r="339" spans="1:30" ht="15.75" x14ac:dyDescent="0.25">
      <c r="A339" s="14">
        <v>51256</v>
      </c>
      <c r="B339" s="97">
        <v>30</v>
      </c>
      <c r="C339" s="84">
        <f>141.293</f>
        <v>141.29300000000001</v>
      </c>
      <c r="D339" s="84">
        <f>267.993</f>
        <v>267.99299999999999</v>
      </c>
      <c r="E339" s="93">
        <f>115.016</f>
        <v>115.01600000000001</v>
      </c>
      <c r="F339" s="84">
        <f>314.698-40-25-60-100</f>
        <v>89.697999999999979</v>
      </c>
      <c r="G339" s="87">
        <v>40</v>
      </c>
      <c r="H339" s="84">
        <f t="shared" ref="H339:H345" si="52">25+60+100</f>
        <v>185</v>
      </c>
      <c r="I339" s="84">
        <f t="shared" si="49"/>
        <v>0</v>
      </c>
      <c r="J339" s="87">
        <v>100</v>
      </c>
      <c r="K339" s="87">
        <v>300</v>
      </c>
      <c r="L339" s="84">
        <f t="shared" si="43"/>
        <v>1239</v>
      </c>
      <c r="M339" s="95">
        <v>600</v>
      </c>
      <c r="N339" s="84">
        <f>100</f>
        <v>100</v>
      </c>
      <c r="O339" s="87">
        <v>240</v>
      </c>
      <c r="P339" s="87">
        <v>160</v>
      </c>
      <c r="Q339" s="87">
        <f t="shared" si="44"/>
        <v>195</v>
      </c>
      <c r="R339" s="87">
        <f t="shared" si="45"/>
        <v>100</v>
      </c>
      <c r="S339" s="84">
        <f t="shared" si="46"/>
        <v>695</v>
      </c>
      <c r="T339" s="84">
        <f>50</f>
        <v>50</v>
      </c>
      <c r="U339" s="85"/>
      <c r="V339" s="85"/>
      <c r="W339" s="85"/>
      <c r="X339" s="85"/>
      <c r="Y339" s="85"/>
      <c r="Z339" s="85"/>
      <c r="AA339" s="85"/>
      <c r="AB339" s="85"/>
      <c r="AC339" s="85"/>
      <c r="AD339" s="85"/>
    </row>
    <row r="340" spans="1:30" ht="15.75" x14ac:dyDescent="0.25">
      <c r="A340" s="14">
        <v>51287</v>
      </c>
      <c r="B340" s="97">
        <v>31</v>
      </c>
      <c r="C340" s="84">
        <f>194.205</f>
        <v>194.20500000000001</v>
      </c>
      <c r="D340" s="84">
        <f>267.466</f>
        <v>267.46600000000001</v>
      </c>
      <c r="E340" s="93">
        <f>133.845</f>
        <v>133.845</v>
      </c>
      <c r="F340" s="84">
        <f>278.484-40-25-60-100</f>
        <v>53.48399999999998</v>
      </c>
      <c r="G340" s="87">
        <v>40</v>
      </c>
      <c r="H340" s="84">
        <f t="shared" si="52"/>
        <v>185</v>
      </c>
      <c r="I340" s="84">
        <f t="shared" si="49"/>
        <v>0</v>
      </c>
      <c r="J340" s="87">
        <v>100</v>
      </c>
      <c r="K340" s="87">
        <v>300</v>
      </c>
      <c r="L340" s="84">
        <f t="shared" si="43"/>
        <v>1274</v>
      </c>
      <c r="M340" s="95">
        <v>600</v>
      </c>
      <c r="N340" s="84">
        <f>75</f>
        <v>75</v>
      </c>
      <c r="O340" s="87">
        <v>240</v>
      </c>
      <c r="P340" s="87">
        <v>160</v>
      </c>
      <c r="Q340" s="87">
        <f t="shared" si="44"/>
        <v>195</v>
      </c>
      <c r="R340" s="87">
        <f t="shared" si="45"/>
        <v>100</v>
      </c>
      <c r="S340" s="84">
        <f t="shared" si="46"/>
        <v>695</v>
      </c>
      <c r="T340" s="84">
        <f>50</f>
        <v>50</v>
      </c>
      <c r="U340" s="85"/>
      <c r="V340" s="85"/>
      <c r="W340" s="85"/>
      <c r="X340" s="85"/>
      <c r="Y340" s="85"/>
      <c r="Z340" s="85"/>
      <c r="AA340" s="85"/>
      <c r="AB340" s="85"/>
      <c r="AC340" s="85"/>
      <c r="AD340" s="85"/>
    </row>
    <row r="341" spans="1:30" ht="15.75" x14ac:dyDescent="0.25">
      <c r="A341" s="14">
        <v>51317</v>
      </c>
      <c r="B341" s="97">
        <v>30</v>
      </c>
      <c r="C341" s="84">
        <f>194.205</f>
        <v>194.20500000000001</v>
      </c>
      <c r="D341" s="84">
        <f>267.466</f>
        <v>267.46600000000001</v>
      </c>
      <c r="E341" s="93">
        <f>133.845</f>
        <v>133.845</v>
      </c>
      <c r="F341" s="84">
        <f>278.484-40-25-60-100</f>
        <v>53.48399999999998</v>
      </c>
      <c r="G341" s="87">
        <v>40</v>
      </c>
      <c r="H341" s="84">
        <f t="shared" si="52"/>
        <v>185</v>
      </c>
      <c r="I341" s="84">
        <f t="shared" si="49"/>
        <v>0</v>
      </c>
      <c r="J341" s="87">
        <v>100</v>
      </c>
      <c r="K341" s="87">
        <v>300</v>
      </c>
      <c r="L341" s="84">
        <f t="shared" si="43"/>
        <v>1274</v>
      </c>
      <c r="M341" s="95">
        <v>600</v>
      </c>
      <c r="N341" s="84">
        <f>30</f>
        <v>30</v>
      </c>
      <c r="O341" s="87">
        <v>240</v>
      </c>
      <c r="P341" s="87">
        <v>160</v>
      </c>
      <c r="Q341" s="87">
        <f t="shared" si="44"/>
        <v>195</v>
      </c>
      <c r="R341" s="87">
        <f t="shared" si="45"/>
        <v>100</v>
      </c>
      <c r="S341" s="84">
        <f t="shared" si="46"/>
        <v>695</v>
      </c>
      <c r="T341" s="84">
        <f>50</f>
        <v>50</v>
      </c>
      <c r="U341" s="85"/>
      <c r="V341" s="85"/>
      <c r="W341" s="85"/>
      <c r="X341" s="85"/>
      <c r="Y341" s="85"/>
      <c r="Z341" s="85"/>
      <c r="AA341" s="85"/>
      <c r="AB341" s="85"/>
      <c r="AC341" s="85"/>
      <c r="AD341" s="85"/>
    </row>
    <row r="342" spans="1:30" ht="15.75" x14ac:dyDescent="0.25">
      <c r="A342" s="14">
        <v>51348</v>
      </c>
      <c r="B342" s="97">
        <v>31</v>
      </c>
      <c r="C342" s="84">
        <f>194.205</f>
        <v>194.20500000000001</v>
      </c>
      <c r="D342" s="84">
        <f>267.466</f>
        <v>267.46600000000001</v>
      </c>
      <c r="E342" s="93">
        <f>133.845</f>
        <v>133.845</v>
      </c>
      <c r="F342" s="84">
        <f>278.484-40-25-60-100</f>
        <v>53.48399999999998</v>
      </c>
      <c r="G342" s="87">
        <v>40</v>
      </c>
      <c r="H342" s="84">
        <f t="shared" si="52"/>
        <v>185</v>
      </c>
      <c r="I342" s="84">
        <f t="shared" si="49"/>
        <v>0</v>
      </c>
      <c r="J342" s="87">
        <v>100</v>
      </c>
      <c r="K342" s="87">
        <v>300</v>
      </c>
      <c r="L342" s="84">
        <f t="shared" si="43"/>
        <v>1274</v>
      </c>
      <c r="M342" s="95">
        <v>600</v>
      </c>
      <c r="N342" s="84">
        <f>30</f>
        <v>30</v>
      </c>
      <c r="O342" s="87">
        <v>240</v>
      </c>
      <c r="P342" s="87">
        <v>160</v>
      </c>
      <c r="Q342" s="87">
        <f t="shared" si="44"/>
        <v>195</v>
      </c>
      <c r="R342" s="87">
        <f t="shared" si="45"/>
        <v>100</v>
      </c>
      <c r="S342" s="84">
        <f t="shared" si="46"/>
        <v>695</v>
      </c>
      <c r="T342" s="84">
        <f>0</f>
        <v>0</v>
      </c>
      <c r="U342" s="85"/>
      <c r="V342" s="85"/>
      <c r="W342" s="85"/>
      <c r="X342" s="85"/>
      <c r="Y342" s="85"/>
      <c r="Z342" s="85"/>
      <c r="AA342" s="85"/>
      <c r="AB342" s="85"/>
      <c r="AC342" s="85"/>
      <c r="AD342" s="85"/>
    </row>
    <row r="343" spans="1:30" ht="15.75" x14ac:dyDescent="0.25">
      <c r="A343" s="14">
        <v>51379</v>
      </c>
      <c r="B343" s="97">
        <v>31</v>
      </c>
      <c r="C343" s="84">
        <f>194.205</f>
        <v>194.20500000000001</v>
      </c>
      <c r="D343" s="84">
        <f>267.466</f>
        <v>267.46600000000001</v>
      </c>
      <c r="E343" s="93">
        <f>133.845</f>
        <v>133.845</v>
      </c>
      <c r="F343" s="84">
        <f>278.484-40-25-60-100</f>
        <v>53.48399999999998</v>
      </c>
      <c r="G343" s="87">
        <v>40</v>
      </c>
      <c r="H343" s="84">
        <f t="shared" si="52"/>
        <v>185</v>
      </c>
      <c r="I343" s="84">
        <f t="shared" si="49"/>
        <v>0</v>
      </c>
      <c r="J343" s="87">
        <v>100</v>
      </c>
      <c r="K343" s="87">
        <v>300</v>
      </c>
      <c r="L343" s="84">
        <f t="shared" si="43"/>
        <v>1274</v>
      </c>
      <c r="M343" s="95">
        <v>600</v>
      </c>
      <c r="N343" s="84">
        <f>30</f>
        <v>30</v>
      </c>
      <c r="O343" s="87">
        <v>240</v>
      </c>
      <c r="P343" s="87">
        <v>160</v>
      </c>
      <c r="Q343" s="87">
        <f t="shared" si="44"/>
        <v>195</v>
      </c>
      <c r="R343" s="87">
        <f t="shared" si="45"/>
        <v>100</v>
      </c>
      <c r="S343" s="84">
        <f t="shared" si="46"/>
        <v>695</v>
      </c>
      <c r="T343" s="84">
        <f>0</f>
        <v>0</v>
      </c>
      <c r="U343" s="85"/>
      <c r="V343" s="85"/>
      <c r="W343" s="85"/>
      <c r="X343" s="85"/>
      <c r="Y343" s="85"/>
      <c r="Z343" s="85"/>
      <c r="AA343" s="85"/>
      <c r="AB343" s="85"/>
      <c r="AC343" s="85"/>
      <c r="AD343" s="85"/>
    </row>
    <row r="344" spans="1:30" ht="15.75" x14ac:dyDescent="0.25">
      <c r="A344" s="14">
        <v>51409</v>
      </c>
      <c r="B344" s="97">
        <v>30</v>
      </c>
      <c r="C344" s="84">
        <f>194.205</f>
        <v>194.20500000000001</v>
      </c>
      <c r="D344" s="84">
        <f>267.466</f>
        <v>267.46600000000001</v>
      </c>
      <c r="E344" s="93">
        <f>133.845</f>
        <v>133.845</v>
      </c>
      <c r="F344" s="84">
        <f>278.484-40-25-60-100</f>
        <v>53.48399999999998</v>
      </c>
      <c r="G344" s="87">
        <v>40</v>
      </c>
      <c r="H344" s="84">
        <f t="shared" si="52"/>
        <v>185</v>
      </c>
      <c r="I344" s="84">
        <f t="shared" si="49"/>
        <v>0</v>
      </c>
      <c r="J344" s="87">
        <v>100</v>
      </c>
      <c r="K344" s="87">
        <v>300</v>
      </c>
      <c r="L344" s="84">
        <f t="shared" ref="L344:L407" si="53">SUM(C344:K344)</f>
        <v>1274</v>
      </c>
      <c r="M344" s="95">
        <v>600</v>
      </c>
      <c r="N344" s="84">
        <f>30</f>
        <v>30</v>
      </c>
      <c r="O344" s="87">
        <v>240</v>
      </c>
      <c r="P344" s="87">
        <v>160</v>
      </c>
      <c r="Q344" s="87">
        <f t="shared" ref="Q344:Q407" si="54">695-R344-O344-P344</f>
        <v>195</v>
      </c>
      <c r="R344" s="87">
        <f t="shared" ref="R344:R407" si="55">200-J344</f>
        <v>100</v>
      </c>
      <c r="S344" s="84">
        <f t="shared" ref="S344:S407" si="56">SUM(O344:R344)</f>
        <v>695</v>
      </c>
      <c r="T344" s="84">
        <f>0</f>
        <v>0</v>
      </c>
      <c r="U344" s="85"/>
      <c r="V344" s="85"/>
      <c r="W344" s="85"/>
      <c r="X344" s="85"/>
      <c r="Y344" s="85"/>
      <c r="Z344" s="85"/>
      <c r="AA344" s="85"/>
      <c r="AB344" s="85"/>
      <c r="AC344" s="85"/>
      <c r="AD344" s="85"/>
    </row>
    <row r="345" spans="1:30" ht="15.75" x14ac:dyDescent="0.25">
      <c r="A345" s="14">
        <v>51440</v>
      </c>
      <c r="B345" s="97">
        <v>31</v>
      </c>
      <c r="C345" s="84">
        <f>131.881</f>
        <v>131.881</v>
      </c>
      <c r="D345" s="84">
        <f>277.167</f>
        <v>277.16699999999997</v>
      </c>
      <c r="E345" s="93">
        <f>79.08</f>
        <v>79.08</v>
      </c>
      <c r="F345" s="84">
        <f>350.872-40-25-60-100</f>
        <v>125.87200000000001</v>
      </c>
      <c r="G345" s="87">
        <v>40</v>
      </c>
      <c r="H345" s="84">
        <f t="shared" si="52"/>
        <v>185</v>
      </c>
      <c r="I345" s="84">
        <f t="shared" si="49"/>
        <v>0</v>
      </c>
      <c r="J345" s="87">
        <v>100</v>
      </c>
      <c r="K345" s="87">
        <v>300</v>
      </c>
      <c r="L345" s="84">
        <f t="shared" si="53"/>
        <v>1239</v>
      </c>
      <c r="M345" s="95">
        <v>600</v>
      </c>
      <c r="N345" s="84">
        <f>75</f>
        <v>75</v>
      </c>
      <c r="O345" s="87">
        <v>240</v>
      </c>
      <c r="P345" s="87">
        <v>160</v>
      </c>
      <c r="Q345" s="87">
        <f t="shared" si="54"/>
        <v>195</v>
      </c>
      <c r="R345" s="87">
        <f t="shared" si="55"/>
        <v>100</v>
      </c>
      <c r="S345" s="84">
        <f t="shared" si="56"/>
        <v>695</v>
      </c>
      <c r="T345" s="84">
        <f>0</f>
        <v>0</v>
      </c>
      <c r="U345" s="85"/>
      <c r="V345" s="85"/>
      <c r="W345" s="85"/>
      <c r="X345" s="85"/>
      <c r="Y345" s="85"/>
      <c r="Z345" s="85"/>
      <c r="AA345" s="85"/>
      <c r="AB345" s="85"/>
      <c r="AC345" s="85"/>
      <c r="AD345" s="85"/>
    </row>
    <row r="346" spans="1:30" ht="15.75" x14ac:dyDescent="0.25">
      <c r="A346" s="14">
        <v>51470</v>
      </c>
      <c r="B346" s="97">
        <v>30</v>
      </c>
      <c r="C346" s="84">
        <f>122.58</f>
        <v>122.58</v>
      </c>
      <c r="D346" s="84">
        <f>297.941</f>
        <v>297.94099999999997</v>
      </c>
      <c r="E346" s="93">
        <f>89.177</f>
        <v>89.177000000000007</v>
      </c>
      <c r="F346" s="84">
        <f>240.302-40-60-100</f>
        <v>40.301999999999992</v>
      </c>
      <c r="G346" s="87">
        <v>40</v>
      </c>
      <c r="H346" s="84">
        <f>60+100</f>
        <v>160</v>
      </c>
      <c r="I346" s="84">
        <f t="shared" si="49"/>
        <v>0</v>
      </c>
      <c r="J346" s="87">
        <v>100</v>
      </c>
      <c r="K346" s="87">
        <v>300</v>
      </c>
      <c r="L346" s="84">
        <f t="shared" si="53"/>
        <v>1150</v>
      </c>
      <c r="M346" s="95">
        <v>600</v>
      </c>
      <c r="N346" s="84">
        <f>100</f>
        <v>100</v>
      </c>
      <c r="O346" s="87">
        <v>240</v>
      </c>
      <c r="P346" s="87">
        <v>40</v>
      </c>
      <c r="Q346" s="87">
        <f t="shared" si="54"/>
        <v>315</v>
      </c>
      <c r="R346" s="87">
        <f t="shared" si="55"/>
        <v>100</v>
      </c>
      <c r="S346" s="84">
        <f t="shared" si="56"/>
        <v>695</v>
      </c>
      <c r="T346" s="84">
        <f>50</f>
        <v>50</v>
      </c>
      <c r="U346" s="85"/>
      <c r="V346" s="85"/>
      <c r="W346" s="85"/>
      <c r="X346" s="85"/>
      <c r="Y346" s="85"/>
      <c r="Z346" s="85"/>
      <c r="AA346" s="85"/>
      <c r="AB346" s="85"/>
      <c r="AC346" s="85"/>
      <c r="AD346" s="85"/>
    </row>
    <row r="347" spans="1:30" ht="15.75" x14ac:dyDescent="0.25">
      <c r="A347" s="14">
        <v>51501</v>
      </c>
      <c r="B347" s="97">
        <v>31</v>
      </c>
      <c r="C347" s="84">
        <f>122.58</f>
        <v>122.58</v>
      </c>
      <c r="D347" s="84">
        <f>297.941</f>
        <v>297.94099999999997</v>
      </c>
      <c r="E347" s="93">
        <f>89.177</f>
        <v>89.177000000000007</v>
      </c>
      <c r="F347" s="84">
        <f>240.302-40-60-100</f>
        <v>40.301999999999992</v>
      </c>
      <c r="G347" s="87">
        <v>40</v>
      </c>
      <c r="H347" s="84">
        <f>60+100</f>
        <v>160</v>
      </c>
      <c r="I347" s="84">
        <f t="shared" si="49"/>
        <v>0</v>
      </c>
      <c r="J347" s="87">
        <v>100</v>
      </c>
      <c r="K347" s="87">
        <v>300</v>
      </c>
      <c r="L347" s="84">
        <f t="shared" si="53"/>
        <v>1150</v>
      </c>
      <c r="M347" s="95">
        <v>600</v>
      </c>
      <c r="N347" s="84">
        <f>100</f>
        <v>100</v>
      </c>
      <c r="O347" s="87">
        <v>240</v>
      </c>
      <c r="P347" s="87">
        <v>40</v>
      </c>
      <c r="Q347" s="87">
        <f t="shared" si="54"/>
        <v>315</v>
      </c>
      <c r="R347" s="87">
        <f t="shared" si="55"/>
        <v>100</v>
      </c>
      <c r="S347" s="84">
        <f t="shared" si="56"/>
        <v>695</v>
      </c>
      <c r="T347" s="84">
        <f>50</f>
        <v>50</v>
      </c>
      <c r="U347" s="85"/>
      <c r="V347" s="85"/>
      <c r="W347" s="85"/>
      <c r="X347" s="85"/>
      <c r="Y347" s="85"/>
      <c r="Z347" s="85"/>
      <c r="AA347" s="85"/>
      <c r="AB347" s="85"/>
      <c r="AC347" s="85"/>
      <c r="AD347" s="85"/>
    </row>
    <row r="348" spans="1:30" ht="15.75" x14ac:dyDescent="0.25">
      <c r="A348" s="14">
        <v>51532</v>
      </c>
      <c r="B348" s="97">
        <v>31</v>
      </c>
      <c r="C348" s="84">
        <f>122.58</f>
        <v>122.58</v>
      </c>
      <c r="D348" s="84">
        <f>297.941</f>
        <v>297.94099999999997</v>
      </c>
      <c r="E348" s="93">
        <f>89.177</f>
        <v>89.177000000000007</v>
      </c>
      <c r="F348" s="84">
        <f>240.302-40-60-100</f>
        <v>40.301999999999992</v>
      </c>
      <c r="G348" s="87">
        <v>40</v>
      </c>
      <c r="H348" s="84">
        <f>60+100</f>
        <v>160</v>
      </c>
      <c r="I348" s="84">
        <f t="shared" si="49"/>
        <v>0</v>
      </c>
      <c r="J348" s="87">
        <v>100</v>
      </c>
      <c r="K348" s="87">
        <v>300</v>
      </c>
      <c r="L348" s="84">
        <f t="shared" si="53"/>
        <v>1150</v>
      </c>
      <c r="M348" s="95">
        <v>600</v>
      </c>
      <c r="N348" s="84">
        <f>100</f>
        <v>100</v>
      </c>
      <c r="O348" s="87">
        <v>240</v>
      </c>
      <c r="P348" s="87">
        <v>40</v>
      </c>
      <c r="Q348" s="87">
        <f t="shared" si="54"/>
        <v>315</v>
      </c>
      <c r="R348" s="87">
        <f t="shared" si="55"/>
        <v>100</v>
      </c>
      <c r="S348" s="84">
        <f t="shared" si="56"/>
        <v>695</v>
      </c>
      <c r="T348" s="84">
        <f>50</f>
        <v>50</v>
      </c>
      <c r="U348" s="85"/>
      <c r="V348" s="85"/>
      <c r="W348" s="85"/>
      <c r="X348" s="85"/>
      <c r="Y348" s="85"/>
      <c r="Z348" s="85"/>
      <c r="AA348" s="85"/>
      <c r="AB348" s="85"/>
      <c r="AC348" s="85"/>
      <c r="AD348" s="85"/>
    </row>
    <row r="349" spans="1:30" ht="15.75" x14ac:dyDescent="0.25">
      <c r="A349" s="14">
        <v>51560</v>
      </c>
      <c r="B349" s="97">
        <v>28</v>
      </c>
      <c r="C349" s="84">
        <f>122.58</f>
        <v>122.58</v>
      </c>
      <c r="D349" s="84">
        <f>297.941</f>
        <v>297.94099999999997</v>
      </c>
      <c r="E349" s="93">
        <f>89.177</f>
        <v>89.177000000000007</v>
      </c>
      <c r="F349" s="84">
        <f>240.302-40-60-100</f>
        <v>40.301999999999992</v>
      </c>
      <c r="G349" s="87">
        <v>40</v>
      </c>
      <c r="H349" s="84">
        <f>60+100</f>
        <v>160</v>
      </c>
      <c r="I349" s="84">
        <f t="shared" si="49"/>
        <v>0</v>
      </c>
      <c r="J349" s="87">
        <v>100</v>
      </c>
      <c r="K349" s="87">
        <v>300</v>
      </c>
      <c r="L349" s="84">
        <f t="shared" si="53"/>
        <v>1150</v>
      </c>
      <c r="M349" s="95">
        <v>600</v>
      </c>
      <c r="N349" s="84">
        <f>100</f>
        <v>100</v>
      </c>
      <c r="O349" s="87">
        <v>240</v>
      </c>
      <c r="P349" s="87">
        <v>40</v>
      </c>
      <c r="Q349" s="87">
        <f t="shared" si="54"/>
        <v>315</v>
      </c>
      <c r="R349" s="87">
        <f t="shared" si="55"/>
        <v>100</v>
      </c>
      <c r="S349" s="84">
        <f t="shared" si="56"/>
        <v>695</v>
      </c>
      <c r="T349" s="84">
        <f>50</f>
        <v>50</v>
      </c>
      <c r="U349" s="85"/>
      <c r="V349" s="85"/>
      <c r="W349" s="85"/>
      <c r="X349" s="85"/>
      <c r="Y349" s="85"/>
      <c r="Z349" s="85"/>
      <c r="AA349" s="85"/>
      <c r="AB349" s="85"/>
      <c r="AC349" s="85"/>
      <c r="AD349" s="85"/>
    </row>
    <row r="350" spans="1:30" ht="15.75" x14ac:dyDescent="0.25">
      <c r="A350" s="14">
        <v>51591</v>
      </c>
      <c r="B350" s="97">
        <v>31</v>
      </c>
      <c r="C350" s="84">
        <f>122.58</f>
        <v>122.58</v>
      </c>
      <c r="D350" s="84">
        <f>297.941</f>
        <v>297.94099999999997</v>
      </c>
      <c r="E350" s="93">
        <f>89.177</f>
        <v>89.177000000000007</v>
      </c>
      <c r="F350" s="84">
        <f>240.302-40-60-100</f>
        <v>40.301999999999992</v>
      </c>
      <c r="G350" s="87">
        <v>40</v>
      </c>
      <c r="H350" s="84">
        <f>60+100</f>
        <v>160</v>
      </c>
      <c r="I350" s="84">
        <f t="shared" si="49"/>
        <v>0</v>
      </c>
      <c r="J350" s="87">
        <v>100</v>
      </c>
      <c r="K350" s="87">
        <v>300</v>
      </c>
      <c r="L350" s="84">
        <f t="shared" si="53"/>
        <v>1150</v>
      </c>
      <c r="M350" s="95">
        <v>600</v>
      </c>
      <c r="N350" s="84">
        <f>100</f>
        <v>100</v>
      </c>
      <c r="O350" s="87">
        <v>240</v>
      </c>
      <c r="P350" s="87">
        <v>40</v>
      </c>
      <c r="Q350" s="87">
        <f t="shared" si="54"/>
        <v>315</v>
      </c>
      <c r="R350" s="87">
        <f t="shared" si="55"/>
        <v>100</v>
      </c>
      <c r="S350" s="84">
        <f t="shared" si="56"/>
        <v>695</v>
      </c>
      <c r="T350" s="84">
        <f>50</f>
        <v>50</v>
      </c>
      <c r="U350" s="85"/>
      <c r="V350" s="85"/>
      <c r="W350" s="85"/>
      <c r="X350" s="85"/>
      <c r="Y350" s="85"/>
      <c r="Z350" s="85"/>
      <c r="AA350" s="85"/>
      <c r="AB350" s="85"/>
      <c r="AC350" s="85"/>
      <c r="AD350" s="85"/>
    </row>
    <row r="351" spans="1:30" ht="15.75" x14ac:dyDescent="0.25">
      <c r="A351" s="14">
        <v>51621</v>
      </c>
      <c r="B351" s="97">
        <v>30</v>
      </c>
      <c r="C351" s="84">
        <f>141.293</f>
        <v>141.29300000000001</v>
      </c>
      <c r="D351" s="84">
        <f>267.993</f>
        <v>267.99299999999999</v>
      </c>
      <c r="E351" s="93">
        <f>115.016</f>
        <v>115.01600000000001</v>
      </c>
      <c r="F351" s="84">
        <f>314.698-40-25-60-100</f>
        <v>89.697999999999979</v>
      </c>
      <c r="G351" s="87">
        <v>40</v>
      </c>
      <c r="H351" s="84">
        <f t="shared" ref="H351:H357" si="57">25+60+100</f>
        <v>185</v>
      </c>
      <c r="I351" s="84">
        <f t="shared" si="49"/>
        <v>0</v>
      </c>
      <c r="J351" s="87">
        <v>100</v>
      </c>
      <c r="K351" s="87">
        <v>300</v>
      </c>
      <c r="L351" s="84">
        <f t="shared" si="53"/>
        <v>1239</v>
      </c>
      <c r="M351" s="95">
        <v>600</v>
      </c>
      <c r="N351" s="84">
        <f>100</f>
        <v>100</v>
      </c>
      <c r="O351" s="87">
        <v>240</v>
      </c>
      <c r="P351" s="87">
        <v>160</v>
      </c>
      <c r="Q351" s="87">
        <f t="shared" si="54"/>
        <v>195</v>
      </c>
      <c r="R351" s="87">
        <f t="shared" si="55"/>
        <v>100</v>
      </c>
      <c r="S351" s="84">
        <f t="shared" si="56"/>
        <v>695</v>
      </c>
      <c r="T351" s="84">
        <f>50</f>
        <v>50</v>
      </c>
      <c r="U351" s="85"/>
      <c r="V351" s="85"/>
      <c r="W351" s="85"/>
      <c r="X351" s="85"/>
      <c r="Y351" s="85"/>
      <c r="Z351" s="85"/>
      <c r="AA351" s="85"/>
      <c r="AB351" s="85"/>
      <c r="AC351" s="85"/>
      <c r="AD351" s="85"/>
    </row>
    <row r="352" spans="1:30" ht="15.75" x14ac:dyDescent="0.25">
      <c r="A352" s="14">
        <v>51652</v>
      </c>
      <c r="B352" s="97">
        <v>31</v>
      </c>
      <c r="C352" s="84">
        <f>194.205</f>
        <v>194.20500000000001</v>
      </c>
      <c r="D352" s="84">
        <f>267.466</f>
        <v>267.46600000000001</v>
      </c>
      <c r="E352" s="93">
        <f>133.845</f>
        <v>133.845</v>
      </c>
      <c r="F352" s="84">
        <f>278.484-40-25-60-100</f>
        <v>53.48399999999998</v>
      </c>
      <c r="G352" s="87">
        <v>40</v>
      </c>
      <c r="H352" s="84">
        <f t="shared" si="57"/>
        <v>185</v>
      </c>
      <c r="I352" s="84">
        <f t="shared" si="49"/>
        <v>0</v>
      </c>
      <c r="J352" s="87">
        <v>100</v>
      </c>
      <c r="K352" s="87">
        <v>300</v>
      </c>
      <c r="L352" s="84">
        <f t="shared" si="53"/>
        <v>1274</v>
      </c>
      <c r="M352" s="95">
        <v>600</v>
      </c>
      <c r="N352" s="84">
        <f>75</f>
        <v>75</v>
      </c>
      <c r="O352" s="87">
        <v>240</v>
      </c>
      <c r="P352" s="87">
        <v>160</v>
      </c>
      <c r="Q352" s="87">
        <f t="shared" si="54"/>
        <v>195</v>
      </c>
      <c r="R352" s="87">
        <f t="shared" si="55"/>
        <v>100</v>
      </c>
      <c r="S352" s="84">
        <f t="shared" si="56"/>
        <v>695</v>
      </c>
      <c r="T352" s="84">
        <f>50</f>
        <v>50</v>
      </c>
      <c r="U352" s="85"/>
      <c r="V352" s="85"/>
      <c r="W352" s="85"/>
      <c r="X352" s="85"/>
      <c r="Y352" s="85"/>
      <c r="Z352" s="85"/>
      <c r="AA352" s="85"/>
      <c r="AB352" s="85"/>
      <c r="AC352" s="85"/>
      <c r="AD352" s="85"/>
    </row>
    <row r="353" spans="1:30" ht="15.75" x14ac:dyDescent="0.25">
      <c r="A353" s="14">
        <v>51682</v>
      </c>
      <c r="B353" s="97">
        <v>30</v>
      </c>
      <c r="C353" s="84">
        <f>194.205</f>
        <v>194.20500000000001</v>
      </c>
      <c r="D353" s="84">
        <f>267.466</f>
        <v>267.46600000000001</v>
      </c>
      <c r="E353" s="93">
        <f>133.845</f>
        <v>133.845</v>
      </c>
      <c r="F353" s="84">
        <f>278.484-40-25-60-100</f>
        <v>53.48399999999998</v>
      </c>
      <c r="G353" s="87">
        <v>40</v>
      </c>
      <c r="H353" s="84">
        <f t="shared" si="57"/>
        <v>185</v>
      </c>
      <c r="I353" s="84">
        <f t="shared" si="49"/>
        <v>0</v>
      </c>
      <c r="J353" s="87">
        <v>100</v>
      </c>
      <c r="K353" s="87">
        <v>300</v>
      </c>
      <c r="L353" s="84">
        <f t="shared" si="53"/>
        <v>1274</v>
      </c>
      <c r="M353" s="95">
        <v>600</v>
      </c>
      <c r="N353" s="84">
        <f>30</f>
        <v>30</v>
      </c>
      <c r="O353" s="87">
        <v>240</v>
      </c>
      <c r="P353" s="87">
        <v>160</v>
      </c>
      <c r="Q353" s="87">
        <f t="shared" si="54"/>
        <v>195</v>
      </c>
      <c r="R353" s="87">
        <f t="shared" si="55"/>
        <v>100</v>
      </c>
      <c r="S353" s="84">
        <f t="shared" si="56"/>
        <v>695</v>
      </c>
      <c r="T353" s="84">
        <f>50</f>
        <v>50</v>
      </c>
      <c r="U353" s="85"/>
      <c r="V353" s="85"/>
      <c r="W353" s="85"/>
      <c r="X353" s="85"/>
      <c r="Y353" s="85"/>
      <c r="Z353" s="85"/>
      <c r="AA353" s="85"/>
      <c r="AB353" s="85"/>
      <c r="AC353" s="85"/>
      <c r="AD353" s="85"/>
    </row>
    <row r="354" spans="1:30" ht="15.75" x14ac:dyDescent="0.25">
      <c r="A354" s="14">
        <v>51713</v>
      </c>
      <c r="B354" s="97">
        <v>31</v>
      </c>
      <c r="C354" s="84">
        <f>194.205</f>
        <v>194.20500000000001</v>
      </c>
      <c r="D354" s="84">
        <f>267.466</f>
        <v>267.46600000000001</v>
      </c>
      <c r="E354" s="93">
        <f>133.845</f>
        <v>133.845</v>
      </c>
      <c r="F354" s="84">
        <f>278.484-40-25-60-100</f>
        <v>53.48399999999998</v>
      </c>
      <c r="G354" s="87">
        <v>40</v>
      </c>
      <c r="H354" s="84">
        <f t="shared" si="57"/>
        <v>185</v>
      </c>
      <c r="I354" s="84">
        <f t="shared" si="49"/>
        <v>0</v>
      </c>
      <c r="J354" s="87">
        <v>100</v>
      </c>
      <c r="K354" s="87">
        <v>300</v>
      </c>
      <c r="L354" s="84">
        <f t="shared" si="53"/>
        <v>1274</v>
      </c>
      <c r="M354" s="95">
        <v>600</v>
      </c>
      <c r="N354" s="84">
        <f>30</f>
        <v>30</v>
      </c>
      <c r="O354" s="87">
        <v>240</v>
      </c>
      <c r="P354" s="87">
        <v>160</v>
      </c>
      <c r="Q354" s="87">
        <f t="shared" si="54"/>
        <v>195</v>
      </c>
      <c r="R354" s="87">
        <f t="shared" si="55"/>
        <v>100</v>
      </c>
      <c r="S354" s="84">
        <f t="shared" si="56"/>
        <v>695</v>
      </c>
      <c r="T354" s="84">
        <f>0</f>
        <v>0</v>
      </c>
      <c r="U354" s="85"/>
      <c r="V354" s="85"/>
      <c r="W354" s="85"/>
      <c r="X354" s="85"/>
      <c r="Y354" s="85"/>
      <c r="Z354" s="85"/>
      <c r="AA354" s="85"/>
      <c r="AB354" s="85"/>
      <c r="AC354" s="85"/>
      <c r="AD354" s="85"/>
    </row>
    <row r="355" spans="1:30" ht="15.75" x14ac:dyDescent="0.25">
      <c r="A355" s="14">
        <v>51744</v>
      </c>
      <c r="B355" s="97">
        <v>31</v>
      </c>
      <c r="C355" s="84">
        <f>194.205</f>
        <v>194.20500000000001</v>
      </c>
      <c r="D355" s="84">
        <f>267.466</f>
        <v>267.46600000000001</v>
      </c>
      <c r="E355" s="93">
        <f>133.845</f>
        <v>133.845</v>
      </c>
      <c r="F355" s="84">
        <f>278.484-40-25-60-100</f>
        <v>53.48399999999998</v>
      </c>
      <c r="G355" s="87">
        <v>40</v>
      </c>
      <c r="H355" s="84">
        <f t="shared" si="57"/>
        <v>185</v>
      </c>
      <c r="I355" s="84">
        <f t="shared" si="49"/>
        <v>0</v>
      </c>
      <c r="J355" s="87">
        <v>100</v>
      </c>
      <c r="K355" s="87">
        <v>300</v>
      </c>
      <c r="L355" s="84">
        <f t="shared" si="53"/>
        <v>1274</v>
      </c>
      <c r="M355" s="95">
        <v>600</v>
      </c>
      <c r="N355" s="84">
        <f>30</f>
        <v>30</v>
      </c>
      <c r="O355" s="87">
        <v>240</v>
      </c>
      <c r="P355" s="87">
        <v>160</v>
      </c>
      <c r="Q355" s="87">
        <f t="shared" si="54"/>
        <v>195</v>
      </c>
      <c r="R355" s="87">
        <f t="shared" si="55"/>
        <v>100</v>
      </c>
      <c r="S355" s="84">
        <f t="shared" si="56"/>
        <v>695</v>
      </c>
      <c r="T355" s="84">
        <f>0</f>
        <v>0</v>
      </c>
      <c r="U355" s="85"/>
      <c r="V355" s="85"/>
      <c r="W355" s="85"/>
      <c r="X355" s="85"/>
      <c r="Y355" s="85"/>
      <c r="Z355" s="85"/>
      <c r="AA355" s="85"/>
      <c r="AB355" s="85"/>
      <c r="AC355" s="85"/>
      <c r="AD355" s="85"/>
    </row>
    <row r="356" spans="1:30" ht="15.75" x14ac:dyDescent="0.25">
      <c r="A356" s="14">
        <v>51774</v>
      </c>
      <c r="B356" s="97">
        <v>30</v>
      </c>
      <c r="C356" s="84">
        <f>194.205</f>
        <v>194.20500000000001</v>
      </c>
      <c r="D356" s="84">
        <f>267.466</f>
        <v>267.46600000000001</v>
      </c>
      <c r="E356" s="93">
        <f>133.845</f>
        <v>133.845</v>
      </c>
      <c r="F356" s="84">
        <f>278.484-40-25-60-100</f>
        <v>53.48399999999998</v>
      </c>
      <c r="G356" s="87">
        <v>40</v>
      </c>
      <c r="H356" s="84">
        <f t="shared" si="57"/>
        <v>185</v>
      </c>
      <c r="I356" s="84">
        <f t="shared" si="49"/>
        <v>0</v>
      </c>
      <c r="J356" s="87">
        <v>100</v>
      </c>
      <c r="K356" s="87">
        <v>300</v>
      </c>
      <c r="L356" s="84">
        <f t="shared" si="53"/>
        <v>1274</v>
      </c>
      <c r="M356" s="95">
        <v>600</v>
      </c>
      <c r="N356" s="84">
        <f>30</f>
        <v>30</v>
      </c>
      <c r="O356" s="87">
        <v>240</v>
      </c>
      <c r="P356" s="87">
        <v>160</v>
      </c>
      <c r="Q356" s="87">
        <f t="shared" si="54"/>
        <v>195</v>
      </c>
      <c r="R356" s="87">
        <f t="shared" si="55"/>
        <v>100</v>
      </c>
      <c r="S356" s="84">
        <f t="shared" si="56"/>
        <v>695</v>
      </c>
      <c r="T356" s="84">
        <f>0</f>
        <v>0</v>
      </c>
      <c r="U356" s="85"/>
      <c r="V356" s="85"/>
      <c r="W356" s="85"/>
      <c r="X356" s="85"/>
      <c r="Y356" s="85"/>
      <c r="Z356" s="85"/>
      <c r="AA356" s="85"/>
      <c r="AB356" s="85"/>
      <c r="AC356" s="85"/>
      <c r="AD356" s="85"/>
    </row>
    <row r="357" spans="1:30" ht="15.75" x14ac:dyDescent="0.25">
      <c r="A357" s="14">
        <v>51805</v>
      </c>
      <c r="B357" s="97">
        <v>31</v>
      </c>
      <c r="C357" s="84">
        <f>131.881</f>
        <v>131.881</v>
      </c>
      <c r="D357" s="84">
        <f>277.167</f>
        <v>277.16699999999997</v>
      </c>
      <c r="E357" s="93">
        <f>79.08</f>
        <v>79.08</v>
      </c>
      <c r="F357" s="84">
        <f>350.872-40-25-60-100</f>
        <v>125.87200000000001</v>
      </c>
      <c r="G357" s="87">
        <v>40</v>
      </c>
      <c r="H357" s="84">
        <f t="shared" si="57"/>
        <v>185</v>
      </c>
      <c r="I357" s="84">
        <f t="shared" si="49"/>
        <v>0</v>
      </c>
      <c r="J357" s="87">
        <v>100</v>
      </c>
      <c r="K357" s="87">
        <v>300</v>
      </c>
      <c r="L357" s="84">
        <f t="shared" si="53"/>
        <v>1239</v>
      </c>
      <c r="M357" s="95">
        <v>600</v>
      </c>
      <c r="N357" s="84">
        <f>75</f>
        <v>75</v>
      </c>
      <c r="O357" s="87">
        <v>240</v>
      </c>
      <c r="P357" s="87">
        <v>160</v>
      </c>
      <c r="Q357" s="87">
        <f t="shared" si="54"/>
        <v>195</v>
      </c>
      <c r="R357" s="87">
        <f t="shared" si="55"/>
        <v>100</v>
      </c>
      <c r="S357" s="84">
        <f t="shared" si="56"/>
        <v>695</v>
      </c>
      <c r="T357" s="84">
        <f>0</f>
        <v>0</v>
      </c>
      <c r="U357" s="85"/>
      <c r="V357" s="85"/>
      <c r="W357" s="85"/>
      <c r="X357" s="85"/>
      <c r="Y357" s="85"/>
      <c r="Z357" s="85"/>
      <c r="AA357" s="85"/>
      <c r="AB357" s="85"/>
      <c r="AC357" s="85"/>
      <c r="AD357" s="85"/>
    </row>
    <row r="358" spans="1:30" ht="15.75" x14ac:dyDescent="0.25">
      <c r="A358" s="14">
        <v>51835</v>
      </c>
      <c r="B358" s="97">
        <v>30</v>
      </c>
      <c r="C358" s="84">
        <f>122.58</f>
        <v>122.58</v>
      </c>
      <c r="D358" s="84">
        <f>297.941</f>
        <v>297.94099999999997</v>
      </c>
      <c r="E358" s="93">
        <f>89.177</f>
        <v>89.177000000000007</v>
      </c>
      <c r="F358" s="84">
        <f>240.302-40-60-100</f>
        <v>40.301999999999992</v>
      </c>
      <c r="G358" s="87">
        <v>40</v>
      </c>
      <c r="H358" s="84">
        <f>60+100</f>
        <v>160</v>
      </c>
      <c r="I358" s="84">
        <f t="shared" si="49"/>
        <v>0</v>
      </c>
      <c r="J358" s="87">
        <v>100</v>
      </c>
      <c r="K358" s="87">
        <v>300</v>
      </c>
      <c r="L358" s="84">
        <f t="shared" si="53"/>
        <v>1150</v>
      </c>
      <c r="M358" s="95">
        <v>600</v>
      </c>
      <c r="N358" s="84">
        <f>100</f>
        <v>100</v>
      </c>
      <c r="O358" s="87">
        <v>240</v>
      </c>
      <c r="P358" s="87">
        <v>40</v>
      </c>
      <c r="Q358" s="87">
        <f t="shared" si="54"/>
        <v>315</v>
      </c>
      <c r="R358" s="87">
        <f t="shared" si="55"/>
        <v>100</v>
      </c>
      <c r="S358" s="84">
        <f t="shared" si="56"/>
        <v>695</v>
      </c>
      <c r="T358" s="84">
        <f>50</f>
        <v>50</v>
      </c>
      <c r="U358" s="85"/>
      <c r="V358" s="85"/>
      <c r="W358" s="85"/>
      <c r="X358" s="85"/>
      <c r="Y358" s="85"/>
      <c r="Z358" s="85"/>
      <c r="AA358" s="85"/>
      <c r="AB358" s="85"/>
      <c r="AC358" s="85"/>
      <c r="AD358" s="85"/>
    </row>
    <row r="359" spans="1:30" ht="15.75" x14ac:dyDescent="0.25">
      <c r="A359" s="14">
        <v>51866</v>
      </c>
      <c r="B359" s="97">
        <v>31</v>
      </c>
      <c r="C359" s="84">
        <f>122.58</f>
        <v>122.58</v>
      </c>
      <c r="D359" s="84">
        <f>297.941</f>
        <v>297.94099999999997</v>
      </c>
      <c r="E359" s="93">
        <f>89.177</f>
        <v>89.177000000000007</v>
      </c>
      <c r="F359" s="84">
        <f>240.302-40-60-100</f>
        <v>40.301999999999992</v>
      </c>
      <c r="G359" s="87">
        <v>40</v>
      </c>
      <c r="H359" s="84">
        <f>60+100</f>
        <v>160</v>
      </c>
      <c r="I359" s="84">
        <f t="shared" si="49"/>
        <v>0</v>
      </c>
      <c r="J359" s="87">
        <v>100</v>
      </c>
      <c r="K359" s="87">
        <v>300</v>
      </c>
      <c r="L359" s="84">
        <f t="shared" si="53"/>
        <v>1150</v>
      </c>
      <c r="M359" s="95">
        <v>600</v>
      </c>
      <c r="N359" s="84">
        <f>100</f>
        <v>100</v>
      </c>
      <c r="O359" s="87">
        <v>240</v>
      </c>
      <c r="P359" s="87">
        <v>40</v>
      </c>
      <c r="Q359" s="87">
        <f t="shared" si="54"/>
        <v>315</v>
      </c>
      <c r="R359" s="87">
        <f t="shared" si="55"/>
        <v>100</v>
      </c>
      <c r="S359" s="84">
        <f t="shared" si="56"/>
        <v>695</v>
      </c>
      <c r="T359" s="84">
        <f>50</f>
        <v>50</v>
      </c>
      <c r="U359" s="85"/>
      <c r="V359" s="85"/>
      <c r="W359" s="85"/>
      <c r="X359" s="85"/>
      <c r="Y359" s="85"/>
      <c r="Z359" s="85"/>
      <c r="AA359" s="85"/>
      <c r="AB359" s="85"/>
      <c r="AC359" s="85"/>
      <c r="AD359" s="85"/>
    </row>
    <row r="360" spans="1:30" ht="15.75" x14ac:dyDescent="0.25">
      <c r="A360" s="14">
        <v>51897</v>
      </c>
      <c r="B360" s="97">
        <v>31</v>
      </c>
      <c r="C360" s="84">
        <f>122.58</f>
        <v>122.58</v>
      </c>
      <c r="D360" s="84">
        <f>297.941</f>
        <v>297.94099999999997</v>
      </c>
      <c r="E360" s="93">
        <f>89.177</f>
        <v>89.177000000000007</v>
      </c>
      <c r="F360" s="84">
        <f>240.302-40-60-100</f>
        <v>40.301999999999992</v>
      </c>
      <c r="G360" s="87">
        <v>40</v>
      </c>
      <c r="H360" s="84">
        <f>60+100</f>
        <v>160</v>
      </c>
      <c r="I360" s="84">
        <f t="shared" si="49"/>
        <v>0</v>
      </c>
      <c r="J360" s="87">
        <v>100</v>
      </c>
      <c r="K360" s="87">
        <v>300</v>
      </c>
      <c r="L360" s="84">
        <f t="shared" si="53"/>
        <v>1150</v>
      </c>
      <c r="M360" s="95">
        <v>600</v>
      </c>
      <c r="N360" s="84">
        <f>100</f>
        <v>100</v>
      </c>
      <c r="O360" s="87">
        <v>240</v>
      </c>
      <c r="P360" s="87">
        <v>40</v>
      </c>
      <c r="Q360" s="87">
        <f t="shared" si="54"/>
        <v>315</v>
      </c>
      <c r="R360" s="87">
        <f t="shared" si="55"/>
        <v>100</v>
      </c>
      <c r="S360" s="84">
        <f t="shared" si="56"/>
        <v>695</v>
      </c>
      <c r="T360" s="84">
        <f>50</f>
        <v>50</v>
      </c>
      <c r="U360" s="85"/>
      <c r="V360" s="85"/>
      <c r="W360" s="85"/>
      <c r="X360" s="85"/>
      <c r="Y360" s="85"/>
      <c r="Z360" s="85"/>
      <c r="AA360" s="85"/>
      <c r="AB360" s="85"/>
      <c r="AC360" s="85"/>
      <c r="AD360" s="85"/>
    </row>
    <row r="361" spans="1:30" ht="15.75" x14ac:dyDescent="0.25">
      <c r="A361" s="14">
        <v>51925</v>
      </c>
      <c r="B361" s="97">
        <v>28</v>
      </c>
      <c r="C361" s="84">
        <f>122.58</f>
        <v>122.58</v>
      </c>
      <c r="D361" s="84">
        <f>297.941</f>
        <v>297.94099999999997</v>
      </c>
      <c r="E361" s="93">
        <f>89.177</f>
        <v>89.177000000000007</v>
      </c>
      <c r="F361" s="84">
        <f>240.302-40-60-100</f>
        <v>40.301999999999992</v>
      </c>
      <c r="G361" s="87">
        <v>40</v>
      </c>
      <c r="H361" s="84">
        <f>60+100</f>
        <v>160</v>
      </c>
      <c r="I361" s="84">
        <f t="shared" si="49"/>
        <v>0</v>
      </c>
      <c r="J361" s="87">
        <v>100</v>
      </c>
      <c r="K361" s="87">
        <v>300</v>
      </c>
      <c r="L361" s="84">
        <f t="shared" si="53"/>
        <v>1150</v>
      </c>
      <c r="M361" s="95">
        <v>600</v>
      </c>
      <c r="N361" s="84">
        <f>100</f>
        <v>100</v>
      </c>
      <c r="O361" s="87">
        <v>240</v>
      </c>
      <c r="P361" s="87">
        <v>40</v>
      </c>
      <c r="Q361" s="87">
        <f t="shared" si="54"/>
        <v>315</v>
      </c>
      <c r="R361" s="87">
        <f t="shared" si="55"/>
        <v>100</v>
      </c>
      <c r="S361" s="84">
        <f t="shared" si="56"/>
        <v>695</v>
      </c>
      <c r="T361" s="84">
        <f>50</f>
        <v>50</v>
      </c>
      <c r="U361" s="85"/>
      <c r="V361" s="85"/>
      <c r="W361" s="85"/>
      <c r="X361" s="85"/>
      <c r="Y361" s="85"/>
      <c r="Z361" s="85"/>
      <c r="AA361" s="85"/>
      <c r="AB361" s="85"/>
      <c r="AC361" s="85"/>
      <c r="AD361" s="85"/>
    </row>
    <row r="362" spans="1:30" ht="15.75" x14ac:dyDescent="0.25">
      <c r="A362" s="14">
        <v>51956</v>
      </c>
      <c r="B362" s="97">
        <v>31</v>
      </c>
      <c r="C362" s="84">
        <f>122.58</f>
        <v>122.58</v>
      </c>
      <c r="D362" s="84">
        <f>297.941</f>
        <v>297.94099999999997</v>
      </c>
      <c r="E362" s="93">
        <f>89.177</f>
        <v>89.177000000000007</v>
      </c>
      <c r="F362" s="84">
        <f>240.302-40-60-100</f>
        <v>40.301999999999992</v>
      </c>
      <c r="G362" s="87">
        <v>40</v>
      </c>
      <c r="H362" s="84">
        <f>60+100</f>
        <v>160</v>
      </c>
      <c r="I362" s="84">
        <f t="shared" si="49"/>
        <v>0</v>
      </c>
      <c r="J362" s="87">
        <v>100</v>
      </c>
      <c r="K362" s="87">
        <v>300</v>
      </c>
      <c r="L362" s="84">
        <f t="shared" si="53"/>
        <v>1150</v>
      </c>
      <c r="M362" s="95">
        <v>600</v>
      </c>
      <c r="N362" s="84">
        <f>100</f>
        <v>100</v>
      </c>
      <c r="O362" s="87">
        <v>240</v>
      </c>
      <c r="P362" s="87">
        <v>40</v>
      </c>
      <c r="Q362" s="87">
        <f t="shared" si="54"/>
        <v>315</v>
      </c>
      <c r="R362" s="87">
        <f t="shared" si="55"/>
        <v>100</v>
      </c>
      <c r="S362" s="84">
        <f t="shared" si="56"/>
        <v>695</v>
      </c>
      <c r="T362" s="84">
        <f>50</f>
        <v>50</v>
      </c>
      <c r="U362" s="85"/>
      <c r="V362" s="85"/>
      <c r="W362" s="85"/>
      <c r="X362" s="85"/>
      <c r="Y362" s="85"/>
      <c r="Z362" s="85"/>
      <c r="AA362" s="85"/>
      <c r="AB362" s="85"/>
      <c r="AC362" s="85"/>
      <c r="AD362" s="85"/>
    </row>
    <row r="363" spans="1:30" ht="15.75" x14ac:dyDescent="0.25">
      <c r="A363" s="14">
        <v>51986</v>
      </c>
      <c r="B363" s="97">
        <v>30</v>
      </c>
      <c r="C363" s="84">
        <f>141.293</f>
        <v>141.29300000000001</v>
      </c>
      <c r="D363" s="84">
        <f>267.993</f>
        <v>267.99299999999999</v>
      </c>
      <c r="E363" s="93">
        <f>115.016</f>
        <v>115.01600000000001</v>
      </c>
      <c r="F363" s="84">
        <f>314.698-40-25-60-100</f>
        <v>89.697999999999979</v>
      </c>
      <c r="G363" s="87">
        <v>40</v>
      </c>
      <c r="H363" s="84">
        <f t="shared" ref="H363:H369" si="58">25+60+100</f>
        <v>185</v>
      </c>
      <c r="I363" s="84">
        <f t="shared" si="49"/>
        <v>0</v>
      </c>
      <c r="J363" s="87">
        <v>100</v>
      </c>
      <c r="K363" s="87">
        <v>300</v>
      </c>
      <c r="L363" s="84">
        <f t="shared" si="53"/>
        <v>1239</v>
      </c>
      <c r="M363" s="95">
        <v>600</v>
      </c>
      <c r="N363" s="84">
        <f>100</f>
        <v>100</v>
      </c>
      <c r="O363" s="87">
        <v>240</v>
      </c>
      <c r="P363" s="87">
        <v>160</v>
      </c>
      <c r="Q363" s="87">
        <f t="shared" si="54"/>
        <v>195</v>
      </c>
      <c r="R363" s="87">
        <f t="shared" si="55"/>
        <v>100</v>
      </c>
      <c r="S363" s="84">
        <f t="shared" si="56"/>
        <v>695</v>
      </c>
      <c r="T363" s="84">
        <f>50</f>
        <v>50</v>
      </c>
      <c r="U363" s="85"/>
      <c r="V363" s="85"/>
      <c r="W363" s="85"/>
      <c r="X363" s="85"/>
      <c r="Y363" s="85"/>
      <c r="Z363" s="85"/>
      <c r="AA363" s="85"/>
      <c r="AB363" s="85"/>
      <c r="AC363" s="85"/>
      <c r="AD363" s="85"/>
    </row>
    <row r="364" spans="1:30" ht="15.75" x14ac:dyDescent="0.25">
      <c r="A364" s="14">
        <v>52017</v>
      </c>
      <c r="B364" s="97">
        <v>31</v>
      </c>
      <c r="C364" s="84">
        <f>194.205</f>
        <v>194.20500000000001</v>
      </c>
      <c r="D364" s="84">
        <f>267.466</f>
        <v>267.46600000000001</v>
      </c>
      <c r="E364" s="93">
        <f>133.845</f>
        <v>133.845</v>
      </c>
      <c r="F364" s="84">
        <f>278.484-40-25-60-100</f>
        <v>53.48399999999998</v>
      </c>
      <c r="G364" s="87">
        <v>40</v>
      </c>
      <c r="H364" s="84">
        <f t="shared" si="58"/>
        <v>185</v>
      </c>
      <c r="I364" s="84">
        <f t="shared" si="49"/>
        <v>0</v>
      </c>
      <c r="J364" s="87">
        <v>100</v>
      </c>
      <c r="K364" s="87">
        <v>300</v>
      </c>
      <c r="L364" s="84">
        <f t="shared" si="53"/>
        <v>1274</v>
      </c>
      <c r="M364" s="95">
        <v>600</v>
      </c>
      <c r="N364" s="84">
        <f>75</f>
        <v>75</v>
      </c>
      <c r="O364" s="87">
        <v>240</v>
      </c>
      <c r="P364" s="87">
        <v>160</v>
      </c>
      <c r="Q364" s="87">
        <f t="shared" si="54"/>
        <v>195</v>
      </c>
      <c r="R364" s="87">
        <f t="shared" si="55"/>
        <v>100</v>
      </c>
      <c r="S364" s="84">
        <f t="shared" si="56"/>
        <v>695</v>
      </c>
      <c r="T364" s="84">
        <f>50</f>
        <v>50</v>
      </c>
      <c r="U364" s="85"/>
      <c r="V364" s="85"/>
      <c r="W364" s="85"/>
      <c r="X364" s="85"/>
      <c r="Y364" s="85"/>
      <c r="Z364" s="85"/>
      <c r="AA364" s="85"/>
      <c r="AB364" s="85"/>
      <c r="AC364" s="85"/>
      <c r="AD364" s="85"/>
    </row>
    <row r="365" spans="1:30" ht="15.75" x14ac:dyDescent="0.25">
      <c r="A365" s="14">
        <v>52047</v>
      </c>
      <c r="B365" s="97">
        <v>30</v>
      </c>
      <c r="C365" s="84">
        <f>194.205</f>
        <v>194.20500000000001</v>
      </c>
      <c r="D365" s="84">
        <f>267.466</f>
        <v>267.46600000000001</v>
      </c>
      <c r="E365" s="93">
        <f>133.845</f>
        <v>133.845</v>
      </c>
      <c r="F365" s="84">
        <f>278.484-40-25-60-100</f>
        <v>53.48399999999998</v>
      </c>
      <c r="G365" s="87">
        <v>40</v>
      </c>
      <c r="H365" s="84">
        <f t="shared" si="58"/>
        <v>185</v>
      </c>
      <c r="I365" s="84">
        <f t="shared" si="49"/>
        <v>0</v>
      </c>
      <c r="J365" s="87">
        <v>100</v>
      </c>
      <c r="K365" s="87">
        <v>300</v>
      </c>
      <c r="L365" s="84">
        <f t="shared" si="53"/>
        <v>1274</v>
      </c>
      <c r="M365" s="95">
        <v>600</v>
      </c>
      <c r="N365" s="84">
        <f>30</f>
        <v>30</v>
      </c>
      <c r="O365" s="87">
        <v>240</v>
      </c>
      <c r="P365" s="87">
        <v>160</v>
      </c>
      <c r="Q365" s="87">
        <f t="shared" si="54"/>
        <v>195</v>
      </c>
      <c r="R365" s="87">
        <f t="shared" si="55"/>
        <v>100</v>
      </c>
      <c r="S365" s="84">
        <f t="shared" si="56"/>
        <v>695</v>
      </c>
      <c r="T365" s="84">
        <f>50</f>
        <v>50</v>
      </c>
      <c r="U365" s="85"/>
      <c r="V365" s="85"/>
      <c r="W365" s="85"/>
      <c r="X365" s="85"/>
      <c r="Y365" s="85"/>
      <c r="Z365" s="85"/>
      <c r="AA365" s="85"/>
      <c r="AB365" s="85"/>
      <c r="AC365" s="85"/>
      <c r="AD365" s="85"/>
    </row>
    <row r="366" spans="1:30" ht="15.75" x14ac:dyDescent="0.25">
      <c r="A366" s="14">
        <v>52078</v>
      </c>
      <c r="B366" s="97">
        <v>31</v>
      </c>
      <c r="C366" s="84">
        <f>194.205</f>
        <v>194.20500000000001</v>
      </c>
      <c r="D366" s="84">
        <f>267.466</f>
        <v>267.46600000000001</v>
      </c>
      <c r="E366" s="93">
        <f>133.845</f>
        <v>133.845</v>
      </c>
      <c r="F366" s="84">
        <f>278.484-40-25-60-100</f>
        <v>53.48399999999998</v>
      </c>
      <c r="G366" s="87">
        <v>40</v>
      </c>
      <c r="H366" s="84">
        <f t="shared" si="58"/>
        <v>185</v>
      </c>
      <c r="I366" s="84">
        <f t="shared" si="49"/>
        <v>0</v>
      </c>
      <c r="J366" s="87">
        <v>100</v>
      </c>
      <c r="K366" s="87">
        <v>300</v>
      </c>
      <c r="L366" s="84">
        <f t="shared" si="53"/>
        <v>1274</v>
      </c>
      <c r="M366" s="95">
        <v>600</v>
      </c>
      <c r="N366" s="84">
        <f>30</f>
        <v>30</v>
      </c>
      <c r="O366" s="87">
        <v>240</v>
      </c>
      <c r="P366" s="87">
        <v>160</v>
      </c>
      <c r="Q366" s="87">
        <f t="shared" si="54"/>
        <v>195</v>
      </c>
      <c r="R366" s="87">
        <f t="shared" si="55"/>
        <v>100</v>
      </c>
      <c r="S366" s="84">
        <f t="shared" si="56"/>
        <v>695</v>
      </c>
      <c r="T366" s="84">
        <f>0</f>
        <v>0</v>
      </c>
      <c r="U366" s="85"/>
      <c r="V366" s="85"/>
      <c r="W366" s="85"/>
      <c r="X366" s="85"/>
      <c r="Y366" s="85"/>
      <c r="Z366" s="85"/>
      <c r="AA366" s="85"/>
      <c r="AB366" s="85"/>
      <c r="AC366" s="85"/>
      <c r="AD366" s="85"/>
    </row>
    <row r="367" spans="1:30" ht="15.75" x14ac:dyDescent="0.25">
      <c r="A367" s="14">
        <v>52109</v>
      </c>
      <c r="B367" s="97">
        <v>31</v>
      </c>
      <c r="C367" s="84">
        <f>194.205</f>
        <v>194.20500000000001</v>
      </c>
      <c r="D367" s="84">
        <f>267.466</f>
        <v>267.46600000000001</v>
      </c>
      <c r="E367" s="93">
        <f>133.845</f>
        <v>133.845</v>
      </c>
      <c r="F367" s="84">
        <f>278.484-40-25-60-100</f>
        <v>53.48399999999998</v>
      </c>
      <c r="G367" s="87">
        <v>40</v>
      </c>
      <c r="H367" s="84">
        <f t="shared" si="58"/>
        <v>185</v>
      </c>
      <c r="I367" s="84">
        <f t="shared" si="49"/>
        <v>0</v>
      </c>
      <c r="J367" s="87">
        <v>100</v>
      </c>
      <c r="K367" s="87">
        <v>300</v>
      </c>
      <c r="L367" s="84">
        <f t="shared" si="53"/>
        <v>1274</v>
      </c>
      <c r="M367" s="95">
        <v>600</v>
      </c>
      <c r="N367" s="84">
        <f>30</f>
        <v>30</v>
      </c>
      <c r="O367" s="87">
        <v>240</v>
      </c>
      <c r="P367" s="87">
        <v>160</v>
      </c>
      <c r="Q367" s="87">
        <f t="shared" si="54"/>
        <v>195</v>
      </c>
      <c r="R367" s="87">
        <f t="shared" si="55"/>
        <v>100</v>
      </c>
      <c r="S367" s="84">
        <f t="shared" si="56"/>
        <v>695</v>
      </c>
      <c r="T367" s="84">
        <f>0</f>
        <v>0</v>
      </c>
      <c r="U367" s="85"/>
      <c r="V367" s="85"/>
      <c r="W367" s="85"/>
      <c r="X367" s="85"/>
      <c r="Y367" s="85"/>
      <c r="Z367" s="85"/>
      <c r="AA367" s="85"/>
      <c r="AB367" s="85"/>
      <c r="AC367" s="85"/>
      <c r="AD367" s="85"/>
    </row>
    <row r="368" spans="1:30" ht="15.75" x14ac:dyDescent="0.25">
      <c r="A368" s="14">
        <v>52139</v>
      </c>
      <c r="B368" s="97">
        <v>30</v>
      </c>
      <c r="C368" s="84">
        <f>194.205</f>
        <v>194.20500000000001</v>
      </c>
      <c r="D368" s="84">
        <f>267.466</f>
        <v>267.46600000000001</v>
      </c>
      <c r="E368" s="93">
        <f>133.845</f>
        <v>133.845</v>
      </c>
      <c r="F368" s="84">
        <f>278.484-40-25-60-100</f>
        <v>53.48399999999998</v>
      </c>
      <c r="G368" s="87">
        <v>40</v>
      </c>
      <c r="H368" s="84">
        <f t="shared" si="58"/>
        <v>185</v>
      </c>
      <c r="I368" s="84">
        <f t="shared" si="49"/>
        <v>0</v>
      </c>
      <c r="J368" s="87">
        <v>100</v>
      </c>
      <c r="K368" s="87">
        <v>300</v>
      </c>
      <c r="L368" s="84">
        <f t="shared" si="53"/>
        <v>1274</v>
      </c>
      <c r="M368" s="95">
        <v>600</v>
      </c>
      <c r="N368" s="84">
        <f>30</f>
        <v>30</v>
      </c>
      <c r="O368" s="87">
        <v>240</v>
      </c>
      <c r="P368" s="87">
        <v>160</v>
      </c>
      <c r="Q368" s="87">
        <f t="shared" si="54"/>
        <v>195</v>
      </c>
      <c r="R368" s="87">
        <f t="shared" si="55"/>
        <v>100</v>
      </c>
      <c r="S368" s="84">
        <f t="shared" si="56"/>
        <v>695</v>
      </c>
      <c r="T368" s="84">
        <f>0</f>
        <v>0</v>
      </c>
      <c r="U368" s="85"/>
      <c r="V368" s="85"/>
      <c r="W368" s="85"/>
      <c r="X368" s="85"/>
      <c r="Y368" s="85"/>
      <c r="Z368" s="85"/>
      <c r="AA368" s="85"/>
      <c r="AB368" s="85"/>
      <c r="AC368" s="85"/>
      <c r="AD368" s="85"/>
    </row>
    <row r="369" spans="1:30" ht="15.75" x14ac:dyDescent="0.25">
      <c r="A369" s="14">
        <v>52170</v>
      </c>
      <c r="B369" s="97">
        <v>31</v>
      </c>
      <c r="C369" s="84">
        <f>131.881</f>
        <v>131.881</v>
      </c>
      <c r="D369" s="84">
        <f>277.167</f>
        <v>277.16699999999997</v>
      </c>
      <c r="E369" s="93">
        <f>79.08</f>
        <v>79.08</v>
      </c>
      <c r="F369" s="84">
        <f>350.872-40-25-60-100</f>
        <v>125.87200000000001</v>
      </c>
      <c r="G369" s="87">
        <v>40</v>
      </c>
      <c r="H369" s="84">
        <f t="shared" si="58"/>
        <v>185</v>
      </c>
      <c r="I369" s="84">
        <f t="shared" si="49"/>
        <v>0</v>
      </c>
      <c r="J369" s="87">
        <v>100</v>
      </c>
      <c r="K369" s="87">
        <v>300</v>
      </c>
      <c r="L369" s="84">
        <f t="shared" si="53"/>
        <v>1239</v>
      </c>
      <c r="M369" s="95">
        <v>600</v>
      </c>
      <c r="N369" s="84">
        <f>75</f>
        <v>75</v>
      </c>
      <c r="O369" s="87">
        <v>240</v>
      </c>
      <c r="P369" s="87">
        <v>160</v>
      </c>
      <c r="Q369" s="87">
        <f t="shared" si="54"/>
        <v>195</v>
      </c>
      <c r="R369" s="87">
        <f t="shared" si="55"/>
        <v>100</v>
      </c>
      <c r="S369" s="84">
        <f t="shared" si="56"/>
        <v>695</v>
      </c>
      <c r="T369" s="84">
        <f>0</f>
        <v>0</v>
      </c>
      <c r="U369" s="85"/>
      <c r="V369" s="85"/>
      <c r="W369" s="85"/>
      <c r="X369" s="85"/>
      <c r="Y369" s="85"/>
      <c r="Z369" s="85"/>
      <c r="AA369" s="85"/>
      <c r="AB369" s="85"/>
      <c r="AC369" s="85"/>
      <c r="AD369" s="85"/>
    </row>
    <row r="370" spans="1:30" ht="15.75" x14ac:dyDescent="0.25">
      <c r="A370" s="14">
        <v>52200</v>
      </c>
      <c r="B370" s="97">
        <v>30</v>
      </c>
      <c r="C370" s="84">
        <f>122.58</f>
        <v>122.58</v>
      </c>
      <c r="D370" s="84">
        <f>297.941</f>
        <v>297.94099999999997</v>
      </c>
      <c r="E370" s="93">
        <f>89.177</f>
        <v>89.177000000000007</v>
      </c>
      <c r="F370" s="84">
        <f>240.302-40-60-100</f>
        <v>40.301999999999992</v>
      </c>
      <c r="G370" s="87">
        <v>40</v>
      </c>
      <c r="H370" s="84">
        <f>60+100</f>
        <v>160</v>
      </c>
      <c r="I370" s="84">
        <f t="shared" si="49"/>
        <v>0</v>
      </c>
      <c r="J370" s="87">
        <v>100</v>
      </c>
      <c r="K370" s="87">
        <v>300</v>
      </c>
      <c r="L370" s="84">
        <f t="shared" si="53"/>
        <v>1150</v>
      </c>
      <c r="M370" s="95">
        <v>600</v>
      </c>
      <c r="N370" s="84">
        <f>100</f>
        <v>100</v>
      </c>
      <c r="O370" s="87">
        <v>240</v>
      </c>
      <c r="P370" s="87">
        <v>40</v>
      </c>
      <c r="Q370" s="87">
        <f t="shared" si="54"/>
        <v>315</v>
      </c>
      <c r="R370" s="87">
        <f t="shared" si="55"/>
        <v>100</v>
      </c>
      <c r="S370" s="84">
        <f t="shared" si="56"/>
        <v>695</v>
      </c>
      <c r="T370" s="84">
        <f>50</f>
        <v>50</v>
      </c>
      <c r="U370" s="85"/>
      <c r="V370" s="85"/>
      <c r="W370" s="85"/>
      <c r="X370" s="85"/>
      <c r="Y370" s="85"/>
      <c r="Z370" s="85"/>
      <c r="AA370" s="85"/>
      <c r="AB370" s="85"/>
      <c r="AC370" s="85"/>
      <c r="AD370" s="85"/>
    </row>
    <row r="371" spans="1:30" ht="15.75" x14ac:dyDescent="0.25">
      <c r="A371" s="14">
        <v>52231</v>
      </c>
      <c r="B371" s="97">
        <v>31</v>
      </c>
      <c r="C371" s="84">
        <f>122.58</f>
        <v>122.58</v>
      </c>
      <c r="D371" s="84">
        <f>297.941</f>
        <v>297.94099999999997</v>
      </c>
      <c r="E371" s="93">
        <f>89.177</f>
        <v>89.177000000000007</v>
      </c>
      <c r="F371" s="84">
        <f>240.302-40-60-100</f>
        <v>40.301999999999992</v>
      </c>
      <c r="G371" s="87">
        <v>40</v>
      </c>
      <c r="H371" s="84">
        <f>60+100</f>
        <v>160</v>
      </c>
      <c r="I371" s="84">
        <f t="shared" si="49"/>
        <v>0</v>
      </c>
      <c r="J371" s="87">
        <v>100</v>
      </c>
      <c r="K371" s="87">
        <v>300</v>
      </c>
      <c r="L371" s="84">
        <f t="shared" si="53"/>
        <v>1150</v>
      </c>
      <c r="M371" s="95">
        <v>600</v>
      </c>
      <c r="N371" s="84">
        <f>100</f>
        <v>100</v>
      </c>
      <c r="O371" s="87">
        <v>240</v>
      </c>
      <c r="P371" s="87">
        <v>40</v>
      </c>
      <c r="Q371" s="87">
        <f t="shared" si="54"/>
        <v>315</v>
      </c>
      <c r="R371" s="87">
        <f t="shared" si="55"/>
        <v>100</v>
      </c>
      <c r="S371" s="84">
        <f t="shared" si="56"/>
        <v>695</v>
      </c>
      <c r="T371" s="84">
        <f>50</f>
        <v>50</v>
      </c>
      <c r="U371" s="85"/>
      <c r="V371" s="85"/>
      <c r="W371" s="85"/>
      <c r="X371" s="85"/>
      <c r="Y371" s="85"/>
      <c r="Z371" s="85"/>
      <c r="AA371" s="85"/>
      <c r="AB371" s="85"/>
      <c r="AC371" s="85"/>
      <c r="AD371" s="85"/>
    </row>
    <row r="372" spans="1:30" ht="15.75" x14ac:dyDescent="0.25">
      <c r="A372" s="14">
        <v>52262</v>
      </c>
      <c r="B372" s="97">
        <v>31</v>
      </c>
      <c r="C372" s="84">
        <f>122.58</f>
        <v>122.58</v>
      </c>
      <c r="D372" s="84">
        <f>297.941</f>
        <v>297.94099999999997</v>
      </c>
      <c r="E372" s="93">
        <f>89.177</f>
        <v>89.177000000000007</v>
      </c>
      <c r="F372" s="84">
        <f>240.302-40-60-100</f>
        <v>40.301999999999992</v>
      </c>
      <c r="G372" s="87">
        <v>40</v>
      </c>
      <c r="H372" s="84">
        <f>60+100</f>
        <v>160</v>
      </c>
      <c r="I372" s="84">
        <f t="shared" ref="I372:I435" si="59">400-J372-K372</f>
        <v>0</v>
      </c>
      <c r="J372" s="87">
        <v>100</v>
      </c>
      <c r="K372" s="87">
        <v>300</v>
      </c>
      <c r="L372" s="84">
        <f t="shared" si="53"/>
        <v>1150</v>
      </c>
      <c r="M372" s="95">
        <v>600</v>
      </c>
      <c r="N372" s="84">
        <f>100</f>
        <v>100</v>
      </c>
      <c r="O372" s="87">
        <v>240</v>
      </c>
      <c r="P372" s="87">
        <v>40</v>
      </c>
      <c r="Q372" s="87">
        <f t="shared" si="54"/>
        <v>315</v>
      </c>
      <c r="R372" s="87">
        <f t="shared" si="55"/>
        <v>100</v>
      </c>
      <c r="S372" s="84">
        <f t="shared" si="56"/>
        <v>695</v>
      </c>
      <c r="T372" s="84">
        <f>50</f>
        <v>50</v>
      </c>
      <c r="U372" s="85"/>
      <c r="V372" s="85"/>
      <c r="W372" s="85"/>
      <c r="X372" s="85"/>
      <c r="Y372" s="85"/>
      <c r="Z372" s="85"/>
      <c r="AA372" s="85"/>
      <c r="AB372" s="85"/>
      <c r="AC372" s="85"/>
      <c r="AD372" s="85"/>
    </row>
    <row r="373" spans="1:30" ht="15.75" x14ac:dyDescent="0.25">
      <c r="A373" s="14">
        <v>52290</v>
      </c>
      <c r="B373" s="97">
        <v>28</v>
      </c>
      <c r="C373" s="84">
        <f>122.58</f>
        <v>122.58</v>
      </c>
      <c r="D373" s="84">
        <f>297.941</f>
        <v>297.94099999999997</v>
      </c>
      <c r="E373" s="93">
        <f>89.177</f>
        <v>89.177000000000007</v>
      </c>
      <c r="F373" s="84">
        <f>240.302-40-60-100</f>
        <v>40.301999999999992</v>
      </c>
      <c r="G373" s="87">
        <v>40</v>
      </c>
      <c r="H373" s="84">
        <f>60+100</f>
        <v>160</v>
      </c>
      <c r="I373" s="84">
        <f t="shared" si="59"/>
        <v>0</v>
      </c>
      <c r="J373" s="87">
        <v>100</v>
      </c>
      <c r="K373" s="87">
        <v>300</v>
      </c>
      <c r="L373" s="84">
        <f t="shared" si="53"/>
        <v>1150</v>
      </c>
      <c r="M373" s="95">
        <v>600</v>
      </c>
      <c r="N373" s="84">
        <f>100</f>
        <v>100</v>
      </c>
      <c r="O373" s="87">
        <v>240</v>
      </c>
      <c r="P373" s="87">
        <v>40</v>
      </c>
      <c r="Q373" s="87">
        <f t="shared" si="54"/>
        <v>315</v>
      </c>
      <c r="R373" s="87">
        <f t="shared" si="55"/>
        <v>100</v>
      </c>
      <c r="S373" s="84">
        <f t="shared" si="56"/>
        <v>695</v>
      </c>
      <c r="T373" s="84">
        <f>50</f>
        <v>50</v>
      </c>
      <c r="U373" s="85"/>
      <c r="V373" s="85"/>
      <c r="W373" s="85"/>
      <c r="X373" s="85"/>
      <c r="Y373" s="85"/>
      <c r="Z373" s="85"/>
      <c r="AA373" s="85"/>
      <c r="AB373" s="85"/>
      <c r="AC373" s="85"/>
      <c r="AD373" s="85"/>
    </row>
    <row r="374" spans="1:30" ht="15.75" x14ac:dyDescent="0.25">
      <c r="A374" s="14">
        <v>52321</v>
      </c>
      <c r="B374" s="97">
        <v>31</v>
      </c>
      <c r="C374" s="84">
        <f>122.58</f>
        <v>122.58</v>
      </c>
      <c r="D374" s="84">
        <f>297.941</f>
        <v>297.94099999999997</v>
      </c>
      <c r="E374" s="93">
        <f>89.177</f>
        <v>89.177000000000007</v>
      </c>
      <c r="F374" s="84">
        <f>240.302-40-60-100</f>
        <v>40.301999999999992</v>
      </c>
      <c r="G374" s="87">
        <v>40</v>
      </c>
      <c r="H374" s="84">
        <f>60+100</f>
        <v>160</v>
      </c>
      <c r="I374" s="84">
        <f t="shared" si="59"/>
        <v>0</v>
      </c>
      <c r="J374" s="87">
        <v>100</v>
      </c>
      <c r="K374" s="87">
        <v>300</v>
      </c>
      <c r="L374" s="84">
        <f t="shared" si="53"/>
        <v>1150</v>
      </c>
      <c r="M374" s="95">
        <v>600</v>
      </c>
      <c r="N374" s="84">
        <f>100</f>
        <v>100</v>
      </c>
      <c r="O374" s="87">
        <v>240</v>
      </c>
      <c r="P374" s="87">
        <v>40</v>
      </c>
      <c r="Q374" s="87">
        <f t="shared" si="54"/>
        <v>315</v>
      </c>
      <c r="R374" s="87">
        <f t="shared" si="55"/>
        <v>100</v>
      </c>
      <c r="S374" s="84">
        <f t="shared" si="56"/>
        <v>695</v>
      </c>
      <c r="T374" s="84">
        <f>50</f>
        <v>50</v>
      </c>
      <c r="U374" s="85"/>
      <c r="V374" s="85"/>
      <c r="W374" s="85"/>
      <c r="X374" s="85"/>
      <c r="Y374" s="85"/>
      <c r="Z374" s="85"/>
      <c r="AA374" s="85"/>
      <c r="AB374" s="85"/>
      <c r="AC374" s="85"/>
      <c r="AD374" s="85"/>
    </row>
    <row r="375" spans="1:30" ht="15.75" x14ac:dyDescent="0.25">
      <c r="A375" s="14">
        <v>52351</v>
      </c>
      <c r="B375" s="97">
        <v>30</v>
      </c>
      <c r="C375" s="84">
        <f>141.293</f>
        <v>141.29300000000001</v>
      </c>
      <c r="D375" s="84">
        <f>267.993</f>
        <v>267.99299999999999</v>
      </c>
      <c r="E375" s="93">
        <f>115.016</f>
        <v>115.01600000000001</v>
      </c>
      <c r="F375" s="84">
        <f>314.698-40-25-60-100</f>
        <v>89.697999999999979</v>
      </c>
      <c r="G375" s="87">
        <v>40</v>
      </c>
      <c r="H375" s="84">
        <f t="shared" ref="H375:H381" si="60">25+60+100</f>
        <v>185</v>
      </c>
      <c r="I375" s="84">
        <f t="shared" si="59"/>
        <v>0</v>
      </c>
      <c r="J375" s="87">
        <v>100</v>
      </c>
      <c r="K375" s="87">
        <v>300</v>
      </c>
      <c r="L375" s="84">
        <f t="shared" si="53"/>
        <v>1239</v>
      </c>
      <c r="M375" s="95">
        <v>600</v>
      </c>
      <c r="N375" s="84">
        <f>100</f>
        <v>100</v>
      </c>
      <c r="O375" s="87">
        <v>240</v>
      </c>
      <c r="P375" s="87">
        <v>160</v>
      </c>
      <c r="Q375" s="87">
        <f t="shared" si="54"/>
        <v>195</v>
      </c>
      <c r="R375" s="87">
        <f t="shared" si="55"/>
        <v>100</v>
      </c>
      <c r="S375" s="84">
        <f t="shared" si="56"/>
        <v>695</v>
      </c>
      <c r="T375" s="84">
        <f>50</f>
        <v>50</v>
      </c>
      <c r="U375" s="85"/>
      <c r="V375" s="85"/>
      <c r="W375" s="85"/>
      <c r="X375" s="85"/>
      <c r="Y375" s="85"/>
      <c r="Z375" s="85"/>
      <c r="AA375" s="85"/>
      <c r="AB375" s="85"/>
      <c r="AC375" s="85"/>
      <c r="AD375" s="85"/>
    </row>
    <row r="376" spans="1:30" ht="15.75" x14ac:dyDescent="0.25">
      <c r="A376" s="14">
        <v>52382</v>
      </c>
      <c r="B376" s="97">
        <v>31</v>
      </c>
      <c r="C376" s="84">
        <f>194.205</f>
        <v>194.20500000000001</v>
      </c>
      <c r="D376" s="84">
        <f>267.466</f>
        <v>267.46600000000001</v>
      </c>
      <c r="E376" s="93">
        <f>133.845</f>
        <v>133.845</v>
      </c>
      <c r="F376" s="84">
        <f>278.484-40-25-60-100</f>
        <v>53.48399999999998</v>
      </c>
      <c r="G376" s="87">
        <v>40</v>
      </c>
      <c r="H376" s="84">
        <f t="shared" si="60"/>
        <v>185</v>
      </c>
      <c r="I376" s="84">
        <f t="shared" si="59"/>
        <v>0</v>
      </c>
      <c r="J376" s="87">
        <v>100</v>
      </c>
      <c r="K376" s="87">
        <v>300</v>
      </c>
      <c r="L376" s="84">
        <f t="shared" si="53"/>
        <v>1274</v>
      </c>
      <c r="M376" s="95">
        <v>600</v>
      </c>
      <c r="N376" s="84">
        <f>75</f>
        <v>75</v>
      </c>
      <c r="O376" s="87">
        <v>240</v>
      </c>
      <c r="P376" s="87">
        <v>160</v>
      </c>
      <c r="Q376" s="87">
        <f t="shared" si="54"/>
        <v>195</v>
      </c>
      <c r="R376" s="87">
        <f t="shared" si="55"/>
        <v>100</v>
      </c>
      <c r="S376" s="84">
        <f t="shared" si="56"/>
        <v>695</v>
      </c>
      <c r="T376" s="84">
        <f>50</f>
        <v>50</v>
      </c>
      <c r="U376" s="85"/>
      <c r="V376" s="85"/>
      <c r="W376" s="85"/>
      <c r="X376" s="85"/>
      <c r="Y376" s="85"/>
      <c r="Z376" s="85"/>
      <c r="AA376" s="85"/>
      <c r="AB376" s="85"/>
      <c r="AC376" s="85"/>
      <c r="AD376" s="85"/>
    </row>
    <row r="377" spans="1:30" ht="15.75" x14ac:dyDescent="0.25">
      <c r="A377" s="14">
        <v>52412</v>
      </c>
      <c r="B377" s="97">
        <v>30</v>
      </c>
      <c r="C377" s="84">
        <f>194.205</f>
        <v>194.20500000000001</v>
      </c>
      <c r="D377" s="84">
        <f>267.466</f>
        <v>267.46600000000001</v>
      </c>
      <c r="E377" s="93">
        <f>133.845</f>
        <v>133.845</v>
      </c>
      <c r="F377" s="84">
        <f>278.484-40-25-60-100</f>
        <v>53.48399999999998</v>
      </c>
      <c r="G377" s="87">
        <v>40</v>
      </c>
      <c r="H377" s="84">
        <f t="shared" si="60"/>
        <v>185</v>
      </c>
      <c r="I377" s="84">
        <f t="shared" si="59"/>
        <v>0</v>
      </c>
      <c r="J377" s="87">
        <v>100</v>
      </c>
      <c r="K377" s="87">
        <v>300</v>
      </c>
      <c r="L377" s="84">
        <f t="shared" si="53"/>
        <v>1274</v>
      </c>
      <c r="M377" s="95">
        <v>600</v>
      </c>
      <c r="N377" s="84">
        <f>30</f>
        <v>30</v>
      </c>
      <c r="O377" s="87">
        <v>240</v>
      </c>
      <c r="P377" s="87">
        <v>160</v>
      </c>
      <c r="Q377" s="87">
        <f t="shared" si="54"/>
        <v>195</v>
      </c>
      <c r="R377" s="87">
        <f t="shared" si="55"/>
        <v>100</v>
      </c>
      <c r="S377" s="84">
        <f t="shared" si="56"/>
        <v>695</v>
      </c>
      <c r="T377" s="84">
        <f>50</f>
        <v>50</v>
      </c>
      <c r="U377" s="85"/>
      <c r="V377" s="85"/>
      <c r="W377" s="85"/>
      <c r="X377" s="85"/>
      <c r="Y377" s="85"/>
      <c r="Z377" s="85"/>
      <c r="AA377" s="85"/>
      <c r="AB377" s="85"/>
      <c r="AC377" s="85"/>
      <c r="AD377" s="85"/>
    </row>
    <row r="378" spans="1:30" ht="15.75" x14ac:dyDescent="0.25">
      <c r="A378" s="14">
        <v>52443</v>
      </c>
      <c r="B378" s="97">
        <v>31</v>
      </c>
      <c r="C378" s="84">
        <f>194.205</f>
        <v>194.20500000000001</v>
      </c>
      <c r="D378" s="84">
        <f>267.466</f>
        <v>267.46600000000001</v>
      </c>
      <c r="E378" s="93">
        <f>133.845</f>
        <v>133.845</v>
      </c>
      <c r="F378" s="84">
        <f>278.484-40-25-60-100</f>
        <v>53.48399999999998</v>
      </c>
      <c r="G378" s="87">
        <v>40</v>
      </c>
      <c r="H378" s="84">
        <f t="shared" si="60"/>
        <v>185</v>
      </c>
      <c r="I378" s="84">
        <f t="shared" si="59"/>
        <v>0</v>
      </c>
      <c r="J378" s="87">
        <v>100</v>
      </c>
      <c r="K378" s="87">
        <v>300</v>
      </c>
      <c r="L378" s="84">
        <f t="shared" si="53"/>
        <v>1274</v>
      </c>
      <c r="M378" s="95">
        <v>600</v>
      </c>
      <c r="N378" s="84">
        <f>30</f>
        <v>30</v>
      </c>
      <c r="O378" s="87">
        <v>240</v>
      </c>
      <c r="P378" s="87">
        <v>160</v>
      </c>
      <c r="Q378" s="87">
        <f t="shared" si="54"/>
        <v>195</v>
      </c>
      <c r="R378" s="87">
        <f t="shared" si="55"/>
        <v>100</v>
      </c>
      <c r="S378" s="84">
        <f t="shared" si="56"/>
        <v>695</v>
      </c>
      <c r="T378" s="84">
        <f>0</f>
        <v>0</v>
      </c>
      <c r="U378" s="85"/>
      <c r="V378" s="85"/>
      <c r="W378" s="85"/>
      <c r="X378" s="85"/>
      <c r="Y378" s="85"/>
      <c r="Z378" s="85"/>
      <c r="AA378" s="85"/>
      <c r="AB378" s="85"/>
      <c r="AC378" s="85"/>
      <c r="AD378" s="85"/>
    </row>
    <row r="379" spans="1:30" ht="15.75" x14ac:dyDescent="0.25">
      <c r="A379" s="14">
        <v>52474</v>
      </c>
      <c r="B379" s="97">
        <v>31</v>
      </c>
      <c r="C379" s="84">
        <f>194.205</f>
        <v>194.20500000000001</v>
      </c>
      <c r="D379" s="84">
        <f>267.466</f>
        <v>267.46600000000001</v>
      </c>
      <c r="E379" s="93">
        <f>133.845</f>
        <v>133.845</v>
      </c>
      <c r="F379" s="84">
        <f>278.484-40-25-60-100</f>
        <v>53.48399999999998</v>
      </c>
      <c r="G379" s="87">
        <v>40</v>
      </c>
      <c r="H379" s="84">
        <f t="shared" si="60"/>
        <v>185</v>
      </c>
      <c r="I379" s="84">
        <f t="shared" si="59"/>
        <v>0</v>
      </c>
      <c r="J379" s="87">
        <v>100</v>
      </c>
      <c r="K379" s="87">
        <v>300</v>
      </c>
      <c r="L379" s="84">
        <f t="shared" si="53"/>
        <v>1274</v>
      </c>
      <c r="M379" s="95">
        <v>600</v>
      </c>
      <c r="N379" s="84">
        <f>30</f>
        <v>30</v>
      </c>
      <c r="O379" s="87">
        <v>240</v>
      </c>
      <c r="P379" s="87">
        <v>160</v>
      </c>
      <c r="Q379" s="87">
        <f t="shared" si="54"/>
        <v>195</v>
      </c>
      <c r="R379" s="87">
        <f t="shared" si="55"/>
        <v>100</v>
      </c>
      <c r="S379" s="84">
        <f t="shared" si="56"/>
        <v>695</v>
      </c>
      <c r="T379" s="84">
        <f>0</f>
        <v>0</v>
      </c>
      <c r="U379" s="85"/>
      <c r="V379" s="85"/>
      <c r="W379" s="85"/>
      <c r="X379" s="85"/>
      <c r="Y379" s="85"/>
      <c r="Z379" s="85"/>
      <c r="AA379" s="85"/>
      <c r="AB379" s="85"/>
      <c r="AC379" s="85"/>
      <c r="AD379" s="85"/>
    </row>
    <row r="380" spans="1:30" ht="15.75" x14ac:dyDescent="0.25">
      <c r="A380" s="14">
        <v>52504</v>
      </c>
      <c r="B380" s="97">
        <v>30</v>
      </c>
      <c r="C380" s="84">
        <f>194.205</f>
        <v>194.20500000000001</v>
      </c>
      <c r="D380" s="84">
        <f>267.466</f>
        <v>267.46600000000001</v>
      </c>
      <c r="E380" s="93">
        <f>133.845</f>
        <v>133.845</v>
      </c>
      <c r="F380" s="84">
        <f>278.484-40-25-60-100</f>
        <v>53.48399999999998</v>
      </c>
      <c r="G380" s="87">
        <v>40</v>
      </c>
      <c r="H380" s="84">
        <f t="shared" si="60"/>
        <v>185</v>
      </c>
      <c r="I380" s="84">
        <f t="shared" si="59"/>
        <v>0</v>
      </c>
      <c r="J380" s="87">
        <v>100</v>
      </c>
      <c r="K380" s="87">
        <v>300</v>
      </c>
      <c r="L380" s="84">
        <f t="shared" si="53"/>
        <v>1274</v>
      </c>
      <c r="M380" s="95">
        <v>600</v>
      </c>
      <c r="N380" s="84">
        <f>30</f>
        <v>30</v>
      </c>
      <c r="O380" s="87">
        <v>240</v>
      </c>
      <c r="P380" s="87">
        <v>160</v>
      </c>
      <c r="Q380" s="87">
        <f t="shared" si="54"/>
        <v>195</v>
      </c>
      <c r="R380" s="87">
        <f t="shared" si="55"/>
        <v>100</v>
      </c>
      <c r="S380" s="84">
        <f t="shared" si="56"/>
        <v>695</v>
      </c>
      <c r="T380" s="84">
        <f>0</f>
        <v>0</v>
      </c>
      <c r="U380" s="85"/>
      <c r="V380" s="85"/>
      <c r="W380" s="85"/>
      <c r="X380" s="85"/>
      <c r="Y380" s="85"/>
      <c r="Z380" s="85"/>
      <c r="AA380" s="85"/>
      <c r="AB380" s="85"/>
      <c r="AC380" s="85"/>
      <c r="AD380" s="85"/>
    </row>
    <row r="381" spans="1:30" ht="15.75" x14ac:dyDescent="0.25">
      <c r="A381" s="14">
        <v>52535</v>
      </c>
      <c r="B381" s="97">
        <v>31</v>
      </c>
      <c r="C381" s="84">
        <f>131.881</f>
        <v>131.881</v>
      </c>
      <c r="D381" s="84">
        <f>277.167</f>
        <v>277.16699999999997</v>
      </c>
      <c r="E381" s="93">
        <f>79.08</f>
        <v>79.08</v>
      </c>
      <c r="F381" s="84">
        <f>350.872-40-25-60-100</f>
        <v>125.87200000000001</v>
      </c>
      <c r="G381" s="87">
        <v>40</v>
      </c>
      <c r="H381" s="84">
        <f t="shared" si="60"/>
        <v>185</v>
      </c>
      <c r="I381" s="84">
        <f t="shared" si="59"/>
        <v>0</v>
      </c>
      <c r="J381" s="87">
        <v>100</v>
      </c>
      <c r="K381" s="87">
        <v>300</v>
      </c>
      <c r="L381" s="84">
        <f t="shared" si="53"/>
        <v>1239</v>
      </c>
      <c r="M381" s="95">
        <v>600</v>
      </c>
      <c r="N381" s="84">
        <f>75</f>
        <v>75</v>
      </c>
      <c r="O381" s="87">
        <v>240</v>
      </c>
      <c r="P381" s="87">
        <v>160</v>
      </c>
      <c r="Q381" s="87">
        <f t="shared" si="54"/>
        <v>195</v>
      </c>
      <c r="R381" s="87">
        <f t="shared" si="55"/>
        <v>100</v>
      </c>
      <c r="S381" s="84">
        <f t="shared" si="56"/>
        <v>695</v>
      </c>
      <c r="T381" s="84">
        <f>0</f>
        <v>0</v>
      </c>
      <c r="U381" s="85"/>
      <c r="V381" s="85"/>
      <c r="W381" s="85"/>
      <c r="X381" s="85"/>
      <c r="Y381" s="85"/>
      <c r="Z381" s="85"/>
      <c r="AA381" s="85"/>
      <c r="AB381" s="85"/>
      <c r="AC381" s="85"/>
      <c r="AD381" s="85"/>
    </row>
    <row r="382" spans="1:30" ht="15.75" x14ac:dyDescent="0.25">
      <c r="A382" s="14">
        <v>52565</v>
      </c>
      <c r="B382" s="97">
        <v>30</v>
      </c>
      <c r="C382" s="84">
        <f>122.58</f>
        <v>122.58</v>
      </c>
      <c r="D382" s="84">
        <f>297.941</f>
        <v>297.94099999999997</v>
      </c>
      <c r="E382" s="93">
        <f>89.177</f>
        <v>89.177000000000007</v>
      </c>
      <c r="F382" s="84">
        <f>240.302-40-60-100</f>
        <v>40.301999999999992</v>
      </c>
      <c r="G382" s="87">
        <v>40</v>
      </c>
      <c r="H382" s="84">
        <f>60+100</f>
        <v>160</v>
      </c>
      <c r="I382" s="84">
        <f t="shared" si="59"/>
        <v>0</v>
      </c>
      <c r="J382" s="87">
        <v>100</v>
      </c>
      <c r="K382" s="87">
        <v>300</v>
      </c>
      <c r="L382" s="84">
        <f t="shared" si="53"/>
        <v>1150</v>
      </c>
      <c r="M382" s="95">
        <v>600</v>
      </c>
      <c r="N382" s="84">
        <f>100</f>
        <v>100</v>
      </c>
      <c r="O382" s="87">
        <v>240</v>
      </c>
      <c r="P382" s="87">
        <v>40</v>
      </c>
      <c r="Q382" s="87">
        <f t="shared" si="54"/>
        <v>315</v>
      </c>
      <c r="R382" s="87">
        <f t="shared" si="55"/>
        <v>100</v>
      </c>
      <c r="S382" s="84">
        <f t="shared" si="56"/>
        <v>695</v>
      </c>
      <c r="T382" s="84">
        <f>50</f>
        <v>50</v>
      </c>
      <c r="U382" s="85"/>
      <c r="V382" s="85"/>
      <c r="W382" s="85"/>
      <c r="X382" s="85"/>
      <c r="Y382" s="85"/>
      <c r="Z382" s="85"/>
      <c r="AA382" s="85"/>
      <c r="AB382" s="85"/>
      <c r="AC382" s="85"/>
      <c r="AD382" s="85"/>
    </row>
    <row r="383" spans="1:30" ht="15.75" x14ac:dyDescent="0.25">
      <c r="A383" s="14">
        <v>52596</v>
      </c>
      <c r="B383" s="97">
        <v>31</v>
      </c>
      <c r="C383" s="84">
        <f>122.58</f>
        <v>122.58</v>
      </c>
      <c r="D383" s="84">
        <f>297.941</f>
        <v>297.94099999999997</v>
      </c>
      <c r="E383" s="93">
        <f>89.177</f>
        <v>89.177000000000007</v>
      </c>
      <c r="F383" s="84">
        <f>240.302-40-60-100</f>
        <v>40.301999999999992</v>
      </c>
      <c r="G383" s="87">
        <v>40</v>
      </c>
      <c r="H383" s="84">
        <f>60+100</f>
        <v>160</v>
      </c>
      <c r="I383" s="84">
        <f t="shared" si="59"/>
        <v>0</v>
      </c>
      <c r="J383" s="87">
        <v>100</v>
      </c>
      <c r="K383" s="87">
        <v>300</v>
      </c>
      <c r="L383" s="84">
        <f t="shared" si="53"/>
        <v>1150</v>
      </c>
      <c r="M383" s="95">
        <v>600</v>
      </c>
      <c r="N383" s="84">
        <f>100</f>
        <v>100</v>
      </c>
      <c r="O383" s="87">
        <v>240</v>
      </c>
      <c r="P383" s="87">
        <v>40</v>
      </c>
      <c r="Q383" s="87">
        <f t="shared" si="54"/>
        <v>315</v>
      </c>
      <c r="R383" s="87">
        <f t="shared" si="55"/>
        <v>100</v>
      </c>
      <c r="S383" s="84">
        <f t="shared" si="56"/>
        <v>695</v>
      </c>
      <c r="T383" s="84">
        <f>50</f>
        <v>50</v>
      </c>
      <c r="U383" s="85"/>
      <c r="V383" s="85"/>
      <c r="W383" s="85"/>
      <c r="X383" s="85"/>
      <c r="Y383" s="85"/>
      <c r="Z383" s="85"/>
      <c r="AA383" s="85"/>
      <c r="AB383" s="85"/>
      <c r="AC383" s="85"/>
      <c r="AD383" s="85"/>
    </row>
    <row r="384" spans="1:30" ht="15.75" x14ac:dyDescent="0.25">
      <c r="A384" s="14">
        <v>52627</v>
      </c>
      <c r="B384" s="97">
        <v>31</v>
      </c>
      <c r="C384" s="84">
        <f>122.58</f>
        <v>122.58</v>
      </c>
      <c r="D384" s="84">
        <f>297.941</f>
        <v>297.94099999999997</v>
      </c>
      <c r="E384" s="93">
        <f>89.177</f>
        <v>89.177000000000007</v>
      </c>
      <c r="F384" s="84">
        <f>240.302-40-60-100</f>
        <v>40.301999999999992</v>
      </c>
      <c r="G384" s="87">
        <v>40</v>
      </c>
      <c r="H384" s="84">
        <f>60+100</f>
        <v>160</v>
      </c>
      <c r="I384" s="84">
        <f t="shared" si="59"/>
        <v>0</v>
      </c>
      <c r="J384" s="87">
        <v>100</v>
      </c>
      <c r="K384" s="87">
        <v>300</v>
      </c>
      <c r="L384" s="84">
        <f t="shared" si="53"/>
        <v>1150</v>
      </c>
      <c r="M384" s="95">
        <v>600</v>
      </c>
      <c r="N384" s="84">
        <f>100</f>
        <v>100</v>
      </c>
      <c r="O384" s="87">
        <v>240</v>
      </c>
      <c r="P384" s="87">
        <v>40</v>
      </c>
      <c r="Q384" s="87">
        <f t="shared" si="54"/>
        <v>315</v>
      </c>
      <c r="R384" s="87">
        <f t="shared" si="55"/>
        <v>100</v>
      </c>
      <c r="S384" s="84">
        <f t="shared" si="56"/>
        <v>695</v>
      </c>
      <c r="T384" s="84">
        <f>50</f>
        <v>50</v>
      </c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</row>
    <row r="385" spans="1:30" ht="15.75" x14ac:dyDescent="0.25">
      <c r="A385" s="14">
        <v>52655</v>
      </c>
      <c r="B385" s="97">
        <v>29</v>
      </c>
      <c r="C385" s="84">
        <f>122.58</f>
        <v>122.58</v>
      </c>
      <c r="D385" s="84">
        <f>297.941</f>
        <v>297.94099999999997</v>
      </c>
      <c r="E385" s="93">
        <f>89.177</f>
        <v>89.177000000000007</v>
      </c>
      <c r="F385" s="84">
        <f>240.302-40-60-100</f>
        <v>40.301999999999992</v>
      </c>
      <c r="G385" s="87">
        <v>40</v>
      </c>
      <c r="H385" s="84">
        <f>60+100</f>
        <v>160</v>
      </c>
      <c r="I385" s="84">
        <f t="shared" si="59"/>
        <v>0</v>
      </c>
      <c r="J385" s="87">
        <v>100</v>
      </c>
      <c r="K385" s="87">
        <v>300</v>
      </c>
      <c r="L385" s="84">
        <f t="shared" si="53"/>
        <v>1150</v>
      </c>
      <c r="M385" s="95">
        <v>600</v>
      </c>
      <c r="N385" s="84">
        <f>100</f>
        <v>100</v>
      </c>
      <c r="O385" s="87">
        <v>240</v>
      </c>
      <c r="P385" s="87">
        <v>40</v>
      </c>
      <c r="Q385" s="87">
        <f t="shared" si="54"/>
        <v>315</v>
      </c>
      <c r="R385" s="87">
        <f t="shared" si="55"/>
        <v>100</v>
      </c>
      <c r="S385" s="84">
        <f t="shared" si="56"/>
        <v>695</v>
      </c>
      <c r="T385" s="84">
        <f>50</f>
        <v>50</v>
      </c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</row>
    <row r="386" spans="1:30" ht="15.75" x14ac:dyDescent="0.25">
      <c r="A386" s="14">
        <v>52687</v>
      </c>
      <c r="B386" s="97">
        <v>31</v>
      </c>
      <c r="C386" s="84">
        <f>122.58</f>
        <v>122.58</v>
      </c>
      <c r="D386" s="84">
        <f>297.941</f>
        <v>297.94099999999997</v>
      </c>
      <c r="E386" s="93">
        <f>89.177</f>
        <v>89.177000000000007</v>
      </c>
      <c r="F386" s="84">
        <f>240.302-40-60-100</f>
        <v>40.301999999999992</v>
      </c>
      <c r="G386" s="87">
        <v>40</v>
      </c>
      <c r="H386" s="84">
        <f>60+100</f>
        <v>160</v>
      </c>
      <c r="I386" s="84">
        <f t="shared" si="59"/>
        <v>0</v>
      </c>
      <c r="J386" s="87">
        <v>100</v>
      </c>
      <c r="K386" s="87">
        <v>300</v>
      </c>
      <c r="L386" s="84">
        <f t="shared" si="53"/>
        <v>1150</v>
      </c>
      <c r="M386" s="95">
        <v>600</v>
      </c>
      <c r="N386" s="84">
        <f>100</f>
        <v>100</v>
      </c>
      <c r="O386" s="87">
        <v>240</v>
      </c>
      <c r="P386" s="87">
        <v>40</v>
      </c>
      <c r="Q386" s="87">
        <f t="shared" si="54"/>
        <v>315</v>
      </c>
      <c r="R386" s="87">
        <f t="shared" si="55"/>
        <v>100</v>
      </c>
      <c r="S386" s="84">
        <f t="shared" si="56"/>
        <v>695</v>
      </c>
      <c r="T386" s="84">
        <f>50</f>
        <v>50</v>
      </c>
      <c r="U386" s="85"/>
      <c r="V386" s="85"/>
      <c r="W386" s="85"/>
      <c r="X386" s="85"/>
      <c r="Y386" s="85"/>
      <c r="Z386" s="85"/>
      <c r="AA386" s="85"/>
      <c r="AB386" s="85"/>
      <c r="AC386" s="85"/>
      <c r="AD386" s="85"/>
    </row>
    <row r="387" spans="1:30" ht="15.75" x14ac:dyDescent="0.25">
      <c r="A387" s="14">
        <v>52717</v>
      </c>
      <c r="B387" s="97">
        <v>30</v>
      </c>
      <c r="C387" s="84">
        <f>141.293</f>
        <v>141.29300000000001</v>
      </c>
      <c r="D387" s="84">
        <f>267.993</f>
        <v>267.99299999999999</v>
      </c>
      <c r="E387" s="93">
        <f>115.016</f>
        <v>115.01600000000001</v>
      </c>
      <c r="F387" s="84">
        <f>314.698-40-25-60-100</f>
        <v>89.697999999999979</v>
      </c>
      <c r="G387" s="87">
        <v>40</v>
      </c>
      <c r="H387" s="84">
        <f t="shared" ref="H387:H393" si="61">25+60+100</f>
        <v>185</v>
      </c>
      <c r="I387" s="84">
        <f t="shared" si="59"/>
        <v>0</v>
      </c>
      <c r="J387" s="87">
        <v>100</v>
      </c>
      <c r="K387" s="87">
        <v>300</v>
      </c>
      <c r="L387" s="84">
        <f t="shared" si="53"/>
        <v>1239</v>
      </c>
      <c r="M387" s="95">
        <v>600</v>
      </c>
      <c r="N387" s="84">
        <f>100</f>
        <v>100</v>
      </c>
      <c r="O387" s="87">
        <v>240</v>
      </c>
      <c r="P387" s="87">
        <v>160</v>
      </c>
      <c r="Q387" s="87">
        <f t="shared" si="54"/>
        <v>195</v>
      </c>
      <c r="R387" s="87">
        <f t="shared" si="55"/>
        <v>100</v>
      </c>
      <c r="S387" s="84">
        <f t="shared" si="56"/>
        <v>695</v>
      </c>
      <c r="T387" s="84">
        <f>50</f>
        <v>50</v>
      </c>
      <c r="U387" s="85"/>
      <c r="V387" s="85"/>
      <c r="W387" s="85"/>
      <c r="X387" s="85"/>
      <c r="Y387" s="85"/>
      <c r="Z387" s="85"/>
      <c r="AA387" s="85"/>
      <c r="AB387" s="85"/>
      <c r="AC387" s="85"/>
      <c r="AD387" s="85"/>
    </row>
    <row r="388" spans="1:30" ht="15.75" x14ac:dyDescent="0.25">
      <c r="A388" s="14">
        <v>52748</v>
      </c>
      <c r="B388" s="97">
        <v>31</v>
      </c>
      <c r="C388" s="84">
        <f>194.205</f>
        <v>194.20500000000001</v>
      </c>
      <c r="D388" s="84">
        <f>267.466</f>
        <v>267.46600000000001</v>
      </c>
      <c r="E388" s="93">
        <f>133.845</f>
        <v>133.845</v>
      </c>
      <c r="F388" s="84">
        <f>278.484-40-25-60-100</f>
        <v>53.48399999999998</v>
      </c>
      <c r="G388" s="87">
        <v>40</v>
      </c>
      <c r="H388" s="84">
        <f t="shared" si="61"/>
        <v>185</v>
      </c>
      <c r="I388" s="84">
        <f t="shared" si="59"/>
        <v>0</v>
      </c>
      <c r="J388" s="87">
        <v>100</v>
      </c>
      <c r="K388" s="87">
        <v>300</v>
      </c>
      <c r="L388" s="84">
        <f t="shared" si="53"/>
        <v>1274</v>
      </c>
      <c r="M388" s="95">
        <v>600</v>
      </c>
      <c r="N388" s="84">
        <f>75</f>
        <v>75</v>
      </c>
      <c r="O388" s="87">
        <v>240</v>
      </c>
      <c r="P388" s="87">
        <v>160</v>
      </c>
      <c r="Q388" s="87">
        <f t="shared" si="54"/>
        <v>195</v>
      </c>
      <c r="R388" s="87">
        <f t="shared" si="55"/>
        <v>100</v>
      </c>
      <c r="S388" s="84">
        <f t="shared" si="56"/>
        <v>695</v>
      </c>
      <c r="T388" s="84">
        <f>50</f>
        <v>50</v>
      </c>
      <c r="U388" s="85"/>
      <c r="V388" s="85"/>
      <c r="W388" s="85"/>
      <c r="X388" s="85"/>
      <c r="Y388" s="85"/>
      <c r="Z388" s="85"/>
      <c r="AA388" s="85"/>
      <c r="AB388" s="85"/>
      <c r="AC388" s="85"/>
      <c r="AD388" s="85"/>
    </row>
    <row r="389" spans="1:30" ht="15.75" x14ac:dyDescent="0.25">
      <c r="A389" s="14">
        <v>52778</v>
      </c>
      <c r="B389" s="97">
        <v>30</v>
      </c>
      <c r="C389" s="84">
        <f>194.205</f>
        <v>194.20500000000001</v>
      </c>
      <c r="D389" s="84">
        <f>267.466</f>
        <v>267.46600000000001</v>
      </c>
      <c r="E389" s="93">
        <f>133.845</f>
        <v>133.845</v>
      </c>
      <c r="F389" s="84">
        <f>278.484-40-25-60-100</f>
        <v>53.48399999999998</v>
      </c>
      <c r="G389" s="87">
        <v>40</v>
      </c>
      <c r="H389" s="84">
        <f t="shared" si="61"/>
        <v>185</v>
      </c>
      <c r="I389" s="84">
        <f t="shared" si="59"/>
        <v>0</v>
      </c>
      <c r="J389" s="87">
        <v>100</v>
      </c>
      <c r="K389" s="87">
        <v>300</v>
      </c>
      <c r="L389" s="84">
        <f t="shared" si="53"/>
        <v>1274</v>
      </c>
      <c r="M389" s="95">
        <v>600</v>
      </c>
      <c r="N389" s="84">
        <f>30</f>
        <v>30</v>
      </c>
      <c r="O389" s="87">
        <v>240</v>
      </c>
      <c r="P389" s="87">
        <v>160</v>
      </c>
      <c r="Q389" s="87">
        <f t="shared" si="54"/>
        <v>195</v>
      </c>
      <c r="R389" s="87">
        <f t="shared" si="55"/>
        <v>100</v>
      </c>
      <c r="S389" s="84">
        <f t="shared" si="56"/>
        <v>695</v>
      </c>
      <c r="T389" s="84">
        <f>50</f>
        <v>50</v>
      </c>
      <c r="U389" s="85"/>
      <c r="V389" s="85"/>
      <c r="W389" s="85"/>
      <c r="X389" s="85"/>
      <c r="Y389" s="85"/>
      <c r="Z389" s="85"/>
      <c r="AA389" s="85"/>
      <c r="AB389" s="85"/>
      <c r="AC389" s="85"/>
      <c r="AD389" s="85"/>
    </row>
    <row r="390" spans="1:30" ht="15.75" x14ac:dyDescent="0.25">
      <c r="A390" s="14">
        <v>52809</v>
      </c>
      <c r="B390" s="97">
        <v>31</v>
      </c>
      <c r="C390" s="84">
        <f>194.205</f>
        <v>194.20500000000001</v>
      </c>
      <c r="D390" s="84">
        <f>267.466</f>
        <v>267.46600000000001</v>
      </c>
      <c r="E390" s="93">
        <f>133.845</f>
        <v>133.845</v>
      </c>
      <c r="F390" s="84">
        <f>278.484-40-25-60-100</f>
        <v>53.48399999999998</v>
      </c>
      <c r="G390" s="87">
        <v>40</v>
      </c>
      <c r="H390" s="84">
        <f t="shared" si="61"/>
        <v>185</v>
      </c>
      <c r="I390" s="84">
        <f t="shared" si="59"/>
        <v>0</v>
      </c>
      <c r="J390" s="87">
        <v>100</v>
      </c>
      <c r="K390" s="87">
        <v>300</v>
      </c>
      <c r="L390" s="84">
        <f t="shared" si="53"/>
        <v>1274</v>
      </c>
      <c r="M390" s="95">
        <v>600</v>
      </c>
      <c r="N390" s="84">
        <f>30</f>
        <v>30</v>
      </c>
      <c r="O390" s="87">
        <v>240</v>
      </c>
      <c r="P390" s="87">
        <v>160</v>
      </c>
      <c r="Q390" s="87">
        <f t="shared" si="54"/>
        <v>195</v>
      </c>
      <c r="R390" s="87">
        <f t="shared" si="55"/>
        <v>100</v>
      </c>
      <c r="S390" s="84">
        <f t="shared" si="56"/>
        <v>695</v>
      </c>
      <c r="T390" s="84">
        <f>0</f>
        <v>0</v>
      </c>
      <c r="U390" s="85"/>
      <c r="V390" s="85"/>
      <c r="W390" s="85"/>
      <c r="X390" s="85"/>
      <c r="Y390" s="85"/>
      <c r="Z390" s="85"/>
      <c r="AA390" s="85"/>
      <c r="AB390" s="85"/>
      <c r="AC390" s="85"/>
      <c r="AD390" s="85"/>
    </row>
    <row r="391" spans="1:30" ht="15.75" x14ac:dyDescent="0.25">
      <c r="A391" s="14">
        <v>52840</v>
      </c>
      <c r="B391" s="97">
        <v>31</v>
      </c>
      <c r="C391" s="84">
        <f>194.205</f>
        <v>194.20500000000001</v>
      </c>
      <c r="D391" s="84">
        <f>267.466</f>
        <v>267.46600000000001</v>
      </c>
      <c r="E391" s="93">
        <f>133.845</f>
        <v>133.845</v>
      </c>
      <c r="F391" s="84">
        <f>278.484-40-25-60-100</f>
        <v>53.48399999999998</v>
      </c>
      <c r="G391" s="87">
        <v>40</v>
      </c>
      <c r="H391" s="84">
        <f t="shared" si="61"/>
        <v>185</v>
      </c>
      <c r="I391" s="84">
        <f t="shared" si="59"/>
        <v>0</v>
      </c>
      <c r="J391" s="87">
        <v>100</v>
      </c>
      <c r="K391" s="87">
        <v>300</v>
      </c>
      <c r="L391" s="84">
        <f t="shared" si="53"/>
        <v>1274</v>
      </c>
      <c r="M391" s="95">
        <v>600</v>
      </c>
      <c r="N391" s="84">
        <f>30</f>
        <v>30</v>
      </c>
      <c r="O391" s="87">
        <v>240</v>
      </c>
      <c r="P391" s="87">
        <v>160</v>
      </c>
      <c r="Q391" s="87">
        <f t="shared" si="54"/>
        <v>195</v>
      </c>
      <c r="R391" s="87">
        <f t="shared" si="55"/>
        <v>100</v>
      </c>
      <c r="S391" s="84">
        <f t="shared" si="56"/>
        <v>695</v>
      </c>
      <c r="T391" s="84">
        <f>0</f>
        <v>0</v>
      </c>
      <c r="U391" s="85"/>
      <c r="V391" s="85"/>
      <c r="W391" s="85"/>
      <c r="X391" s="85"/>
      <c r="Y391" s="85"/>
      <c r="Z391" s="85"/>
      <c r="AA391" s="85"/>
      <c r="AB391" s="85"/>
      <c r="AC391" s="85"/>
      <c r="AD391" s="85"/>
    </row>
    <row r="392" spans="1:30" ht="15.75" x14ac:dyDescent="0.25">
      <c r="A392" s="14">
        <v>52870</v>
      </c>
      <c r="B392" s="97">
        <v>30</v>
      </c>
      <c r="C392" s="84">
        <f>194.205</f>
        <v>194.20500000000001</v>
      </c>
      <c r="D392" s="84">
        <f>267.466</f>
        <v>267.46600000000001</v>
      </c>
      <c r="E392" s="93">
        <f>133.845</f>
        <v>133.845</v>
      </c>
      <c r="F392" s="84">
        <f>278.484-40-25-60-100</f>
        <v>53.48399999999998</v>
      </c>
      <c r="G392" s="87">
        <v>40</v>
      </c>
      <c r="H392" s="84">
        <f t="shared" si="61"/>
        <v>185</v>
      </c>
      <c r="I392" s="84">
        <f t="shared" si="59"/>
        <v>0</v>
      </c>
      <c r="J392" s="87">
        <v>100</v>
      </c>
      <c r="K392" s="87">
        <v>300</v>
      </c>
      <c r="L392" s="84">
        <f t="shared" si="53"/>
        <v>1274</v>
      </c>
      <c r="M392" s="95">
        <v>600</v>
      </c>
      <c r="N392" s="84">
        <f>30</f>
        <v>30</v>
      </c>
      <c r="O392" s="87">
        <v>240</v>
      </c>
      <c r="P392" s="87">
        <v>160</v>
      </c>
      <c r="Q392" s="87">
        <f t="shared" si="54"/>
        <v>195</v>
      </c>
      <c r="R392" s="87">
        <f t="shared" si="55"/>
        <v>100</v>
      </c>
      <c r="S392" s="84">
        <f t="shared" si="56"/>
        <v>695</v>
      </c>
      <c r="T392" s="84">
        <f>0</f>
        <v>0</v>
      </c>
      <c r="U392" s="85"/>
      <c r="V392" s="85"/>
      <c r="W392" s="85"/>
      <c r="X392" s="85"/>
      <c r="Y392" s="85"/>
      <c r="Z392" s="85"/>
      <c r="AA392" s="85"/>
      <c r="AB392" s="85"/>
      <c r="AC392" s="85"/>
      <c r="AD392" s="85"/>
    </row>
    <row r="393" spans="1:30" ht="15.75" x14ac:dyDescent="0.25">
      <c r="A393" s="14">
        <v>52901</v>
      </c>
      <c r="B393" s="97">
        <v>31</v>
      </c>
      <c r="C393" s="84">
        <f>131.881</f>
        <v>131.881</v>
      </c>
      <c r="D393" s="84">
        <f>277.167</f>
        <v>277.16699999999997</v>
      </c>
      <c r="E393" s="93">
        <f>79.08</f>
        <v>79.08</v>
      </c>
      <c r="F393" s="84">
        <f>350.872-40-25-60-100</f>
        <v>125.87200000000001</v>
      </c>
      <c r="G393" s="87">
        <v>40</v>
      </c>
      <c r="H393" s="84">
        <f t="shared" si="61"/>
        <v>185</v>
      </c>
      <c r="I393" s="84">
        <f t="shared" si="59"/>
        <v>0</v>
      </c>
      <c r="J393" s="87">
        <v>100</v>
      </c>
      <c r="K393" s="87">
        <v>300</v>
      </c>
      <c r="L393" s="84">
        <f t="shared" si="53"/>
        <v>1239</v>
      </c>
      <c r="M393" s="95">
        <v>600</v>
      </c>
      <c r="N393" s="84">
        <f>75</f>
        <v>75</v>
      </c>
      <c r="O393" s="87">
        <v>240</v>
      </c>
      <c r="P393" s="87">
        <v>160</v>
      </c>
      <c r="Q393" s="87">
        <f t="shared" si="54"/>
        <v>195</v>
      </c>
      <c r="R393" s="87">
        <f t="shared" si="55"/>
        <v>100</v>
      </c>
      <c r="S393" s="84">
        <f t="shared" si="56"/>
        <v>695</v>
      </c>
      <c r="T393" s="84">
        <f>0</f>
        <v>0</v>
      </c>
      <c r="U393" s="85"/>
      <c r="V393" s="85"/>
      <c r="W393" s="85"/>
      <c r="X393" s="85"/>
      <c r="Y393" s="85"/>
      <c r="Z393" s="85"/>
      <c r="AA393" s="85"/>
      <c r="AB393" s="85"/>
      <c r="AC393" s="85"/>
      <c r="AD393" s="85"/>
    </row>
    <row r="394" spans="1:30" ht="15.75" x14ac:dyDescent="0.25">
      <c r="A394" s="14">
        <v>52931</v>
      </c>
      <c r="B394" s="97">
        <v>30</v>
      </c>
      <c r="C394" s="84">
        <f>122.58</f>
        <v>122.58</v>
      </c>
      <c r="D394" s="84">
        <f>297.941</f>
        <v>297.94099999999997</v>
      </c>
      <c r="E394" s="93">
        <f>89.177</f>
        <v>89.177000000000007</v>
      </c>
      <c r="F394" s="84">
        <f>240.302-40-60-100</f>
        <v>40.301999999999992</v>
      </c>
      <c r="G394" s="87">
        <v>40</v>
      </c>
      <c r="H394" s="84">
        <f>60+100</f>
        <v>160</v>
      </c>
      <c r="I394" s="84">
        <f t="shared" si="59"/>
        <v>0</v>
      </c>
      <c r="J394" s="87">
        <v>100</v>
      </c>
      <c r="K394" s="87">
        <v>300</v>
      </c>
      <c r="L394" s="84">
        <f t="shared" si="53"/>
        <v>1150</v>
      </c>
      <c r="M394" s="95">
        <v>600</v>
      </c>
      <c r="N394" s="84">
        <f>100</f>
        <v>100</v>
      </c>
      <c r="O394" s="87">
        <v>240</v>
      </c>
      <c r="P394" s="87">
        <v>40</v>
      </c>
      <c r="Q394" s="87">
        <f t="shared" si="54"/>
        <v>315</v>
      </c>
      <c r="R394" s="87">
        <f t="shared" si="55"/>
        <v>100</v>
      </c>
      <c r="S394" s="84">
        <f t="shared" si="56"/>
        <v>695</v>
      </c>
      <c r="T394" s="84">
        <f>50</f>
        <v>50</v>
      </c>
      <c r="U394" s="85"/>
      <c r="V394" s="85"/>
      <c r="W394" s="85"/>
      <c r="X394" s="85"/>
      <c r="Y394" s="85"/>
      <c r="Z394" s="85"/>
      <c r="AA394" s="85"/>
      <c r="AB394" s="85"/>
      <c r="AC394" s="85"/>
      <c r="AD394" s="85"/>
    </row>
    <row r="395" spans="1:30" ht="15.75" x14ac:dyDescent="0.25">
      <c r="A395" s="14">
        <v>52962</v>
      </c>
      <c r="B395" s="97">
        <v>31</v>
      </c>
      <c r="C395" s="84">
        <f>122.58</f>
        <v>122.58</v>
      </c>
      <c r="D395" s="84">
        <f>297.941</f>
        <v>297.94099999999997</v>
      </c>
      <c r="E395" s="93">
        <f>89.177</f>
        <v>89.177000000000007</v>
      </c>
      <c r="F395" s="84">
        <f>240.302-40-60-100</f>
        <v>40.301999999999992</v>
      </c>
      <c r="G395" s="87">
        <v>40</v>
      </c>
      <c r="H395" s="84">
        <f>60+100</f>
        <v>160</v>
      </c>
      <c r="I395" s="84">
        <f t="shared" si="59"/>
        <v>0</v>
      </c>
      <c r="J395" s="87">
        <v>100</v>
      </c>
      <c r="K395" s="87">
        <v>300</v>
      </c>
      <c r="L395" s="84">
        <f t="shared" si="53"/>
        <v>1150</v>
      </c>
      <c r="M395" s="95">
        <v>600</v>
      </c>
      <c r="N395" s="84">
        <f>100</f>
        <v>100</v>
      </c>
      <c r="O395" s="87">
        <v>240</v>
      </c>
      <c r="P395" s="87">
        <v>40</v>
      </c>
      <c r="Q395" s="87">
        <f t="shared" si="54"/>
        <v>315</v>
      </c>
      <c r="R395" s="87">
        <f t="shared" si="55"/>
        <v>100</v>
      </c>
      <c r="S395" s="84">
        <f t="shared" si="56"/>
        <v>695</v>
      </c>
      <c r="T395" s="84">
        <f>50</f>
        <v>50</v>
      </c>
      <c r="U395" s="85"/>
      <c r="V395" s="85"/>
      <c r="W395" s="85"/>
      <c r="X395" s="85"/>
      <c r="Y395" s="85"/>
      <c r="Z395" s="85"/>
      <c r="AA395" s="85"/>
      <c r="AB395" s="85"/>
      <c r="AC395" s="85"/>
      <c r="AD395" s="85"/>
    </row>
    <row r="396" spans="1:30" ht="15.75" x14ac:dyDescent="0.25">
      <c r="A396" s="14">
        <v>52993</v>
      </c>
      <c r="B396" s="97">
        <v>31</v>
      </c>
      <c r="C396" s="84">
        <f>122.58</f>
        <v>122.58</v>
      </c>
      <c r="D396" s="84">
        <f>297.941</f>
        <v>297.94099999999997</v>
      </c>
      <c r="E396" s="93">
        <f>89.177</f>
        <v>89.177000000000007</v>
      </c>
      <c r="F396" s="84">
        <f>240.302-40-60-100</f>
        <v>40.301999999999992</v>
      </c>
      <c r="G396" s="87">
        <v>40</v>
      </c>
      <c r="H396" s="84">
        <f>60+100</f>
        <v>160</v>
      </c>
      <c r="I396" s="84">
        <f t="shared" si="59"/>
        <v>0</v>
      </c>
      <c r="J396" s="87">
        <v>100</v>
      </c>
      <c r="K396" s="87">
        <v>300</v>
      </c>
      <c r="L396" s="84">
        <f t="shared" si="53"/>
        <v>1150</v>
      </c>
      <c r="M396" s="95">
        <v>600</v>
      </c>
      <c r="N396" s="84">
        <f>100</f>
        <v>100</v>
      </c>
      <c r="O396" s="87">
        <v>240</v>
      </c>
      <c r="P396" s="87">
        <v>40</v>
      </c>
      <c r="Q396" s="87">
        <f t="shared" si="54"/>
        <v>315</v>
      </c>
      <c r="R396" s="87">
        <f t="shared" si="55"/>
        <v>100</v>
      </c>
      <c r="S396" s="84">
        <f t="shared" si="56"/>
        <v>695</v>
      </c>
      <c r="T396" s="84">
        <f>50</f>
        <v>50</v>
      </c>
      <c r="U396" s="85"/>
      <c r="V396" s="85"/>
      <c r="W396" s="85"/>
      <c r="X396" s="85"/>
      <c r="Y396" s="85"/>
      <c r="Z396" s="85"/>
      <c r="AA396" s="85"/>
      <c r="AB396" s="85"/>
      <c r="AC396" s="85"/>
      <c r="AD396" s="85"/>
    </row>
    <row r="397" spans="1:30" ht="15.75" x14ac:dyDescent="0.25">
      <c r="A397" s="14">
        <v>53021</v>
      </c>
      <c r="B397" s="97">
        <v>28</v>
      </c>
      <c r="C397" s="84">
        <f>122.58</f>
        <v>122.58</v>
      </c>
      <c r="D397" s="84">
        <f>297.941</f>
        <v>297.94099999999997</v>
      </c>
      <c r="E397" s="93">
        <f>89.177</f>
        <v>89.177000000000007</v>
      </c>
      <c r="F397" s="84">
        <f>240.302-40-60-100</f>
        <v>40.301999999999992</v>
      </c>
      <c r="G397" s="87">
        <v>40</v>
      </c>
      <c r="H397" s="84">
        <f>60+100</f>
        <v>160</v>
      </c>
      <c r="I397" s="84">
        <f t="shared" si="59"/>
        <v>0</v>
      </c>
      <c r="J397" s="87">
        <v>100</v>
      </c>
      <c r="K397" s="87">
        <v>300</v>
      </c>
      <c r="L397" s="84">
        <f t="shared" si="53"/>
        <v>1150</v>
      </c>
      <c r="M397" s="95">
        <v>600</v>
      </c>
      <c r="N397" s="84">
        <f>100</f>
        <v>100</v>
      </c>
      <c r="O397" s="87">
        <v>240</v>
      </c>
      <c r="P397" s="87">
        <v>40</v>
      </c>
      <c r="Q397" s="87">
        <f t="shared" si="54"/>
        <v>315</v>
      </c>
      <c r="R397" s="87">
        <f t="shared" si="55"/>
        <v>100</v>
      </c>
      <c r="S397" s="84">
        <f t="shared" si="56"/>
        <v>695</v>
      </c>
      <c r="T397" s="84">
        <f>50</f>
        <v>50</v>
      </c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</row>
    <row r="398" spans="1:30" ht="15.75" x14ac:dyDescent="0.25">
      <c r="A398" s="14">
        <v>53052</v>
      </c>
      <c r="B398" s="97">
        <v>31</v>
      </c>
      <c r="C398" s="84">
        <f>122.58</f>
        <v>122.58</v>
      </c>
      <c r="D398" s="84">
        <f>297.941</f>
        <v>297.94099999999997</v>
      </c>
      <c r="E398" s="93">
        <f>89.177</f>
        <v>89.177000000000007</v>
      </c>
      <c r="F398" s="84">
        <f>240.302-40-60-100</f>
        <v>40.301999999999992</v>
      </c>
      <c r="G398" s="87">
        <v>40</v>
      </c>
      <c r="H398" s="84">
        <f>60+100</f>
        <v>160</v>
      </c>
      <c r="I398" s="84">
        <f t="shared" si="59"/>
        <v>0</v>
      </c>
      <c r="J398" s="87">
        <v>100</v>
      </c>
      <c r="K398" s="87">
        <v>300</v>
      </c>
      <c r="L398" s="84">
        <f t="shared" si="53"/>
        <v>1150</v>
      </c>
      <c r="M398" s="95">
        <v>600</v>
      </c>
      <c r="N398" s="84">
        <f>100</f>
        <v>100</v>
      </c>
      <c r="O398" s="87">
        <v>240</v>
      </c>
      <c r="P398" s="87">
        <v>40</v>
      </c>
      <c r="Q398" s="87">
        <f t="shared" si="54"/>
        <v>315</v>
      </c>
      <c r="R398" s="87">
        <f t="shared" si="55"/>
        <v>100</v>
      </c>
      <c r="S398" s="84">
        <f t="shared" si="56"/>
        <v>695</v>
      </c>
      <c r="T398" s="84">
        <f>50</f>
        <v>50</v>
      </c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</row>
    <row r="399" spans="1:30" ht="15.75" x14ac:dyDescent="0.25">
      <c r="A399" s="14">
        <v>53082</v>
      </c>
      <c r="B399" s="97">
        <v>30</v>
      </c>
      <c r="C399" s="84">
        <f>141.293</f>
        <v>141.29300000000001</v>
      </c>
      <c r="D399" s="84">
        <f>267.993</f>
        <v>267.99299999999999</v>
      </c>
      <c r="E399" s="93">
        <f>115.016</f>
        <v>115.01600000000001</v>
      </c>
      <c r="F399" s="84">
        <f>314.698-40-25-60-100</f>
        <v>89.697999999999979</v>
      </c>
      <c r="G399" s="87">
        <v>40</v>
      </c>
      <c r="H399" s="84">
        <f t="shared" ref="H399:H405" si="62">25+60+100</f>
        <v>185</v>
      </c>
      <c r="I399" s="84">
        <f t="shared" si="59"/>
        <v>0</v>
      </c>
      <c r="J399" s="87">
        <v>100</v>
      </c>
      <c r="K399" s="87">
        <v>300</v>
      </c>
      <c r="L399" s="84">
        <f t="shared" si="53"/>
        <v>1239</v>
      </c>
      <c r="M399" s="95">
        <v>600</v>
      </c>
      <c r="N399" s="84">
        <f>100</f>
        <v>100</v>
      </c>
      <c r="O399" s="87">
        <v>240</v>
      </c>
      <c r="P399" s="87">
        <v>160</v>
      </c>
      <c r="Q399" s="87">
        <f t="shared" si="54"/>
        <v>195</v>
      </c>
      <c r="R399" s="87">
        <f t="shared" si="55"/>
        <v>100</v>
      </c>
      <c r="S399" s="84">
        <f t="shared" si="56"/>
        <v>695</v>
      </c>
      <c r="T399" s="84">
        <f>50</f>
        <v>50</v>
      </c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</row>
    <row r="400" spans="1:30" ht="15.75" x14ac:dyDescent="0.25">
      <c r="A400" s="14">
        <v>53113</v>
      </c>
      <c r="B400" s="97">
        <v>31</v>
      </c>
      <c r="C400" s="84">
        <f>194.205</f>
        <v>194.20500000000001</v>
      </c>
      <c r="D400" s="84">
        <f>267.466</f>
        <v>267.46600000000001</v>
      </c>
      <c r="E400" s="93">
        <f>133.845</f>
        <v>133.845</v>
      </c>
      <c r="F400" s="84">
        <f>278.484-40-25-60-100</f>
        <v>53.48399999999998</v>
      </c>
      <c r="G400" s="87">
        <v>40</v>
      </c>
      <c r="H400" s="84">
        <f t="shared" si="62"/>
        <v>185</v>
      </c>
      <c r="I400" s="84">
        <f t="shared" si="59"/>
        <v>0</v>
      </c>
      <c r="J400" s="87">
        <v>100</v>
      </c>
      <c r="K400" s="87">
        <v>300</v>
      </c>
      <c r="L400" s="84">
        <f t="shared" si="53"/>
        <v>1274</v>
      </c>
      <c r="M400" s="95">
        <v>600</v>
      </c>
      <c r="N400" s="84">
        <f>75</f>
        <v>75</v>
      </c>
      <c r="O400" s="87">
        <v>240</v>
      </c>
      <c r="P400" s="87">
        <v>160</v>
      </c>
      <c r="Q400" s="87">
        <f t="shared" si="54"/>
        <v>195</v>
      </c>
      <c r="R400" s="87">
        <f t="shared" si="55"/>
        <v>100</v>
      </c>
      <c r="S400" s="84">
        <f t="shared" si="56"/>
        <v>695</v>
      </c>
      <c r="T400" s="84">
        <f>50</f>
        <v>50</v>
      </c>
      <c r="U400" s="85"/>
      <c r="V400" s="85"/>
      <c r="W400" s="85"/>
      <c r="X400" s="85"/>
      <c r="Y400" s="85"/>
      <c r="Z400" s="85"/>
      <c r="AA400" s="85"/>
      <c r="AB400" s="85"/>
      <c r="AC400" s="85"/>
      <c r="AD400" s="85"/>
    </row>
    <row r="401" spans="1:30" ht="15.75" x14ac:dyDescent="0.25">
      <c r="A401" s="14">
        <v>53143</v>
      </c>
      <c r="B401" s="97">
        <v>30</v>
      </c>
      <c r="C401" s="84">
        <f>194.205</f>
        <v>194.20500000000001</v>
      </c>
      <c r="D401" s="84">
        <f>267.466</f>
        <v>267.46600000000001</v>
      </c>
      <c r="E401" s="93">
        <f>133.845</f>
        <v>133.845</v>
      </c>
      <c r="F401" s="84">
        <f>278.484-40-25-60-100</f>
        <v>53.48399999999998</v>
      </c>
      <c r="G401" s="87">
        <v>40</v>
      </c>
      <c r="H401" s="84">
        <f t="shared" si="62"/>
        <v>185</v>
      </c>
      <c r="I401" s="84">
        <f t="shared" si="59"/>
        <v>0</v>
      </c>
      <c r="J401" s="87">
        <v>100</v>
      </c>
      <c r="K401" s="87">
        <v>300</v>
      </c>
      <c r="L401" s="84">
        <f t="shared" si="53"/>
        <v>1274</v>
      </c>
      <c r="M401" s="95">
        <v>600</v>
      </c>
      <c r="N401" s="84">
        <f>30</f>
        <v>30</v>
      </c>
      <c r="O401" s="87">
        <v>240</v>
      </c>
      <c r="P401" s="87">
        <v>160</v>
      </c>
      <c r="Q401" s="87">
        <f t="shared" si="54"/>
        <v>195</v>
      </c>
      <c r="R401" s="87">
        <f t="shared" si="55"/>
        <v>100</v>
      </c>
      <c r="S401" s="84">
        <f t="shared" si="56"/>
        <v>695</v>
      </c>
      <c r="T401" s="84">
        <f>50</f>
        <v>50</v>
      </c>
      <c r="U401" s="85"/>
      <c r="V401" s="85"/>
      <c r="W401" s="85"/>
      <c r="X401" s="85"/>
      <c r="Y401" s="85"/>
      <c r="Z401" s="85"/>
      <c r="AA401" s="85"/>
      <c r="AB401" s="85"/>
      <c r="AC401" s="85"/>
      <c r="AD401" s="85"/>
    </row>
    <row r="402" spans="1:30" ht="15.75" x14ac:dyDescent="0.25">
      <c r="A402" s="14">
        <v>53174</v>
      </c>
      <c r="B402" s="97">
        <v>31</v>
      </c>
      <c r="C402" s="84">
        <f>194.205</f>
        <v>194.20500000000001</v>
      </c>
      <c r="D402" s="84">
        <f>267.466</f>
        <v>267.46600000000001</v>
      </c>
      <c r="E402" s="93">
        <f>133.845</f>
        <v>133.845</v>
      </c>
      <c r="F402" s="84">
        <f>278.484-40-25-60-100</f>
        <v>53.48399999999998</v>
      </c>
      <c r="G402" s="87">
        <v>40</v>
      </c>
      <c r="H402" s="84">
        <f t="shared" si="62"/>
        <v>185</v>
      </c>
      <c r="I402" s="84">
        <f t="shared" si="59"/>
        <v>0</v>
      </c>
      <c r="J402" s="87">
        <v>100</v>
      </c>
      <c r="K402" s="87">
        <v>300</v>
      </c>
      <c r="L402" s="84">
        <f t="shared" si="53"/>
        <v>1274</v>
      </c>
      <c r="M402" s="95">
        <v>600</v>
      </c>
      <c r="N402" s="84">
        <f>30</f>
        <v>30</v>
      </c>
      <c r="O402" s="87">
        <v>240</v>
      </c>
      <c r="P402" s="87">
        <v>160</v>
      </c>
      <c r="Q402" s="87">
        <f t="shared" si="54"/>
        <v>195</v>
      </c>
      <c r="R402" s="87">
        <f t="shared" si="55"/>
        <v>100</v>
      </c>
      <c r="S402" s="84">
        <f t="shared" si="56"/>
        <v>695</v>
      </c>
      <c r="T402" s="84">
        <f>0</f>
        <v>0</v>
      </c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</row>
    <row r="403" spans="1:30" ht="15.75" x14ac:dyDescent="0.25">
      <c r="A403" s="14">
        <v>53205</v>
      </c>
      <c r="B403" s="97">
        <v>31</v>
      </c>
      <c r="C403" s="84">
        <f>194.205</f>
        <v>194.20500000000001</v>
      </c>
      <c r="D403" s="84">
        <f>267.466</f>
        <v>267.46600000000001</v>
      </c>
      <c r="E403" s="93">
        <f>133.845</f>
        <v>133.845</v>
      </c>
      <c r="F403" s="84">
        <f>278.484-40-25-60-100</f>
        <v>53.48399999999998</v>
      </c>
      <c r="G403" s="87">
        <v>40</v>
      </c>
      <c r="H403" s="84">
        <f t="shared" si="62"/>
        <v>185</v>
      </c>
      <c r="I403" s="84">
        <f t="shared" si="59"/>
        <v>0</v>
      </c>
      <c r="J403" s="87">
        <v>100</v>
      </c>
      <c r="K403" s="87">
        <v>300</v>
      </c>
      <c r="L403" s="84">
        <f t="shared" si="53"/>
        <v>1274</v>
      </c>
      <c r="M403" s="95">
        <v>600</v>
      </c>
      <c r="N403" s="84">
        <f>30</f>
        <v>30</v>
      </c>
      <c r="O403" s="87">
        <v>240</v>
      </c>
      <c r="P403" s="87">
        <v>160</v>
      </c>
      <c r="Q403" s="87">
        <f t="shared" si="54"/>
        <v>195</v>
      </c>
      <c r="R403" s="87">
        <f t="shared" si="55"/>
        <v>100</v>
      </c>
      <c r="S403" s="84">
        <f t="shared" si="56"/>
        <v>695</v>
      </c>
      <c r="T403" s="84">
        <f>0</f>
        <v>0</v>
      </c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</row>
    <row r="404" spans="1:30" ht="15.75" x14ac:dyDescent="0.25">
      <c r="A404" s="14">
        <v>53235</v>
      </c>
      <c r="B404" s="97">
        <v>30</v>
      </c>
      <c r="C404" s="84">
        <f>194.205</f>
        <v>194.20500000000001</v>
      </c>
      <c r="D404" s="84">
        <f>267.466</f>
        <v>267.46600000000001</v>
      </c>
      <c r="E404" s="93">
        <f>133.845</f>
        <v>133.845</v>
      </c>
      <c r="F404" s="84">
        <f>278.484-40-25-60-100</f>
        <v>53.48399999999998</v>
      </c>
      <c r="G404" s="87">
        <v>40</v>
      </c>
      <c r="H404" s="84">
        <f t="shared" si="62"/>
        <v>185</v>
      </c>
      <c r="I404" s="84">
        <f t="shared" si="59"/>
        <v>0</v>
      </c>
      <c r="J404" s="87">
        <v>100</v>
      </c>
      <c r="K404" s="87">
        <v>300</v>
      </c>
      <c r="L404" s="84">
        <f t="shared" si="53"/>
        <v>1274</v>
      </c>
      <c r="M404" s="95">
        <v>600</v>
      </c>
      <c r="N404" s="84">
        <f>30</f>
        <v>30</v>
      </c>
      <c r="O404" s="87">
        <v>240</v>
      </c>
      <c r="P404" s="87">
        <v>160</v>
      </c>
      <c r="Q404" s="87">
        <f t="shared" si="54"/>
        <v>195</v>
      </c>
      <c r="R404" s="87">
        <f t="shared" si="55"/>
        <v>100</v>
      </c>
      <c r="S404" s="84">
        <f t="shared" si="56"/>
        <v>695</v>
      </c>
      <c r="T404" s="84">
        <f>0</f>
        <v>0</v>
      </c>
      <c r="U404" s="85"/>
      <c r="V404" s="85"/>
      <c r="W404" s="85"/>
      <c r="X404" s="85"/>
      <c r="Y404" s="85"/>
      <c r="Z404" s="85"/>
      <c r="AA404" s="85"/>
      <c r="AB404" s="85"/>
      <c r="AC404" s="85"/>
      <c r="AD404" s="85"/>
    </row>
    <row r="405" spans="1:30" ht="15.75" x14ac:dyDescent="0.25">
      <c r="A405" s="14">
        <v>53266</v>
      </c>
      <c r="B405" s="97">
        <v>31</v>
      </c>
      <c r="C405" s="84">
        <f>131.881</f>
        <v>131.881</v>
      </c>
      <c r="D405" s="84">
        <f>277.167</f>
        <v>277.16699999999997</v>
      </c>
      <c r="E405" s="93">
        <f>79.08</f>
        <v>79.08</v>
      </c>
      <c r="F405" s="84">
        <f>350.872-40-25-60-100</f>
        <v>125.87200000000001</v>
      </c>
      <c r="G405" s="87">
        <v>40</v>
      </c>
      <c r="H405" s="84">
        <f t="shared" si="62"/>
        <v>185</v>
      </c>
      <c r="I405" s="84">
        <f t="shared" si="59"/>
        <v>0</v>
      </c>
      <c r="J405" s="87">
        <v>100</v>
      </c>
      <c r="K405" s="87">
        <v>300</v>
      </c>
      <c r="L405" s="84">
        <f t="shared" si="53"/>
        <v>1239</v>
      </c>
      <c r="M405" s="95">
        <v>600</v>
      </c>
      <c r="N405" s="84">
        <f>75</f>
        <v>75</v>
      </c>
      <c r="O405" s="87">
        <v>240</v>
      </c>
      <c r="P405" s="87">
        <v>160</v>
      </c>
      <c r="Q405" s="87">
        <f t="shared" si="54"/>
        <v>195</v>
      </c>
      <c r="R405" s="87">
        <f t="shared" si="55"/>
        <v>100</v>
      </c>
      <c r="S405" s="84">
        <f t="shared" si="56"/>
        <v>695</v>
      </c>
      <c r="T405" s="84">
        <f>0</f>
        <v>0</v>
      </c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</row>
    <row r="406" spans="1:30" ht="15.75" x14ac:dyDescent="0.25">
      <c r="A406" s="14">
        <v>53296</v>
      </c>
      <c r="B406" s="97">
        <v>30</v>
      </c>
      <c r="C406" s="84">
        <f>122.58</f>
        <v>122.58</v>
      </c>
      <c r="D406" s="84">
        <f>297.941</f>
        <v>297.94099999999997</v>
      </c>
      <c r="E406" s="93">
        <f>89.177</f>
        <v>89.177000000000007</v>
      </c>
      <c r="F406" s="84">
        <f>240.302-40-60-100</f>
        <v>40.301999999999992</v>
      </c>
      <c r="G406" s="87">
        <v>40</v>
      </c>
      <c r="H406" s="84">
        <f>60+100</f>
        <v>160</v>
      </c>
      <c r="I406" s="84">
        <f t="shared" si="59"/>
        <v>0</v>
      </c>
      <c r="J406" s="87">
        <v>100</v>
      </c>
      <c r="K406" s="87">
        <v>300</v>
      </c>
      <c r="L406" s="84">
        <f t="shared" si="53"/>
        <v>1150</v>
      </c>
      <c r="M406" s="95">
        <v>600</v>
      </c>
      <c r="N406" s="84">
        <f>100</f>
        <v>100</v>
      </c>
      <c r="O406" s="87">
        <v>240</v>
      </c>
      <c r="P406" s="87">
        <v>40</v>
      </c>
      <c r="Q406" s="87">
        <f t="shared" si="54"/>
        <v>315</v>
      </c>
      <c r="R406" s="87">
        <f t="shared" si="55"/>
        <v>100</v>
      </c>
      <c r="S406" s="84">
        <f t="shared" si="56"/>
        <v>695</v>
      </c>
      <c r="T406" s="84">
        <f>50</f>
        <v>50</v>
      </c>
      <c r="U406" s="85"/>
      <c r="V406" s="85"/>
      <c r="W406" s="85"/>
      <c r="X406" s="85"/>
      <c r="Y406" s="85"/>
      <c r="Z406" s="85"/>
      <c r="AA406" s="85"/>
      <c r="AB406" s="85"/>
      <c r="AC406" s="85"/>
      <c r="AD406" s="85"/>
    </row>
    <row r="407" spans="1:30" ht="15.75" x14ac:dyDescent="0.25">
      <c r="A407" s="14">
        <v>53327</v>
      </c>
      <c r="B407" s="97">
        <v>31</v>
      </c>
      <c r="C407" s="84">
        <f>122.58</f>
        <v>122.58</v>
      </c>
      <c r="D407" s="84">
        <f>297.941</f>
        <v>297.94099999999997</v>
      </c>
      <c r="E407" s="93">
        <f>89.177</f>
        <v>89.177000000000007</v>
      </c>
      <c r="F407" s="84">
        <f>240.302-40-60-100</f>
        <v>40.301999999999992</v>
      </c>
      <c r="G407" s="87">
        <v>40</v>
      </c>
      <c r="H407" s="84">
        <f>60+100</f>
        <v>160</v>
      </c>
      <c r="I407" s="84">
        <f t="shared" si="59"/>
        <v>0</v>
      </c>
      <c r="J407" s="87">
        <v>100</v>
      </c>
      <c r="K407" s="87">
        <v>300</v>
      </c>
      <c r="L407" s="84">
        <f t="shared" si="53"/>
        <v>1150</v>
      </c>
      <c r="M407" s="95">
        <v>600</v>
      </c>
      <c r="N407" s="84">
        <f>100</f>
        <v>100</v>
      </c>
      <c r="O407" s="87">
        <v>240</v>
      </c>
      <c r="P407" s="87">
        <v>40</v>
      </c>
      <c r="Q407" s="87">
        <f t="shared" si="54"/>
        <v>315</v>
      </c>
      <c r="R407" s="87">
        <f t="shared" si="55"/>
        <v>100</v>
      </c>
      <c r="S407" s="84">
        <f t="shared" si="56"/>
        <v>695</v>
      </c>
      <c r="T407" s="84">
        <f>50</f>
        <v>50</v>
      </c>
      <c r="U407" s="85"/>
      <c r="V407" s="85"/>
      <c r="W407" s="85"/>
      <c r="X407" s="85"/>
      <c r="Y407" s="85"/>
      <c r="Z407" s="85"/>
      <c r="AA407" s="85"/>
      <c r="AB407" s="85"/>
      <c r="AC407" s="85"/>
      <c r="AD407" s="85"/>
    </row>
    <row r="408" spans="1:30" ht="15.75" x14ac:dyDescent="0.25">
      <c r="A408" s="14">
        <v>53358</v>
      </c>
      <c r="B408" s="97">
        <v>31</v>
      </c>
      <c r="C408" s="84">
        <f>122.58</f>
        <v>122.58</v>
      </c>
      <c r="D408" s="84">
        <f>297.941</f>
        <v>297.94099999999997</v>
      </c>
      <c r="E408" s="93">
        <f>89.177</f>
        <v>89.177000000000007</v>
      </c>
      <c r="F408" s="84">
        <f>240.302-40-60-100</f>
        <v>40.301999999999992</v>
      </c>
      <c r="G408" s="87">
        <v>40</v>
      </c>
      <c r="H408" s="84">
        <f>60+100</f>
        <v>160</v>
      </c>
      <c r="I408" s="84">
        <f t="shared" si="59"/>
        <v>0</v>
      </c>
      <c r="J408" s="87">
        <v>100</v>
      </c>
      <c r="K408" s="87">
        <v>300</v>
      </c>
      <c r="L408" s="84">
        <f t="shared" ref="L408:L471" si="63">SUM(C408:K408)</f>
        <v>1150</v>
      </c>
      <c r="M408" s="95">
        <v>600</v>
      </c>
      <c r="N408" s="84">
        <f>100</f>
        <v>100</v>
      </c>
      <c r="O408" s="87">
        <v>240</v>
      </c>
      <c r="P408" s="87">
        <v>40</v>
      </c>
      <c r="Q408" s="87">
        <f t="shared" ref="Q408:Q471" si="64">695-R408-O408-P408</f>
        <v>315</v>
      </c>
      <c r="R408" s="87">
        <f t="shared" ref="R408:R471" si="65">200-J408</f>
        <v>100</v>
      </c>
      <c r="S408" s="84">
        <f t="shared" ref="S408:S471" si="66">SUM(O408:R408)</f>
        <v>695</v>
      </c>
      <c r="T408" s="84">
        <f>50</f>
        <v>50</v>
      </c>
      <c r="U408" s="85"/>
      <c r="V408" s="85"/>
      <c r="W408" s="85"/>
      <c r="X408" s="85"/>
      <c r="Y408" s="85"/>
      <c r="Z408" s="85"/>
      <c r="AA408" s="85"/>
      <c r="AB408" s="85"/>
      <c r="AC408" s="85"/>
      <c r="AD408" s="85"/>
    </row>
    <row r="409" spans="1:30" ht="15.75" x14ac:dyDescent="0.25">
      <c r="A409" s="14">
        <v>53386</v>
      </c>
      <c r="B409" s="97">
        <v>28</v>
      </c>
      <c r="C409" s="84">
        <f>122.58</f>
        <v>122.58</v>
      </c>
      <c r="D409" s="84">
        <f>297.941</f>
        <v>297.94099999999997</v>
      </c>
      <c r="E409" s="93">
        <f>89.177</f>
        <v>89.177000000000007</v>
      </c>
      <c r="F409" s="84">
        <f>240.302-40-60-100</f>
        <v>40.301999999999992</v>
      </c>
      <c r="G409" s="87">
        <v>40</v>
      </c>
      <c r="H409" s="84">
        <f>60+100</f>
        <v>160</v>
      </c>
      <c r="I409" s="84">
        <f t="shared" si="59"/>
        <v>0</v>
      </c>
      <c r="J409" s="87">
        <v>100</v>
      </c>
      <c r="K409" s="87">
        <v>300</v>
      </c>
      <c r="L409" s="84">
        <f t="shared" si="63"/>
        <v>1150</v>
      </c>
      <c r="M409" s="95">
        <v>600</v>
      </c>
      <c r="N409" s="84">
        <f>100</f>
        <v>100</v>
      </c>
      <c r="O409" s="87">
        <v>240</v>
      </c>
      <c r="P409" s="87">
        <v>40</v>
      </c>
      <c r="Q409" s="87">
        <f t="shared" si="64"/>
        <v>315</v>
      </c>
      <c r="R409" s="87">
        <f t="shared" si="65"/>
        <v>100</v>
      </c>
      <c r="S409" s="84">
        <f t="shared" si="66"/>
        <v>695</v>
      </c>
      <c r="T409" s="84">
        <f>50</f>
        <v>50</v>
      </c>
      <c r="U409" s="85"/>
      <c r="V409" s="85"/>
      <c r="W409" s="85"/>
      <c r="X409" s="85"/>
      <c r="Y409" s="85"/>
      <c r="Z409" s="85"/>
      <c r="AA409" s="85"/>
      <c r="AB409" s="85"/>
      <c r="AC409" s="85"/>
      <c r="AD409" s="85"/>
    </row>
    <row r="410" spans="1:30" ht="15.75" x14ac:dyDescent="0.25">
      <c r="A410" s="14">
        <v>53417</v>
      </c>
      <c r="B410" s="97">
        <v>31</v>
      </c>
      <c r="C410" s="84">
        <f>122.58</f>
        <v>122.58</v>
      </c>
      <c r="D410" s="84">
        <f>297.941</f>
        <v>297.94099999999997</v>
      </c>
      <c r="E410" s="93">
        <f>89.177</f>
        <v>89.177000000000007</v>
      </c>
      <c r="F410" s="84">
        <f>240.302-40-60-100</f>
        <v>40.301999999999992</v>
      </c>
      <c r="G410" s="87">
        <v>40</v>
      </c>
      <c r="H410" s="84">
        <f>60+100</f>
        <v>160</v>
      </c>
      <c r="I410" s="84">
        <f t="shared" si="59"/>
        <v>0</v>
      </c>
      <c r="J410" s="87">
        <v>100</v>
      </c>
      <c r="K410" s="87">
        <v>300</v>
      </c>
      <c r="L410" s="84">
        <f t="shared" si="63"/>
        <v>1150</v>
      </c>
      <c r="M410" s="95">
        <v>600</v>
      </c>
      <c r="N410" s="84">
        <f>100</f>
        <v>100</v>
      </c>
      <c r="O410" s="87">
        <v>240</v>
      </c>
      <c r="P410" s="87">
        <v>40</v>
      </c>
      <c r="Q410" s="87">
        <f t="shared" si="64"/>
        <v>315</v>
      </c>
      <c r="R410" s="87">
        <f t="shared" si="65"/>
        <v>100</v>
      </c>
      <c r="S410" s="84">
        <f t="shared" si="66"/>
        <v>695</v>
      </c>
      <c r="T410" s="84">
        <f>50</f>
        <v>50</v>
      </c>
      <c r="U410" s="85"/>
      <c r="V410" s="85"/>
      <c r="W410" s="85"/>
      <c r="X410" s="85"/>
      <c r="Y410" s="85"/>
      <c r="Z410" s="85"/>
      <c r="AA410" s="85"/>
      <c r="AB410" s="85"/>
      <c r="AC410" s="85"/>
      <c r="AD410" s="85"/>
    </row>
    <row r="411" spans="1:30" ht="15.75" x14ac:dyDescent="0.25">
      <c r="A411" s="14">
        <v>53447</v>
      </c>
      <c r="B411" s="97">
        <v>30</v>
      </c>
      <c r="C411" s="84">
        <f>141.293</f>
        <v>141.29300000000001</v>
      </c>
      <c r="D411" s="84">
        <f>267.993</f>
        <v>267.99299999999999</v>
      </c>
      <c r="E411" s="93">
        <f>115.016</f>
        <v>115.01600000000001</v>
      </c>
      <c r="F411" s="84">
        <f>314.698-40-25-60-100</f>
        <v>89.697999999999979</v>
      </c>
      <c r="G411" s="87">
        <v>40</v>
      </c>
      <c r="H411" s="84">
        <f t="shared" ref="H411:H417" si="67">25+60+100</f>
        <v>185</v>
      </c>
      <c r="I411" s="84">
        <f t="shared" si="59"/>
        <v>0</v>
      </c>
      <c r="J411" s="87">
        <v>100</v>
      </c>
      <c r="K411" s="87">
        <v>300</v>
      </c>
      <c r="L411" s="84">
        <f t="shared" si="63"/>
        <v>1239</v>
      </c>
      <c r="M411" s="95">
        <v>600</v>
      </c>
      <c r="N411" s="84">
        <f>100</f>
        <v>100</v>
      </c>
      <c r="O411" s="87">
        <v>240</v>
      </c>
      <c r="P411" s="87">
        <v>160</v>
      </c>
      <c r="Q411" s="87">
        <f t="shared" si="64"/>
        <v>195</v>
      </c>
      <c r="R411" s="87">
        <f t="shared" si="65"/>
        <v>100</v>
      </c>
      <c r="S411" s="84">
        <f t="shared" si="66"/>
        <v>695</v>
      </c>
      <c r="T411" s="84">
        <f>50</f>
        <v>50</v>
      </c>
      <c r="U411" s="85"/>
      <c r="V411" s="85"/>
      <c r="W411" s="85"/>
      <c r="X411" s="85"/>
      <c r="Y411" s="85"/>
      <c r="Z411" s="85"/>
      <c r="AA411" s="85"/>
      <c r="AB411" s="85"/>
      <c r="AC411" s="85"/>
      <c r="AD411" s="85"/>
    </row>
    <row r="412" spans="1:30" ht="15.75" x14ac:dyDescent="0.25">
      <c r="A412" s="14">
        <v>53478</v>
      </c>
      <c r="B412" s="97">
        <v>31</v>
      </c>
      <c r="C412" s="84">
        <f>194.205</f>
        <v>194.20500000000001</v>
      </c>
      <c r="D412" s="84">
        <f>267.466</f>
        <v>267.46600000000001</v>
      </c>
      <c r="E412" s="93">
        <f>133.845</f>
        <v>133.845</v>
      </c>
      <c r="F412" s="84">
        <f>278.484-40-25-60-100</f>
        <v>53.48399999999998</v>
      </c>
      <c r="G412" s="87">
        <v>40</v>
      </c>
      <c r="H412" s="84">
        <f t="shared" si="67"/>
        <v>185</v>
      </c>
      <c r="I412" s="84">
        <f t="shared" si="59"/>
        <v>0</v>
      </c>
      <c r="J412" s="87">
        <v>100</v>
      </c>
      <c r="K412" s="87">
        <v>300</v>
      </c>
      <c r="L412" s="84">
        <f t="shared" si="63"/>
        <v>1274</v>
      </c>
      <c r="M412" s="95">
        <v>600</v>
      </c>
      <c r="N412" s="84">
        <f>75</f>
        <v>75</v>
      </c>
      <c r="O412" s="87">
        <v>240</v>
      </c>
      <c r="P412" s="87">
        <v>160</v>
      </c>
      <c r="Q412" s="87">
        <f t="shared" si="64"/>
        <v>195</v>
      </c>
      <c r="R412" s="87">
        <f t="shared" si="65"/>
        <v>100</v>
      </c>
      <c r="S412" s="84">
        <f t="shared" si="66"/>
        <v>695</v>
      </c>
      <c r="T412" s="84">
        <f>50</f>
        <v>50</v>
      </c>
      <c r="U412" s="85"/>
      <c r="V412" s="85"/>
      <c r="W412" s="85"/>
      <c r="X412" s="85"/>
      <c r="Y412" s="85"/>
      <c r="Z412" s="85"/>
      <c r="AA412" s="85"/>
      <c r="AB412" s="85"/>
      <c r="AC412" s="85"/>
      <c r="AD412" s="85"/>
    </row>
    <row r="413" spans="1:30" ht="15.75" x14ac:dyDescent="0.25">
      <c r="A413" s="14">
        <v>53508</v>
      </c>
      <c r="B413" s="97">
        <v>30</v>
      </c>
      <c r="C413" s="84">
        <f>194.205</f>
        <v>194.20500000000001</v>
      </c>
      <c r="D413" s="84">
        <f>267.466</f>
        <v>267.46600000000001</v>
      </c>
      <c r="E413" s="93">
        <f>133.845</f>
        <v>133.845</v>
      </c>
      <c r="F413" s="84">
        <f>278.484-40-25-60-100</f>
        <v>53.48399999999998</v>
      </c>
      <c r="G413" s="87">
        <v>40</v>
      </c>
      <c r="H413" s="84">
        <f t="shared" si="67"/>
        <v>185</v>
      </c>
      <c r="I413" s="84">
        <f t="shared" si="59"/>
        <v>0</v>
      </c>
      <c r="J413" s="87">
        <v>100</v>
      </c>
      <c r="K413" s="87">
        <v>300</v>
      </c>
      <c r="L413" s="84">
        <f t="shared" si="63"/>
        <v>1274</v>
      </c>
      <c r="M413" s="95">
        <v>600</v>
      </c>
      <c r="N413" s="84">
        <f>30</f>
        <v>30</v>
      </c>
      <c r="O413" s="87">
        <v>240</v>
      </c>
      <c r="P413" s="87">
        <v>160</v>
      </c>
      <c r="Q413" s="87">
        <f t="shared" si="64"/>
        <v>195</v>
      </c>
      <c r="R413" s="87">
        <f t="shared" si="65"/>
        <v>100</v>
      </c>
      <c r="S413" s="84">
        <f t="shared" si="66"/>
        <v>695</v>
      </c>
      <c r="T413" s="84">
        <f>50</f>
        <v>50</v>
      </c>
      <c r="U413" s="85"/>
      <c r="V413" s="85"/>
      <c r="W413" s="85"/>
      <c r="X413" s="85"/>
      <c r="Y413" s="85"/>
      <c r="Z413" s="85"/>
      <c r="AA413" s="85"/>
      <c r="AB413" s="85"/>
      <c r="AC413" s="85"/>
      <c r="AD413" s="85"/>
    </row>
    <row r="414" spans="1:30" ht="15.75" x14ac:dyDescent="0.25">
      <c r="A414" s="14">
        <v>53539</v>
      </c>
      <c r="B414" s="97">
        <v>31</v>
      </c>
      <c r="C414" s="84">
        <f>194.205</f>
        <v>194.20500000000001</v>
      </c>
      <c r="D414" s="84">
        <f>267.466</f>
        <v>267.46600000000001</v>
      </c>
      <c r="E414" s="93">
        <f>133.845</f>
        <v>133.845</v>
      </c>
      <c r="F414" s="84">
        <f>278.484-40-25-60-100</f>
        <v>53.48399999999998</v>
      </c>
      <c r="G414" s="87">
        <v>40</v>
      </c>
      <c r="H414" s="84">
        <f t="shared" si="67"/>
        <v>185</v>
      </c>
      <c r="I414" s="84">
        <f t="shared" si="59"/>
        <v>0</v>
      </c>
      <c r="J414" s="87">
        <v>100</v>
      </c>
      <c r="K414" s="87">
        <v>300</v>
      </c>
      <c r="L414" s="84">
        <f t="shared" si="63"/>
        <v>1274</v>
      </c>
      <c r="M414" s="95">
        <v>600</v>
      </c>
      <c r="N414" s="84">
        <f>30</f>
        <v>30</v>
      </c>
      <c r="O414" s="87">
        <v>240</v>
      </c>
      <c r="P414" s="87">
        <v>160</v>
      </c>
      <c r="Q414" s="87">
        <f t="shared" si="64"/>
        <v>195</v>
      </c>
      <c r="R414" s="87">
        <f t="shared" si="65"/>
        <v>100</v>
      </c>
      <c r="S414" s="84">
        <f t="shared" si="66"/>
        <v>695</v>
      </c>
      <c r="T414" s="84">
        <f>0</f>
        <v>0</v>
      </c>
      <c r="U414" s="85"/>
      <c r="V414" s="85"/>
      <c r="W414" s="85"/>
      <c r="X414" s="85"/>
      <c r="Y414" s="85"/>
      <c r="Z414" s="85"/>
      <c r="AA414" s="85"/>
      <c r="AB414" s="85"/>
      <c r="AC414" s="85"/>
      <c r="AD414" s="85"/>
    </row>
    <row r="415" spans="1:30" ht="15.75" x14ac:dyDescent="0.25">
      <c r="A415" s="14">
        <v>53570</v>
      </c>
      <c r="B415" s="97">
        <v>31</v>
      </c>
      <c r="C415" s="84">
        <f>194.205</f>
        <v>194.20500000000001</v>
      </c>
      <c r="D415" s="84">
        <f>267.466</f>
        <v>267.46600000000001</v>
      </c>
      <c r="E415" s="93">
        <f>133.845</f>
        <v>133.845</v>
      </c>
      <c r="F415" s="84">
        <f>278.484-40-25-60-100</f>
        <v>53.48399999999998</v>
      </c>
      <c r="G415" s="87">
        <v>40</v>
      </c>
      <c r="H415" s="84">
        <f t="shared" si="67"/>
        <v>185</v>
      </c>
      <c r="I415" s="84">
        <f t="shared" si="59"/>
        <v>0</v>
      </c>
      <c r="J415" s="87">
        <v>100</v>
      </c>
      <c r="K415" s="87">
        <v>300</v>
      </c>
      <c r="L415" s="84">
        <f t="shared" si="63"/>
        <v>1274</v>
      </c>
      <c r="M415" s="95">
        <v>600</v>
      </c>
      <c r="N415" s="84">
        <f>30</f>
        <v>30</v>
      </c>
      <c r="O415" s="87">
        <v>240</v>
      </c>
      <c r="P415" s="87">
        <v>160</v>
      </c>
      <c r="Q415" s="87">
        <f t="shared" si="64"/>
        <v>195</v>
      </c>
      <c r="R415" s="87">
        <f t="shared" si="65"/>
        <v>100</v>
      </c>
      <c r="S415" s="84">
        <f t="shared" si="66"/>
        <v>695</v>
      </c>
      <c r="T415" s="84">
        <f>0</f>
        <v>0</v>
      </c>
      <c r="U415" s="85"/>
      <c r="V415" s="85"/>
      <c r="W415" s="85"/>
      <c r="X415" s="85"/>
      <c r="Y415" s="85"/>
      <c r="Z415" s="85"/>
      <c r="AA415" s="85"/>
      <c r="AB415" s="85"/>
      <c r="AC415" s="85"/>
      <c r="AD415" s="85"/>
    </row>
    <row r="416" spans="1:30" ht="15.75" x14ac:dyDescent="0.25">
      <c r="A416" s="14">
        <v>53600</v>
      </c>
      <c r="B416" s="97">
        <v>30</v>
      </c>
      <c r="C416" s="84">
        <f>194.205</f>
        <v>194.20500000000001</v>
      </c>
      <c r="D416" s="84">
        <f>267.466</f>
        <v>267.46600000000001</v>
      </c>
      <c r="E416" s="93">
        <f>133.845</f>
        <v>133.845</v>
      </c>
      <c r="F416" s="84">
        <f>278.484-40-25-60-100</f>
        <v>53.48399999999998</v>
      </c>
      <c r="G416" s="87">
        <v>40</v>
      </c>
      <c r="H416" s="84">
        <f t="shared" si="67"/>
        <v>185</v>
      </c>
      <c r="I416" s="84">
        <f t="shared" si="59"/>
        <v>0</v>
      </c>
      <c r="J416" s="87">
        <v>100</v>
      </c>
      <c r="K416" s="87">
        <v>300</v>
      </c>
      <c r="L416" s="84">
        <f t="shared" si="63"/>
        <v>1274</v>
      </c>
      <c r="M416" s="95">
        <v>600</v>
      </c>
      <c r="N416" s="84">
        <f>30</f>
        <v>30</v>
      </c>
      <c r="O416" s="87">
        <v>240</v>
      </c>
      <c r="P416" s="87">
        <v>160</v>
      </c>
      <c r="Q416" s="87">
        <f t="shared" si="64"/>
        <v>195</v>
      </c>
      <c r="R416" s="87">
        <f t="shared" si="65"/>
        <v>100</v>
      </c>
      <c r="S416" s="84">
        <f t="shared" si="66"/>
        <v>695</v>
      </c>
      <c r="T416" s="84">
        <f>0</f>
        <v>0</v>
      </c>
      <c r="U416" s="85"/>
      <c r="V416" s="85"/>
      <c r="W416" s="85"/>
      <c r="X416" s="85"/>
      <c r="Y416" s="85"/>
      <c r="Z416" s="85"/>
      <c r="AA416" s="85"/>
      <c r="AB416" s="85"/>
      <c r="AC416" s="85"/>
      <c r="AD416" s="85"/>
    </row>
    <row r="417" spans="1:30" ht="15.75" x14ac:dyDescent="0.25">
      <c r="A417" s="14">
        <v>53631</v>
      </c>
      <c r="B417" s="97">
        <v>31</v>
      </c>
      <c r="C417" s="84">
        <f>131.881</f>
        <v>131.881</v>
      </c>
      <c r="D417" s="84">
        <f>277.167</f>
        <v>277.16699999999997</v>
      </c>
      <c r="E417" s="93">
        <f>79.08</f>
        <v>79.08</v>
      </c>
      <c r="F417" s="84">
        <f>350.872-40-25-60-100</f>
        <v>125.87200000000001</v>
      </c>
      <c r="G417" s="87">
        <v>40</v>
      </c>
      <c r="H417" s="84">
        <f t="shared" si="67"/>
        <v>185</v>
      </c>
      <c r="I417" s="84">
        <f t="shared" si="59"/>
        <v>0</v>
      </c>
      <c r="J417" s="87">
        <v>100</v>
      </c>
      <c r="K417" s="87">
        <v>300</v>
      </c>
      <c r="L417" s="84">
        <f t="shared" si="63"/>
        <v>1239</v>
      </c>
      <c r="M417" s="95">
        <v>600</v>
      </c>
      <c r="N417" s="84">
        <f>75</f>
        <v>75</v>
      </c>
      <c r="O417" s="87">
        <v>240</v>
      </c>
      <c r="P417" s="87">
        <v>160</v>
      </c>
      <c r="Q417" s="87">
        <f t="shared" si="64"/>
        <v>195</v>
      </c>
      <c r="R417" s="87">
        <f t="shared" si="65"/>
        <v>100</v>
      </c>
      <c r="S417" s="84">
        <f t="shared" si="66"/>
        <v>695</v>
      </c>
      <c r="T417" s="84">
        <f>0</f>
        <v>0</v>
      </c>
      <c r="U417" s="85"/>
      <c r="V417" s="85"/>
      <c r="W417" s="85"/>
      <c r="X417" s="85"/>
      <c r="Y417" s="85"/>
      <c r="Z417" s="85"/>
      <c r="AA417" s="85"/>
      <c r="AB417" s="85"/>
      <c r="AC417" s="85"/>
      <c r="AD417" s="85"/>
    </row>
    <row r="418" spans="1:30" ht="15.75" x14ac:dyDescent="0.25">
      <c r="A418" s="14">
        <v>53661</v>
      </c>
      <c r="B418" s="97">
        <v>30</v>
      </c>
      <c r="C418" s="84">
        <f>122.58</f>
        <v>122.58</v>
      </c>
      <c r="D418" s="84">
        <f>297.941</f>
        <v>297.94099999999997</v>
      </c>
      <c r="E418" s="93">
        <f>89.177</f>
        <v>89.177000000000007</v>
      </c>
      <c r="F418" s="84">
        <f>240.302-40-60-100</f>
        <v>40.301999999999992</v>
      </c>
      <c r="G418" s="87">
        <v>40</v>
      </c>
      <c r="H418" s="84">
        <f>60+100</f>
        <v>160</v>
      </c>
      <c r="I418" s="84">
        <f t="shared" si="59"/>
        <v>0</v>
      </c>
      <c r="J418" s="87">
        <v>100</v>
      </c>
      <c r="K418" s="87">
        <v>300</v>
      </c>
      <c r="L418" s="84">
        <f t="shared" si="63"/>
        <v>1150</v>
      </c>
      <c r="M418" s="95">
        <v>600</v>
      </c>
      <c r="N418" s="84">
        <f>100</f>
        <v>100</v>
      </c>
      <c r="O418" s="87">
        <v>240</v>
      </c>
      <c r="P418" s="87">
        <v>40</v>
      </c>
      <c r="Q418" s="87">
        <f t="shared" si="64"/>
        <v>315</v>
      </c>
      <c r="R418" s="87">
        <f t="shared" si="65"/>
        <v>100</v>
      </c>
      <c r="S418" s="84">
        <f t="shared" si="66"/>
        <v>695</v>
      </c>
      <c r="T418" s="84">
        <f>50</f>
        <v>50</v>
      </c>
      <c r="U418" s="85"/>
      <c r="V418" s="85"/>
      <c r="W418" s="85"/>
      <c r="X418" s="85"/>
      <c r="Y418" s="85"/>
      <c r="Z418" s="85"/>
      <c r="AA418" s="85"/>
      <c r="AB418" s="85"/>
      <c r="AC418" s="85"/>
      <c r="AD418" s="85"/>
    </row>
    <row r="419" spans="1:30" ht="15.75" x14ac:dyDescent="0.25">
      <c r="A419" s="14">
        <v>53692</v>
      </c>
      <c r="B419" s="97">
        <v>31</v>
      </c>
      <c r="C419" s="84">
        <f>122.58</f>
        <v>122.58</v>
      </c>
      <c r="D419" s="84">
        <f>297.941</f>
        <v>297.94099999999997</v>
      </c>
      <c r="E419" s="93">
        <f>89.177</f>
        <v>89.177000000000007</v>
      </c>
      <c r="F419" s="84">
        <f>240.302-40-60-100</f>
        <v>40.301999999999992</v>
      </c>
      <c r="G419" s="87">
        <v>40</v>
      </c>
      <c r="H419" s="84">
        <f>60+100</f>
        <v>160</v>
      </c>
      <c r="I419" s="84">
        <f t="shared" si="59"/>
        <v>0</v>
      </c>
      <c r="J419" s="87">
        <v>100</v>
      </c>
      <c r="K419" s="87">
        <v>300</v>
      </c>
      <c r="L419" s="84">
        <f t="shared" si="63"/>
        <v>1150</v>
      </c>
      <c r="M419" s="95">
        <v>600</v>
      </c>
      <c r="N419" s="84">
        <f>100</f>
        <v>100</v>
      </c>
      <c r="O419" s="87">
        <v>240</v>
      </c>
      <c r="P419" s="87">
        <v>40</v>
      </c>
      <c r="Q419" s="87">
        <f t="shared" si="64"/>
        <v>315</v>
      </c>
      <c r="R419" s="87">
        <f t="shared" si="65"/>
        <v>100</v>
      </c>
      <c r="S419" s="84">
        <f t="shared" si="66"/>
        <v>695</v>
      </c>
      <c r="T419" s="84">
        <f>50</f>
        <v>50</v>
      </c>
      <c r="U419" s="85"/>
      <c r="V419" s="85"/>
      <c r="W419" s="85"/>
      <c r="X419" s="85"/>
      <c r="Y419" s="85"/>
      <c r="Z419" s="85"/>
      <c r="AA419" s="85"/>
      <c r="AB419" s="85"/>
      <c r="AC419" s="85"/>
      <c r="AD419" s="85"/>
    </row>
    <row r="420" spans="1:30" ht="15.75" x14ac:dyDescent="0.25">
      <c r="A420" s="14">
        <v>53723</v>
      </c>
      <c r="B420" s="97">
        <v>31</v>
      </c>
      <c r="C420" s="84">
        <f>122.58</f>
        <v>122.58</v>
      </c>
      <c r="D420" s="84">
        <f>297.941</f>
        <v>297.94099999999997</v>
      </c>
      <c r="E420" s="93">
        <f>89.177</f>
        <v>89.177000000000007</v>
      </c>
      <c r="F420" s="84">
        <f>240.302-40-60-100</f>
        <v>40.301999999999992</v>
      </c>
      <c r="G420" s="87">
        <v>40</v>
      </c>
      <c r="H420" s="84">
        <f>60+100</f>
        <v>160</v>
      </c>
      <c r="I420" s="84">
        <f t="shared" si="59"/>
        <v>0</v>
      </c>
      <c r="J420" s="87">
        <v>100</v>
      </c>
      <c r="K420" s="87">
        <v>300</v>
      </c>
      <c r="L420" s="84">
        <f t="shared" si="63"/>
        <v>1150</v>
      </c>
      <c r="M420" s="95">
        <v>600</v>
      </c>
      <c r="N420" s="84">
        <f>100</f>
        <v>100</v>
      </c>
      <c r="O420" s="87">
        <v>240</v>
      </c>
      <c r="P420" s="87">
        <v>40</v>
      </c>
      <c r="Q420" s="87">
        <f t="shared" si="64"/>
        <v>315</v>
      </c>
      <c r="R420" s="87">
        <f t="shared" si="65"/>
        <v>100</v>
      </c>
      <c r="S420" s="84">
        <f t="shared" si="66"/>
        <v>695</v>
      </c>
      <c r="T420" s="84">
        <f>50</f>
        <v>50</v>
      </c>
      <c r="U420" s="85"/>
      <c r="V420" s="85"/>
      <c r="W420" s="85"/>
      <c r="X420" s="85"/>
      <c r="Y420" s="85"/>
      <c r="Z420" s="85"/>
      <c r="AA420" s="85"/>
      <c r="AB420" s="85"/>
      <c r="AC420" s="85"/>
      <c r="AD420" s="85"/>
    </row>
    <row r="421" spans="1:30" ht="15.75" x14ac:dyDescent="0.25">
      <c r="A421" s="14">
        <v>53751</v>
      </c>
      <c r="B421" s="97">
        <v>28</v>
      </c>
      <c r="C421" s="84">
        <f>122.58</f>
        <v>122.58</v>
      </c>
      <c r="D421" s="84">
        <f>297.941</f>
        <v>297.94099999999997</v>
      </c>
      <c r="E421" s="93">
        <f>89.177</f>
        <v>89.177000000000007</v>
      </c>
      <c r="F421" s="84">
        <f>240.302-40-60-100</f>
        <v>40.301999999999992</v>
      </c>
      <c r="G421" s="87">
        <v>40</v>
      </c>
      <c r="H421" s="84">
        <f>60+100</f>
        <v>160</v>
      </c>
      <c r="I421" s="84">
        <f t="shared" si="59"/>
        <v>0</v>
      </c>
      <c r="J421" s="87">
        <v>100</v>
      </c>
      <c r="K421" s="87">
        <v>300</v>
      </c>
      <c r="L421" s="84">
        <f t="shared" si="63"/>
        <v>1150</v>
      </c>
      <c r="M421" s="95">
        <v>600</v>
      </c>
      <c r="N421" s="84">
        <f>100</f>
        <v>100</v>
      </c>
      <c r="O421" s="87">
        <v>240</v>
      </c>
      <c r="P421" s="87">
        <v>40</v>
      </c>
      <c r="Q421" s="87">
        <f t="shared" si="64"/>
        <v>315</v>
      </c>
      <c r="R421" s="87">
        <f t="shared" si="65"/>
        <v>100</v>
      </c>
      <c r="S421" s="84">
        <f t="shared" si="66"/>
        <v>695</v>
      </c>
      <c r="T421" s="84">
        <f>50</f>
        <v>50</v>
      </c>
      <c r="U421" s="85"/>
      <c r="V421" s="85"/>
      <c r="W421" s="85"/>
      <c r="X421" s="85"/>
      <c r="Y421" s="85"/>
      <c r="Z421" s="85"/>
      <c r="AA421" s="85"/>
      <c r="AB421" s="85"/>
      <c r="AC421" s="85"/>
      <c r="AD421" s="85"/>
    </row>
    <row r="422" spans="1:30" ht="15.75" x14ac:dyDescent="0.25">
      <c r="A422" s="14">
        <v>53782</v>
      </c>
      <c r="B422" s="97">
        <v>31</v>
      </c>
      <c r="C422" s="84">
        <f>122.58</f>
        <v>122.58</v>
      </c>
      <c r="D422" s="84">
        <f>297.941</f>
        <v>297.94099999999997</v>
      </c>
      <c r="E422" s="93">
        <f>89.177</f>
        <v>89.177000000000007</v>
      </c>
      <c r="F422" s="84">
        <f>240.302-40-60-100</f>
        <v>40.301999999999992</v>
      </c>
      <c r="G422" s="87">
        <v>40</v>
      </c>
      <c r="H422" s="84">
        <f>60+100</f>
        <v>160</v>
      </c>
      <c r="I422" s="84">
        <f t="shared" si="59"/>
        <v>0</v>
      </c>
      <c r="J422" s="87">
        <v>100</v>
      </c>
      <c r="K422" s="87">
        <v>300</v>
      </c>
      <c r="L422" s="84">
        <f t="shared" si="63"/>
        <v>1150</v>
      </c>
      <c r="M422" s="95">
        <v>600</v>
      </c>
      <c r="N422" s="84">
        <f>100</f>
        <v>100</v>
      </c>
      <c r="O422" s="87">
        <v>240</v>
      </c>
      <c r="P422" s="87">
        <v>40</v>
      </c>
      <c r="Q422" s="87">
        <f t="shared" si="64"/>
        <v>315</v>
      </c>
      <c r="R422" s="87">
        <f t="shared" si="65"/>
        <v>100</v>
      </c>
      <c r="S422" s="84">
        <f t="shared" si="66"/>
        <v>695</v>
      </c>
      <c r="T422" s="84">
        <f>50</f>
        <v>50</v>
      </c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</row>
    <row r="423" spans="1:30" ht="15.75" x14ac:dyDescent="0.25">
      <c r="A423" s="14">
        <v>53812</v>
      </c>
      <c r="B423" s="97">
        <v>30</v>
      </c>
      <c r="C423" s="84">
        <f>141.293</f>
        <v>141.29300000000001</v>
      </c>
      <c r="D423" s="84">
        <f>267.993</f>
        <v>267.99299999999999</v>
      </c>
      <c r="E423" s="93">
        <f>115.016</f>
        <v>115.01600000000001</v>
      </c>
      <c r="F423" s="84">
        <f>314.698-40-25-60-100</f>
        <v>89.697999999999979</v>
      </c>
      <c r="G423" s="87">
        <v>40</v>
      </c>
      <c r="H423" s="84">
        <f t="shared" ref="H423:H429" si="68">25+60+100</f>
        <v>185</v>
      </c>
      <c r="I423" s="84">
        <f t="shared" si="59"/>
        <v>0</v>
      </c>
      <c r="J423" s="87">
        <v>100</v>
      </c>
      <c r="K423" s="87">
        <v>300</v>
      </c>
      <c r="L423" s="84">
        <f t="shared" si="63"/>
        <v>1239</v>
      </c>
      <c r="M423" s="95">
        <v>600</v>
      </c>
      <c r="N423" s="84">
        <f>100</f>
        <v>100</v>
      </c>
      <c r="O423" s="87">
        <v>240</v>
      </c>
      <c r="P423" s="87">
        <v>160</v>
      </c>
      <c r="Q423" s="87">
        <f t="shared" si="64"/>
        <v>195</v>
      </c>
      <c r="R423" s="87">
        <f t="shared" si="65"/>
        <v>100</v>
      </c>
      <c r="S423" s="84">
        <f t="shared" si="66"/>
        <v>695</v>
      </c>
      <c r="T423" s="84">
        <f>50</f>
        <v>50</v>
      </c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</row>
    <row r="424" spans="1:30" ht="15.75" x14ac:dyDescent="0.25">
      <c r="A424" s="14">
        <v>53843</v>
      </c>
      <c r="B424" s="97">
        <v>31</v>
      </c>
      <c r="C424" s="84">
        <f>194.205</f>
        <v>194.20500000000001</v>
      </c>
      <c r="D424" s="84">
        <f>267.466</f>
        <v>267.46600000000001</v>
      </c>
      <c r="E424" s="93">
        <f>133.845</f>
        <v>133.845</v>
      </c>
      <c r="F424" s="84">
        <f>278.484-40-25-60-100</f>
        <v>53.48399999999998</v>
      </c>
      <c r="G424" s="87">
        <v>40</v>
      </c>
      <c r="H424" s="84">
        <f t="shared" si="68"/>
        <v>185</v>
      </c>
      <c r="I424" s="84">
        <f t="shared" si="59"/>
        <v>0</v>
      </c>
      <c r="J424" s="87">
        <v>100</v>
      </c>
      <c r="K424" s="87">
        <v>300</v>
      </c>
      <c r="L424" s="84">
        <f t="shared" si="63"/>
        <v>1274</v>
      </c>
      <c r="M424" s="95">
        <v>600</v>
      </c>
      <c r="N424" s="84">
        <f>75</f>
        <v>75</v>
      </c>
      <c r="O424" s="87">
        <v>240</v>
      </c>
      <c r="P424" s="87">
        <v>160</v>
      </c>
      <c r="Q424" s="87">
        <f t="shared" si="64"/>
        <v>195</v>
      </c>
      <c r="R424" s="87">
        <f t="shared" si="65"/>
        <v>100</v>
      </c>
      <c r="S424" s="84">
        <f t="shared" si="66"/>
        <v>695</v>
      </c>
      <c r="T424" s="84">
        <f>50</f>
        <v>50</v>
      </c>
      <c r="U424" s="85"/>
      <c r="V424" s="85"/>
      <c r="W424" s="85"/>
      <c r="X424" s="85"/>
      <c r="Y424" s="85"/>
      <c r="Z424" s="85"/>
      <c r="AA424" s="85"/>
      <c r="AB424" s="85"/>
      <c r="AC424" s="85"/>
      <c r="AD424" s="85"/>
    </row>
    <row r="425" spans="1:30" ht="15.75" x14ac:dyDescent="0.25">
      <c r="A425" s="14">
        <v>53873</v>
      </c>
      <c r="B425" s="97">
        <v>30</v>
      </c>
      <c r="C425" s="84">
        <f>194.205</f>
        <v>194.20500000000001</v>
      </c>
      <c r="D425" s="84">
        <f>267.466</f>
        <v>267.46600000000001</v>
      </c>
      <c r="E425" s="93">
        <f>133.845</f>
        <v>133.845</v>
      </c>
      <c r="F425" s="84">
        <f>278.484-40-25-60-100</f>
        <v>53.48399999999998</v>
      </c>
      <c r="G425" s="87">
        <v>40</v>
      </c>
      <c r="H425" s="84">
        <f t="shared" si="68"/>
        <v>185</v>
      </c>
      <c r="I425" s="84">
        <f t="shared" si="59"/>
        <v>0</v>
      </c>
      <c r="J425" s="87">
        <v>100</v>
      </c>
      <c r="K425" s="87">
        <v>300</v>
      </c>
      <c r="L425" s="84">
        <f t="shared" si="63"/>
        <v>1274</v>
      </c>
      <c r="M425" s="95">
        <v>600</v>
      </c>
      <c r="N425" s="84">
        <f>30</f>
        <v>30</v>
      </c>
      <c r="O425" s="87">
        <v>240</v>
      </c>
      <c r="P425" s="87">
        <v>160</v>
      </c>
      <c r="Q425" s="87">
        <f t="shared" si="64"/>
        <v>195</v>
      </c>
      <c r="R425" s="87">
        <f t="shared" si="65"/>
        <v>100</v>
      </c>
      <c r="S425" s="84">
        <f t="shared" si="66"/>
        <v>695</v>
      </c>
      <c r="T425" s="84">
        <f>50</f>
        <v>50</v>
      </c>
      <c r="U425" s="85"/>
      <c r="V425" s="85"/>
      <c r="W425" s="85"/>
      <c r="X425" s="85"/>
      <c r="Y425" s="85"/>
      <c r="Z425" s="85"/>
      <c r="AA425" s="85"/>
      <c r="AB425" s="85"/>
      <c r="AC425" s="85"/>
      <c r="AD425" s="85"/>
    </row>
    <row r="426" spans="1:30" ht="15.75" x14ac:dyDescent="0.25">
      <c r="A426" s="14">
        <v>53904</v>
      </c>
      <c r="B426" s="97">
        <v>31</v>
      </c>
      <c r="C426" s="84">
        <f>194.205</f>
        <v>194.20500000000001</v>
      </c>
      <c r="D426" s="84">
        <f>267.466</f>
        <v>267.46600000000001</v>
      </c>
      <c r="E426" s="93">
        <f>133.845</f>
        <v>133.845</v>
      </c>
      <c r="F426" s="84">
        <f>278.484-40-25-60-100</f>
        <v>53.48399999999998</v>
      </c>
      <c r="G426" s="87">
        <v>40</v>
      </c>
      <c r="H426" s="84">
        <f t="shared" si="68"/>
        <v>185</v>
      </c>
      <c r="I426" s="84">
        <f t="shared" si="59"/>
        <v>0</v>
      </c>
      <c r="J426" s="87">
        <v>100</v>
      </c>
      <c r="K426" s="87">
        <v>300</v>
      </c>
      <c r="L426" s="84">
        <f t="shared" si="63"/>
        <v>1274</v>
      </c>
      <c r="M426" s="95">
        <v>600</v>
      </c>
      <c r="N426" s="84">
        <f>30</f>
        <v>30</v>
      </c>
      <c r="O426" s="87">
        <v>240</v>
      </c>
      <c r="P426" s="87">
        <v>160</v>
      </c>
      <c r="Q426" s="87">
        <f t="shared" si="64"/>
        <v>195</v>
      </c>
      <c r="R426" s="87">
        <f t="shared" si="65"/>
        <v>100</v>
      </c>
      <c r="S426" s="84">
        <f t="shared" si="66"/>
        <v>695</v>
      </c>
      <c r="T426" s="84">
        <f>0</f>
        <v>0</v>
      </c>
      <c r="U426" s="85"/>
      <c r="V426" s="85"/>
      <c r="W426" s="85"/>
      <c r="X426" s="85"/>
      <c r="Y426" s="85"/>
      <c r="Z426" s="85"/>
      <c r="AA426" s="85"/>
      <c r="AB426" s="85"/>
      <c r="AC426" s="85"/>
      <c r="AD426" s="85"/>
    </row>
    <row r="427" spans="1:30" ht="15.75" x14ac:dyDescent="0.25">
      <c r="A427" s="14">
        <v>53935</v>
      </c>
      <c r="B427" s="97">
        <v>31</v>
      </c>
      <c r="C427" s="84">
        <f>194.205</f>
        <v>194.20500000000001</v>
      </c>
      <c r="D427" s="84">
        <f>267.466</f>
        <v>267.46600000000001</v>
      </c>
      <c r="E427" s="93">
        <f>133.845</f>
        <v>133.845</v>
      </c>
      <c r="F427" s="84">
        <f>278.484-40-25-60-100</f>
        <v>53.48399999999998</v>
      </c>
      <c r="G427" s="87">
        <v>40</v>
      </c>
      <c r="H427" s="84">
        <f t="shared" si="68"/>
        <v>185</v>
      </c>
      <c r="I427" s="84">
        <f t="shared" si="59"/>
        <v>0</v>
      </c>
      <c r="J427" s="87">
        <v>100</v>
      </c>
      <c r="K427" s="87">
        <v>300</v>
      </c>
      <c r="L427" s="84">
        <f t="shared" si="63"/>
        <v>1274</v>
      </c>
      <c r="M427" s="95">
        <v>600</v>
      </c>
      <c r="N427" s="84">
        <f>30</f>
        <v>30</v>
      </c>
      <c r="O427" s="87">
        <v>240</v>
      </c>
      <c r="P427" s="87">
        <v>160</v>
      </c>
      <c r="Q427" s="87">
        <f t="shared" si="64"/>
        <v>195</v>
      </c>
      <c r="R427" s="87">
        <f t="shared" si="65"/>
        <v>100</v>
      </c>
      <c r="S427" s="84">
        <f t="shared" si="66"/>
        <v>695</v>
      </c>
      <c r="T427" s="84">
        <f>0</f>
        <v>0</v>
      </c>
      <c r="U427" s="85"/>
      <c r="V427" s="85"/>
      <c r="W427" s="85"/>
      <c r="X427" s="85"/>
      <c r="Y427" s="85"/>
      <c r="Z427" s="85"/>
      <c r="AA427" s="85"/>
      <c r="AB427" s="85"/>
      <c r="AC427" s="85"/>
      <c r="AD427" s="85"/>
    </row>
    <row r="428" spans="1:30" ht="15.75" x14ac:dyDescent="0.25">
      <c r="A428" s="14">
        <v>53965</v>
      </c>
      <c r="B428" s="97">
        <v>30</v>
      </c>
      <c r="C428" s="84">
        <f>194.205</f>
        <v>194.20500000000001</v>
      </c>
      <c r="D428" s="84">
        <f>267.466</f>
        <v>267.46600000000001</v>
      </c>
      <c r="E428" s="93">
        <f>133.845</f>
        <v>133.845</v>
      </c>
      <c r="F428" s="84">
        <f>278.484-40-25-60-100</f>
        <v>53.48399999999998</v>
      </c>
      <c r="G428" s="87">
        <v>40</v>
      </c>
      <c r="H428" s="84">
        <f t="shared" si="68"/>
        <v>185</v>
      </c>
      <c r="I428" s="84">
        <f t="shared" si="59"/>
        <v>0</v>
      </c>
      <c r="J428" s="87">
        <v>100</v>
      </c>
      <c r="K428" s="87">
        <v>300</v>
      </c>
      <c r="L428" s="84">
        <f t="shared" si="63"/>
        <v>1274</v>
      </c>
      <c r="M428" s="95">
        <v>600</v>
      </c>
      <c r="N428" s="84">
        <f>30</f>
        <v>30</v>
      </c>
      <c r="O428" s="87">
        <v>240</v>
      </c>
      <c r="P428" s="87">
        <v>160</v>
      </c>
      <c r="Q428" s="87">
        <f t="shared" si="64"/>
        <v>195</v>
      </c>
      <c r="R428" s="87">
        <f t="shared" si="65"/>
        <v>100</v>
      </c>
      <c r="S428" s="84">
        <f t="shared" si="66"/>
        <v>695</v>
      </c>
      <c r="T428" s="84">
        <f>0</f>
        <v>0</v>
      </c>
      <c r="U428" s="85"/>
      <c r="V428" s="85"/>
      <c r="W428" s="85"/>
      <c r="X428" s="85"/>
      <c r="Y428" s="85"/>
      <c r="Z428" s="85"/>
      <c r="AA428" s="85"/>
      <c r="AB428" s="85"/>
      <c r="AC428" s="85"/>
      <c r="AD428" s="85"/>
    </row>
    <row r="429" spans="1:30" ht="15.75" x14ac:dyDescent="0.25">
      <c r="A429" s="14">
        <v>53996</v>
      </c>
      <c r="B429" s="97">
        <v>31</v>
      </c>
      <c r="C429" s="84">
        <f>131.881</f>
        <v>131.881</v>
      </c>
      <c r="D429" s="84">
        <f>277.167</f>
        <v>277.16699999999997</v>
      </c>
      <c r="E429" s="93">
        <f>79.08</f>
        <v>79.08</v>
      </c>
      <c r="F429" s="84">
        <f>350.872-40-25-60-100</f>
        <v>125.87200000000001</v>
      </c>
      <c r="G429" s="87">
        <v>40</v>
      </c>
      <c r="H429" s="84">
        <f t="shared" si="68"/>
        <v>185</v>
      </c>
      <c r="I429" s="84">
        <f t="shared" si="59"/>
        <v>0</v>
      </c>
      <c r="J429" s="87">
        <v>100</v>
      </c>
      <c r="K429" s="87">
        <v>300</v>
      </c>
      <c r="L429" s="84">
        <f t="shared" si="63"/>
        <v>1239</v>
      </c>
      <c r="M429" s="95">
        <v>600</v>
      </c>
      <c r="N429" s="84">
        <f>75</f>
        <v>75</v>
      </c>
      <c r="O429" s="87">
        <v>240</v>
      </c>
      <c r="P429" s="87">
        <v>160</v>
      </c>
      <c r="Q429" s="87">
        <f t="shared" si="64"/>
        <v>195</v>
      </c>
      <c r="R429" s="87">
        <f t="shared" si="65"/>
        <v>100</v>
      </c>
      <c r="S429" s="84">
        <f t="shared" si="66"/>
        <v>695</v>
      </c>
      <c r="T429" s="84">
        <f>0</f>
        <v>0</v>
      </c>
      <c r="U429" s="85"/>
      <c r="V429" s="85"/>
      <c r="W429" s="85"/>
      <c r="X429" s="85"/>
      <c r="Y429" s="85"/>
      <c r="Z429" s="85"/>
      <c r="AA429" s="85"/>
      <c r="AB429" s="85"/>
      <c r="AC429" s="85"/>
      <c r="AD429" s="85"/>
    </row>
    <row r="430" spans="1:30" ht="15.75" x14ac:dyDescent="0.25">
      <c r="A430" s="14">
        <v>54026</v>
      </c>
      <c r="B430" s="97">
        <v>30</v>
      </c>
      <c r="C430" s="84">
        <f>122.58</f>
        <v>122.58</v>
      </c>
      <c r="D430" s="84">
        <f>297.941</f>
        <v>297.94099999999997</v>
      </c>
      <c r="E430" s="93">
        <f>89.177</f>
        <v>89.177000000000007</v>
      </c>
      <c r="F430" s="84">
        <f>240.302-40-60-100</f>
        <v>40.301999999999992</v>
      </c>
      <c r="G430" s="87">
        <v>40</v>
      </c>
      <c r="H430" s="84">
        <f>60+100</f>
        <v>160</v>
      </c>
      <c r="I430" s="84">
        <f t="shared" si="59"/>
        <v>0</v>
      </c>
      <c r="J430" s="87">
        <v>100</v>
      </c>
      <c r="K430" s="87">
        <v>300</v>
      </c>
      <c r="L430" s="84">
        <f t="shared" si="63"/>
        <v>1150</v>
      </c>
      <c r="M430" s="95">
        <v>600</v>
      </c>
      <c r="N430" s="84">
        <f>100</f>
        <v>100</v>
      </c>
      <c r="O430" s="87">
        <v>240</v>
      </c>
      <c r="P430" s="87">
        <v>40</v>
      </c>
      <c r="Q430" s="87">
        <f t="shared" si="64"/>
        <v>315</v>
      </c>
      <c r="R430" s="87">
        <f t="shared" si="65"/>
        <v>100</v>
      </c>
      <c r="S430" s="84">
        <f t="shared" si="66"/>
        <v>695</v>
      </c>
      <c r="T430" s="84">
        <f>50</f>
        <v>50</v>
      </c>
      <c r="U430" s="85"/>
      <c r="V430" s="85"/>
      <c r="W430" s="85"/>
      <c r="X430" s="85"/>
      <c r="Y430" s="85"/>
      <c r="Z430" s="85"/>
      <c r="AA430" s="85"/>
      <c r="AB430" s="85"/>
      <c r="AC430" s="85"/>
      <c r="AD430" s="85"/>
    </row>
    <row r="431" spans="1:30" ht="15.75" x14ac:dyDescent="0.25">
      <c r="A431" s="14">
        <v>54057</v>
      </c>
      <c r="B431" s="97">
        <v>31</v>
      </c>
      <c r="C431" s="84">
        <f>122.58</f>
        <v>122.58</v>
      </c>
      <c r="D431" s="84">
        <f>297.941</f>
        <v>297.94099999999997</v>
      </c>
      <c r="E431" s="93">
        <f>89.177</f>
        <v>89.177000000000007</v>
      </c>
      <c r="F431" s="84">
        <f>240.302-40-60-100</f>
        <v>40.301999999999992</v>
      </c>
      <c r="G431" s="87">
        <v>40</v>
      </c>
      <c r="H431" s="84">
        <f>60+100</f>
        <v>160</v>
      </c>
      <c r="I431" s="84">
        <f t="shared" si="59"/>
        <v>0</v>
      </c>
      <c r="J431" s="87">
        <v>100</v>
      </c>
      <c r="K431" s="87">
        <v>300</v>
      </c>
      <c r="L431" s="84">
        <f t="shared" si="63"/>
        <v>1150</v>
      </c>
      <c r="M431" s="95">
        <v>600</v>
      </c>
      <c r="N431" s="84">
        <f>100</f>
        <v>100</v>
      </c>
      <c r="O431" s="87">
        <v>240</v>
      </c>
      <c r="P431" s="87">
        <v>40</v>
      </c>
      <c r="Q431" s="87">
        <f t="shared" si="64"/>
        <v>315</v>
      </c>
      <c r="R431" s="87">
        <f t="shared" si="65"/>
        <v>100</v>
      </c>
      <c r="S431" s="84">
        <f t="shared" si="66"/>
        <v>695</v>
      </c>
      <c r="T431" s="84">
        <f>50</f>
        <v>50</v>
      </c>
      <c r="U431" s="85"/>
      <c r="V431" s="85"/>
      <c r="W431" s="85"/>
      <c r="X431" s="85"/>
      <c r="Y431" s="85"/>
      <c r="Z431" s="85"/>
      <c r="AA431" s="85"/>
      <c r="AB431" s="85"/>
      <c r="AC431" s="85"/>
      <c r="AD431" s="85"/>
    </row>
    <row r="432" spans="1:30" ht="15.75" x14ac:dyDescent="0.25">
      <c r="A432" s="14">
        <v>54088</v>
      </c>
      <c r="B432" s="97">
        <v>31</v>
      </c>
      <c r="C432" s="84">
        <f>122.58</f>
        <v>122.58</v>
      </c>
      <c r="D432" s="84">
        <f>297.941</f>
        <v>297.94099999999997</v>
      </c>
      <c r="E432" s="93">
        <f>89.177</f>
        <v>89.177000000000007</v>
      </c>
      <c r="F432" s="84">
        <f>240.302-40-60-100</f>
        <v>40.301999999999992</v>
      </c>
      <c r="G432" s="87">
        <v>40</v>
      </c>
      <c r="H432" s="84">
        <f>60+100</f>
        <v>160</v>
      </c>
      <c r="I432" s="84">
        <f t="shared" si="59"/>
        <v>0</v>
      </c>
      <c r="J432" s="87">
        <v>100</v>
      </c>
      <c r="K432" s="87">
        <v>300</v>
      </c>
      <c r="L432" s="84">
        <f t="shared" si="63"/>
        <v>1150</v>
      </c>
      <c r="M432" s="95">
        <v>600</v>
      </c>
      <c r="N432" s="84">
        <f>100</f>
        <v>100</v>
      </c>
      <c r="O432" s="87">
        <v>240</v>
      </c>
      <c r="P432" s="87">
        <v>40</v>
      </c>
      <c r="Q432" s="87">
        <f t="shared" si="64"/>
        <v>315</v>
      </c>
      <c r="R432" s="87">
        <f t="shared" si="65"/>
        <v>100</v>
      </c>
      <c r="S432" s="84">
        <f t="shared" si="66"/>
        <v>695</v>
      </c>
      <c r="T432" s="84">
        <f>50</f>
        <v>50</v>
      </c>
      <c r="U432" s="85"/>
      <c r="V432" s="85"/>
      <c r="W432" s="85"/>
      <c r="X432" s="85"/>
      <c r="Y432" s="85"/>
      <c r="Z432" s="85"/>
      <c r="AA432" s="85"/>
      <c r="AB432" s="85"/>
      <c r="AC432" s="85"/>
      <c r="AD432" s="85"/>
    </row>
    <row r="433" spans="1:30" ht="15.75" x14ac:dyDescent="0.25">
      <c r="A433" s="14">
        <v>54116</v>
      </c>
      <c r="B433" s="97">
        <v>29</v>
      </c>
      <c r="C433" s="84">
        <f>122.58</f>
        <v>122.58</v>
      </c>
      <c r="D433" s="84">
        <f>297.941</f>
        <v>297.94099999999997</v>
      </c>
      <c r="E433" s="93">
        <f>89.177</f>
        <v>89.177000000000007</v>
      </c>
      <c r="F433" s="84">
        <f>240.302-40-60-100</f>
        <v>40.301999999999992</v>
      </c>
      <c r="G433" s="87">
        <v>40</v>
      </c>
      <c r="H433" s="84">
        <f>60+100</f>
        <v>160</v>
      </c>
      <c r="I433" s="84">
        <f t="shared" si="59"/>
        <v>0</v>
      </c>
      <c r="J433" s="87">
        <v>100</v>
      </c>
      <c r="K433" s="87">
        <v>300</v>
      </c>
      <c r="L433" s="84">
        <f t="shared" si="63"/>
        <v>1150</v>
      </c>
      <c r="M433" s="95">
        <v>600</v>
      </c>
      <c r="N433" s="84">
        <f>100</f>
        <v>100</v>
      </c>
      <c r="O433" s="87">
        <v>240</v>
      </c>
      <c r="P433" s="87">
        <v>40</v>
      </c>
      <c r="Q433" s="87">
        <f t="shared" si="64"/>
        <v>315</v>
      </c>
      <c r="R433" s="87">
        <f t="shared" si="65"/>
        <v>100</v>
      </c>
      <c r="S433" s="84">
        <f t="shared" si="66"/>
        <v>695</v>
      </c>
      <c r="T433" s="84">
        <f>50</f>
        <v>50</v>
      </c>
      <c r="U433" s="85"/>
      <c r="V433" s="85"/>
      <c r="W433" s="85"/>
      <c r="X433" s="85"/>
      <c r="Y433" s="85"/>
      <c r="Z433" s="85"/>
      <c r="AA433" s="85"/>
      <c r="AB433" s="85"/>
      <c r="AC433" s="85"/>
      <c r="AD433" s="85"/>
    </row>
    <row r="434" spans="1:30" ht="15.75" x14ac:dyDescent="0.25">
      <c r="A434" s="14">
        <v>54148</v>
      </c>
      <c r="B434" s="97">
        <v>31</v>
      </c>
      <c r="C434" s="84">
        <f>122.58</f>
        <v>122.58</v>
      </c>
      <c r="D434" s="84">
        <f>297.941</f>
        <v>297.94099999999997</v>
      </c>
      <c r="E434" s="93">
        <f>89.177</f>
        <v>89.177000000000007</v>
      </c>
      <c r="F434" s="84">
        <f>240.302-40-60-100</f>
        <v>40.301999999999992</v>
      </c>
      <c r="G434" s="87">
        <v>40</v>
      </c>
      <c r="H434" s="84">
        <f>60+100</f>
        <v>160</v>
      </c>
      <c r="I434" s="84">
        <f t="shared" si="59"/>
        <v>0</v>
      </c>
      <c r="J434" s="87">
        <v>100</v>
      </c>
      <c r="K434" s="87">
        <v>300</v>
      </c>
      <c r="L434" s="84">
        <f t="shared" si="63"/>
        <v>1150</v>
      </c>
      <c r="M434" s="95">
        <v>600</v>
      </c>
      <c r="N434" s="84">
        <f>100</f>
        <v>100</v>
      </c>
      <c r="O434" s="87">
        <v>240</v>
      </c>
      <c r="P434" s="87">
        <v>40</v>
      </c>
      <c r="Q434" s="87">
        <f t="shared" si="64"/>
        <v>315</v>
      </c>
      <c r="R434" s="87">
        <f t="shared" si="65"/>
        <v>100</v>
      </c>
      <c r="S434" s="84">
        <f t="shared" si="66"/>
        <v>695</v>
      </c>
      <c r="T434" s="84">
        <f>50</f>
        <v>50</v>
      </c>
      <c r="U434" s="85"/>
      <c r="V434" s="85"/>
      <c r="W434" s="85"/>
      <c r="X434" s="85"/>
      <c r="Y434" s="85"/>
      <c r="Z434" s="85"/>
      <c r="AA434" s="85"/>
      <c r="AB434" s="85"/>
      <c r="AC434" s="85"/>
      <c r="AD434" s="85"/>
    </row>
    <row r="435" spans="1:30" ht="15.75" x14ac:dyDescent="0.25">
      <c r="A435" s="14">
        <v>54178</v>
      </c>
      <c r="B435" s="97">
        <v>30</v>
      </c>
      <c r="C435" s="84">
        <f>141.293</f>
        <v>141.29300000000001</v>
      </c>
      <c r="D435" s="84">
        <f>267.993</f>
        <v>267.99299999999999</v>
      </c>
      <c r="E435" s="93">
        <f>115.016</f>
        <v>115.01600000000001</v>
      </c>
      <c r="F435" s="84">
        <f>314.698-40-25-60-100</f>
        <v>89.697999999999979</v>
      </c>
      <c r="G435" s="87">
        <v>40</v>
      </c>
      <c r="H435" s="84">
        <f t="shared" ref="H435:H441" si="69">25+60+100</f>
        <v>185</v>
      </c>
      <c r="I435" s="84">
        <f t="shared" si="59"/>
        <v>0</v>
      </c>
      <c r="J435" s="87">
        <v>100</v>
      </c>
      <c r="K435" s="87">
        <v>300</v>
      </c>
      <c r="L435" s="84">
        <f t="shared" si="63"/>
        <v>1239</v>
      </c>
      <c r="M435" s="95">
        <v>600</v>
      </c>
      <c r="N435" s="84">
        <f>100</f>
        <v>100</v>
      </c>
      <c r="O435" s="87">
        <v>240</v>
      </c>
      <c r="P435" s="87">
        <v>160</v>
      </c>
      <c r="Q435" s="87">
        <f t="shared" si="64"/>
        <v>195</v>
      </c>
      <c r="R435" s="87">
        <f t="shared" si="65"/>
        <v>100</v>
      </c>
      <c r="S435" s="84">
        <f t="shared" si="66"/>
        <v>695</v>
      </c>
      <c r="T435" s="84">
        <f>50</f>
        <v>50</v>
      </c>
      <c r="U435" s="85"/>
      <c r="V435" s="85"/>
      <c r="W435" s="85"/>
      <c r="X435" s="85"/>
      <c r="Y435" s="85"/>
      <c r="Z435" s="85"/>
      <c r="AA435" s="85"/>
      <c r="AB435" s="85"/>
      <c r="AC435" s="85"/>
      <c r="AD435" s="85"/>
    </row>
    <row r="436" spans="1:30" ht="15.75" x14ac:dyDescent="0.25">
      <c r="A436" s="14">
        <v>54209</v>
      </c>
      <c r="B436" s="97">
        <v>31</v>
      </c>
      <c r="C436" s="84">
        <f>194.205</f>
        <v>194.20500000000001</v>
      </c>
      <c r="D436" s="84">
        <f>267.466</f>
        <v>267.46600000000001</v>
      </c>
      <c r="E436" s="93">
        <f>133.845</f>
        <v>133.845</v>
      </c>
      <c r="F436" s="84">
        <f>278.484-40-25-60-100</f>
        <v>53.48399999999998</v>
      </c>
      <c r="G436" s="87">
        <v>40</v>
      </c>
      <c r="H436" s="84">
        <f t="shared" si="69"/>
        <v>185</v>
      </c>
      <c r="I436" s="84">
        <f t="shared" ref="I436:I499" si="70">400-J436-K436</f>
        <v>0</v>
      </c>
      <c r="J436" s="87">
        <v>100</v>
      </c>
      <c r="K436" s="87">
        <v>300</v>
      </c>
      <c r="L436" s="84">
        <f t="shared" si="63"/>
        <v>1274</v>
      </c>
      <c r="M436" s="95">
        <v>600</v>
      </c>
      <c r="N436" s="84">
        <f>75</f>
        <v>75</v>
      </c>
      <c r="O436" s="87">
        <v>240</v>
      </c>
      <c r="P436" s="87">
        <v>160</v>
      </c>
      <c r="Q436" s="87">
        <f t="shared" si="64"/>
        <v>195</v>
      </c>
      <c r="R436" s="87">
        <f t="shared" si="65"/>
        <v>100</v>
      </c>
      <c r="S436" s="84">
        <f t="shared" si="66"/>
        <v>695</v>
      </c>
      <c r="T436" s="84">
        <f>50</f>
        <v>50</v>
      </c>
      <c r="U436" s="85"/>
      <c r="V436" s="85"/>
      <c r="W436" s="85"/>
      <c r="X436" s="85"/>
      <c r="Y436" s="85"/>
      <c r="Z436" s="85"/>
      <c r="AA436" s="85"/>
      <c r="AB436" s="85"/>
      <c r="AC436" s="85"/>
      <c r="AD436" s="85"/>
    </row>
    <row r="437" spans="1:30" ht="15.75" x14ac:dyDescent="0.25">
      <c r="A437" s="14">
        <v>54239</v>
      </c>
      <c r="B437" s="97">
        <v>30</v>
      </c>
      <c r="C437" s="84">
        <f>194.205</f>
        <v>194.20500000000001</v>
      </c>
      <c r="D437" s="84">
        <f>267.466</f>
        <v>267.46600000000001</v>
      </c>
      <c r="E437" s="93">
        <f>133.845</f>
        <v>133.845</v>
      </c>
      <c r="F437" s="84">
        <f>278.484-40-25-60-100</f>
        <v>53.48399999999998</v>
      </c>
      <c r="G437" s="87">
        <v>40</v>
      </c>
      <c r="H437" s="84">
        <f t="shared" si="69"/>
        <v>185</v>
      </c>
      <c r="I437" s="84">
        <f t="shared" si="70"/>
        <v>0</v>
      </c>
      <c r="J437" s="87">
        <v>100</v>
      </c>
      <c r="K437" s="87">
        <v>300</v>
      </c>
      <c r="L437" s="84">
        <f t="shared" si="63"/>
        <v>1274</v>
      </c>
      <c r="M437" s="95">
        <v>600</v>
      </c>
      <c r="N437" s="84">
        <f>30</f>
        <v>30</v>
      </c>
      <c r="O437" s="87">
        <v>240</v>
      </c>
      <c r="P437" s="87">
        <v>160</v>
      </c>
      <c r="Q437" s="87">
        <f t="shared" si="64"/>
        <v>195</v>
      </c>
      <c r="R437" s="87">
        <f t="shared" si="65"/>
        <v>100</v>
      </c>
      <c r="S437" s="84">
        <f t="shared" si="66"/>
        <v>695</v>
      </c>
      <c r="T437" s="84">
        <f>50</f>
        <v>50</v>
      </c>
      <c r="U437" s="85"/>
      <c r="V437" s="85"/>
      <c r="W437" s="85"/>
      <c r="X437" s="85"/>
      <c r="Y437" s="85"/>
      <c r="Z437" s="85"/>
      <c r="AA437" s="85"/>
      <c r="AB437" s="85"/>
      <c r="AC437" s="85"/>
      <c r="AD437" s="85"/>
    </row>
    <row r="438" spans="1:30" ht="15.75" x14ac:dyDescent="0.25">
      <c r="A438" s="14">
        <v>54270</v>
      </c>
      <c r="B438" s="97">
        <v>31</v>
      </c>
      <c r="C438" s="84">
        <f>194.205</f>
        <v>194.20500000000001</v>
      </c>
      <c r="D438" s="84">
        <f>267.466</f>
        <v>267.46600000000001</v>
      </c>
      <c r="E438" s="93">
        <f>133.845</f>
        <v>133.845</v>
      </c>
      <c r="F438" s="84">
        <f>278.484-40-25-60-100</f>
        <v>53.48399999999998</v>
      </c>
      <c r="G438" s="87">
        <v>40</v>
      </c>
      <c r="H438" s="84">
        <f t="shared" si="69"/>
        <v>185</v>
      </c>
      <c r="I438" s="84">
        <f t="shared" si="70"/>
        <v>0</v>
      </c>
      <c r="J438" s="87">
        <v>100</v>
      </c>
      <c r="K438" s="87">
        <v>300</v>
      </c>
      <c r="L438" s="84">
        <f t="shared" si="63"/>
        <v>1274</v>
      </c>
      <c r="M438" s="95">
        <v>600</v>
      </c>
      <c r="N438" s="84">
        <f>30</f>
        <v>30</v>
      </c>
      <c r="O438" s="87">
        <v>240</v>
      </c>
      <c r="P438" s="87">
        <v>160</v>
      </c>
      <c r="Q438" s="87">
        <f t="shared" si="64"/>
        <v>195</v>
      </c>
      <c r="R438" s="87">
        <f t="shared" si="65"/>
        <v>100</v>
      </c>
      <c r="S438" s="84">
        <f t="shared" si="66"/>
        <v>695</v>
      </c>
      <c r="T438" s="84">
        <f>0</f>
        <v>0</v>
      </c>
      <c r="U438" s="85"/>
      <c r="V438" s="85"/>
      <c r="W438" s="85"/>
      <c r="X438" s="85"/>
      <c r="Y438" s="85"/>
      <c r="Z438" s="85"/>
      <c r="AA438" s="85"/>
      <c r="AB438" s="85"/>
      <c r="AC438" s="85"/>
      <c r="AD438" s="85"/>
    </row>
    <row r="439" spans="1:30" ht="15.75" x14ac:dyDescent="0.25">
      <c r="A439" s="14">
        <v>54301</v>
      </c>
      <c r="B439" s="97">
        <v>31</v>
      </c>
      <c r="C439" s="84">
        <f>194.205</f>
        <v>194.20500000000001</v>
      </c>
      <c r="D439" s="84">
        <f>267.466</f>
        <v>267.46600000000001</v>
      </c>
      <c r="E439" s="93">
        <f>133.845</f>
        <v>133.845</v>
      </c>
      <c r="F439" s="84">
        <f>278.484-40-25-60-100</f>
        <v>53.48399999999998</v>
      </c>
      <c r="G439" s="87">
        <v>40</v>
      </c>
      <c r="H439" s="84">
        <f t="shared" si="69"/>
        <v>185</v>
      </c>
      <c r="I439" s="84">
        <f t="shared" si="70"/>
        <v>0</v>
      </c>
      <c r="J439" s="87">
        <v>100</v>
      </c>
      <c r="K439" s="87">
        <v>300</v>
      </c>
      <c r="L439" s="84">
        <f t="shared" si="63"/>
        <v>1274</v>
      </c>
      <c r="M439" s="95">
        <v>600</v>
      </c>
      <c r="N439" s="84">
        <f>30</f>
        <v>30</v>
      </c>
      <c r="O439" s="87">
        <v>240</v>
      </c>
      <c r="P439" s="87">
        <v>160</v>
      </c>
      <c r="Q439" s="87">
        <f t="shared" si="64"/>
        <v>195</v>
      </c>
      <c r="R439" s="87">
        <f t="shared" si="65"/>
        <v>100</v>
      </c>
      <c r="S439" s="84">
        <f t="shared" si="66"/>
        <v>695</v>
      </c>
      <c r="T439" s="84">
        <f>0</f>
        <v>0</v>
      </c>
      <c r="U439" s="85"/>
      <c r="V439" s="85"/>
      <c r="W439" s="85"/>
      <c r="X439" s="85"/>
      <c r="Y439" s="85"/>
      <c r="Z439" s="85"/>
      <c r="AA439" s="85"/>
      <c r="AB439" s="85"/>
      <c r="AC439" s="85"/>
      <c r="AD439" s="85"/>
    </row>
    <row r="440" spans="1:30" ht="15.75" x14ac:dyDescent="0.25">
      <c r="A440" s="14">
        <v>54331</v>
      </c>
      <c r="B440" s="97">
        <v>30</v>
      </c>
      <c r="C440" s="84">
        <f>194.205</f>
        <v>194.20500000000001</v>
      </c>
      <c r="D440" s="84">
        <f>267.466</f>
        <v>267.46600000000001</v>
      </c>
      <c r="E440" s="93">
        <f>133.845</f>
        <v>133.845</v>
      </c>
      <c r="F440" s="84">
        <f>278.484-40-25-60-100</f>
        <v>53.48399999999998</v>
      </c>
      <c r="G440" s="87">
        <v>40</v>
      </c>
      <c r="H440" s="84">
        <f t="shared" si="69"/>
        <v>185</v>
      </c>
      <c r="I440" s="84">
        <f t="shared" si="70"/>
        <v>0</v>
      </c>
      <c r="J440" s="87">
        <v>100</v>
      </c>
      <c r="K440" s="87">
        <v>300</v>
      </c>
      <c r="L440" s="84">
        <f t="shared" si="63"/>
        <v>1274</v>
      </c>
      <c r="M440" s="95">
        <v>600</v>
      </c>
      <c r="N440" s="84">
        <f>30</f>
        <v>30</v>
      </c>
      <c r="O440" s="87">
        <v>240</v>
      </c>
      <c r="P440" s="87">
        <v>160</v>
      </c>
      <c r="Q440" s="87">
        <f t="shared" si="64"/>
        <v>195</v>
      </c>
      <c r="R440" s="87">
        <f t="shared" si="65"/>
        <v>100</v>
      </c>
      <c r="S440" s="84">
        <f t="shared" si="66"/>
        <v>695</v>
      </c>
      <c r="T440" s="84">
        <f>0</f>
        <v>0</v>
      </c>
      <c r="U440" s="85"/>
      <c r="V440" s="85"/>
      <c r="W440" s="85"/>
      <c r="X440" s="85"/>
      <c r="Y440" s="85"/>
      <c r="Z440" s="85"/>
      <c r="AA440" s="85"/>
      <c r="AB440" s="85"/>
      <c r="AC440" s="85"/>
      <c r="AD440" s="85"/>
    </row>
    <row r="441" spans="1:30" ht="15.75" x14ac:dyDescent="0.25">
      <c r="A441" s="14">
        <v>54362</v>
      </c>
      <c r="B441" s="97">
        <v>31</v>
      </c>
      <c r="C441" s="84">
        <f>131.881</f>
        <v>131.881</v>
      </c>
      <c r="D441" s="84">
        <f>277.167</f>
        <v>277.16699999999997</v>
      </c>
      <c r="E441" s="93">
        <f>79.08</f>
        <v>79.08</v>
      </c>
      <c r="F441" s="84">
        <f>350.872-40-25-60-100</f>
        <v>125.87200000000001</v>
      </c>
      <c r="G441" s="87">
        <v>40</v>
      </c>
      <c r="H441" s="84">
        <f t="shared" si="69"/>
        <v>185</v>
      </c>
      <c r="I441" s="84">
        <f t="shared" si="70"/>
        <v>0</v>
      </c>
      <c r="J441" s="87">
        <v>100</v>
      </c>
      <c r="K441" s="87">
        <v>300</v>
      </c>
      <c r="L441" s="84">
        <f t="shared" si="63"/>
        <v>1239</v>
      </c>
      <c r="M441" s="95">
        <v>600</v>
      </c>
      <c r="N441" s="84">
        <f>75</f>
        <v>75</v>
      </c>
      <c r="O441" s="87">
        <v>240</v>
      </c>
      <c r="P441" s="87">
        <v>160</v>
      </c>
      <c r="Q441" s="87">
        <f t="shared" si="64"/>
        <v>195</v>
      </c>
      <c r="R441" s="87">
        <f t="shared" si="65"/>
        <v>100</v>
      </c>
      <c r="S441" s="84">
        <f t="shared" si="66"/>
        <v>695</v>
      </c>
      <c r="T441" s="84">
        <f>0</f>
        <v>0</v>
      </c>
      <c r="U441" s="85"/>
      <c r="V441" s="85"/>
      <c r="W441" s="85"/>
      <c r="X441" s="85"/>
      <c r="Y441" s="85"/>
      <c r="Z441" s="85"/>
      <c r="AA441" s="85"/>
      <c r="AB441" s="85"/>
      <c r="AC441" s="85"/>
      <c r="AD441" s="85"/>
    </row>
    <row r="442" spans="1:30" ht="15.75" x14ac:dyDescent="0.25">
      <c r="A442" s="14">
        <v>54392</v>
      </c>
      <c r="B442" s="97">
        <v>30</v>
      </c>
      <c r="C442" s="84">
        <f>122.58</f>
        <v>122.58</v>
      </c>
      <c r="D442" s="84">
        <f>297.941</f>
        <v>297.94099999999997</v>
      </c>
      <c r="E442" s="93">
        <f>89.177</f>
        <v>89.177000000000007</v>
      </c>
      <c r="F442" s="84">
        <f>240.302-40-60-100</f>
        <v>40.301999999999992</v>
      </c>
      <c r="G442" s="87">
        <v>40</v>
      </c>
      <c r="H442" s="84">
        <f>60+100</f>
        <v>160</v>
      </c>
      <c r="I442" s="84">
        <f t="shared" si="70"/>
        <v>0</v>
      </c>
      <c r="J442" s="87">
        <v>100</v>
      </c>
      <c r="K442" s="87">
        <v>300</v>
      </c>
      <c r="L442" s="84">
        <f t="shared" si="63"/>
        <v>1150</v>
      </c>
      <c r="M442" s="95">
        <v>600</v>
      </c>
      <c r="N442" s="84">
        <f>100</f>
        <v>100</v>
      </c>
      <c r="O442" s="87">
        <v>240</v>
      </c>
      <c r="P442" s="87">
        <v>40</v>
      </c>
      <c r="Q442" s="87">
        <f t="shared" si="64"/>
        <v>315</v>
      </c>
      <c r="R442" s="87">
        <f t="shared" si="65"/>
        <v>100</v>
      </c>
      <c r="S442" s="84">
        <f t="shared" si="66"/>
        <v>695</v>
      </c>
      <c r="T442" s="84">
        <f>50</f>
        <v>50</v>
      </c>
      <c r="U442" s="85"/>
      <c r="V442" s="85"/>
      <c r="W442" s="85"/>
      <c r="X442" s="85"/>
      <c r="Y442" s="85"/>
      <c r="Z442" s="85"/>
      <c r="AA442" s="85"/>
      <c r="AB442" s="85"/>
      <c r="AC442" s="85"/>
      <c r="AD442" s="85"/>
    </row>
    <row r="443" spans="1:30" ht="15.75" x14ac:dyDescent="0.25">
      <c r="A443" s="14">
        <v>54423</v>
      </c>
      <c r="B443" s="97">
        <v>31</v>
      </c>
      <c r="C443" s="84">
        <f>122.58</f>
        <v>122.58</v>
      </c>
      <c r="D443" s="84">
        <f>297.941</f>
        <v>297.94099999999997</v>
      </c>
      <c r="E443" s="93">
        <f>89.177</f>
        <v>89.177000000000007</v>
      </c>
      <c r="F443" s="84">
        <f>240.302-40-60-100</f>
        <v>40.301999999999992</v>
      </c>
      <c r="G443" s="87">
        <v>40</v>
      </c>
      <c r="H443" s="84">
        <f>60+100</f>
        <v>160</v>
      </c>
      <c r="I443" s="84">
        <f t="shared" si="70"/>
        <v>0</v>
      </c>
      <c r="J443" s="87">
        <v>100</v>
      </c>
      <c r="K443" s="87">
        <v>300</v>
      </c>
      <c r="L443" s="84">
        <f t="shared" si="63"/>
        <v>1150</v>
      </c>
      <c r="M443" s="95">
        <v>600</v>
      </c>
      <c r="N443" s="84">
        <f>100</f>
        <v>100</v>
      </c>
      <c r="O443" s="87">
        <v>240</v>
      </c>
      <c r="P443" s="87">
        <v>40</v>
      </c>
      <c r="Q443" s="87">
        <f t="shared" si="64"/>
        <v>315</v>
      </c>
      <c r="R443" s="87">
        <f t="shared" si="65"/>
        <v>100</v>
      </c>
      <c r="S443" s="84">
        <f t="shared" si="66"/>
        <v>695</v>
      </c>
      <c r="T443" s="84">
        <f>50</f>
        <v>50</v>
      </c>
      <c r="U443" s="85"/>
      <c r="V443" s="85"/>
      <c r="W443" s="85"/>
      <c r="X443" s="85"/>
      <c r="Y443" s="85"/>
      <c r="Z443" s="85"/>
      <c r="AA443" s="85"/>
      <c r="AB443" s="85"/>
      <c r="AC443" s="85"/>
      <c r="AD443" s="85"/>
    </row>
    <row r="444" spans="1:30" ht="15.75" x14ac:dyDescent="0.25">
      <c r="A444" s="14">
        <v>54454</v>
      </c>
      <c r="B444" s="97">
        <v>31</v>
      </c>
      <c r="C444" s="84">
        <f>122.58</f>
        <v>122.58</v>
      </c>
      <c r="D444" s="84">
        <f>297.941</f>
        <v>297.94099999999997</v>
      </c>
      <c r="E444" s="93">
        <f>89.177</f>
        <v>89.177000000000007</v>
      </c>
      <c r="F444" s="84">
        <f>240.302-40-60-100</f>
        <v>40.301999999999992</v>
      </c>
      <c r="G444" s="87">
        <v>40</v>
      </c>
      <c r="H444" s="84">
        <f>60+100</f>
        <v>160</v>
      </c>
      <c r="I444" s="84">
        <f t="shared" si="70"/>
        <v>0</v>
      </c>
      <c r="J444" s="87">
        <v>100</v>
      </c>
      <c r="K444" s="87">
        <v>300</v>
      </c>
      <c r="L444" s="84">
        <f t="shared" si="63"/>
        <v>1150</v>
      </c>
      <c r="M444" s="95">
        <v>600</v>
      </c>
      <c r="N444" s="84">
        <f>100</f>
        <v>100</v>
      </c>
      <c r="O444" s="87">
        <v>240</v>
      </c>
      <c r="P444" s="87">
        <v>40</v>
      </c>
      <c r="Q444" s="87">
        <f t="shared" si="64"/>
        <v>315</v>
      </c>
      <c r="R444" s="87">
        <f t="shared" si="65"/>
        <v>100</v>
      </c>
      <c r="S444" s="84">
        <f t="shared" si="66"/>
        <v>695</v>
      </c>
      <c r="T444" s="84">
        <f>50</f>
        <v>50</v>
      </c>
      <c r="U444" s="85"/>
      <c r="V444" s="85"/>
      <c r="W444" s="85"/>
      <c r="X444" s="85"/>
      <c r="Y444" s="85"/>
      <c r="Z444" s="85"/>
      <c r="AA444" s="85"/>
      <c r="AB444" s="85"/>
      <c r="AC444" s="85"/>
      <c r="AD444" s="85"/>
    </row>
    <row r="445" spans="1:30" ht="15.75" x14ac:dyDescent="0.25">
      <c r="A445" s="14">
        <v>54482</v>
      </c>
      <c r="B445" s="97">
        <v>28</v>
      </c>
      <c r="C445" s="84">
        <f>122.58</f>
        <v>122.58</v>
      </c>
      <c r="D445" s="84">
        <f>297.941</f>
        <v>297.94099999999997</v>
      </c>
      <c r="E445" s="93">
        <f>89.177</f>
        <v>89.177000000000007</v>
      </c>
      <c r="F445" s="84">
        <f>240.302-40-60-100</f>
        <v>40.301999999999992</v>
      </c>
      <c r="G445" s="87">
        <v>40</v>
      </c>
      <c r="H445" s="84">
        <f>60+100</f>
        <v>160</v>
      </c>
      <c r="I445" s="84">
        <f t="shared" si="70"/>
        <v>0</v>
      </c>
      <c r="J445" s="87">
        <v>100</v>
      </c>
      <c r="K445" s="87">
        <v>300</v>
      </c>
      <c r="L445" s="84">
        <f t="shared" si="63"/>
        <v>1150</v>
      </c>
      <c r="M445" s="95">
        <v>600</v>
      </c>
      <c r="N445" s="84">
        <f>100</f>
        <v>100</v>
      </c>
      <c r="O445" s="87">
        <v>240</v>
      </c>
      <c r="P445" s="87">
        <v>40</v>
      </c>
      <c r="Q445" s="87">
        <f t="shared" si="64"/>
        <v>315</v>
      </c>
      <c r="R445" s="87">
        <f t="shared" si="65"/>
        <v>100</v>
      </c>
      <c r="S445" s="84">
        <f t="shared" si="66"/>
        <v>695</v>
      </c>
      <c r="T445" s="84">
        <f>50</f>
        <v>50</v>
      </c>
      <c r="U445" s="85"/>
      <c r="V445" s="85"/>
      <c r="W445" s="85"/>
      <c r="X445" s="85"/>
      <c r="Y445" s="85"/>
      <c r="Z445" s="85"/>
      <c r="AA445" s="85"/>
      <c r="AB445" s="85"/>
      <c r="AC445" s="85"/>
      <c r="AD445" s="85"/>
    </row>
    <row r="446" spans="1:30" ht="15.75" x14ac:dyDescent="0.25">
      <c r="A446" s="14">
        <v>54513</v>
      </c>
      <c r="B446" s="97">
        <v>31</v>
      </c>
      <c r="C446" s="84">
        <f>122.58</f>
        <v>122.58</v>
      </c>
      <c r="D446" s="84">
        <f>297.941</f>
        <v>297.94099999999997</v>
      </c>
      <c r="E446" s="93">
        <f>89.177</f>
        <v>89.177000000000007</v>
      </c>
      <c r="F446" s="84">
        <f>240.302-40-60-100</f>
        <v>40.301999999999992</v>
      </c>
      <c r="G446" s="87">
        <v>40</v>
      </c>
      <c r="H446" s="84">
        <f>60+100</f>
        <v>160</v>
      </c>
      <c r="I446" s="84">
        <f t="shared" si="70"/>
        <v>0</v>
      </c>
      <c r="J446" s="87">
        <v>100</v>
      </c>
      <c r="K446" s="87">
        <v>300</v>
      </c>
      <c r="L446" s="84">
        <f t="shared" si="63"/>
        <v>1150</v>
      </c>
      <c r="M446" s="95">
        <v>600</v>
      </c>
      <c r="N446" s="84">
        <f>100</f>
        <v>100</v>
      </c>
      <c r="O446" s="87">
        <v>240</v>
      </c>
      <c r="P446" s="87">
        <v>40</v>
      </c>
      <c r="Q446" s="87">
        <f t="shared" si="64"/>
        <v>315</v>
      </c>
      <c r="R446" s="87">
        <f t="shared" si="65"/>
        <v>100</v>
      </c>
      <c r="S446" s="84">
        <f t="shared" si="66"/>
        <v>695</v>
      </c>
      <c r="T446" s="84">
        <f>50</f>
        <v>50</v>
      </c>
      <c r="U446" s="85"/>
      <c r="V446" s="85"/>
      <c r="W446" s="85"/>
      <c r="X446" s="85"/>
      <c r="Y446" s="85"/>
      <c r="Z446" s="85"/>
      <c r="AA446" s="85"/>
      <c r="AB446" s="85"/>
      <c r="AC446" s="85"/>
      <c r="AD446" s="85"/>
    </row>
    <row r="447" spans="1:30" ht="15.75" x14ac:dyDescent="0.25">
      <c r="A447" s="14">
        <v>54543</v>
      </c>
      <c r="B447" s="97">
        <v>30</v>
      </c>
      <c r="C447" s="84">
        <f>141.293</f>
        <v>141.29300000000001</v>
      </c>
      <c r="D447" s="84">
        <f>267.993</f>
        <v>267.99299999999999</v>
      </c>
      <c r="E447" s="93">
        <f>115.016</f>
        <v>115.01600000000001</v>
      </c>
      <c r="F447" s="84">
        <f>314.698-40-25-60-100</f>
        <v>89.697999999999979</v>
      </c>
      <c r="G447" s="87">
        <v>40</v>
      </c>
      <c r="H447" s="84">
        <f t="shared" ref="H447:H453" si="71">25+60+100</f>
        <v>185</v>
      </c>
      <c r="I447" s="84">
        <f t="shared" si="70"/>
        <v>0</v>
      </c>
      <c r="J447" s="87">
        <v>100</v>
      </c>
      <c r="K447" s="87">
        <v>300</v>
      </c>
      <c r="L447" s="84">
        <f t="shared" si="63"/>
        <v>1239</v>
      </c>
      <c r="M447" s="95">
        <v>600</v>
      </c>
      <c r="N447" s="84">
        <f>100</f>
        <v>100</v>
      </c>
      <c r="O447" s="87">
        <v>240</v>
      </c>
      <c r="P447" s="87">
        <v>160</v>
      </c>
      <c r="Q447" s="87">
        <f t="shared" si="64"/>
        <v>195</v>
      </c>
      <c r="R447" s="87">
        <f t="shared" si="65"/>
        <v>100</v>
      </c>
      <c r="S447" s="84">
        <f t="shared" si="66"/>
        <v>695</v>
      </c>
      <c r="T447" s="84">
        <f>50</f>
        <v>50</v>
      </c>
      <c r="U447" s="85"/>
      <c r="V447" s="85"/>
      <c r="W447" s="85"/>
      <c r="X447" s="85"/>
      <c r="Y447" s="85"/>
      <c r="Z447" s="85"/>
      <c r="AA447" s="85"/>
      <c r="AB447" s="85"/>
      <c r="AC447" s="85"/>
      <c r="AD447" s="85"/>
    </row>
    <row r="448" spans="1:30" ht="15.75" x14ac:dyDescent="0.25">
      <c r="A448" s="14">
        <v>54574</v>
      </c>
      <c r="B448" s="97">
        <v>31</v>
      </c>
      <c r="C448" s="84">
        <f>194.205</f>
        <v>194.20500000000001</v>
      </c>
      <c r="D448" s="84">
        <f>267.466</f>
        <v>267.46600000000001</v>
      </c>
      <c r="E448" s="93">
        <f>133.845</f>
        <v>133.845</v>
      </c>
      <c r="F448" s="84">
        <f>278.484-40-25-60-100</f>
        <v>53.48399999999998</v>
      </c>
      <c r="G448" s="87">
        <v>40</v>
      </c>
      <c r="H448" s="84">
        <f t="shared" si="71"/>
        <v>185</v>
      </c>
      <c r="I448" s="84">
        <f t="shared" si="70"/>
        <v>0</v>
      </c>
      <c r="J448" s="87">
        <v>100</v>
      </c>
      <c r="K448" s="87">
        <v>300</v>
      </c>
      <c r="L448" s="84">
        <f t="shared" si="63"/>
        <v>1274</v>
      </c>
      <c r="M448" s="95">
        <v>600</v>
      </c>
      <c r="N448" s="84">
        <f>75</f>
        <v>75</v>
      </c>
      <c r="O448" s="87">
        <v>240</v>
      </c>
      <c r="P448" s="87">
        <v>160</v>
      </c>
      <c r="Q448" s="87">
        <f t="shared" si="64"/>
        <v>195</v>
      </c>
      <c r="R448" s="87">
        <f t="shared" si="65"/>
        <v>100</v>
      </c>
      <c r="S448" s="84">
        <f t="shared" si="66"/>
        <v>695</v>
      </c>
      <c r="T448" s="84">
        <f>50</f>
        <v>50</v>
      </c>
      <c r="U448" s="85"/>
      <c r="V448" s="85"/>
      <c r="W448" s="85"/>
      <c r="X448" s="85"/>
      <c r="Y448" s="85"/>
      <c r="Z448" s="85"/>
      <c r="AA448" s="85"/>
      <c r="AB448" s="85"/>
      <c r="AC448" s="85"/>
      <c r="AD448" s="85"/>
    </row>
    <row r="449" spans="1:30" ht="15.75" x14ac:dyDescent="0.25">
      <c r="A449" s="14">
        <v>54604</v>
      </c>
      <c r="B449" s="97">
        <v>30</v>
      </c>
      <c r="C449" s="84">
        <f>194.205</f>
        <v>194.20500000000001</v>
      </c>
      <c r="D449" s="84">
        <f>267.466</f>
        <v>267.46600000000001</v>
      </c>
      <c r="E449" s="93">
        <f>133.845</f>
        <v>133.845</v>
      </c>
      <c r="F449" s="84">
        <f>278.484-40-25-60-100</f>
        <v>53.48399999999998</v>
      </c>
      <c r="G449" s="87">
        <v>40</v>
      </c>
      <c r="H449" s="84">
        <f t="shared" si="71"/>
        <v>185</v>
      </c>
      <c r="I449" s="84">
        <f t="shared" si="70"/>
        <v>0</v>
      </c>
      <c r="J449" s="87">
        <v>100</v>
      </c>
      <c r="K449" s="87">
        <v>300</v>
      </c>
      <c r="L449" s="84">
        <f t="shared" si="63"/>
        <v>1274</v>
      </c>
      <c r="M449" s="95">
        <v>600</v>
      </c>
      <c r="N449" s="84">
        <f>30</f>
        <v>30</v>
      </c>
      <c r="O449" s="87">
        <v>240</v>
      </c>
      <c r="P449" s="87">
        <v>160</v>
      </c>
      <c r="Q449" s="87">
        <f t="shared" si="64"/>
        <v>195</v>
      </c>
      <c r="R449" s="87">
        <f t="shared" si="65"/>
        <v>100</v>
      </c>
      <c r="S449" s="84">
        <f t="shared" si="66"/>
        <v>695</v>
      </c>
      <c r="T449" s="84">
        <f>50</f>
        <v>50</v>
      </c>
      <c r="U449" s="85"/>
      <c r="V449" s="85"/>
      <c r="W449" s="85"/>
      <c r="X449" s="85"/>
      <c r="Y449" s="85"/>
      <c r="Z449" s="85"/>
      <c r="AA449" s="85"/>
      <c r="AB449" s="85"/>
      <c r="AC449" s="85"/>
      <c r="AD449" s="85"/>
    </row>
    <row r="450" spans="1:30" ht="15.75" x14ac:dyDescent="0.25">
      <c r="A450" s="14">
        <v>54635</v>
      </c>
      <c r="B450" s="97">
        <v>31</v>
      </c>
      <c r="C450" s="84">
        <f>194.205</f>
        <v>194.20500000000001</v>
      </c>
      <c r="D450" s="84">
        <f>267.466</f>
        <v>267.46600000000001</v>
      </c>
      <c r="E450" s="93">
        <f>133.845</f>
        <v>133.845</v>
      </c>
      <c r="F450" s="84">
        <f>278.484-40-25-60-100</f>
        <v>53.48399999999998</v>
      </c>
      <c r="G450" s="87">
        <v>40</v>
      </c>
      <c r="H450" s="84">
        <f t="shared" si="71"/>
        <v>185</v>
      </c>
      <c r="I450" s="84">
        <f t="shared" si="70"/>
        <v>0</v>
      </c>
      <c r="J450" s="87">
        <v>100</v>
      </c>
      <c r="K450" s="87">
        <v>300</v>
      </c>
      <c r="L450" s="84">
        <f t="shared" si="63"/>
        <v>1274</v>
      </c>
      <c r="M450" s="95">
        <v>600</v>
      </c>
      <c r="N450" s="84">
        <f>30</f>
        <v>30</v>
      </c>
      <c r="O450" s="87">
        <v>240</v>
      </c>
      <c r="P450" s="87">
        <v>160</v>
      </c>
      <c r="Q450" s="87">
        <f t="shared" si="64"/>
        <v>195</v>
      </c>
      <c r="R450" s="87">
        <f t="shared" si="65"/>
        <v>100</v>
      </c>
      <c r="S450" s="84">
        <f t="shared" si="66"/>
        <v>695</v>
      </c>
      <c r="T450" s="84">
        <f>0</f>
        <v>0</v>
      </c>
      <c r="U450" s="85"/>
      <c r="V450" s="85"/>
      <c r="W450" s="85"/>
      <c r="X450" s="85"/>
      <c r="Y450" s="85"/>
      <c r="Z450" s="85"/>
      <c r="AA450" s="85"/>
      <c r="AB450" s="85"/>
      <c r="AC450" s="85"/>
      <c r="AD450" s="85"/>
    </row>
    <row r="451" spans="1:30" ht="15.75" x14ac:dyDescent="0.25">
      <c r="A451" s="14">
        <v>54666</v>
      </c>
      <c r="B451" s="97">
        <v>31</v>
      </c>
      <c r="C451" s="84">
        <f>194.205</f>
        <v>194.20500000000001</v>
      </c>
      <c r="D451" s="84">
        <f>267.466</f>
        <v>267.46600000000001</v>
      </c>
      <c r="E451" s="93">
        <f>133.845</f>
        <v>133.845</v>
      </c>
      <c r="F451" s="84">
        <f>278.484-40-25-60-100</f>
        <v>53.48399999999998</v>
      </c>
      <c r="G451" s="87">
        <v>40</v>
      </c>
      <c r="H451" s="84">
        <f t="shared" si="71"/>
        <v>185</v>
      </c>
      <c r="I451" s="84">
        <f t="shared" si="70"/>
        <v>0</v>
      </c>
      <c r="J451" s="87">
        <v>100</v>
      </c>
      <c r="K451" s="87">
        <v>300</v>
      </c>
      <c r="L451" s="84">
        <f t="shared" si="63"/>
        <v>1274</v>
      </c>
      <c r="M451" s="95">
        <v>600</v>
      </c>
      <c r="N451" s="84">
        <f>30</f>
        <v>30</v>
      </c>
      <c r="O451" s="87">
        <v>240</v>
      </c>
      <c r="P451" s="87">
        <v>160</v>
      </c>
      <c r="Q451" s="87">
        <f t="shared" si="64"/>
        <v>195</v>
      </c>
      <c r="R451" s="87">
        <f t="shared" si="65"/>
        <v>100</v>
      </c>
      <c r="S451" s="84">
        <f t="shared" si="66"/>
        <v>695</v>
      </c>
      <c r="T451" s="84">
        <f>0</f>
        <v>0</v>
      </c>
      <c r="U451" s="85"/>
      <c r="V451" s="85"/>
      <c r="W451" s="85"/>
      <c r="X451" s="85"/>
      <c r="Y451" s="85"/>
      <c r="Z451" s="85"/>
      <c r="AA451" s="85"/>
      <c r="AB451" s="85"/>
      <c r="AC451" s="85"/>
      <c r="AD451" s="85"/>
    </row>
    <row r="452" spans="1:30" ht="15.75" x14ac:dyDescent="0.25">
      <c r="A452" s="14">
        <v>54696</v>
      </c>
      <c r="B452" s="97">
        <v>30</v>
      </c>
      <c r="C452" s="84">
        <f>194.205</f>
        <v>194.20500000000001</v>
      </c>
      <c r="D452" s="84">
        <f>267.466</f>
        <v>267.46600000000001</v>
      </c>
      <c r="E452" s="93">
        <f>133.845</f>
        <v>133.845</v>
      </c>
      <c r="F452" s="84">
        <f>278.484-40-25-60-100</f>
        <v>53.48399999999998</v>
      </c>
      <c r="G452" s="87">
        <v>40</v>
      </c>
      <c r="H452" s="84">
        <f t="shared" si="71"/>
        <v>185</v>
      </c>
      <c r="I452" s="84">
        <f t="shared" si="70"/>
        <v>0</v>
      </c>
      <c r="J452" s="87">
        <v>100</v>
      </c>
      <c r="K452" s="87">
        <v>300</v>
      </c>
      <c r="L452" s="84">
        <f t="shared" si="63"/>
        <v>1274</v>
      </c>
      <c r="M452" s="95">
        <v>600</v>
      </c>
      <c r="N452" s="84">
        <f>30</f>
        <v>30</v>
      </c>
      <c r="O452" s="87">
        <v>240</v>
      </c>
      <c r="P452" s="87">
        <v>160</v>
      </c>
      <c r="Q452" s="87">
        <f t="shared" si="64"/>
        <v>195</v>
      </c>
      <c r="R452" s="87">
        <f t="shared" si="65"/>
        <v>100</v>
      </c>
      <c r="S452" s="84">
        <f t="shared" si="66"/>
        <v>695</v>
      </c>
      <c r="T452" s="84">
        <f>0</f>
        <v>0</v>
      </c>
      <c r="U452" s="85"/>
      <c r="V452" s="85"/>
      <c r="W452" s="85"/>
      <c r="X452" s="85"/>
      <c r="Y452" s="85"/>
      <c r="Z452" s="85"/>
      <c r="AA452" s="85"/>
      <c r="AB452" s="85"/>
      <c r="AC452" s="85"/>
      <c r="AD452" s="85"/>
    </row>
    <row r="453" spans="1:30" ht="15.75" x14ac:dyDescent="0.25">
      <c r="A453" s="14">
        <v>54727</v>
      </c>
      <c r="B453" s="97">
        <v>31</v>
      </c>
      <c r="C453" s="84">
        <f>131.881</f>
        <v>131.881</v>
      </c>
      <c r="D453" s="84">
        <f>277.167</f>
        <v>277.16699999999997</v>
      </c>
      <c r="E453" s="93">
        <f>79.08</f>
        <v>79.08</v>
      </c>
      <c r="F453" s="84">
        <f>350.872-40-25-60-100</f>
        <v>125.87200000000001</v>
      </c>
      <c r="G453" s="87">
        <v>40</v>
      </c>
      <c r="H453" s="84">
        <f t="shared" si="71"/>
        <v>185</v>
      </c>
      <c r="I453" s="84">
        <f t="shared" si="70"/>
        <v>0</v>
      </c>
      <c r="J453" s="87">
        <v>100</v>
      </c>
      <c r="K453" s="87">
        <v>300</v>
      </c>
      <c r="L453" s="84">
        <f t="shared" si="63"/>
        <v>1239</v>
      </c>
      <c r="M453" s="95">
        <v>600</v>
      </c>
      <c r="N453" s="84">
        <f>75</f>
        <v>75</v>
      </c>
      <c r="O453" s="87">
        <v>240</v>
      </c>
      <c r="P453" s="87">
        <v>160</v>
      </c>
      <c r="Q453" s="87">
        <f t="shared" si="64"/>
        <v>195</v>
      </c>
      <c r="R453" s="87">
        <f t="shared" si="65"/>
        <v>100</v>
      </c>
      <c r="S453" s="84">
        <f t="shared" si="66"/>
        <v>695</v>
      </c>
      <c r="T453" s="84">
        <f>0</f>
        <v>0</v>
      </c>
      <c r="U453" s="85"/>
      <c r="V453" s="85"/>
      <c r="W453" s="85"/>
      <c r="X453" s="85"/>
      <c r="Y453" s="85"/>
      <c r="Z453" s="85"/>
      <c r="AA453" s="85"/>
      <c r="AB453" s="85"/>
      <c r="AC453" s="85"/>
      <c r="AD453" s="85"/>
    </row>
    <row r="454" spans="1:30" ht="15.75" x14ac:dyDescent="0.25">
      <c r="A454" s="14">
        <v>54757</v>
      </c>
      <c r="B454" s="97">
        <v>30</v>
      </c>
      <c r="C454" s="84">
        <f>122.58</f>
        <v>122.58</v>
      </c>
      <c r="D454" s="84">
        <f>297.941</f>
        <v>297.94099999999997</v>
      </c>
      <c r="E454" s="93">
        <f>89.177</f>
        <v>89.177000000000007</v>
      </c>
      <c r="F454" s="84">
        <f>240.302-40-60-100</f>
        <v>40.301999999999992</v>
      </c>
      <c r="G454" s="87">
        <v>40</v>
      </c>
      <c r="H454" s="84">
        <f>60+100</f>
        <v>160</v>
      </c>
      <c r="I454" s="84">
        <f t="shared" si="70"/>
        <v>0</v>
      </c>
      <c r="J454" s="87">
        <v>100</v>
      </c>
      <c r="K454" s="87">
        <v>300</v>
      </c>
      <c r="L454" s="84">
        <f t="shared" si="63"/>
        <v>1150</v>
      </c>
      <c r="M454" s="95">
        <v>600</v>
      </c>
      <c r="N454" s="84">
        <f>100</f>
        <v>100</v>
      </c>
      <c r="O454" s="87">
        <v>240</v>
      </c>
      <c r="P454" s="87">
        <v>40</v>
      </c>
      <c r="Q454" s="87">
        <f t="shared" si="64"/>
        <v>315</v>
      </c>
      <c r="R454" s="87">
        <f t="shared" si="65"/>
        <v>100</v>
      </c>
      <c r="S454" s="84">
        <f t="shared" si="66"/>
        <v>695</v>
      </c>
      <c r="T454" s="84">
        <f>50</f>
        <v>50</v>
      </c>
      <c r="U454" s="85"/>
      <c r="V454" s="85"/>
      <c r="W454" s="85"/>
      <c r="X454" s="85"/>
      <c r="Y454" s="85"/>
      <c r="Z454" s="85"/>
      <c r="AA454" s="85"/>
      <c r="AB454" s="85"/>
      <c r="AC454" s="85"/>
      <c r="AD454" s="85"/>
    </row>
    <row r="455" spans="1:30" ht="15.75" x14ac:dyDescent="0.25">
      <c r="A455" s="14">
        <v>54788</v>
      </c>
      <c r="B455" s="97">
        <v>31</v>
      </c>
      <c r="C455" s="84">
        <f>122.58</f>
        <v>122.58</v>
      </c>
      <c r="D455" s="84">
        <f>297.941</f>
        <v>297.94099999999997</v>
      </c>
      <c r="E455" s="93">
        <f>89.177</f>
        <v>89.177000000000007</v>
      </c>
      <c r="F455" s="84">
        <f>240.302-40-60-100</f>
        <v>40.301999999999992</v>
      </c>
      <c r="G455" s="87">
        <v>40</v>
      </c>
      <c r="H455" s="84">
        <f>60+100</f>
        <v>160</v>
      </c>
      <c r="I455" s="84">
        <f t="shared" si="70"/>
        <v>0</v>
      </c>
      <c r="J455" s="87">
        <v>100</v>
      </c>
      <c r="K455" s="87">
        <v>300</v>
      </c>
      <c r="L455" s="84">
        <f t="shared" si="63"/>
        <v>1150</v>
      </c>
      <c r="M455" s="95">
        <v>600</v>
      </c>
      <c r="N455" s="84">
        <f>100</f>
        <v>100</v>
      </c>
      <c r="O455" s="87">
        <v>240</v>
      </c>
      <c r="P455" s="87">
        <v>40</v>
      </c>
      <c r="Q455" s="87">
        <f t="shared" si="64"/>
        <v>315</v>
      </c>
      <c r="R455" s="87">
        <f t="shared" si="65"/>
        <v>100</v>
      </c>
      <c r="S455" s="84">
        <f t="shared" si="66"/>
        <v>695</v>
      </c>
      <c r="T455" s="84">
        <f>50</f>
        <v>50</v>
      </c>
      <c r="U455" s="85"/>
      <c r="V455" s="85"/>
      <c r="W455" s="85"/>
      <c r="X455" s="85"/>
      <c r="Y455" s="85"/>
      <c r="Z455" s="85"/>
      <c r="AA455" s="85"/>
      <c r="AB455" s="85"/>
      <c r="AC455" s="85"/>
      <c r="AD455" s="85"/>
    </row>
    <row r="456" spans="1:30" ht="15.75" x14ac:dyDescent="0.25">
      <c r="A456" s="14">
        <v>54819</v>
      </c>
      <c r="B456" s="97">
        <v>31</v>
      </c>
      <c r="C456" s="84">
        <f>122.58</f>
        <v>122.58</v>
      </c>
      <c r="D456" s="84">
        <f>297.941</f>
        <v>297.94099999999997</v>
      </c>
      <c r="E456" s="93">
        <f>89.177</f>
        <v>89.177000000000007</v>
      </c>
      <c r="F456" s="84">
        <f>240.302-40-60-100</f>
        <v>40.301999999999992</v>
      </c>
      <c r="G456" s="87">
        <v>40</v>
      </c>
      <c r="H456" s="84">
        <f>60+100</f>
        <v>160</v>
      </c>
      <c r="I456" s="84">
        <f t="shared" si="70"/>
        <v>0</v>
      </c>
      <c r="J456" s="87">
        <v>100</v>
      </c>
      <c r="K456" s="87">
        <v>300</v>
      </c>
      <c r="L456" s="84">
        <f t="shared" si="63"/>
        <v>1150</v>
      </c>
      <c r="M456" s="95">
        <v>600</v>
      </c>
      <c r="N456" s="84">
        <f>100</f>
        <v>100</v>
      </c>
      <c r="O456" s="87">
        <v>240</v>
      </c>
      <c r="P456" s="87">
        <v>40</v>
      </c>
      <c r="Q456" s="87">
        <f t="shared" si="64"/>
        <v>315</v>
      </c>
      <c r="R456" s="87">
        <f t="shared" si="65"/>
        <v>100</v>
      </c>
      <c r="S456" s="84">
        <f t="shared" si="66"/>
        <v>695</v>
      </c>
      <c r="T456" s="84">
        <f>50</f>
        <v>50</v>
      </c>
      <c r="U456" s="85"/>
      <c r="V456" s="85"/>
      <c r="W456" s="85"/>
      <c r="X456" s="85"/>
      <c r="Y456" s="85"/>
      <c r="Z456" s="85"/>
      <c r="AA456" s="85"/>
      <c r="AB456" s="85"/>
      <c r="AC456" s="85"/>
      <c r="AD456" s="85"/>
    </row>
    <row r="457" spans="1:30" ht="15.75" x14ac:dyDescent="0.25">
      <c r="A457" s="14">
        <v>54847</v>
      </c>
      <c r="B457" s="97">
        <v>28</v>
      </c>
      <c r="C457" s="84">
        <f>122.58</f>
        <v>122.58</v>
      </c>
      <c r="D457" s="84">
        <f>297.941</f>
        <v>297.94099999999997</v>
      </c>
      <c r="E457" s="93">
        <f>89.177</f>
        <v>89.177000000000007</v>
      </c>
      <c r="F457" s="84">
        <f>240.302-40-60-100</f>
        <v>40.301999999999992</v>
      </c>
      <c r="G457" s="87">
        <v>40</v>
      </c>
      <c r="H457" s="84">
        <f>60+100</f>
        <v>160</v>
      </c>
      <c r="I457" s="84">
        <f t="shared" si="70"/>
        <v>0</v>
      </c>
      <c r="J457" s="87">
        <v>100</v>
      </c>
      <c r="K457" s="87">
        <v>300</v>
      </c>
      <c r="L457" s="84">
        <f t="shared" si="63"/>
        <v>1150</v>
      </c>
      <c r="M457" s="95">
        <v>600</v>
      </c>
      <c r="N457" s="84">
        <f>100</f>
        <v>100</v>
      </c>
      <c r="O457" s="87">
        <v>240</v>
      </c>
      <c r="P457" s="87">
        <v>40</v>
      </c>
      <c r="Q457" s="87">
        <f t="shared" si="64"/>
        <v>315</v>
      </c>
      <c r="R457" s="87">
        <f t="shared" si="65"/>
        <v>100</v>
      </c>
      <c r="S457" s="84">
        <f t="shared" si="66"/>
        <v>695</v>
      </c>
      <c r="T457" s="84">
        <f>50</f>
        <v>50</v>
      </c>
      <c r="U457" s="85"/>
      <c r="V457" s="85"/>
      <c r="W457" s="85"/>
      <c r="X457" s="85"/>
      <c r="Y457" s="85"/>
      <c r="Z457" s="85"/>
      <c r="AA457" s="85"/>
      <c r="AB457" s="85"/>
      <c r="AC457" s="85"/>
      <c r="AD457" s="85"/>
    </row>
    <row r="458" spans="1:30" ht="15.75" x14ac:dyDescent="0.25">
      <c r="A458" s="14">
        <v>54878</v>
      </c>
      <c r="B458" s="97">
        <v>31</v>
      </c>
      <c r="C458" s="84">
        <f>122.58</f>
        <v>122.58</v>
      </c>
      <c r="D458" s="84">
        <f>297.941</f>
        <v>297.94099999999997</v>
      </c>
      <c r="E458" s="93">
        <f>89.177</f>
        <v>89.177000000000007</v>
      </c>
      <c r="F458" s="84">
        <f>240.302-40-60-100</f>
        <v>40.301999999999992</v>
      </c>
      <c r="G458" s="87">
        <v>40</v>
      </c>
      <c r="H458" s="84">
        <f>60+100</f>
        <v>160</v>
      </c>
      <c r="I458" s="84">
        <f t="shared" si="70"/>
        <v>0</v>
      </c>
      <c r="J458" s="87">
        <v>100</v>
      </c>
      <c r="K458" s="87">
        <v>300</v>
      </c>
      <c r="L458" s="84">
        <f t="shared" si="63"/>
        <v>1150</v>
      </c>
      <c r="M458" s="95">
        <v>600</v>
      </c>
      <c r="N458" s="84">
        <f>100</f>
        <v>100</v>
      </c>
      <c r="O458" s="87">
        <v>240</v>
      </c>
      <c r="P458" s="87">
        <v>40</v>
      </c>
      <c r="Q458" s="87">
        <f t="shared" si="64"/>
        <v>315</v>
      </c>
      <c r="R458" s="87">
        <f t="shared" si="65"/>
        <v>100</v>
      </c>
      <c r="S458" s="84">
        <f t="shared" si="66"/>
        <v>695</v>
      </c>
      <c r="T458" s="84">
        <f>50</f>
        <v>50</v>
      </c>
      <c r="U458" s="85"/>
      <c r="V458" s="85"/>
      <c r="W458" s="85"/>
      <c r="X458" s="85"/>
      <c r="Y458" s="85"/>
      <c r="Z458" s="85"/>
      <c r="AA458" s="85"/>
      <c r="AB458" s="85"/>
      <c r="AC458" s="85"/>
      <c r="AD458" s="85"/>
    </row>
    <row r="459" spans="1:30" ht="15.75" x14ac:dyDescent="0.25">
      <c r="A459" s="14">
        <v>54908</v>
      </c>
      <c r="B459" s="97">
        <v>30</v>
      </c>
      <c r="C459" s="84">
        <f>141.293</f>
        <v>141.29300000000001</v>
      </c>
      <c r="D459" s="84">
        <f>267.993</f>
        <v>267.99299999999999</v>
      </c>
      <c r="E459" s="93">
        <f>115.016</f>
        <v>115.01600000000001</v>
      </c>
      <c r="F459" s="84">
        <f>314.698-40-25-60-100</f>
        <v>89.697999999999979</v>
      </c>
      <c r="G459" s="87">
        <v>40</v>
      </c>
      <c r="H459" s="84">
        <f t="shared" ref="H459:H465" si="72">25+60+100</f>
        <v>185</v>
      </c>
      <c r="I459" s="84">
        <f t="shared" si="70"/>
        <v>0</v>
      </c>
      <c r="J459" s="87">
        <v>100</v>
      </c>
      <c r="K459" s="87">
        <v>300</v>
      </c>
      <c r="L459" s="84">
        <f t="shared" si="63"/>
        <v>1239</v>
      </c>
      <c r="M459" s="95">
        <v>600</v>
      </c>
      <c r="N459" s="84">
        <f>100</f>
        <v>100</v>
      </c>
      <c r="O459" s="87">
        <v>240</v>
      </c>
      <c r="P459" s="87">
        <v>160</v>
      </c>
      <c r="Q459" s="87">
        <f t="shared" si="64"/>
        <v>195</v>
      </c>
      <c r="R459" s="87">
        <f t="shared" si="65"/>
        <v>100</v>
      </c>
      <c r="S459" s="84">
        <f t="shared" si="66"/>
        <v>695</v>
      </c>
      <c r="T459" s="84">
        <f>50</f>
        <v>50</v>
      </c>
      <c r="U459" s="85"/>
      <c r="V459" s="85"/>
      <c r="W459" s="85"/>
      <c r="X459" s="85"/>
      <c r="Y459" s="85"/>
      <c r="Z459" s="85"/>
      <c r="AA459" s="85"/>
      <c r="AB459" s="85"/>
      <c r="AC459" s="85"/>
      <c r="AD459" s="85"/>
    </row>
    <row r="460" spans="1:30" ht="15.75" x14ac:dyDescent="0.25">
      <c r="A460" s="14">
        <v>54939</v>
      </c>
      <c r="B460" s="97">
        <v>31</v>
      </c>
      <c r="C460" s="84">
        <f>194.205</f>
        <v>194.20500000000001</v>
      </c>
      <c r="D460" s="84">
        <f>267.466</f>
        <v>267.46600000000001</v>
      </c>
      <c r="E460" s="93">
        <f>133.845</f>
        <v>133.845</v>
      </c>
      <c r="F460" s="84">
        <f>278.484-40-25-60-100</f>
        <v>53.48399999999998</v>
      </c>
      <c r="G460" s="87">
        <v>40</v>
      </c>
      <c r="H460" s="84">
        <f t="shared" si="72"/>
        <v>185</v>
      </c>
      <c r="I460" s="84">
        <f t="shared" si="70"/>
        <v>0</v>
      </c>
      <c r="J460" s="87">
        <v>100</v>
      </c>
      <c r="K460" s="87">
        <v>300</v>
      </c>
      <c r="L460" s="84">
        <f t="shared" si="63"/>
        <v>1274</v>
      </c>
      <c r="M460" s="95">
        <v>600</v>
      </c>
      <c r="N460" s="84">
        <f>75</f>
        <v>75</v>
      </c>
      <c r="O460" s="87">
        <v>240</v>
      </c>
      <c r="P460" s="87">
        <v>160</v>
      </c>
      <c r="Q460" s="87">
        <f t="shared" si="64"/>
        <v>195</v>
      </c>
      <c r="R460" s="87">
        <f t="shared" si="65"/>
        <v>100</v>
      </c>
      <c r="S460" s="84">
        <f t="shared" si="66"/>
        <v>695</v>
      </c>
      <c r="T460" s="84">
        <f>50</f>
        <v>50</v>
      </c>
      <c r="U460" s="85"/>
      <c r="V460" s="85"/>
      <c r="W460" s="85"/>
      <c r="X460" s="85"/>
      <c r="Y460" s="85"/>
      <c r="Z460" s="85"/>
      <c r="AA460" s="85"/>
      <c r="AB460" s="85"/>
      <c r="AC460" s="85"/>
      <c r="AD460" s="85"/>
    </row>
    <row r="461" spans="1:30" ht="15.75" x14ac:dyDescent="0.25">
      <c r="A461" s="14">
        <v>54969</v>
      </c>
      <c r="B461" s="97">
        <v>30</v>
      </c>
      <c r="C461" s="84">
        <f>194.205</f>
        <v>194.20500000000001</v>
      </c>
      <c r="D461" s="84">
        <f>267.466</f>
        <v>267.46600000000001</v>
      </c>
      <c r="E461" s="93">
        <f>133.845</f>
        <v>133.845</v>
      </c>
      <c r="F461" s="84">
        <f>278.484-40-25-60-100</f>
        <v>53.48399999999998</v>
      </c>
      <c r="G461" s="87">
        <v>40</v>
      </c>
      <c r="H461" s="84">
        <f t="shared" si="72"/>
        <v>185</v>
      </c>
      <c r="I461" s="84">
        <f t="shared" si="70"/>
        <v>0</v>
      </c>
      <c r="J461" s="87">
        <v>100</v>
      </c>
      <c r="K461" s="87">
        <v>300</v>
      </c>
      <c r="L461" s="84">
        <f t="shared" si="63"/>
        <v>1274</v>
      </c>
      <c r="M461" s="95">
        <v>600</v>
      </c>
      <c r="N461" s="84">
        <f>30</f>
        <v>30</v>
      </c>
      <c r="O461" s="87">
        <v>240</v>
      </c>
      <c r="P461" s="87">
        <v>160</v>
      </c>
      <c r="Q461" s="87">
        <f t="shared" si="64"/>
        <v>195</v>
      </c>
      <c r="R461" s="87">
        <f t="shared" si="65"/>
        <v>100</v>
      </c>
      <c r="S461" s="84">
        <f t="shared" si="66"/>
        <v>695</v>
      </c>
      <c r="T461" s="84">
        <f>50</f>
        <v>50</v>
      </c>
      <c r="U461" s="85"/>
      <c r="V461" s="85"/>
      <c r="W461" s="85"/>
      <c r="X461" s="85"/>
      <c r="Y461" s="85"/>
      <c r="Z461" s="85"/>
      <c r="AA461" s="85"/>
      <c r="AB461" s="85"/>
      <c r="AC461" s="85"/>
      <c r="AD461" s="85"/>
    </row>
    <row r="462" spans="1:30" ht="15.75" x14ac:dyDescent="0.25">
      <c r="A462" s="14">
        <v>55000</v>
      </c>
      <c r="B462" s="97">
        <v>31</v>
      </c>
      <c r="C462" s="84">
        <f>194.205</f>
        <v>194.20500000000001</v>
      </c>
      <c r="D462" s="84">
        <f>267.466</f>
        <v>267.46600000000001</v>
      </c>
      <c r="E462" s="93">
        <f>133.845</f>
        <v>133.845</v>
      </c>
      <c r="F462" s="84">
        <f>278.484-40-25-60-100</f>
        <v>53.48399999999998</v>
      </c>
      <c r="G462" s="87">
        <v>40</v>
      </c>
      <c r="H462" s="84">
        <f t="shared" si="72"/>
        <v>185</v>
      </c>
      <c r="I462" s="84">
        <f t="shared" si="70"/>
        <v>0</v>
      </c>
      <c r="J462" s="87">
        <v>100</v>
      </c>
      <c r="K462" s="87">
        <v>300</v>
      </c>
      <c r="L462" s="84">
        <f t="shared" si="63"/>
        <v>1274</v>
      </c>
      <c r="M462" s="95">
        <v>600</v>
      </c>
      <c r="N462" s="84">
        <f>30</f>
        <v>30</v>
      </c>
      <c r="O462" s="87">
        <v>240</v>
      </c>
      <c r="P462" s="87">
        <v>160</v>
      </c>
      <c r="Q462" s="87">
        <f t="shared" si="64"/>
        <v>195</v>
      </c>
      <c r="R462" s="87">
        <f t="shared" si="65"/>
        <v>100</v>
      </c>
      <c r="S462" s="84">
        <f t="shared" si="66"/>
        <v>695</v>
      </c>
      <c r="T462" s="84">
        <f>0</f>
        <v>0</v>
      </c>
      <c r="U462" s="85"/>
      <c r="V462" s="85"/>
      <c r="W462" s="85"/>
      <c r="X462" s="85"/>
      <c r="Y462" s="85"/>
      <c r="Z462" s="85"/>
      <c r="AA462" s="85"/>
      <c r="AB462" s="85"/>
      <c r="AC462" s="85"/>
      <c r="AD462" s="85"/>
    </row>
    <row r="463" spans="1:30" ht="15.75" x14ac:dyDescent="0.25">
      <c r="A463" s="14">
        <v>55031</v>
      </c>
      <c r="B463" s="97">
        <v>31</v>
      </c>
      <c r="C463" s="84">
        <f>194.205</f>
        <v>194.20500000000001</v>
      </c>
      <c r="D463" s="84">
        <f>267.466</f>
        <v>267.46600000000001</v>
      </c>
      <c r="E463" s="93">
        <f>133.845</f>
        <v>133.845</v>
      </c>
      <c r="F463" s="84">
        <f>278.484-40-25-60-100</f>
        <v>53.48399999999998</v>
      </c>
      <c r="G463" s="87">
        <v>40</v>
      </c>
      <c r="H463" s="84">
        <f t="shared" si="72"/>
        <v>185</v>
      </c>
      <c r="I463" s="84">
        <f t="shared" si="70"/>
        <v>0</v>
      </c>
      <c r="J463" s="87">
        <v>100</v>
      </c>
      <c r="K463" s="87">
        <v>300</v>
      </c>
      <c r="L463" s="84">
        <f t="shared" si="63"/>
        <v>1274</v>
      </c>
      <c r="M463" s="95">
        <v>600</v>
      </c>
      <c r="N463" s="84">
        <f>30</f>
        <v>30</v>
      </c>
      <c r="O463" s="87">
        <v>240</v>
      </c>
      <c r="P463" s="87">
        <v>160</v>
      </c>
      <c r="Q463" s="87">
        <f t="shared" si="64"/>
        <v>195</v>
      </c>
      <c r="R463" s="87">
        <f t="shared" si="65"/>
        <v>100</v>
      </c>
      <c r="S463" s="84">
        <f t="shared" si="66"/>
        <v>695</v>
      </c>
      <c r="T463" s="84">
        <f>0</f>
        <v>0</v>
      </c>
      <c r="U463" s="85"/>
      <c r="V463" s="85"/>
      <c r="W463" s="85"/>
      <c r="X463" s="85"/>
      <c r="Y463" s="85"/>
      <c r="Z463" s="85"/>
      <c r="AA463" s="85"/>
      <c r="AB463" s="85"/>
      <c r="AC463" s="85"/>
      <c r="AD463" s="85"/>
    </row>
    <row r="464" spans="1:30" ht="15.75" x14ac:dyDescent="0.25">
      <c r="A464" s="14">
        <v>55061</v>
      </c>
      <c r="B464" s="97">
        <v>30</v>
      </c>
      <c r="C464" s="84">
        <f>194.205</f>
        <v>194.20500000000001</v>
      </c>
      <c r="D464" s="84">
        <f>267.466</f>
        <v>267.46600000000001</v>
      </c>
      <c r="E464" s="93">
        <f>133.845</f>
        <v>133.845</v>
      </c>
      <c r="F464" s="84">
        <f>278.484-40-25-60-100</f>
        <v>53.48399999999998</v>
      </c>
      <c r="G464" s="87">
        <v>40</v>
      </c>
      <c r="H464" s="84">
        <f t="shared" si="72"/>
        <v>185</v>
      </c>
      <c r="I464" s="84">
        <f t="shared" si="70"/>
        <v>0</v>
      </c>
      <c r="J464" s="87">
        <v>100</v>
      </c>
      <c r="K464" s="87">
        <v>300</v>
      </c>
      <c r="L464" s="84">
        <f t="shared" si="63"/>
        <v>1274</v>
      </c>
      <c r="M464" s="95">
        <v>600</v>
      </c>
      <c r="N464" s="84">
        <f>30</f>
        <v>30</v>
      </c>
      <c r="O464" s="87">
        <v>240</v>
      </c>
      <c r="P464" s="87">
        <v>160</v>
      </c>
      <c r="Q464" s="87">
        <f t="shared" si="64"/>
        <v>195</v>
      </c>
      <c r="R464" s="87">
        <f t="shared" si="65"/>
        <v>100</v>
      </c>
      <c r="S464" s="84">
        <f t="shared" si="66"/>
        <v>695</v>
      </c>
      <c r="T464" s="84">
        <f>0</f>
        <v>0</v>
      </c>
      <c r="U464" s="85"/>
      <c r="V464" s="85"/>
      <c r="W464" s="85"/>
      <c r="X464" s="85"/>
      <c r="Y464" s="85"/>
      <c r="Z464" s="85"/>
      <c r="AA464" s="85"/>
      <c r="AB464" s="85"/>
      <c r="AC464" s="85"/>
      <c r="AD464" s="85"/>
    </row>
    <row r="465" spans="1:30" ht="15.75" x14ac:dyDescent="0.25">
      <c r="A465" s="14">
        <v>55092</v>
      </c>
      <c r="B465" s="97">
        <v>31</v>
      </c>
      <c r="C465" s="84">
        <f>131.881</f>
        <v>131.881</v>
      </c>
      <c r="D465" s="84">
        <f>277.167</f>
        <v>277.16699999999997</v>
      </c>
      <c r="E465" s="93">
        <f>79.08</f>
        <v>79.08</v>
      </c>
      <c r="F465" s="84">
        <f>350.872-40-25-60-100</f>
        <v>125.87200000000001</v>
      </c>
      <c r="G465" s="87">
        <v>40</v>
      </c>
      <c r="H465" s="84">
        <f t="shared" si="72"/>
        <v>185</v>
      </c>
      <c r="I465" s="84">
        <f t="shared" si="70"/>
        <v>0</v>
      </c>
      <c r="J465" s="87">
        <v>100</v>
      </c>
      <c r="K465" s="87">
        <v>300</v>
      </c>
      <c r="L465" s="84">
        <f t="shared" si="63"/>
        <v>1239</v>
      </c>
      <c r="M465" s="95">
        <v>600</v>
      </c>
      <c r="N465" s="84">
        <f>75</f>
        <v>75</v>
      </c>
      <c r="O465" s="87">
        <v>240</v>
      </c>
      <c r="P465" s="87">
        <v>160</v>
      </c>
      <c r="Q465" s="87">
        <f t="shared" si="64"/>
        <v>195</v>
      </c>
      <c r="R465" s="87">
        <f t="shared" si="65"/>
        <v>100</v>
      </c>
      <c r="S465" s="84">
        <f t="shared" si="66"/>
        <v>695</v>
      </c>
      <c r="T465" s="84">
        <f>0</f>
        <v>0</v>
      </c>
      <c r="U465" s="85"/>
      <c r="V465" s="85"/>
      <c r="W465" s="85"/>
      <c r="X465" s="85"/>
      <c r="Y465" s="85"/>
      <c r="Z465" s="85"/>
      <c r="AA465" s="85"/>
      <c r="AB465" s="85"/>
      <c r="AC465" s="85"/>
      <c r="AD465" s="85"/>
    </row>
    <row r="466" spans="1:30" ht="15.75" x14ac:dyDescent="0.25">
      <c r="A466" s="14">
        <v>55122</v>
      </c>
      <c r="B466" s="97">
        <v>30</v>
      </c>
      <c r="C466" s="84">
        <f>122.58</f>
        <v>122.58</v>
      </c>
      <c r="D466" s="84">
        <f>297.941</f>
        <v>297.94099999999997</v>
      </c>
      <c r="E466" s="93">
        <f>89.177</f>
        <v>89.177000000000007</v>
      </c>
      <c r="F466" s="84">
        <f>240.302-40-60-100</f>
        <v>40.301999999999992</v>
      </c>
      <c r="G466" s="87">
        <v>40</v>
      </c>
      <c r="H466" s="84">
        <f>60+100</f>
        <v>160</v>
      </c>
      <c r="I466" s="84">
        <f t="shared" si="70"/>
        <v>0</v>
      </c>
      <c r="J466" s="87">
        <v>100</v>
      </c>
      <c r="K466" s="87">
        <v>300</v>
      </c>
      <c r="L466" s="84">
        <f t="shared" si="63"/>
        <v>1150</v>
      </c>
      <c r="M466" s="95">
        <v>600</v>
      </c>
      <c r="N466" s="84">
        <f>100</f>
        <v>100</v>
      </c>
      <c r="O466" s="87">
        <v>240</v>
      </c>
      <c r="P466" s="87">
        <v>40</v>
      </c>
      <c r="Q466" s="87">
        <f t="shared" si="64"/>
        <v>315</v>
      </c>
      <c r="R466" s="87">
        <f t="shared" si="65"/>
        <v>100</v>
      </c>
      <c r="S466" s="84">
        <f t="shared" si="66"/>
        <v>695</v>
      </c>
      <c r="T466" s="84">
        <f>50</f>
        <v>50</v>
      </c>
      <c r="U466" s="85"/>
      <c r="V466" s="85"/>
      <c r="W466" s="85"/>
      <c r="X466" s="85"/>
      <c r="Y466" s="85"/>
      <c r="Z466" s="85"/>
      <c r="AA466" s="85"/>
      <c r="AB466" s="85"/>
      <c r="AC466" s="85"/>
      <c r="AD466" s="85"/>
    </row>
    <row r="467" spans="1:30" ht="15.75" x14ac:dyDescent="0.25">
      <c r="A467" s="14">
        <v>55153</v>
      </c>
      <c r="B467" s="97">
        <v>31</v>
      </c>
      <c r="C467" s="84">
        <f>122.58</f>
        <v>122.58</v>
      </c>
      <c r="D467" s="84">
        <f>297.941</f>
        <v>297.94099999999997</v>
      </c>
      <c r="E467" s="93">
        <f>89.177</f>
        <v>89.177000000000007</v>
      </c>
      <c r="F467" s="84">
        <f>240.302-40-60-100</f>
        <v>40.301999999999992</v>
      </c>
      <c r="G467" s="87">
        <v>40</v>
      </c>
      <c r="H467" s="84">
        <f>60+100</f>
        <v>160</v>
      </c>
      <c r="I467" s="84">
        <f t="shared" si="70"/>
        <v>0</v>
      </c>
      <c r="J467" s="87">
        <v>100</v>
      </c>
      <c r="K467" s="87">
        <v>300</v>
      </c>
      <c r="L467" s="84">
        <f t="shared" si="63"/>
        <v>1150</v>
      </c>
      <c r="M467" s="95">
        <v>600</v>
      </c>
      <c r="N467" s="84">
        <f>100</f>
        <v>100</v>
      </c>
      <c r="O467" s="87">
        <v>240</v>
      </c>
      <c r="P467" s="87">
        <v>40</v>
      </c>
      <c r="Q467" s="87">
        <f t="shared" si="64"/>
        <v>315</v>
      </c>
      <c r="R467" s="87">
        <f t="shared" si="65"/>
        <v>100</v>
      </c>
      <c r="S467" s="84">
        <f t="shared" si="66"/>
        <v>695</v>
      </c>
      <c r="T467" s="84">
        <f>50</f>
        <v>50</v>
      </c>
      <c r="U467" s="85"/>
      <c r="V467" s="85"/>
      <c r="W467" s="85"/>
      <c r="X467" s="85"/>
      <c r="Y467" s="85"/>
      <c r="Z467" s="85"/>
      <c r="AA467" s="85"/>
      <c r="AB467" s="85"/>
      <c r="AC467" s="85"/>
      <c r="AD467" s="85"/>
    </row>
    <row r="468" spans="1:30" ht="15.75" x14ac:dyDescent="0.25">
      <c r="A468" s="14">
        <v>55184</v>
      </c>
      <c r="B468" s="97">
        <v>31</v>
      </c>
      <c r="C468" s="84">
        <f>122.58</f>
        <v>122.58</v>
      </c>
      <c r="D468" s="84">
        <f>297.941</f>
        <v>297.94099999999997</v>
      </c>
      <c r="E468" s="93">
        <f>89.177</f>
        <v>89.177000000000007</v>
      </c>
      <c r="F468" s="84">
        <f>240.302-40-60-100</f>
        <v>40.301999999999992</v>
      </c>
      <c r="G468" s="87">
        <v>40</v>
      </c>
      <c r="H468" s="84">
        <f>60+100</f>
        <v>160</v>
      </c>
      <c r="I468" s="84">
        <f t="shared" si="70"/>
        <v>0</v>
      </c>
      <c r="J468" s="87">
        <v>100</v>
      </c>
      <c r="K468" s="87">
        <v>300</v>
      </c>
      <c r="L468" s="84">
        <f t="shared" si="63"/>
        <v>1150</v>
      </c>
      <c r="M468" s="95">
        <v>600</v>
      </c>
      <c r="N468" s="84">
        <f>100</f>
        <v>100</v>
      </c>
      <c r="O468" s="87">
        <v>240</v>
      </c>
      <c r="P468" s="87">
        <v>40</v>
      </c>
      <c r="Q468" s="87">
        <f t="shared" si="64"/>
        <v>315</v>
      </c>
      <c r="R468" s="87">
        <f t="shared" si="65"/>
        <v>100</v>
      </c>
      <c r="S468" s="84">
        <f t="shared" si="66"/>
        <v>695</v>
      </c>
      <c r="T468" s="84">
        <f>50</f>
        <v>50</v>
      </c>
      <c r="U468" s="85"/>
      <c r="V468" s="85"/>
      <c r="W468" s="85"/>
      <c r="X468" s="85"/>
      <c r="Y468" s="85"/>
      <c r="Z468" s="85"/>
      <c r="AA468" s="85"/>
      <c r="AB468" s="85"/>
      <c r="AC468" s="85"/>
      <c r="AD468" s="85"/>
    </row>
    <row r="469" spans="1:30" ht="15.75" x14ac:dyDescent="0.25">
      <c r="A469" s="14">
        <v>55212</v>
      </c>
      <c r="B469" s="97">
        <v>28</v>
      </c>
      <c r="C469" s="84">
        <f>122.58</f>
        <v>122.58</v>
      </c>
      <c r="D469" s="84">
        <f>297.941</f>
        <v>297.94099999999997</v>
      </c>
      <c r="E469" s="93">
        <f>89.177</f>
        <v>89.177000000000007</v>
      </c>
      <c r="F469" s="84">
        <f>240.302-40-60-100</f>
        <v>40.301999999999992</v>
      </c>
      <c r="G469" s="87">
        <v>40</v>
      </c>
      <c r="H469" s="84">
        <f>60+100</f>
        <v>160</v>
      </c>
      <c r="I469" s="84">
        <f t="shared" si="70"/>
        <v>0</v>
      </c>
      <c r="J469" s="87">
        <v>100</v>
      </c>
      <c r="K469" s="87">
        <v>300</v>
      </c>
      <c r="L469" s="84">
        <f t="shared" si="63"/>
        <v>1150</v>
      </c>
      <c r="M469" s="95">
        <v>600</v>
      </c>
      <c r="N469" s="84">
        <f>100</f>
        <v>100</v>
      </c>
      <c r="O469" s="87">
        <v>240</v>
      </c>
      <c r="P469" s="87">
        <v>40</v>
      </c>
      <c r="Q469" s="87">
        <f t="shared" si="64"/>
        <v>315</v>
      </c>
      <c r="R469" s="87">
        <f t="shared" si="65"/>
        <v>100</v>
      </c>
      <c r="S469" s="84">
        <f t="shared" si="66"/>
        <v>695</v>
      </c>
      <c r="T469" s="84">
        <f>50</f>
        <v>50</v>
      </c>
      <c r="U469" s="85"/>
      <c r="V469" s="85"/>
      <c r="W469" s="85"/>
      <c r="X469" s="85"/>
      <c r="Y469" s="85"/>
      <c r="Z469" s="85"/>
      <c r="AA469" s="85"/>
      <c r="AB469" s="85"/>
      <c r="AC469" s="85"/>
      <c r="AD469" s="85"/>
    </row>
    <row r="470" spans="1:30" ht="15.75" x14ac:dyDescent="0.25">
      <c r="A470" s="14">
        <v>55243</v>
      </c>
      <c r="B470" s="97">
        <v>31</v>
      </c>
      <c r="C470" s="84">
        <f>122.58</f>
        <v>122.58</v>
      </c>
      <c r="D470" s="84">
        <f>297.941</f>
        <v>297.94099999999997</v>
      </c>
      <c r="E470" s="93">
        <f>89.177</f>
        <v>89.177000000000007</v>
      </c>
      <c r="F470" s="84">
        <f>240.302-40-60-100</f>
        <v>40.301999999999992</v>
      </c>
      <c r="G470" s="87">
        <v>40</v>
      </c>
      <c r="H470" s="84">
        <f>60+100</f>
        <v>160</v>
      </c>
      <c r="I470" s="84">
        <f t="shared" si="70"/>
        <v>0</v>
      </c>
      <c r="J470" s="87">
        <v>100</v>
      </c>
      <c r="K470" s="87">
        <v>300</v>
      </c>
      <c r="L470" s="84">
        <f t="shared" si="63"/>
        <v>1150</v>
      </c>
      <c r="M470" s="95">
        <v>600</v>
      </c>
      <c r="N470" s="84">
        <f>100</f>
        <v>100</v>
      </c>
      <c r="O470" s="87">
        <v>240</v>
      </c>
      <c r="P470" s="87">
        <v>40</v>
      </c>
      <c r="Q470" s="87">
        <f t="shared" si="64"/>
        <v>315</v>
      </c>
      <c r="R470" s="87">
        <f t="shared" si="65"/>
        <v>100</v>
      </c>
      <c r="S470" s="84">
        <f t="shared" si="66"/>
        <v>695</v>
      </c>
      <c r="T470" s="84">
        <f>50</f>
        <v>50</v>
      </c>
      <c r="U470" s="85"/>
      <c r="V470" s="85"/>
      <c r="W470" s="85"/>
      <c r="X470" s="85"/>
      <c r="Y470" s="85"/>
      <c r="Z470" s="85"/>
      <c r="AA470" s="85"/>
      <c r="AB470" s="85"/>
      <c r="AC470" s="85"/>
      <c r="AD470" s="85"/>
    </row>
    <row r="471" spans="1:30" ht="15.75" x14ac:dyDescent="0.25">
      <c r="A471" s="14">
        <v>55273</v>
      </c>
      <c r="B471" s="97">
        <v>30</v>
      </c>
      <c r="C471" s="84">
        <f>141.293</f>
        <v>141.29300000000001</v>
      </c>
      <c r="D471" s="84">
        <f>267.993</f>
        <v>267.99299999999999</v>
      </c>
      <c r="E471" s="93">
        <f>115.016</f>
        <v>115.01600000000001</v>
      </c>
      <c r="F471" s="84">
        <f>314.698-40-25-60-100</f>
        <v>89.697999999999979</v>
      </c>
      <c r="G471" s="87">
        <v>40</v>
      </c>
      <c r="H471" s="84">
        <f t="shared" ref="H471:H477" si="73">25+60+100</f>
        <v>185</v>
      </c>
      <c r="I471" s="84">
        <f t="shared" si="70"/>
        <v>0</v>
      </c>
      <c r="J471" s="87">
        <v>100</v>
      </c>
      <c r="K471" s="87">
        <v>300</v>
      </c>
      <c r="L471" s="84">
        <f t="shared" si="63"/>
        <v>1239</v>
      </c>
      <c r="M471" s="95">
        <v>600</v>
      </c>
      <c r="N471" s="84">
        <f>100</f>
        <v>100</v>
      </c>
      <c r="O471" s="87">
        <v>240</v>
      </c>
      <c r="P471" s="87">
        <v>160</v>
      </c>
      <c r="Q471" s="87">
        <f t="shared" si="64"/>
        <v>195</v>
      </c>
      <c r="R471" s="87">
        <f t="shared" si="65"/>
        <v>100</v>
      </c>
      <c r="S471" s="84">
        <f t="shared" si="66"/>
        <v>695</v>
      </c>
      <c r="T471" s="84">
        <f>50</f>
        <v>50</v>
      </c>
      <c r="U471" s="85"/>
      <c r="V471" s="85"/>
      <c r="W471" s="85"/>
      <c r="X471" s="85"/>
      <c r="Y471" s="85"/>
      <c r="Z471" s="85"/>
      <c r="AA471" s="85"/>
      <c r="AB471" s="85"/>
      <c r="AC471" s="85"/>
      <c r="AD471" s="85"/>
    </row>
    <row r="472" spans="1:30" ht="15.75" x14ac:dyDescent="0.25">
      <c r="A472" s="14">
        <v>55304</v>
      </c>
      <c r="B472" s="97">
        <v>31</v>
      </c>
      <c r="C472" s="84">
        <f>194.205</f>
        <v>194.20500000000001</v>
      </c>
      <c r="D472" s="84">
        <f>267.466</f>
        <v>267.46600000000001</v>
      </c>
      <c r="E472" s="93">
        <f>133.845</f>
        <v>133.845</v>
      </c>
      <c r="F472" s="84">
        <f>278.484-40-25-60-100</f>
        <v>53.48399999999998</v>
      </c>
      <c r="G472" s="87">
        <v>40</v>
      </c>
      <c r="H472" s="84">
        <f t="shared" si="73"/>
        <v>185</v>
      </c>
      <c r="I472" s="84">
        <f t="shared" si="70"/>
        <v>0</v>
      </c>
      <c r="J472" s="87">
        <v>100</v>
      </c>
      <c r="K472" s="87">
        <v>300</v>
      </c>
      <c r="L472" s="84">
        <f t="shared" ref="L472:L535" si="74">SUM(C472:K472)</f>
        <v>1274</v>
      </c>
      <c r="M472" s="95">
        <v>600</v>
      </c>
      <c r="N472" s="84">
        <f>75</f>
        <v>75</v>
      </c>
      <c r="O472" s="87">
        <v>240</v>
      </c>
      <c r="P472" s="87">
        <v>160</v>
      </c>
      <c r="Q472" s="87">
        <f t="shared" ref="Q472:Q535" si="75">695-R472-O472-P472</f>
        <v>195</v>
      </c>
      <c r="R472" s="87">
        <f t="shared" ref="R472:R535" si="76">200-J472</f>
        <v>100</v>
      </c>
      <c r="S472" s="84">
        <f t="shared" ref="S472:S535" si="77">SUM(O472:R472)</f>
        <v>695</v>
      </c>
      <c r="T472" s="84">
        <f>50</f>
        <v>50</v>
      </c>
      <c r="U472" s="85"/>
      <c r="V472" s="85"/>
      <c r="W472" s="85"/>
      <c r="X472" s="85"/>
      <c r="Y472" s="85"/>
      <c r="Z472" s="85"/>
      <c r="AA472" s="85"/>
      <c r="AB472" s="85"/>
      <c r="AC472" s="85"/>
      <c r="AD472" s="85"/>
    </row>
    <row r="473" spans="1:30" ht="15.75" x14ac:dyDescent="0.25">
      <c r="A473" s="14">
        <v>55334</v>
      </c>
      <c r="B473" s="97">
        <v>30</v>
      </c>
      <c r="C473" s="84">
        <f>194.205</f>
        <v>194.20500000000001</v>
      </c>
      <c r="D473" s="84">
        <f>267.466</f>
        <v>267.46600000000001</v>
      </c>
      <c r="E473" s="93">
        <f>133.845</f>
        <v>133.845</v>
      </c>
      <c r="F473" s="84">
        <f>278.484-40-25-60-100</f>
        <v>53.48399999999998</v>
      </c>
      <c r="G473" s="87">
        <v>40</v>
      </c>
      <c r="H473" s="84">
        <f t="shared" si="73"/>
        <v>185</v>
      </c>
      <c r="I473" s="84">
        <f t="shared" si="70"/>
        <v>0</v>
      </c>
      <c r="J473" s="87">
        <v>100</v>
      </c>
      <c r="K473" s="87">
        <v>300</v>
      </c>
      <c r="L473" s="84">
        <f t="shared" si="74"/>
        <v>1274</v>
      </c>
      <c r="M473" s="95">
        <v>600</v>
      </c>
      <c r="N473" s="84">
        <f>30</f>
        <v>30</v>
      </c>
      <c r="O473" s="87">
        <v>240</v>
      </c>
      <c r="P473" s="87">
        <v>160</v>
      </c>
      <c r="Q473" s="87">
        <f t="shared" si="75"/>
        <v>195</v>
      </c>
      <c r="R473" s="87">
        <f t="shared" si="76"/>
        <v>100</v>
      </c>
      <c r="S473" s="84">
        <f t="shared" si="77"/>
        <v>695</v>
      </c>
      <c r="T473" s="84">
        <f>50</f>
        <v>50</v>
      </c>
      <c r="U473" s="85"/>
      <c r="V473" s="85"/>
      <c r="W473" s="85"/>
      <c r="X473" s="85"/>
      <c r="Y473" s="85"/>
      <c r="Z473" s="85"/>
      <c r="AA473" s="85"/>
      <c r="AB473" s="85"/>
      <c r="AC473" s="85"/>
      <c r="AD473" s="85"/>
    </row>
    <row r="474" spans="1:30" ht="15.75" x14ac:dyDescent="0.25">
      <c r="A474" s="14">
        <v>55365</v>
      </c>
      <c r="B474" s="97">
        <v>31</v>
      </c>
      <c r="C474" s="84">
        <f>194.205</f>
        <v>194.20500000000001</v>
      </c>
      <c r="D474" s="84">
        <f>267.466</f>
        <v>267.46600000000001</v>
      </c>
      <c r="E474" s="93">
        <f>133.845</f>
        <v>133.845</v>
      </c>
      <c r="F474" s="84">
        <f>278.484-40-25-60-100</f>
        <v>53.48399999999998</v>
      </c>
      <c r="G474" s="87">
        <v>40</v>
      </c>
      <c r="H474" s="84">
        <f t="shared" si="73"/>
        <v>185</v>
      </c>
      <c r="I474" s="84">
        <f t="shared" si="70"/>
        <v>0</v>
      </c>
      <c r="J474" s="87">
        <v>100</v>
      </c>
      <c r="K474" s="87">
        <v>300</v>
      </c>
      <c r="L474" s="84">
        <f t="shared" si="74"/>
        <v>1274</v>
      </c>
      <c r="M474" s="95">
        <v>600</v>
      </c>
      <c r="N474" s="84">
        <f>30</f>
        <v>30</v>
      </c>
      <c r="O474" s="87">
        <v>240</v>
      </c>
      <c r="P474" s="87">
        <v>160</v>
      </c>
      <c r="Q474" s="87">
        <f t="shared" si="75"/>
        <v>195</v>
      </c>
      <c r="R474" s="87">
        <f t="shared" si="76"/>
        <v>100</v>
      </c>
      <c r="S474" s="84">
        <f t="shared" si="77"/>
        <v>695</v>
      </c>
      <c r="T474" s="84">
        <f>0</f>
        <v>0</v>
      </c>
      <c r="U474" s="85"/>
      <c r="V474" s="85"/>
      <c r="W474" s="85"/>
      <c r="X474" s="85"/>
      <c r="Y474" s="85"/>
      <c r="Z474" s="85"/>
      <c r="AA474" s="85"/>
      <c r="AB474" s="85"/>
      <c r="AC474" s="85"/>
      <c r="AD474" s="85"/>
    </row>
    <row r="475" spans="1:30" ht="15.75" x14ac:dyDescent="0.25">
      <c r="A475" s="14">
        <v>55396</v>
      </c>
      <c r="B475" s="97">
        <v>31</v>
      </c>
      <c r="C475" s="84">
        <f>194.205</f>
        <v>194.20500000000001</v>
      </c>
      <c r="D475" s="84">
        <f>267.466</f>
        <v>267.46600000000001</v>
      </c>
      <c r="E475" s="93">
        <f>133.845</f>
        <v>133.845</v>
      </c>
      <c r="F475" s="84">
        <f>278.484-40-25-60-100</f>
        <v>53.48399999999998</v>
      </c>
      <c r="G475" s="87">
        <v>40</v>
      </c>
      <c r="H475" s="84">
        <f t="shared" si="73"/>
        <v>185</v>
      </c>
      <c r="I475" s="84">
        <f t="shared" si="70"/>
        <v>0</v>
      </c>
      <c r="J475" s="87">
        <v>100</v>
      </c>
      <c r="K475" s="87">
        <v>300</v>
      </c>
      <c r="L475" s="84">
        <f t="shared" si="74"/>
        <v>1274</v>
      </c>
      <c r="M475" s="95">
        <v>600</v>
      </c>
      <c r="N475" s="84">
        <f>30</f>
        <v>30</v>
      </c>
      <c r="O475" s="87">
        <v>240</v>
      </c>
      <c r="P475" s="87">
        <v>160</v>
      </c>
      <c r="Q475" s="87">
        <f t="shared" si="75"/>
        <v>195</v>
      </c>
      <c r="R475" s="87">
        <f t="shared" si="76"/>
        <v>100</v>
      </c>
      <c r="S475" s="84">
        <f t="shared" si="77"/>
        <v>695</v>
      </c>
      <c r="T475" s="84">
        <f>0</f>
        <v>0</v>
      </c>
      <c r="U475" s="85"/>
      <c r="V475" s="85"/>
      <c r="W475" s="85"/>
      <c r="X475" s="85"/>
      <c r="Y475" s="85"/>
      <c r="Z475" s="85"/>
      <c r="AA475" s="85"/>
      <c r="AB475" s="85"/>
      <c r="AC475" s="85"/>
      <c r="AD475" s="85"/>
    </row>
    <row r="476" spans="1:30" ht="15.75" x14ac:dyDescent="0.25">
      <c r="A476" s="14">
        <v>55426</v>
      </c>
      <c r="B476" s="97">
        <v>30</v>
      </c>
      <c r="C476" s="84">
        <f>194.205</f>
        <v>194.20500000000001</v>
      </c>
      <c r="D476" s="84">
        <f>267.466</f>
        <v>267.46600000000001</v>
      </c>
      <c r="E476" s="93">
        <f>133.845</f>
        <v>133.845</v>
      </c>
      <c r="F476" s="84">
        <f>278.484-40-25-60-100</f>
        <v>53.48399999999998</v>
      </c>
      <c r="G476" s="87">
        <v>40</v>
      </c>
      <c r="H476" s="84">
        <f t="shared" si="73"/>
        <v>185</v>
      </c>
      <c r="I476" s="84">
        <f t="shared" si="70"/>
        <v>0</v>
      </c>
      <c r="J476" s="87">
        <v>100</v>
      </c>
      <c r="K476" s="87">
        <v>300</v>
      </c>
      <c r="L476" s="84">
        <f t="shared" si="74"/>
        <v>1274</v>
      </c>
      <c r="M476" s="95">
        <v>600</v>
      </c>
      <c r="N476" s="84">
        <f>30</f>
        <v>30</v>
      </c>
      <c r="O476" s="87">
        <v>240</v>
      </c>
      <c r="P476" s="87">
        <v>160</v>
      </c>
      <c r="Q476" s="87">
        <f t="shared" si="75"/>
        <v>195</v>
      </c>
      <c r="R476" s="87">
        <f t="shared" si="76"/>
        <v>100</v>
      </c>
      <c r="S476" s="84">
        <f t="shared" si="77"/>
        <v>695</v>
      </c>
      <c r="T476" s="84">
        <f>0</f>
        <v>0</v>
      </c>
      <c r="U476" s="85"/>
      <c r="V476" s="85"/>
      <c r="W476" s="85"/>
      <c r="X476" s="85"/>
      <c r="Y476" s="85"/>
      <c r="Z476" s="85"/>
      <c r="AA476" s="85"/>
      <c r="AB476" s="85"/>
      <c r="AC476" s="85"/>
      <c r="AD476" s="85"/>
    </row>
    <row r="477" spans="1:30" ht="15.75" x14ac:dyDescent="0.25">
      <c r="A477" s="14">
        <v>55457</v>
      </c>
      <c r="B477" s="97">
        <v>31</v>
      </c>
      <c r="C477" s="84">
        <f>131.881</f>
        <v>131.881</v>
      </c>
      <c r="D477" s="84">
        <f>277.167</f>
        <v>277.16699999999997</v>
      </c>
      <c r="E477" s="93">
        <f>79.08</f>
        <v>79.08</v>
      </c>
      <c r="F477" s="84">
        <f>350.872-40-25-60-100</f>
        <v>125.87200000000001</v>
      </c>
      <c r="G477" s="87">
        <v>40</v>
      </c>
      <c r="H477" s="84">
        <f t="shared" si="73"/>
        <v>185</v>
      </c>
      <c r="I477" s="84">
        <f t="shared" si="70"/>
        <v>0</v>
      </c>
      <c r="J477" s="87">
        <v>100</v>
      </c>
      <c r="K477" s="87">
        <v>300</v>
      </c>
      <c r="L477" s="84">
        <f t="shared" si="74"/>
        <v>1239</v>
      </c>
      <c r="M477" s="95">
        <v>600</v>
      </c>
      <c r="N477" s="84">
        <f>75</f>
        <v>75</v>
      </c>
      <c r="O477" s="87">
        <v>240</v>
      </c>
      <c r="P477" s="87">
        <v>160</v>
      </c>
      <c r="Q477" s="87">
        <f t="shared" si="75"/>
        <v>195</v>
      </c>
      <c r="R477" s="87">
        <f t="shared" si="76"/>
        <v>100</v>
      </c>
      <c r="S477" s="84">
        <f t="shared" si="77"/>
        <v>695</v>
      </c>
      <c r="T477" s="84">
        <f>0</f>
        <v>0</v>
      </c>
      <c r="U477" s="85"/>
      <c r="V477" s="85"/>
      <c r="W477" s="85"/>
      <c r="X477" s="85"/>
      <c r="Y477" s="85"/>
      <c r="Z477" s="85"/>
      <c r="AA477" s="85"/>
      <c r="AB477" s="85"/>
      <c r="AC477" s="85"/>
      <c r="AD477" s="85"/>
    </row>
    <row r="478" spans="1:30" ht="15.75" x14ac:dyDescent="0.25">
      <c r="A478" s="14">
        <v>55487</v>
      </c>
      <c r="B478" s="97">
        <v>30</v>
      </c>
      <c r="C478" s="84">
        <f>122.58</f>
        <v>122.58</v>
      </c>
      <c r="D478" s="84">
        <f>297.941</f>
        <v>297.94099999999997</v>
      </c>
      <c r="E478" s="93">
        <f>89.177</f>
        <v>89.177000000000007</v>
      </c>
      <c r="F478" s="84">
        <f>240.302-40-60-100</f>
        <v>40.301999999999992</v>
      </c>
      <c r="G478" s="87">
        <v>40</v>
      </c>
      <c r="H478" s="84">
        <f>60+100</f>
        <v>160</v>
      </c>
      <c r="I478" s="84">
        <f t="shared" si="70"/>
        <v>0</v>
      </c>
      <c r="J478" s="87">
        <v>100</v>
      </c>
      <c r="K478" s="87">
        <v>300</v>
      </c>
      <c r="L478" s="84">
        <f t="shared" si="74"/>
        <v>1150</v>
      </c>
      <c r="M478" s="95">
        <v>600</v>
      </c>
      <c r="N478" s="84">
        <f>100</f>
        <v>100</v>
      </c>
      <c r="O478" s="87">
        <v>240</v>
      </c>
      <c r="P478" s="87">
        <v>40</v>
      </c>
      <c r="Q478" s="87">
        <f t="shared" si="75"/>
        <v>315</v>
      </c>
      <c r="R478" s="87">
        <f t="shared" si="76"/>
        <v>100</v>
      </c>
      <c r="S478" s="84">
        <f t="shared" si="77"/>
        <v>695</v>
      </c>
      <c r="T478" s="84">
        <f>50</f>
        <v>50</v>
      </c>
      <c r="U478" s="85"/>
      <c r="V478" s="85"/>
      <c r="W478" s="85"/>
      <c r="X478" s="85"/>
      <c r="Y478" s="85"/>
      <c r="Z478" s="85"/>
      <c r="AA478" s="85"/>
      <c r="AB478" s="85"/>
      <c r="AC478" s="85"/>
      <c r="AD478" s="85"/>
    </row>
    <row r="479" spans="1:30" ht="15.75" x14ac:dyDescent="0.25">
      <c r="A479" s="14">
        <v>55518</v>
      </c>
      <c r="B479" s="97">
        <v>31</v>
      </c>
      <c r="C479" s="84">
        <f>122.58</f>
        <v>122.58</v>
      </c>
      <c r="D479" s="84">
        <f>297.941</f>
        <v>297.94099999999997</v>
      </c>
      <c r="E479" s="93">
        <f>89.177</f>
        <v>89.177000000000007</v>
      </c>
      <c r="F479" s="84">
        <f>240.302-40-60-100</f>
        <v>40.301999999999992</v>
      </c>
      <c r="G479" s="87">
        <v>40</v>
      </c>
      <c r="H479" s="84">
        <f>60+100</f>
        <v>160</v>
      </c>
      <c r="I479" s="84">
        <f t="shared" si="70"/>
        <v>0</v>
      </c>
      <c r="J479" s="87">
        <v>100</v>
      </c>
      <c r="K479" s="87">
        <v>300</v>
      </c>
      <c r="L479" s="84">
        <f t="shared" si="74"/>
        <v>1150</v>
      </c>
      <c r="M479" s="95">
        <v>600</v>
      </c>
      <c r="N479" s="84">
        <f>100</f>
        <v>100</v>
      </c>
      <c r="O479" s="87">
        <v>240</v>
      </c>
      <c r="P479" s="87">
        <v>40</v>
      </c>
      <c r="Q479" s="87">
        <f t="shared" si="75"/>
        <v>315</v>
      </c>
      <c r="R479" s="87">
        <f t="shared" si="76"/>
        <v>100</v>
      </c>
      <c r="S479" s="84">
        <f t="shared" si="77"/>
        <v>695</v>
      </c>
      <c r="T479" s="84">
        <f>50</f>
        <v>50</v>
      </c>
      <c r="U479" s="85"/>
      <c r="V479" s="85"/>
      <c r="W479" s="85"/>
      <c r="X479" s="85"/>
      <c r="Y479" s="85"/>
      <c r="Z479" s="85"/>
      <c r="AA479" s="85"/>
      <c r="AB479" s="85"/>
      <c r="AC479" s="85"/>
      <c r="AD479" s="85"/>
    </row>
    <row r="480" spans="1:30" ht="15.75" x14ac:dyDescent="0.25">
      <c r="A480" s="14">
        <v>55549</v>
      </c>
      <c r="B480" s="97">
        <v>31</v>
      </c>
      <c r="C480" s="84">
        <f>122.58</f>
        <v>122.58</v>
      </c>
      <c r="D480" s="84">
        <f>297.941</f>
        <v>297.94099999999997</v>
      </c>
      <c r="E480" s="93">
        <f>89.177</f>
        <v>89.177000000000007</v>
      </c>
      <c r="F480" s="84">
        <f>240.302-40-60-100</f>
        <v>40.301999999999992</v>
      </c>
      <c r="G480" s="87">
        <v>40</v>
      </c>
      <c r="H480" s="84">
        <f>60+100</f>
        <v>160</v>
      </c>
      <c r="I480" s="84">
        <f t="shared" si="70"/>
        <v>0</v>
      </c>
      <c r="J480" s="87">
        <v>100</v>
      </c>
      <c r="K480" s="87">
        <v>300</v>
      </c>
      <c r="L480" s="84">
        <f t="shared" si="74"/>
        <v>1150</v>
      </c>
      <c r="M480" s="95">
        <v>600</v>
      </c>
      <c r="N480" s="84">
        <f>100</f>
        <v>100</v>
      </c>
      <c r="O480" s="87">
        <v>240</v>
      </c>
      <c r="P480" s="87">
        <v>40</v>
      </c>
      <c r="Q480" s="87">
        <f t="shared" si="75"/>
        <v>315</v>
      </c>
      <c r="R480" s="87">
        <f t="shared" si="76"/>
        <v>100</v>
      </c>
      <c r="S480" s="84">
        <f t="shared" si="77"/>
        <v>695</v>
      </c>
      <c r="T480" s="84">
        <f>50</f>
        <v>50</v>
      </c>
      <c r="U480" s="85"/>
      <c r="V480" s="85"/>
      <c r="W480" s="85"/>
      <c r="X480" s="85"/>
      <c r="Y480" s="85"/>
      <c r="Z480" s="85"/>
      <c r="AA480" s="85"/>
      <c r="AB480" s="85"/>
      <c r="AC480" s="85"/>
      <c r="AD480" s="85"/>
    </row>
    <row r="481" spans="1:30" ht="15.75" x14ac:dyDescent="0.25">
      <c r="A481" s="14">
        <v>55577</v>
      </c>
      <c r="B481" s="97">
        <v>29</v>
      </c>
      <c r="C481" s="84">
        <f>122.58</f>
        <v>122.58</v>
      </c>
      <c r="D481" s="84">
        <f>297.941</f>
        <v>297.94099999999997</v>
      </c>
      <c r="E481" s="93">
        <f>89.177</f>
        <v>89.177000000000007</v>
      </c>
      <c r="F481" s="84">
        <f>240.302-40-60-100</f>
        <v>40.301999999999992</v>
      </c>
      <c r="G481" s="87">
        <v>40</v>
      </c>
      <c r="H481" s="84">
        <f>60+100</f>
        <v>160</v>
      </c>
      <c r="I481" s="84">
        <f t="shared" si="70"/>
        <v>0</v>
      </c>
      <c r="J481" s="87">
        <v>100</v>
      </c>
      <c r="K481" s="87">
        <v>300</v>
      </c>
      <c r="L481" s="84">
        <f t="shared" si="74"/>
        <v>1150</v>
      </c>
      <c r="M481" s="95">
        <v>600</v>
      </c>
      <c r="N481" s="84">
        <f>100</f>
        <v>100</v>
      </c>
      <c r="O481" s="87">
        <v>240</v>
      </c>
      <c r="P481" s="87">
        <v>40</v>
      </c>
      <c r="Q481" s="87">
        <f t="shared" si="75"/>
        <v>315</v>
      </c>
      <c r="R481" s="87">
        <f t="shared" si="76"/>
        <v>100</v>
      </c>
      <c r="S481" s="84">
        <f t="shared" si="77"/>
        <v>695</v>
      </c>
      <c r="T481" s="84">
        <f>50</f>
        <v>50</v>
      </c>
      <c r="U481" s="85"/>
      <c r="V481" s="85"/>
      <c r="W481" s="85"/>
      <c r="X481" s="85"/>
      <c r="Y481" s="85"/>
      <c r="Z481" s="85"/>
      <c r="AA481" s="85"/>
      <c r="AB481" s="85"/>
      <c r="AC481" s="85"/>
      <c r="AD481" s="85"/>
    </row>
    <row r="482" spans="1:30" ht="15.75" x14ac:dyDescent="0.25">
      <c r="A482" s="14">
        <v>55609</v>
      </c>
      <c r="B482" s="97">
        <v>31</v>
      </c>
      <c r="C482" s="84">
        <f>122.58</f>
        <v>122.58</v>
      </c>
      <c r="D482" s="84">
        <f>297.941</f>
        <v>297.94099999999997</v>
      </c>
      <c r="E482" s="93">
        <f>89.177</f>
        <v>89.177000000000007</v>
      </c>
      <c r="F482" s="84">
        <f>240.302-40-60-100</f>
        <v>40.301999999999992</v>
      </c>
      <c r="G482" s="87">
        <v>40</v>
      </c>
      <c r="H482" s="84">
        <f>60+100</f>
        <v>160</v>
      </c>
      <c r="I482" s="84">
        <f t="shared" si="70"/>
        <v>0</v>
      </c>
      <c r="J482" s="87">
        <v>100</v>
      </c>
      <c r="K482" s="87">
        <v>300</v>
      </c>
      <c r="L482" s="84">
        <f t="shared" si="74"/>
        <v>1150</v>
      </c>
      <c r="M482" s="95">
        <v>600</v>
      </c>
      <c r="N482" s="84">
        <f>100</f>
        <v>100</v>
      </c>
      <c r="O482" s="87">
        <v>240</v>
      </c>
      <c r="P482" s="87">
        <v>40</v>
      </c>
      <c r="Q482" s="87">
        <f t="shared" si="75"/>
        <v>315</v>
      </c>
      <c r="R482" s="87">
        <f t="shared" si="76"/>
        <v>100</v>
      </c>
      <c r="S482" s="84">
        <f t="shared" si="77"/>
        <v>695</v>
      </c>
      <c r="T482" s="84">
        <f>50</f>
        <v>50</v>
      </c>
      <c r="U482" s="85"/>
      <c r="V482" s="85"/>
      <c r="W482" s="85"/>
      <c r="X482" s="85"/>
      <c r="Y482" s="85"/>
      <c r="Z482" s="85"/>
      <c r="AA482" s="85"/>
      <c r="AB482" s="85"/>
      <c r="AC482" s="85"/>
      <c r="AD482" s="85"/>
    </row>
    <row r="483" spans="1:30" ht="15.75" x14ac:dyDescent="0.25">
      <c r="A483" s="14">
        <v>55639</v>
      </c>
      <c r="B483" s="97">
        <v>30</v>
      </c>
      <c r="C483" s="84">
        <f>141.293</f>
        <v>141.29300000000001</v>
      </c>
      <c r="D483" s="84">
        <f>267.993</f>
        <v>267.99299999999999</v>
      </c>
      <c r="E483" s="93">
        <f>115.016</f>
        <v>115.01600000000001</v>
      </c>
      <c r="F483" s="84">
        <f>314.698-40-25-60-100</f>
        <v>89.697999999999979</v>
      </c>
      <c r="G483" s="87">
        <v>40</v>
      </c>
      <c r="H483" s="84">
        <f t="shared" ref="H483:H489" si="78">25+60+100</f>
        <v>185</v>
      </c>
      <c r="I483" s="84">
        <f t="shared" si="70"/>
        <v>0</v>
      </c>
      <c r="J483" s="87">
        <v>100</v>
      </c>
      <c r="K483" s="87">
        <v>300</v>
      </c>
      <c r="L483" s="84">
        <f t="shared" si="74"/>
        <v>1239</v>
      </c>
      <c r="M483" s="95">
        <v>600</v>
      </c>
      <c r="N483" s="84">
        <f>100</f>
        <v>100</v>
      </c>
      <c r="O483" s="87">
        <v>240</v>
      </c>
      <c r="P483" s="87">
        <v>160</v>
      </c>
      <c r="Q483" s="87">
        <f t="shared" si="75"/>
        <v>195</v>
      </c>
      <c r="R483" s="87">
        <f t="shared" si="76"/>
        <v>100</v>
      </c>
      <c r="S483" s="84">
        <f t="shared" si="77"/>
        <v>695</v>
      </c>
      <c r="T483" s="84">
        <f>50</f>
        <v>50</v>
      </c>
      <c r="U483" s="85"/>
      <c r="V483" s="85"/>
      <c r="W483" s="85"/>
      <c r="X483" s="85"/>
      <c r="Y483" s="85"/>
      <c r="Z483" s="85"/>
      <c r="AA483" s="85"/>
      <c r="AB483" s="85"/>
      <c r="AC483" s="85"/>
      <c r="AD483" s="85"/>
    </row>
    <row r="484" spans="1:30" ht="15.75" x14ac:dyDescent="0.25">
      <c r="A484" s="14">
        <v>55670</v>
      </c>
      <c r="B484" s="97">
        <v>31</v>
      </c>
      <c r="C484" s="84">
        <f>194.205</f>
        <v>194.20500000000001</v>
      </c>
      <c r="D484" s="84">
        <f>267.466</f>
        <v>267.46600000000001</v>
      </c>
      <c r="E484" s="93">
        <f>133.845</f>
        <v>133.845</v>
      </c>
      <c r="F484" s="84">
        <f>278.484-40-25-60-100</f>
        <v>53.48399999999998</v>
      </c>
      <c r="G484" s="87">
        <v>40</v>
      </c>
      <c r="H484" s="84">
        <f t="shared" si="78"/>
        <v>185</v>
      </c>
      <c r="I484" s="84">
        <f t="shared" si="70"/>
        <v>0</v>
      </c>
      <c r="J484" s="87">
        <v>100</v>
      </c>
      <c r="K484" s="87">
        <v>300</v>
      </c>
      <c r="L484" s="84">
        <f t="shared" si="74"/>
        <v>1274</v>
      </c>
      <c r="M484" s="95">
        <v>600</v>
      </c>
      <c r="N484" s="84">
        <f>75</f>
        <v>75</v>
      </c>
      <c r="O484" s="87">
        <v>240</v>
      </c>
      <c r="P484" s="87">
        <v>160</v>
      </c>
      <c r="Q484" s="87">
        <f t="shared" si="75"/>
        <v>195</v>
      </c>
      <c r="R484" s="87">
        <f t="shared" si="76"/>
        <v>100</v>
      </c>
      <c r="S484" s="84">
        <f t="shared" si="77"/>
        <v>695</v>
      </c>
      <c r="T484" s="84">
        <f>50</f>
        <v>50</v>
      </c>
      <c r="U484" s="85"/>
      <c r="V484" s="85"/>
      <c r="W484" s="85"/>
      <c r="X484" s="85"/>
      <c r="Y484" s="85"/>
      <c r="Z484" s="85"/>
      <c r="AA484" s="85"/>
      <c r="AB484" s="85"/>
      <c r="AC484" s="85"/>
      <c r="AD484" s="85"/>
    </row>
    <row r="485" spans="1:30" ht="15.75" x14ac:dyDescent="0.25">
      <c r="A485" s="14">
        <v>55700</v>
      </c>
      <c r="B485" s="97">
        <v>30</v>
      </c>
      <c r="C485" s="84">
        <f>194.205</f>
        <v>194.20500000000001</v>
      </c>
      <c r="D485" s="84">
        <f>267.466</f>
        <v>267.46600000000001</v>
      </c>
      <c r="E485" s="93">
        <f>133.845</f>
        <v>133.845</v>
      </c>
      <c r="F485" s="84">
        <f>278.484-40-25-60-100</f>
        <v>53.48399999999998</v>
      </c>
      <c r="G485" s="87">
        <v>40</v>
      </c>
      <c r="H485" s="84">
        <f t="shared" si="78"/>
        <v>185</v>
      </c>
      <c r="I485" s="84">
        <f t="shared" si="70"/>
        <v>0</v>
      </c>
      <c r="J485" s="87">
        <v>100</v>
      </c>
      <c r="K485" s="87">
        <v>300</v>
      </c>
      <c r="L485" s="84">
        <f t="shared" si="74"/>
        <v>1274</v>
      </c>
      <c r="M485" s="95">
        <v>600</v>
      </c>
      <c r="N485" s="84">
        <f>30</f>
        <v>30</v>
      </c>
      <c r="O485" s="87">
        <v>240</v>
      </c>
      <c r="P485" s="87">
        <v>160</v>
      </c>
      <c r="Q485" s="87">
        <f t="shared" si="75"/>
        <v>195</v>
      </c>
      <c r="R485" s="87">
        <f t="shared" si="76"/>
        <v>100</v>
      </c>
      <c r="S485" s="84">
        <f t="shared" si="77"/>
        <v>695</v>
      </c>
      <c r="T485" s="84">
        <f>50</f>
        <v>50</v>
      </c>
      <c r="U485" s="85"/>
      <c r="V485" s="85"/>
      <c r="W485" s="85"/>
      <c r="X485" s="85"/>
      <c r="Y485" s="85"/>
      <c r="Z485" s="85"/>
      <c r="AA485" s="85"/>
      <c r="AB485" s="85"/>
      <c r="AC485" s="85"/>
      <c r="AD485" s="85"/>
    </row>
    <row r="486" spans="1:30" ht="15.75" x14ac:dyDescent="0.25">
      <c r="A486" s="14">
        <v>55731</v>
      </c>
      <c r="B486" s="97">
        <v>31</v>
      </c>
      <c r="C486" s="84">
        <f>194.205</f>
        <v>194.20500000000001</v>
      </c>
      <c r="D486" s="84">
        <f>267.466</f>
        <v>267.46600000000001</v>
      </c>
      <c r="E486" s="93">
        <f>133.845</f>
        <v>133.845</v>
      </c>
      <c r="F486" s="84">
        <f>278.484-40-25-60-100</f>
        <v>53.48399999999998</v>
      </c>
      <c r="G486" s="87">
        <v>40</v>
      </c>
      <c r="H486" s="84">
        <f t="shared" si="78"/>
        <v>185</v>
      </c>
      <c r="I486" s="84">
        <f t="shared" si="70"/>
        <v>0</v>
      </c>
      <c r="J486" s="87">
        <v>100</v>
      </c>
      <c r="K486" s="87">
        <v>300</v>
      </c>
      <c r="L486" s="84">
        <f t="shared" si="74"/>
        <v>1274</v>
      </c>
      <c r="M486" s="95">
        <v>600</v>
      </c>
      <c r="N486" s="84">
        <f>30</f>
        <v>30</v>
      </c>
      <c r="O486" s="87">
        <v>240</v>
      </c>
      <c r="P486" s="87">
        <v>160</v>
      </c>
      <c r="Q486" s="87">
        <f t="shared" si="75"/>
        <v>195</v>
      </c>
      <c r="R486" s="87">
        <f t="shared" si="76"/>
        <v>100</v>
      </c>
      <c r="S486" s="84">
        <f t="shared" si="77"/>
        <v>695</v>
      </c>
      <c r="T486" s="84">
        <f>0</f>
        <v>0</v>
      </c>
      <c r="U486" s="85"/>
      <c r="V486" s="85"/>
      <c r="W486" s="85"/>
      <c r="X486" s="85"/>
      <c r="Y486" s="85"/>
      <c r="Z486" s="85"/>
      <c r="AA486" s="85"/>
      <c r="AB486" s="85"/>
      <c r="AC486" s="85"/>
      <c r="AD486" s="85"/>
    </row>
    <row r="487" spans="1:30" ht="15.75" x14ac:dyDescent="0.25">
      <c r="A487" s="14">
        <v>55762</v>
      </c>
      <c r="B487" s="97">
        <v>31</v>
      </c>
      <c r="C487" s="84">
        <f>194.205</f>
        <v>194.20500000000001</v>
      </c>
      <c r="D487" s="84">
        <f>267.466</f>
        <v>267.46600000000001</v>
      </c>
      <c r="E487" s="93">
        <f>133.845</f>
        <v>133.845</v>
      </c>
      <c r="F487" s="84">
        <f>278.484-40-25-60-100</f>
        <v>53.48399999999998</v>
      </c>
      <c r="G487" s="87">
        <v>40</v>
      </c>
      <c r="H487" s="84">
        <f t="shared" si="78"/>
        <v>185</v>
      </c>
      <c r="I487" s="84">
        <f t="shared" si="70"/>
        <v>0</v>
      </c>
      <c r="J487" s="87">
        <v>100</v>
      </c>
      <c r="K487" s="87">
        <v>300</v>
      </c>
      <c r="L487" s="84">
        <f t="shared" si="74"/>
        <v>1274</v>
      </c>
      <c r="M487" s="95">
        <v>600</v>
      </c>
      <c r="N487" s="84">
        <f>30</f>
        <v>30</v>
      </c>
      <c r="O487" s="87">
        <v>240</v>
      </c>
      <c r="P487" s="87">
        <v>160</v>
      </c>
      <c r="Q487" s="87">
        <f t="shared" si="75"/>
        <v>195</v>
      </c>
      <c r="R487" s="87">
        <f t="shared" si="76"/>
        <v>100</v>
      </c>
      <c r="S487" s="84">
        <f t="shared" si="77"/>
        <v>695</v>
      </c>
      <c r="T487" s="84">
        <f>0</f>
        <v>0</v>
      </c>
      <c r="U487" s="85"/>
      <c r="V487" s="85"/>
      <c r="W487" s="85"/>
      <c r="X487" s="85"/>
      <c r="Y487" s="85"/>
      <c r="Z487" s="85"/>
      <c r="AA487" s="85"/>
      <c r="AB487" s="85"/>
      <c r="AC487" s="85"/>
      <c r="AD487" s="85"/>
    </row>
    <row r="488" spans="1:30" ht="15.75" x14ac:dyDescent="0.25">
      <c r="A488" s="14">
        <v>55792</v>
      </c>
      <c r="B488" s="97">
        <v>30</v>
      </c>
      <c r="C488" s="84">
        <f>194.205</f>
        <v>194.20500000000001</v>
      </c>
      <c r="D488" s="84">
        <f>267.466</f>
        <v>267.46600000000001</v>
      </c>
      <c r="E488" s="93">
        <f>133.845</f>
        <v>133.845</v>
      </c>
      <c r="F488" s="84">
        <f>278.484-40-25-60-100</f>
        <v>53.48399999999998</v>
      </c>
      <c r="G488" s="87">
        <v>40</v>
      </c>
      <c r="H488" s="84">
        <f t="shared" si="78"/>
        <v>185</v>
      </c>
      <c r="I488" s="84">
        <f t="shared" si="70"/>
        <v>0</v>
      </c>
      <c r="J488" s="87">
        <v>100</v>
      </c>
      <c r="K488" s="87">
        <v>300</v>
      </c>
      <c r="L488" s="84">
        <f t="shared" si="74"/>
        <v>1274</v>
      </c>
      <c r="M488" s="95">
        <v>600</v>
      </c>
      <c r="N488" s="84">
        <f>30</f>
        <v>30</v>
      </c>
      <c r="O488" s="87">
        <v>240</v>
      </c>
      <c r="P488" s="87">
        <v>160</v>
      </c>
      <c r="Q488" s="87">
        <f t="shared" si="75"/>
        <v>195</v>
      </c>
      <c r="R488" s="87">
        <f t="shared" si="76"/>
        <v>100</v>
      </c>
      <c r="S488" s="84">
        <f t="shared" si="77"/>
        <v>695</v>
      </c>
      <c r="T488" s="84">
        <f>0</f>
        <v>0</v>
      </c>
      <c r="U488" s="85"/>
      <c r="V488" s="85"/>
      <c r="W488" s="85"/>
      <c r="X488" s="85"/>
      <c r="Y488" s="85"/>
      <c r="Z488" s="85"/>
      <c r="AA488" s="85"/>
      <c r="AB488" s="85"/>
      <c r="AC488" s="85"/>
      <c r="AD488" s="85"/>
    </row>
    <row r="489" spans="1:30" ht="15.75" x14ac:dyDescent="0.25">
      <c r="A489" s="14">
        <v>55823</v>
      </c>
      <c r="B489" s="97">
        <v>31</v>
      </c>
      <c r="C489" s="84">
        <f>131.881</f>
        <v>131.881</v>
      </c>
      <c r="D489" s="84">
        <f>277.167</f>
        <v>277.16699999999997</v>
      </c>
      <c r="E489" s="93">
        <f>79.08</f>
        <v>79.08</v>
      </c>
      <c r="F489" s="84">
        <f>350.872-40-25-60-100</f>
        <v>125.87200000000001</v>
      </c>
      <c r="G489" s="87">
        <v>40</v>
      </c>
      <c r="H489" s="84">
        <f t="shared" si="78"/>
        <v>185</v>
      </c>
      <c r="I489" s="84">
        <f t="shared" si="70"/>
        <v>0</v>
      </c>
      <c r="J489" s="87">
        <v>100</v>
      </c>
      <c r="K489" s="87">
        <v>300</v>
      </c>
      <c r="L489" s="84">
        <f t="shared" si="74"/>
        <v>1239</v>
      </c>
      <c r="M489" s="95">
        <v>600</v>
      </c>
      <c r="N489" s="84">
        <f>75</f>
        <v>75</v>
      </c>
      <c r="O489" s="87">
        <v>240</v>
      </c>
      <c r="P489" s="87">
        <v>160</v>
      </c>
      <c r="Q489" s="87">
        <f t="shared" si="75"/>
        <v>195</v>
      </c>
      <c r="R489" s="87">
        <f t="shared" si="76"/>
        <v>100</v>
      </c>
      <c r="S489" s="84">
        <f t="shared" si="77"/>
        <v>695</v>
      </c>
      <c r="T489" s="84">
        <f>0</f>
        <v>0</v>
      </c>
      <c r="U489" s="85"/>
      <c r="V489" s="85"/>
      <c r="W489" s="85"/>
      <c r="X489" s="85"/>
      <c r="Y489" s="85"/>
      <c r="Z489" s="85"/>
      <c r="AA489" s="85"/>
      <c r="AB489" s="85"/>
      <c r="AC489" s="85"/>
      <c r="AD489" s="85"/>
    </row>
    <row r="490" spans="1:30" ht="15.75" x14ac:dyDescent="0.25">
      <c r="A490" s="14">
        <v>55853</v>
      </c>
      <c r="B490" s="97">
        <v>30</v>
      </c>
      <c r="C490" s="84">
        <f>122.58</f>
        <v>122.58</v>
      </c>
      <c r="D490" s="84">
        <f>297.941</f>
        <v>297.94099999999997</v>
      </c>
      <c r="E490" s="93">
        <f>89.177</f>
        <v>89.177000000000007</v>
      </c>
      <c r="F490" s="84">
        <f>240.302-40-60-100</f>
        <v>40.301999999999992</v>
      </c>
      <c r="G490" s="87">
        <v>40</v>
      </c>
      <c r="H490" s="84">
        <f>60+100</f>
        <v>160</v>
      </c>
      <c r="I490" s="84">
        <f t="shared" si="70"/>
        <v>0</v>
      </c>
      <c r="J490" s="87">
        <v>100</v>
      </c>
      <c r="K490" s="87">
        <v>300</v>
      </c>
      <c r="L490" s="84">
        <f t="shared" si="74"/>
        <v>1150</v>
      </c>
      <c r="M490" s="95">
        <v>600</v>
      </c>
      <c r="N490" s="84">
        <f>100</f>
        <v>100</v>
      </c>
      <c r="O490" s="87">
        <v>240</v>
      </c>
      <c r="P490" s="87">
        <v>40</v>
      </c>
      <c r="Q490" s="87">
        <f t="shared" si="75"/>
        <v>315</v>
      </c>
      <c r="R490" s="87">
        <f t="shared" si="76"/>
        <v>100</v>
      </c>
      <c r="S490" s="84">
        <f t="shared" si="77"/>
        <v>695</v>
      </c>
      <c r="T490" s="84">
        <f>50</f>
        <v>50</v>
      </c>
      <c r="U490" s="85"/>
      <c r="V490" s="85"/>
      <c r="W490" s="85"/>
      <c r="X490" s="85"/>
      <c r="Y490" s="85"/>
      <c r="Z490" s="85"/>
      <c r="AA490" s="85"/>
      <c r="AB490" s="85"/>
      <c r="AC490" s="85"/>
      <c r="AD490" s="85"/>
    </row>
    <row r="491" spans="1:30" ht="15.75" x14ac:dyDescent="0.25">
      <c r="A491" s="14">
        <v>55884</v>
      </c>
      <c r="B491" s="97">
        <v>31</v>
      </c>
      <c r="C491" s="84">
        <f>122.58</f>
        <v>122.58</v>
      </c>
      <c r="D491" s="84">
        <f>297.941</f>
        <v>297.94099999999997</v>
      </c>
      <c r="E491" s="93">
        <f>89.177</f>
        <v>89.177000000000007</v>
      </c>
      <c r="F491" s="84">
        <f>240.302-40-60-100</f>
        <v>40.301999999999992</v>
      </c>
      <c r="G491" s="87">
        <v>40</v>
      </c>
      <c r="H491" s="84">
        <f>60+100</f>
        <v>160</v>
      </c>
      <c r="I491" s="84">
        <f t="shared" si="70"/>
        <v>0</v>
      </c>
      <c r="J491" s="87">
        <v>100</v>
      </c>
      <c r="K491" s="87">
        <v>300</v>
      </c>
      <c r="L491" s="84">
        <f t="shared" si="74"/>
        <v>1150</v>
      </c>
      <c r="M491" s="95">
        <v>600</v>
      </c>
      <c r="N491" s="84">
        <f>100</f>
        <v>100</v>
      </c>
      <c r="O491" s="87">
        <v>240</v>
      </c>
      <c r="P491" s="87">
        <v>40</v>
      </c>
      <c r="Q491" s="87">
        <f t="shared" si="75"/>
        <v>315</v>
      </c>
      <c r="R491" s="87">
        <f t="shared" si="76"/>
        <v>100</v>
      </c>
      <c r="S491" s="84">
        <f t="shared" si="77"/>
        <v>695</v>
      </c>
      <c r="T491" s="84">
        <f>50</f>
        <v>50</v>
      </c>
      <c r="U491" s="85"/>
      <c r="V491" s="85"/>
      <c r="W491" s="85"/>
      <c r="X491" s="85"/>
      <c r="Y491" s="85"/>
      <c r="Z491" s="85"/>
      <c r="AA491" s="85"/>
      <c r="AB491" s="85"/>
      <c r="AC491" s="85"/>
      <c r="AD491" s="85"/>
    </row>
    <row r="492" spans="1:30" ht="15.75" x14ac:dyDescent="0.25">
      <c r="A492" s="14">
        <v>55915</v>
      </c>
      <c r="B492" s="97">
        <v>31</v>
      </c>
      <c r="C492" s="84">
        <f>122.58</f>
        <v>122.58</v>
      </c>
      <c r="D492" s="84">
        <f>297.941</f>
        <v>297.94099999999997</v>
      </c>
      <c r="E492" s="93">
        <f>89.177</f>
        <v>89.177000000000007</v>
      </c>
      <c r="F492" s="84">
        <f>240.302-40-60-100</f>
        <v>40.301999999999992</v>
      </c>
      <c r="G492" s="87">
        <v>40</v>
      </c>
      <c r="H492" s="84">
        <f>60+100</f>
        <v>160</v>
      </c>
      <c r="I492" s="84">
        <f t="shared" si="70"/>
        <v>0</v>
      </c>
      <c r="J492" s="87">
        <v>100</v>
      </c>
      <c r="K492" s="87">
        <v>300</v>
      </c>
      <c r="L492" s="84">
        <f t="shared" si="74"/>
        <v>1150</v>
      </c>
      <c r="M492" s="95">
        <v>600</v>
      </c>
      <c r="N492" s="84">
        <f>100</f>
        <v>100</v>
      </c>
      <c r="O492" s="87">
        <v>240</v>
      </c>
      <c r="P492" s="87">
        <v>40</v>
      </c>
      <c r="Q492" s="87">
        <f t="shared" si="75"/>
        <v>315</v>
      </c>
      <c r="R492" s="87">
        <f t="shared" si="76"/>
        <v>100</v>
      </c>
      <c r="S492" s="84">
        <f t="shared" si="77"/>
        <v>695</v>
      </c>
      <c r="T492" s="84">
        <f>50</f>
        <v>50</v>
      </c>
      <c r="U492" s="85"/>
      <c r="V492" s="85"/>
      <c r="W492" s="85"/>
      <c r="X492" s="85"/>
      <c r="Y492" s="85"/>
      <c r="Z492" s="85"/>
      <c r="AA492" s="85"/>
      <c r="AB492" s="85"/>
      <c r="AC492" s="85"/>
      <c r="AD492" s="85"/>
    </row>
    <row r="493" spans="1:30" ht="15.75" x14ac:dyDescent="0.25">
      <c r="A493" s="14">
        <v>55943</v>
      </c>
      <c r="B493" s="97">
        <v>28</v>
      </c>
      <c r="C493" s="84">
        <f>122.58</f>
        <v>122.58</v>
      </c>
      <c r="D493" s="84">
        <f>297.941</f>
        <v>297.94099999999997</v>
      </c>
      <c r="E493" s="93">
        <f>89.177</f>
        <v>89.177000000000007</v>
      </c>
      <c r="F493" s="84">
        <f>240.302-40-60-100</f>
        <v>40.301999999999992</v>
      </c>
      <c r="G493" s="87">
        <v>40</v>
      </c>
      <c r="H493" s="84">
        <f>60+100</f>
        <v>160</v>
      </c>
      <c r="I493" s="84">
        <f t="shared" si="70"/>
        <v>0</v>
      </c>
      <c r="J493" s="87">
        <v>100</v>
      </c>
      <c r="K493" s="87">
        <v>300</v>
      </c>
      <c r="L493" s="84">
        <f t="shared" si="74"/>
        <v>1150</v>
      </c>
      <c r="M493" s="95">
        <v>600</v>
      </c>
      <c r="N493" s="84">
        <f>100</f>
        <v>100</v>
      </c>
      <c r="O493" s="87">
        <v>240</v>
      </c>
      <c r="P493" s="87">
        <v>40</v>
      </c>
      <c r="Q493" s="87">
        <f t="shared" si="75"/>
        <v>315</v>
      </c>
      <c r="R493" s="87">
        <f t="shared" si="76"/>
        <v>100</v>
      </c>
      <c r="S493" s="84">
        <f t="shared" si="77"/>
        <v>695</v>
      </c>
      <c r="T493" s="84">
        <f>50</f>
        <v>50</v>
      </c>
      <c r="U493" s="85"/>
      <c r="V493" s="85"/>
      <c r="W493" s="85"/>
      <c r="X493" s="85"/>
      <c r="Y493" s="85"/>
      <c r="Z493" s="85"/>
      <c r="AA493" s="85"/>
      <c r="AB493" s="85"/>
      <c r="AC493" s="85"/>
      <c r="AD493" s="85"/>
    </row>
    <row r="494" spans="1:30" ht="15.75" x14ac:dyDescent="0.25">
      <c r="A494" s="14">
        <v>55974</v>
      </c>
      <c r="B494" s="97">
        <v>31</v>
      </c>
      <c r="C494" s="84">
        <f>122.58</f>
        <v>122.58</v>
      </c>
      <c r="D494" s="84">
        <f>297.941</f>
        <v>297.94099999999997</v>
      </c>
      <c r="E494" s="93">
        <f>89.177</f>
        <v>89.177000000000007</v>
      </c>
      <c r="F494" s="84">
        <f>240.302-40-60-100</f>
        <v>40.301999999999992</v>
      </c>
      <c r="G494" s="87">
        <v>40</v>
      </c>
      <c r="H494" s="84">
        <f>60+100</f>
        <v>160</v>
      </c>
      <c r="I494" s="84">
        <f t="shared" si="70"/>
        <v>0</v>
      </c>
      <c r="J494" s="87">
        <v>100</v>
      </c>
      <c r="K494" s="87">
        <v>300</v>
      </c>
      <c r="L494" s="84">
        <f t="shared" si="74"/>
        <v>1150</v>
      </c>
      <c r="M494" s="95">
        <v>600</v>
      </c>
      <c r="N494" s="84">
        <f>100</f>
        <v>100</v>
      </c>
      <c r="O494" s="87">
        <v>240</v>
      </c>
      <c r="P494" s="87">
        <v>40</v>
      </c>
      <c r="Q494" s="87">
        <f t="shared" si="75"/>
        <v>315</v>
      </c>
      <c r="R494" s="87">
        <f t="shared" si="76"/>
        <v>100</v>
      </c>
      <c r="S494" s="84">
        <f t="shared" si="77"/>
        <v>695</v>
      </c>
      <c r="T494" s="84">
        <f>50</f>
        <v>50</v>
      </c>
      <c r="U494" s="85"/>
      <c r="V494" s="85"/>
      <c r="W494" s="85"/>
      <c r="X494" s="85"/>
      <c r="Y494" s="85"/>
      <c r="Z494" s="85"/>
      <c r="AA494" s="85"/>
      <c r="AB494" s="85"/>
      <c r="AC494" s="85"/>
      <c r="AD494" s="85"/>
    </row>
    <row r="495" spans="1:30" ht="15.75" x14ac:dyDescent="0.25">
      <c r="A495" s="14">
        <v>56004</v>
      </c>
      <c r="B495" s="97">
        <v>30</v>
      </c>
      <c r="C495" s="84">
        <f>141.293</f>
        <v>141.29300000000001</v>
      </c>
      <c r="D495" s="84">
        <f>267.993</f>
        <v>267.99299999999999</v>
      </c>
      <c r="E495" s="93">
        <f>115.016</f>
        <v>115.01600000000001</v>
      </c>
      <c r="F495" s="84">
        <f>314.698-40-25-60-100</f>
        <v>89.697999999999979</v>
      </c>
      <c r="G495" s="87">
        <v>40</v>
      </c>
      <c r="H495" s="84">
        <f t="shared" ref="H495:H501" si="79">25+60+100</f>
        <v>185</v>
      </c>
      <c r="I495" s="84">
        <f t="shared" si="70"/>
        <v>0</v>
      </c>
      <c r="J495" s="87">
        <v>100</v>
      </c>
      <c r="K495" s="87">
        <v>300</v>
      </c>
      <c r="L495" s="84">
        <f t="shared" si="74"/>
        <v>1239</v>
      </c>
      <c r="M495" s="95">
        <v>600</v>
      </c>
      <c r="N495" s="84">
        <f>100</f>
        <v>100</v>
      </c>
      <c r="O495" s="87">
        <v>240</v>
      </c>
      <c r="P495" s="87">
        <v>160</v>
      </c>
      <c r="Q495" s="87">
        <f t="shared" si="75"/>
        <v>195</v>
      </c>
      <c r="R495" s="87">
        <f t="shared" si="76"/>
        <v>100</v>
      </c>
      <c r="S495" s="84">
        <f t="shared" si="77"/>
        <v>695</v>
      </c>
      <c r="T495" s="84">
        <f>50</f>
        <v>50</v>
      </c>
      <c r="U495" s="85"/>
      <c r="V495" s="85"/>
      <c r="W495" s="85"/>
      <c r="X495" s="85"/>
      <c r="Y495" s="85"/>
      <c r="Z495" s="85"/>
      <c r="AA495" s="85"/>
      <c r="AB495" s="85"/>
      <c r="AC495" s="85"/>
      <c r="AD495" s="85"/>
    </row>
    <row r="496" spans="1:30" ht="15.75" x14ac:dyDescent="0.25">
      <c r="A496" s="14">
        <v>56035</v>
      </c>
      <c r="B496" s="97">
        <v>31</v>
      </c>
      <c r="C496" s="84">
        <f>194.205</f>
        <v>194.20500000000001</v>
      </c>
      <c r="D496" s="84">
        <f>267.466</f>
        <v>267.46600000000001</v>
      </c>
      <c r="E496" s="93">
        <f>133.845</f>
        <v>133.845</v>
      </c>
      <c r="F496" s="84">
        <f>278.484-40-25-60-100</f>
        <v>53.48399999999998</v>
      </c>
      <c r="G496" s="87">
        <v>40</v>
      </c>
      <c r="H496" s="84">
        <f t="shared" si="79"/>
        <v>185</v>
      </c>
      <c r="I496" s="84">
        <f t="shared" si="70"/>
        <v>0</v>
      </c>
      <c r="J496" s="87">
        <v>100</v>
      </c>
      <c r="K496" s="87">
        <v>300</v>
      </c>
      <c r="L496" s="84">
        <f t="shared" si="74"/>
        <v>1274</v>
      </c>
      <c r="M496" s="95">
        <v>600</v>
      </c>
      <c r="N496" s="84">
        <f>75</f>
        <v>75</v>
      </c>
      <c r="O496" s="87">
        <v>240</v>
      </c>
      <c r="P496" s="87">
        <v>160</v>
      </c>
      <c r="Q496" s="87">
        <f t="shared" si="75"/>
        <v>195</v>
      </c>
      <c r="R496" s="87">
        <f t="shared" si="76"/>
        <v>100</v>
      </c>
      <c r="S496" s="84">
        <f t="shared" si="77"/>
        <v>695</v>
      </c>
      <c r="T496" s="84">
        <f>50</f>
        <v>50</v>
      </c>
      <c r="U496" s="85"/>
      <c r="V496" s="85"/>
      <c r="W496" s="85"/>
      <c r="X496" s="85"/>
      <c r="Y496" s="85"/>
      <c r="Z496" s="85"/>
      <c r="AA496" s="85"/>
      <c r="AB496" s="85"/>
      <c r="AC496" s="85"/>
      <c r="AD496" s="85"/>
    </row>
    <row r="497" spans="1:30" ht="15.75" x14ac:dyDescent="0.25">
      <c r="A497" s="14">
        <v>56065</v>
      </c>
      <c r="B497" s="97">
        <v>30</v>
      </c>
      <c r="C497" s="84">
        <f>194.205</f>
        <v>194.20500000000001</v>
      </c>
      <c r="D497" s="84">
        <f>267.466</f>
        <v>267.46600000000001</v>
      </c>
      <c r="E497" s="93">
        <f>133.845</f>
        <v>133.845</v>
      </c>
      <c r="F497" s="84">
        <f>278.484-40-25-60-100</f>
        <v>53.48399999999998</v>
      </c>
      <c r="G497" s="87">
        <v>40</v>
      </c>
      <c r="H497" s="84">
        <f t="shared" si="79"/>
        <v>185</v>
      </c>
      <c r="I497" s="84">
        <f t="shared" si="70"/>
        <v>0</v>
      </c>
      <c r="J497" s="87">
        <v>100</v>
      </c>
      <c r="K497" s="87">
        <v>300</v>
      </c>
      <c r="L497" s="84">
        <f t="shared" si="74"/>
        <v>1274</v>
      </c>
      <c r="M497" s="95">
        <v>600</v>
      </c>
      <c r="N497" s="84">
        <f>30</f>
        <v>30</v>
      </c>
      <c r="O497" s="87">
        <v>240</v>
      </c>
      <c r="P497" s="87">
        <v>160</v>
      </c>
      <c r="Q497" s="87">
        <f t="shared" si="75"/>
        <v>195</v>
      </c>
      <c r="R497" s="87">
        <f t="shared" si="76"/>
        <v>100</v>
      </c>
      <c r="S497" s="84">
        <f t="shared" si="77"/>
        <v>695</v>
      </c>
      <c r="T497" s="84">
        <f>50</f>
        <v>50</v>
      </c>
      <c r="U497" s="85"/>
      <c r="V497" s="85"/>
      <c r="W497" s="85"/>
      <c r="X497" s="85"/>
      <c r="Y497" s="85"/>
      <c r="Z497" s="85"/>
      <c r="AA497" s="85"/>
      <c r="AB497" s="85"/>
      <c r="AC497" s="85"/>
      <c r="AD497" s="85"/>
    </row>
    <row r="498" spans="1:30" ht="15.75" x14ac:dyDescent="0.25">
      <c r="A498" s="14">
        <v>56096</v>
      </c>
      <c r="B498" s="97">
        <v>31</v>
      </c>
      <c r="C498" s="84">
        <f>194.205</f>
        <v>194.20500000000001</v>
      </c>
      <c r="D498" s="84">
        <f>267.466</f>
        <v>267.46600000000001</v>
      </c>
      <c r="E498" s="93">
        <f>133.845</f>
        <v>133.845</v>
      </c>
      <c r="F498" s="84">
        <f>278.484-40-25-60-100</f>
        <v>53.48399999999998</v>
      </c>
      <c r="G498" s="87">
        <v>40</v>
      </c>
      <c r="H498" s="84">
        <f t="shared" si="79"/>
        <v>185</v>
      </c>
      <c r="I498" s="84">
        <f t="shared" si="70"/>
        <v>0</v>
      </c>
      <c r="J498" s="87">
        <v>100</v>
      </c>
      <c r="K498" s="87">
        <v>300</v>
      </c>
      <c r="L498" s="84">
        <f t="shared" si="74"/>
        <v>1274</v>
      </c>
      <c r="M498" s="95">
        <v>600</v>
      </c>
      <c r="N498" s="84">
        <f>30</f>
        <v>30</v>
      </c>
      <c r="O498" s="87">
        <v>240</v>
      </c>
      <c r="P498" s="87">
        <v>160</v>
      </c>
      <c r="Q498" s="87">
        <f t="shared" si="75"/>
        <v>195</v>
      </c>
      <c r="R498" s="87">
        <f t="shared" si="76"/>
        <v>100</v>
      </c>
      <c r="S498" s="84">
        <f t="shared" si="77"/>
        <v>695</v>
      </c>
      <c r="T498" s="84">
        <f>0</f>
        <v>0</v>
      </c>
      <c r="U498" s="85"/>
      <c r="V498" s="85"/>
      <c r="W498" s="85"/>
      <c r="X498" s="85"/>
      <c r="Y498" s="85"/>
      <c r="Z498" s="85"/>
      <c r="AA498" s="85"/>
      <c r="AB498" s="85"/>
      <c r="AC498" s="85"/>
      <c r="AD498" s="85"/>
    </row>
    <row r="499" spans="1:30" ht="15.75" x14ac:dyDescent="0.25">
      <c r="A499" s="14">
        <v>56127</v>
      </c>
      <c r="B499" s="97">
        <v>31</v>
      </c>
      <c r="C499" s="84">
        <f>194.205</f>
        <v>194.20500000000001</v>
      </c>
      <c r="D499" s="84">
        <f>267.466</f>
        <v>267.46600000000001</v>
      </c>
      <c r="E499" s="93">
        <f>133.845</f>
        <v>133.845</v>
      </c>
      <c r="F499" s="84">
        <f>278.484-40-25-60-100</f>
        <v>53.48399999999998</v>
      </c>
      <c r="G499" s="87">
        <v>40</v>
      </c>
      <c r="H499" s="84">
        <f t="shared" si="79"/>
        <v>185</v>
      </c>
      <c r="I499" s="84">
        <f t="shared" si="70"/>
        <v>0</v>
      </c>
      <c r="J499" s="87">
        <v>100</v>
      </c>
      <c r="K499" s="87">
        <v>300</v>
      </c>
      <c r="L499" s="84">
        <f t="shared" si="74"/>
        <v>1274</v>
      </c>
      <c r="M499" s="95">
        <v>600</v>
      </c>
      <c r="N499" s="84">
        <f>30</f>
        <v>30</v>
      </c>
      <c r="O499" s="87">
        <v>240</v>
      </c>
      <c r="P499" s="87">
        <v>160</v>
      </c>
      <c r="Q499" s="87">
        <f t="shared" si="75"/>
        <v>195</v>
      </c>
      <c r="R499" s="87">
        <f t="shared" si="76"/>
        <v>100</v>
      </c>
      <c r="S499" s="84">
        <f t="shared" si="77"/>
        <v>695</v>
      </c>
      <c r="T499" s="84">
        <f>0</f>
        <v>0</v>
      </c>
      <c r="U499" s="85"/>
      <c r="V499" s="85"/>
      <c r="W499" s="85"/>
      <c r="X499" s="85"/>
      <c r="Y499" s="85"/>
      <c r="Z499" s="85"/>
      <c r="AA499" s="85"/>
      <c r="AB499" s="85"/>
      <c r="AC499" s="85"/>
      <c r="AD499" s="85"/>
    </row>
    <row r="500" spans="1:30" ht="15.75" x14ac:dyDescent="0.25">
      <c r="A500" s="14">
        <v>56157</v>
      </c>
      <c r="B500" s="97">
        <v>30</v>
      </c>
      <c r="C500" s="84">
        <f>194.205</f>
        <v>194.20500000000001</v>
      </c>
      <c r="D500" s="84">
        <f>267.466</f>
        <v>267.46600000000001</v>
      </c>
      <c r="E500" s="93">
        <f>133.845</f>
        <v>133.845</v>
      </c>
      <c r="F500" s="84">
        <f>278.484-40-25-60-100</f>
        <v>53.48399999999998</v>
      </c>
      <c r="G500" s="87">
        <v>40</v>
      </c>
      <c r="H500" s="84">
        <f t="shared" si="79"/>
        <v>185</v>
      </c>
      <c r="I500" s="84">
        <f t="shared" ref="I500:I563" si="80">400-J500-K500</f>
        <v>0</v>
      </c>
      <c r="J500" s="87">
        <v>100</v>
      </c>
      <c r="K500" s="87">
        <v>300</v>
      </c>
      <c r="L500" s="84">
        <f t="shared" si="74"/>
        <v>1274</v>
      </c>
      <c r="M500" s="95">
        <v>600</v>
      </c>
      <c r="N500" s="84">
        <f>30</f>
        <v>30</v>
      </c>
      <c r="O500" s="87">
        <v>240</v>
      </c>
      <c r="P500" s="87">
        <v>160</v>
      </c>
      <c r="Q500" s="87">
        <f t="shared" si="75"/>
        <v>195</v>
      </c>
      <c r="R500" s="87">
        <f t="shared" si="76"/>
        <v>100</v>
      </c>
      <c r="S500" s="84">
        <f t="shared" si="77"/>
        <v>695</v>
      </c>
      <c r="T500" s="84">
        <f>0</f>
        <v>0</v>
      </c>
      <c r="U500" s="85"/>
      <c r="V500" s="85"/>
      <c r="W500" s="85"/>
      <c r="X500" s="85"/>
      <c r="Y500" s="85"/>
      <c r="Z500" s="85"/>
      <c r="AA500" s="85"/>
      <c r="AB500" s="85"/>
      <c r="AC500" s="85"/>
      <c r="AD500" s="85"/>
    </row>
    <row r="501" spans="1:30" ht="15.75" x14ac:dyDescent="0.25">
      <c r="A501" s="14">
        <v>56188</v>
      </c>
      <c r="B501" s="97">
        <v>31</v>
      </c>
      <c r="C501" s="84">
        <f>131.881</f>
        <v>131.881</v>
      </c>
      <c r="D501" s="84">
        <f>277.167</f>
        <v>277.16699999999997</v>
      </c>
      <c r="E501" s="93">
        <f>79.08</f>
        <v>79.08</v>
      </c>
      <c r="F501" s="84">
        <f>350.872-40-25-60-100</f>
        <v>125.87200000000001</v>
      </c>
      <c r="G501" s="87">
        <v>40</v>
      </c>
      <c r="H501" s="84">
        <f t="shared" si="79"/>
        <v>185</v>
      </c>
      <c r="I501" s="84">
        <f t="shared" si="80"/>
        <v>0</v>
      </c>
      <c r="J501" s="87">
        <v>100</v>
      </c>
      <c r="K501" s="87">
        <v>300</v>
      </c>
      <c r="L501" s="84">
        <f t="shared" si="74"/>
        <v>1239</v>
      </c>
      <c r="M501" s="95">
        <v>600</v>
      </c>
      <c r="N501" s="84">
        <f>75</f>
        <v>75</v>
      </c>
      <c r="O501" s="87">
        <v>240</v>
      </c>
      <c r="P501" s="87">
        <v>160</v>
      </c>
      <c r="Q501" s="87">
        <f t="shared" si="75"/>
        <v>195</v>
      </c>
      <c r="R501" s="87">
        <f t="shared" si="76"/>
        <v>100</v>
      </c>
      <c r="S501" s="84">
        <f t="shared" si="77"/>
        <v>695</v>
      </c>
      <c r="T501" s="84">
        <f>0</f>
        <v>0</v>
      </c>
      <c r="U501" s="85"/>
      <c r="V501" s="85"/>
      <c r="W501" s="85"/>
      <c r="X501" s="85"/>
      <c r="Y501" s="85"/>
      <c r="Z501" s="85"/>
      <c r="AA501" s="85"/>
      <c r="AB501" s="85"/>
      <c r="AC501" s="85"/>
      <c r="AD501" s="85"/>
    </row>
    <row r="502" spans="1:30" ht="15.75" x14ac:dyDescent="0.25">
      <c r="A502" s="14">
        <v>56218</v>
      </c>
      <c r="B502" s="97">
        <v>30</v>
      </c>
      <c r="C502" s="84">
        <f>122.58</f>
        <v>122.58</v>
      </c>
      <c r="D502" s="84">
        <f>297.941</f>
        <v>297.94099999999997</v>
      </c>
      <c r="E502" s="93">
        <f>89.177</f>
        <v>89.177000000000007</v>
      </c>
      <c r="F502" s="84">
        <f>240.302-40-60-100</f>
        <v>40.301999999999992</v>
      </c>
      <c r="G502" s="87">
        <v>40</v>
      </c>
      <c r="H502" s="84">
        <f>60+100</f>
        <v>160</v>
      </c>
      <c r="I502" s="84">
        <f t="shared" si="80"/>
        <v>0</v>
      </c>
      <c r="J502" s="87">
        <v>100</v>
      </c>
      <c r="K502" s="87">
        <v>300</v>
      </c>
      <c r="L502" s="84">
        <f t="shared" si="74"/>
        <v>1150</v>
      </c>
      <c r="M502" s="95">
        <v>600</v>
      </c>
      <c r="N502" s="84">
        <f>100</f>
        <v>100</v>
      </c>
      <c r="O502" s="87">
        <v>240</v>
      </c>
      <c r="P502" s="87">
        <v>40</v>
      </c>
      <c r="Q502" s="87">
        <f t="shared" si="75"/>
        <v>315</v>
      </c>
      <c r="R502" s="87">
        <f t="shared" si="76"/>
        <v>100</v>
      </c>
      <c r="S502" s="84">
        <f t="shared" si="77"/>
        <v>695</v>
      </c>
      <c r="T502" s="84">
        <f>50</f>
        <v>50</v>
      </c>
      <c r="U502" s="85"/>
      <c r="V502" s="85"/>
      <c r="W502" s="85"/>
      <c r="X502" s="85"/>
      <c r="Y502" s="85"/>
      <c r="Z502" s="85"/>
      <c r="AA502" s="85"/>
      <c r="AB502" s="85"/>
      <c r="AC502" s="85"/>
      <c r="AD502" s="85"/>
    </row>
    <row r="503" spans="1:30" ht="15.75" x14ac:dyDescent="0.25">
      <c r="A503" s="14">
        <v>56249</v>
      </c>
      <c r="B503" s="97">
        <v>31</v>
      </c>
      <c r="C503" s="84">
        <f>122.58</f>
        <v>122.58</v>
      </c>
      <c r="D503" s="84">
        <f>297.941</f>
        <v>297.94099999999997</v>
      </c>
      <c r="E503" s="93">
        <f>89.177</f>
        <v>89.177000000000007</v>
      </c>
      <c r="F503" s="84">
        <f>240.302-40-60-100</f>
        <v>40.301999999999992</v>
      </c>
      <c r="G503" s="87">
        <v>40</v>
      </c>
      <c r="H503" s="84">
        <f>60+100</f>
        <v>160</v>
      </c>
      <c r="I503" s="84">
        <f t="shared" si="80"/>
        <v>0</v>
      </c>
      <c r="J503" s="87">
        <v>100</v>
      </c>
      <c r="K503" s="87">
        <v>300</v>
      </c>
      <c r="L503" s="84">
        <f t="shared" si="74"/>
        <v>1150</v>
      </c>
      <c r="M503" s="95">
        <v>600</v>
      </c>
      <c r="N503" s="84">
        <f>100</f>
        <v>100</v>
      </c>
      <c r="O503" s="87">
        <v>240</v>
      </c>
      <c r="P503" s="87">
        <v>40</v>
      </c>
      <c r="Q503" s="87">
        <f t="shared" si="75"/>
        <v>315</v>
      </c>
      <c r="R503" s="87">
        <f t="shared" si="76"/>
        <v>100</v>
      </c>
      <c r="S503" s="84">
        <f t="shared" si="77"/>
        <v>695</v>
      </c>
      <c r="T503" s="84">
        <f>50</f>
        <v>50</v>
      </c>
      <c r="U503" s="85"/>
      <c r="V503" s="85"/>
      <c r="W503" s="85"/>
      <c r="X503" s="85"/>
      <c r="Y503" s="85"/>
      <c r="Z503" s="85"/>
      <c r="AA503" s="85"/>
      <c r="AB503" s="85"/>
      <c r="AC503" s="85"/>
      <c r="AD503" s="85"/>
    </row>
    <row r="504" spans="1:30" ht="15.75" x14ac:dyDescent="0.25">
      <c r="A504" s="14">
        <v>56280</v>
      </c>
      <c r="B504" s="97">
        <v>31</v>
      </c>
      <c r="C504" s="84">
        <f>122.58</f>
        <v>122.58</v>
      </c>
      <c r="D504" s="84">
        <f>297.941</f>
        <v>297.94099999999997</v>
      </c>
      <c r="E504" s="93">
        <f>89.177</f>
        <v>89.177000000000007</v>
      </c>
      <c r="F504" s="84">
        <f>240.302-40-60-100</f>
        <v>40.301999999999992</v>
      </c>
      <c r="G504" s="87">
        <v>40</v>
      </c>
      <c r="H504" s="84">
        <f>60+100</f>
        <v>160</v>
      </c>
      <c r="I504" s="84">
        <f t="shared" si="80"/>
        <v>0</v>
      </c>
      <c r="J504" s="87">
        <v>100</v>
      </c>
      <c r="K504" s="87">
        <v>300</v>
      </c>
      <c r="L504" s="84">
        <f t="shared" si="74"/>
        <v>1150</v>
      </c>
      <c r="M504" s="95">
        <v>600</v>
      </c>
      <c r="N504" s="84">
        <f>100</f>
        <v>100</v>
      </c>
      <c r="O504" s="87">
        <v>240</v>
      </c>
      <c r="P504" s="87">
        <v>40</v>
      </c>
      <c r="Q504" s="87">
        <f t="shared" si="75"/>
        <v>315</v>
      </c>
      <c r="R504" s="87">
        <f t="shared" si="76"/>
        <v>100</v>
      </c>
      <c r="S504" s="84">
        <f t="shared" si="77"/>
        <v>695</v>
      </c>
      <c r="T504" s="84">
        <f>50</f>
        <v>50</v>
      </c>
      <c r="U504" s="85"/>
      <c r="V504" s="85"/>
      <c r="W504" s="85"/>
      <c r="X504" s="85"/>
      <c r="Y504" s="85"/>
      <c r="Z504" s="85"/>
      <c r="AA504" s="85"/>
      <c r="AB504" s="85"/>
      <c r="AC504" s="85"/>
      <c r="AD504" s="85"/>
    </row>
    <row r="505" spans="1:30" ht="15.75" x14ac:dyDescent="0.25">
      <c r="A505" s="14">
        <v>56308</v>
      </c>
      <c r="B505" s="97">
        <v>28</v>
      </c>
      <c r="C505" s="84">
        <f>122.58</f>
        <v>122.58</v>
      </c>
      <c r="D505" s="84">
        <f>297.941</f>
        <v>297.94099999999997</v>
      </c>
      <c r="E505" s="93">
        <f>89.177</f>
        <v>89.177000000000007</v>
      </c>
      <c r="F505" s="84">
        <f>240.302-40-60-100</f>
        <v>40.301999999999992</v>
      </c>
      <c r="G505" s="87">
        <v>40</v>
      </c>
      <c r="H505" s="84">
        <f>60+100</f>
        <v>160</v>
      </c>
      <c r="I505" s="84">
        <f t="shared" si="80"/>
        <v>0</v>
      </c>
      <c r="J505" s="87">
        <v>100</v>
      </c>
      <c r="K505" s="87">
        <v>300</v>
      </c>
      <c r="L505" s="84">
        <f t="shared" si="74"/>
        <v>1150</v>
      </c>
      <c r="M505" s="95">
        <v>600</v>
      </c>
      <c r="N505" s="84">
        <f>100</f>
        <v>100</v>
      </c>
      <c r="O505" s="87">
        <v>240</v>
      </c>
      <c r="P505" s="87">
        <v>40</v>
      </c>
      <c r="Q505" s="87">
        <f t="shared" si="75"/>
        <v>315</v>
      </c>
      <c r="R505" s="87">
        <f t="shared" si="76"/>
        <v>100</v>
      </c>
      <c r="S505" s="84">
        <f t="shared" si="77"/>
        <v>695</v>
      </c>
      <c r="T505" s="84">
        <f>50</f>
        <v>50</v>
      </c>
      <c r="U505" s="85"/>
      <c r="V505" s="85"/>
      <c r="W505" s="85"/>
      <c r="X505" s="85"/>
      <c r="Y505" s="85"/>
      <c r="Z505" s="85"/>
      <c r="AA505" s="85"/>
      <c r="AB505" s="85"/>
      <c r="AC505" s="85"/>
      <c r="AD505" s="85"/>
    </row>
    <row r="506" spans="1:30" ht="15.75" x14ac:dyDescent="0.25">
      <c r="A506" s="14">
        <v>56339</v>
      </c>
      <c r="B506" s="97">
        <v>31</v>
      </c>
      <c r="C506" s="84">
        <f>122.58</f>
        <v>122.58</v>
      </c>
      <c r="D506" s="84">
        <f>297.941</f>
        <v>297.94099999999997</v>
      </c>
      <c r="E506" s="93">
        <f>89.177</f>
        <v>89.177000000000007</v>
      </c>
      <c r="F506" s="84">
        <f>240.302-40-60-100</f>
        <v>40.301999999999992</v>
      </c>
      <c r="G506" s="87">
        <v>40</v>
      </c>
      <c r="H506" s="84">
        <f>60+100</f>
        <v>160</v>
      </c>
      <c r="I506" s="84">
        <f t="shared" si="80"/>
        <v>0</v>
      </c>
      <c r="J506" s="87">
        <v>100</v>
      </c>
      <c r="K506" s="87">
        <v>300</v>
      </c>
      <c r="L506" s="84">
        <f t="shared" si="74"/>
        <v>1150</v>
      </c>
      <c r="M506" s="95">
        <v>600</v>
      </c>
      <c r="N506" s="84">
        <f>100</f>
        <v>100</v>
      </c>
      <c r="O506" s="87">
        <v>240</v>
      </c>
      <c r="P506" s="87">
        <v>40</v>
      </c>
      <c r="Q506" s="87">
        <f t="shared" si="75"/>
        <v>315</v>
      </c>
      <c r="R506" s="87">
        <f t="shared" si="76"/>
        <v>100</v>
      </c>
      <c r="S506" s="84">
        <f t="shared" si="77"/>
        <v>695</v>
      </c>
      <c r="T506" s="84">
        <f>50</f>
        <v>50</v>
      </c>
      <c r="U506" s="85"/>
      <c r="V506" s="85"/>
      <c r="W506" s="85"/>
      <c r="X506" s="85"/>
      <c r="Y506" s="85"/>
      <c r="Z506" s="85"/>
      <c r="AA506" s="85"/>
      <c r="AB506" s="85"/>
      <c r="AC506" s="85"/>
      <c r="AD506" s="85"/>
    </row>
    <row r="507" spans="1:30" ht="15.75" x14ac:dyDescent="0.25">
      <c r="A507" s="14">
        <v>56369</v>
      </c>
      <c r="B507" s="97">
        <v>30</v>
      </c>
      <c r="C507" s="84">
        <f>141.293</f>
        <v>141.29300000000001</v>
      </c>
      <c r="D507" s="84">
        <f>267.993</f>
        <v>267.99299999999999</v>
      </c>
      <c r="E507" s="93">
        <f>115.016</f>
        <v>115.01600000000001</v>
      </c>
      <c r="F507" s="84">
        <f>314.698-40-25-60-100</f>
        <v>89.697999999999979</v>
      </c>
      <c r="G507" s="87">
        <v>40</v>
      </c>
      <c r="H507" s="84">
        <f t="shared" ref="H507:H513" si="81">25+60+100</f>
        <v>185</v>
      </c>
      <c r="I507" s="84">
        <f t="shared" si="80"/>
        <v>0</v>
      </c>
      <c r="J507" s="87">
        <v>100</v>
      </c>
      <c r="K507" s="87">
        <v>300</v>
      </c>
      <c r="L507" s="84">
        <f t="shared" si="74"/>
        <v>1239</v>
      </c>
      <c r="M507" s="95">
        <v>600</v>
      </c>
      <c r="N507" s="84">
        <f>100</f>
        <v>100</v>
      </c>
      <c r="O507" s="87">
        <v>240</v>
      </c>
      <c r="P507" s="87">
        <v>160</v>
      </c>
      <c r="Q507" s="87">
        <f t="shared" si="75"/>
        <v>195</v>
      </c>
      <c r="R507" s="87">
        <f t="shared" si="76"/>
        <v>100</v>
      </c>
      <c r="S507" s="84">
        <f t="shared" si="77"/>
        <v>695</v>
      </c>
      <c r="T507" s="84">
        <f>50</f>
        <v>50</v>
      </c>
      <c r="U507" s="85"/>
      <c r="V507" s="85"/>
      <c r="W507" s="85"/>
      <c r="X507" s="85"/>
      <c r="Y507" s="85"/>
      <c r="Z507" s="85"/>
      <c r="AA507" s="85"/>
      <c r="AB507" s="85"/>
      <c r="AC507" s="85"/>
      <c r="AD507" s="85"/>
    </row>
    <row r="508" spans="1:30" ht="15.75" x14ac:dyDescent="0.25">
      <c r="A508" s="14">
        <v>56400</v>
      </c>
      <c r="B508" s="97">
        <v>31</v>
      </c>
      <c r="C508" s="84">
        <f>194.205</f>
        <v>194.20500000000001</v>
      </c>
      <c r="D508" s="84">
        <f>267.466</f>
        <v>267.46600000000001</v>
      </c>
      <c r="E508" s="93">
        <f>133.845</f>
        <v>133.845</v>
      </c>
      <c r="F508" s="84">
        <f>278.484-40-25-60-100</f>
        <v>53.48399999999998</v>
      </c>
      <c r="G508" s="87">
        <v>40</v>
      </c>
      <c r="H508" s="84">
        <f t="shared" si="81"/>
        <v>185</v>
      </c>
      <c r="I508" s="84">
        <f t="shared" si="80"/>
        <v>0</v>
      </c>
      <c r="J508" s="87">
        <v>100</v>
      </c>
      <c r="K508" s="87">
        <v>300</v>
      </c>
      <c r="L508" s="84">
        <f t="shared" si="74"/>
        <v>1274</v>
      </c>
      <c r="M508" s="95">
        <v>600</v>
      </c>
      <c r="N508" s="84">
        <f>75</f>
        <v>75</v>
      </c>
      <c r="O508" s="87">
        <v>240</v>
      </c>
      <c r="P508" s="87">
        <v>160</v>
      </c>
      <c r="Q508" s="87">
        <f t="shared" si="75"/>
        <v>195</v>
      </c>
      <c r="R508" s="87">
        <f t="shared" si="76"/>
        <v>100</v>
      </c>
      <c r="S508" s="84">
        <f t="shared" si="77"/>
        <v>695</v>
      </c>
      <c r="T508" s="84">
        <f>50</f>
        <v>50</v>
      </c>
      <c r="U508" s="85"/>
      <c r="V508" s="85"/>
      <c r="W508" s="85"/>
      <c r="X508" s="85"/>
      <c r="Y508" s="85"/>
      <c r="Z508" s="85"/>
      <c r="AA508" s="85"/>
      <c r="AB508" s="85"/>
      <c r="AC508" s="85"/>
      <c r="AD508" s="85"/>
    </row>
    <row r="509" spans="1:30" ht="15.75" x14ac:dyDescent="0.25">
      <c r="A509" s="14">
        <v>56430</v>
      </c>
      <c r="B509" s="97">
        <v>30</v>
      </c>
      <c r="C509" s="84">
        <f>194.205</f>
        <v>194.20500000000001</v>
      </c>
      <c r="D509" s="84">
        <f>267.466</f>
        <v>267.46600000000001</v>
      </c>
      <c r="E509" s="93">
        <f>133.845</f>
        <v>133.845</v>
      </c>
      <c r="F509" s="84">
        <f>278.484-40-25-60-100</f>
        <v>53.48399999999998</v>
      </c>
      <c r="G509" s="87">
        <v>40</v>
      </c>
      <c r="H509" s="84">
        <f t="shared" si="81"/>
        <v>185</v>
      </c>
      <c r="I509" s="84">
        <f t="shared" si="80"/>
        <v>0</v>
      </c>
      <c r="J509" s="87">
        <v>100</v>
      </c>
      <c r="K509" s="87">
        <v>300</v>
      </c>
      <c r="L509" s="84">
        <f t="shared" si="74"/>
        <v>1274</v>
      </c>
      <c r="M509" s="95">
        <v>600</v>
      </c>
      <c r="N509" s="84">
        <f>30</f>
        <v>30</v>
      </c>
      <c r="O509" s="87">
        <v>240</v>
      </c>
      <c r="P509" s="87">
        <v>160</v>
      </c>
      <c r="Q509" s="87">
        <f t="shared" si="75"/>
        <v>195</v>
      </c>
      <c r="R509" s="87">
        <f t="shared" si="76"/>
        <v>100</v>
      </c>
      <c r="S509" s="84">
        <f t="shared" si="77"/>
        <v>695</v>
      </c>
      <c r="T509" s="84">
        <f>50</f>
        <v>50</v>
      </c>
      <c r="U509" s="85"/>
      <c r="V509" s="85"/>
      <c r="W509" s="85"/>
      <c r="X509" s="85"/>
      <c r="Y509" s="85"/>
      <c r="Z509" s="85"/>
      <c r="AA509" s="85"/>
      <c r="AB509" s="85"/>
      <c r="AC509" s="85"/>
      <c r="AD509" s="85"/>
    </row>
    <row r="510" spans="1:30" ht="15.75" x14ac:dyDescent="0.25">
      <c r="A510" s="14">
        <v>56461</v>
      </c>
      <c r="B510" s="97">
        <v>31</v>
      </c>
      <c r="C510" s="84">
        <f>194.205</f>
        <v>194.20500000000001</v>
      </c>
      <c r="D510" s="84">
        <f>267.466</f>
        <v>267.46600000000001</v>
      </c>
      <c r="E510" s="93">
        <f>133.845</f>
        <v>133.845</v>
      </c>
      <c r="F510" s="84">
        <f>278.484-40-25-60-100</f>
        <v>53.48399999999998</v>
      </c>
      <c r="G510" s="87">
        <v>40</v>
      </c>
      <c r="H510" s="84">
        <f t="shared" si="81"/>
        <v>185</v>
      </c>
      <c r="I510" s="84">
        <f t="shared" si="80"/>
        <v>0</v>
      </c>
      <c r="J510" s="87">
        <v>100</v>
      </c>
      <c r="K510" s="87">
        <v>300</v>
      </c>
      <c r="L510" s="84">
        <f t="shared" si="74"/>
        <v>1274</v>
      </c>
      <c r="M510" s="95">
        <v>600</v>
      </c>
      <c r="N510" s="84">
        <f>30</f>
        <v>30</v>
      </c>
      <c r="O510" s="87">
        <v>240</v>
      </c>
      <c r="P510" s="87">
        <v>160</v>
      </c>
      <c r="Q510" s="87">
        <f t="shared" si="75"/>
        <v>195</v>
      </c>
      <c r="R510" s="87">
        <f t="shared" si="76"/>
        <v>100</v>
      </c>
      <c r="S510" s="84">
        <f t="shared" si="77"/>
        <v>695</v>
      </c>
      <c r="T510" s="84">
        <f>0</f>
        <v>0</v>
      </c>
      <c r="U510" s="85"/>
      <c r="V510" s="85"/>
      <c r="W510" s="85"/>
      <c r="X510" s="85"/>
      <c r="Y510" s="85"/>
      <c r="Z510" s="85"/>
      <c r="AA510" s="85"/>
      <c r="AB510" s="85"/>
      <c r="AC510" s="85"/>
      <c r="AD510" s="85"/>
    </row>
    <row r="511" spans="1:30" ht="15.75" x14ac:dyDescent="0.25">
      <c r="A511" s="14">
        <v>56492</v>
      </c>
      <c r="B511" s="97">
        <v>31</v>
      </c>
      <c r="C511" s="84">
        <f>194.205</f>
        <v>194.20500000000001</v>
      </c>
      <c r="D511" s="84">
        <f>267.466</f>
        <v>267.46600000000001</v>
      </c>
      <c r="E511" s="93">
        <f>133.845</f>
        <v>133.845</v>
      </c>
      <c r="F511" s="84">
        <f>278.484-40-25-60-100</f>
        <v>53.48399999999998</v>
      </c>
      <c r="G511" s="87">
        <v>40</v>
      </c>
      <c r="H511" s="84">
        <f t="shared" si="81"/>
        <v>185</v>
      </c>
      <c r="I511" s="84">
        <f t="shared" si="80"/>
        <v>0</v>
      </c>
      <c r="J511" s="87">
        <v>100</v>
      </c>
      <c r="K511" s="87">
        <v>300</v>
      </c>
      <c r="L511" s="84">
        <f t="shared" si="74"/>
        <v>1274</v>
      </c>
      <c r="M511" s="95">
        <v>600</v>
      </c>
      <c r="N511" s="84">
        <f>30</f>
        <v>30</v>
      </c>
      <c r="O511" s="87">
        <v>240</v>
      </c>
      <c r="P511" s="87">
        <v>160</v>
      </c>
      <c r="Q511" s="87">
        <f t="shared" si="75"/>
        <v>195</v>
      </c>
      <c r="R511" s="87">
        <f t="shared" si="76"/>
        <v>100</v>
      </c>
      <c r="S511" s="84">
        <f t="shared" si="77"/>
        <v>695</v>
      </c>
      <c r="T511" s="84">
        <f>0</f>
        <v>0</v>
      </c>
      <c r="U511" s="85"/>
      <c r="V511" s="85"/>
      <c r="W511" s="85"/>
      <c r="X511" s="85"/>
      <c r="Y511" s="85"/>
      <c r="Z511" s="85"/>
      <c r="AA511" s="85"/>
      <c r="AB511" s="85"/>
      <c r="AC511" s="85"/>
      <c r="AD511" s="85"/>
    </row>
    <row r="512" spans="1:30" ht="15.75" x14ac:dyDescent="0.25">
      <c r="A512" s="14">
        <v>56522</v>
      </c>
      <c r="B512" s="97">
        <v>30</v>
      </c>
      <c r="C512" s="84">
        <f>194.205</f>
        <v>194.20500000000001</v>
      </c>
      <c r="D512" s="84">
        <f>267.466</f>
        <v>267.46600000000001</v>
      </c>
      <c r="E512" s="93">
        <f>133.845</f>
        <v>133.845</v>
      </c>
      <c r="F512" s="84">
        <f>278.484-40-25-60-100</f>
        <v>53.48399999999998</v>
      </c>
      <c r="G512" s="87">
        <v>40</v>
      </c>
      <c r="H512" s="84">
        <f t="shared" si="81"/>
        <v>185</v>
      </c>
      <c r="I512" s="84">
        <f t="shared" si="80"/>
        <v>0</v>
      </c>
      <c r="J512" s="87">
        <v>100</v>
      </c>
      <c r="K512" s="87">
        <v>300</v>
      </c>
      <c r="L512" s="84">
        <f t="shared" si="74"/>
        <v>1274</v>
      </c>
      <c r="M512" s="95">
        <v>600</v>
      </c>
      <c r="N512" s="84">
        <f>30</f>
        <v>30</v>
      </c>
      <c r="O512" s="87">
        <v>240</v>
      </c>
      <c r="P512" s="87">
        <v>160</v>
      </c>
      <c r="Q512" s="87">
        <f t="shared" si="75"/>
        <v>195</v>
      </c>
      <c r="R512" s="87">
        <f t="shared" si="76"/>
        <v>100</v>
      </c>
      <c r="S512" s="84">
        <f t="shared" si="77"/>
        <v>695</v>
      </c>
      <c r="T512" s="84">
        <f>0</f>
        <v>0</v>
      </c>
      <c r="U512" s="85"/>
      <c r="V512" s="85"/>
      <c r="W512" s="85"/>
      <c r="X512" s="85"/>
      <c r="Y512" s="85"/>
      <c r="Z512" s="85"/>
      <c r="AA512" s="85"/>
      <c r="AB512" s="85"/>
      <c r="AC512" s="85"/>
      <c r="AD512" s="85"/>
    </row>
    <row r="513" spans="1:30" ht="15.75" x14ac:dyDescent="0.25">
      <c r="A513" s="14">
        <v>56553</v>
      </c>
      <c r="B513" s="97">
        <v>31</v>
      </c>
      <c r="C513" s="84">
        <f>131.881</f>
        <v>131.881</v>
      </c>
      <c r="D513" s="84">
        <f>277.167</f>
        <v>277.16699999999997</v>
      </c>
      <c r="E513" s="93">
        <f>79.08</f>
        <v>79.08</v>
      </c>
      <c r="F513" s="84">
        <f>350.872-40-25-60-100</f>
        <v>125.87200000000001</v>
      </c>
      <c r="G513" s="87">
        <v>40</v>
      </c>
      <c r="H513" s="84">
        <f t="shared" si="81"/>
        <v>185</v>
      </c>
      <c r="I513" s="84">
        <f t="shared" si="80"/>
        <v>0</v>
      </c>
      <c r="J513" s="87">
        <v>100</v>
      </c>
      <c r="K513" s="87">
        <v>300</v>
      </c>
      <c r="L513" s="84">
        <f t="shared" si="74"/>
        <v>1239</v>
      </c>
      <c r="M513" s="95">
        <v>600</v>
      </c>
      <c r="N513" s="84">
        <f>75</f>
        <v>75</v>
      </c>
      <c r="O513" s="87">
        <v>240</v>
      </c>
      <c r="P513" s="87">
        <v>160</v>
      </c>
      <c r="Q513" s="87">
        <f t="shared" si="75"/>
        <v>195</v>
      </c>
      <c r="R513" s="87">
        <f t="shared" si="76"/>
        <v>100</v>
      </c>
      <c r="S513" s="84">
        <f t="shared" si="77"/>
        <v>695</v>
      </c>
      <c r="T513" s="84">
        <f>0</f>
        <v>0</v>
      </c>
      <c r="U513" s="85"/>
      <c r="V513" s="85"/>
      <c r="W513" s="85"/>
      <c r="X513" s="85"/>
      <c r="Y513" s="85"/>
      <c r="Z513" s="85"/>
      <c r="AA513" s="85"/>
      <c r="AB513" s="85"/>
      <c r="AC513" s="85"/>
      <c r="AD513" s="85"/>
    </row>
    <row r="514" spans="1:30" ht="15.75" x14ac:dyDescent="0.25">
      <c r="A514" s="14">
        <v>56583</v>
      </c>
      <c r="B514" s="97">
        <v>30</v>
      </c>
      <c r="C514" s="84">
        <f>122.58</f>
        <v>122.58</v>
      </c>
      <c r="D514" s="84">
        <f>297.941</f>
        <v>297.94099999999997</v>
      </c>
      <c r="E514" s="93">
        <f>89.177</f>
        <v>89.177000000000007</v>
      </c>
      <c r="F514" s="84">
        <f>240.302-40-60-100</f>
        <v>40.301999999999992</v>
      </c>
      <c r="G514" s="87">
        <v>40</v>
      </c>
      <c r="H514" s="84">
        <f>60+100</f>
        <v>160</v>
      </c>
      <c r="I514" s="84">
        <f t="shared" si="80"/>
        <v>0</v>
      </c>
      <c r="J514" s="87">
        <v>100</v>
      </c>
      <c r="K514" s="87">
        <v>300</v>
      </c>
      <c r="L514" s="84">
        <f t="shared" si="74"/>
        <v>1150</v>
      </c>
      <c r="M514" s="95">
        <v>600</v>
      </c>
      <c r="N514" s="84">
        <f>100</f>
        <v>100</v>
      </c>
      <c r="O514" s="87">
        <v>240</v>
      </c>
      <c r="P514" s="87">
        <v>40</v>
      </c>
      <c r="Q514" s="87">
        <f t="shared" si="75"/>
        <v>315</v>
      </c>
      <c r="R514" s="87">
        <f t="shared" si="76"/>
        <v>100</v>
      </c>
      <c r="S514" s="84">
        <f t="shared" si="77"/>
        <v>695</v>
      </c>
      <c r="T514" s="84">
        <f>50</f>
        <v>50</v>
      </c>
      <c r="U514" s="85"/>
      <c r="V514" s="85"/>
      <c r="W514" s="85"/>
      <c r="X514" s="85"/>
      <c r="Y514" s="85"/>
      <c r="Z514" s="85"/>
      <c r="AA514" s="85"/>
      <c r="AB514" s="85"/>
      <c r="AC514" s="85"/>
      <c r="AD514" s="85"/>
    </row>
    <row r="515" spans="1:30" ht="15.75" x14ac:dyDescent="0.25">
      <c r="A515" s="14">
        <v>56614</v>
      </c>
      <c r="B515" s="97">
        <v>31</v>
      </c>
      <c r="C515" s="84">
        <f>122.58</f>
        <v>122.58</v>
      </c>
      <c r="D515" s="84">
        <f>297.941</f>
        <v>297.94099999999997</v>
      </c>
      <c r="E515" s="93">
        <f>89.177</f>
        <v>89.177000000000007</v>
      </c>
      <c r="F515" s="84">
        <f>240.302-40-60-100</f>
        <v>40.301999999999992</v>
      </c>
      <c r="G515" s="87">
        <v>40</v>
      </c>
      <c r="H515" s="84">
        <f>60+100</f>
        <v>160</v>
      </c>
      <c r="I515" s="84">
        <f t="shared" si="80"/>
        <v>0</v>
      </c>
      <c r="J515" s="87">
        <v>100</v>
      </c>
      <c r="K515" s="87">
        <v>300</v>
      </c>
      <c r="L515" s="84">
        <f t="shared" si="74"/>
        <v>1150</v>
      </c>
      <c r="M515" s="95">
        <v>600</v>
      </c>
      <c r="N515" s="84">
        <f>100</f>
        <v>100</v>
      </c>
      <c r="O515" s="87">
        <v>240</v>
      </c>
      <c r="P515" s="87">
        <v>40</v>
      </c>
      <c r="Q515" s="87">
        <f t="shared" si="75"/>
        <v>315</v>
      </c>
      <c r="R515" s="87">
        <f t="shared" si="76"/>
        <v>100</v>
      </c>
      <c r="S515" s="84">
        <f t="shared" si="77"/>
        <v>695</v>
      </c>
      <c r="T515" s="84">
        <f>50</f>
        <v>50</v>
      </c>
      <c r="U515" s="85"/>
      <c r="V515" s="85"/>
      <c r="W515" s="85"/>
      <c r="X515" s="85"/>
      <c r="Y515" s="85"/>
      <c r="Z515" s="85"/>
      <c r="AA515" s="85"/>
      <c r="AB515" s="85"/>
      <c r="AC515" s="85"/>
      <c r="AD515" s="85"/>
    </row>
    <row r="516" spans="1:30" ht="15.75" x14ac:dyDescent="0.25">
      <c r="A516" s="13">
        <v>56645</v>
      </c>
      <c r="B516" s="96">
        <v>31</v>
      </c>
      <c r="C516" s="84">
        <f>122.58</f>
        <v>122.58</v>
      </c>
      <c r="D516" s="84">
        <f>297.941</f>
        <v>297.94099999999997</v>
      </c>
      <c r="E516" s="93">
        <f>89.177</f>
        <v>89.177000000000007</v>
      </c>
      <c r="F516" s="84">
        <f>240.302-40-60-100</f>
        <v>40.301999999999992</v>
      </c>
      <c r="G516" s="87">
        <v>40</v>
      </c>
      <c r="H516" s="84">
        <f>60+100</f>
        <v>160</v>
      </c>
      <c r="I516" s="84">
        <f t="shared" si="80"/>
        <v>0</v>
      </c>
      <c r="J516" s="87">
        <v>100</v>
      </c>
      <c r="K516" s="87">
        <v>300</v>
      </c>
      <c r="L516" s="84">
        <f t="shared" si="74"/>
        <v>1150</v>
      </c>
      <c r="M516" s="95">
        <v>600</v>
      </c>
      <c r="N516" s="84">
        <f>100</f>
        <v>100</v>
      </c>
      <c r="O516" s="87">
        <v>240</v>
      </c>
      <c r="P516" s="87">
        <v>40</v>
      </c>
      <c r="Q516" s="87">
        <f t="shared" si="75"/>
        <v>315</v>
      </c>
      <c r="R516" s="87">
        <f t="shared" si="76"/>
        <v>100</v>
      </c>
      <c r="S516" s="84">
        <f t="shared" si="77"/>
        <v>695</v>
      </c>
      <c r="T516" s="84">
        <f>50</f>
        <v>50</v>
      </c>
      <c r="U516" s="85"/>
      <c r="V516" s="85"/>
      <c r="W516" s="85"/>
      <c r="X516" s="85"/>
      <c r="Y516" s="85"/>
      <c r="Z516" s="85"/>
      <c r="AA516" s="85"/>
      <c r="AB516" s="85"/>
      <c r="AC516" s="85"/>
      <c r="AD516" s="85"/>
    </row>
    <row r="517" spans="1:30" ht="15.75" x14ac:dyDescent="0.25">
      <c r="A517" s="13">
        <v>56673</v>
      </c>
      <c r="B517" s="96">
        <v>28</v>
      </c>
      <c r="C517" s="84">
        <f>122.58</f>
        <v>122.58</v>
      </c>
      <c r="D517" s="84">
        <f>297.941</f>
        <v>297.94099999999997</v>
      </c>
      <c r="E517" s="93">
        <f>89.177</f>
        <v>89.177000000000007</v>
      </c>
      <c r="F517" s="84">
        <f>240.302-40-60-100</f>
        <v>40.301999999999992</v>
      </c>
      <c r="G517" s="87">
        <v>40</v>
      </c>
      <c r="H517" s="84">
        <f>60+100</f>
        <v>160</v>
      </c>
      <c r="I517" s="84">
        <f t="shared" si="80"/>
        <v>0</v>
      </c>
      <c r="J517" s="87">
        <v>100</v>
      </c>
      <c r="K517" s="87">
        <v>300</v>
      </c>
      <c r="L517" s="84">
        <f t="shared" si="74"/>
        <v>1150</v>
      </c>
      <c r="M517" s="95">
        <v>600</v>
      </c>
      <c r="N517" s="84">
        <f>100</f>
        <v>100</v>
      </c>
      <c r="O517" s="87">
        <v>240</v>
      </c>
      <c r="P517" s="87">
        <v>40</v>
      </c>
      <c r="Q517" s="87">
        <f t="shared" si="75"/>
        <v>315</v>
      </c>
      <c r="R517" s="87">
        <f t="shared" si="76"/>
        <v>100</v>
      </c>
      <c r="S517" s="84">
        <f t="shared" si="77"/>
        <v>695</v>
      </c>
      <c r="T517" s="84">
        <f>50</f>
        <v>50</v>
      </c>
      <c r="U517" s="85"/>
      <c r="V517" s="85"/>
      <c r="W517" s="85"/>
      <c r="X517" s="85"/>
      <c r="Y517" s="85"/>
      <c r="Z517" s="85"/>
      <c r="AA517" s="85"/>
      <c r="AB517" s="85"/>
      <c r="AC517" s="85"/>
      <c r="AD517" s="85"/>
    </row>
    <row r="518" spans="1:30" ht="15.75" x14ac:dyDescent="0.25">
      <c r="A518" s="13">
        <v>56704</v>
      </c>
      <c r="B518" s="96">
        <v>31</v>
      </c>
      <c r="C518" s="84">
        <f>122.58</f>
        <v>122.58</v>
      </c>
      <c r="D518" s="84">
        <f>297.941</f>
        <v>297.94099999999997</v>
      </c>
      <c r="E518" s="93">
        <f>89.177</f>
        <v>89.177000000000007</v>
      </c>
      <c r="F518" s="84">
        <f>240.302-40-60-100</f>
        <v>40.301999999999992</v>
      </c>
      <c r="G518" s="87">
        <v>40</v>
      </c>
      <c r="H518" s="84">
        <f>60+100</f>
        <v>160</v>
      </c>
      <c r="I518" s="84">
        <f t="shared" si="80"/>
        <v>0</v>
      </c>
      <c r="J518" s="87">
        <v>100</v>
      </c>
      <c r="K518" s="87">
        <v>300</v>
      </c>
      <c r="L518" s="84">
        <f t="shared" si="74"/>
        <v>1150</v>
      </c>
      <c r="M518" s="95">
        <v>600</v>
      </c>
      <c r="N518" s="84">
        <f>100</f>
        <v>100</v>
      </c>
      <c r="O518" s="87">
        <v>240</v>
      </c>
      <c r="P518" s="87">
        <v>40</v>
      </c>
      <c r="Q518" s="87">
        <f t="shared" si="75"/>
        <v>315</v>
      </c>
      <c r="R518" s="87">
        <f t="shared" si="76"/>
        <v>100</v>
      </c>
      <c r="S518" s="84">
        <f t="shared" si="77"/>
        <v>695</v>
      </c>
      <c r="T518" s="84">
        <f>50</f>
        <v>50</v>
      </c>
      <c r="U518" s="85"/>
      <c r="V518" s="85"/>
      <c r="W518" s="85"/>
      <c r="X518" s="85"/>
      <c r="Y518" s="85"/>
      <c r="Z518" s="85"/>
      <c r="AA518" s="85"/>
      <c r="AB518" s="85"/>
      <c r="AC518" s="85"/>
      <c r="AD518" s="85"/>
    </row>
    <row r="519" spans="1:30" ht="15.75" x14ac:dyDescent="0.25">
      <c r="A519" s="13">
        <v>56734</v>
      </c>
      <c r="B519" s="96">
        <v>30</v>
      </c>
      <c r="C519" s="84">
        <f>141.293</f>
        <v>141.29300000000001</v>
      </c>
      <c r="D519" s="84">
        <f>267.993</f>
        <v>267.99299999999999</v>
      </c>
      <c r="E519" s="93">
        <f>115.016</f>
        <v>115.01600000000001</v>
      </c>
      <c r="F519" s="84">
        <f>314.698-40-25-60-100</f>
        <v>89.697999999999979</v>
      </c>
      <c r="G519" s="87">
        <v>40</v>
      </c>
      <c r="H519" s="84">
        <f t="shared" ref="H519:H525" si="82">25+60+100</f>
        <v>185</v>
      </c>
      <c r="I519" s="84">
        <f t="shared" si="80"/>
        <v>0</v>
      </c>
      <c r="J519" s="87">
        <v>100</v>
      </c>
      <c r="K519" s="87">
        <v>300</v>
      </c>
      <c r="L519" s="84">
        <f t="shared" si="74"/>
        <v>1239</v>
      </c>
      <c r="M519" s="95">
        <v>600</v>
      </c>
      <c r="N519" s="84">
        <f>100</f>
        <v>100</v>
      </c>
      <c r="O519" s="87">
        <v>240</v>
      </c>
      <c r="P519" s="87">
        <v>160</v>
      </c>
      <c r="Q519" s="87">
        <f t="shared" si="75"/>
        <v>195</v>
      </c>
      <c r="R519" s="87">
        <f t="shared" si="76"/>
        <v>100</v>
      </c>
      <c r="S519" s="84">
        <f t="shared" si="77"/>
        <v>695</v>
      </c>
      <c r="T519" s="84">
        <f>50</f>
        <v>50</v>
      </c>
      <c r="U519" s="85"/>
      <c r="V519" s="85"/>
      <c r="W519" s="85"/>
      <c r="X519" s="85"/>
      <c r="Y519" s="85"/>
      <c r="Z519" s="85"/>
      <c r="AA519" s="85"/>
      <c r="AB519" s="85"/>
      <c r="AC519" s="85"/>
      <c r="AD519" s="85"/>
    </row>
    <row r="520" spans="1:30" ht="15.75" x14ac:dyDescent="0.25">
      <c r="A520" s="13">
        <v>56765</v>
      </c>
      <c r="B520" s="96">
        <v>31</v>
      </c>
      <c r="C520" s="84">
        <f>194.205</f>
        <v>194.20500000000001</v>
      </c>
      <c r="D520" s="84">
        <f>267.466</f>
        <v>267.46600000000001</v>
      </c>
      <c r="E520" s="93">
        <f>133.845</f>
        <v>133.845</v>
      </c>
      <c r="F520" s="84">
        <f>278.484-40-25-60-100</f>
        <v>53.48399999999998</v>
      </c>
      <c r="G520" s="87">
        <v>40</v>
      </c>
      <c r="H520" s="84">
        <f t="shared" si="82"/>
        <v>185</v>
      </c>
      <c r="I520" s="84">
        <f t="shared" si="80"/>
        <v>0</v>
      </c>
      <c r="J520" s="87">
        <v>100</v>
      </c>
      <c r="K520" s="87">
        <v>300</v>
      </c>
      <c r="L520" s="84">
        <f t="shared" si="74"/>
        <v>1274</v>
      </c>
      <c r="M520" s="95">
        <v>600</v>
      </c>
      <c r="N520" s="84">
        <f>75</f>
        <v>75</v>
      </c>
      <c r="O520" s="87">
        <v>240</v>
      </c>
      <c r="P520" s="87">
        <v>160</v>
      </c>
      <c r="Q520" s="87">
        <f t="shared" si="75"/>
        <v>195</v>
      </c>
      <c r="R520" s="87">
        <f t="shared" si="76"/>
        <v>100</v>
      </c>
      <c r="S520" s="84">
        <f t="shared" si="77"/>
        <v>695</v>
      </c>
      <c r="T520" s="84">
        <f>50</f>
        <v>50</v>
      </c>
      <c r="U520" s="85"/>
      <c r="V520" s="85"/>
      <c r="W520" s="85"/>
      <c r="X520" s="85"/>
      <c r="Y520" s="85"/>
      <c r="Z520" s="85"/>
      <c r="AA520" s="85"/>
      <c r="AB520" s="85"/>
      <c r="AC520" s="85"/>
      <c r="AD520" s="85"/>
    </row>
    <row r="521" spans="1:30" ht="15.75" x14ac:dyDescent="0.25">
      <c r="A521" s="13">
        <v>56795</v>
      </c>
      <c r="B521" s="96">
        <v>30</v>
      </c>
      <c r="C521" s="84">
        <f>194.205</f>
        <v>194.20500000000001</v>
      </c>
      <c r="D521" s="84">
        <f>267.466</f>
        <v>267.46600000000001</v>
      </c>
      <c r="E521" s="93">
        <f>133.845</f>
        <v>133.845</v>
      </c>
      <c r="F521" s="84">
        <f>278.484-40-25-60-100</f>
        <v>53.48399999999998</v>
      </c>
      <c r="G521" s="87">
        <v>40</v>
      </c>
      <c r="H521" s="84">
        <f t="shared" si="82"/>
        <v>185</v>
      </c>
      <c r="I521" s="84">
        <f t="shared" si="80"/>
        <v>0</v>
      </c>
      <c r="J521" s="87">
        <v>100</v>
      </c>
      <c r="K521" s="87">
        <v>300</v>
      </c>
      <c r="L521" s="84">
        <f t="shared" si="74"/>
        <v>1274</v>
      </c>
      <c r="M521" s="95">
        <v>600</v>
      </c>
      <c r="N521" s="84">
        <f>30</f>
        <v>30</v>
      </c>
      <c r="O521" s="87">
        <v>240</v>
      </c>
      <c r="P521" s="87">
        <v>160</v>
      </c>
      <c r="Q521" s="87">
        <f t="shared" si="75"/>
        <v>195</v>
      </c>
      <c r="R521" s="87">
        <f t="shared" si="76"/>
        <v>100</v>
      </c>
      <c r="S521" s="84">
        <f t="shared" si="77"/>
        <v>695</v>
      </c>
      <c r="T521" s="84">
        <f>50</f>
        <v>50</v>
      </c>
      <c r="U521" s="85"/>
      <c r="V521" s="85"/>
      <c r="W521" s="85"/>
      <c r="X521" s="85"/>
      <c r="Y521" s="85"/>
      <c r="Z521" s="85"/>
      <c r="AA521" s="85"/>
      <c r="AB521" s="85"/>
      <c r="AC521" s="85"/>
      <c r="AD521" s="85"/>
    </row>
    <row r="522" spans="1:30" ht="15.75" x14ac:dyDescent="0.25">
      <c r="A522" s="13">
        <v>56826</v>
      </c>
      <c r="B522" s="96">
        <v>31</v>
      </c>
      <c r="C522" s="84">
        <f>194.205</f>
        <v>194.20500000000001</v>
      </c>
      <c r="D522" s="84">
        <f>267.466</f>
        <v>267.46600000000001</v>
      </c>
      <c r="E522" s="93">
        <f>133.845</f>
        <v>133.845</v>
      </c>
      <c r="F522" s="84">
        <f>278.484-40-25-60-100</f>
        <v>53.48399999999998</v>
      </c>
      <c r="G522" s="87">
        <v>40</v>
      </c>
      <c r="H522" s="84">
        <f t="shared" si="82"/>
        <v>185</v>
      </c>
      <c r="I522" s="84">
        <f t="shared" si="80"/>
        <v>0</v>
      </c>
      <c r="J522" s="87">
        <v>100</v>
      </c>
      <c r="K522" s="87">
        <v>300</v>
      </c>
      <c r="L522" s="84">
        <f t="shared" si="74"/>
        <v>1274</v>
      </c>
      <c r="M522" s="95">
        <v>600</v>
      </c>
      <c r="N522" s="84">
        <f>30</f>
        <v>30</v>
      </c>
      <c r="O522" s="87">
        <v>240</v>
      </c>
      <c r="P522" s="87">
        <v>160</v>
      </c>
      <c r="Q522" s="87">
        <f t="shared" si="75"/>
        <v>195</v>
      </c>
      <c r="R522" s="87">
        <f t="shared" si="76"/>
        <v>100</v>
      </c>
      <c r="S522" s="84">
        <f t="shared" si="77"/>
        <v>695</v>
      </c>
      <c r="T522" s="84">
        <f>0</f>
        <v>0</v>
      </c>
      <c r="U522" s="85"/>
      <c r="V522" s="85"/>
      <c r="W522" s="85"/>
      <c r="X522" s="85"/>
      <c r="Y522" s="85"/>
      <c r="Z522" s="85"/>
      <c r="AA522" s="85"/>
      <c r="AB522" s="85"/>
      <c r="AC522" s="85"/>
      <c r="AD522" s="85"/>
    </row>
    <row r="523" spans="1:30" ht="15.75" x14ac:dyDescent="0.25">
      <c r="A523" s="13">
        <v>56857</v>
      </c>
      <c r="B523" s="96">
        <v>31</v>
      </c>
      <c r="C523" s="84">
        <f>194.205</f>
        <v>194.20500000000001</v>
      </c>
      <c r="D523" s="84">
        <f>267.466</f>
        <v>267.46600000000001</v>
      </c>
      <c r="E523" s="93">
        <f>133.845</f>
        <v>133.845</v>
      </c>
      <c r="F523" s="84">
        <f>278.484-40-25-60-100</f>
        <v>53.48399999999998</v>
      </c>
      <c r="G523" s="87">
        <v>40</v>
      </c>
      <c r="H523" s="84">
        <f t="shared" si="82"/>
        <v>185</v>
      </c>
      <c r="I523" s="84">
        <f t="shared" si="80"/>
        <v>0</v>
      </c>
      <c r="J523" s="87">
        <v>100</v>
      </c>
      <c r="K523" s="87">
        <v>300</v>
      </c>
      <c r="L523" s="84">
        <f t="shared" si="74"/>
        <v>1274</v>
      </c>
      <c r="M523" s="95">
        <v>600</v>
      </c>
      <c r="N523" s="84">
        <f>30</f>
        <v>30</v>
      </c>
      <c r="O523" s="87">
        <v>240</v>
      </c>
      <c r="P523" s="87">
        <v>160</v>
      </c>
      <c r="Q523" s="87">
        <f t="shared" si="75"/>
        <v>195</v>
      </c>
      <c r="R523" s="87">
        <f t="shared" si="76"/>
        <v>100</v>
      </c>
      <c r="S523" s="84">
        <f t="shared" si="77"/>
        <v>695</v>
      </c>
      <c r="T523" s="84">
        <f>0</f>
        <v>0</v>
      </c>
      <c r="U523" s="85"/>
      <c r="V523" s="85"/>
      <c r="W523" s="85"/>
      <c r="X523" s="85"/>
      <c r="Y523" s="85"/>
      <c r="Z523" s="85"/>
      <c r="AA523" s="85"/>
      <c r="AB523" s="85"/>
      <c r="AC523" s="85"/>
      <c r="AD523" s="85"/>
    </row>
    <row r="524" spans="1:30" ht="15.75" x14ac:dyDescent="0.25">
      <c r="A524" s="13">
        <v>56887</v>
      </c>
      <c r="B524" s="96">
        <v>30</v>
      </c>
      <c r="C524" s="84">
        <f>194.205</f>
        <v>194.20500000000001</v>
      </c>
      <c r="D524" s="84">
        <f>267.466</f>
        <v>267.46600000000001</v>
      </c>
      <c r="E524" s="93">
        <f>133.845</f>
        <v>133.845</v>
      </c>
      <c r="F524" s="84">
        <f>278.484-40-25-60-100</f>
        <v>53.48399999999998</v>
      </c>
      <c r="G524" s="87">
        <v>40</v>
      </c>
      <c r="H524" s="84">
        <f t="shared" si="82"/>
        <v>185</v>
      </c>
      <c r="I524" s="84">
        <f t="shared" si="80"/>
        <v>0</v>
      </c>
      <c r="J524" s="87">
        <v>100</v>
      </c>
      <c r="K524" s="87">
        <v>300</v>
      </c>
      <c r="L524" s="84">
        <f t="shared" si="74"/>
        <v>1274</v>
      </c>
      <c r="M524" s="95">
        <v>600</v>
      </c>
      <c r="N524" s="84">
        <f>30</f>
        <v>30</v>
      </c>
      <c r="O524" s="87">
        <v>240</v>
      </c>
      <c r="P524" s="87">
        <v>160</v>
      </c>
      <c r="Q524" s="87">
        <f t="shared" si="75"/>
        <v>195</v>
      </c>
      <c r="R524" s="87">
        <f t="shared" si="76"/>
        <v>100</v>
      </c>
      <c r="S524" s="84">
        <f t="shared" si="77"/>
        <v>695</v>
      </c>
      <c r="T524" s="84">
        <f>0</f>
        <v>0</v>
      </c>
      <c r="U524" s="85"/>
      <c r="V524" s="85"/>
      <c r="W524" s="85"/>
      <c r="X524" s="85"/>
      <c r="Y524" s="85"/>
      <c r="Z524" s="85"/>
      <c r="AA524" s="85"/>
      <c r="AB524" s="85"/>
      <c r="AC524" s="85"/>
      <c r="AD524" s="85"/>
    </row>
    <row r="525" spans="1:30" ht="15.75" x14ac:dyDescent="0.25">
      <c r="A525" s="13">
        <v>56918</v>
      </c>
      <c r="B525" s="96">
        <v>31</v>
      </c>
      <c r="C525" s="84">
        <f>131.881</f>
        <v>131.881</v>
      </c>
      <c r="D525" s="84">
        <f>277.167</f>
        <v>277.16699999999997</v>
      </c>
      <c r="E525" s="93">
        <f>79.08</f>
        <v>79.08</v>
      </c>
      <c r="F525" s="84">
        <f>350.872-40-25-60-100</f>
        <v>125.87200000000001</v>
      </c>
      <c r="G525" s="87">
        <v>40</v>
      </c>
      <c r="H525" s="84">
        <f t="shared" si="82"/>
        <v>185</v>
      </c>
      <c r="I525" s="84">
        <f t="shared" si="80"/>
        <v>0</v>
      </c>
      <c r="J525" s="87">
        <v>100</v>
      </c>
      <c r="K525" s="87">
        <v>300</v>
      </c>
      <c r="L525" s="84">
        <f t="shared" si="74"/>
        <v>1239</v>
      </c>
      <c r="M525" s="95">
        <v>600</v>
      </c>
      <c r="N525" s="84">
        <f>75</f>
        <v>75</v>
      </c>
      <c r="O525" s="87">
        <v>240</v>
      </c>
      <c r="P525" s="87">
        <v>160</v>
      </c>
      <c r="Q525" s="87">
        <f t="shared" si="75"/>
        <v>195</v>
      </c>
      <c r="R525" s="87">
        <f t="shared" si="76"/>
        <v>100</v>
      </c>
      <c r="S525" s="84">
        <f t="shared" si="77"/>
        <v>695</v>
      </c>
      <c r="T525" s="84">
        <f>0</f>
        <v>0</v>
      </c>
      <c r="U525" s="85"/>
      <c r="V525" s="85"/>
      <c r="W525" s="85"/>
      <c r="X525" s="85"/>
      <c r="Y525" s="85"/>
      <c r="Z525" s="85"/>
      <c r="AA525" s="85"/>
      <c r="AB525" s="85"/>
      <c r="AC525" s="85"/>
      <c r="AD525" s="85"/>
    </row>
    <row r="526" spans="1:30" ht="15.75" x14ac:dyDescent="0.25">
      <c r="A526" s="13">
        <v>56948</v>
      </c>
      <c r="B526" s="96">
        <v>30</v>
      </c>
      <c r="C526" s="84">
        <f>122.58</f>
        <v>122.58</v>
      </c>
      <c r="D526" s="84">
        <f>297.941</f>
        <v>297.94099999999997</v>
      </c>
      <c r="E526" s="93">
        <f>89.177</f>
        <v>89.177000000000007</v>
      </c>
      <c r="F526" s="84">
        <f>240.302-40-60-100</f>
        <v>40.301999999999992</v>
      </c>
      <c r="G526" s="87">
        <v>40</v>
      </c>
      <c r="H526" s="84">
        <f>60+100</f>
        <v>160</v>
      </c>
      <c r="I526" s="84">
        <f t="shared" si="80"/>
        <v>0</v>
      </c>
      <c r="J526" s="87">
        <v>100</v>
      </c>
      <c r="K526" s="87">
        <v>300</v>
      </c>
      <c r="L526" s="84">
        <f t="shared" si="74"/>
        <v>1150</v>
      </c>
      <c r="M526" s="95">
        <v>600</v>
      </c>
      <c r="N526" s="84">
        <f>100</f>
        <v>100</v>
      </c>
      <c r="O526" s="87">
        <v>240</v>
      </c>
      <c r="P526" s="87">
        <v>40</v>
      </c>
      <c r="Q526" s="87">
        <f t="shared" si="75"/>
        <v>315</v>
      </c>
      <c r="R526" s="87">
        <f t="shared" si="76"/>
        <v>100</v>
      </c>
      <c r="S526" s="84">
        <f t="shared" si="77"/>
        <v>695</v>
      </c>
      <c r="T526" s="84">
        <f>50</f>
        <v>50</v>
      </c>
      <c r="U526" s="85"/>
      <c r="V526" s="85"/>
      <c r="W526" s="85"/>
      <c r="X526" s="85"/>
      <c r="Y526" s="85"/>
      <c r="Z526" s="85"/>
      <c r="AA526" s="85"/>
      <c r="AB526" s="85"/>
      <c r="AC526" s="85"/>
      <c r="AD526" s="85"/>
    </row>
    <row r="527" spans="1:30" ht="15.75" x14ac:dyDescent="0.25">
      <c r="A527" s="13">
        <v>56979</v>
      </c>
      <c r="B527" s="96">
        <v>31</v>
      </c>
      <c r="C527" s="84">
        <f>122.58</f>
        <v>122.58</v>
      </c>
      <c r="D527" s="84">
        <f>297.941</f>
        <v>297.94099999999997</v>
      </c>
      <c r="E527" s="93">
        <f>89.177</f>
        <v>89.177000000000007</v>
      </c>
      <c r="F527" s="84">
        <f>240.302-40-60-100</f>
        <v>40.301999999999992</v>
      </c>
      <c r="G527" s="87">
        <v>40</v>
      </c>
      <c r="H527" s="84">
        <f>60+100</f>
        <v>160</v>
      </c>
      <c r="I527" s="84">
        <f t="shared" si="80"/>
        <v>0</v>
      </c>
      <c r="J527" s="87">
        <v>100</v>
      </c>
      <c r="K527" s="87">
        <v>300</v>
      </c>
      <c r="L527" s="84">
        <f t="shared" si="74"/>
        <v>1150</v>
      </c>
      <c r="M527" s="95">
        <v>600</v>
      </c>
      <c r="N527" s="84">
        <f>100</f>
        <v>100</v>
      </c>
      <c r="O527" s="87">
        <v>240</v>
      </c>
      <c r="P527" s="87">
        <v>40</v>
      </c>
      <c r="Q527" s="87">
        <f t="shared" si="75"/>
        <v>315</v>
      </c>
      <c r="R527" s="87">
        <f t="shared" si="76"/>
        <v>100</v>
      </c>
      <c r="S527" s="84">
        <f t="shared" si="77"/>
        <v>695</v>
      </c>
      <c r="T527" s="84">
        <f>50</f>
        <v>50</v>
      </c>
      <c r="U527" s="85"/>
      <c r="V527" s="85"/>
      <c r="W527" s="85"/>
      <c r="X527" s="85"/>
      <c r="Y527" s="85"/>
      <c r="Z527" s="85"/>
      <c r="AA527" s="85"/>
      <c r="AB527" s="85"/>
      <c r="AC527" s="85"/>
      <c r="AD527" s="85"/>
    </row>
    <row r="528" spans="1:30" ht="15.75" x14ac:dyDescent="0.25">
      <c r="A528" s="13">
        <v>57010</v>
      </c>
      <c r="B528" s="96">
        <v>31</v>
      </c>
      <c r="C528" s="84">
        <f>122.58</f>
        <v>122.58</v>
      </c>
      <c r="D528" s="84">
        <f>297.941</f>
        <v>297.94099999999997</v>
      </c>
      <c r="E528" s="93">
        <f>89.177</f>
        <v>89.177000000000007</v>
      </c>
      <c r="F528" s="84">
        <f>240.302-40-60-100</f>
        <v>40.301999999999992</v>
      </c>
      <c r="G528" s="87">
        <v>40</v>
      </c>
      <c r="H528" s="84">
        <f>60+100</f>
        <v>160</v>
      </c>
      <c r="I528" s="84">
        <f t="shared" si="80"/>
        <v>0</v>
      </c>
      <c r="J528" s="87">
        <v>100</v>
      </c>
      <c r="K528" s="87">
        <v>300</v>
      </c>
      <c r="L528" s="84">
        <f t="shared" si="74"/>
        <v>1150</v>
      </c>
      <c r="M528" s="95">
        <v>600</v>
      </c>
      <c r="N528" s="84">
        <f>100</f>
        <v>100</v>
      </c>
      <c r="O528" s="87">
        <v>240</v>
      </c>
      <c r="P528" s="87">
        <v>40</v>
      </c>
      <c r="Q528" s="87">
        <f t="shared" si="75"/>
        <v>315</v>
      </c>
      <c r="R528" s="87">
        <f t="shared" si="76"/>
        <v>100</v>
      </c>
      <c r="S528" s="84">
        <f t="shared" si="77"/>
        <v>695</v>
      </c>
      <c r="T528" s="84">
        <f>50</f>
        <v>50</v>
      </c>
      <c r="U528" s="85"/>
      <c r="V528" s="85"/>
      <c r="W528" s="85"/>
      <c r="X528" s="85"/>
      <c r="Y528" s="85"/>
      <c r="Z528" s="85"/>
      <c r="AA528" s="85"/>
      <c r="AB528" s="85"/>
      <c r="AC528" s="85"/>
      <c r="AD528" s="85"/>
    </row>
    <row r="529" spans="1:30" ht="15.75" x14ac:dyDescent="0.25">
      <c r="A529" s="13">
        <v>57038</v>
      </c>
      <c r="B529" s="96">
        <v>29</v>
      </c>
      <c r="C529" s="84">
        <f>122.58</f>
        <v>122.58</v>
      </c>
      <c r="D529" s="84">
        <f>297.941</f>
        <v>297.94099999999997</v>
      </c>
      <c r="E529" s="93">
        <f>89.177</f>
        <v>89.177000000000007</v>
      </c>
      <c r="F529" s="84">
        <f>240.302-40-60-100</f>
        <v>40.301999999999992</v>
      </c>
      <c r="G529" s="87">
        <v>40</v>
      </c>
      <c r="H529" s="84">
        <f>60+100</f>
        <v>160</v>
      </c>
      <c r="I529" s="84">
        <f t="shared" si="80"/>
        <v>0</v>
      </c>
      <c r="J529" s="87">
        <v>100</v>
      </c>
      <c r="K529" s="87">
        <v>300</v>
      </c>
      <c r="L529" s="84">
        <f t="shared" si="74"/>
        <v>1150</v>
      </c>
      <c r="M529" s="95">
        <v>600</v>
      </c>
      <c r="N529" s="84">
        <f>100</f>
        <v>100</v>
      </c>
      <c r="O529" s="87">
        <v>240</v>
      </c>
      <c r="P529" s="87">
        <v>40</v>
      </c>
      <c r="Q529" s="87">
        <f t="shared" si="75"/>
        <v>315</v>
      </c>
      <c r="R529" s="87">
        <f t="shared" si="76"/>
        <v>100</v>
      </c>
      <c r="S529" s="84">
        <f t="shared" si="77"/>
        <v>695</v>
      </c>
      <c r="T529" s="84">
        <f>50</f>
        <v>50</v>
      </c>
      <c r="U529" s="85"/>
      <c r="V529" s="85"/>
      <c r="W529" s="85"/>
      <c r="X529" s="85"/>
      <c r="Y529" s="85"/>
      <c r="Z529" s="85"/>
      <c r="AA529" s="85"/>
      <c r="AB529" s="85"/>
      <c r="AC529" s="85"/>
      <c r="AD529" s="85"/>
    </row>
    <row r="530" spans="1:30" ht="15.75" x14ac:dyDescent="0.25">
      <c r="A530" s="13">
        <v>57070</v>
      </c>
      <c r="B530" s="96">
        <v>31</v>
      </c>
      <c r="C530" s="84">
        <f>122.58</f>
        <v>122.58</v>
      </c>
      <c r="D530" s="84">
        <f>297.941</f>
        <v>297.94099999999997</v>
      </c>
      <c r="E530" s="93">
        <f>89.177</f>
        <v>89.177000000000007</v>
      </c>
      <c r="F530" s="84">
        <f>240.302-40-60-100</f>
        <v>40.301999999999992</v>
      </c>
      <c r="G530" s="87">
        <v>40</v>
      </c>
      <c r="H530" s="84">
        <f>60+100</f>
        <v>160</v>
      </c>
      <c r="I530" s="84">
        <f t="shared" si="80"/>
        <v>0</v>
      </c>
      <c r="J530" s="87">
        <v>100</v>
      </c>
      <c r="K530" s="87">
        <v>300</v>
      </c>
      <c r="L530" s="84">
        <f t="shared" si="74"/>
        <v>1150</v>
      </c>
      <c r="M530" s="95">
        <v>600</v>
      </c>
      <c r="N530" s="84">
        <f>100</f>
        <v>100</v>
      </c>
      <c r="O530" s="87">
        <v>240</v>
      </c>
      <c r="P530" s="87">
        <v>40</v>
      </c>
      <c r="Q530" s="87">
        <f t="shared" si="75"/>
        <v>315</v>
      </c>
      <c r="R530" s="87">
        <f t="shared" si="76"/>
        <v>100</v>
      </c>
      <c r="S530" s="84">
        <f t="shared" si="77"/>
        <v>695</v>
      </c>
      <c r="T530" s="84">
        <f>50</f>
        <v>50</v>
      </c>
      <c r="U530" s="85"/>
      <c r="V530" s="85"/>
      <c r="W530" s="85"/>
      <c r="X530" s="85"/>
      <c r="Y530" s="85"/>
      <c r="Z530" s="85"/>
      <c r="AA530" s="85"/>
      <c r="AB530" s="85"/>
      <c r="AC530" s="85"/>
      <c r="AD530" s="85"/>
    </row>
    <row r="531" spans="1:30" ht="15.75" x14ac:dyDescent="0.25">
      <c r="A531" s="13">
        <v>57100</v>
      </c>
      <c r="B531" s="96">
        <v>30</v>
      </c>
      <c r="C531" s="84">
        <f>141.293</f>
        <v>141.29300000000001</v>
      </c>
      <c r="D531" s="84">
        <f>267.993</f>
        <v>267.99299999999999</v>
      </c>
      <c r="E531" s="93">
        <f>115.016</f>
        <v>115.01600000000001</v>
      </c>
      <c r="F531" s="84">
        <f>314.698-40-25-60-100</f>
        <v>89.697999999999979</v>
      </c>
      <c r="G531" s="87">
        <v>40</v>
      </c>
      <c r="H531" s="84">
        <f t="shared" ref="H531:H537" si="83">25+60+100</f>
        <v>185</v>
      </c>
      <c r="I531" s="84">
        <f t="shared" si="80"/>
        <v>0</v>
      </c>
      <c r="J531" s="87">
        <v>100</v>
      </c>
      <c r="K531" s="87">
        <v>300</v>
      </c>
      <c r="L531" s="84">
        <f t="shared" si="74"/>
        <v>1239</v>
      </c>
      <c r="M531" s="95">
        <v>600</v>
      </c>
      <c r="N531" s="84">
        <f>100</f>
        <v>100</v>
      </c>
      <c r="O531" s="87">
        <v>240</v>
      </c>
      <c r="P531" s="87">
        <v>160</v>
      </c>
      <c r="Q531" s="87">
        <f t="shared" si="75"/>
        <v>195</v>
      </c>
      <c r="R531" s="87">
        <f t="shared" si="76"/>
        <v>100</v>
      </c>
      <c r="S531" s="84">
        <f t="shared" si="77"/>
        <v>695</v>
      </c>
      <c r="T531" s="84">
        <f>50</f>
        <v>50</v>
      </c>
      <c r="U531" s="85"/>
      <c r="V531" s="85"/>
      <c r="W531" s="85"/>
      <c r="X531" s="85"/>
      <c r="Y531" s="85"/>
      <c r="Z531" s="85"/>
      <c r="AA531" s="85"/>
      <c r="AB531" s="85"/>
      <c r="AC531" s="85"/>
      <c r="AD531" s="85"/>
    </row>
    <row r="532" spans="1:30" ht="15.75" x14ac:dyDescent="0.25">
      <c r="A532" s="13">
        <v>57131</v>
      </c>
      <c r="B532" s="96">
        <v>31</v>
      </c>
      <c r="C532" s="84">
        <f>194.205</f>
        <v>194.20500000000001</v>
      </c>
      <c r="D532" s="84">
        <f>267.466</f>
        <v>267.46600000000001</v>
      </c>
      <c r="E532" s="93">
        <f>133.845</f>
        <v>133.845</v>
      </c>
      <c r="F532" s="84">
        <f>278.484-40-25-60-100</f>
        <v>53.48399999999998</v>
      </c>
      <c r="G532" s="87">
        <v>40</v>
      </c>
      <c r="H532" s="84">
        <f t="shared" si="83"/>
        <v>185</v>
      </c>
      <c r="I532" s="84">
        <f t="shared" si="80"/>
        <v>0</v>
      </c>
      <c r="J532" s="87">
        <v>100</v>
      </c>
      <c r="K532" s="87">
        <v>300</v>
      </c>
      <c r="L532" s="84">
        <f t="shared" si="74"/>
        <v>1274</v>
      </c>
      <c r="M532" s="95">
        <v>600</v>
      </c>
      <c r="N532" s="84">
        <f>75</f>
        <v>75</v>
      </c>
      <c r="O532" s="87">
        <v>240</v>
      </c>
      <c r="P532" s="87">
        <v>160</v>
      </c>
      <c r="Q532" s="87">
        <f t="shared" si="75"/>
        <v>195</v>
      </c>
      <c r="R532" s="87">
        <f t="shared" si="76"/>
        <v>100</v>
      </c>
      <c r="S532" s="84">
        <f t="shared" si="77"/>
        <v>695</v>
      </c>
      <c r="T532" s="84">
        <f>50</f>
        <v>50</v>
      </c>
      <c r="U532" s="85"/>
      <c r="V532" s="85"/>
      <c r="W532" s="85"/>
      <c r="X532" s="85"/>
      <c r="Y532" s="85"/>
      <c r="Z532" s="85"/>
      <c r="AA532" s="85"/>
      <c r="AB532" s="85"/>
      <c r="AC532" s="85"/>
      <c r="AD532" s="85"/>
    </row>
    <row r="533" spans="1:30" ht="15.75" x14ac:dyDescent="0.25">
      <c r="A533" s="13">
        <v>57161</v>
      </c>
      <c r="B533" s="96">
        <v>30</v>
      </c>
      <c r="C533" s="84">
        <f>194.205</f>
        <v>194.20500000000001</v>
      </c>
      <c r="D533" s="84">
        <f>267.466</f>
        <v>267.46600000000001</v>
      </c>
      <c r="E533" s="93">
        <f>133.845</f>
        <v>133.845</v>
      </c>
      <c r="F533" s="84">
        <f>278.484-40-25-60-100</f>
        <v>53.48399999999998</v>
      </c>
      <c r="G533" s="87">
        <v>40</v>
      </c>
      <c r="H533" s="84">
        <f t="shared" si="83"/>
        <v>185</v>
      </c>
      <c r="I533" s="84">
        <f t="shared" si="80"/>
        <v>0</v>
      </c>
      <c r="J533" s="87">
        <v>100</v>
      </c>
      <c r="K533" s="87">
        <v>300</v>
      </c>
      <c r="L533" s="84">
        <f t="shared" si="74"/>
        <v>1274</v>
      </c>
      <c r="M533" s="95">
        <v>600</v>
      </c>
      <c r="N533" s="84">
        <f>30</f>
        <v>30</v>
      </c>
      <c r="O533" s="87">
        <v>240</v>
      </c>
      <c r="P533" s="87">
        <v>160</v>
      </c>
      <c r="Q533" s="87">
        <f t="shared" si="75"/>
        <v>195</v>
      </c>
      <c r="R533" s="87">
        <f t="shared" si="76"/>
        <v>100</v>
      </c>
      <c r="S533" s="84">
        <f t="shared" si="77"/>
        <v>695</v>
      </c>
      <c r="T533" s="84">
        <f>50</f>
        <v>50</v>
      </c>
      <c r="U533" s="85"/>
      <c r="V533" s="85"/>
      <c r="W533" s="85"/>
      <c r="X533" s="85"/>
      <c r="Y533" s="85"/>
      <c r="Z533" s="85"/>
      <c r="AA533" s="85"/>
      <c r="AB533" s="85"/>
      <c r="AC533" s="85"/>
      <c r="AD533" s="85"/>
    </row>
    <row r="534" spans="1:30" ht="15.75" x14ac:dyDescent="0.25">
      <c r="A534" s="13">
        <v>57192</v>
      </c>
      <c r="B534" s="96">
        <v>31</v>
      </c>
      <c r="C534" s="84">
        <f>194.205</f>
        <v>194.20500000000001</v>
      </c>
      <c r="D534" s="84">
        <f>267.466</f>
        <v>267.46600000000001</v>
      </c>
      <c r="E534" s="93">
        <f>133.845</f>
        <v>133.845</v>
      </c>
      <c r="F534" s="84">
        <f>278.484-40-25-60-100</f>
        <v>53.48399999999998</v>
      </c>
      <c r="G534" s="87">
        <v>40</v>
      </c>
      <c r="H534" s="84">
        <f t="shared" si="83"/>
        <v>185</v>
      </c>
      <c r="I534" s="84">
        <f t="shared" si="80"/>
        <v>0</v>
      </c>
      <c r="J534" s="87">
        <v>100</v>
      </c>
      <c r="K534" s="87">
        <v>300</v>
      </c>
      <c r="L534" s="84">
        <f t="shared" si="74"/>
        <v>1274</v>
      </c>
      <c r="M534" s="95">
        <v>600</v>
      </c>
      <c r="N534" s="84">
        <f>30</f>
        <v>30</v>
      </c>
      <c r="O534" s="87">
        <v>240</v>
      </c>
      <c r="P534" s="87">
        <v>160</v>
      </c>
      <c r="Q534" s="87">
        <f t="shared" si="75"/>
        <v>195</v>
      </c>
      <c r="R534" s="87">
        <f t="shared" si="76"/>
        <v>100</v>
      </c>
      <c r="S534" s="84">
        <f t="shared" si="77"/>
        <v>695</v>
      </c>
      <c r="T534" s="84">
        <f>0</f>
        <v>0</v>
      </c>
      <c r="U534" s="85"/>
      <c r="V534" s="85"/>
      <c r="W534" s="85"/>
      <c r="X534" s="85"/>
      <c r="Y534" s="85"/>
      <c r="Z534" s="85"/>
      <c r="AA534" s="85"/>
      <c r="AB534" s="85"/>
      <c r="AC534" s="85"/>
      <c r="AD534" s="85"/>
    </row>
    <row r="535" spans="1:30" ht="15.75" x14ac:dyDescent="0.25">
      <c r="A535" s="13">
        <v>57223</v>
      </c>
      <c r="B535" s="96">
        <v>31</v>
      </c>
      <c r="C535" s="84">
        <f>194.205</f>
        <v>194.20500000000001</v>
      </c>
      <c r="D535" s="84">
        <f>267.466</f>
        <v>267.46600000000001</v>
      </c>
      <c r="E535" s="93">
        <f>133.845</f>
        <v>133.845</v>
      </c>
      <c r="F535" s="84">
        <f>278.484-40-25-60-100</f>
        <v>53.48399999999998</v>
      </c>
      <c r="G535" s="87">
        <v>40</v>
      </c>
      <c r="H535" s="84">
        <f t="shared" si="83"/>
        <v>185</v>
      </c>
      <c r="I535" s="84">
        <f t="shared" si="80"/>
        <v>0</v>
      </c>
      <c r="J535" s="87">
        <v>100</v>
      </c>
      <c r="K535" s="87">
        <v>300</v>
      </c>
      <c r="L535" s="84">
        <f t="shared" si="74"/>
        <v>1274</v>
      </c>
      <c r="M535" s="95">
        <v>600</v>
      </c>
      <c r="N535" s="84">
        <f>30</f>
        <v>30</v>
      </c>
      <c r="O535" s="87">
        <v>240</v>
      </c>
      <c r="P535" s="87">
        <v>160</v>
      </c>
      <c r="Q535" s="87">
        <f t="shared" si="75"/>
        <v>195</v>
      </c>
      <c r="R535" s="87">
        <f t="shared" si="76"/>
        <v>100</v>
      </c>
      <c r="S535" s="84">
        <f t="shared" si="77"/>
        <v>695</v>
      </c>
      <c r="T535" s="84">
        <f>0</f>
        <v>0</v>
      </c>
      <c r="U535" s="85"/>
      <c r="V535" s="85"/>
      <c r="W535" s="85"/>
      <c r="X535" s="85"/>
      <c r="Y535" s="85"/>
      <c r="Z535" s="85"/>
      <c r="AA535" s="85"/>
      <c r="AB535" s="85"/>
      <c r="AC535" s="85"/>
      <c r="AD535" s="85"/>
    </row>
    <row r="536" spans="1:30" ht="15.75" x14ac:dyDescent="0.25">
      <c r="A536" s="13">
        <v>57253</v>
      </c>
      <c r="B536" s="96">
        <v>30</v>
      </c>
      <c r="C536" s="84">
        <f>194.205</f>
        <v>194.20500000000001</v>
      </c>
      <c r="D536" s="84">
        <f>267.466</f>
        <v>267.46600000000001</v>
      </c>
      <c r="E536" s="93">
        <f>133.845</f>
        <v>133.845</v>
      </c>
      <c r="F536" s="84">
        <f>278.484-40-25-60-100</f>
        <v>53.48399999999998</v>
      </c>
      <c r="G536" s="87">
        <v>40</v>
      </c>
      <c r="H536" s="84">
        <f t="shared" si="83"/>
        <v>185</v>
      </c>
      <c r="I536" s="84">
        <f t="shared" si="80"/>
        <v>0</v>
      </c>
      <c r="J536" s="87">
        <v>100</v>
      </c>
      <c r="K536" s="87">
        <v>300</v>
      </c>
      <c r="L536" s="84">
        <f t="shared" ref="L536:L599" si="84">SUM(C536:K536)</f>
        <v>1274</v>
      </c>
      <c r="M536" s="95">
        <v>600</v>
      </c>
      <c r="N536" s="84">
        <f>30</f>
        <v>30</v>
      </c>
      <c r="O536" s="87">
        <v>240</v>
      </c>
      <c r="P536" s="87">
        <v>160</v>
      </c>
      <c r="Q536" s="87">
        <f t="shared" ref="Q536:Q599" si="85">695-R536-O536-P536</f>
        <v>195</v>
      </c>
      <c r="R536" s="87">
        <f t="shared" ref="R536:R599" si="86">200-J536</f>
        <v>100</v>
      </c>
      <c r="S536" s="84">
        <f t="shared" ref="S536:S599" si="87">SUM(O536:R536)</f>
        <v>695</v>
      </c>
      <c r="T536" s="84">
        <f>0</f>
        <v>0</v>
      </c>
      <c r="U536" s="85"/>
      <c r="V536" s="85"/>
      <c r="W536" s="85"/>
      <c r="X536" s="85"/>
      <c r="Y536" s="85"/>
      <c r="Z536" s="85"/>
      <c r="AA536" s="85"/>
      <c r="AB536" s="85"/>
      <c r="AC536" s="85"/>
      <c r="AD536" s="85"/>
    </row>
    <row r="537" spans="1:30" ht="15.75" x14ac:dyDescent="0.25">
      <c r="A537" s="13">
        <v>57284</v>
      </c>
      <c r="B537" s="96">
        <v>31</v>
      </c>
      <c r="C537" s="84">
        <f>131.881</f>
        <v>131.881</v>
      </c>
      <c r="D537" s="84">
        <f>277.167</f>
        <v>277.16699999999997</v>
      </c>
      <c r="E537" s="93">
        <f>79.08</f>
        <v>79.08</v>
      </c>
      <c r="F537" s="84">
        <f>350.872-40-25-60-100</f>
        <v>125.87200000000001</v>
      </c>
      <c r="G537" s="87">
        <v>40</v>
      </c>
      <c r="H537" s="84">
        <f t="shared" si="83"/>
        <v>185</v>
      </c>
      <c r="I537" s="84">
        <f t="shared" si="80"/>
        <v>0</v>
      </c>
      <c r="J537" s="87">
        <v>100</v>
      </c>
      <c r="K537" s="87">
        <v>300</v>
      </c>
      <c r="L537" s="84">
        <f t="shared" si="84"/>
        <v>1239</v>
      </c>
      <c r="M537" s="95">
        <v>600</v>
      </c>
      <c r="N537" s="84">
        <f>75</f>
        <v>75</v>
      </c>
      <c r="O537" s="87">
        <v>240</v>
      </c>
      <c r="P537" s="87">
        <v>160</v>
      </c>
      <c r="Q537" s="87">
        <f t="shared" si="85"/>
        <v>195</v>
      </c>
      <c r="R537" s="87">
        <f t="shared" si="86"/>
        <v>100</v>
      </c>
      <c r="S537" s="84">
        <f t="shared" si="87"/>
        <v>695</v>
      </c>
      <c r="T537" s="84">
        <f>0</f>
        <v>0</v>
      </c>
      <c r="U537" s="85"/>
      <c r="V537" s="85"/>
      <c r="W537" s="85"/>
      <c r="X537" s="85"/>
      <c r="Y537" s="85"/>
      <c r="Z537" s="85"/>
      <c r="AA537" s="85"/>
      <c r="AB537" s="85"/>
      <c r="AC537" s="85"/>
      <c r="AD537" s="85"/>
    </row>
    <row r="538" spans="1:30" ht="15.75" x14ac:dyDescent="0.25">
      <c r="A538" s="13">
        <v>57314</v>
      </c>
      <c r="B538" s="96">
        <v>30</v>
      </c>
      <c r="C538" s="84">
        <f>122.58</f>
        <v>122.58</v>
      </c>
      <c r="D538" s="84">
        <f>297.941</f>
        <v>297.94099999999997</v>
      </c>
      <c r="E538" s="93">
        <f>89.177</f>
        <v>89.177000000000007</v>
      </c>
      <c r="F538" s="84">
        <f>240.302-40-60-100</f>
        <v>40.301999999999992</v>
      </c>
      <c r="G538" s="87">
        <v>40</v>
      </c>
      <c r="H538" s="84">
        <f>60+100</f>
        <v>160</v>
      </c>
      <c r="I538" s="84">
        <f t="shared" si="80"/>
        <v>0</v>
      </c>
      <c r="J538" s="87">
        <v>100</v>
      </c>
      <c r="K538" s="87">
        <v>300</v>
      </c>
      <c r="L538" s="84">
        <f t="shared" si="84"/>
        <v>1150</v>
      </c>
      <c r="M538" s="95">
        <v>600</v>
      </c>
      <c r="N538" s="84">
        <f>100</f>
        <v>100</v>
      </c>
      <c r="O538" s="87">
        <v>240</v>
      </c>
      <c r="P538" s="87">
        <v>40</v>
      </c>
      <c r="Q538" s="87">
        <f t="shared" si="85"/>
        <v>315</v>
      </c>
      <c r="R538" s="87">
        <f t="shared" si="86"/>
        <v>100</v>
      </c>
      <c r="S538" s="84">
        <f t="shared" si="87"/>
        <v>695</v>
      </c>
      <c r="T538" s="84">
        <f>50</f>
        <v>50</v>
      </c>
      <c r="U538" s="85"/>
      <c r="V538" s="85"/>
      <c r="W538" s="85"/>
      <c r="X538" s="85"/>
      <c r="Y538" s="85"/>
      <c r="Z538" s="85"/>
      <c r="AA538" s="85"/>
      <c r="AB538" s="85"/>
      <c r="AC538" s="85"/>
      <c r="AD538" s="85"/>
    </row>
    <row r="539" spans="1:30" ht="15.75" x14ac:dyDescent="0.25">
      <c r="A539" s="13">
        <v>57345</v>
      </c>
      <c r="B539" s="96">
        <v>31</v>
      </c>
      <c r="C539" s="84">
        <f>122.58</f>
        <v>122.58</v>
      </c>
      <c r="D539" s="84">
        <f>297.941</f>
        <v>297.94099999999997</v>
      </c>
      <c r="E539" s="93">
        <f>89.177</f>
        <v>89.177000000000007</v>
      </c>
      <c r="F539" s="84">
        <f>240.302-40-60-100</f>
        <v>40.301999999999992</v>
      </c>
      <c r="G539" s="87">
        <v>40</v>
      </c>
      <c r="H539" s="84">
        <f>60+100</f>
        <v>160</v>
      </c>
      <c r="I539" s="84">
        <f t="shared" si="80"/>
        <v>0</v>
      </c>
      <c r="J539" s="87">
        <v>100</v>
      </c>
      <c r="K539" s="87">
        <v>300</v>
      </c>
      <c r="L539" s="84">
        <f t="shared" si="84"/>
        <v>1150</v>
      </c>
      <c r="M539" s="95">
        <v>600</v>
      </c>
      <c r="N539" s="84">
        <f>100</f>
        <v>100</v>
      </c>
      <c r="O539" s="87">
        <v>240</v>
      </c>
      <c r="P539" s="87">
        <v>40</v>
      </c>
      <c r="Q539" s="87">
        <f t="shared" si="85"/>
        <v>315</v>
      </c>
      <c r="R539" s="87">
        <f t="shared" si="86"/>
        <v>100</v>
      </c>
      <c r="S539" s="84">
        <f t="shared" si="87"/>
        <v>695</v>
      </c>
      <c r="T539" s="84">
        <f>50</f>
        <v>50</v>
      </c>
      <c r="U539" s="85"/>
      <c r="V539" s="85"/>
      <c r="W539" s="85"/>
      <c r="X539" s="85"/>
      <c r="Y539" s="85"/>
      <c r="Z539" s="85"/>
      <c r="AA539" s="85"/>
      <c r="AB539" s="85"/>
      <c r="AC539" s="85"/>
      <c r="AD539" s="85"/>
    </row>
    <row r="540" spans="1:30" ht="15.75" x14ac:dyDescent="0.25">
      <c r="A540" s="13">
        <v>57376</v>
      </c>
      <c r="B540" s="96">
        <v>31</v>
      </c>
      <c r="C540" s="84">
        <f>122.58</f>
        <v>122.58</v>
      </c>
      <c r="D540" s="84">
        <f>297.941</f>
        <v>297.94099999999997</v>
      </c>
      <c r="E540" s="93">
        <f>89.177</f>
        <v>89.177000000000007</v>
      </c>
      <c r="F540" s="84">
        <f>240.302-40-60-100</f>
        <v>40.301999999999992</v>
      </c>
      <c r="G540" s="87">
        <v>40</v>
      </c>
      <c r="H540" s="84">
        <f>60+100</f>
        <v>160</v>
      </c>
      <c r="I540" s="84">
        <f t="shared" si="80"/>
        <v>0</v>
      </c>
      <c r="J540" s="87">
        <v>100</v>
      </c>
      <c r="K540" s="87">
        <v>300</v>
      </c>
      <c r="L540" s="84">
        <f t="shared" si="84"/>
        <v>1150</v>
      </c>
      <c r="M540" s="95">
        <v>600</v>
      </c>
      <c r="N540" s="84">
        <f>100</f>
        <v>100</v>
      </c>
      <c r="O540" s="87">
        <v>240</v>
      </c>
      <c r="P540" s="87">
        <v>40</v>
      </c>
      <c r="Q540" s="87">
        <f t="shared" si="85"/>
        <v>315</v>
      </c>
      <c r="R540" s="87">
        <f t="shared" si="86"/>
        <v>100</v>
      </c>
      <c r="S540" s="84">
        <f t="shared" si="87"/>
        <v>695</v>
      </c>
      <c r="T540" s="84">
        <f>50</f>
        <v>50</v>
      </c>
      <c r="U540" s="85"/>
      <c r="V540" s="85"/>
      <c r="W540" s="85"/>
      <c r="X540" s="85"/>
      <c r="Y540" s="85"/>
      <c r="Z540" s="85"/>
      <c r="AA540" s="85"/>
      <c r="AB540" s="85"/>
      <c r="AC540" s="85"/>
      <c r="AD540" s="85"/>
    </row>
    <row r="541" spans="1:30" ht="15.75" x14ac:dyDescent="0.25">
      <c r="A541" s="13">
        <v>57404</v>
      </c>
      <c r="B541" s="96">
        <v>28</v>
      </c>
      <c r="C541" s="84">
        <f>122.58</f>
        <v>122.58</v>
      </c>
      <c r="D541" s="84">
        <f>297.941</f>
        <v>297.94099999999997</v>
      </c>
      <c r="E541" s="93">
        <f>89.177</f>
        <v>89.177000000000007</v>
      </c>
      <c r="F541" s="84">
        <f>240.302-40-60-100</f>
        <v>40.301999999999992</v>
      </c>
      <c r="G541" s="87">
        <v>40</v>
      </c>
      <c r="H541" s="84">
        <f>60+100</f>
        <v>160</v>
      </c>
      <c r="I541" s="84">
        <f t="shared" si="80"/>
        <v>0</v>
      </c>
      <c r="J541" s="87">
        <v>100</v>
      </c>
      <c r="K541" s="87">
        <v>300</v>
      </c>
      <c r="L541" s="84">
        <f t="shared" si="84"/>
        <v>1150</v>
      </c>
      <c r="M541" s="95">
        <v>600</v>
      </c>
      <c r="N541" s="84">
        <f>100</f>
        <v>100</v>
      </c>
      <c r="O541" s="87">
        <v>240</v>
      </c>
      <c r="P541" s="87">
        <v>40</v>
      </c>
      <c r="Q541" s="87">
        <f t="shared" si="85"/>
        <v>315</v>
      </c>
      <c r="R541" s="87">
        <f t="shared" si="86"/>
        <v>100</v>
      </c>
      <c r="S541" s="84">
        <f t="shared" si="87"/>
        <v>695</v>
      </c>
      <c r="T541" s="84">
        <f>50</f>
        <v>50</v>
      </c>
      <c r="U541" s="85"/>
      <c r="V541" s="85"/>
      <c r="W541" s="85"/>
      <c r="X541" s="85"/>
      <c r="Y541" s="85"/>
      <c r="Z541" s="85"/>
      <c r="AA541" s="85"/>
      <c r="AB541" s="85"/>
      <c r="AC541" s="85"/>
      <c r="AD541" s="85"/>
    </row>
    <row r="542" spans="1:30" ht="15.75" x14ac:dyDescent="0.25">
      <c r="A542" s="13">
        <v>57435</v>
      </c>
      <c r="B542" s="96">
        <v>31</v>
      </c>
      <c r="C542" s="84">
        <f>122.58</f>
        <v>122.58</v>
      </c>
      <c r="D542" s="84">
        <f>297.941</f>
        <v>297.94099999999997</v>
      </c>
      <c r="E542" s="93">
        <f>89.177</f>
        <v>89.177000000000007</v>
      </c>
      <c r="F542" s="84">
        <f>240.302-40-60-100</f>
        <v>40.301999999999992</v>
      </c>
      <c r="G542" s="87">
        <v>40</v>
      </c>
      <c r="H542" s="84">
        <f>60+100</f>
        <v>160</v>
      </c>
      <c r="I542" s="84">
        <f t="shared" si="80"/>
        <v>0</v>
      </c>
      <c r="J542" s="87">
        <v>100</v>
      </c>
      <c r="K542" s="87">
        <v>300</v>
      </c>
      <c r="L542" s="84">
        <f t="shared" si="84"/>
        <v>1150</v>
      </c>
      <c r="M542" s="95">
        <v>600</v>
      </c>
      <c r="N542" s="84">
        <f>100</f>
        <v>100</v>
      </c>
      <c r="O542" s="87">
        <v>240</v>
      </c>
      <c r="P542" s="87">
        <v>40</v>
      </c>
      <c r="Q542" s="87">
        <f t="shared" si="85"/>
        <v>315</v>
      </c>
      <c r="R542" s="87">
        <f t="shared" si="86"/>
        <v>100</v>
      </c>
      <c r="S542" s="84">
        <f t="shared" si="87"/>
        <v>695</v>
      </c>
      <c r="T542" s="84">
        <f>50</f>
        <v>50</v>
      </c>
      <c r="U542" s="85"/>
      <c r="V542" s="85"/>
      <c r="W542" s="85"/>
      <c r="X542" s="85"/>
      <c r="Y542" s="85"/>
      <c r="Z542" s="85"/>
      <c r="AA542" s="85"/>
      <c r="AB542" s="85"/>
      <c r="AC542" s="85"/>
      <c r="AD542" s="85"/>
    </row>
    <row r="543" spans="1:30" ht="15.75" x14ac:dyDescent="0.25">
      <c r="A543" s="13">
        <v>57465</v>
      </c>
      <c r="B543" s="96">
        <v>30</v>
      </c>
      <c r="C543" s="84">
        <f>141.293</f>
        <v>141.29300000000001</v>
      </c>
      <c r="D543" s="84">
        <f>267.993</f>
        <v>267.99299999999999</v>
      </c>
      <c r="E543" s="93">
        <f>115.016</f>
        <v>115.01600000000001</v>
      </c>
      <c r="F543" s="84">
        <f>314.698-40-25-60-100</f>
        <v>89.697999999999979</v>
      </c>
      <c r="G543" s="87">
        <v>40</v>
      </c>
      <c r="H543" s="84">
        <f t="shared" ref="H543:H549" si="88">25+60+100</f>
        <v>185</v>
      </c>
      <c r="I543" s="84">
        <f t="shared" si="80"/>
        <v>0</v>
      </c>
      <c r="J543" s="87">
        <v>100</v>
      </c>
      <c r="K543" s="87">
        <v>300</v>
      </c>
      <c r="L543" s="84">
        <f t="shared" si="84"/>
        <v>1239</v>
      </c>
      <c r="M543" s="95">
        <v>600</v>
      </c>
      <c r="N543" s="84">
        <f>100</f>
        <v>100</v>
      </c>
      <c r="O543" s="87">
        <v>240</v>
      </c>
      <c r="P543" s="87">
        <v>160</v>
      </c>
      <c r="Q543" s="87">
        <f t="shared" si="85"/>
        <v>195</v>
      </c>
      <c r="R543" s="87">
        <f t="shared" si="86"/>
        <v>100</v>
      </c>
      <c r="S543" s="84">
        <f t="shared" si="87"/>
        <v>695</v>
      </c>
      <c r="T543" s="84">
        <f>50</f>
        <v>50</v>
      </c>
      <c r="U543" s="85"/>
      <c r="V543" s="85"/>
      <c r="W543" s="85"/>
      <c r="X543" s="85"/>
      <c r="Y543" s="85"/>
      <c r="Z543" s="85"/>
      <c r="AA543" s="85"/>
      <c r="AB543" s="85"/>
      <c r="AC543" s="85"/>
      <c r="AD543" s="85"/>
    </row>
    <row r="544" spans="1:30" ht="15.75" x14ac:dyDescent="0.25">
      <c r="A544" s="13">
        <v>57496</v>
      </c>
      <c r="B544" s="96">
        <v>31</v>
      </c>
      <c r="C544" s="84">
        <f>194.205</f>
        <v>194.20500000000001</v>
      </c>
      <c r="D544" s="84">
        <f>267.466</f>
        <v>267.46600000000001</v>
      </c>
      <c r="E544" s="93">
        <f>133.845</f>
        <v>133.845</v>
      </c>
      <c r="F544" s="84">
        <f>278.484-40-25-60-100</f>
        <v>53.48399999999998</v>
      </c>
      <c r="G544" s="87">
        <v>40</v>
      </c>
      <c r="H544" s="84">
        <f t="shared" si="88"/>
        <v>185</v>
      </c>
      <c r="I544" s="84">
        <f t="shared" si="80"/>
        <v>0</v>
      </c>
      <c r="J544" s="87">
        <v>100</v>
      </c>
      <c r="K544" s="87">
        <v>300</v>
      </c>
      <c r="L544" s="84">
        <f t="shared" si="84"/>
        <v>1274</v>
      </c>
      <c r="M544" s="95">
        <v>600</v>
      </c>
      <c r="N544" s="84">
        <f>75</f>
        <v>75</v>
      </c>
      <c r="O544" s="87">
        <v>240</v>
      </c>
      <c r="P544" s="87">
        <v>160</v>
      </c>
      <c r="Q544" s="87">
        <f t="shared" si="85"/>
        <v>195</v>
      </c>
      <c r="R544" s="87">
        <f t="shared" si="86"/>
        <v>100</v>
      </c>
      <c r="S544" s="84">
        <f t="shared" si="87"/>
        <v>695</v>
      </c>
      <c r="T544" s="84">
        <f>50</f>
        <v>50</v>
      </c>
      <c r="U544" s="85"/>
      <c r="V544" s="85"/>
      <c r="W544" s="85"/>
      <c r="X544" s="85"/>
      <c r="Y544" s="85"/>
      <c r="Z544" s="85"/>
      <c r="AA544" s="85"/>
      <c r="AB544" s="85"/>
      <c r="AC544" s="85"/>
      <c r="AD544" s="85"/>
    </row>
    <row r="545" spans="1:30" ht="15.75" x14ac:dyDescent="0.25">
      <c r="A545" s="13">
        <v>57526</v>
      </c>
      <c r="B545" s="96">
        <v>30</v>
      </c>
      <c r="C545" s="84">
        <f>194.205</f>
        <v>194.20500000000001</v>
      </c>
      <c r="D545" s="84">
        <f>267.466</f>
        <v>267.46600000000001</v>
      </c>
      <c r="E545" s="93">
        <f>133.845</f>
        <v>133.845</v>
      </c>
      <c r="F545" s="84">
        <f>278.484-40-25-60-100</f>
        <v>53.48399999999998</v>
      </c>
      <c r="G545" s="87">
        <v>40</v>
      </c>
      <c r="H545" s="84">
        <f t="shared" si="88"/>
        <v>185</v>
      </c>
      <c r="I545" s="84">
        <f t="shared" si="80"/>
        <v>0</v>
      </c>
      <c r="J545" s="87">
        <v>100</v>
      </c>
      <c r="K545" s="87">
        <v>300</v>
      </c>
      <c r="L545" s="84">
        <f t="shared" si="84"/>
        <v>1274</v>
      </c>
      <c r="M545" s="95">
        <v>600</v>
      </c>
      <c r="N545" s="84">
        <f>30</f>
        <v>30</v>
      </c>
      <c r="O545" s="87">
        <v>240</v>
      </c>
      <c r="P545" s="87">
        <v>160</v>
      </c>
      <c r="Q545" s="87">
        <f t="shared" si="85"/>
        <v>195</v>
      </c>
      <c r="R545" s="87">
        <f t="shared" si="86"/>
        <v>100</v>
      </c>
      <c r="S545" s="84">
        <f t="shared" si="87"/>
        <v>695</v>
      </c>
      <c r="T545" s="84">
        <f>50</f>
        <v>50</v>
      </c>
      <c r="U545" s="85"/>
      <c r="V545" s="85"/>
      <c r="W545" s="85"/>
      <c r="X545" s="85"/>
      <c r="Y545" s="85"/>
      <c r="Z545" s="85"/>
      <c r="AA545" s="85"/>
      <c r="AB545" s="85"/>
      <c r="AC545" s="85"/>
      <c r="AD545" s="85"/>
    </row>
    <row r="546" spans="1:30" ht="15.75" x14ac:dyDescent="0.25">
      <c r="A546" s="13">
        <v>57557</v>
      </c>
      <c r="B546" s="96">
        <v>31</v>
      </c>
      <c r="C546" s="84">
        <f>194.205</f>
        <v>194.20500000000001</v>
      </c>
      <c r="D546" s="84">
        <f>267.466</f>
        <v>267.46600000000001</v>
      </c>
      <c r="E546" s="93">
        <f>133.845</f>
        <v>133.845</v>
      </c>
      <c r="F546" s="84">
        <f>278.484-40-25-60-100</f>
        <v>53.48399999999998</v>
      </c>
      <c r="G546" s="87">
        <v>40</v>
      </c>
      <c r="H546" s="84">
        <f t="shared" si="88"/>
        <v>185</v>
      </c>
      <c r="I546" s="84">
        <f t="shared" si="80"/>
        <v>0</v>
      </c>
      <c r="J546" s="87">
        <v>100</v>
      </c>
      <c r="K546" s="87">
        <v>300</v>
      </c>
      <c r="L546" s="84">
        <f t="shared" si="84"/>
        <v>1274</v>
      </c>
      <c r="M546" s="95">
        <v>600</v>
      </c>
      <c r="N546" s="84">
        <f>30</f>
        <v>30</v>
      </c>
      <c r="O546" s="87">
        <v>240</v>
      </c>
      <c r="P546" s="87">
        <v>160</v>
      </c>
      <c r="Q546" s="87">
        <f t="shared" si="85"/>
        <v>195</v>
      </c>
      <c r="R546" s="87">
        <f t="shared" si="86"/>
        <v>100</v>
      </c>
      <c r="S546" s="84">
        <f t="shared" si="87"/>
        <v>695</v>
      </c>
      <c r="T546" s="84">
        <f>0</f>
        <v>0</v>
      </c>
      <c r="U546" s="85"/>
      <c r="V546" s="85"/>
      <c r="W546" s="85"/>
      <c r="X546" s="85"/>
      <c r="Y546" s="85"/>
      <c r="Z546" s="85"/>
      <c r="AA546" s="85"/>
      <c r="AB546" s="85"/>
      <c r="AC546" s="85"/>
      <c r="AD546" s="85"/>
    </row>
    <row r="547" spans="1:30" ht="15.75" x14ac:dyDescent="0.25">
      <c r="A547" s="13">
        <v>57588</v>
      </c>
      <c r="B547" s="96">
        <v>31</v>
      </c>
      <c r="C547" s="84">
        <f>194.205</f>
        <v>194.20500000000001</v>
      </c>
      <c r="D547" s="84">
        <f>267.466</f>
        <v>267.46600000000001</v>
      </c>
      <c r="E547" s="93">
        <f>133.845</f>
        <v>133.845</v>
      </c>
      <c r="F547" s="84">
        <f>278.484-40-25-60-100</f>
        <v>53.48399999999998</v>
      </c>
      <c r="G547" s="87">
        <v>40</v>
      </c>
      <c r="H547" s="84">
        <f t="shared" si="88"/>
        <v>185</v>
      </c>
      <c r="I547" s="84">
        <f t="shared" si="80"/>
        <v>0</v>
      </c>
      <c r="J547" s="87">
        <v>100</v>
      </c>
      <c r="K547" s="87">
        <v>300</v>
      </c>
      <c r="L547" s="84">
        <f t="shared" si="84"/>
        <v>1274</v>
      </c>
      <c r="M547" s="95">
        <v>600</v>
      </c>
      <c r="N547" s="84">
        <f>30</f>
        <v>30</v>
      </c>
      <c r="O547" s="87">
        <v>240</v>
      </c>
      <c r="P547" s="87">
        <v>160</v>
      </c>
      <c r="Q547" s="87">
        <f t="shared" si="85"/>
        <v>195</v>
      </c>
      <c r="R547" s="87">
        <f t="shared" si="86"/>
        <v>100</v>
      </c>
      <c r="S547" s="84">
        <f t="shared" si="87"/>
        <v>695</v>
      </c>
      <c r="T547" s="84">
        <f>0</f>
        <v>0</v>
      </c>
      <c r="U547" s="85"/>
      <c r="V547" s="85"/>
      <c r="W547" s="85"/>
      <c r="X547" s="85"/>
      <c r="Y547" s="85"/>
      <c r="Z547" s="85"/>
      <c r="AA547" s="85"/>
      <c r="AB547" s="85"/>
      <c r="AC547" s="85"/>
      <c r="AD547" s="85"/>
    </row>
    <row r="548" spans="1:30" ht="15.75" x14ac:dyDescent="0.25">
      <c r="A548" s="13">
        <v>57618</v>
      </c>
      <c r="B548" s="96">
        <v>30</v>
      </c>
      <c r="C548" s="84">
        <f>194.205</f>
        <v>194.20500000000001</v>
      </c>
      <c r="D548" s="84">
        <f>267.466</f>
        <v>267.46600000000001</v>
      </c>
      <c r="E548" s="93">
        <f>133.845</f>
        <v>133.845</v>
      </c>
      <c r="F548" s="84">
        <f>278.484-40-25-60-100</f>
        <v>53.48399999999998</v>
      </c>
      <c r="G548" s="87">
        <v>40</v>
      </c>
      <c r="H548" s="84">
        <f t="shared" si="88"/>
        <v>185</v>
      </c>
      <c r="I548" s="84">
        <f t="shared" si="80"/>
        <v>0</v>
      </c>
      <c r="J548" s="87">
        <v>100</v>
      </c>
      <c r="K548" s="87">
        <v>300</v>
      </c>
      <c r="L548" s="84">
        <f t="shared" si="84"/>
        <v>1274</v>
      </c>
      <c r="M548" s="95">
        <v>600</v>
      </c>
      <c r="N548" s="84">
        <f>30</f>
        <v>30</v>
      </c>
      <c r="O548" s="87">
        <v>240</v>
      </c>
      <c r="P548" s="87">
        <v>160</v>
      </c>
      <c r="Q548" s="87">
        <f t="shared" si="85"/>
        <v>195</v>
      </c>
      <c r="R548" s="87">
        <f t="shared" si="86"/>
        <v>100</v>
      </c>
      <c r="S548" s="84">
        <f t="shared" si="87"/>
        <v>695</v>
      </c>
      <c r="T548" s="84">
        <f>0</f>
        <v>0</v>
      </c>
      <c r="U548" s="85"/>
      <c r="V548" s="85"/>
      <c r="W548" s="85"/>
      <c r="X548" s="85"/>
      <c r="Y548" s="85"/>
      <c r="Z548" s="85"/>
      <c r="AA548" s="85"/>
      <c r="AB548" s="85"/>
      <c r="AC548" s="85"/>
      <c r="AD548" s="85"/>
    </row>
    <row r="549" spans="1:30" ht="15.75" x14ac:dyDescent="0.25">
      <c r="A549" s="13">
        <v>57649</v>
      </c>
      <c r="B549" s="96">
        <v>31</v>
      </c>
      <c r="C549" s="84">
        <f>131.881</f>
        <v>131.881</v>
      </c>
      <c r="D549" s="84">
        <f>277.167</f>
        <v>277.16699999999997</v>
      </c>
      <c r="E549" s="93">
        <f>79.08</f>
        <v>79.08</v>
      </c>
      <c r="F549" s="84">
        <f>350.872-40-25-60-100</f>
        <v>125.87200000000001</v>
      </c>
      <c r="G549" s="87">
        <v>40</v>
      </c>
      <c r="H549" s="84">
        <f t="shared" si="88"/>
        <v>185</v>
      </c>
      <c r="I549" s="84">
        <f t="shared" si="80"/>
        <v>0</v>
      </c>
      <c r="J549" s="87">
        <v>100</v>
      </c>
      <c r="K549" s="87">
        <v>300</v>
      </c>
      <c r="L549" s="84">
        <f t="shared" si="84"/>
        <v>1239</v>
      </c>
      <c r="M549" s="95">
        <v>600</v>
      </c>
      <c r="N549" s="84">
        <f>75</f>
        <v>75</v>
      </c>
      <c r="O549" s="87">
        <v>240</v>
      </c>
      <c r="P549" s="87">
        <v>160</v>
      </c>
      <c r="Q549" s="87">
        <f t="shared" si="85"/>
        <v>195</v>
      </c>
      <c r="R549" s="87">
        <f t="shared" si="86"/>
        <v>100</v>
      </c>
      <c r="S549" s="84">
        <f t="shared" si="87"/>
        <v>695</v>
      </c>
      <c r="T549" s="84">
        <f>0</f>
        <v>0</v>
      </c>
      <c r="U549" s="85"/>
      <c r="V549" s="85"/>
      <c r="W549" s="85"/>
      <c r="X549" s="85"/>
      <c r="Y549" s="85"/>
      <c r="Z549" s="85"/>
      <c r="AA549" s="85"/>
      <c r="AB549" s="85"/>
      <c r="AC549" s="85"/>
      <c r="AD549" s="85"/>
    </row>
    <row r="550" spans="1:30" ht="15.75" x14ac:dyDescent="0.25">
      <c r="A550" s="13">
        <v>57679</v>
      </c>
      <c r="B550" s="96">
        <v>30</v>
      </c>
      <c r="C550" s="84">
        <f>122.58</f>
        <v>122.58</v>
      </c>
      <c r="D550" s="84">
        <f>297.941</f>
        <v>297.94099999999997</v>
      </c>
      <c r="E550" s="93">
        <f>89.177</f>
        <v>89.177000000000007</v>
      </c>
      <c r="F550" s="84">
        <f>240.302-40-60-100</f>
        <v>40.301999999999992</v>
      </c>
      <c r="G550" s="87">
        <v>40</v>
      </c>
      <c r="H550" s="84">
        <f>60+100</f>
        <v>160</v>
      </c>
      <c r="I550" s="84">
        <f t="shared" si="80"/>
        <v>0</v>
      </c>
      <c r="J550" s="87">
        <v>100</v>
      </c>
      <c r="K550" s="87">
        <v>300</v>
      </c>
      <c r="L550" s="84">
        <f t="shared" si="84"/>
        <v>1150</v>
      </c>
      <c r="M550" s="95">
        <v>600</v>
      </c>
      <c r="N550" s="84">
        <f>100</f>
        <v>100</v>
      </c>
      <c r="O550" s="87">
        <v>240</v>
      </c>
      <c r="P550" s="87">
        <v>40</v>
      </c>
      <c r="Q550" s="87">
        <f t="shared" si="85"/>
        <v>315</v>
      </c>
      <c r="R550" s="87">
        <f t="shared" si="86"/>
        <v>100</v>
      </c>
      <c r="S550" s="84">
        <f t="shared" si="87"/>
        <v>695</v>
      </c>
      <c r="T550" s="84">
        <f>50</f>
        <v>50</v>
      </c>
      <c r="U550" s="85"/>
      <c r="V550" s="85"/>
      <c r="W550" s="85"/>
      <c r="X550" s="85"/>
      <c r="Y550" s="85"/>
      <c r="Z550" s="85"/>
      <c r="AA550" s="85"/>
      <c r="AB550" s="85"/>
      <c r="AC550" s="85"/>
      <c r="AD550" s="85"/>
    </row>
    <row r="551" spans="1:30" ht="15.75" x14ac:dyDescent="0.25">
      <c r="A551" s="13">
        <v>57710</v>
      </c>
      <c r="B551" s="96">
        <v>31</v>
      </c>
      <c r="C551" s="84">
        <f>122.58</f>
        <v>122.58</v>
      </c>
      <c r="D551" s="84">
        <f>297.941</f>
        <v>297.94099999999997</v>
      </c>
      <c r="E551" s="93">
        <f>89.177</f>
        <v>89.177000000000007</v>
      </c>
      <c r="F551" s="84">
        <f>240.302-40-60-100</f>
        <v>40.301999999999992</v>
      </c>
      <c r="G551" s="87">
        <v>40</v>
      </c>
      <c r="H551" s="84">
        <f>60+100</f>
        <v>160</v>
      </c>
      <c r="I551" s="84">
        <f t="shared" si="80"/>
        <v>0</v>
      </c>
      <c r="J551" s="87">
        <v>100</v>
      </c>
      <c r="K551" s="87">
        <v>300</v>
      </c>
      <c r="L551" s="84">
        <f t="shared" si="84"/>
        <v>1150</v>
      </c>
      <c r="M551" s="95">
        <v>600</v>
      </c>
      <c r="N551" s="84">
        <f>100</f>
        <v>100</v>
      </c>
      <c r="O551" s="87">
        <v>240</v>
      </c>
      <c r="P551" s="87">
        <v>40</v>
      </c>
      <c r="Q551" s="87">
        <f t="shared" si="85"/>
        <v>315</v>
      </c>
      <c r="R551" s="87">
        <f t="shared" si="86"/>
        <v>100</v>
      </c>
      <c r="S551" s="84">
        <f t="shared" si="87"/>
        <v>695</v>
      </c>
      <c r="T551" s="84">
        <f>50</f>
        <v>50</v>
      </c>
      <c r="U551" s="85"/>
      <c r="V551" s="85"/>
      <c r="W551" s="85"/>
      <c r="X551" s="85"/>
      <c r="Y551" s="85"/>
      <c r="Z551" s="85"/>
      <c r="AA551" s="85"/>
      <c r="AB551" s="85"/>
      <c r="AC551" s="85"/>
      <c r="AD551" s="85"/>
    </row>
    <row r="552" spans="1:30" ht="15.75" x14ac:dyDescent="0.25">
      <c r="A552" s="13">
        <v>57741</v>
      </c>
      <c r="B552" s="96">
        <v>31</v>
      </c>
      <c r="C552" s="84">
        <f>122.58</f>
        <v>122.58</v>
      </c>
      <c r="D552" s="84">
        <f>297.941</f>
        <v>297.94099999999997</v>
      </c>
      <c r="E552" s="93">
        <f>89.177</f>
        <v>89.177000000000007</v>
      </c>
      <c r="F552" s="84">
        <f>240.302-40-60-100</f>
        <v>40.301999999999992</v>
      </c>
      <c r="G552" s="87">
        <v>40</v>
      </c>
      <c r="H552" s="84">
        <f>60+100</f>
        <v>160</v>
      </c>
      <c r="I552" s="84">
        <f t="shared" si="80"/>
        <v>0</v>
      </c>
      <c r="J552" s="87">
        <v>100</v>
      </c>
      <c r="K552" s="87">
        <v>300</v>
      </c>
      <c r="L552" s="84">
        <f t="shared" si="84"/>
        <v>1150</v>
      </c>
      <c r="M552" s="95">
        <v>600</v>
      </c>
      <c r="N552" s="84">
        <f>100</f>
        <v>100</v>
      </c>
      <c r="O552" s="87">
        <v>240</v>
      </c>
      <c r="P552" s="87">
        <v>40</v>
      </c>
      <c r="Q552" s="87">
        <f t="shared" si="85"/>
        <v>315</v>
      </c>
      <c r="R552" s="87">
        <f t="shared" si="86"/>
        <v>100</v>
      </c>
      <c r="S552" s="84">
        <f t="shared" si="87"/>
        <v>695</v>
      </c>
      <c r="T552" s="84">
        <f>50</f>
        <v>50</v>
      </c>
      <c r="U552" s="85"/>
      <c r="V552" s="85"/>
      <c r="W552" s="85"/>
      <c r="X552" s="85"/>
      <c r="Y552" s="85"/>
      <c r="Z552" s="85"/>
      <c r="AA552" s="85"/>
      <c r="AB552" s="85"/>
      <c r="AC552" s="85"/>
      <c r="AD552" s="85"/>
    </row>
    <row r="553" spans="1:30" ht="15.75" x14ac:dyDescent="0.25">
      <c r="A553" s="13">
        <v>57769</v>
      </c>
      <c r="B553" s="96">
        <v>28</v>
      </c>
      <c r="C553" s="84">
        <f>122.58</f>
        <v>122.58</v>
      </c>
      <c r="D553" s="84">
        <f>297.941</f>
        <v>297.94099999999997</v>
      </c>
      <c r="E553" s="93">
        <f>89.177</f>
        <v>89.177000000000007</v>
      </c>
      <c r="F553" s="84">
        <f>240.302-40-60-100</f>
        <v>40.301999999999992</v>
      </c>
      <c r="G553" s="87">
        <v>40</v>
      </c>
      <c r="H553" s="84">
        <f>60+100</f>
        <v>160</v>
      </c>
      <c r="I553" s="84">
        <f t="shared" si="80"/>
        <v>0</v>
      </c>
      <c r="J553" s="87">
        <v>100</v>
      </c>
      <c r="K553" s="87">
        <v>300</v>
      </c>
      <c r="L553" s="84">
        <f t="shared" si="84"/>
        <v>1150</v>
      </c>
      <c r="M553" s="95">
        <v>600</v>
      </c>
      <c r="N553" s="84">
        <f>100</f>
        <v>100</v>
      </c>
      <c r="O553" s="87">
        <v>240</v>
      </c>
      <c r="P553" s="87">
        <v>40</v>
      </c>
      <c r="Q553" s="87">
        <f t="shared" si="85"/>
        <v>315</v>
      </c>
      <c r="R553" s="87">
        <f t="shared" si="86"/>
        <v>100</v>
      </c>
      <c r="S553" s="84">
        <f t="shared" si="87"/>
        <v>695</v>
      </c>
      <c r="T553" s="84">
        <f>50</f>
        <v>50</v>
      </c>
      <c r="U553" s="85"/>
      <c r="V553" s="85"/>
      <c r="W553" s="85"/>
      <c r="X553" s="85"/>
      <c r="Y553" s="85"/>
      <c r="Z553" s="85"/>
      <c r="AA553" s="85"/>
      <c r="AB553" s="85"/>
      <c r="AC553" s="85"/>
      <c r="AD553" s="85"/>
    </row>
    <row r="554" spans="1:30" ht="15.75" x14ac:dyDescent="0.25">
      <c r="A554" s="13">
        <v>57800</v>
      </c>
      <c r="B554" s="96">
        <v>31</v>
      </c>
      <c r="C554" s="84">
        <f>122.58</f>
        <v>122.58</v>
      </c>
      <c r="D554" s="84">
        <f>297.941</f>
        <v>297.94099999999997</v>
      </c>
      <c r="E554" s="93">
        <f>89.177</f>
        <v>89.177000000000007</v>
      </c>
      <c r="F554" s="84">
        <f>240.302-40-60-100</f>
        <v>40.301999999999992</v>
      </c>
      <c r="G554" s="87">
        <v>40</v>
      </c>
      <c r="H554" s="84">
        <f>60+100</f>
        <v>160</v>
      </c>
      <c r="I554" s="84">
        <f t="shared" si="80"/>
        <v>0</v>
      </c>
      <c r="J554" s="87">
        <v>100</v>
      </c>
      <c r="K554" s="87">
        <v>300</v>
      </c>
      <c r="L554" s="84">
        <f t="shared" si="84"/>
        <v>1150</v>
      </c>
      <c r="M554" s="95">
        <v>600</v>
      </c>
      <c r="N554" s="84">
        <f>100</f>
        <v>100</v>
      </c>
      <c r="O554" s="87">
        <v>240</v>
      </c>
      <c r="P554" s="87">
        <v>40</v>
      </c>
      <c r="Q554" s="87">
        <f t="shared" si="85"/>
        <v>315</v>
      </c>
      <c r="R554" s="87">
        <f t="shared" si="86"/>
        <v>100</v>
      </c>
      <c r="S554" s="84">
        <f t="shared" si="87"/>
        <v>695</v>
      </c>
      <c r="T554" s="84">
        <f>50</f>
        <v>50</v>
      </c>
      <c r="U554" s="85"/>
      <c r="V554" s="85"/>
      <c r="W554" s="85"/>
      <c r="X554" s="85"/>
      <c r="Y554" s="85"/>
      <c r="Z554" s="85"/>
      <c r="AA554" s="85"/>
      <c r="AB554" s="85"/>
      <c r="AC554" s="85"/>
      <c r="AD554" s="85"/>
    </row>
    <row r="555" spans="1:30" ht="15.75" x14ac:dyDescent="0.25">
      <c r="A555" s="13">
        <v>57830</v>
      </c>
      <c r="B555" s="96">
        <v>30</v>
      </c>
      <c r="C555" s="84">
        <f>141.293</f>
        <v>141.29300000000001</v>
      </c>
      <c r="D555" s="84">
        <f>267.993</f>
        <v>267.99299999999999</v>
      </c>
      <c r="E555" s="93">
        <f>115.016</f>
        <v>115.01600000000001</v>
      </c>
      <c r="F555" s="84">
        <f>314.698-40-25-60-100</f>
        <v>89.697999999999979</v>
      </c>
      <c r="G555" s="87">
        <v>40</v>
      </c>
      <c r="H555" s="84">
        <f t="shared" ref="H555:H561" si="89">25+60+100</f>
        <v>185</v>
      </c>
      <c r="I555" s="84">
        <f t="shared" si="80"/>
        <v>0</v>
      </c>
      <c r="J555" s="87">
        <v>100</v>
      </c>
      <c r="K555" s="87">
        <v>300</v>
      </c>
      <c r="L555" s="84">
        <f t="shared" si="84"/>
        <v>1239</v>
      </c>
      <c r="M555" s="95">
        <v>600</v>
      </c>
      <c r="N555" s="84">
        <f>100</f>
        <v>100</v>
      </c>
      <c r="O555" s="87">
        <v>240</v>
      </c>
      <c r="P555" s="87">
        <v>160</v>
      </c>
      <c r="Q555" s="87">
        <f t="shared" si="85"/>
        <v>195</v>
      </c>
      <c r="R555" s="87">
        <f t="shared" si="86"/>
        <v>100</v>
      </c>
      <c r="S555" s="84">
        <f t="shared" si="87"/>
        <v>695</v>
      </c>
      <c r="T555" s="84">
        <f>50</f>
        <v>50</v>
      </c>
      <c r="U555" s="85"/>
      <c r="V555" s="85"/>
      <c r="W555" s="85"/>
      <c r="X555" s="85"/>
      <c r="Y555" s="85"/>
      <c r="Z555" s="85"/>
      <c r="AA555" s="85"/>
      <c r="AB555" s="85"/>
      <c r="AC555" s="85"/>
      <c r="AD555" s="85"/>
    </row>
    <row r="556" spans="1:30" ht="15.75" x14ac:dyDescent="0.25">
      <c r="A556" s="13">
        <v>57861</v>
      </c>
      <c r="B556" s="96">
        <v>31</v>
      </c>
      <c r="C556" s="84">
        <f>194.205</f>
        <v>194.20500000000001</v>
      </c>
      <c r="D556" s="84">
        <f>267.466</f>
        <v>267.46600000000001</v>
      </c>
      <c r="E556" s="93">
        <f>133.845</f>
        <v>133.845</v>
      </c>
      <c r="F556" s="84">
        <f>278.484-40-25-60-100</f>
        <v>53.48399999999998</v>
      </c>
      <c r="G556" s="87">
        <v>40</v>
      </c>
      <c r="H556" s="84">
        <f t="shared" si="89"/>
        <v>185</v>
      </c>
      <c r="I556" s="84">
        <f t="shared" si="80"/>
        <v>0</v>
      </c>
      <c r="J556" s="87">
        <v>100</v>
      </c>
      <c r="K556" s="87">
        <v>300</v>
      </c>
      <c r="L556" s="84">
        <f t="shared" si="84"/>
        <v>1274</v>
      </c>
      <c r="M556" s="95">
        <v>600</v>
      </c>
      <c r="N556" s="84">
        <f>75</f>
        <v>75</v>
      </c>
      <c r="O556" s="87">
        <v>240</v>
      </c>
      <c r="P556" s="87">
        <v>160</v>
      </c>
      <c r="Q556" s="87">
        <f t="shared" si="85"/>
        <v>195</v>
      </c>
      <c r="R556" s="87">
        <f t="shared" si="86"/>
        <v>100</v>
      </c>
      <c r="S556" s="84">
        <f t="shared" si="87"/>
        <v>695</v>
      </c>
      <c r="T556" s="84">
        <f>50</f>
        <v>50</v>
      </c>
      <c r="U556" s="85"/>
      <c r="V556" s="85"/>
      <c r="W556" s="85"/>
      <c r="X556" s="85"/>
      <c r="Y556" s="85"/>
      <c r="Z556" s="85"/>
      <c r="AA556" s="85"/>
      <c r="AB556" s="85"/>
      <c r="AC556" s="85"/>
      <c r="AD556" s="85"/>
    </row>
    <row r="557" spans="1:30" ht="15.75" x14ac:dyDescent="0.25">
      <c r="A557" s="13">
        <v>57891</v>
      </c>
      <c r="B557" s="96">
        <v>30</v>
      </c>
      <c r="C557" s="84">
        <f>194.205</f>
        <v>194.20500000000001</v>
      </c>
      <c r="D557" s="84">
        <f>267.466</f>
        <v>267.46600000000001</v>
      </c>
      <c r="E557" s="93">
        <f>133.845</f>
        <v>133.845</v>
      </c>
      <c r="F557" s="84">
        <f>278.484-40-25-60-100</f>
        <v>53.48399999999998</v>
      </c>
      <c r="G557" s="87">
        <v>40</v>
      </c>
      <c r="H557" s="84">
        <f t="shared" si="89"/>
        <v>185</v>
      </c>
      <c r="I557" s="84">
        <f t="shared" si="80"/>
        <v>0</v>
      </c>
      <c r="J557" s="87">
        <v>100</v>
      </c>
      <c r="K557" s="87">
        <v>300</v>
      </c>
      <c r="L557" s="84">
        <f t="shared" si="84"/>
        <v>1274</v>
      </c>
      <c r="M557" s="95">
        <v>600</v>
      </c>
      <c r="N557" s="84">
        <f>30</f>
        <v>30</v>
      </c>
      <c r="O557" s="87">
        <v>240</v>
      </c>
      <c r="P557" s="87">
        <v>160</v>
      </c>
      <c r="Q557" s="87">
        <f t="shared" si="85"/>
        <v>195</v>
      </c>
      <c r="R557" s="87">
        <f t="shared" si="86"/>
        <v>100</v>
      </c>
      <c r="S557" s="84">
        <f t="shared" si="87"/>
        <v>695</v>
      </c>
      <c r="T557" s="84">
        <f>50</f>
        <v>50</v>
      </c>
      <c r="U557" s="85"/>
      <c r="V557" s="85"/>
      <c r="W557" s="85"/>
      <c r="X557" s="85"/>
      <c r="Y557" s="85"/>
      <c r="Z557" s="85"/>
      <c r="AA557" s="85"/>
      <c r="AB557" s="85"/>
      <c r="AC557" s="85"/>
      <c r="AD557" s="85"/>
    </row>
    <row r="558" spans="1:30" ht="15.75" x14ac:dyDescent="0.25">
      <c r="A558" s="13">
        <v>57922</v>
      </c>
      <c r="B558" s="96">
        <v>31</v>
      </c>
      <c r="C558" s="84">
        <f>194.205</f>
        <v>194.20500000000001</v>
      </c>
      <c r="D558" s="84">
        <f>267.466</f>
        <v>267.46600000000001</v>
      </c>
      <c r="E558" s="93">
        <f>133.845</f>
        <v>133.845</v>
      </c>
      <c r="F558" s="84">
        <f>278.484-40-25-60-100</f>
        <v>53.48399999999998</v>
      </c>
      <c r="G558" s="87">
        <v>40</v>
      </c>
      <c r="H558" s="84">
        <f t="shared" si="89"/>
        <v>185</v>
      </c>
      <c r="I558" s="84">
        <f t="shared" si="80"/>
        <v>0</v>
      </c>
      <c r="J558" s="87">
        <v>100</v>
      </c>
      <c r="K558" s="87">
        <v>300</v>
      </c>
      <c r="L558" s="84">
        <f t="shared" si="84"/>
        <v>1274</v>
      </c>
      <c r="M558" s="95">
        <v>600</v>
      </c>
      <c r="N558" s="84">
        <f>30</f>
        <v>30</v>
      </c>
      <c r="O558" s="87">
        <v>240</v>
      </c>
      <c r="P558" s="87">
        <v>160</v>
      </c>
      <c r="Q558" s="87">
        <f t="shared" si="85"/>
        <v>195</v>
      </c>
      <c r="R558" s="87">
        <f t="shared" si="86"/>
        <v>100</v>
      </c>
      <c r="S558" s="84">
        <f t="shared" si="87"/>
        <v>695</v>
      </c>
      <c r="T558" s="84">
        <f>0</f>
        <v>0</v>
      </c>
      <c r="U558" s="85"/>
      <c r="V558" s="85"/>
      <c r="W558" s="85"/>
      <c r="X558" s="85"/>
      <c r="Y558" s="85"/>
      <c r="Z558" s="85"/>
      <c r="AA558" s="85"/>
      <c r="AB558" s="85"/>
      <c r="AC558" s="85"/>
      <c r="AD558" s="85"/>
    </row>
    <row r="559" spans="1:30" ht="15.75" x14ac:dyDescent="0.25">
      <c r="A559" s="13">
        <v>57953</v>
      </c>
      <c r="B559" s="96">
        <v>31</v>
      </c>
      <c r="C559" s="84">
        <f>194.205</f>
        <v>194.20500000000001</v>
      </c>
      <c r="D559" s="84">
        <f>267.466</f>
        <v>267.46600000000001</v>
      </c>
      <c r="E559" s="93">
        <f>133.845</f>
        <v>133.845</v>
      </c>
      <c r="F559" s="84">
        <f>278.484-40-25-60-100</f>
        <v>53.48399999999998</v>
      </c>
      <c r="G559" s="87">
        <v>40</v>
      </c>
      <c r="H559" s="84">
        <f t="shared" si="89"/>
        <v>185</v>
      </c>
      <c r="I559" s="84">
        <f t="shared" si="80"/>
        <v>0</v>
      </c>
      <c r="J559" s="87">
        <v>100</v>
      </c>
      <c r="K559" s="87">
        <v>300</v>
      </c>
      <c r="L559" s="84">
        <f t="shared" si="84"/>
        <v>1274</v>
      </c>
      <c r="M559" s="95">
        <v>600</v>
      </c>
      <c r="N559" s="84">
        <f>30</f>
        <v>30</v>
      </c>
      <c r="O559" s="87">
        <v>240</v>
      </c>
      <c r="P559" s="87">
        <v>160</v>
      </c>
      <c r="Q559" s="87">
        <f t="shared" si="85"/>
        <v>195</v>
      </c>
      <c r="R559" s="87">
        <f t="shared" si="86"/>
        <v>100</v>
      </c>
      <c r="S559" s="84">
        <f t="shared" si="87"/>
        <v>695</v>
      </c>
      <c r="T559" s="84">
        <f>0</f>
        <v>0</v>
      </c>
      <c r="U559" s="85"/>
      <c r="V559" s="85"/>
      <c r="W559" s="85"/>
      <c r="X559" s="85"/>
      <c r="Y559" s="85"/>
      <c r="Z559" s="85"/>
      <c r="AA559" s="85"/>
      <c r="AB559" s="85"/>
      <c r="AC559" s="85"/>
      <c r="AD559" s="85"/>
    </row>
    <row r="560" spans="1:30" ht="15.75" x14ac:dyDescent="0.25">
      <c r="A560" s="13">
        <v>57983</v>
      </c>
      <c r="B560" s="96">
        <v>30</v>
      </c>
      <c r="C560" s="84">
        <f>194.205</f>
        <v>194.20500000000001</v>
      </c>
      <c r="D560" s="84">
        <f>267.466</f>
        <v>267.46600000000001</v>
      </c>
      <c r="E560" s="93">
        <f>133.845</f>
        <v>133.845</v>
      </c>
      <c r="F560" s="84">
        <f>278.484-40-25-60-100</f>
        <v>53.48399999999998</v>
      </c>
      <c r="G560" s="87">
        <v>40</v>
      </c>
      <c r="H560" s="84">
        <f t="shared" si="89"/>
        <v>185</v>
      </c>
      <c r="I560" s="84">
        <f t="shared" si="80"/>
        <v>0</v>
      </c>
      <c r="J560" s="87">
        <v>100</v>
      </c>
      <c r="K560" s="87">
        <v>300</v>
      </c>
      <c r="L560" s="84">
        <f t="shared" si="84"/>
        <v>1274</v>
      </c>
      <c r="M560" s="95">
        <v>600</v>
      </c>
      <c r="N560" s="84">
        <f>30</f>
        <v>30</v>
      </c>
      <c r="O560" s="87">
        <v>240</v>
      </c>
      <c r="P560" s="87">
        <v>160</v>
      </c>
      <c r="Q560" s="87">
        <f t="shared" si="85"/>
        <v>195</v>
      </c>
      <c r="R560" s="87">
        <f t="shared" si="86"/>
        <v>100</v>
      </c>
      <c r="S560" s="84">
        <f t="shared" si="87"/>
        <v>695</v>
      </c>
      <c r="T560" s="84">
        <f>0</f>
        <v>0</v>
      </c>
      <c r="U560" s="85"/>
      <c r="V560" s="85"/>
      <c r="W560" s="85"/>
      <c r="X560" s="85"/>
      <c r="Y560" s="85"/>
      <c r="Z560" s="85"/>
      <c r="AA560" s="85"/>
      <c r="AB560" s="85"/>
      <c r="AC560" s="85"/>
      <c r="AD560" s="85"/>
    </row>
    <row r="561" spans="1:30" ht="15.75" x14ac:dyDescent="0.25">
      <c r="A561" s="13">
        <v>58014</v>
      </c>
      <c r="B561" s="96">
        <v>31</v>
      </c>
      <c r="C561" s="84">
        <f>131.881</f>
        <v>131.881</v>
      </c>
      <c r="D561" s="84">
        <f>277.167</f>
        <v>277.16699999999997</v>
      </c>
      <c r="E561" s="93">
        <f>79.08</f>
        <v>79.08</v>
      </c>
      <c r="F561" s="84">
        <f>350.872-40-25-60-100</f>
        <v>125.87200000000001</v>
      </c>
      <c r="G561" s="87">
        <v>40</v>
      </c>
      <c r="H561" s="84">
        <f t="shared" si="89"/>
        <v>185</v>
      </c>
      <c r="I561" s="84">
        <f t="shared" si="80"/>
        <v>0</v>
      </c>
      <c r="J561" s="87">
        <v>100</v>
      </c>
      <c r="K561" s="87">
        <v>300</v>
      </c>
      <c r="L561" s="84">
        <f t="shared" si="84"/>
        <v>1239</v>
      </c>
      <c r="M561" s="95">
        <v>600</v>
      </c>
      <c r="N561" s="84">
        <f>75</f>
        <v>75</v>
      </c>
      <c r="O561" s="87">
        <v>240</v>
      </c>
      <c r="P561" s="87">
        <v>160</v>
      </c>
      <c r="Q561" s="87">
        <f t="shared" si="85"/>
        <v>195</v>
      </c>
      <c r="R561" s="87">
        <f t="shared" si="86"/>
        <v>100</v>
      </c>
      <c r="S561" s="84">
        <f t="shared" si="87"/>
        <v>695</v>
      </c>
      <c r="T561" s="84">
        <f>0</f>
        <v>0</v>
      </c>
      <c r="U561" s="85"/>
      <c r="V561" s="85"/>
      <c r="W561" s="85"/>
      <c r="X561" s="85"/>
      <c r="Y561" s="85"/>
      <c r="Z561" s="85"/>
      <c r="AA561" s="85"/>
      <c r="AB561" s="85"/>
      <c r="AC561" s="85"/>
      <c r="AD561" s="85"/>
    </row>
    <row r="562" spans="1:30" ht="15.75" x14ac:dyDescent="0.25">
      <c r="A562" s="13">
        <v>58044</v>
      </c>
      <c r="B562" s="96">
        <v>30</v>
      </c>
      <c r="C562" s="84">
        <f>122.58</f>
        <v>122.58</v>
      </c>
      <c r="D562" s="84">
        <f>297.941</f>
        <v>297.94099999999997</v>
      </c>
      <c r="E562" s="93">
        <f>89.177</f>
        <v>89.177000000000007</v>
      </c>
      <c r="F562" s="84">
        <f>240.302-40-60-100</f>
        <v>40.301999999999992</v>
      </c>
      <c r="G562" s="87">
        <v>40</v>
      </c>
      <c r="H562" s="84">
        <f>60+100</f>
        <v>160</v>
      </c>
      <c r="I562" s="84">
        <f t="shared" si="80"/>
        <v>0</v>
      </c>
      <c r="J562" s="87">
        <v>100</v>
      </c>
      <c r="K562" s="87">
        <v>300</v>
      </c>
      <c r="L562" s="84">
        <f t="shared" si="84"/>
        <v>1150</v>
      </c>
      <c r="M562" s="95">
        <v>600</v>
      </c>
      <c r="N562" s="84">
        <f>100</f>
        <v>100</v>
      </c>
      <c r="O562" s="87">
        <v>240</v>
      </c>
      <c r="P562" s="87">
        <v>40</v>
      </c>
      <c r="Q562" s="87">
        <f t="shared" si="85"/>
        <v>315</v>
      </c>
      <c r="R562" s="87">
        <f t="shared" si="86"/>
        <v>100</v>
      </c>
      <c r="S562" s="84">
        <f t="shared" si="87"/>
        <v>695</v>
      </c>
      <c r="T562" s="84">
        <f>50</f>
        <v>50</v>
      </c>
      <c r="U562" s="85"/>
      <c r="V562" s="85"/>
      <c r="W562" s="85"/>
      <c r="X562" s="85"/>
      <c r="Y562" s="85"/>
      <c r="Z562" s="85"/>
      <c r="AA562" s="85"/>
      <c r="AB562" s="85"/>
      <c r="AC562" s="85"/>
      <c r="AD562" s="85"/>
    </row>
    <row r="563" spans="1:30" ht="15.75" x14ac:dyDescent="0.25">
      <c r="A563" s="13">
        <v>58075</v>
      </c>
      <c r="B563" s="96">
        <v>31</v>
      </c>
      <c r="C563" s="84">
        <f>122.58</f>
        <v>122.58</v>
      </c>
      <c r="D563" s="84">
        <f>297.941</f>
        <v>297.94099999999997</v>
      </c>
      <c r="E563" s="93">
        <f>89.177</f>
        <v>89.177000000000007</v>
      </c>
      <c r="F563" s="84">
        <f>240.302-40-60-100</f>
        <v>40.301999999999992</v>
      </c>
      <c r="G563" s="87">
        <v>40</v>
      </c>
      <c r="H563" s="84">
        <f>60+100</f>
        <v>160</v>
      </c>
      <c r="I563" s="84">
        <f t="shared" si="80"/>
        <v>0</v>
      </c>
      <c r="J563" s="87">
        <v>100</v>
      </c>
      <c r="K563" s="87">
        <v>300</v>
      </c>
      <c r="L563" s="84">
        <f t="shared" si="84"/>
        <v>1150</v>
      </c>
      <c r="M563" s="95">
        <v>600</v>
      </c>
      <c r="N563" s="84">
        <f>100</f>
        <v>100</v>
      </c>
      <c r="O563" s="87">
        <v>240</v>
      </c>
      <c r="P563" s="87">
        <v>40</v>
      </c>
      <c r="Q563" s="87">
        <f t="shared" si="85"/>
        <v>315</v>
      </c>
      <c r="R563" s="87">
        <f t="shared" si="86"/>
        <v>100</v>
      </c>
      <c r="S563" s="84">
        <f t="shared" si="87"/>
        <v>695</v>
      </c>
      <c r="T563" s="84">
        <f>50</f>
        <v>50</v>
      </c>
      <c r="U563" s="85"/>
      <c r="V563" s="85"/>
      <c r="W563" s="85"/>
      <c r="X563" s="85"/>
      <c r="Y563" s="85"/>
      <c r="Z563" s="85"/>
      <c r="AA563" s="85"/>
      <c r="AB563" s="85"/>
      <c r="AC563" s="85"/>
      <c r="AD563" s="85"/>
    </row>
    <row r="564" spans="1:30" ht="15.75" x14ac:dyDescent="0.25">
      <c r="A564" s="13">
        <v>58106</v>
      </c>
      <c r="B564" s="96">
        <v>31</v>
      </c>
      <c r="C564" s="84">
        <f>122.58</f>
        <v>122.58</v>
      </c>
      <c r="D564" s="84">
        <f>297.941</f>
        <v>297.94099999999997</v>
      </c>
      <c r="E564" s="93">
        <f>89.177</f>
        <v>89.177000000000007</v>
      </c>
      <c r="F564" s="84">
        <f>240.302-40-60-100</f>
        <v>40.301999999999992</v>
      </c>
      <c r="G564" s="87">
        <v>40</v>
      </c>
      <c r="H564" s="84">
        <f>60+100</f>
        <v>160</v>
      </c>
      <c r="I564" s="84">
        <f t="shared" ref="I564:I627" si="90">400-J564-K564</f>
        <v>0</v>
      </c>
      <c r="J564" s="87">
        <v>100</v>
      </c>
      <c r="K564" s="87">
        <v>300</v>
      </c>
      <c r="L564" s="84">
        <f t="shared" si="84"/>
        <v>1150</v>
      </c>
      <c r="M564" s="95">
        <v>600</v>
      </c>
      <c r="N564" s="84">
        <f>100</f>
        <v>100</v>
      </c>
      <c r="O564" s="87">
        <v>240</v>
      </c>
      <c r="P564" s="87">
        <v>40</v>
      </c>
      <c r="Q564" s="87">
        <f t="shared" si="85"/>
        <v>315</v>
      </c>
      <c r="R564" s="87">
        <f t="shared" si="86"/>
        <v>100</v>
      </c>
      <c r="S564" s="84">
        <f t="shared" si="87"/>
        <v>695</v>
      </c>
      <c r="T564" s="84">
        <f>50</f>
        <v>50</v>
      </c>
      <c r="U564" s="85"/>
      <c r="V564" s="85"/>
      <c r="W564" s="85"/>
      <c r="X564" s="85"/>
      <c r="Y564" s="85"/>
      <c r="Z564" s="85"/>
      <c r="AA564" s="85"/>
      <c r="AB564" s="85"/>
      <c r="AC564" s="85"/>
      <c r="AD564" s="85"/>
    </row>
    <row r="565" spans="1:30" ht="15.75" x14ac:dyDescent="0.25">
      <c r="A565" s="13">
        <v>58134</v>
      </c>
      <c r="B565" s="96">
        <v>28</v>
      </c>
      <c r="C565" s="84">
        <f>122.58</f>
        <v>122.58</v>
      </c>
      <c r="D565" s="84">
        <f>297.941</f>
        <v>297.94099999999997</v>
      </c>
      <c r="E565" s="93">
        <f>89.177</f>
        <v>89.177000000000007</v>
      </c>
      <c r="F565" s="84">
        <f>240.302-40-60-100</f>
        <v>40.301999999999992</v>
      </c>
      <c r="G565" s="87">
        <v>40</v>
      </c>
      <c r="H565" s="84">
        <f>60+100</f>
        <v>160</v>
      </c>
      <c r="I565" s="84">
        <f t="shared" si="90"/>
        <v>0</v>
      </c>
      <c r="J565" s="87">
        <v>100</v>
      </c>
      <c r="K565" s="87">
        <v>300</v>
      </c>
      <c r="L565" s="84">
        <f t="shared" si="84"/>
        <v>1150</v>
      </c>
      <c r="M565" s="95">
        <v>600</v>
      </c>
      <c r="N565" s="84">
        <f>100</f>
        <v>100</v>
      </c>
      <c r="O565" s="87">
        <v>240</v>
      </c>
      <c r="P565" s="87">
        <v>40</v>
      </c>
      <c r="Q565" s="87">
        <f t="shared" si="85"/>
        <v>315</v>
      </c>
      <c r="R565" s="87">
        <f t="shared" si="86"/>
        <v>100</v>
      </c>
      <c r="S565" s="84">
        <f t="shared" si="87"/>
        <v>695</v>
      </c>
      <c r="T565" s="84">
        <f>50</f>
        <v>50</v>
      </c>
      <c r="U565" s="85"/>
      <c r="V565" s="85"/>
      <c r="W565" s="85"/>
      <c r="X565" s="85"/>
      <c r="Y565" s="85"/>
      <c r="Z565" s="85"/>
      <c r="AA565" s="85"/>
      <c r="AB565" s="85"/>
      <c r="AC565" s="85"/>
      <c r="AD565" s="85"/>
    </row>
    <row r="566" spans="1:30" ht="15.75" x14ac:dyDescent="0.25">
      <c r="A566" s="13">
        <v>58165</v>
      </c>
      <c r="B566" s="96">
        <v>31</v>
      </c>
      <c r="C566" s="84">
        <f>122.58</f>
        <v>122.58</v>
      </c>
      <c r="D566" s="84">
        <f>297.941</f>
        <v>297.94099999999997</v>
      </c>
      <c r="E566" s="93">
        <f>89.177</f>
        <v>89.177000000000007</v>
      </c>
      <c r="F566" s="84">
        <f>240.302-40-60-100</f>
        <v>40.301999999999992</v>
      </c>
      <c r="G566" s="87">
        <v>40</v>
      </c>
      <c r="H566" s="84">
        <f>60+100</f>
        <v>160</v>
      </c>
      <c r="I566" s="84">
        <f t="shared" si="90"/>
        <v>0</v>
      </c>
      <c r="J566" s="87">
        <v>100</v>
      </c>
      <c r="K566" s="87">
        <v>300</v>
      </c>
      <c r="L566" s="84">
        <f t="shared" si="84"/>
        <v>1150</v>
      </c>
      <c r="M566" s="95">
        <v>600</v>
      </c>
      <c r="N566" s="84">
        <f>100</f>
        <v>100</v>
      </c>
      <c r="O566" s="87">
        <v>240</v>
      </c>
      <c r="P566" s="87">
        <v>40</v>
      </c>
      <c r="Q566" s="87">
        <f t="shared" si="85"/>
        <v>315</v>
      </c>
      <c r="R566" s="87">
        <f t="shared" si="86"/>
        <v>100</v>
      </c>
      <c r="S566" s="84">
        <f t="shared" si="87"/>
        <v>695</v>
      </c>
      <c r="T566" s="84">
        <f>50</f>
        <v>50</v>
      </c>
      <c r="U566" s="85"/>
      <c r="V566" s="85"/>
      <c r="W566" s="85"/>
      <c r="X566" s="85"/>
      <c r="Y566" s="85"/>
      <c r="Z566" s="85"/>
      <c r="AA566" s="85"/>
      <c r="AB566" s="85"/>
      <c r="AC566" s="85"/>
      <c r="AD566" s="85"/>
    </row>
    <row r="567" spans="1:30" ht="15.75" x14ac:dyDescent="0.25">
      <c r="A567" s="13">
        <v>58195</v>
      </c>
      <c r="B567" s="96">
        <v>30</v>
      </c>
      <c r="C567" s="84">
        <f>141.293</f>
        <v>141.29300000000001</v>
      </c>
      <c r="D567" s="84">
        <f>267.993</f>
        <v>267.99299999999999</v>
      </c>
      <c r="E567" s="93">
        <f>115.016</f>
        <v>115.01600000000001</v>
      </c>
      <c r="F567" s="84">
        <f>314.698-40-25-60-100</f>
        <v>89.697999999999979</v>
      </c>
      <c r="G567" s="87">
        <v>40</v>
      </c>
      <c r="H567" s="84">
        <f t="shared" ref="H567:H573" si="91">25+60+100</f>
        <v>185</v>
      </c>
      <c r="I567" s="84">
        <f t="shared" si="90"/>
        <v>0</v>
      </c>
      <c r="J567" s="87">
        <v>100</v>
      </c>
      <c r="K567" s="87">
        <v>300</v>
      </c>
      <c r="L567" s="84">
        <f t="shared" si="84"/>
        <v>1239</v>
      </c>
      <c r="M567" s="95">
        <v>600</v>
      </c>
      <c r="N567" s="84">
        <f>100</f>
        <v>100</v>
      </c>
      <c r="O567" s="87">
        <v>240</v>
      </c>
      <c r="P567" s="87">
        <v>160</v>
      </c>
      <c r="Q567" s="87">
        <f t="shared" si="85"/>
        <v>195</v>
      </c>
      <c r="R567" s="87">
        <f t="shared" si="86"/>
        <v>100</v>
      </c>
      <c r="S567" s="84">
        <f t="shared" si="87"/>
        <v>695</v>
      </c>
      <c r="T567" s="84">
        <f>50</f>
        <v>50</v>
      </c>
      <c r="U567" s="85"/>
      <c r="V567" s="85"/>
      <c r="W567" s="85"/>
      <c r="X567" s="85"/>
      <c r="Y567" s="85"/>
      <c r="Z567" s="85"/>
      <c r="AA567" s="85"/>
      <c r="AB567" s="85"/>
      <c r="AC567" s="85"/>
      <c r="AD567" s="85"/>
    </row>
    <row r="568" spans="1:30" ht="15.75" x14ac:dyDescent="0.25">
      <c r="A568" s="13">
        <v>58226</v>
      </c>
      <c r="B568" s="96">
        <v>31</v>
      </c>
      <c r="C568" s="84">
        <f>194.205</f>
        <v>194.20500000000001</v>
      </c>
      <c r="D568" s="84">
        <f>267.466</f>
        <v>267.46600000000001</v>
      </c>
      <c r="E568" s="93">
        <f>133.845</f>
        <v>133.845</v>
      </c>
      <c r="F568" s="84">
        <f>278.484-40-25-60-100</f>
        <v>53.48399999999998</v>
      </c>
      <c r="G568" s="87">
        <v>40</v>
      </c>
      <c r="H568" s="84">
        <f t="shared" si="91"/>
        <v>185</v>
      </c>
      <c r="I568" s="84">
        <f t="shared" si="90"/>
        <v>0</v>
      </c>
      <c r="J568" s="87">
        <v>100</v>
      </c>
      <c r="K568" s="87">
        <v>300</v>
      </c>
      <c r="L568" s="84">
        <f t="shared" si="84"/>
        <v>1274</v>
      </c>
      <c r="M568" s="95">
        <v>600</v>
      </c>
      <c r="N568" s="84">
        <f>75</f>
        <v>75</v>
      </c>
      <c r="O568" s="87">
        <v>240</v>
      </c>
      <c r="P568" s="87">
        <v>160</v>
      </c>
      <c r="Q568" s="87">
        <f t="shared" si="85"/>
        <v>195</v>
      </c>
      <c r="R568" s="87">
        <f t="shared" si="86"/>
        <v>100</v>
      </c>
      <c r="S568" s="84">
        <f t="shared" si="87"/>
        <v>695</v>
      </c>
      <c r="T568" s="84">
        <f>50</f>
        <v>50</v>
      </c>
      <c r="U568" s="85"/>
      <c r="V568" s="85"/>
      <c r="W568" s="85"/>
      <c r="X568" s="85"/>
      <c r="Y568" s="85"/>
      <c r="Z568" s="85"/>
      <c r="AA568" s="85"/>
      <c r="AB568" s="85"/>
      <c r="AC568" s="85"/>
      <c r="AD568" s="85"/>
    </row>
    <row r="569" spans="1:30" ht="15.75" x14ac:dyDescent="0.25">
      <c r="A569" s="13">
        <v>58256</v>
      </c>
      <c r="B569" s="96">
        <v>30</v>
      </c>
      <c r="C569" s="84">
        <f>194.205</f>
        <v>194.20500000000001</v>
      </c>
      <c r="D569" s="84">
        <f>267.466</f>
        <v>267.46600000000001</v>
      </c>
      <c r="E569" s="93">
        <f>133.845</f>
        <v>133.845</v>
      </c>
      <c r="F569" s="84">
        <f>278.484-40-25-60-100</f>
        <v>53.48399999999998</v>
      </c>
      <c r="G569" s="87">
        <v>40</v>
      </c>
      <c r="H569" s="84">
        <f t="shared" si="91"/>
        <v>185</v>
      </c>
      <c r="I569" s="84">
        <f t="shared" si="90"/>
        <v>0</v>
      </c>
      <c r="J569" s="87">
        <v>100</v>
      </c>
      <c r="K569" s="87">
        <v>300</v>
      </c>
      <c r="L569" s="84">
        <f t="shared" si="84"/>
        <v>1274</v>
      </c>
      <c r="M569" s="95">
        <v>600</v>
      </c>
      <c r="N569" s="84">
        <f>30</f>
        <v>30</v>
      </c>
      <c r="O569" s="87">
        <v>240</v>
      </c>
      <c r="P569" s="87">
        <v>160</v>
      </c>
      <c r="Q569" s="87">
        <f t="shared" si="85"/>
        <v>195</v>
      </c>
      <c r="R569" s="87">
        <f t="shared" si="86"/>
        <v>100</v>
      </c>
      <c r="S569" s="84">
        <f t="shared" si="87"/>
        <v>695</v>
      </c>
      <c r="T569" s="84">
        <f>50</f>
        <v>50</v>
      </c>
      <c r="U569" s="85"/>
      <c r="V569" s="85"/>
      <c r="W569" s="85"/>
      <c r="X569" s="85"/>
      <c r="Y569" s="85"/>
      <c r="Z569" s="85"/>
      <c r="AA569" s="85"/>
      <c r="AB569" s="85"/>
      <c r="AC569" s="85"/>
      <c r="AD569" s="85"/>
    </row>
    <row r="570" spans="1:30" ht="15.75" x14ac:dyDescent="0.25">
      <c r="A570" s="13">
        <v>58287</v>
      </c>
      <c r="B570" s="96">
        <v>31</v>
      </c>
      <c r="C570" s="84">
        <f>194.205</f>
        <v>194.20500000000001</v>
      </c>
      <c r="D570" s="84">
        <f>267.466</f>
        <v>267.46600000000001</v>
      </c>
      <c r="E570" s="93">
        <f>133.845</f>
        <v>133.845</v>
      </c>
      <c r="F570" s="84">
        <f>278.484-40-25-60-100</f>
        <v>53.48399999999998</v>
      </c>
      <c r="G570" s="87">
        <v>40</v>
      </c>
      <c r="H570" s="84">
        <f t="shared" si="91"/>
        <v>185</v>
      </c>
      <c r="I570" s="84">
        <f t="shared" si="90"/>
        <v>0</v>
      </c>
      <c r="J570" s="87">
        <v>100</v>
      </c>
      <c r="K570" s="87">
        <v>300</v>
      </c>
      <c r="L570" s="84">
        <f t="shared" si="84"/>
        <v>1274</v>
      </c>
      <c r="M570" s="95">
        <v>600</v>
      </c>
      <c r="N570" s="84">
        <f>30</f>
        <v>30</v>
      </c>
      <c r="O570" s="87">
        <v>240</v>
      </c>
      <c r="P570" s="87">
        <v>160</v>
      </c>
      <c r="Q570" s="87">
        <f t="shared" si="85"/>
        <v>195</v>
      </c>
      <c r="R570" s="87">
        <f t="shared" si="86"/>
        <v>100</v>
      </c>
      <c r="S570" s="84">
        <f t="shared" si="87"/>
        <v>695</v>
      </c>
      <c r="T570" s="84">
        <f>0</f>
        <v>0</v>
      </c>
      <c r="U570" s="85"/>
      <c r="V570" s="85"/>
      <c r="W570" s="85"/>
      <c r="X570" s="85"/>
      <c r="Y570" s="85"/>
      <c r="Z570" s="85"/>
      <c r="AA570" s="85"/>
      <c r="AB570" s="85"/>
      <c r="AC570" s="85"/>
      <c r="AD570" s="85"/>
    </row>
    <row r="571" spans="1:30" ht="15.75" x14ac:dyDescent="0.25">
      <c r="A571" s="13">
        <v>58318</v>
      </c>
      <c r="B571" s="96">
        <v>31</v>
      </c>
      <c r="C571" s="84">
        <f>194.205</f>
        <v>194.20500000000001</v>
      </c>
      <c r="D571" s="84">
        <f>267.466</f>
        <v>267.46600000000001</v>
      </c>
      <c r="E571" s="93">
        <f>133.845</f>
        <v>133.845</v>
      </c>
      <c r="F571" s="84">
        <f>278.484-40-25-60-100</f>
        <v>53.48399999999998</v>
      </c>
      <c r="G571" s="87">
        <v>40</v>
      </c>
      <c r="H571" s="84">
        <f t="shared" si="91"/>
        <v>185</v>
      </c>
      <c r="I571" s="84">
        <f t="shared" si="90"/>
        <v>0</v>
      </c>
      <c r="J571" s="87">
        <v>100</v>
      </c>
      <c r="K571" s="87">
        <v>300</v>
      </c>
      <c r="L571" s="84">
        <f t="shared" si="84"/>
        <v>1274</v>
      </c>
      <c r="M571" s="95">
        <v>600</v>
      </c>
      <c r="N571" s="84">
        <f>30</f>
        <v>30</v>
      </c>
      <c r="O571" s="87">
        <v>240</v>
      </c>
      <c r="P571" s="87">
        <v>160</v>
      </c>
      <c r="Q571" s="87">
        <f t="shared" si="85"/>
        <v>195</v>
      </c>
      <c r="R571" s="87">
        <f t="shared" si="86"/>
        <v>100</v>
      </c>
      <c r="S571" s="84">
        <f t="shared" si="87"/>
        <v>695</v>
      </c>
      <c r="T571" s="84">
        <f>0</f>
        <v>0</v>
      </c>
      <c r="U571" s="85"/>
      <c r="V571" s="85"/>
      <c r="W571" s="85"/>
      <c r="X571" s="85"/>
      <c r="Y571" s="85"/>
      <c r="Z571" s="85"/>
      <c r="AA571" s="85"/>
      <c r="AB571" s="85"/>
      <c r="AC571" s="85"/>
      <c r="AD571" s="85"/>
    </row>
    <row r="572" spans="1:30" ht="15.75" x14ac:dyDescent="0.25">
      <c r="A572" s="13">
        <v>58348</v>
      </c>
      <c r="B572" s="96">
        <v>30</v>
      </c>
      <c r="C572" s="84">
        <f>194.205</f>
        <v>194.20500000000001</v>
      </c>
      <c r="D572" s="84">
        <f>267.466</f>
        <v>267.46600000000001</v>
      </c>
      <c r="E572" s="93">
        <f>133.845</f>
        <v>133.845</v>
      </c>
      <c r="F572" s="84">
        <f>278.484-40-25-60-100</f>
        <v>53.48399999999998</v>
      </c>
      <c r="G572" s="87">
        <v>40</v>
      </c>
      <c r="H572" s="84">
        <f t="shared" si="91"/>
        <v>185</v>
      </c>
      <c r="I572" s="84">
        <f t="shared" si="90"/>
        <v>0</v>
      </c>
      <c r="J572" s="87">
        <v>100</v>
      </c>
      <c r="K572" s="87">
        <v>300</v>
      </c>
      <c r="L572" s="84">
        <f t="shared" si="84"/>
        <v>1274</v>
      </c>
      <c r="M572" s="95">
        <v>600</v>
      </c>
      <c r="N572" s="84">
        <f>30</f>
        <v>30</v>
      </c>
      <c r="O572" s="87">
        <v>240</v>
      </c>
      <c r="P572" s="87">
        <v>160</v>
      </c>
      <c r="Q572" s="87">
        <f t="shared" si="85"/>
        <v>195</v>
      </c>
      <c r="R572" s="87">
        <f t="shared" si="86"/>
        <v>100</v>
      </c>
      <c r="S572" s="84">
        <f t="shared" si="87"/>
        <v>695</v>
      </c>
      <c r="T572" s="84">
        <f>0</f>
        <v>0</v>
      </c>
      <c r="U572" s="85"/>
      <c r="V572" s="85"/>
      <c r="W572" s="85"/>
      <c r="X572" s="85"/>
      <c r="Y572" s="85"/>
      <c r="Z572" s="85"/>
      <c r="AA572" s="85"/>
      <c r="AB572" s="85"/>
      <c r="AC572" s="85"/>
      <c r="AD572" s="85"/>
    </row>
    <row r="573" spans="1:30" ht="15.75" x14ac:dyDescent="0.25">
      <c r="A573" s="13">
        <v>58379</v>
      </c>
      <c r="B573" s="96">
        <v>31</v>
      </c>
      <c r="C573" s="84">
        <f>131.881</f>
        <v>131.881</v>
      </c>
      <c r="D573" s="84">
        <f>277.167</f>
        <v>277.16699999999997</v>
      </c>
      <c r="E573" s="93">
        <f>79.08</f>
        <v>79.08</v>
      </c>
      <c r="F573" s="84">
        <f>350.872-40-25-60-100</f>
        <v>125.87200000000001</v>
      </c>
      <c r="G573" s="87">
        <v>40</v>
      </c>
      <c r="H573" s="84">
        <f t="shared" si="91"/>
        <v>185</v>
      </c>
      <c r="I573" s="84">
        <f t="shared" si="90"/>
        <v>0</v>
      </c>
      <c r="J573" s="87">
        <v>100</v>
      </c>
      <c r="K573" s="87">
        <v>300</v>
      </c>
      <c r="L573" s="84">
        <f t="shared" si="84"/>
        <v>1239</v>
      </c>
      <c r="M573" s="95">
        <v>600</v>
      </c>
      <c r="N573" s="84">
        <f>75</f>
        <v>75</v>
      </c>
      <c r="O573" s="87">
        <v>240</v>
      </c>
      <c r="P573" s="87">
        <v>160</v>
      </c>
      <c r="Q573" s="87">
        <f t="shared" si="85"/>
        <v>195</v>
      </c>
      <c r="R573" s="87">
        <f t="shared" si="86"/>
        <v>100</v>
      </c>
      <c r="S573" s="84">
        <f t="shared" si="87"/>
        <v>695</v>
      </c>
      <c r="T573" s="84">
        <f>0</f>
        <v>0</v>
      </c>
      <c r="U573" s="85"/>
      <c r="V573" s="85"/>
      <c r="W573" s="85"/>
      <c r="X573" s="85"/>
      <c r="Y573" s="85"/>
      <c r="Z573" s="85"/>
      <c r="AA573" s="85"/>
      <c r="AB573" s="85"/>
      <c r="AC573" s="85"/>
      <c r="AD573" s="85"/>
    </row>
    <row r="574" spans="1:30" ht="15.75" x14ac:dyDescent="0.25">
      <c r="A574" s="13">
        <v>58409</v>
      </c>
      <c r="B574" s="96">
        <v>30</v>
      </c>
      <c r="C574" s="84">
        <f>122.58</f>
        <v>122.58</v>
      </c>
      <c r="D574" s="84">
        <f>297.941</f>
        <v>297.94099999999997</v>
      </c>
      <c r="E574" s="93">
        <f>89.177</f>
        <v>89.177000000000007</v>
      </c>
      <c r="F574" s="84">
        <f>240.302-40-60-100</f>
        <v>40.301999999999992</v>
      </c>
      <c r="G574" s="87">
        <v>40</v>
      </c>
      <c r="H574" s="84">
        <f>60+100</f>
        <v>160</v>
      </c>
      <c r="I574" s="84">
        <f t="shared" si="90"/>
        <v>0</v>
      </c>
      <c r="J574" s="87">
        <v>100</v>
      </c>
      <c r="K574" s="87">
        <v>300</v>
      </c>
      <c r="L574" s="84">
        <f t="shared" si="84"/>
        <v>1150</v>
      </c>
      <c r="M574" s="95">
        <v>600</v>
      </c>
      <c r="N574" s="84">
        <f>100</f>
        <v>100</v>
      </c>
      <c r="O574" s="87">
        <v>240</v>
      </c>
      <c r="P574" s="87">
        <v>40</v>
      </c>
      <c r="Q574" s="87">
        <f t="shared" si="85"/>
        <v>315</v>
      </c>
      <c r="R574" s="87">
        <f t="shared" si="86"/>
        <v>100</v>
      </c>
      <c r="S574" s="84">
        <f t="shared" si="87"/>
        <v>695</v>
      </c>
      <c r="T574" s="84">
        <f>50</f>
        <v>50</v>
      </c>
      <c r="U574" s="85"/>
      <c r="V574" s="85"/>
      <c r="W574" s="85"/>
      <c r="X574" s="85"/>
      <c r="Y574" s="85"/>
      <c r="Z574" s="85"/>
      <c r="AA574" s="85"/>
      <c r="AB574" s="85"/>
      <c r="AC574" s="85"/>
      <c r="AD574" s="85"/>
    </row>
    <row r="575" spans="1:30" ht="15.75" x14ac:dyDescent="0.25">
      <c r="A575" s="13">
        <v>58440</v>
      </c>
      <c r="B575" s="96">
        <v>31</v>
      </c>
      <c r="C575" s="84">
        <f>122.58</f>
        <v>122.58</v>
      </c>
      <c r="D575" s="84">
        <f>297.941</f>
        <v>297.94099999999997</v>
      </c>
      <c r="E575" s="93">
        <f>89.177</f>
        <v>89.177000000000007</v>
      </c>
      <c r="F575" s="84">
        <f>240.302-40-60-100</f>
        <v>40.301999999999992</v>
      </c>
      <c r="G575" s="87">
        <v>40</v>
      </c>
      <c r="H575" s="84">
        <f>60+100</f>
        <v>160</v>
      </c>
      <c r="I575" s="84">
        <f t="shared" si="90"/>
        <v>0</v>
      </c>
      <c r="J575" s="87">
        <v>100</v>
      </c>
      <c r="K575" s="87">
        <v>300</v>
      </c>
      <c r="L575" s="84">
        <f t="shared" si="84"/>
        <v>1150</v>
      </c>
      <c r="M575" s="95">
        <v>600</v>
      </c>
      <c r="N575" s="84">
        <f>100</f>
        <v>100</v>
      </c>
      <c r="O575" s="87">
        <v>240</v>
      </c>
      <c r="P575" s="87">
        <v>40</v>
      </c>
      <c r="Q575" s="87">
        <f t="shared" si="85"/>
        <v>315</v>
      </c>
      <c r="R575" s="87">
        <f t="shared" si="86"/>
        <v>100</v>
      </c>
      <c r="S575" s="84">
        <f t="shared" si="87"/>
        <v>695</v>
      </c>
      <c r="T575" s="84">
        <f>50</f>
        <v>50</v>
      </c>
      <c r="U575" s="85"/>
      <c r="V575" s="85"/>
      <c r="W575" s="85"/>
      <c r="X575" s="85"/>
      <c r="Y575" s="85"/>
      <c r="Z575" s="85"/>
      <c r="AA575" s="85"/>
      <c r="AB575" s="85"/>
      <c r="AC575" s="85"/>
      <c r="AD575" s="85"/>
    </row>
    <row r="576" spans="1:30" ht="15.75" x14ac:dyDescent="0.25">
      <c r="A576" s="13">
        <v>58471</v>
      </c>
      <c r="B576" s="96">
        <v>31</v>
      </c>
      <c r="C576" s="84">
        <f>122.58</f>
        <v>122.58</v>
      </c>
      <c r="D576" s="84">
        <f>297.941</f>
        <v>297.94099999999997</v>
      </c>
      <c r="E576" s="93">
        <f>89.177</f>
        <v>89.177000000000007</v>
      </c>
      <c r="F576" s="84">
        <f>240.302-40-60-100</f>
        <v>40.301999999999992</v>
      </c>
      <c r="G576" s="87">
        <v>40</v>
      </c>
      <c r="H576" s="84">
        <f>60+100</f>
        <v>160</v>
      </c>
      <c r="I576" s="84">
        <f t="shared" si="90"/>
        <v>0</v>
      </c>
      <c r="J576" s="87">
        <v>100</v>
      </c>
      <c r="K576" s="87">
        <v>300</v>
      </c>
      <c r="L576" s="84">
        <f t="shared" si="84"/>
        <v>1150</v>
      </c>
      <c r="M576" s="95">
        <v>600</v>
      </c>
      <c r="N576" s="84">
        <f>100</f>
        <v>100</v>
      </c>
      <c r="O576" s="87">
        <v>240</v>
      </c>
      <c r="P576" s="87">
        <v>40</v>
      </c>
      <c r="Q576" s="87">
        <f t="shared" si="85"/>
        <v>315</v>
      </c>
      <c r="R576" s="87">
        <f t="shared" si="86"/>
        <v>100</v>
      </c>
      <c r="S576" s="84">
        <f t="shared" si="87"/>
        <v>695</v>
      </c>
      <c r="T576" s="84">
        <f>50</f>
        <v>50</v>
      </c>
      <c r="U576" s="85"/>
      <c r="V576" s="85"/>
      <c r="W576" s="85"/>
      <c r="X576" s="85"/>
      <c r="Y576" s="85"/>
      <c r="Z576" s="85"/>
      <c r="AA576" s="85"/>
      <c r="AB576" s="85"/>
      <c r="AC576" s="85"/>
      <c r="AD576" s="85"/>
    </row>
    <row r="577" spans="1:30" ht="15.75" x14ac:dyDescent="0.25">
      <c r="A577" s="13">
        <v>58499</v>
      </c>
      <c r="B577" s="96">
        <v>29</v>
      </c>
      <c r="C577" s="84">
        <f>122.58</f>
        <v>122.58</v>
      </c>
      <c r="D577" s="84">
        <f>297.941</f>
        <v>297.94099999999997</v>
      </c>
      <c r="E577" s="93">
        <f>89.177</f>
        <v>89.177000000000007</v>
      </c>
      <c r="F577" s="84">
        <f>240.302-40-60-100</f>
        <v>40.301999999999992</v>
      </c>
      <c r="G577" s="87">
        <v>40</v>
      </c>
      <c r="H577" s="84">
        <f>60+100</f>
        <v>160</v>
      </c>
      <c r="I577" s="84">
        <f t="shared" si="90"/>
        <v>0</v>
      </c>
      <c r="J577" s="87">
        <v>100</v>
      </c>
      <c r="K577" s="87">
        <v>300</v>
      </c>
      <c r="L577" s="84">
        <f t="shared" si="84"/>
        <v>1150</v>
      </c>
      <c r="M577" s="95">
        <v>600</v>
      </c>
      <c r="N577" s="84">
        <f>100</f>
        <v>100</v>
      </c>
      <c r="O577" s="87">
        <v>240</v>
      </c>
      <c r="P577" s="87">
        <v>40</v>
      </c>
      <c r="Q577" s="87">
        <f t="shared" si="85"/>
        <v>315</v>
      </c>
      <c r="R577" s="87">
        <f t="shared" si="86"/>
        <v>100</v>
      </c>
      <c r="S577" s="84">
        <f t="shared" si="87"/>
        <v>695</v>
      </c>
      <c r="T577" s="84">
        <f>50</f>
        <v>50</v>
      </c>
      <c r="U577" s="85"/>
      <c r="V577" s="85"/>
      <c r="W577" s="85"/>
      <c r="X577" s="85"/>
      <c r="Y577" s="85"/>
      <c r="Z577" s="85"/>
      <c r="AA577" s="85"/>
      <c r="AB577" s="85"/>
      <c r="AC577" s="85"/>
      <c r="AD577" s="85"/>
    </row>
    <row r="578" spans="1:30" ht="15.75" x14ac:dyDescent="0.25">
      <c r="A578" s="13">
        <v>58531</v>
      </c>
      <c r="B578" s="96">
        <v>31</v>
      </c>
      <c r="C578" s="84">
        <f>122.58</f>
        <v>122.58</v>
      </c>
      <c r="D578" s="84">
        <f>297.941</f>
        <v>297.94099999999997</v>
      </c>
      <c r="E578" s="93">
        <f>89.177</f>
        <v>89.177000000000007</v>
      </c>
      <c r="F578" s="84">
        <f>240.302-40-60-100</f>
        <v>40.301999999999992</v>
      </c>
      <c r="G578" s="87">
        <v>40</v>
      </c>
      <c r="H578" s="84">
        <f>60+100</f>
        <v>160</v>
      </c>
      <c r="I578" s="84">
        <f t="shared" si="90"/>
        <v>0</v>
      </c>
      <c r="J578" s="87">
        <v>100</v>
      </c>
      <c r="K578" s="87">
        <v>300</v>
      </c>
      <c r="L578" s="84">
        <f t="shared" si="84"/>
        <v>1150</v>
      </c>
      <c r="M578" s="95">
        <v>600</v>
      </c>
      <c r="N578" s="84">
        <f>100</f>
        <v>100</v>
      </c>
      <c r="O578" s="87">
        <v>240</v>
      </c>
      <c r="P578" s="87">
        <v>40</v>
      </c>
      <c r="Q578" s="87">
        <f t="shared" si="85"/>
        <v>315</v>
      </c>
      <c r="R578" s="87">
        <f t="shared" si="86"/>
        <v>100</v>
      </c>
      <c r="S578" s="84">
        <f t="shared" si="87"/>
        <v>695</v>
      </c>
      <c r="T578" s="84">
        <f>50</f>
        <v>50</v>
      </c>
      <c r="U578" s="85"/>
      <c r="V578" s="85"/>
      <c r="W578" s="85"/>
      <c r="X578" s="85"/>
      <c r="Y578" s="85"/>
      <c r="Z578" s="85"/>
      <c r="AA578" s="85"/>
      <c r="AB578" s="85"/>
      <c r="AC578" s="85"/>
      <c r="AD578" s="85"/>
    </row>
    <row r="579" spans="1:30" ht="15.75" x14ac:dyDescent="0.25">
      <c r="A579" s="13">
        <v>58561</v>
      </c>
      <c r="B579" s="96">
        <v>30</v>
      </c>
      <c r="C579" s="84">
        <f>141.293</f>
        <v>141.29300000000001</v>
      </c>
      <c r="D579" s="84">
        <f>267.993</f>
        <v>267.99299999999999</v>
      </c>
      <c r="E579" s="93">
        <f>115.016</f>
        <v>115.01600000000001</v>
      </c>
      <c r="F579" s="84">
        <f>314.698-40-25-60-100</f>
        <v>89.697999999999979</v>
      </c>
      <c r="G579" s="87">
        <v>40</v>
      </c>
      <c r="H579" s="84">
        <f t="shared" ref="H579:H585" si="92">25+60+100</f>
        <v>185</v>
      </c>
      <c r="I579" s="84">
        <f t="shared" si="90"/>
        <v>0</v>
      </c>
      <c r="J579" s="87">
        <v>100</v>
      </c>
      <c r="K579" s="87">
        <v>300</v>
      </c>
      <c r="L579" s="84">
        <f t="shared" si="84"/>
        <v>1239</v>
      </c>
      <c r="M579" s="95">
        <v>600</v>
      </c>
      <c r="N579" s="84">
        <f>100</f>
        <v>100</v>
      </c>
      <c r="O579" s="87">
        <v>240</v>
      </c>
      <c r="P579" s="87">
        <v>160</v>
      </c>
      <c r="Q579" s="87">
        <f t="shared" si="85"/>
        <v>195</v>
      </c>
      <c r="R579" s="87">
        <f t="shared" si="86"/>
        <v>100</v>
      </c>
      <c r="S579" s="84">
        <f t="shared" si="87"/>
        <v>695</v>
      </c>
      <c r="T579" s="84">
        <f>50</f>
        <v>50</v>
      </c>
      <c r="U579" s="85"/>
      <c r="V579" s="85"/>
      <c r="W579" s="85"/>
      <c r="X579" s="85"/>
      <c r="Y579" s="85"/>
      <c r="Z579" s="85"/>
      <c r="AA579" s="85"/>
      <c r="AB579" s="85"/>
      <c r="AC579" s="85"/>
      <c r="AD579" s="85"/>
    </row>
    <row r="580" spans="1:30" ht="15.75" x14ac:dyDescent="0.25">
      <c r="A580" s="13">
        <v>58592</v>
      </c>
      <c r="B580" s="96">
        <v>31</v>
      </c>
      <c r="C580" s="84">
        <f>194.205</f>
        <v>194.20500000000001</v>
      </c>
      <c r="D580" s="84">
        <f>267.466</f>
        <v>267.46600000000001</v>
      </c>
      <c r="E580" s="93">
        <f>133.845</f>
        <v>133.845</v>
      </c>
      <c r="F580" s="84">
        <f>278.484-40-25-60-100</f>
        <v>53.48399999999998</v>
      </c>
      <c r="G580" s="87">
        <v>40</v>
      </c>
      <c r="H580" s="84">
        <f t="shared" si="92"/>
        <v>185</v>
      </c>
      <c r="I580" s="84">
        <f t="shared" si="90"/>
        <v>0</v>
      </c>
      <c r="J580" s="87">
        <v>100</v>
      </c>
      <c r="K580" s="87">
        <v>300</v>
      </c>
      <c r="L580" s="84">
        <f t="shared" si="84"/>
        <v>1274</v>
      </c>
      <c r="M580" s="95">
        <v>600</v>
      </c>
      <c r="N580" s="84">
        <f>75</f>
        <v>75</v>
      </c>
      <c r="O580" s="87">
        <v>240</v>
      </c>
      <c r="P580" s="87">
        <v>160</v>
      </c>
      <c r="Q580" s="87">
        <f t="shared" si="85"/>
        <v>195</v>
      </c>
      <c r="R580" s="87">
        <f t="shared" si="86"/>
        <v>100</v>
      </c>
      <c r="S580" s="84">
        <f t="shared" si="87"/>
        <v>695</v>
      </c>
      <c r="T580" s="84">
        <f>50</f>
        <v>50</v>
      </c>
      <c r="U580" s="85"/>
      <c r="V580" s="85"/>
      <c r="W580" s="85"/>
      <c r="X580" s="85"/>
      <c r="Y580" s="85"/>
      <c r="Z580" s="85"/>
      <c r="AA580" s="85"/>
      <c r="AB580" s="85"/>
      <c r="AC580" s="85"/>
      <c r="AD580" s="85"/>
    </row>
    <row r="581" spans="1:30" ht="15.75" x14ac:dyDescent="0.25">
      <c r="A581" s="13">
        <v>58622</v>
      </c>
      <c r="B581" s="96">
        <v>30</v>
      </c>
      <c r="C581" s="84">
        <f>194.205</f>
        <v>194.20500000000001</v>
      </c>
      <c r="D581" s="84">
        <f>267.466</f>
        <v>267.46600000000001</v>
      </c>
      <c r="E581" s="93">
        <f>133.845</f>
        <v>133.845</v>
      </c>
      <c r="F581" s="84">
        <f>278.484-40-25-60-100</f>
        <v>53.48399999999998</v>
      </c>
      <c r="G581" s="87">
        <v>40</v>
      </c>
      <c r="H581" s="84">
        <f t="shared" si="92"/>
        <v>185</v>
      </c>
      <c r="I581" s="84">
        <f t="shared" si="90"/>
        <v>0</v>
      </c>
      <c r="J581" s="87">
        <v>100</v>
      </c>
      <c r="K581" s="87">
        <v>300</v>
      </c>
      <c r="L581" s="84">
        <f t="shared" si="84"/>
        <v>1274</v>
      </c>
      <c r="M581" s="95">
        <v>600</v>
      </c>
      <c r="N581" s="84">
        <f>30</f>
        <v>30</v>
      </c>
      <c r="O581" s="87">
        <v>240</v>
      </c>
      <c r="P581" s="87">
        <v>160</v>
      </c>
      <c r="Q581" s="87">
        <f t="shared" si="85"/>
        <v>195</v>
      </c>
      <c r="R581" s="87">
        <f t="shared" si="86"/>
        <v>100</v>
      </c>
      <c r="S581" s="84">
        <f t="shared" si="87"/>
        <v>695</v>
      </c>
      <c r="T581" s="84">
        <f>50</f>
        <v>50</v>
      </c>
      <c r="U581" s="85"/>
      <c r="V581" s="85"/>
      <c r="W581" s="85"/>
      <c r="X581" s="85"/>
      <c r="Y581" s="85"/>
      <c r="Z581" s="85"/>
      <c r="AA581" s="85"/>
      <c r="AB581" s="85"/>
      <c r="AC581" s="85"/>
      <c r="AD581" s="85"/>
    </row>
    <row r="582" spans="1:30" ht="15.75" x14ac:dyDescent="0.25">
      <c r="A582" s="13">
        <v>58653</v>
      </c>
      <c r="B582" s="96">
        <v>31</v>
      </c>
      <c r="C582" s="84">
        <f>194.205</f>
        <v>194.20500000000001</v>
      </c>
      <c r="D582" s="84">
        <f>267.466</f>
        <v>267.46600000000001</v>
      </c>
      <c r="E582" s="93">
        <f>133.845</f>
        <v>133.845</v>
      </c>
      <c r="F582" s="84">
        <f>278.484-40-25-60-100</f>
        <v>53.48399999999998</v>
      </c>
      <c r="G582" s="87">
        <v>40</v>
      </c>
      <c r="H582" s="84">
        <f t="shared" si="92"/>
        <v>185</v>
      </c>
      <c r="I582" s="84">
        <f t="shared" si="90"/>
        <v>0</v>
      </c>
      <c r="J582" s="87">
        <v>100</v>
      </c>
      <c r="K582" s="87">
        <v>300</v>
      </c>
      <c r="L582" s="84">
        <f t="shared" si="84"/>
        <v>1274</v>
      </c>
      <c r="M582" s="95">
        <v>600</v>
      </c>
      <c r="N582" s="84">
        <f>30</f>
        <v>30</v>
      </c>
      <c r="O582" s="87">
        <v>240</v>
      </c>
      <c r="P582" s="87">
        <v>160</v>
      </c>
      <c r="Q582" s="87">
        <f t="shared" si="85"/>
        <v>195</v>
      </c>
      <c r="R582" s="87">
        <f t="shared" si="86"/>
        <v>100</v>
      </c>
      <c r="S582" s="84">
        <f t="shared" si="87"/>
        <v>695</v>
      </c>
      <c r="T582" s="84">
        <f>0</f>
        <v>0</v>
      </c>
      <c r="U582" s="85"/>
      <c r="V582" s="85"/>
      <c r="W582" s="85"/>
      <c r="X582" s="85"/>
      <c r="Y582" s="85"/>
      <c r="Z582" s="85"/>
      <c r="AA582" s="85"/>
      <c r="AB582" s="85"/>
      <c r="AC582" s="85"/>
      <c r="AD582" s="85"/>
    </row>
    <row r="583" spans="1:30" ht="15.75" x14ac:dyDescent="0.25">
      <c r="A583" s="13">
        <v>58684</v>
      </c>
      <c r="B583" s="96">
        <v>31</v>
      </c>
      <c r="C583" s="84">
        <f>194.205</f>
        <v>194.20500000000001</v>
      </c>
      <c r="D583" s="84">
        <f>267.466</f>
        <v>267.46600000000001</v>
      </c>
      <c r="E583" s="93">
        <f>133.845</f>
        <v>133.845</v>
      </c>
      <c r="F583" s="84">
        <f>278.484-40-25-60-100</f>
        <v>53.48399999999998</v>
      </c>
      <c r="G583" s="87">
        <v>40</v>
      </c>
      <c r="H583" s="84">
        <f t="shared" si="92"/>
        <v>185</v>
      </c>
      <c r="I583" s="84">
        <f t="shared" si="90"/>
        <v>0</v>
      </c>
      <c r="J583" s="87">
        <v>100</v>
      </c>
      <c r="K583" s="87">
        <v>300</v>
      </c>
      <c r="L583" s="84">
        <f t="shared" si="84"/>
        <v>1274</v>
      </c>
      <c r="M583" s="95">
        <v>600</v>
      </c>
      <c r="N583" s="84">
        <f>30</f>
        <v>30</v>
      </c>
      <c r="O583" s="87">
        <v>240</v>
      </c>
      <c r="P583" s="87">
        <v>160</v>
      </c>
      <c r="Q583" s="87">
        <f t="shared" si="85"/>
        <v>195</v>
      </c>
      <c r="R583" s="87">
        <f t="shared" si="86"/>
        <v>100</v>
      </c>
      <c r="S583" s="84">
        <f t="shared" si="87"/>
        <v>695</v>
      </c>
      <c r="T583" s="84">
        <f>0</f>
        <v>0</v>
      </c>
      <c r="U583" s="85"/>
      <c r="V583" s="85"/>
      <c r="W583" s="85"/>
      <c r="X583" s="85"/>
      <c r="Y583" s="85"/>
      <c r="Z583" s="85"/>
      <c r="AA583" s="85"/>
      <c r="AB583" s="85"/>
      <c r="AC583" s="85"/>
      <c r="AD583" s="85"/>
    </row>
    <row r="584" spans="1:30" ht="15.75" x14ac:dyDescent="0.25">
      <c r="A584" s="13">
        <v>58714</v>
      </c>
      <c r="B584" s="96">
        <v>30</v>
      </c>
      <c r="C584" s="84">
        <f>194.205</f>
        <v>194.20500000000001</v>
      </c>
      <c r="D584" s="84">
        <f>267.466</f>
        <v>267.46600000000001</v>
      </c>
      <c r="E584" s="93">
        <f>133.845</f>
        <v>133.845</v>
      </c>
      <c r="F584" s="84">
        <f>278.484-40-25-60-100</f>
        <v>53.48399999999998</v>
      </c>
      <c r="G584" s="87">
        <v>40</v>
      </c>
      <c r="H584" s="84">
        <f t="shared" si="92"/>
        <v>185</v>
      </c>
      <c r="I584" s="84">
        <f t="shared" si="90"/>
        <v>0</v>
      </c>
      <c r="J584" s="87">
        <v>100</v>
      </c>
      <c r="K584" s="87">
        <v>300</v>
      </c>
      <c r="L584" s="84">
        <f t="shared" si="84"/>
        <v>1274</v>
      </c>
      <c r="M584" s="95">
        <v>600</v>
      </c>
      <c r="N584" s="84">
        <f>30</f>
        <v>30</v>
      </c>
      <c r="O584" s="87">
        <v>240</v>
      </c>
      <c r="P584" s="87">
        <v>160</v>
      </c>
      <c r="Q584" s="87">
        <f t="shared" si="85"/>
        <v>195</v>
      </c>
      <c r="R584" s="87">
        <f t="shared" si="86"/>
        <v>100</v>
      </c>
      <c r="S584" s="84">
        <f t="shared" si="87"/>
        <v>695</v>
      </c>
      <c r="T584" s="84">
        <f>0</f>
        <v>0</v>
      </c>
      <c r="U584" s="85"/>
      <c r="V584" s="85"/>
      <c r="W584" s="85"/>
      <c r="X584" s="85"/>
      <c r="Y584" s="85"/>
      <c r="Z584" s="85"/>
      <c r="AA584" s="85"/>
      <c r="AB584" s="85"/>
      <c r="AC584" s="85"/>
      <c r="AD584" s="85"/>
    </row>
    <row r="585" spans="1:30" ht="15.75" x14ac:dyDescent="0.25">
      <c r="A585" s="13">
        <v>58745</v>
      </c>
      <c r="B585" s="96">
        <v>31</v>
      </c>
      <c r="C585" s="84">
        <f>131.881</f>
        <v>131.881</v>
      </c>
      <c r="D585" s="84">
        <f>277.167</f>
        <v>277.16699999999997</v>
      </c>
      <c r="E585" s="93">
        <f>79.08</f>
        <v>79.08</v>
      </c>
      <c r="F585" s="84">
        <f>350.872-40-25-60-100</f>
        <v>125.87200000000001</v>
      </c>
      <c r="G585" s="87">
        <v>40</v>
      </c>
      <c r="H585" s="84">
        <f t="shared" si="92"/>
        <v>185</v>
      </c>
      <c r="I585" s="84">
        <f t="shared" si="90"/>
        <v>0</v>
      </c>
      <c r="J585" s="87">
        <v>100</v>
      </c>
      <c r="K585" s="87">
        <v>300</v>
      </c>
      <c r="L585" s="84">
        <f t="shared" si="84"/>
        <v>1239</v>
      </c>
      <c r="M585" s="95">
        <v>600</v>
      </c>
      <c r="N585" s="84">
        <f>75</f>
        <v>75</v>
      </c>
      <c r="O585" s="87">
        <v>240</v>
      </c>
      <c r="P585" s="87">
        <v>160</v>
      </c>
      <c r="Q585" s="87">
        <f t="shared" si="85"/>
        <v>195</v>
      </c>
      <c r="R585" s="87">
        <f t="shared" si="86"/>
        <v>100</v>
      </c>
      <c r="S585" s="84">
        <f t="shared" si="87"/>
        <v>695</v>
      </c>
      <c r="T585" s="84">
        <f>0</f>
        <v>0</v>
      </c>
      <c r="U585" s="85"/>
      <c r="V585" s="85"/>
      <c r="W585" s="85"/>
      <c r="X585" s="85"/>
      <c r="Y585" s="85"/>
      <c r="Z585" s="85"/>
      <c r="AA585" s="85"/>
      <c r="AB585" s="85"/>
      <c r="AC585" s="85"/>
      <c r="AD585" s="85"/>
    </row>
    <row r="586" spans="1:30" ht="15.75" x14ac:dyDescent="0.25">
      <c r="A586" s="13">
        <v>58775</v>
      </c>
      <c r="B586" s="96">
        <v>30</v>
      </c>
      <c r="C586" s="84">
        <f>122.58</f>
        <v>122.58</v>
      </c>
      <c r="D586" s="84">
        <f>297.941</f>
        <v>297.94099999999997</v>
      </c>
      <c r="E586" s="93">
        <f>89.177</f>
        <v>89.177000000000007</v>
      </c>
      <c r="F586" s="84">
        <f>240.302-40-60-100</f>
        <v>40.301999999999992</v>
      </c>
      <c r="G586" s="87">
        <v>40</v>
      </c>
      <c r="H586" s="84">
        <f>60+100</f>
        <v>160</v>
      </c>
      <c r="I586" s="84">
        <f t="shared" si="90"/>
        <v>0</v>
      </c>
      <c r="J586" s="87">
        <v>100</v>
      </c>
      <c r="K586" s="87">
        <v>300</v>
      </c>
      <c r="L586" s="84">
        <f t="shared" si="84"/>
        <v>1150</v>
      </c>
      <c r="M586" s="95">
        <v>600</v>
      </c>
      <c r="N586" s="84">
        <f>100</f>
        <v>100</v>
      </c>
      <c r="O586" s="87">
        <v>240</v>
      </c>
      <c r="P586" s="87">
        <v>40</v>
      </c>
      <c r="Q586" s="87">
        <f t="shared" si="85"/>
        <v>315</v>
      </c>
      <c r="R586" s="87">
        <f t="shared" si="86"/>
        <v>100</v>
      </c>
      <c r="S586" s="84">
        <f t="shared" si="87"/>
        <v>695</v>
      </c>
      <c r="T586" s="84">
        <f>50</f>
        <v>50</v>
      </c>
      <c r="U586" s="85"/>
      <c r="V586" s="85"/>
      <c r="W586" s="85"/>
      <c r="X586" s="85"/>
      <c r="Y586" s="85"/>
      <c r="Z586" s="85"/>
      <c r="AA586" s="85"/>
      <c r="AB586" s="85"/>
      <c r="AC586" s="85"/>
      <c r="AD586" s="85"/>
    </row>
    <row r="587" spans="1:30" ht="15.75" x14ac:dyDescent="0.25">
      <c r="A587" s="13">
        <v>58806</v>
      </c>
      <c r="B587" s="96">
        <v>31</v>
      </c>
      <c r="C587" s="84">
        <f>122.58</f>
        <v>122.58</v>
      </c>
      <c r="D587" s="84">
        <f>297.941</f>
        <v>297.94099999999997</v>
      </c>
      <c r="E587" s="93">
        <f>89.177</f>
        <v>89.177000000000007</v>
      </c>
      <c r="F587" s="84">
        <f>240.302-40-60-100</f>
        <v>40.301999999999992</v>
      </c>
      <c r="G587" s="87">
        <v>40</v>
      </c>
      <c r="H587" s="84">
        <f>60+100</f>
        <v>160</v>
      </c>
      <c r="I587" s="84">
        <f t="shared" si="90"/>
        <v>0</v>
      </c>
      <c r="J587" s="87">
        <v>100</v>
      </c>
      <c r="K587" s="87">
        <v>300</v>
      </c>
      <c r="L587" s="84">
        <f t="shared" si="84"/>
        <v>1150</v>
      </c>
      <c r="M587" s="95">
        <v>600</v>
      </c>
      <c r="N587" s="84">
        <f>100</f>
        <v>100</v>
      </c>
      <c r="O587" s="87">
        <v>240</v>
      </c>
      <c r="P587" s="87">
        <v>40</v>
      </c>
      <c r="Q587" s="87">
        <f t="shared" si="85"/>
        <v>315</v>
      </c>
      <c r="R587" s="87">
        <f t="shared" si="86"/>
        <v>100</v>
      </c>
      <c r="S587" s="84">
        <f t="shared" si="87"/>
        <v>695</v>
      </c>
      <c r="T587" s="84">
        <f>50</f>
        <v>50</v>
      </c>
      <c r="U587" s="85"/>
      <c r="V587" s="85"/>
      <c r="W587" s="85"/>
      <c r="X587" s="85"/>
      <c r="Y587" s="85"/>
      <c r="Z587" s="85"/>
      <c r="AA587" s="85"/>
      <c r="AB587" s="85"/>
      <c r="AC587" s="85"/>
      <c r="AD587" s="85"/>
    </row>
    <row r="588" spans="1:30" ht="15.75" x14ac:dyDescent="0.25">
      <c r="A588" s="13">
        <v>58837</v>
      </c>
      <c r="B588" s="96">
        <v>31</v>
      </c>
      <c r="C588" s="84">
        <f>122.58</f>
        <v>122.58</v>
      </c>
      <c r="D588" s="84">
        <f>297.941</f>
        <v>297.94099999999997</v>
      </c>
      <c r="E588" s="93">
        <f>89.177</f>
        <v>89.177000000000007</v>
      </c>
      <c r="F588" s="84">
        <f>240.302-40-60-100</f>
        <v>40.301999999999992</v>
      </c>
      <c r="G588" s="87">
        <v>40</v>
      </c>
      <c r="H588" s="84">
        <f>60+100</f>
        <v>160</v>
      </c>
      <c r="I588" s="84">
        <f t="shared" si="90"/>
        <v>0</v>
      </c>
      <c r="J588" s="87">
        <v>100</v>
      </c>
      <c r="K588" s="87">
        <v>300</v>
      </c>
      <c r="L588" s="84">
        <f t="shared" si="84"/>
        <v>1150</v>
      </c>
      <c r="M588" s="95">
        <v>600</v>
      </c>
      <c r="N588" s="84">
        <f>100</f>
        <v>100</v>
      </c>
      <c r="O588" s="87">
        <v>240</v>
      </c>
      <c r="P588" s="87">
        <v>40</v>
      </c>
      <c r="Q588" s="87">
        <f t="shared" si="85"/>
        <v>315</v>
      </c>
      <c r="R588" s="87">
        <f t="shared" si="86"/>
        <v>100</v>
      </c>
      <c r="S588" s="84">
        <f t="shared" si="87"/>
        <v>695</v>
      </c>
      <c r="T588" s="84">
        <f>50</f>
        <v>50</v>
      </c>
      <c r="U588" s="85"/>
      <c r="V588" s="85"/>
      <c r="W588" s="85"/>
      <c r="X588" s="85"/>
      <c r="Y588" s="85"/>
      <c r="Z588" s="85"/>
      <c r="AA588" s="85"/>
      <c r="AB588" s="85"/>
      <c r="AC588" s="85"/>
      <c r="AD588" s="85"/>
    </row>
    <row r="589" spans="1:30" ht="15.75" x14ac:dyDescent="0.25">
      <c r="A589" s="13">
        <v>58865</v>
      </c>
      <c r="B589" s="96">
        <v>28</v>
      </c>
      <c r="C589" s="84">
        <f>122.58</f>
        <v>122.58</v>
      </c>
      <c r="D589" s="84">
        <f>297.941</f>
        <v>297.94099999999997</v>
      </c>
      <c r="E589" s="93">
        <f>89.177</f>
        <v>89.177000000000007</v>
      </c>
      <c r="F589" s="84">
        <f>240.302-40-60-100</f>
        <v>40.301999999999992</v>
      </c>
      <c r="G589" s="87">
        <v>40</v>
      </c>
      <c r="H589" s="84">
        <f>60+100</f>
        <v>160</v>
      </c>
      <c r="I589" s="84">
        <f t="shared" si="90"/>
        <v>0</v>
      </c>
      <c r="J589" s="87">
        <v>100</v>
      </c>
      <c r="K589" s="87">
        <v>300</v>
      </c>
      <c r="L589" s="84">
        <f t="shared" si="84"/>
        <v>1150</v>
      </c>
      <c r="M589" s="95">
        <v>600</v>
      </c>
      <c r="N589" s="84">
        <f>100</f>
        <v>100</v>
      </c>
      <c r="O589" s="87">
        <v>240</v>
      </c>
      <c r="P589" s="87">
        <v>40</v>
      </c>
      <c r="Q589" s="87">
        <f t="shared" si="85"/>
        <v>315</v>
      </c>
      <c r="R589" s="87">
        <f t="shared" si="86"/>
        <v>100</v>
      </c>
      <c r="S589" s="84">
        <f t="shared" si="87"/>
        <v>695</v>
      </c>
      <c r="T589" s="84">
        <f>50</f>
        <v>50</v>
      </c>
      <c r="U589" s="85"/>
      <c r="V589" s="85"/>
      <c r="W589" s="85"/>
      <c r="X589" s="85"/>
      <c r="Y589" s="85"/>
      <c r="Z589" s="85"/>
      <c r="AA589" s="85"/>
      <c r="AB589" s="85"/>
      <c r="AC589" s="85"/>
      <c r="AD589" s="85"/>
    </row>
    <row r="590" spans="1:30" ht="15.75" x14ac:dyDescent="0.25">
      <c r="A590" s="13">
        <v>58893</v>
      </c>
      <c r="B590" s="96">
        <v>31</v>
      </c>
      <c r="C590" s="84">
        <f>122.58</f>
        <v>122.58</v>
      </c>
      <c r="D590" s="84">
        <f>297.941</f>
        <v>297.94099999999997</v>
      </c>
      <c r="E590" s="93">
        <f>89.177</f>
        <v>89.177000000000007</v>
      </c>
      <c r="F590" s="84">
        <f>240.302-40-60-100</f>
        <v>40.301999999999992</v>
      </c>
      <c r="G590" s="87">
        <v>40</v>
      </c>
      <c r="H590" s="84">
        <f>60+100</f>
        <v>160</v>
      </c>
      <c r="I590" s="84">
        <f t="shared" si="90"/>
        <v>0</v>
      </c>
      <c r="J590" s="87">
        <v>100</v>
      </c>
      <c r="K590" s="87">
        <v>300</v>
      </c>
      <c r="L590" s="84">
        <f t="shared" si="84"/>
        <v>1150</v>
      </c>
      <c r="M590" s="95">
        <v>600</v>
      </c>
      <c r="N590" s="84">
        <f>100</f>
        <v>100</v>
      </c>
      <c r="O590" s="87">
        <v>240</v>
      </c>
      <c r="P590" s="87">
        <v>40</v>
      </c>
      <c r="Q590" s="87">
        <f t="shared" si="85"/>
        <v>315</v>
      </c>
      <c r="R590" s="87">
        <f t="shared" si="86"/>
        <v>100</v>
      </c>
      <c r="S590" s="84">
        <f t="shared" si="87"/>
        <v>695</v>
      </c>
      <c r="T590" s="84">
        <f>50</f>
        <v>50</v>
      </c>
      <c r="U590" s="85"/>
      <c r="V590" s="85"/>
      <c r="W590" s="85"/>
      <c r="X590" s="85"/>
      <c r="Y590" s="85"/>
      <c r="Z590" s="85"/>
      <c r="AA590" s="85"/>
      <c r="AB590" s="85"/>
      <c r="AC590" s="85"/>
      <c r="AD590" s="85"/>
    </row>
    <row r="591" spans="1:30" ht="15.75" x14ac:dyDescent="0.25">
      <c r="A591" s="13">
        <v>58926</v>
      </c>
      <c r="B591" s="96">
        <v>30</v>
      </c>
      <c r="C591" s="84">
        <f>141.293</f>
        <v>141.29300000000001</v>
      </c>
      <c r="D591" s="84">
        <f>267.993</f>
        <v>267.99299999999999</v>
      </c>
      <c r="E591" s="93">
        <f>115.016</f>
        <v>115.01600000000001</v>
      </c>
      <c r="F591" s="84">
        <f>314.698-40-25-60-100</f>
        <v>89.697999999999979</v>
      </c>
      <c r="G591" s="87">
        <v>40</v>
      </c>
      <c r="H591" s="84">
        <f t="shared" ref="H591:H597" si="93">25+60+100</f>
        <v>185</v>
      </c>
      <c r="I591" s="84">
        <f t="shared" si="90"/>
        <v>0</v>
      </c>
      <c r="J591" s="87">
        <v>100</v>
      </c>
      <c r="K591" s="87">
        <v>300</v>
      </c>
      <c r="L591" s="84">
        <f t="shared" si="84"/>
        <v>1239</v>
      </c>
      <c r="M591" s="95">
        <v>600</v>
      </c>
      <c r="N591" s="84">
        <f>100</f>
        <v>100</v>
      </c>
      <c r="O591" s="87">
        <v>240</v>
      </c>
      <c r="P591" s="87">
        <v>160</v>
      </c>
      <c r="Q591" s="87">
        <f t="shared" si="85"/>
        <v>195</v>
      </c>
      <c r="R591" s="87">
        <f t="shared" si="86"/>
        <v>100</v>
      </c>
      <c r="S591" s="84">
        <f t="shared" si="87"/>
        <v>695</v>
      </c>
      <c r="T591" s="84">
        <f>50</f>
        <v>50</v>
      </c>
      <c r="U591" s="85"/>
      <c r="V591" s="85"/>
      <c r="W591" s="85"/>
      <c r="X591" s="85"/>
      <c r="Y591" s="85"/>
      <c r="Z591" s="85"/>
      <c r="AA591" s="85"/>
      <c r="AB591" s="85"/>
      <c r="AC591" s="85"/>
      <c r="AD591" s="85"/>
    </row>
    <row r="592" spans="1:30" ht="15.75" x14ac:dyDescent="0.25">
      <c r="A592" s="13">
        <v>58957</v>
      </c>
      <c r="B592" s="96">
        <v>31</v>
      </c>
      <c r="C592" s="84">
        <f>194.205</f>
        <v>194.20500000000001</v>
      </c>
      <c r="D592" s="84">
        <f>267.466</f>
        <v>267.46600000000001</v>
      </c>
      <c r="E592" s="93">
        <f>133.845</f>
        <v>133.845</v>
      </c>
      <c r="F592" s="84">
        <f>278.484-40-25-60-100</f>
        <v>53.48399999999998</v>
      </c>
      <c r="G592" s="87">
        <v>40</v>
      </c>
      <c r="H592" s="84">
        <f t="shared" si="93"/>
        <v>185</v>
      </c>
      <c r="I592" s="84">
        <f t="shared" si="90"/>
        <v>0</v>
      </c>
      <c r="J592" s="87">
        <v>100</v>
      </c>
      <c r="K592" s="87">
        <v>300</v>
      </c>
      <c r="L592" s="84">
        <f t="shared" si="84"/>
        <v>1274</v>
      </c>
      <c r="M592" s="95">
        <v>600</v>
      </c>
      <c r="N592" s="84">
        <f>75</f>
        <v>75</v>
      </c>
      <c r="O592" s="87">
        <v>240</v>
      </c>
      <c r="P592" s="87">
        <v>160</v>
      </c>
      <c r="Q592" s="87">
        <f t="shared" si="85"/>
        <v>195</v>
      </c>
      <c r="R592" s="87">
        <f t="shared" si="86"/>
        <v>100</v>
      </c>
      <c r="S592" s="84">
        <f t="shared" si="87"/>
        <v>695</v>
      </c>
      <c r="T592" s="84">
        <f>50</f>
        <v>50</v>
      </c>
      <c r="U592" s="85"/>
      <c r="V592" s="85"/>
      <c r="W592" s="85"/>
      <c r="X592" s="85"/>
      <c r="Y592" s="85"/>
      <c r="Z592" s="85"/>
      <c r="AA592" s="85"/>
      <c r="AB592" s="85"/>
      <c r="AC592" s="85"/>
      <c r="AD592" s="85"/>
    </row>
    <row r="593" spans="1:30" ht="15.75" x14ac:dyDescent="0.25">
      <c r="A593" s="13">
        <v>58987</v>
      </c>
      <c r="B593" s="96">
        <v>30</v>
      </c>
      <c r="C593" s="84">
        <f>194.205</f>
        <v>194.20500000000001</v>
      </c>
      <c r="D593" s="84">
        <f>267.466</f>
        <v>267.46600000000001</v>
      </c>
      <c r="E593" s="93">
        <f>133.845</f>
        <v>133.845</v>
      </c>
      <c r="F593" s="84">
        <f>278.484-40-25-60-100</f>
        <v>53.48399999999998</v>
      </c>
      <c r="G593" s="87">
        <v>40</v>
      </c>
      <c r="H593" s="84">
        <f t="shared" si="93"/>
        <v>185</v>
      </c>
      <c r="I593" s="84">
        <f t="shared" si="90"/>
        <v>0</v>
      </c>
      <c r="J593" s="87">
        <v>100</v>
      </c>
      <c r="K593" s="87">
        <v>300</v>
      </c>
      <c r="L593" s="84">
        <f t="shared" si="84"/>
        <v>1274</v>
      </c>
      <c r="M593" s="95">
        <v>600</v>
      </c>
      <c r="N593" s="84">
        <f>30</f>
        <v>30</v>
      </c>
      <c r="O593" s="87">
        <v>240</v>
      </c>
      <c r="P593" s="87">
        <v>160</v>
      </c>
      <c r="Q593" s="87">
        <f t="shared" si="85"/>
        <v>195</v>
      </c>
      <c r="R593" s="87">
        <f t="shared" si="86"/>
        <v>100</v>
      </c>
      <c r="S593" s="84">
        <f t="shared" si="87"/>
        <v>695</v>
      </c>
      <c r="T593" s="84">
        <f>50</f>
        <v>50</v>
      </c>
      <c r="U593" s="85"/>
      <c r="V593" s="85"/>
      <c r="W593" s="85"/>
      <c r="X593" s="85"/>
      <c r="Y593" s="85"/>
      <c r="Z593" s="85"/>
      <c r="AA593" s="85"/>
      <c r="AB593" s="85"/>
      <c r="AC593" s="85"/>
      <c r="AD593" s="85"/>
    </row>
    <row r="594" spans="1:30" ht="15.75" x14ac:dyDescent="0.25">
      <c r="A594" s="13">
        <v>59018</v>
      </c>
      <c r="B594" s="96">
        <v>31</v>
      </c>
      <c r="C594" s="84">
        <f>194.205</f>
        <v>194.20500000000001</v>
      </c>
      <c r="D594" s="84">
        <f>267.466</f>
        <v>267.46600000000001</v>
      </c>
      <c r="E594" s="93">
        <f>133.845</f>
        <v>133.845</v>
      </c>
      <c r="F594" s="84">
        <f>278.484-40-25-60-100</f>
        <v>53.48399999999998</v>
      </c>
      <c r="G594" s="87">
        <v>40</v>
      </c>
      <c r="H594" s="84">
        <f t="shared" si="93"/>
        <v>185</v>
      </c>
      <c r="I594" s="84">
        <f t="shared" si="90"/>
        <v>0</v>
      </c>
      <c r="J594" s="87">
        <v>100</v>
      </c>
      <c r="K594" s="87">
        <v>300</v>
      </c>
      <c r="L594" s="84">
        <f t="shared" si="84"/>
        <v>1274</v>
      </c>
      <c r="M594" s="95">
        <v>600</v>
      </c>
      <c r="N594" s="84">
        <f>30</f>
        <v>30</v>
      </c>
      <c r="O594" s="87">
        <v>240</v>
      </c>
      <c r="P594" s="87">
        <v>160</v>
      </c>
      <c r="Q594" s="87">
        <f t="shared" si="85"/>
        <v>195</v>
      </c>
      <c r="R594" s="87">
        <f t="shared" si="86"/>
        <v>100</v>
      </c>
      <c r="S594" s="84">
        <f t="shared" si="87"/>
        <v>695</v>
      </c>
      <c r="T594" s="84">
        <f>0</f>
        <v>0</v>
      </c>
      <c r="U594" s="85"/>
      <c r="V594" s="85"/>
      <c r="W594" s="85"/>
      <c r="X594" s="85"/>
      <c r="Y594" s="85"/>
      <c r="Z594" s="85"/>
      <c r="AA594" s="85"/>
      <c r="AB594" s="85"/>
      <c r="AC594" s="85"/>
      <c r="AD594" s="85"/>
    </row>
    <row r="595" spans="1:30" ht="15.75" x14ac:dyDescent="0.25">
      <c r="A595" s="13">
        <v>59049</v>
      </c>
      <c r="B595" s="96">
        <v>31</v>
      </c>
      <c r="C595" s="84">
        <f>194.205</f>
        <v>194.20500000000001</v>
      </c>
      <c r="D595" s="84">
        <f>267.466</f>
        <v>267.46600000000001</v>
      </c>
      <c r="E595" s="93">
        <f>133.845</f>
        <v>133.845</v>
      </c>
      <c r="F595" s="84">
        <f>278.484-40-25-60-100</f>
        <v>53.48399999999998</v>
      </c>
      <c r="G595" s="87">
        <v>40</v>
      </c>
      <c r="H595" s="84">
        <f t="shared" si="93"/>
        <v>185</v>
      </c>
      <c r="I595" s="84">
        <f t="shared" si="90"/>
        <v>0</v>
      </c>
      <c r="J595" s="87">
        <v>100</v>
      </c>
      <c r="K595" s="87">
        <v>300</v>
      </c>
      <c r="L595" s="84">
        <f t="shared" si="84"/>
        <v>1274</v>
      </c>
      <c r="M595" s="95">
        <v>600</v>
      </c>
      <c r="N595" s="84">
        <f>30</f>
        <v>30</v>
      </c>
      <c r="O595" s="87">
        <v>240</v>
      </c>
      <c r="P595" s="87">
        <v>160</v>
      </c>
      <c r="Q595" s="87">
        <f t="shared" si="85"/>
        <v>195</v>
      </c>
      <c r="R595" s="87">
        <f t="shared" si="86"/>
        <v>100</v>
      </c>
      <c r="S595" s="84">
        <f t="shared" si="87"/>
        <v>695</v>
      </c>
      <c r="T595" s="84">
        <f>0</f>
        <v>0</v>
      </c>
      <c r="U595" s="85"/>
      <c r="V595" s="85"/>
      <c r="W595" s="85"/>
      <c r="X595" s="85"/>
      <c r="Y595" s="85"/>
      <c r="Z595" s="85"/>
      <c r="AA595" s="85"/>
      <c r="AB595" s="85"/>
      <c r="AC595" s="85"/>
      <c r="AD595" s="85"/>
    </row>
    <row r="596" spans="1:30" ht="15.75" x14ac:dyDescent="0.25">
      <c r="A596" s="13">
        <v>59079</v>
      </c>
      <c r="B596" s="96">
        <v>30</v>
      </c>
      <c r="C596" s="84">
        <f>194.205</f>
        <v>194.20500000000001</v>
      </c>
      <c r="D596" s="84">
        <f>267.466</f>
        <v>267.46600000000001</v>
      </c>
      <c r="E596" s="93">
        <f>133.845</f>
        <v>133.845</v>
      </c>
      <c r="F596" s="84">
        <f>278.484-40-25-60-100</f>
        <v>53.48399999999998</v>
      </c>
      <c r="G596" s="87">
        <v>40</v>
      </c>
      <c r="H596" s="84">
        <f t="shared" si="93"/>
        <v>185</v>
      </c>
      <c r="I596" s="84">
        <f t="shared" si="90"/>
        <v>0</v>
      </c>
      <c r="J596" s="87">
        <v>100</v>
      </c>
      <c r="K596" s="87">
        <v>300</v>
      </c>
      <c r="L596" s="84">
        <f t="shared" si="84"/>
        <v>1274</v>
      </c>
      <c r="M596" s="95">
        <v>600</v>
      </c>
      <c r="N596" s="84">
        <f>30</f>
        <v>30</v>
      </c>
      <c r="O596" s="87">
        <v>240</v>
      </c>
      <c r="P596" s="87">
        <v>160</v>
      </c>
      <c r="Q596" s="87">
        <f t="shared" si="85"/>
        <v>195</v>
      </c>
      <c r="R596" s="87">
        <f t="shared" si="86"/>
        <v>100</v>
      </c>
      <c r="S596" s="84">
        <f t="shared" si="87"/>
        <v>695</v>
      </c>
      <c r="T596" s="84">
        <f>0</f>
        <v>0</v>
      </c>
      <c r="U596" s="85"/>
      <c r="V596" s="85"/>
      <c r="W596" s="85"/>
      <c r="X596" s="85"/>
      <c r="Y596" s="85"/>
      <c r="Z596" s="85"/>
      <c r="AA596" s="85"/>
      <c r="AB596" s="85"/>
      <c r="AC596" s="85"/>
      <c r="AD596" s="85"/>
    </row>
    <row r="597" spans="1:30" ht="15.75" x14ac:dyDescent="0.25">
      <c r="A597" s="13">
        <v>59110</v>
      </c>
      <c r="B597" s="96">
        <v>31</v>
      </c>
      <c r="C597" s="84">
        <f>131.881</f>
        <v>131.881</v>
      </c>
      <c r="D597" s="84">
        <f>277.167</f>
        <v>277.16699999999997</v>
      </c>
      <c r="E597" s="93">
        <f>79.08</f>
        <v>79.08</v>
      </c>
      <c r="F597" s="84">
        <f>350.872-40-25-60-100</f>
        <v>125.87200000000001</v>
      </c>
      <c r="G597" s="87">
        <v>40</v>
      </c>
      <c r="H597" s="84">
        <f t="shared" si="93"/>
        <v>185</v>
      </c>
      <c r="I597" s="84">
        <f t="shared" si="90"/>
        <v>0</v>
      </c>
      <c r="J597" s="87">
        <v>100</v>
      </c>
      <c r="K597" s="87">
        <v>300</v>
      </c>
      <c r="L597" s="84">
        <f t="shared" si="84"/>
        <v>1239</v>
      </c>
      <c r="M597" s="95">
        <v>600</v>
      </c>
      <c r="N597" s="84">
        <f>75</f>
        <v>75</v>
      </c>
      <c r="O597" s="87">
        <v>240</v>
      </c>
      <c r="P597" s="87">
        <v>160</v>
      </c>
      <c r="Q597" s="87">
        <f t="shared" si="85"/>
        <v>195</v>
      </c>
      <c r="R597" s="87">
        <f t="shared" si="86"/>
        <v>100</v>
      </c>
      <c r="S597" s="84">
        <f t="shared" si="87"/>
        <v>695</v>
      </c>
      <c r="T597" s="84">
        <f>0</f>
        <v>0</v>
      </c>
      <c r="U597" s="85"/>
      <c r="V597" s="85"/>
      <c r="W597" s="85"/>
      <c r="X597" s="85"/>
      <c r="Y597" s="85"/>
      <c r="Z597" s="85"/>
      <c r="AA597" s="85"/>
      <c r="AB597" s="85"/>
      <c r="AC597" s="85"/>
      <c r="AD597" s="85"/>
    </row>
    <row r="598" spans="1:30" ht="15.75" x14ac:dyDescent="0.25">
      <c r="A598" s="13">
        <v>59140</v>
      </c>
      <c r="B598" s="96">
        <v>30</v>
      </c>
      <c r="C598" s="84">
        <f>122.58</f>
        <v>122.58</v>
      </c>
      <c r="D598" s="84">
        <f>297.941</f>
        <v>297.94099999999997</v>
      </c>
      <c r="E598" s="93">
        <f>89.177</f>
        <v>89.177000000000007</v>
      </c>
      <c r="F598" s="84">
        <f>240.302-40-60-100</f>
        <v>40.301999999999992</v>
      </c>
      <c r="G598" s="87">
        <v>40</v>
      </c>
      <c r="H598" s="84">
        <f>60+100</f>
        <v>160</v>
      </c>
      <c r="I598" s="84">
        <f t="shared" si="90"/>
        <v>0</v>
      </c>
      <c r="J598" s="87">
        <v>100</v>
      </c>
      <c r="K598" s="87">
        <v>300</v>
      </c>
      <c r="L598" s="84">
        <f t="shared" si="84"/>
        <v>1150</v>
      </c>
      <c r="M598" s="95">
        <v>600</v>
      </c>
      <c r="N598" s="84">
        <f>100</f>
        <v>100</v>
      </c>
      <c r="O598" s="87">
        <v>240</v>
      </c>
      <c r="P598" s="87">
        <v>40</v>
      </c>
      <c r="Q598" s="87">
        <f t="shared" si="85"/>
        <v>315</v>
      </c>
      <c r="R598" s="87">
        <f t="shared" si="86"/>
        <v>100</v>
      </c>
      <c r="S598" s="84">
        <f t="shared" si="87"/>
        <v>695</v>
      </c>
      <c r="T598" s="84">
        <f>50</f>
        <v>50</v>
      </c>
      <c r="U598" s="85"/>
      <c r="V598" s="85"/>
      <c r="W598" s="85"/>
      <c r="X598" s="85"/>
      <c r="Y598" s="85"/>
      <c r="Z598" s="85"/>
      <c r="AA598" s="85"/>
      <c r="AB598" s="85"/>
      <c r="AC598" s="85"/>
      <c r="AD598" s="85"/>
    </row>
    <row r="599" spans="1:30" ht="15.75" x14ac:dyDescent="0.25">
      <c r="A599" s="13">
        <v>59171</v>
      </c>
      <c r="B599" s="96">
        <v>31</v>
      </c>
      <c r="C599" s="84">
        <f>122.58</f>
        <v>122.58</v>
      </c>
      <c r="D599" s="84">
        <f>297.941</f>
        <v>297.94099999999997</v>
      </c>
      <c r="E599" s="93">
        <f>89.177</f>
        <v>89.177000000000007</v>
      </c>
      <c r="F599" s="84">
        <f>240.302-40-60-100</f>
        <v>40.301999999999992</v>
      </c>
      <c r="G599" s="87">
        <v>40</v>
      </c>
      <c r="H599" s="84">
        <f>60+100</f>
        <v>160</v>
      </c>
      <c r="I599" s="84">
        <f t="shared" si="90"/>
        <v>0</v>
      </c>
      <c r="J599" s="87">
        <v>100</v>
      </c>
      <c r="K599" s="87">
        <v>300</v>
      </c>
      <c r="L599" s="84">
        <f t="shared" si="84"/>
        <v>1150</v>
      </c>
      <c r="M599" s="95">
        <v>600</v>
      </c>
      <c r="N599" s="84">
        <f>100</f>
        <v>100</v>
      </c>
      <c r="O599" s="87">
        <v>240</v>
      </c>
      <c r="P599" s="87">
        <v>40</v>
      </c>
      <c r="Q599" s="87">
        <f t="shared" si="85"/>
        <v>315</v>
      </c>
      <c r="R599" s="87">
        <f t="shared" si="86"/>
        <v>100</v>
      </c>
      <c r="S599" s="84">
        <f t="shared" si="87"/>
        <v>695</v>
      </c>
      <c r="T599" s="84">
        <f>50</f>
        <v>50</v>
      </c>
      <c r="U599" s="85"/>
      <c r="V599" s="85"/>
      <c r="W599" s="85"/>
      <c r="X599" s="85"/>
      <c r="Y599" s="85"/>
      <c r="Z599" s="85"/>
      <c r="AA599" s="85"/>
      <c r="AB599" s="85"/>
      <c r="AC599" s="85"/>
      <c r="AD599" s="85"/>
    </row>
    <row r="600" spans="1:30" ht="15.75" x14ac:dyDescent="0.25">
      <c r="A600" s="13">
        <v>59202</v>
      </c>
      <c r="B600" s="96">
        <f t="shared" ref="B600:B663" si="94">EOMONTH(A600,0)-EOMONTH(A600,-1)</f>
        <v>31</v>
      </c>
      <c r="C600" s="84">
        <f>122.58</f>
        <v>122.58</v>
      </c>
      <c r="D600" s="84">
        <f>297.941</f>
        <v>297.94099999999997</v>
      </c>
      <c r="E600" s="93">
        <f>89.177</f>
        <v>89.177000000000007</v>
      </c>
      <c r="F600" s="84">
        <f>240.302-40-60-100</f>
        <v>40.301999999999992</v>
      </c>
      <c r="G600" s="87">
        <v>40</v>
      </c>
      <c r="H600" s="84">
        <f>60+100</f>
        <v>160</v>
      </c>
      <c r="I600" s="84">
        <f t="shared" si="90"/>
        <v>0</v>
      </c>
      <c r="J600" s="87">
        <v>100</v>
      </c>
      <c r="K600" s="87">
        <v>300</v>
      </c>
      <c r="L600" s="84">
        <f t="shared" ref="L600:L663" si="95">SUM(C600:K600)</f>
        <v>1150</v>
      </c>
      <c r="M600" s="95">
        <v>600</v>
      </c>
      <c r="N600" s="84">
        <f>100</f>
        <v>100</v>
      </c>
      <c r="O600" s="87">
        <v>240</v>
      </c>
      <c r="P600" s="87">
        <v>40</v>
      </c>
      <c r="Q600" s="87">
        <f t="shared" ref="Q600:Q663" si="96">695-R600-O600-P600</f>
        <v>315</v>
      </c>
      <c r="R600" s="87">
        <f t="shared" ref="R600:R663" si="97">200-J600</f>
        <v>100</v>
      </c>
      <c r="S600" s="84">
        <f t="shared" ref="S600:S663" si="98">SUM(O600:R600)</f>
        <v>695</v>
      </c>
      <c r="T600" s="84">
        <f>50</f>
        <v>50</v>
      </c>
      <c r="U600" s="85"/>
      <c r="V600" s="85"/>
      <c r="W600" s="85"/>
      <c r="X600" s="85"/>
      <c r="Y600" s="85"/>
      <c r="Z600" s="85"/>
      <c r="AA600" s="85"/>
      <c r="AB600" s="85"/>
      <c r="AC600" s="85"/>
      <c r="AD600" s="85"/>
    </row>
    <row r="601" spans="1:30" ht="15.75" x14ac:dyDescent="0.25">
      <c r="A601" s="13">
        <v>59230</v>
      </c>
      <c r="B601" s="96">
        <f t="shared" si="94"/>
        <v>28</v>
      </c>
      <c r="C601" s="84">
        <f>122.58</f>
        <v>122.58</v>
      </c>
      <c r="D601" s="84">
        <f>297.941</f>
        <v>297.94099999999997</v>
      </c>
      <c r="E601" s="93">
        <f>89.177</f>
        <v>89.177000000000007</v>
      </c>
      <c r="F601" s="84">
        <f>240.302-40-60-100</f>
        <v>40.301999999999992</v>
      </c>
      <c r="G601" s="87">
        <v>40</v>
      </c>
      <c r="H601" s="84">
        <f>60+100</f>
        <v>160</v>
      </c>
      <c r="I601" s="84">
        <f t="shared" si="90"/>
        <v>0</v>
      </c>
      <c r="J601" s="87">
        <v>100</v>
      </c>
      <c r="K601" s="87">
        <v>300</v>
      </c>
      <c r="L601" s="84">
        <f t="shared" si="95"/>
        <v>1150</v>
      </c>
      <c r="M601" s="95">
        <v>600</v>
      </c>
      <c r="N601" s="84">
        <f>100</f>
        <v>100</v>
      </c>
      <c r="O601" s="87">
        <v>240</v>
      </c>
      <c r="P601" s="87">
        <v>40</v>
      </c>
      <c r="Q601" s="87">
        <f t="shared" si="96"/>
        <v>315</v>
      </c>
      <c r="R601" s="87">
        <f t="shared" si="97"/>
        <v>100</v>
      </c>
      <c r="S601" s="84">
        <f t="shared" si="98"/>
        <v>695</v>
      </c>
      <c r="T601" s="84">
        <f>50</f>
        <v>50</v>
      </c>
      <c r="U601" s="85"/>
      <c r="V601" s="85"/>
      <c r="W601" s="85"/>
      <c r="X601" s="85"/>
      <c r="Y601" s="85"/>
      <c r="Z601" s="85"/>
      <c r="AA601" s="85"/>
      <c r="AB601" s="85"/>
      <c r="AC601" s="85"/>
      <c r="AD601" s="85"/>
    </row>
    <row r="602" spans="1:30" ht="15.75" x14ac:dyDescent="0.25">
      <c r="A602" s="13">
        <v>59261</v>
      </c>
      <c r="B602" s="96">
        <f t="shared" si="94"/>
        <v>31</v>
      </c>
      <c r="C602" s="84">
        <f>122.58</f>
        <v>122.58</v>
      </c>
      <c r="D602" s="84">
        <f>297.941</f>
        <v>297.94099999999997</v>
      </c>
      <c r="E602" s="93">
        <f>89.177</f>
        <v>89.177000000000007</v>
      </c>
      <c r="F602" s="84">
        <f>240.302-40-60-100</f>
        <v>40.301999999999992</v>
      </c>
      <c r="G602" s="87">
        <v>40</v>
      </c>
      <c r="H602" s="84">
        <f>60+100</f>
        <v>160</v>
      </c>
      <c r="I602" s="84">
        <f t="shared" si="90"/>
        <v>0</v>
      </c>
      <c r="J602" s="87">
        <v>100</v>
      </c>
      <c r="K602" s="87">
        <v>300</v>
      </c>
      <c r="L602" s="84">
        <f t="shared" si="95"/>
        <v>1150</v>
      </c>
      <c r="M602" s="95">
        <v>600</v>
      </c>
      <c r="N602" s="84">
        <f>100</f>
        <v>100</v>
      </c>
      <c r="O602" s="87">
        <v>240</v>
      </c>
      <c r="P602" s="87">
        <v>40</v>
      </c>
      <c r="Q602" s="87">
        <f t="shared" si="96"/>
        <v>315</v>
      </c>
      <c r="R602" s="87">
        <f t="shared" si="97"/>
        <v>100</v>
      </c>
      <c r="S602" s="84">
        <f t="shared" si="98"/>
        <v>695</v>
      </c>
      <c r="T602" s="84">
        <f>50</f>
        <v>50</v>
      </c>
      <c r="U602" s="85"/>
      <c r="V602" s="85"/>
      <c r="W602" s="85"/>
      <c r="X602" s="85"/>
      <c r="Y602" s="85"/>
      <c r="Z602" s="85"/>
      <c r="AA602" s="85"/>
      <c r="AB602" s="85"/>
      <c r="AC602" s="85"/>
      <c r="AD602" s="85"/>
    </row>
    <row r="603" spans="1:30" ht="15.75" x14ac:dyDescent="0.25">
      <c r="A603" s="13">
        <v>59291</v>
      </c>
      <c r="B603" s="96">
        <f t="shared" si="94"/>
        <v>30</v>
      </c>
      <c r="C603" s="84">
        <f>141.293</f>
        <v>141.29300000000001</v>
      </c>
      <c r="D603" s="84">
        <f>267.993</f>
        <v>267.99299999999999</v>
      </c>
      <c r="E603" s="93">
        <f>115.016</f>
        <v>115.01600000000001</v>
      </c>
      <c r="F603" s="84">
        <f>314.698-40-25-60-100</f>
        <v>89.697999999999979</v>
      </c>
      <c r="G603" s="87">
        <v>40</v>
      </c>
      <c r="H603" s="84">
        <f t="shared" ref="H603:H609" si="99">25+60+100</f>
        <v>185</v>
      </c>
      <c r="I603" s="84">
        <f t="shared" si="90"/>
        <v>0</v>
      </c>
      <c r="J603" s="87">
        <v>100</v>
      </c>
      <c r="K603" s="87">
        <v>300</v>
      </c>
      <c r="L603" s="84">
        <f t="shared" si="95"/>
        <v>1239</v>
      </c>
      <c r="M603" s="95">
        <v>600</v>
      </c>
      <c r="N603" s="84">
        <f>100</f>
        <v>100</v>
      </c>
      <c r="O603" s="87">
        <v>240</v>
      </c>
      <c r="P603" s="87">
        <v>40</v>
      </c>
      <c r="Q603" s="87">
        <f t="shared" si="96"/>
        <v>315</v>
      </c>
      <c r="R603" s="87">
        <f t="shared" si="97"/>
        <v>100</v>
      </c>
      <c r="S603" s="84">
        <f t="shared" si="98"/>
        <v>695</v>
      </c>
      <c r="T603" s="84">
        <f>50</f>
        <v>50</v>
      </c>
      <c r="U603" s="85"/>
      <c r="V603" s="85"/>
      <c r="W603" s="85"/>
      <c r="X603" s="85"/>
      <c r="Y603" s="85"/>
      <c r="Z603" s="85"/>
      <c r="AA603" s="85"/>
      <c r="AB603" s="85"/>
      <c r="AC603" s="85"/>
      <c r="AD603" s="85"/>
    </row>
    <row r="604" spans="1:30" ht="15.75" x14ac:dyDescent="0.25">
      <c r="A604" s="13">
        <v>59322</v>
      </c>
      <c r="B604" s="96">
        <f t="shared" si="94"/>
        <v>31</v>
      </c>
      <c r="C604" s="84">
        <f>194.205</f>
        <v>194.20500000000001</v>
      </c>
      <c r="D604" s="84">
        <f>267.466</f>
        <v>267.46600000000001</v>
      </c>
      <c r="E604" s="93">
        <f>133.845</f>
        <v>133.845</v>
      </c>
      <c r="F604" s="84">
        <f>278.484-40-25-60-100</f>
        <v>53.48399999999998</v>
      </c>
      <c r="G604" s="87">
        <v>40</v>
      </c>
      <c r="H604" s="84">
        <f t="shared" si="99"/>
        <v>185</v>
      </c>
      <c r="I604" s="84">
        <f t="shared" si="90"/>
        <v>0</v>
      </c>
      <c r="J604" s="87">
        <v>100</v>
      </c>
      <c r="K604" s="87">
        <v>300</v>
      </c>
      <c r="L604" s="84">
        <f t="shared" si="95"/>
        <v>1274</v>
      </c>
      <c r="M604" s="95">
        <v>600</v>
      </c>
      <c r="N604" s="84">
        <f>75</f>
        <v>75</v>
      </c>
      <c r="O604" s="87">
        <v>240</v>
      </c>
      <c r="P604" s="87">
        <v>40</v>
      </c>
      <c r="Q604" s="87">
        <f t="shared" si="96"/>
        <v>315</v>
      </c>
      <c r="R604" s="87">
        <f t="shared" si="97"/>
        <v>100</v>
      </c>
      <c r="S604" s="84">
        <f t="shared" si="98"/>
        <v>695</v>
      </c>
      <c r="T604" s="84">
        <f>50</f>
        <v>50</v>
      </c>
      <c r="U604" s="85"/>
      <c r="V604" s="85"/>
      <c r="W604" s="85"/>
      <c r="X604" s="85"/>
      <c r="Y604" s="85"/>
      <c r="Z604" s="85"/>
      <c r="AA604" s="85"/>
      <c r="AB604" s="85"/>
      <c r="AC604" s="85"/>
      <c r="AD604" s="85"/>
    </row>
    <row r="605" spans="1:30" ht="15.75" x14ac:dyDescent="0.25">
      <c r="A605" s="13">
        <v>59352</v>
      </c>
      <c r="B605" s="96">
        <f t="shared" si="94"/>
        <v>30</v>
      </c>
      <c r="C605" s="84">
        <f>194.205</f>
        <v>194.20500000000001</v>
      </c>
      <c r="D605" s="84">
        <f>267.466</f>
        <v>267.46600000000001</v>
      </c>
      <c r="E605" s="93">
        <f>133.845</f>
        <v>133.845</v>
      </c>
      <c r="F605" s="84">
        <f>278.484-40-25-60-100</f>
        <v>53.48399999999998</v>
      </c>
      <c r="G605" s="87">
        <v>40</v>
      </c>
      <c r="H605" s="84">
        <f t="shared" si="99"/>
        <v>185</v>
      </c>
      <c r="I605" s="84">
        <f t="shared" si="90"/>
        <v>0</v>
      </c>
      <c r="J605" s="87">
        <v>100</v>
      </c>
      <c r="K605" s="87">
        <v>300</v>
      </c>
      <c r="L605" s="84">
        <f t="shared" si="95"/>
        <v>1274</v>
      </c>
      <c r="M605" s="95">
        <v>600</v>
      </c>
      <c r="N605" s="84">
        <f>30</f>
        <v>30</v>
      </c>
      <c r="O605" s="87">
        <v>240</v>
      </c>
      <c r="P605" s="87">
        <v>40</v>
      </c>
      <c r="Q605" s="87">
        <f t="shared" si="96"/>
        <v>315</v>
      </c>
      <c r="R605" s="87">
        <f t="shared" si="97"/>
        <v>100</v>
      </c>
      <c r="S605" s="84">
        <f t="shared" si="98"/>
        <v>695</v>
      </c>
      <c r="T605" s="84">
        <f>50</f>
        <v>50</v>
      </c>
      <c r="U605" s="85"/>
      <c r="V605" s="85"/>
      <c r="W605" s="85"/>
      <c r="X605" s="85"/>
      <c r="Y605" s="85"/>
      <c r="Z605" s="85"/>
      <c r="AA605" s="85"/>
      <c r="AB605" s="85"/>
      <c r="AC605" s="85"/>
      <c r="AD605" s="85"/>
    </row>
    <row r="606" spans="1:30" ht="15.75" x14ac:dyDescent="0.25">
      <c r="A606" s="13">
        <v>59383</v>
      </c>
      <c r="B606" s="96">
        <f t="shared" si="94"/>
        <v>31</v>
      </c>
      <c r="C606" s="84">
        <f>194.205</f>
        <v>194.20500000000001</v>
      </c>
      <c r="D606" s="84">
        <f>267.466</f>
        <v>267.46600000000001</v>
      </c>
      <c r="E606" s="93">
        <f>133.845</f>
        <v>133.845</v>
      </c>
      <c r="F606" s="84">
        <f>278.484-40-25-60-100</f>
        <v>53.48399999999998</v>
      </c>
      <c r="G606" s="87">
        <v>40</v>
      </c>
      <c r="H606" s="84">
        <f t="shared" si="99"/>
        <v>185</v>
      </c>
      <c r="I606" s="84">
        <f t="shared" si="90"/>
        <v>0</v>
      </c>
      <c r="J606" s="87">
        <v>100</v>
      </c>
      <c r="K606" s="87">
        <v>300</v>
      </c>
      <c r="L606" s="84">
        <f t="shared" si="95"/>
        <v>1274</v>
      </c>
      <c r="M606" s="95">
        <v>600</v>
      </c>
      <c r="N606" s="84">
        <f>30</f>
        <v>30</v>
      </c>
      <c r="O606" s="87">
        <v>240</v>
      </c>
      <c r="P606" s="87">
        <v>40</v>
      </c>
      <c r="Q606" s="87">
        <f t="shared" si="96"/>
        <v>315</v>
      </c>
      <c r="R606" s="87">
        <f t="shared" si="97"/>
        <v>100</v>
      </c>
      <c r="S606" s="84">
        <f t="shared" si="98"/>
        <v>695</v>
      </c>
      <c r="T606" s="84">
        <f>0</f>
        <v>0</v>
      </c>
      <c r="U606" s="85"/>
      <c r="V606" s="85"/>
      <c r="W606" s="85"/>
      <c r="X606" s="85"/>
      <c r="Y606" s="85"/>
      <c r="Z606" s="85"/>
      <c r="AA606" s="85"/>
      <c r="AB606" s="85"/>
      <c r="AC606" s="85"/>
      <c r="AD606" s="85"/>
    </row>
    <row r="607" spans="1:30" ht="15.75" x14ac:dyDescent="0.25">
      <c r="A607" s="13">
        <v>59414</v>
      </c>
      <c r="B607" s="96">
        <f t="shared" si="94"/>
        <v>31</v>
      </c>
      <c r="C607" s="84">
        <f>194.205</f>
        <v>194.20500000000001</v>
      </c>
      <c r="D607" s="84">
        <f>267.466</f>
        <v>267.46600000000001</v>
      </c>
      <c r="E607" s="93">
        <f>133.845</f>
        <v>133.845</v>
      </c>
      <c r="F607" s="84">
        <f>278.484-40-25-60-100</f>
        <v>53.48399999999998</v>
      </c>
      <c r="G607" s="87">
        <v>40</v>
      </c>
      <c r="H607" s="84">
        <f t="shared" si="99"/>
        <v>185</v>
      </c>
      <c r="I607" s="84">
        <f t="shared" si="90"/>
        <v>0</v>
      </c>
      <c r="J607" s="87">
        <v>100</v>
      </c>
      <c r="K607" s="87">
        <v>300</v>
      </c>
      <c r="L607" s="84">
        <f t="shared" si="95"/>
        <v>1274</v>
      </c>
      <c r="M607" s="95">
        <v>600</v>
      </c>
      <c r="N607" s="84">
        <f>30</f>
        <v>30</v>
      </c>
      <c r="O607" s="87">
        <v>240</v>
      </c>
      <c r="P607" s="87">
        <v>40</v>
      </c>
      <c r="Q607" s="87">
        <f t="shared" si="96"/>
        <v>315</v>
      </c>
      <c r="R607" s="87">
        <f t="shared" si="97"/>
        <v>100</v>
      </c>
      <c r="S607" s="84">
        <f t="shared" si="98"/>
        <v>695</v>
      </c>
      <c r="T607" s="84">
        <f>0</f>
        <v>0</v>
      </c>
      <c r="U607" s="85"/>
      <c r="V607" s="85"/>
      <c r="W607" s="85"/>
      <c r="X607" s="85"/>
      <c r="Y607" s="85"/>
      <c r="Z607" s="85"/>
      <c r="AA607" s="85"/>
      <c r="AB607" s="85"/>
      <c r="AC607" s="85"/>
      <c r="AD607" s="85"/>
    </row>
    <row r="608" spans="1:30" ht="15.75" x14ac:dyDescent="0.25">
      <c r="A608" s="13">
        <v>59444</v>
      </c>
      <c r="B608" s="96">
        <f t="shared" si="94"/>
        <v>30</v>
      </c>
      <c r="C608" s="84">
        <f>194.205</f>
        <v>194.20500000000001</v>
      </c>
      <c r="D608" s="84">
        <f>267.466</f>
        <v>267.46600000000001</v>
      </c>
      <c r="E608" s="93">
        <f>133.845</f>
        <v>133.845</v>
      </c>
      <c r="F608" s="84">
        <f>278.484-40-25-60-100</f>
        <v>53.48399999999998</v>
      </c>
      <c r="G608" s="87">
        <v>40</v>
      </c>
      <c r="H608" s="84">
        <f t="shared" si="99"/>
        <v>185</v>
      </c>
      <c r="I608" s="84">
        <f t="shared" si="90"/>
        <v>0</v>
      </c>
      <c r="J608" s="87">
        <v>100</v>
      </c>
      <c r="K608" s="87">
        <v>300</v>
      </c>
      <c r="L608" s="84">
        <f t="shared" si="95"/>
        <v>1274</v>
      </c>
      <c r="M608" s="95">
        <v>600</v>
      </c>
      <c r="N608" s="84">
        <f>30</f>
        <v>30</v>
      </c>
      <c r="O608" s="87">
        <v>240</v>
      </c>
      <c r="P608" s="87">
        <v>40</v>
      </c>
      <c r="Q608" s="87">
        <f t="shared" si="96"/>
        <v>315</v>
      </c>
      <c r="R608" s="87">
        <f t="shared" si="97"/>
        <v>100</v>
      </c>
      <c r="S608" s="84">
        <f t="shared" si="98"/>
        <v>695</v>
      </c>
      <c r="T608" s="84">
        <f>0</f>
        <v>0</v>
      </c>
      <c r="U608" s="85"/>
      <c r="V608" s="85"/>
      <c r="W608" s="85"/>
      <c r="X608" s="85"/>
      <c r="Y608" s="85"/>
      <c r="Z608" s="85"/>
      <c r="AA608" s="85"/>
      <c r="AB608" s="85"/>
      <c r="AC608" s="85"/>
      <c r="AD608" s="85"/>
    </row>
    <row r="609" spans="1:30" ht="15.75" x14ac:dyDescent="0.25">
      <c r="A609" s="13">
        <v>59475</v>
      </c>
      <c r="B609" s="96">
        <f t="shared" si="94"/>
        <v>31</v>
      </c>
      <c r="C609" s="84">
        <f>131.881</f>
        <v>131.881</v>
      </c>
      <c r="D609" s="84">
        <f>277.167</f>
        <v>277.16699999999997</v>
      </c>
      <c r="E609" s="93">
        <f>79.08</f>
        <v>79.08</v>
      </c>
      <c r="F609" s="84">
        <f>350.872-40-25-60-100</f>
        <v>125.87200000000001</v>
      </c>
      <c r="G609" s="87">
        <v>40</v>
      </c>
      <c r="H609" s="84">
        <f t="shared" si="99"/>
        <v>185</v>
      </c>
      <c r="I609" s="84">
        <f t="shared" si="90"/>
        <v>0</v>
      </c>
      <c r="J609" s="87">
        <v>100</v>
      </c>
      <c r="K609" s="87">
        <v>300</v>
      </c>
      <c r="L609" s="84">
        <f t="shared" si="95"/>
        <v>1239</v>
      </c>
      <c r="M609" s="95">
        <v>600</v>
      </c>
      <c r="N609" s="84">
        <f>75</f>
        <v>75</v>
      </c>
      <c r="O609" s="87">
        <v>240</v>
      </c>
      <c r="P609" s="87">
        <v>40</v>
      </c>
      <c r="Q609" s="87">
        <f t="shared" si="96"/>
        <v>315</v>
      </c>
      <c r="R609" s="87">
        <f t="shared" si="97"/>
        <v>100</v>
      </c>
      <c r="S609" s="84">
        <f t="shared" si="98"/>
        <v>695</v>
      </c>
      <c r="T609" s="84">
        <f>0</f>
        <v>0</v>
      </c>
      <c r="U609" s="85"/>
      <c r="V609" s="85"/>
      <c r="W609" s="85"/>
      <c r="X609" s="85"/>
      <c r="Y609" s="85"/>
      <c r="Z609" s="85"/>
      <c r="AA609" s="85"/>
      <c r="AB609" s="85"/>
      <c r="AC609" s="85"/>
      <c r="AD609" s="85"/>
    </row>
    <row r="610" spans="1:30" ht="15.75" x14ac:dyDescent="0.25">
      <c r="A610" s="13">
        <v>59505</v>
      </c>
      <c r="B610" s="96">
        <f t="shared" si="94"/>
        <v>30</v>
      </c>
      <c r="C610" s="84">
        <f>122.58</f>
        <v>122.58</v>
      </c>
      <c r="D610" s="84">
        <f>297.941</f>
        <v>297.94099999999997</v>
      </c>
      <c r="E610" s="93">
        <f>89.177</f>
        <v>89.177000000000007</v>
      </c>
      <c r="F610" s="84">
        <f>240.302-40-60-100</f>
        <v>40.301999999999992</v>
      </c>
      <c r="G610" s="87">
        <v>40</v>
      </c>
      <c r="H610" s="84">
        <f>60+100</f>
        <v>160</v>
      </c>
      <c r="I610" s="84">
        <f t="shared" si="90"/>
        <v>0</v>
      </c>
      <c r="J610" s="87">
        <v>100</v>
      </c>
      <c r="K610" s="87">
        <v>300</v>
      </c>
      <c r="L610" s="84">
        <f t="shared" si="95"/>
        <v>1150</v>
      </c>
      <c r="M610" s="95">
        <v>600</v>
      </c>
      <c r="N610" s="84">
        <f>100</f>
        <v>100</v>
      </c>
      <c r="O610" s="87">
        <v>240</v>
      </c>
      <c r="P610" s="87">
        <v>40</v>
      </c>
      <c r="Q610" s="87">
        <f t="shared" si="96"/>
        <v>315</v>
      </c>
      <c r="R610" s="87">
        <f t="shared" si="97"/>
        <v>100</v>
      </c>
      <c r="S610" s="84">
        <f t="shared" si="98"/>
        <v>695</v>
      </c>
      <c r="T610" s="84">
        <f>50</f>
        <v>50</v>
      </c>
      <c r="U610" s="85"/>
      <c r="V610" s="85"/>
      <c r="W610" s="85"/>
      <c r="X610" s="85"/>
      <c r="Y610" s="85"/>
      <c r="Z610" s="85"/>
      <c r="AA610" s="85"/>
      <c r="AB610" s="85"/>
      <c r="AC610" s="85"/>
      <c r="AD610" s="85"/>
    </row>
    <row r="611" spans="1:30" ht="15.75" x14ac:dyDescent="0.25">
      <c r="A611" s="13">
        <v>59536</v>
      </c>
      <c r="B611" s="96">
        <f t="shared" si="94"/>
        <v>31</v>
      </c>
      <c r="C611" s="84">
        <f>122.58</f>
        <v>122.58</v>
      </c>
      <c r="D611" s="84">
        <f>297.941</f>
        <v>297.94099999999997</v>
      </c>
      <c r="E611" s="93">
        <f>89.177</f>
        <v>89.177000000000007</v>
      </c>
      <c r="F611" s="84">
        <f>240.302-40-60-100</f>
        <v>40.301999999999992</v>
      </c>
      <c r="G611" s="87">
        <v>40</v>
      </c>
      <c r="H611" s="84">
        <f>60+100</f>
        <v>160</v>
      </c>
      <c r="I611" s="84">
        <f t="shared" si="90"/>
        <v>0</v>
      </c>
      <c r="J611" s="87">
        <v>100</v>
      </c>
      <c r="K611" s="87">
        <v>300</v>
      </c>
      <c r="L611" s="84">
        <f t="shared" si="95"/>
        <v>1150</v>
      </c>
      <c r="M611" s="95">
        <v>600</v>
      </c>
      <c r="N611" s="84">
        <f>100</f>
        <v>100</v>
      </c>
      <c r="O611" s="87">
        <v>240</v>
      </c>
      <c r="P611" s="87">
        <v>40</v>
      </c>
      <c r="Q611" s="87">
        <f t="shared" si="96"/>
        <v>315</v>
      </c>
      <c r="R611" s="87">
        <f t="shared" si="97"/>
        <v>100</v>
      </c>
      <c r="S611" s="84">
        <f t="shared" si="98"/>
        <v>695</v>
      </c>
      <c r="T611" s="84">
        <f>50</f>
        <v>50</v>
      </c>
      <c r="U611" s="85"/>
      <c r="V611" s="85"/>
      <c r="W611" s="85"/>
      <c r="X611" s="85"/>
      <c r="Y611" s="85"/>
      <c r="Z611" s="85"/>
      <c r="AA611" s="85"/>
      <c r="AB611" s="85"/>
      <c r="AC611" s="85"/>
      <c r="AD611" s="85"/>
    </row>
    <row r="612" spans="1:30" ht="15.75" x14ac:dyDescent="0.25">
      <c r="A612" s="13">
        <v>59567</v>
      </c>
      <c r="B612" s="96">
        <f t="shared" si="94"/>
        <v>31</v>
      </c>
      <c r="C612" s="84">
        <f>122.58</f>
        <v>122.58</v>
      </c>
      <c r="D612" s="84">
        <f>297.941</f>
        <v>297.94099999999997</v>
      </c>
      <c r="E612" s="93">
        <f>89.177</f>
        <v>89.177000000000007</v>
      </c>
      <c r="F612" s="84">
        <f>240.302-40-60-100</f>
        <v>40.301999999999992</v>
      </c>
      <c r="G612" s="87">
        <v>40</v>
      </c>
      <c r="H612" s="84">
        <f>60+100</f>
        <v>160</v>
      </c>
      <c r="I612" s="84">
        <f t="shared" si="90"/>
        <v>0</v>
      </c>
      <c r="J612" s="87">
        <v>100</v>
      </c>
      <c r="K612" s="87">
        <v>300</v>
      </c>
      <c r="L612" s="84">
        <f t="shared" si="95"/>
        <v>1150</v>
      </c>
      <c r="M612" s="95">
        <v>600</v>
      </c>
      <c r="N612" s="84">
        <f>100</f>
        <v>100</v>
      </c>
      <c r="O612" s="87">
        <v>240</v>
      </c>
      <c r="P612" s="87">
        <v>40</v>
      </c>
      <c r="Q612" s="87">
        <f t="shared" si="96"/>
        <v>315</v>
      </c>
      <c r="R612" s="87">
        <f t="shared" si="97"/>
        <v>100</v>
      </c>
      <c r="S612" s="84">
        <f t="shared" si="98"/>
        <v>695</v>
      </c>
      <c r="T612" s="84">
        <f>50</f>
        <v>50</v>
      </c>
      <c r="U612" s="85"/>
      <c r="V612" s="85"/>
      <c r="W612" s="85"/>
      <c r="X612" s="85"/>
      <c r="Y612" s="85"/>
      <c r="Z612" s="85"/>
      <c r="AA612" s="85"/>
      <c r="AB612" s="85"/>
      <c r="AC612" s="85"/>
      <c r="AD612" s="85"/>
    </row>
    <row r="613" spans="1:30" ht="15.75" x14ac:dyDescent="0.25">
      <c r="A613" s="13">
        <v>59595</v>
      </c>
      <c r="B613" s="96">
        <f t="shared" si="94"/>
        <v>28</v>
      </c>
      <c r="C613" s="84">
        <f>122.58</f>
        <v>122.58</v>
      </c>
      <c r="D613" s="84">
        <f>297.941</f>
        <v>297.94099999999997</v>
      </c>
      <c r="E613" s="93">
        <f>89.177</f>
        <v>89.177000000000007</v>
      </c>
      <c r="F613" s="84">
        <f>240.302-40-60-100</f>
        <v>40.301999999999992</v>
      </c>
      <c r="G613" s="87">
        <v>40</v>
      </c>
      <c r="H613" s="84">
        <f>60+100</f>
        <v>160</v>
      </c>
      <c r="I613" s="84">
        <f t="shared" si="90"/>
        <v>0</v>
      </c>
      <c r="J613" s="87">
        <v>100</v>
      </c>
      <c r="K613" s="87">
        <v>300</v>
      </c>
      <c r="L613" s="84">
        <f t="shared" si="95"/>
        <v>1150</v>
      </c>
      <c r="M613" s="95">
        <v>600</v>
      </c>
      <c r="N613" s="84">
        <f>100</f>
        <v>100</v>
      </c>
      <c r="O613" s="87">
        <v>240</v>
      </c>
      <c r="P613" s="87">
        <v>40</v>
      </c>
      <c r="Q613" s="87">
        <f t="shared" si="96"/>
        <v>315</v>
      </c>
      <c r="R613" s="87">
        <f t="shared" si="97"/>
        <v>100</v>
      </c>
      <c r="S613" s="84">
        <f t="shared" si="98"/>
        <v>695</v>
      </c>
      <c r="T613" s="84">
        <f>50</f>
        <v>50</v>
      </c>
      <c r="U613" s="85"/>
      <c r="V613" s="85"/>
      <c r="W613" s="85"/>
      <c r="X613" s="85"/>
      <c r="Y613" s="85"/>
      <c r="Z613" s="85"/>
      <c r="AA613" s="85"/>
      <c r="AB613" s="85"/>
      <c r="AC613" s="85"/>
      <c r="AD613" s="85"/>
    </row>
    <row r="614" spans="1:30" ht="15.75" x14ac:dyDescent="0.25">
      <c r="A614" s="13">
        <v>59626</v>
      </c>
      <c r="B614" s="96">
        <f t="shared" si="94"/>
        <v>31</v>
      </c>
      <c r="C614" s="84">
        <f>122.58</f>
        <v>122.58</v>
      </c>
      <c r="D614" s="84">
        <f>297.941</f>
        <v>297.94099999999997</v>
      </c>
      <c r="E614" s="93">
        <f>89.177</f>
        <v>89.177000000000007</v>
      </c>
      <c r="F614" s="84">
        <f>240.302-40-60-100</f>
        <v>40.301999999999992</v>
      </c>
      <c r="G614" s="87">
        <v>40</v>
      </c>
      <c r="H614" s="84">
        <f>60+100</f>
        <v>160</v>
      </c>
      <c r="I614" s="84">
        <f t="shared" si="90"/>
        <v>0</v>
      </c>
      <c r="J614" s="87">
        <v>100</v>
      </c>
      <c r="K614" s="87">
        <v>300</v>
      </c>
      <c r="L614" s="84">
        <f t="shared" si="95"/>
        <v>1150</v>
      </c>
      <c r="M614" s="95">
        <v>600</v>
      </c>
      <c r="N614" s="84">
        <f>100</f>
        <v>100</v>
      </c>
      <c r="O614" s="87">
        <v>240</v>
      </c>
      <c r="P614" s="87">
        <v>40</v>
      </c>
      <c r="Q614" s="87">
        <f t="shared" si="96"/>
        <v>315</v>
      </c>
      <c r="R614" s="87">
        <f t="shared" si="97"/>
        <v>100</v>
      </c>
      <c r="S614" s="84">
        <f t="shared" si="98"/>
        <v>695</v>
      </c>
      <c r="T614" s="84">
        <f>50</f>
        <v>50</v>
      </c>
      <c r="U614" s="85"/>
      <c r="V614" s="85"/>
      <c r="W614" s="85"/>
      <c r="X614" s="85"/>
      <c r="Y614" s="85"/>
      <c r="Z614" s="85"/>
      <c r="AA614" s="85"/>
      <c r="AB614" s="85"/>
      <c r="AC614" s="85"/>
      <c r="AD614" s="85"/>
    </row>
    <row r="615" spans="1:30" ht="15.75" x14ac:dyDescent="0.25">
      <c r="A615" s="13">
        <v>59656</v>
      </c>
      <c r="B615" s="96">
        <f t="shared" si="94"/>
        <v>30</v>
      </c>
      <c r="C615" s="84">
        <f>141.293</f>
        <v>141.29300000000001</v>
      </c>
      <c r="D615" s="84">
        <f>267.993</f>
        <v>267.99299999999999</v>
      </c>
      <c r="E615" s="93">
        <f>115.016</f>
        <v>115.01600000000001</v>
      </c>
      <c r="F615" s="84">
        <f>314.698-40-25-60-100</f>
        <v>89.697999999999979</v>
      </c>
      <c r="G615" s="87">
        <v>40</v>
      </c>
      <c r="H615" s="84">
        <f t="shared" ref="H615:H621" si="100">25+60+100</f>
        <v>185</v>
      </c>
      <c r="I615" s="84">
        <f t="shared" si="90"/>
        <v>0</v>
      </c>
      <c r="J615" s="87">
        <v>100</v>
      </c>
      <c r="K615" s="87">
        <v>300</v>
      </c>
      <c r="L615" s="84">
        <f t="shared" si="95"/>
        <v>1239</v>
      </c>
      <c r="M615" s="95">
        <v>600</v>
      </c>
      <c r="N615" s="84">
        <f>100</f>
        <v>100</v>
      </c>
      <c r="O615" s="87">
        <v>240</v>
      </c>
      <c r="P615" s="87">
        <v>40</v>
      </c>
      <c r="Q615" s="87">
        <f t="shared" si="96"/>
        <v>315</v>
      </c>
      <c r="R615" s="87">
        <f t="shared" si="97"/>
        <v>100</v>
      </c>
      <c r="S615" s="84">
        <f t="shared" si="98"/>
        <v>695</v>
      </c>
      <c r="T615" s="84">
        <f>50</f>
        <v>50</v>
      </c>
      <c r="U615" s="85"/>
      <c r="V615" s="85"/>
      <c r="W615" s="85"/>
      <c r="X615" s="85"/>
      <c r="Y615" s="85"/>
      <c r="Z615" s="85"/>
      <c r="AA615" s="85"/>
      <c r="AB615" s="85"/>
      <c r="AC615" s="85"/>
      <c r="AD615" s="85"/>
    </row>
    <row r="616" spans="1:30" ht="15.75" x14ac:dyDescent="0.25">
      <c r="A616" s="13">
        <v>59687</v>
      </c>
      <c r="B616" s="96">
        <f t="shared" si="94"/>
        <v>31</v>
      </c>
      <c r="C616" s="84">
        <f>194.205</f>
        <v>194.20500000000001</v>
      </c>
      <c r="D616" s="84">
        <f>267.466</f>
        <v>267.46600000000001</v>
      </c>
      <c r="E616" s="93">
        <f>133.845</f>
        <v>133.845</v>
      </c>
      <c r="F616" s="84">
        <f>278.484-40-25-60-100</f>
        <v>53.48399999999998</v>
      </c>
      <c r="G616" s="87">
        <v>40</v>
      </c>
      <c r="H616" s="84">
        <f t="shared" si="100"/>
        <v>185</v>
      </c>
      <c r="I616" s="84">
        <f t="shared" si="90"/>
        <v>0</v>
      </c>
      <c r="J616" s="87">
        <v>100</v>
      </c>
      <c r="K616" s="87">
        <v>300</v>
      </c>
      <c r="L616" s="84">
        <f t="shared" si="95"/>
        <v>1274</v>
      </c>
      <c r="M616" s="95">
        <v>600</v>
      </c>
      <c r="N616" s="84">
        <f>75</f>
        <v>75</v>
      </c>
      <c r="O616" s="87">
        <v>240</v>
      </c>
      <c r="P616" s="87">
        <v>40</v>
      </c>
      <c r="Q616" s="87">
        <f t="shared" si="96"/>
        <v>315</v>
      </c>
      <c r="R616" s="87">
        <f t="shared" si="97"/>
        <v>100</v>
      </c>
      <c r="S616" s="84">
        <f t="shared" si="98"/>
        <v>695</v>
      </c>
      <c r="T616" s="84">
        <f>50</f>
        <v>50</v>
      </c>
      <c r="U616" s="85"/>
      <c r="V616" s="85"/>
      <c r="W616" s="85"/>
      <c r="X616" s="85"/>
      <c r="Y616" s="85"/>
      <c r="Z616" s="85"/>
      <c r="AA616" s="85"/>
      <c r="AB616" s="85"/>
      <c r="AC616" s="85"/>
      <c r="AD616" s="85"/>
    </row>
    <row r="617" spans="1:30" ht="15.75" x14ac:dyDescent="0.25">
      <c r="A617" s="13">
        <v>59717</v>
      </c>
      <c r="B617" s="96">
        <f t="shared" si="94"/>
        <v>30</v>
      </c>
      <c r="C617" s="84">
        <f>194.205</f>
        <v>194.20500000000001</v>
      </c>
      <c r="D617" s="84">
        <f>267.466</f>
        <v>267.46600000000001</v>
      </c>
      <c r="E617" s="93">
        <f>133.845</f>
        <v>133.845</v>
      </c>
      <c r="F617" s="84">
        <f>278.484-40-25-60-100</f>
        <v>53.48399999999998</v>
      </c>
      <c r="G617" s="87">
        <v>40</v>
      </c>
      <c r="H617" s="84">
        <f t="shared" si="100"/>
        <v>185</v>
      </c>
      <c r="I617" s="84">
        <f t="shared" si="90"/>
        <v>0</v>
      </c>
      <c r="J617" s="87">
        <v>100</v>
      </c>
      <c r="K617" s="87">
        <v>300</v>
      </c>
      <c r="L617" s="84">
        <f t="shared" si="95"/>
        <v>1274</v>
      </c>
      <c r="M617" s="95">
        <v>600</v>
      </c>
      <c r="N617" s="84">
        <f>30</f>
        <v>30</v>
      </c>
      <c r="O617" s="87">
        <v>240</v>
      </c>
      <c r="P617" s="87">
        <v>40</v>
      </c>
      <c r="Q617" s="87">
        <f t="shared" si="96"/>
        <v>315</v>
      </c>
      <c r="R617" s="87">
        <f t="shared" si="97"/>
        <v>100</v>
      </c>
      <c r="S617" s="84">
        <f t="shared" si="98"/>
        <v>695</v>
      </c>
      <c r="T617" s="84">
        <f>50</f>
        <v>50</v>
      </c>
      <c r="U617" s="85"/>
      <c r="V617" s="85"/>
      <c r="W617" s="85"/>
      <c r="X617" s="85"/>
      <c r="Y617" s="85"/>
      <c r="Z617" s="85"/>
      <c r="AA617" s="85"/>
      <c r="AB617" s="85"/>
      <c r="AC617" s="85"/>
      <c r="AD617" s="85"/>
    </row>
    <row r="618" spans="1:30" ht="15.75" x14ac:dyDescent="0.25">
      <c r="A618" s="13">
        <v>59748</v>
      </c>
      <c r="B618" s="96">
        <f t="shared" si="94"/>
        <v>31</v>
      </c>
      <c r="C618" s="84">
        <f>194.205</f>
        <v>194.20500000000001</v>
      </c>
      <c r="D618" s="84">
        <f>267.466</f>
        <v>267.46600000000001</v>
      </c>
      <c r="E618" s="93">
        <f>133.845</f>
        <v>133.845</v>
      </c>
      <c r="F618" s="84">
        <f>278.484-40-25-60-100</f>
        <v>53.48399999999998</v>
      </c>
      <c r="G618" s="87">
        <v>40</v>
      </c>
      <c r="H618" s="84">
        <f t="shared" si="100"/>
        <v>185</v>
      </c>
      <c r="I618" s="84">
        <f t="shared" si="90"/>
        <v>0</v>
      </c>
      <c r="J618" s="87">
        <v>100</v>
      </c>
      <c r="K618" s="87">
        <v>300</v>
      </c>
      <c r="L618" s="84">
        <f t="shared" si="95"/>
        <v>1274</v>
      </c>
      <c r="M618" s="95">
        <v>600</v>
      </c>
      <c r="N618" s="84">
        <f>30</f>
        <v>30</v>
      </c>
      <c r="O618" s="87">
        <v>240</v>
      </c>
      <c r="P618" s="87">
        <v>40</v>
      </c>
      <c r="Q618" s="87">
        <f t="shared" si="96"/>
        <v>315</v>
      </c>
      <c r="R618" s="87">
        <f t="shared" si="97"/>
        <v>100</v>
      </c>
      <c r="S618" s="84">
        <f t="shared" si="98"/>
        <v>695</v>
      </c>
      <c r="T618" s="84">
        <f>0</f>
        <v>0</v>
      </c>
      <c r="U618" s="85"/>
      <c r="V618" s="85"/>
      <c r="W618" s="85"/>
      <c r="X618" s="85"/>
      <c r="Y618" s="85"/>
      <c r="Z618" s="85"/>
      <c r="AA618" s="85"/>
      <c r="AB618" s="85"/>
      <c r="AC618" s="85"/>
      <c r="AD618" s="85"/>
    </row>
    <row r="619" spans="1:30" ht="15.75" x14ac:dyDescent="0.25">
      <c r="A619" s="13">
        <v>59779</v>
      </c>
      <c r="B619" s="96">
        <f t="shared" si="94"/>
        <v>31</v>
      </c>
      <c r="C619" s="84">
        <f>194.205</f>
        <v>194.20500000000001</v>
      </c>
      <c r="D619" s="84">
        <f>267.466</f>
        <v>267.46600000000001</v>
      </c>
      <c r="E619" s="93">
        <f>133.845</f>
        <v>133.845</v>
      </c>
      <c r="F619" s="84">
        <f>278.484-40-25-60-100</f>
        <v>53.48399999999998</v>
      </c>
      <c r="G619" s="87">
        <v>40</v>
      </c>
      <c r="H619" s="84">
        <f t="shared" si="100"/>
        <v>185</v>
      </c>
      <c r="I619" s="84">
        <f t="shared" si="90"/>
        <v>0</v>
      </c>
      <c r="J619" s="87">
        <v>100</v>
      </c>
      <c r="K619" s="87">
        <v>300</v>
      </c>
      <c r="L619" s="84">
        <f t="shared" si="95"/>
        <v>1274</v>
      </c>
      <c r="M619" s="95">
        <v>600</v>
      </c>
      <c r="N619" s="84">
        <f>30</f>
        <v>30</v>
      </c>
      <c r="O619" s="87">
        <v>240</v>
      </c>
      <c r="P619" s="87">
        <v>40</v>
      </c>
      <c r="Q619" s="87">
        <f t="shared" si="96"/>
        <v>315</v>
      </c>
      <c r="R619" s="87">
        <f t="shared" si="97"/>
        <v>100</v>
      </c>
      <c r="S619" s="84">
        <f t="shared" si="98"/>
        <v>695</v>
      </c>
      <c r="T619" s="84">
        <f>0</f>
        <v>0</v>
      </c>
      <c r="U619" s="85"/>
      <c r="V619" s="85"/>
      <c r="W619" s="85"/>
      <c r="X619" s="85"/>
      <c r="Y619" s="85"/>
      <c r="Z619" s="85"/>
      <c r="AA619" s="85"/>
      <c r="AB619" s="85"/>
      <c r="AC619" s="85"/>
      <c r="AD619" s="85"/>
    </row>
    <row r="620" spans="1:30" ht="15.75" x14ac:dyDescent="0.25">
      <c r="A620" s="13">
        <v>59809</v>
      </c>
      <c r="B620" s="96">
        <f t="shared" si="94"/>
        <v>30</v>
      </c>
      <c r="C620" s="84">
        <f>194.205</f>
        <v>194.20500000000001</v>
      </c>
      <c r="D620" s="84">
        <f>267.466</f>
        <v>267.46600000000001</v>
      </c>
      <c r="E620" s="93">
        <f>133.845</f>
        <v>133.845</v>
      </c>
      <c r="F620" s="84">
        <f>278.484-40-25-60-100</f>
        <v>53.48399999999998</v>
      </c>
      <c r="G620" s="87">
        <v>40</v>
      </c>
      <c r="H620" s="84">
        <f t="shared" si="100"/>
        <v>185</v>
      </c>
      <c r="I620" s="84">
        <f t="shared" si="90"/>
        <v>0</v>
      </c>
      <c r="J620" s="87">
        <v>100</v>
      </c>
      <c r="K620" s="87">
        <v>300</v>
      </c>
      <c r="L620" s="84">
        <f t="shared" si="95"/>
        <v>1274</v>
      </c>
      <c r="M620" s="95">
        <v>600</v>
      </c>
      <c r="N620" s="84">
        <f>30</f>
        <v>30</v>
      </c>
      <c r="O620" s="87">
        <v>240</v>
      </c>
      <c r="P620" s="87">
        <v>40</v>
      </c>
      <c r="Q620" s="87">
        <f t="shared" si="96"/>
        <v>315</v>
      </c>
      <c r="R620" s="87">
        <f t="shared" si="97"/>
        <v>100</v>
      </c>
      <c r="S620" s="84">
        <f t="shared" si="98"/>
        <v>695</v>
      </c>
      <c r="T620" s="84">
        <f>0</f>
        <v>0</v>
      </c>
      <c r="U620" s="85"/>
      <c r="V620" s="85"/>
      <c r="W620" s="85"/>
      <c r="X620" s="85"/>
      <c r="Y620" s="85"/>
      <c r="Z620" s="85"/>
      <c r="AA620" s="85"/>
      <c r="AB620" s="85"/>
      <c r="AC620" s="85"/>
      <c r="AD620" s="85"/>
    </row>
    <row r="621" spans="1:30" ht="15.75" x14ac:dyDescent="0.25">
      <c r="A621" s="13">
        <v>59840</v>
      </c>
      <c r="B621" s="96">
        <f t="shared" si="94"/>
        <v>31</v>
      </c>
      <c r="C621" s="84">
        <f>131.881</f>
        <v>131.881</v>
      </c>
      <c r="D621" s="84">
        <f>277.167</f>
        <v>277.16699999999997</v>
      </c>
      <c r="E621" s="93">
        <f>79.08</f>
        <v>79.08</v>
      </c>
      <c r="F621" s="84">
        <f>350.872-40-25-60-100</f>
        <v>125.87200000000001</v>
      </c>
      <c r="G621" s="87">
        <v>40</v>
      </c>
      <c r="H621" s="84">
        <f t="shared" si="100"/>
        <v>185</v>
      </c>
      <c r="I621" s="84">
        <f t="shared" si="90"/>
        <v>0</v>
      </c>
      <c r="J621" s="87">
        <v>100</v>
      </c>
      <c r="K621" s="87">
        <v>300</v>
      </c>
      <c r="L621" s="84">
        <f t="shared" si="95"/>
        <v>1239</v>
      </c>
      <c r="M621" s="95">
        <v>600</v>
      </c>
      <c r="N621" s="84">
        <f>75</f>
        <v>75</v>
      </c>
      <c r="O621" s="87">
        <v>240</v>
      </c>
      <c r="P621" s="87">
        <v>40</v>
      </c>
      <c r="Q621" s="87">
        <f t="shared" si="96"/>
        <v>315</v>
      </c>
      <c r="R621" s="87">
        <f t="shared" si="97"/>
        <v>100</v>
      </c>
      <c r="S621" s="84">
        <f t="shared" si="98"/>
        <v>695</v>
      </c>
      <c r="T621" s="84">
        <f>0</f>
        <v>0</v>
      </c>
      <c r="U621" s="85"/>
      <c r="V621" s="85"/>
      <c r="W621" s="85"/>
      <c r="X621" s="85"/>
      <c r="Y621" s="85"/>
      <c r="Z621" s="85"/>
      <c r="AA621" s="85"/>
      <c r="AB621" s="85"/>
      <c r="AC621" s="85"/>
      <c r="AD621" s="85"/>
    </row>
    <row r="622" spans="1:30" ht="15.75" x14ac:dyDescent="0.25">
      <c r="A622" s="13">
        <v>59870</v>
      </c>
      <c r="B622" s="96">
        <f t="shared" si="94"/>
        <v>30</v>
      </c>
      <c r="C622" s="84">
        <f>122.58</f>
        <v>122.58</v>
      </c>
      <c r="D622" s="84">
        <f>297.941</f>
        <v>297.94099999999997</v>
      </c>
      <c r="E622" s="93">
        <f>89.177</f>
        <v>89.177000000000007</v>
      </c>
      <c r="F622" s="84">
        <f>240.302-40-60-100</f>
        <v>40.301999999999992</v>
      </c>
      <c r="G622" s="87">
        <v>40</v>
      </c>
      <c r="H622" s="84">
        <f>60+100</f>
        <v>160</v>
      </c>
      <c r="I622" s="84">
        <f t="shared" si="90"/>
        <v>0</v>
      </c>
      <c r="J622" s="87">
        <v>100</v>
      </c>
      <c r="K622" s="87">
        <v>300</v>
      </c>
      <c r="L622" s="84">
        <f t="shared" si="95"/>
        <v>1150</v>
      </c>
      <c r="M622" s="95">
        <v>600</v>
      </c>
      <c r="N622" s="84">
        <f>100</f>
        <v>100</v>
      </c>
      <c r="O622" s="87">
        <v>240</v>
      </c>
      <c r="P622" s="87">
        <v>40</v>
      </c>
      <c r="Q622" s="87">
        <f t="shared" si="96"/>
        <v>315</v>
      </c>
      <c r="R622" s="87">
        <f t="shared" si="97"/>
        <v>100</v>
      </c>
      <c r="S622" s="84">
        <f t="shared" si="98"/>
        <v>695</v>
      </c>
      <c r="T622" s="84">
        <f>50</f>
        <v>50</v>
      </c>
      <c r="U622" s="85"/>
      <c r="V622" s="85"/>
      <c r="W622" s="85"/>
      <c r="X622" s="85"/>
      <c r="Y622" s="85"/>
      <c r="Z622" s="85"/>
      <c r="AA622" s="85"/>
      <c r="AB622" s="85"/>
      <c r="AC622" s="85"/>
      <c r="AD622" s="85"/>
    </row>
    <row r="623" spans="1:30" ht="15.75" x14ac:dyDescent="0.25">
      <c r="A623" s="13">
        <v>59901</v>
      </c>
      <c r="B623" s="96">
        <f t="shared" si="94"/>
        <v>31</v>
      </c>
      <c r="C623" s="84">
        <f>122.58</f>
        <v>122.58</v>
      </c>
      <c r="D623" s="84">
        <f>297.941</f>
        <v>297.94099999999997</v>
      </c>
      <c r="E623" s="93">
        <f>89.177</f>
        <v>89.177000000000007</v>
      </c>
      <c r="F623" s="84">
        <f>240.302-40-60-100</f>
        <v>40.301999999999992</v>
      </c>
      <c r="G623" s="87">
        <v>40</v>
      </c>
      <c r="H623" s="84">
        <f>60+100</f>
        <v>160</v>
      </c>
      <c r="I623" s="84">
        <f t="shared" si="90"/>
        <v>0</v>
      </c>
      <c r="J623" s="87">
        <v>100</v>
      </c>
      <c r="K623" s="87">
        <v>300</v>
      </c>
      <c r="L623" s="84">
        <f t="shared" si="95"/>
        <v>1150</v>
      </c>
      <c r="M623" s="95">
        <v>600</v>
      </c>
      <c r="N623" s="84">
        <f>100</f>
        <v>100</v>
      </c>
      <c r="O623" s="87">
        <v>240</v>
      </c>
      <c r="P623" s="87">
        <v>40</v>
      </c>
      <c r="Q623" s="87">
        <f t="shared" si="96"/>
        <v>315</v>
      </c>
      <c r="R623" s="87">
        <f t="shared" si="97"/>
        <v>100</v>
      </c>
      <c r="S623" s="84">
        <f t="shared" si="98"/>
        <v>695</v>
      </c>
      <c r="T623" s="84">
        <f>50</f>
        <v>50</v>
      </c>
      <c r="U623" s="85"/>
      <c r="V623" s="85"/>
      <c r="W623" s="85"/>
      <c r="X623" s="85"/>
      <c r="Y623" s="85"/>
      <c r="Z623" s="85"/>
      <c r="AA623" s="85"/>
      <c r="AB623" s="85"/>
      <c r="AC623" s="85"/>
      <c r="AD623" s="85"/>
    </row>
    <row r="624" spans="1:30" ht="15.75" x14ac:dyDescent="0.25">
      <c r="A624" s="13">
        <v>59932</v>
      </c>
      <c r="B624" s="96">
        <f t="shared" si="94"/>
        <v>31</v>
      </c>
      <c r="C624" s="84">
        <f>122.58</f>
        <v>122.58</v>
      </c>
      <c r="D624" s="84">
        <f>297.941</f>
        <v>297.94099999999997</v>
      </c>
      <c r="E624" s="93">
        <f>89.177</f>
        <v>89.177000000000007</v>
      </c>
      <c r="F624" s="84">
        <f>240.302-40-60-100</f>
        <v>40.301999999999992</v>
      </c>
      <c r="G624" s="87">
        <v>40</v>
      </c>
      <c r="H624" s="84">
        <f>60+100</f>
        <v>160</v>
      </c>
      <c r="I624" s="84">
        <f t="shared" si="90"/>
        <v>0</v>
      </c>
      <c r="J624" s="87">
        <v>100</v>
      </c>
      <c r="K624" s="87">
        <v>300</v>
      </c>
      <c r="L624" s="84">
        <f t="shared" si="95"/>
        <v>1150</v>
      </c>
      <c r="M624" s="95">
        <v>600</v>
      </c>
      <c r="N624" s="84">
        <f>100</f>
        <v>100</v>
      </c>
      <c r="O624" s="87">
        <v>240</v>
      </c>
      <c r="P624" s="87">
        <v>40</v>
      </c>
      <c r="Q624" s="87">
        <f t="shared" si="96"/>
        <v>315</v>
      </c>
      <c r="R624" s="87">
        <f t="shared" si="97"/>
        <v>100</v>
      </c>
      <c r="S624" s="84">
        <f t="shared" si="98"/>
        <v>695</v>
      </c>
      <c r="T624" s="84">
        <f>50</f>
        <v>50</v>
      </c>
      <c r="U624" s="85"/>
      <c r="V624" s="85"/>
      <c r="W624" s="85"/>
      <c r="X624" s="85"/>
      <c r="Y624" s="85"/>
      <c r="Z624" s="85"/>
      <c r="AA624" s="85"/>
      <c r="AB624" s="85"/>
      <c r="AC624" s="85"/>
      <c r="AD624" s="85"/>
    </row>
    <row r="625" spans="1:30" ht="15.75" x14ac:dyDescent="0.25">
      <c r="A625" s="13">
        <v>59961</v>
      </c>
      <c r="B625" s="96">
        <f t="shared" si="94"/>
        <v>29</v>
      </c>
      <c r="C625" s="84">
        <f>122.58</f>
        <v>122.58</v>
      </c>
      <c r="D625" s="84">
        <f>297.941</f>
        <v>297.94099999999997</v>
      </c>
      <c r="E625" s="93">
        <f>89.177</f>
        <v>89.177000000000007</v>
      </c>
      <c r="F625" s="84">
        <f>240.302-40-60-100</f>
        <v>40.301999999999992</v>
      </c>
      <c r="G625" s="87">
        <v>40</v>
      </c>
      <c r="H625" s="84">
        <f>60+100</f>
        <v>160</v>
      </c>
      <c r="I625" s="84">
        <f t="shared" si="90"/>
        <v>0</v>
      </c>
      <c r="J625" s="87">
        <v>100</v>
      </c>
      <c r="K625" s="87">
        <v>300</v>
      </c>
      <c r="L625" s="84">
        <f t="shared" si="95"/>
        <v>1150</v>
      </c>
      <c r="M625" s="95">
        <v>600</v>
      </c>
      <c r="N625" s="84">
        <f>100</f>
        <v>100</v>
      </c>
      <c r="O625" s="87">
        <v>240</v>
      </c>
      <c r="P625" s="87">
        <v>40</v>
      </c>
      <c r="Q625" s="87">
        <f t="shared" si="96"/>
        <v>315</v>
      </c>
      <c r="R625" s="87">
        <f t="shared" si="97"/>
        <v>100</v>
      </c>
      <c r="S625" s="84">
        <f t="shared" si="98"/>
        <v>695</v>
      </c>
      <c r="T625" s="84">
        <f>50</f>
        <v>50</v>
      </c>
      <c r="U625" s="85"/>
      <c r="V625" s="85"/>
      <c r="W625" s="85"/>
      <c r="X625" s="85"/>
      <c r="Y625" s="85"/>
      <c r="Z625" s="85"/>
      <c r="AA625" s="85"/>
      <c r="AB625" s="85"/>
      <c r="AC625" s="85"/>
      <c r="AD625" s="85"/>
    </row>
    <row r="626" spans="1:30" ht="15.75" x14ac:dyDescent="0.25">
      <c r="A626" s="13">
        <v>59992</v>
      </c>
      <c r="B626" s="96">
        <f t="shared" si="94"/>
        <v>31</v>
      </c>
      <c r="C626" s="84">
        <f>122.58</f>
        <v>122.58</v>
      </c>
      <c r="D626" s="84">
        <f>297.941</f>
        <v>297.94099999999997</v>
      </c>
      <c r="E626" s="93">
        <f>89.177</f>
        <v>89.177000000000007</v>
      </c>
      <c r="F626" s="84">
        <f>240.302-40-60-100</f>
        <v>40.301999999999992</v>
      </c>
      <c r="G626" s="87">
        <v>40</v>
      </c>
      <c r="H626" s="84">
        <f>60+100</f>
        <v>160</v>
      </c>
      <c r="I626" s="84">
        <f t="shared" si="90"/>
        <v>0</v>
      </c>
      <c r="J626" s="87">
        <v>100</v>
      </c>
      <c r="K626" s="87">
        <v>300</v>
      </c>
      <c r="L626" s="84">
        <f t="shared" si="95"/>
        <v>1150</v>
      </c>
      <c r="M626" s="95">
        <v>600</v>
      </c>
      <c r="N626" s="84">
        <f>100</f>
        <v>100</v>
      </c>
      <c r="O626" s="87">
        <v>240</v>
      </c>
      <c r="P626" s="87">
        <v>40</v>
      </c>
      <c r="Q626" s="87">
        <f t="shared" si="96"/>
        <v>315</v>
      </c>
      <c r="R626" s="87">
        <f t="shared" si="97"/>
        <v>100</v>
      </c>
      <c r="S626" s="84">
        <f t="shared" si="98"/>
        <v>695</v>
      </c>
      <c r="T626" s="84">
        <f>50</f>
        <v>50</v>
      </c>
      <c r="U626" s="85"/>
      <c r="V626" s="85"/>
      <c r="W626" s="85"/>
      <c r="X626" s="85"/>
      <c r="Y626" s="85"/>
      <c r="Z626" s="85"/>
      <c r="AA626" s="85"/>
      <c r="AB626" s="85"/>
      <c r="AC626" s="85"/>
      <c r="AD626" s="85"/>
    </row>
    <row r="627" spans="1:30" ht="15.75" x14ac:dyDescent="0.25">
      <c r="A627" s="13">
        <v>60022</v>
      </c>
      <c r="B627" s="96">
        <f t="shared" si="94"/>
        <v>30</v>
      </c>
      <c r="C627" s="84">
        <f>141.293</f>
        <v>141.29300000000001</v>
      </c>
      <c r="D627" s="84">
        <f>267.993</f>
        <v>267.99299999999999</v>
      </c>
      <c r="E627" s="93">
        <f>115.016</f>
        <v>115.01600000000001</v>
      </c>
      <c r="F627" s="84">
        <f>314.698-40-25-60-100</f>
        <v>89.697999999999979</v>
      </c>
      <c r="G627" s="87">
        <v>40</v>
      </c>
      <c r="H627" s="84">
        <f t="shared" ref="H627:H633" si="101">25+60+100</f>
        <v>185</v>
      </c>
      <c r="I627" s="84">
        <f t="shared" si="90"/>
        <v>0</v>
      </c>
      <c r="J627" s="87">
        <v>100</v>
      </c>
      <c r="K627" s="87">
        <v>300</v>
      </c>
      <c r="L627" s="84">
        <f t="shared" si="95"/>
        <v>1239</v>
      </c>
      <c r="M627" s="95">
        <v>600</v>
      </c>
      <c r="N627" s="84">
        <f>100</f>
        <v>100</v>
      </c>
      <c r="O627" s="87">
        <v>240</v>
      </c>
      <c r="P627" s="87">
        <v>40</v>
      </c>
      <c r="Q627" s="87">
        <f t="shared" si="96"/>
        <v>315</v>
      </c>
      <c r="R627" s="87">
        <f t="shared" si="97"/>
        <v>100</v>
      </c>
      <c r="S627" s="84">
        <f t="shared" si="98"/>
        <v>695</v>
      </c>
      <c r="T627" s="84">
        <f>50</f>
        <v>50</v>
      </c>
      <c r="U627" s="85"/>
      <c r="V627" s="85"/>
      <c r="W627" s="85"/>
      <c r="X627" s="85"/>
      <c r="Y627" s="85"/>
      <c r="Z627" s="85"/>
      <c r="AA627" s="85"/>
      <c r="AB627" s="85"/>
      <c r="AC627" s="85"/>
      <c r="AD627" s="85"/>
    </row>
    <row r="628" spans="1:30" ht="15.75" x14ac:dyDescent="0.25">
      <c r="A628" s="13">
        <v>60053</v>
      </c>
      <c r="B628" s="96">
        <f t="shared" si="94"/>
        <v>31</v>
      </c>
      <c r="C628" s="84">
        <f>194.205</f>
        <v>194.20500000000001</v>
      </c>
      <c r="D628" s="84">
        <f>267.466</f>
        <v>267.46600000000001</v>
      </c>
      <c r="E628" s="93">
        <f>133.845</f>
        <v>133.845</v>
      </c>
      <c r="F628" s="84">
        <f>278.484-40-25-60-100</f>
        <v>53.48399999999998</v>
      </c>
      <c r="G628" s="87">
        <v>40</v>
      </c>
      <c r="H628" s="84">
        <f t="shared" si="101"/>
        <v>185</v>
      </c>
      <c r="I628" s="84">
        <f t="shared" ref="I628:I691" si="102">400-J628-K628</f>
        <v>0</v>
      </c>
      <c r="J628" s="87">
        <v>100</v>
      </c>
      <c r="K628" s="87">
        <v>300</v>
      </c>
      <c r="L628" s="84">
        <f t="shared" si="95"/>
        <v>1274</v>
      </c>
      <c r="M628" s="95">
        <v>600</v>
      </c>
      <c r="N628" s="84">
        <f>75</f>
        <v>75</v>
      </c>
      <c r="O628" s="87">
        <v>240</v>
      </c>
      <c r="P628" s="87">
        <v>40</v>
      </c>
      <c r="Q628" s="87">
        <f t="shared" si="96"/>
        <v>315</v>
      </c>
      <c r="R628" s="87">
        <f t="shared" si="97"/>
        <v>100</v>
      </c>
      <c r="S628" s="84">
        <f t="shared" si="98"/>
        <v>695</v>
      </c>
      <c r="T628" s="84">
        <f>50</f>
        <v>50</v>
      </c>
      <c r="U628" s="85"/>
      <c r="V628" s="85"/>
      <c r="W628" s="85"/>
      <c r="X628" s="85"/>
      <c r="Y628" s="85"/>
      <c r="Z628" s="85"/>
      <c r="AA628" s="85"/>
      <c r="AB628" s="85"/>
      <c r="AC628" s="85"/>
      <c r="AD628" s="85"/>
    </row>
    <row r="629" spans="1:30" ht="15.75" x14ac:dyDescent="0.25">
      <c r="A629" s="13">
        <v>60083</v>
      </c>
      <c r="B629" s="96">
        <f t="shared" si="94"/>
        <v>30</v>
      </c>
      <c r="C629" s="84">
        <f>194.205</f>
        <v>194.20500000000001</v>
      </c>
      <c r="D629" s="84">
        <f>267.466</f>
        <v>267.46600000000001</v>
      </c>
      <c r="E629" s="93">
        <f>133.845</f>
        <v>133.845</v>
      </c>
      <c r="F629" s="84">
        <f>278.484-40-25-60-100</f>
        <v>53.48399999999998</v>
      </c>
      <c r="G629" s="87">
        <v>40</v>
      </c>
      <c r="H629" s="84">
        <f t="shared" si="101"/>
        <v>185</v>
      </c>
      <c r="I629" s="84">
        <f t="shared" si="102"/>
        <v>0</v>
      </c>
      <c r="J629" s="87">
        <v>100</v>
      </c>
      <c r="K629" s="87">
        <v>300</v>
      </c>
      <c r="L629" s="84">
        <f t="shared" si="95"/>
        <v>1274</v>
      </c>
      <c r="M629" s="95">
        <v>600</v>
      </c>
      <c r="N629" s="84">
        <f>30</f>
        <v>30</v>
      </c>
      <c r="O629" s="87">
        <v>240</v>
      </c>
      <c r="P629" s="87">
        <v>40</v>
      </c>
      <c r="Q629" s="87">
        <f t="shared" si="96"/>
        <v>315</v>
      </c>
      <c r="R629" s="87">
        <f t="shared" si="97"/>
        <v>100</v>
      </c>
      <c r="S629" s="84">
        <f t="shared" si="98"/>
        <v>695</v>
      </c>
      <c r="T629" s="84">
        <f>50</f>
        <v>50</v>
      </c>
      <c r="U629" s="85"/>
      <c r="V629" s="85"/>
      <c r="W629" s="85"/>
      <c r="X629" s="85"/>
      <c r="Y629" s="85"/>
      <c r="Z629" s="85"/>
      <c r="AA629" s="85"/>
      <c r="AB629" s="85"/>
      <c r="AC629" s="85"/>
      <c r="AD629" s="85"/>
    </row>
    <row r="630" spans="1:30" ht="15.75" x14ac:dyDescent="0.25">
      <c r="A630" s="13">
        <v>60114</v>
      </c>
      <c r="B630" s="96">
        <f t="shared" si="94"/>
        <v>31</v>
      </c>
      <c r="C630" s="84">
        <f>194.205</f>
        <v>194.20500000000001</v>
      </c>
      <c r="D630" s="84">
        <f>267.466</f>
        <v>267.46600000000001</v>
      </c>
      <c r="E630" s="93">
        <f>133.845</f>
        <v>133.845</v>
      </c>
      <c r="F630" s="84">
        <f>278.484-40-25-60-100</f>
        <v>53.48399999999998</v>
      </c>
      <c r="G630" s="87">
        <v>40</v>
      </c>
      <c r="H630" s="84">
        <f t="shared" si="101"/>
        <v>185</v>
      </c>
      <c r="I630" s="84">
        <f t="shared" si="102"/>
        <v>0</v>
      </c>
      <c r="J630" s="87">
        <v>100</v>
      </c>
      <c r="K630" s="87">
        <v>300</v>
      </c>
      <c r="L630" s="84">
        <f t="shared" si="95"/>
        <v>1274</v>
      </c>
      <c r="M630" s="95">
        <v>600</v>
      </c>
      <c r="N630" s="84">
        <f>30</f>
        <v>30</v>
      </c>
      <c r="O630" s="87">
        <v>240</v>
      </c>
      <c r="P630" s="87">
        <v>40</v>
      </c>
      <c r="Q630" s="87">
        <f t="shared" si="96"/>
        <v>315</v>
      </c>
      <c r="R630" s="87">
        <f t="shared" si="97"/>
        <v>100</v>
      </c>
      <c r="S630" s="84">
        <f t="shared" si="98"/>
        <v>695</v>
      </c>
      <c r="T630" s="84">
        <f>0</f>
        <v>0</v>
      </c>
      <c r="U630" s="85"/>
      <c r="V630" s="85"/>
      <c r="W630" s="85"/>
      <c r="X630" s="85"/>
      <c r="Y630" s="85"/>
      <c r="Z630" s="85"/>
      <c r="AA630" s="85"/>
      <c r="AB630" s="85"/>
      <c r="AC630" s="85"/>
      <c r="AD630" s="85"/>
    </row>
    <row r="631" spans="1:30" ht="15.75" x14ac:dyDescent="0.25">
      <c r="A631" s="13">
        <v>60145</v>
      </c>
      <c r="B631" s="96">
        <f t="shared" si="94"/>
        <v>31</v>
      </c>
      <c r="C631" s="84">
        <f>194.205</f>
        <v>194.20500000000001</v>
      </c>
      <c r="D631" s="84">
        <f>267.466</f>
        <v>267.46600000000001</v>
      </c>
      <c r="E631" s="93">
        <f>133.845</f>
        <v>133.845</v>
      </c>
      <c r="F631" s="84">
        <f>278.484-40-25-60-100</f>
        <v>53.48399999999998</v>
      </c>
      <c r="G631" s="87">
        <v>40</v>
      </c>
      <c r="H631" s="84">
        <f t="shared" si="101"/>
        <v>185</v>
      </c>
      <c r="I631" s="84">
        <f t="shared" si="102"/>
        <v>0</v>
      </c>
      <c r="J631" s="87">
        <v>100</v>
      </c>
      <c r="K631" s="87">
        <v>300</v>
      </c>
      <c r="L631" s="84">
        <f t="shared" si="95"/>
        <v>1274</v>
      </c>
      <c r="M631" s="95">
        <v>600</v>
      </c>
      <c r="N631" s="84">
        <f>30</f>
        <v>30</v>
      </c>
      <c r="O631" s="87">
        <v>240</v>
      </c>
      <c r="P631" s="87">
        <v>40</v>
      </c>
      <c r="Q631" s="87">
        <f t="shared" si="96"/>
        <v>315</v>
      </c>
      <c r="R631" s="87">
        <f t="shared" si="97"/>
        <v>100</v>
      </c>
      <c r="S631" s="84">
        <f t="shared" si="98"/>
        <v>695</v>
      </c>
      <c r="T631" s="84">
        <f>0</f>
        <v>0</v>
      </c>
      <c r="U631" s="85"/>
      <c r="V631" s="85"/>
      <c r="W631" s="85"/>
      <c r="X631" s="85"/>
      <c r="Y631" s="85"/>
      <c r="Z631" s="85"/>
      <c r="AA631" s="85"/>
      <c r="AB631" s="85"/>
      <c r="AC631" s="85"/>
      <c r="AD631" s="85"/>
    </row>
    <row r="632" spans="1:30" ht="15.75" x14ac:dyDescent="0.25">
      <c r="A632" s="13">
        <v>60175</v>
      </c>
      <c r="B632" s="96">
        <f t="shared" si="94"/>
        <v>30</v>
      </c>
      <c r="C632" s="84">
        <f>194.205</f>
        <v>194.20500000000001</v>
      </c>
      <c r="D632" s="84">
        <f>267.466</f>
        <v>267.46600000000001</v>
      </c>
      <c r="E632" s="93">
        <f>133.845</f>
        <v>133.845</v>
      </c>
      <c r="F632" s="84">
        <f>278.484-40-25-60-100</f>
        <v>53.48399999999998</v>
      </c>
      <c r="G632" s="87">
        <v>40</v>
      </c>
      <c r="H632" s="84">
        <f t="shared" si="101"/>
        <v>185</v>
      </c>
      <c r="I632" s="84">
        <f t="shared" si="102"/>
        <v>0</v>
      </c>
      <c r="J632" s="87">
        <v>100</v>
      </c>
      <c r="K632" s="87">
        <v>300</v>
      </c>
      <c r="L632" s="84">
        <f t="shared" si="95"/>
        <v>1274</v>
      </c>
      <c r="M632" s="95">
        <v>600</v>
      </c>
      <c r="N632" s="84">
        <f>30</f>
        <v>30</v>
      </c>
      <c r="O632" s="87">
        <v>240</v>
      </c>
      <c r="P632" s="87">
        <v>40</v>
      </c>
      <c r="Q632" s="87">
        <f t="shared" si="96"/>
        <v>315</v>
      </c>
      <c r="R632" s="87">
        <f t="shared" si="97"/>
        <v>100</v>
      </c>
      <c r="S632" s="84">
        <f t="shared" si="98"/>
        <v>695</v>
      </c>
      <c r="T632" s="84">
        <f>0</f>
        <v>0</v>
      </c>
      <c r="U632" s="85"/>
      <c r="V632" s="85"/>
      <c r="W632" s="85"/>
      <c r="X632" s="85"/>
      <c r="Y632" s="85"/>
      <c r="Z632" s="85"/>
      <c r="AA632" s="85"/>
      <c r="AB632" s="85"/>
      <c r="AC632" s="85"/>
      <c r="AD632" s="85"/>
    </row>
    <row r="633" spans="1:30" ht="15.75" x14ac:dyDescent="0.25">
      <c r="A633" s="13">
        <v>60206</v>
      </c>
      <c r="B633" s="96">
        <f t="shared" si="94"/>
        <v>31</v>
      </c>
      <c r="C633" s="84">
        <f>131.881</f>
        <v>131.881</v>
      </c>
      <c r="D633" s="84">
        <f>277.167</f>
        <v>277.16699999999997</v>
      </c>
      <c r="E633" s="93">
        <f>79.08</f>
        <v>79.08</v>
      </c>
      <c r="F633" s="84">
        <f>350.872-40-25-60-100</f>
        <v>125.87200000000001</v>
      </c>
      <c r="G633" s="87">
        <v>40</v>
      </c>
      <c r="H633" s="84">
        <f t="shared" si="101"/>
        <v>185</v>
      </c>
      <c r="I633" s="84">
        <f t="shared" si="102"/>
        <v>0</v>
      </c>
      <c r="J633" s="87">
        <v>100</v>
      </c>
      <c r="K633" s="87">
        <v>300</v>
      </c>
      <c r="L633" s="84">
        <f t="shared" si="95"/>
        <v>1239</v>
      </c>
      <c r="M633" s="95">
        <v>600</v>
      </c>
      <c r="N633" s="84">
        <f>75</f>
        <v>75</v>
      </c>
      <c r="O633" s="87">
        <v>240</v>
      </c>
      <c r="P633" s="87">
        <v>40</v>
      </c>
      <c r="Q633" s="87">
        <f t="shared" si="96"/>
        <v>315</v>
      </c>
      <c r="R633" s="87">
        <f t="shared" si="97"/>
        <v>100</v>
      </c>
      <c r="S633" s="84">
        <f t="shared" si="98"/>
        <v>695</v>
      </c>
      <c r="T633" s="84">
        <f>0</f>
        <v>0</v>
      </c>
      <c r="U633" s="85"/>
      <c r="V633" s="85"/>
      <c r="W633" s="85"/>
      <c r="X633" s="85"/>
      <c r="Y633" s="85"/>
      <c r="Z633" s="85"/>
      <c r="AA633" s="85"/>
      <c r="AB633" s="85"/>
      <c r="AC633" s="85"/>
      <c r="AD633" s="85"/>
    </row>
    <row r="634" spans="1:30" ht="15.75" x14ac:dyDescent="0.25">
      <c r="A634" s="13">
        <v>60236</v>
      </c>
      <c r="B634" s="96">
        <f t="shared" si="94"/>
        <v>30</v>
      </c>
      <c r="C634" s="84">
        <f>122.58</f>
        <v>122.58</v>
      </c>
      <c r="D634" s="84">
        <f>297.941</f>
        <v>297.94099999999997</v>
      </c>
      <c r="E634" s="93">
        <f>89.177</f>
        <v>89.177000000000007</v>
      </c>
      <c r="F634" s="84">
        <f>240.302-40-60-100</f>
        <v>40.301999999999992</v>
      </c>
      <c r="G634" s="87">
        <v>40</v>
      </c>
      <c r="H634" s="84">
        <f>60+100</f>
        <v>160</v>
      </c>
      <c r="I634" s="84">
        <f t="shared" si="102"/>
        <v>0</v>
      </c>
      <c r="J634" s="87">
        <v>100</v>
      </c>
      <c r="K634" s="87">
        <v>300</v>
      </c>
      <c r="L634" s="84">
        <f t="shared" si="95"/>
        <v>1150</v>
      </c>
      <c r="M634" s="95">
        <v>600</v>
      </c>
      <c r="N634" s="84">
        <f>100</f>
        <v>100</v>
      </c>
      <c r="O634" s="87">
        <v>240</v>
      </c>
      <c r="P634" s="87">
        <v>40</v>
      </c>
      <c r="Q634" s="87">
        <f t="shared" si="96"/>
        <v>315</v>
      </c>
      <c r="R634" s="87">
        <f t="shared" si="97"/>
        <v>100</v>
      </c>
      <c r="S634" s="84">
        <f t="shared" si="98"/>
        <v>695</v>
      </c>
      <c r="T634" s="84">
        <f>50</f>
        <v>50</v>
      </c>
      <c r="U634" s="85"/>
      <c r="V634" s="85"/>
      <c r="W634" s="85"/>
      <c r="X634" s="85"/>
      <c r="Y634" s="85"/>
      <c r="Z634" s="85"/>
      <c r="AA634" s="85"/>
      <c r="AB634" s="85"/>
      <c r="AC634" s="85"/>
      <c r="AD634" s="85"/>
    </row>
    <row r="635" spans="1:30" ht="15.75" x14ac:dyDescent="0.25">
      <c r="A635" s="13">
        <v>60267</v>
      </c>
      <c r="B635" s="96">
        <f t="shared" si="94"/>
        <v>31</v>
      </c>
      <c r="C635" s="84">
        <f>122.58</f>
        <v>122.58</v>
      </c>
      <c r="D635" s="84">
        <f>297.941</f>
        <v>297.94099999999997</v>
      </c>
      <c r="E635" s="93">
        <f>89.177</f>
        <v>89.177000000000007</v>
      </c>
      <c r="F635" s="84">
        <f>240.302-40-60-100</f>
        <v>40.301999999999992</v>
      </c>
      <c r="G635" s="87">
        <v>40</v>
      </c>
      <c r="H635" s="84">
        <f>60+100</f>
        <v>160</v>
      </c>
      <c r="I635" s="84">
        <f t="shared" si="102"/>
        <v>0</v>
      </c>
      <c r="J635" s="87">
        <v>100</v>
      </c>
      <c r="K635" s="87">
        <v>300</v>
      </c>
      <c r="L635" s="84">
        <f t="shared" si="95"/>
        <v>1150</v>
      </c>
      <c r="M635" s="95">
        <v>600</v>
      </c>
      <c r="N635" s="84">
        <f>100</f>
        <v>100</v>
      </c>
      <c r="O635" s="87">
        <v>240</v>
      </c>
      <c r="P635" s="87">
        <v>40</v>
      </c>
      <c r="Q635" s="87">
        <f t="shared" si="96"/>
        <v>315</v>
      </c>
      <c r="R635" s="87">
        <f t="shared" si="97"/>
        <v>100</v>
      </c>
      <c r="S635" s="84">
        <f t="shared" si="98"/>
        <v>695</v>
      </c>
      <c r="T635" s="84">
        <f>50</f>
        <v>50</v>
      </c>
      <c r="U635" s="85"/>
      <c r="V635" s="85"/>
      <c r="W635" s="85"/>
      <c r="X635" s="85"/>
      <c r="Y635" s="85"/>
      <c r="Z635" s="85"/>
      <c r="AA635" s="85"/>
      <c r="AB635" s="85"/>
      <c r="AC635" s="85"/>
      <c r="AD635" s="85"/>
    </row>
    <row r="636" spans="1:30" ht="15.75" x14ac:dyDescent="0.25">
      <c r="A636" s="13">
        <v>60298</v>
      </c>
      <c r="B636" s="96">
        <f t="shared" si="94"/>
        <v>31</v>
      </c>
      <c r="C636" s="84">
        <f>122.58</f>
        <v>122.58</v>
      </c>
      <c r="D636" s="84">
        <f>297.941</f>
        <v>297.94099999999997</v>
      </c>
      <c r="E636" s="93">
        <f>89.177</f>
        <v>89.177000000000007</v>
      </c>
      <c r="F636" s="84">
        <f>240.302-40-60-100</f>
        <v>40.301999999999992</v>
      </c>
      <c r="G636" s="87">
        <v>40</v>
      </c>
      <c r="H636" s="84">
        <f>60+100</f>
        <v>160</v>
      </c>
      <c r="I636" s="84">
        <f t="shared" si="102"/>
        <v>0</v>
      </c>
      <c r="J636" s="87">
        <v>100</v>
      </c>
      <c r="K636" s="87">
        <v>300</v>
      </c>
      <c r="L636" s="84">
        <f t="shared" si="95"/>
        <v>1150</v>
      </c>
      <c r="M636" s="95">
        <v>600</v>
      </c>
      <c r="N636" s="84">
        <f>100</f>
        <v>100</v>
      </c>
      <c r="O636" s="87">
        <v>240</v>
      </c>
      <c r="P636" s="87">
        <v>40</v>
      </c>
      <c r="Q636" s="87">
        <f t="shared" si="96"/>
        <v>315</v>
      </c>
      <c r="R636" s="87">
        <f t="shared" si="97"/>
        <v>100</v>
      </c>
      <c r="S636" s="84">
        <f t="shared" si="98"/>
        <v>695</v>
      </c>
      <c r="T636" s="84">
        <f>50</f>
        <v>50</v>
      </c>
      <c r="U636" s="85"/>
      <c r="V636" s="85"/>
      <c r="W636" s="85"/>
      <c r="X636" s="85"/>
      <c r="Y636" s="85"/>
      <c r="Z636" s="85"/>
      <c r="AA636" s="85"/>
      <c r="AB636" s="85"/>
      <c r="AC636" s="85"/>
      <c r="AD636" s="85"/>
    </row>
    <row r="637" spans="1:30" ht="15.75" x14ac:dyDescent="0.25">
      <c r="A637" s="13">
        <v>60326</v>
      </c>
      <c r="B637" s="96">
        <f t="shared" si="94"/>
        <v>28</v>
      </c>
      <c r="C637" s="84">
        <f>122.58</f>
        <v>122.58</v>
      </c>
      <c r="D637" s="84">
        <f>297.941</f>
        <v>297.94099999999997</v>
      </c>
      <c r="E637" s="93">
        <f>89.177</f>
        <v>89.177000000000007</v>
      </c>
      <c r="F637" s="84">
        <f>240.302-40-60-100</f>
        <v>40.301999999999992</v>
      </c>
      <c r="G637" s="87">
        <v>40</v>
      </c>
      <c r="H637" s="84">
        <f>60+100</f>
        <v>160</v>
      </c>
      <c r="I637" s="84">
        <f t="shared" si="102"/>
        <v>0</v>
      </c>
      <c r="J637" s="87">
        <v>100</v>
      </c>
      <c r="K637" s="87">
        <v>300</v>
      </c>
      <c r="L637" s="84">
        <f t="shared" si="95"/>
        <v>1150</v>
      </c>
      <c r="M637" s="95">
        <v>600</v>
      </c>
      <c r="N637" s="84">
        <f>100</f>
        <v>100</v>
      </c>
      <c r="O637" s="87">
        <v>240</v>
      </c>
      <c r="P637" s="87">
        <v>40</v>
      </c>
      <c r="Q637" s="87">
        <f t="shared" si="96"/>
        <v>315</v>
      </c>
      <c r="R637" s="87">
        <f t="shared" si="97"/>
        <v>100</v>
      </c>
      <c r="S637" s="84">
        <f t="shared" si="98"/>
        <v>695</v>
      </c>
      <c r="T637" s="84">
        <f>50</f>
        <v>50</v>
      </c>
      <c r="U637" s="85"/>
      <c r="V637" s="85"/>
      <c r="W637" s="85"/>
      <c r="X637" s="85"/>
      <c r="Y637" s="85"/>
      <c r="Z637" s="85"/>
      <c r="AA637" s="85"/>
      <c r="AB637" s="85"/>
      <c r="AC637" s="85"/>
      <c r="AD637" s="85"/>
    </row>
    <row r="638" spans="1:30" ht="15.75" x14ac:dyDescent="0.25">
      <c r="A638" s="13">
        <v>60357</v>
      </c>
      <c r="B638" s="96">
        <f t="shared" si="94"/>
        <v>31</v>
      </c>
      <c r="C638" s="84">
        <f>122.58</f>
        <v>122.58</v>
      </c>
      <c r="D638" s="84">
        <f>297.941</f>
        <v>297.94099999999997</v>
      </c>
      <c r="E638" s="93">
        <f>89.177</f>
        <v>89.177000000000007</v>
      </c>
      <c r="F638" s="84">
        <f>240.302-40-60-100</f>
        <v>40.301999999999992</v>
      </c>
      <c r="G638" s="87">
        <v>40</v>
      </c>
      <c r="H638" s="84">
        <f>60+100</f>
        <v>160</v>
      </c>
      <c r="I638" s="84">
        <f t="shared" si="102"/>
        <v>0</v>
      </c>
      <c r="J638" s="87">
        <v>100</v>
      </c>
      <c r="K638" s="87">
        <v>300</v>
      </c>
      <c r="L638" s="84">
        <f t="shared" si="95"/>
        <v>1150</v>
      </c>
      <c r="M638" s="95">
        <v>600</v>
      </c>
      <c r="N638" s="84">
        <f>100</f>
        <v>100</v>
      </c>
      <c r="O638" s="87">
        <v>240</v>
      </c>
      <c r="P638" s="87">
        <v>40</v>
      </c>
      <c r="Q638" s="87">
        <f t="shared" si="96"/>
        <v>315</v>
      </c>
      <c r="R638" s="87">
        <f t="shared" si="97"/>
        <v>100</v>
      </c>
      <c r="S638" s="84">
        <f t="shared" si="98"/>
        <v>695</v>
      </c>
      <c r="T638" s="84">
        <f>50</f>
        <v>50</v>
      </c>
      <c r="U638" s="85"/>
      <c r="V638" s="85"/>
      <c r="W638" s="85"/>
      <c r="X638" s="85"/>
      <c r="Y638" s="85"/>
      <c r="Z638" s="85"/>
      <c r="AA638" s="85"/>
      <c r="AB638" s="85"/>
      <c r="AC638" s="85"/>
      <c r="AD638" s="85"/>
    </row>
    <row r="639" spans="1:30" ht="15.75" x14ac:dyDescent="0.25">
      <c r="A639" s="13">
        <v>60387</v>
      </c>
      <c r="B639" s="96">
        <f t="shared" si="94"/>
        <v>30</v>
      </c>
      <c r="C639" s="84">
        <f>141.293</f>
        <v>141.29300000000001</v>
      </c>
      <c r="D639" s="84">
        <f>267.993</f>
        <v>267.99299999999999</v>
      </c>
      <c r="E639" s="93">
        <f>115.016</f>
        <v>115.01600000000001</v>
      </c>
      <c r="F639" s="84">
        <f>314.698-40-25-60-100</f>
        <v>89.697999999999979</v>
      </c>
      <c r="G639" s="87">
        <v>40</v>
      </c>
      <c r="H639" s="84">
        <f t="shared" ref="H639:H645" si="103">25+60+100</f>
        <v>185</v>
      </c>
      <c r="I639" s="84">
        <f t="shared" si="102"/>
        <v>0</v>
      </c>
      <c r="J639" s="87">
        <v>100</v>
      </c>
      <c r="K639" s="87">
        <v>300</v>
      </c>
      <c r="L639" s="84">
        <f t="shared" si="95"/>
        <v>1239</v>
      </c>
      <c r="M639" s="95">
        <v>600</v>
      </c>
      <c r="N639" s="84">
        <f>100</f>
        <v>100</v>
      </c>
      <c r="O639" s="87">
        <v>240</v>
      </c>
      <c r="P639" s="87">
        <v>40</v>
      </c>
      <c r="Q639" s="87">
        <f t="shared" si="96"/>
        <v>315</v>
      </c>
      <c r="R639" s="87">
        <f t="shared" si="97"/>
        <v>100</v>
      </c>
      <c r="S639" s="84">
        <f t="shared" si="98"/>
        <v>695</v>
      </c>
      <c r="T639" s="84">
        <f>50</f>
        <v>50</v>
      </c>
      <c r="U639" s="85"/>
      <c r="V639" s="85"/>
      <c r="W639" s="85"/>
      <c r="X639" s="85"/>
      <c r="Y639" s="85"/>
      <c r="Z639" s="85"/>
      <c r="AA639" s="85"/>
      <c r="AB639" s="85"/>
      <c r="AC639" s="85"/>
      <c r="AD639" s="85"/>
    </row>
    <row r="640" spans="1:30" ht="15.75" x14ac:dyDescent="0.25">
      <c r="A640" s="13">
        <v>60418</v>
      </c>
      <c r="B640" s="96">
        <f t="shared" si="94"/>
        <v>31</v>
      </c>
      <c r="C640" s="84">
        <f>194.205</f>
        <v>194.20500000000001</v>
      </c>
      <c r="D640" s="84">
        <f>267.466</f>
        <v>267.46600000000001</v>
      </c>
      <c r="E640" s="93">
        <f>133.845</f>
        <v>133.845</v>
      </c>
      <c r="F640" s="84">
        <f>278.484-40-25-60-100</f>
        <v>53.48399999999998</v>
      </c>
      <c r="G640" s="87">
        <v>40</v>
      </c>
      <c r="H640" s="84">
        <f t="shared" si="103"/>
        <v>185</v>
      </c>
      <c r="I640" s="84">
        <f t="shared" si="102"/>
        <v>0</v>
      </c>
      <c r="J640" s="87">
        <v>100</v>
      </c>
      <c r="K640" s="87">
        <v>300</v>
      </c>
      <c r="L640" s="84">
        <f t="shared" si="95"/>
        <v>1274</v>
      </c>
      <c r="M640" s="95">
        <v>600</v>
      </c>
      <c r="N640" s="84">
        <f>75</f>
        <v>75</v>
      </c>
      <c r="O640" s="87">
        <v>240</v>
      </c>
      <c r="P640" s="87">
        <v>40</v>
      </c>
      <c r="Q640" s="87">
        <f t="shared" si="96"/>
        <v>315</v>
      </c>
      <c r="R640" s="87">
        <f t="shared" si="97"/>
        <v>100</v>
      </c>
      <c r="S640" s="84">
        <f t="shared" si="98"/>
        <v>695</v>
      </c>
      <c r="T640" s="84">
        <f>50</f>
        <v>50</v>
      </c>
      <c r="U640" s="85"/>
      <c r="V640" s="85"/>
      <c r="W640" s="85"/>
      <c r="X640" s="85"/>
      <c r="Y640" s="85"/>
      <c r="Z640" s="85"/>
      <c r="AA640" s="85"/>
      <c r="AB640" s="85"/>
      <c r="AC640" s="85"/>
      <c r="AD640" s="85"/>
    </row>
    <row r="641" spans="1:30" ht="15.75" x14ac:dyDescent="0.25">
      <c r="A641" s="13">
        <v>60448</v>
      </c>
      <c r="B641" s="96">
        <f t="shared" si="94"/>
        <v>30</v>
      </c>
      <c r="C641" s="84">
        <f>194.205</f>
        <v>194.20500000000001</v>
      </c>
      <c r="D641" s="84">
        <f>267.466</f>
        <v>267.46600000000001</v>
      </c>
      <c r="E641" s="93">
        <f>133.845</f>
        <v>133.845</v>
      </c>
      <c r="F641" s="84">
        <f>278.484-40-25-60-100</f>
        <v>53.48399999999998</v>
      </c>
      <c r="G641" s="87">
        <v>40</v>
      </c>
      <c r="H641" s="84">
        <f t="shared" si="103"/>
        <v>185</v>
      </c>
      <c r="I641" s="84">
        <f t="shared" si="102"/>
        <v>0</v>
      </c>
      <c r="J641" s="87">
        <v>100</v>
      </c>
      <c r="K641" s="87">
        <v>300</v>
      </c>
      <c r="L641" s="84">
        <f t="shared" si="95"/>
        <v>1274</v>
      </c>
      <c r="M641" s="95">
        <v>600</v>
      </c>
      <c r="N641" s="84">
        <f>30</f>
        <v>30</v>
      </c>
      <c r="O641" s="87">
        <v>240</v>
      </c>
      <c r="P641" s="87">
        <v>40</v>
      </c>
      <c r="Q641" s="87">
        <f t="shared" si="96"/>
        <v>315</v>
      </c>
      <c r="R641" s="87">
        <f t="shared" si="97"/>
        <v>100</v>
      </c>
      <c r="S641" s="84">
        <f t="shared" si="98"/>
        <v>695</v>
      </c>
      <c r="T641" s="84">
        <f>50</f>
        <v>50</v>
      </c>
      <c r="U641" s="85"/>
      <c r="V641" s="85"/>
      <c r="W641" s="85"/>
      <c r="X641" s="85"/>
      <c r="Y641" s="85"/>
      <c r="Z641" s="85"/>
      <c r="AA641" s="85"/>
      <c r="AB641" s="85"/>
      <c r="AC641" s="85"/>
      <c r="AD641" s="85"/>
    </row>
    <row r="642" spans="1:30" ht="15.75" x14ac:dyDescent="0.25">
      <c r="A642" s="13">
        <v>60479</v>
      </c>
      <c r="B642" s="96">
        <f t="shared" si="94"/>
        <v>31</v>
      </c>
      <c r="C642" s="84">
        <f>194.205</f>
        <v>194.20500000000001</v>
      </c>
      <c r="D642" s="84">
        <f>267.466</f>
        <v>267.46600000000001</v>
      </c>
      <c r="E642" s="93">
        <f>133.845</f>
        <v>133.845</v>
      </c>
      <c r="F642" s="84">
        <f>278.484-40-25-60-100</f>
        <v>53.48399999999998</v>
      </c>
      <c r="G642" s="87">
        <v>40</v>
      </c>
      <c r="H642" s="84">
        <f t="shared" si="103"/>
        <v>185</v>
      </c>
      <c r="I642" s="84">
        <f t="shared" si="102"/>
        <v>0</v>
      </c>
      <c r="J642" s="87">
        <v>100</v>
      </c>
      <c r="K642" s="87">
        <v>300</v>
      </c>
      <c r="L642" s="84">
        <f t="shared" si="95"/>
        <v>1274</v>
      </c>
      <c r="M642" s="95">
        <v>600</v>
      </c>
      <c r="N642" s="84">
        <f>30</f>
        <v>30</v>
      </c>
      <c r="O642" s="87">
        <v>240</v>
      </c>
      <c r="P642" s="87">
        <v>40</v>
      </c>
      <c r="Q642" s="87">
        <f t="shared" si="96"/>
        <v>315</v>
      </c>
      <c r="R642" s="87">
        <f t="shared" si="97"/>
        <v>100</v>
      </c>
      <c r="S642" s="84">
        <f t="shared" si="98"/>
        <v>695</v>
      </c>
      <c r="T642" s="84">
        <f>0</f>
        <v>0</v>
      </c>
      <c r="U642" s="85"/>
      <c r="V642" s="85"/>
      <c r="W642" s="85"/>
      <c r="X642" s="85"/>
      <c r="Y642" s="85"/>
      <c r="Z642" s="85"/>
      <c r="AA642" s="85"/>
      <c r="AB642" s="85"/>
      <c r="AC642" s="85"/>
      <c r="AD642" s="85"/>
    </row>
    <row r="643" spans="1:30" ht="15.75" x14ac:dyDescent="0.25">
      <c r="A643" s="13">
        <v>60510</v>
      </c>
      <c r="B643" s="96">
        <f t="shared" si="94"/>
        <v>31</v>
      </c>
      <c r="C643" s="84">
        <f>194.205</f>
        <v>194.20500000000001</v>
      </c>
      <c r="D643" s="84">
        <f>267.466</f>
        <v>267.46600000000001</v>
      </c>
      <c r="E643" s="93">
        <f>133.845</f>
        <v>133.845</v>
      </c>
      <c r="F643" s="84">
        <f>278.484-40-25-60-100</f>
        <v>53.48399999999998</v>
      </c>
      <c r="G643" s="87">
        <v>40</v>
      </c>
      <c r="H643" s="84">
        <f t="shared" si="103"/>
        <v>185</v>
      </c>
      <c r="I643" s="84">
        <f t="shared" si="102"/>
        <v>0</v>
      </c>
      <c r="J643" s="87">
        <v>100</v>
      </c>
      <c r="K643" s="87">
        <v>300</v>
      </c>
      <c r="L643" s="84">
        <f t="shared" si="95"/>
        <v>1274</v>
      </c>
      <c r="M643" s="95">
        <v>600</v>
      </c>
      <c r="N643" s="84">
        <f>30</f>
        <v>30</v>
      </c>
      <c r="O643" s="87">
        <v>240</v>
      </c>
      <c r="P643" s="87">
        <v>40</v>
      </c>
      <c r="Q643" s="87">
        <f t="shared" si="96"/>
        <v>315</v>
      </c>
      <c r="R643" s="87">
        <f t="shared" si="97"/>
        <v>100</v>
      </c>
      <c r="S643" s="84">
        <f t="shared" si="98"/>
        <v>695</v>
      </c>
      <c r="T643" s="84">
        <f>0</f>
        <v>0</v>
      </c>
      <c r="U643" s="85"/>
      <c r="V643" s="85"/>
      <c r="W643" s="85"/>
      <c r="X643" s="85"/>
      <c r="Y643" s="85"/>
      <c r="Z643" s="85"/>
      <c r="AA643" s="85"/>
      <c r="AB643" s="85"/>
      <c r="AC643" s="85"/>
      <c r="AD643" s="85"/>
    </row>
    <row r="644" spans="1:30" ht="15.75" x14ac:dyDescent="0.25">
      <c r="A644" s="13">
        <v>60540</v>
      </c>
      <c r="B644" s="96">
        <f t="shared" si="94"/>
        <v>30</v>
      </c>
      <c r="C644" s="84">
        <f>194.205</f>
        <v>194.20500000000001</v>
      </c>
      <c r="D644" s="84">
        <f>267.466</f>
        <v>267.46600000000001</v>
      </c>
      <c r="E644" s="93">
        <f>133.845</f>
        <v>133.845</v>
      </c>
      <c r="F644" s="84">
        <f>278.484-40-25-60-100</f>
        <v>53.48399999999998</v>
      </c>
      <c r="G644" s="87">
        <v>40</v>
      </c>
      <c r="H644" s="84">
        <f t="shared" si="103"/>
        <v>185</v>
      </c>
      <c r="I644" s="84">
        <f t="shared" si="102"/>
        <v>0</v>
      </c>
      <c r="J644" s="87">
        <v>100</v>
      </c>
      <c r="K644" s="87">
        <v>300</v>
      </c>
      <c r="L644" s="84">
        <f t="shared" si="95"/>
        <v>1274</v>
      </c>
      <c r="M644" s="95">
        <v>600</v>
      </c>
      <c r="N644" s="84">
        <f>30</f>
        <v>30</v>
      </c>
      <c r="O644" s="87">
        <v>240</v>
      </c>
      <c r="P644" s="87">
        <v>40</v>
      </c>
      <c r="Q644" s="87">
        <f t="shared" si="96"/>
        <v>315</v>
      </c>
      <c r="R644" s="87">
        <f t="shared" si="97"/>
        <v>100</v>
      </c>
      <c r="S644" s="84">
        <f t="shared" si="98"/>
        <v>695</v>
      </c>
      <c r="T644" s="84">
        <f>0</f>
        <v>0</v>
      </c>
      <c r="U644" s="85"/>
      <c r="V644" s="85"/>
      <c r="W644" s="85"/>
      <c r="X644" s="85"/>
      <c r="Y644" s="85"/>
      <c r="Z644" s="85"/>
      <c r="AA644" s="85"/>
      <c r="AB644" s="85"/>
      <c r="AC644" s="85"/>
      <c r="AD644" s="85"/>
    </row>
    <row r="645" spans="1:30" ht="15.75" x14ac:dyDescent="0.25">
      <c r="A645" s="13">
        <v>60571</v>
      </c>
      <c r="B645" s="96">
        <f t="shared" si="94"/>
        <v>31</v>
      </c>
      <c r="C645" s="84">
        <f>131.881</f>
        <v>131.881</v>
      </c>
      <c r="D645" s="84">
        <f>277.167</f>
        <v>277.16699999999997</v>
      </c>
      <c r="E645" s="93">
        <f>79.08</f>
        <v>79.08</v>
      </c>
      <c r="F645" s="84">
        <f>350.872-40-25-60-100</f>
        <v>125.87200000000001</v>
      </c>
      <c r="G645" s="87">
        <v>40</v>
      </c>
      <c r="H645" s="84">
        <f t="shared" si="103"/>
        <v>185</v>
      </c>
      <c r="I645" s="84">
        <f t="shared" si="102"/>
        <v>0</v>
      </c>
      <c r="J645" s="87">
        <v>100</v>
      </c>
      <c r="K645" s="87">
        <v>300</v>
      </c>
      <c r="L645" s="84">
        <f t="shared" si="95"/>
        <v>1239</v>
      </c>
      <c r="M645" s="95">
        <v>600</v>
      </c>
      <c r="N645" s="84">
        <f>75</f>
        <v>75</v>
      </c>
      <c r="O645" s="87">
        <v>240</v>
      </c>
      <c r="P645" s="87">
        <v>40</v>
      </c>
      <c r="Q645" s="87">
        <f t="shared" si="96"/>
        <v>315</v>
      </c>
      <c r="R645" s="87">
        <f t="shared" si="97"/>
        <v>100</v>
      </c>
      <c r="S645" s="84">
        <f t="shared" si="98"/>
        <v>695</v>
      </c>
      <c r="T645" s="84">
        <f>0</f>
        <v>0</v>
      </c>
      <c r="U645" s="85"/>
      <c r="V645" s="85"/>
      <c r="W645" s="85"/>
      <c r="X645" s="85"/>
      <c r="Y645" s="85"/>
      <c r="Z645" s="85"/>
      <c r="AA645" s="85"/>
      <c r="AB645" s="85"/>
      <c r="AC645" s="85"/>
      <c r="AD645" s="85"/>
    </row>
    <row r="646" spans="1:30" ht="15.75" x14ac:dyDescent="0.25">
      <c r="A646" s="13">
        <v>60601</v>
      </c>
      <c r="B646" s="96">
        <f t="shared" si="94"/>
        <v>30</v>
      </c>
      <c r="C646" s="84">
        <f>122.58</f>
        <v>122.58</v>
      </c>
      <c r="D646" s="84">
        <f>297.941</f>
        <v>297.94099999999997</v>
      </c>
      <c r="E646" s="93">
        <f>89.177</f>
        <v>89.177000000000007</v>
      </c>
      <c r="F646" s="84">
        <f>240.302-40-60-100</f>
        <v>40.301999999999992</v>
      </c>
      <c r="G646" s="87">
        <v>40</v>
      </c>
      <c r="H646" s="84">
        <f>60+100</f>
        <v>160</v>
      </c>
      <c r="I646" s="84">
        <f t="shared" si="102"/>
        <v>0</v>
      </c>
      <c r="J646" s="87">
        <v>100</v>
      </c>
      <c r="K646" s="87">
        <v>300</v>
      </c>
      <c r="L646" s="84">
        <f t="shared" si="95"/>
        <v>1150</v>
      </c>
      <c r="M646" s="95">
        <v>600</v>
      </c>
      <c r="N646" s="84">
        <f>100</f>
        <v>100</v>
      </c>
      <c r="O646" s="87">
        <v>240</v>
      </c>
      <c r="P646" s="87">
        <v>40</v>
      </c>
      <c r="Q646" s="87">
        <f t="shared" si="96"/>
        <v>315</v>
      </c>
      <c r="R646" s="87">
        <f t="shared" si="97"/>
        <v>100</v>
      </c>
      <c r="S646" s="84">
        <f t="shared" si="98"/>
        <v>695</v>
      </c>
      <c r="T646" s="84">
        <f>50</f>
        <v>50</v>
      </c>
      <c r="U646" s="85"/>
      <c r="V646" s="85"/>
      <c r="W646" s="85"/>
      <c r="X646" s="85"/>
      <c r="Y646" s="85"/>
      <c r="Z646" s="85"/>
      <c r="AA646" s="85"/>
      <c r="AB646" s="85"/>
      <c r="AC646" s="85"/>
      <c r="AD646" s="85"/>
    </row>
    <row r="647" spans="1:30" ht="15.75" x14ac:dyDescent="0.25">
      <c r="A647" s="13">
        <v>60632</v>
      </c>
      <c r="B647" s="96">
        <f t="shared" si="94"/>
        <v>31</v>
      </c>
      <c r="C647" s="84">
        <f>122.58</f>
        <v>122.58</v>
      </c>
      <c r="D647" s="84">
        <f>297.941</f>
        <v>297.94099999999997</v>
      </c>
      <c r="E647" s="93">
        <f>89.177</f>
        <v>89.177000000000007</v>
      </c>
      <c r="F647" s="84">
        <f>240.302-40-60-100</f>
        <v>40.301999999999992</v>
      </c>
      <c r="G647" s="87">
        <v>40</v>
      </c>
      <c r="H647" s="84">
        <f>60+100</f>
        <v>160</v>
      </c>
      <c r="I647" s="84">
        <f t="shared" si="102"/>
        <v>0</v>
      </c>
      <c r="J647" s="87">
        <v>100</v>
      </c>
      <c r="K647" s="87">
        <v>300</v>
      </c>
      <c r="L647" s="84">
        <f t="shared" si="95"/>
        <v>1150</v>
      </c>
      <c r="M647" s="95">
        <v>600</v>
      </c>
      <c r="N647" s="84">
        <f>100</f>
        <v>100</v>
      </c>
      <c r="O647" s="87">
        <v>240</v>
      </c>
      <c r="P647" s="87">
        <v>40</v>
      </c>
      <c r="Q647" s="87">
        <f t="shared" si="96"/>
        <v>315</v>
      </c>
      <c r="R647" s="87">
        <f t="shared" si="97"/>
        <v>100</v>
      </c>
      <c r="S647" s="84">
        <f t="shared" si="98"/>
        <v>695</v>
      </c>
      <c r="T647" s="84">
        <f>50</f>
        <v>50</v>
      </c>
      <c r="U647" s="85"/>
      <c r="V647" s="85"/>
      <c r="W647" s="85"/>
      <c r="X647" s="85"/>
      <c r="Y647" s="85"/>
      <c r="Z647" s="85"/>
      <c r="AA647" s="85"/>
      <c r="AB647" s="85"/>
      <c r="AC647" s="85"/>
      <c r="AD647" s="85"/>
    </row>
    <row r="648" spans="1:30" ht="15.75" x14ac:dyDescent="0.25">
      <c r="A648" s="13">
        <v>60663</v>
      </c>
      <c r="B648" s="96">
        <f t="shared" si="94"/>
        <v>31</v>
      </c>
      <c r="C648" s="84">
        <f>122.58</f>
        <v>122.58</v>
      </c>
      <c r="D648" s="84">
        <f>297.941</f>
        <v>297.94099999999997</v>
      </c>
      <c r="E648" s="93">
        <f>89.177</f>
        <v>89.177000000000007</v>
      </c>
      <c r="F648" s="84">
        <f>240.302-40-60-100</f>
        <v>40.301999999999992</v>
      </c>
      <c r="G648" s="87">
        <v>40</v>
      </c>
      <c r="H648" s="84">
        <f>60+100</f>
        <v>160</v>
      </c>
      <c r="I648" s="84">
        <f t="shared" si="102"/>
        <v>0</v>
      </c>
      <c r="J648" s="87">
        <v>100</v>
      </c>
      <c r="K648" s="87">
        <v>300</v>
      </c>
      <c r="L648" s="84">
        <f t="shared" si="95"/>
        <v>1150</v>
      </c>
      <c r="M648" s="95">
        <v>600</v>
      </c>
      <c r="N648" s="84">
        <f>100</f>
        <v>100</v>
      </c>
      <c r="O648" s="87">
        <v>240</v>
      </c>
      <c r="P648" s="87">
        <v>40</v>
      </c>
      <c r="Q648" s="87">
        <f t="shared" si="96"/>
        <v>315</v>
      </c>
      <c r="R648" s="87">
        <f t="shared" si="97"/>
        <v>100</v>
      </c>
      <c r="S648" s="84">
        <f t="shared" si="98"/>
        <v>695</v>
      </c>
      <c r="T648" s="84">
        <f>50</f>
        <v>50</v>
      </c>
      <c r="U648" s="85"/>
      <c r="V648" s="85"/>
      <c r="W648" s="85"/>
      <c r="X648" s="85"/>
      <c r="Y648" s="85"/>
      <c r="Z648" s="85"/>
      <c r="AA648" s="85"/>
      <c r="AB648" s="85"/>
      <c r="AC648" s="85"/>
      <c r="AD648" s="85"/>
    </row>
    <row r="649" spans="1:30" ht="15.75" x14ac:dyDescent="0.25">
      <c r="A649" s="13">
        <v>60691</v>
      </c>
      <c r="B649" s="96">
        <f t="shared" si="94"/>
        <v>28</v>
      </c>
      <c r="C649" s="84">
        <f>122.58</f>
        <v>122.58</v>
      </c>
      <c r="D649" s="84">
        <f>297.941</f>
        <v>297.94099999999997</v>
      </c>
      <c r="E649" s="93">
        <f>89.177</f>
        <v>89.177000000000007</v>
      </c>
      <c r="F649" s="84">
        <f>240.302-40-60-100</f>
        <v>40.301999999999992</v>
      </c>
      <c r="G649" s="87">
        <v>40</v>
      </c>
      <c r="H649" s="84">
        <f>60+100</f>
        <v>160</v>
      </c>
      <c r="I649" s="84">
        <f t="shared" si="102"/>
        <v>0</v>
      </c>
      <c r="J649" s="87">
        <v>100</v>
      </c>
      <c r="K649" s="87">
        <v>300</v>
      </c>
      <c r="L649" s="84">
        <f t="shared" si="95"/>
        <v>1150</v>
      </c>
      <c r="M649" s="95">
        <v>600</v>
      </c>
      <c r="N649" s="84">
        <f>100</f>
        <v>100</v>
      </c>
      <c r="O649" s="87">
        <v>240</v>
      </c>
      <c r="P649" s="87">
        <v>40</v>
      </c>
      <c r="Q649" s="87">
        <f t="shared" si="96"/>
        <v>315</v>
      </c>
      <c r="R649" s="87">
        <f t="shared" si="97"/>
        <v>100</v>
      </c>
      <c r="S649" s="84">
        <f t="shared" si="98"/>
        <v>695</v>
      </c>
      <c r="T649" s="84">
        <f>50</f>
        <v>50</v>
      </c>
      <c r="U649" s="85"/>
      <c r="V649" s="85"/>
      <c r="W649" s="85"/>
      <c r="X649" s="85"/>
      <c r="Y649" s="85"/>
      <c r="Z649" s="85"/>
      <c r="AA649" s="85"/>
      <c r="AB649" s="85"/>
      <c r="AC649" s="85"/>
      <c r="AD649" s="85"/>
    </row>
    <row r="650" spans="1:30" ht="15.75" x14ac:dyDescent="0.25">
      <c r="A650" s="13">
        <v>60722</v>
      </c>
      <c r="B650" s="96">
        <f t="shared" si="94"/>
        <v>31</v>
      </c>
      <c r="C650" s="84">
        <f>122.58</f>
        <v>122.58</v>
      </c>
      <c r="D650" s="84">
        <f>297.941</f>
        <v>297.94099999999997</v>
      </c>
      <c r="E650" s="93">
        <f>89.177</f>
        <v>89.177000000000007</v>
      </c>
      <c r="F650" s="84">
        <f>240.302-40-60-100</f>
        <v>40.301999999999992</v>
      </c>
      <c r="G650" s="87">
        <v>40</v>
      </c>
      <c r="H650" s="84">
        <f>60+100</f>
        <v>160</v>
      </c>
      <c r="I650" s="84">
        <f t="shared" si="102"/>
        <v>0</v>
      </c>
      <c r="J650" s="87">
        <v>100</v>
      </c>
      <c r="K650" s="87">
        <v>300</v>
      </c>
      <c r="L650" s="84">
        <f t="shared" si="95"/>
        <v>1150</v>
      </c>
      <c r="M650" s="95">
        <v>600</v>
      </c>
      <c r="N650" s="84">
        <f>100</f>
        <v>100</v>
      </c>
      <c r="O650" s="87">
        <v>240</v>
      </c>
      <c r="P650" s="87">
        <v>40</v>
      </c>
      <c r="Q650" s="87">
        <f t="shared" si="96"/>
        <v>315</v>
      </c>
      <c r="R650" s="87">
        <f t="shared" si="97"/>
        <v>100</v>
      </c>
      <c r="S650" s="84">
        <f t="shared" si="98"/>
        <v>695</v>
      </c>
      <c r="T650" s="84">
        <f>50</f>
        <v>50</v>
      </c>
      <c r="U650" s="85"/>
      <c r="V650" s="85"/>
      <c r="W650" s="85"/>
      <c r="X650" s="85"/>
      <c r="Y650" s="85"/>
      <c r="Z650" s="85"/>
      <c r="AA650" s="85"/>
      <c r="AB650" s="85"/>
      <c r="AC650" s="85"/>
      <c r="AD650" s="85"/>
    </row>
    <row r="651" spans="1:30" ht="15.75" x14ac:dyDescent="0.25">
      <c r="A651" s="13">
        <v>60752</v>
      </c>
      <c r="B651" s="96">
        <f t="shared" si="94"/>
        <v>30</v>
      </c>
      <c r="C651" s="84">
        <f>141.293</f>
        <v>141.29300000000001</v>
      </c>
      <c r="D651" s="84">
        <f>267.993</f>
        <v>267.99299999999999</v>
      </c>
      <c r="E651" s="93">
        <f>115.016</f>
        <v>115.01600000000001</v>
      </c>
      <c r="F651" s="84">
        <f>314.698-40-25-60-100</f>
        <v>89.697999999999979</v>
      </c>
      <c r="G651" s="87">
        <v>40</v>
      </c>
      <c r="H651" s="84">
        <f t="shared" ref="H651:H657" si="104">25+60+100</f>
        <v>185</v>
      </c>
      <c r="I651" s="84">
        <f t="shared" si="102"/>
        <v>0</v>
      </c>
      <c r="J651" s="87">
        <v>100</v>
      </c>
      <c r="K651" s="87">
        <v>300</v>
      </c>
      <c r="L651" s="84">
        <f t="shared" si="95"/>
        <v>1239</v>
      </c>
      <c r="M651" s="95">
        <v>600</v>
      </c>
      <c r="N651" s="84">
        <f>100</f>
        <v>100</v>
      </c>
      <c r="O651" s="87">
        <v>240</v>
      </c>
      <c r="P651" s="87">
        <v>40</v>
      </c>
      <c r="Q651" s="87">
        <f t="shared" si="96"/>
        <v>315</v>
      </c>
      <c r="R651" s="87">
        <f t="shared" si="97"/>
        <v>100</v>
      </c>
      <c r="S651" s="84">
        <f t="shared" si="98"/>
        <v>695</v>
      </c>
      <c r="T651" s="84">
        <f>50</f>
        <v>50</v>
      </c>
      <c r="U651" s="85"/>
      <c r="V651" s="85"/>
      <c r="W651" s="85"/>
      <c r="X651" s="85"/>
      <c r="Y651" s="85"/>
      <c r="Z651" s="85"/>
      <c r="AA651" s="85"/>
      <c r="AB651" s="85"/>
      <c r="AC651" s="85"/>
      <c r="AD651" s="85"/>
    </row>
    <row r="652" spans="1:30" ht="15.75" x14ac:dyDescent="0.25">
      <c r="A652" s="13">
        <v>60783</v>
      </c>
      <c r="B652" s="96">
        <f t="shared" si="94"/>
        <v>31</v>
      </c>
      <c r="C652" s="84">
        <f>194.205</f>
        <v>194.20500000000001</v>
      </c>
      <c r="D652" s="84">
        <f>267.466</f>
        <v>267.46600000000001</v>
      </c>
      <c r="E652" s="93">
        <f>133.845</f>
        <v>133.845</v>
      </c>
      <c r="F652" s="84">
        <f>278.484-40-25-60-100</f>
        <v>53.48399999999998</v>
      </c>
      <c r="G652" s="87">
        <v>40</v>
      </c>
      <c r="H652" s="84">
        <f t="shared" si="104"/>
        <v>185</v>
      </c>
      <c r="I652" s="84">
        <f t="shared" si="102"/>
        <v>0</v>
      </c>
      <c r="J652" s="87">
        <v>100</v>
      </c>
      <c r="K652" s="87">
        <v>300</v>
      </c>
      <c r="L652" s="84">
        <f t="shared" si="95"/>
        <v>1274</v>
      </c>
      <c r="M652" s="95">
        <v>600</v>
      </c>
      <c r="N652" s="84">
        <f>75</f>
        <v>75</v>
      </c>
      <c r="O652" s="87">
        <v>240</v>
      </c>
      <c r="P652" s="87">
        <v>40</v>
      </c>
      <c r="Q652" s="87">
        <f t="shared" si="96"/>
        <v>315</v>
      </c>
      <c r="R652" s="87">
        <f t="shared" si="97"/>
        <v>100</v>
      </c>
      <c r="S652" s="84">
        <f t="shared" si="98"/>
        <v>695</v>
      </c>
      <c r="T652" s="84">
        <f>50</f>
        <v>50</v>
      </c>
      <c r="U652" s="85"/>
      <c r="V652" s="85"/>
      <c r="W652" s="85"/>
      <c r="X652" s="85"/>
      <c r="Y652" s="85"/>
      <c r="Z652" s="85"/>
      <c r="AA652" s="85"/>
      <c r="AB652" s="85"/>
      <c r="AC652" s="85"/>
      <c r="AD652" s="85"/>
    </row>
    <row r="653" spans="1:30" ht="15.75" x14ac:dyDescent="0.25">
      <c r="A653" s="13">
        <v>60813</v>
      </c>
      <c r="B653" s="96">
        <f t="shared" si="94"/>
        <v>30</v>
      </c>
      <c r="C653" s="84">
        <f>194.205</f>
        <v>194.20500000000001</v>
      </c>
      <c r="D653" s="84">
        <f>267.466</f>
        <v>267.46600000000001</v>
      </c>
      <c r="E653" s="93">
        <f>133.845</f>
        <v>133.845</v>
      </c>
      <c r="F653" s="84">
        <f>278.484-40-25-60-100</f>
        <v>53.48399999999998</v>
      </c>
      <c r="G653" s="87">
        <v>40</v>
      </c>
      <c r="H653" s="84">
        <f t="shared" si="104"/>
        <v>185</v>
      </c>
      <c r="I653" s="84">
        <f t="shared" si="102"/>
        <v>0</v>
      </c>
      <c r="J653" s="87">
        <v>100</v>
      </c>
      <c r="K653" s="87">
        <v>300</v>
      </c>
      <c r="L653" s="84">
        <f t="shared" si="95"/>
        <v>1274</v>
      </c>
      <c r="M653" s="95">
        <v>600</v>
      </c>
      <c r="N653" s="84">
        <f>30</f>
        <v>30</v>
      </c>
      <c r="O653" s="87">
        <v>240</v>
      </c>
      <c r="P653" s="87">
        <v>40</v>
      </c>
      <c r="Q653" s="87">
        <f t="shared" si="96"/>
        <v>315</v>
      </c>
      <c r="R653" s="87">
        <f t="shared" si="97"/>
        <v>100</v>
      </c>
      <c r="S653" s="84">
        <f t="shared" si="98"/>
        <v>695</v>
      </c>
      <c r="T653" s="84">
        <f>50</f>
        <v>50</v>
      </c>
      <c r="U653" s="85"/>
      <c r="V653" s="85"/>
      <c r="W653" s="85"/>
      <c r="X653" s="85"/>
      <c r="Y653" s="85"/>
      <c r="Z653" s="85"/>
      <c r="AA653" s="85"/>
      <c r="AB653" s="85"/>
      <c r="AC653" s="85"/>
      <c r="AD653" s="85"/>
    </row>
    <row r="654" spans="1:30" ht="15.75" x14ac:dyDescent="0.25">
      <c r="A654" s="13">
        <v>60844</v>
      </c>
      <c r="B654" s="96">
        <f t="shared" si="94"/>
        <v>31</v>
      </c>
      <c r="C654" s="84">
        <f>194.205</f>
        <v>194.20500000000001</v>
      </c>
      <c r="D654" s="84">
        <f>267.466</f>
        <v>267.46600000000001</v>
      </c>
      <c r="E654" s="93">
        <f>133.845</f>
        <v>133.845</v>
      </c>
      <c r="F654" s="84">
        <f>278.484-40-25-60-100</f>
        <v>53.48399999999998</v>
      </c>
      <c r="G654" s="87">
        <v>40</v>
      </c>
      <c r="H654" s="84">
        <f t="shared" si="104"/>
        <v>185</v>
      </c>
      <c r="I654" s="84">
        <f t="shared" si="102"/>
        <v>0</v>
      </c>
      <c r="J654" s="87">
        <v>100</v>
      </c>
      <c r="K654" s="87">
        <v>300</v>
      </c>
      <c r="L654" s="84">
        <f t="shared" si="95"/>
        <v>1274</v>
      </c>
      <c r="M654" s="95">
        <v>600</v>
      </c>
      <c r="N654" s="84">
        <f>30</f>
        <v>30</v>
      </c>
      <c r="O654" s="87">
        <v>240</v>
      </c>
      <c r="P654" s="87">
        <v>40</v>
      </c>
      <c r="Q654" s="87">
        <f t="shared" si="96"/>
        <v>315</v>
      </c>
      <c r="R654" s="87">
        <f t="shared" si="97"/>
        <v>100</v>
      </c>
      <c r="S654" s="84">
        <f t="shared" si="98"/>
        <v>695</v>
      </c>
      <c r="T654" s="84">
        <f>0</f>
        <v>0</v>
      </c>
      <c r="U654" s="85"/>
      <c r="V654" s="85"/>
      <c r="W654" s="85"/>
      <c r="X654" s="85"/>
      <c r="Y654" s="85"/>
      <c r="Z654" s="85"/>
      <c r="AA654" s="85"/>
      <c r="AB654" s="85"/>
      <c r="AC654" s="85"/>
      <c r="AD654" s="85"/>
    </row>
    <row r="655" spans="1:30" ht="15.75" x14ac:dyDescent="0.25">
      <c r="A655" s="13">
        <v>60875</v>
      </c>
      <c r="B655" s="96">
        <f t="shared" si="94"/>
        <v>31</v>
      </c>
      <c r="C655" s="84">
        <f>194.205</f>
        <v>194.20500000000001</v>
      </c>
      <c r="D655" s="84">
        <f>267.466</f>
        <v>267.46600000000001</v>
      </c>
      <c r="E655" s="93">
        <f>133.845</f>
        <v>133.845</v>
      </c>
      <c r="F655" s="84">
        <f>278.484-40-25-60-100</f>
        <v>53.48399999999998</v>
      </c>
      <c r="G655" s="87">
        <v>40</v>
      </c>
      <c r="H655" s="84">
        <f t="shared" si="104"/>
        <v>185</v>
      </c>
      <c r="I655" s="84">
        <f t="shared" si="102"/>
        <v>0</v>
      </c>
      <c r="J655" s="87">
        <v>100</v>
      </c>
      <c r="K655" s="87">
        <v>300</v>
      </c>
      <c r="L655" s="84">
        <f t="shared" si="95"/>
        <v>1274</v>
      </c>
      <c r="M655" s="95">
        <v>600</v>
      </c>
      <c r="N655" s="84">
        <f>30</f>
        <v>30</v>
      </c>
      <c r="O655" s="87">
        <v>240</v>
      </c>
      <c r="P655" s="87">
        <v>40</v>
      </c>
      <c r="Q655" s="87">
        <f t="shared" si="96"/>
        <v>315</v>
      </c>
      <c r="R655" s="87">
        <f t="shared" si="97"/>
        <v>100</v>
      </c>
      <c r="S655" s="84">
        <f t="shared" si="98"/>
        <v>695</v>
      </c>
      <c r="T655" s="84">
        <f>0</f>
        <v>0</v>
      </c>
      <c r="U655" s="85"/>
      <c r="V655" s="85"/>
      <c r="W655" s="85"/>
      <c r="X655" s="85"/>
      <c r="Y655" s="85"/>
      <c r="Z655" s="85"/>
      <c r="AA655" s="85"/>
      <c r="AB655" s="85"/>
      <c r="AC655" s="85"/>
      <c r="AD655" s="85"/>
    </row>
    <row r="656" spans="1:30" ht="15.75" x14ac:dyDescent="0.25">
      <c r="A656" s="13">
        <v>60905</v>
      </c>
      <c r="B656" s="96">
        <f t="shared" si="94"/>
        <v>30</v>
      </c>
      <c r="C656" s="84">
        <f>194.205</f>
        <v>194.20500000000001</v>
      </c>
      <c r="D656" s="84">
        <f>267.466</f>
        <v>267.46600000000001</v>
      </c>
      <c r="E656" s="93">
        <f>133.845</f>
        <v>133.845</v>
      </c>
      <c r="F656" s="84">
        <f>278.484-40-25-60-100</f>
        <v>53.48399999999998</v>
      </c>
      <c r="G656" s="87">
        <v>40</v>
      </c>
      <c r="H656" s="84">
        <f t="shared" si="104"/>
        <v>185</v>
      </c>
      <c r="I656" s="84">
        <f t="shared" si="102"/>
        <v>0</v>
      </c>
      <c r="J656" s="87">
        <v>100</v>
      </c>
      <c r="K656" s="87">
        <v>300</v>
      </c>
      <c r="L656" s="84">
        <f t="shared" si="95"/>
        <v>1274</v>
      </c>
      <c r="M656" s="95">
        <v>600</v>
      </c>
      <c r="N656" s="84">
        <f>30</f>
        <v>30</v>
      </c>
      <c r="O656" s="87">
        <v>240</v>
      </c>
      <c r="P656" s="87">
        <v>40</v>
      </c>
      <c r="Q656" s="87">
        <f t="shared" si="96"/>
        <v>315</v>
      </c>
      <c r="R656" s="87">
        <f t="shared" si="97"/>
        <v>100</v>
      </c>
      <c r="S656" s="84">
        <f t="shared" si="98"/>
        <v>695</v>
      </c>
      <c r="T656" s="84">
        <f>0</f>
        <v>0</v>
      </c>
      <c r="U656" s="85"/>
      <c r="V656" s="85"/>
      <c r="W656" s="85"/>
      <c r="X656" s="85"/>
      <c r="Y656" s="85"/>
      <c r="Z656" s="85"/>
      <c r="AA656" s="85"/>
      <c r="AB656" s="85"/>
      <c r="AC656" s="85"/>
      <c r="AD656" s="85"/>
    </row>
    <row r="657" spans="1:30" ht="15.75" x14ac:dyDescent="0.25">
      <c r="A657" s="13">
        <v>60936</v>
      </c>
      <c r="B657" s="96">
        <f t="shared" si="94"/>
        <v>31</v>
      </c>
      <c r="C657" s="84">
        <f>131.881</f>
        <v>131.881</v>
      </c>
      <c r="D657" s="84">
        <f>277.167</f>
        <v>277.16699999999997</v>
      </c>
      <c r="E657" s="93">
        <f>79.08</f>
        <v>79.08</v>
      </c>
      <c r="F657" s="84">
        <f>350.872-40-25-60-100</f>
        <v>125.87200000000001</v>
      </c>
      <c r="G657" s="87">
        <v>40</v>
      </c>
      <c r="H657" s="84">
        <f t="shared" si="104"/>
        <v>185</v>
      </c>
      <c r="I657" s="84">
        <f t="shared" si="102"/>
        <v>0</v>
      </c>
      <c r="J657" s="87">
        <v>100</v>
      </c>
      <c r="K657" s="87">
        <v>300</v>
      </c>
      <c r="L657" s="84">
        <f t="shared" si="95"/>
        <v>1239</v>
      </c>
      <c r="M657" s="95">
        <v>600</v>
      </c>
      <c r="N657" s="84">
        <f>75</f>
        <v>75</v>
      </c>
      <c r="O657" s="87">
        <v>240</v>
      </c>
      <c r="P657" s="87">
        <v>40</v>
      </c>
      <c r="Q657" s="87">
        <f t="shared" si="96"/>
        <v>315</v>
      </c>
      <c r="R657" s="87">
        <f t="shared" si="97"/>
        <v>100</v>
      </c>
      <c r="S657" s="84">
        <f t="shared" si="98"/>
        <v>695</v>
      </c>
      <c r="T657" s="84">
        <f>0</f>
        <v>0</v>
      </c>
      <c r="U657" s="85"/>
      <c r="V657" s="85"/>
      <c r="W657" s="85"/>
      <c r="X657" s="85"/>
      <c r="Y657" s="85"/>
      <c r="Z657" s="85"/>
      <c r="AA657" s="85"/>
      <c r="AB657" s="85"/>
      <c r="AC657" s="85"/>
      <c r="AD657" s="85"/>
    </row>
    <row r="658" spans="1:30" ht="15.75" x14ac:dyDescent="0.25">
      <c r="A658" s="13">
        <v>60966</v>
      </c>
      <c r="B658" s="96">
        <f t="shared" si="94"/>
        <v>30</v>
      </c>
      <c r="C658" s="84">
        <f>122.58</f>
        <v>122.58</v>
      </c>
      <c r="D658" s="84">
        <f>297.941</f>
        <v>297.94099999999997</v>
      </c>
      <c r="E658" s="93">
        <f>89.177</f>
        <v>89.177000000000007</v>
      </c>
      <c r="F658" s="84">
        <f>240.302-40-60-100</f>
        <v>40.301999999999992</v>
      </c>
      <c r="G658" s="87">
        <v>40</v>
      </c>
      <c r="H658" s="84">
        <f>60+100</f>
        <v>160</v>
      </c>
      <c r="I658" s="84">
        <f t="shared" si="102"/>
        <v>0</v>
      </c>
      <c r="J658" s="87">
        <v>100</v>
      </c>
      <c r="K658" s="87">
        <v>300</v>
      </c>
      <c r="L658" s="84">
        <f t="shared" si="95"/>
        <v>1150</v>
      </c>
      <c r="M658" s="95">
        <v>600</v>
      </c>
      <c r="N658" s="84">
        <f>100</f>
        <v>100</v>
      </c>
      <c r="O658" s="87">
        <v>240</v>
      </c>
      <c r="P658" s="87">
        <v>40</v>
      </c>
      <c r="Q658" s="87">
        <f t="shared" si="96"/>
        <v>315</v>
      </c>
      <c r="R658" s="87">
        <f t="shared" si="97"/>
        <v>100</v>
      </c>
      <c r="S658" s="84">
        <f t="shared" si="98"/>
        <v>695</v>
      </c>
      <c r="T658" s="84">
        <f>50</f>
        <v>50</v>
      </c>
      <c r="U658" s="85"/>
      <c r="V658" s="85"/>
      <c r="W658" s="85"/>
      <c r="X658" s="85"/>
      <c r="Y658" s="85"/>
      <c r="Z658" s="85"/>
      <c r="AA658" s="85"/>
      <c r="AB658" s="85"/>
      <c r="AC658" s="85"/>
      <c r="AD658" s="85"/>
    </row>
    <row r="659" spans="1:30" ht="15.75" x14ac:dyDescent="0.25">
      <c r="A659" s="13">
        <v>60997</v>
      </c>
      <c r="B659" s="96">
        <f t="shared" si="94"/>
        <v>31</v>
      </c>
      <c r="C659" s="84">
        <f>122.58</f>
        <v>122.58</v>
      </c>
      <c r="D659" s="84">
        <f>297.941</f>
        <v>297.94099999999997</v>
      </c>
      <c r="E659" s="93">
        <f>89.177</f>
        <v>89.177000000000007</v>
      </c>
      <c r="F659" s="84">
        <f>240.302-40-60-100</f>
        <v>40.301999999999992</v>
      </c>
      <c r="G659" s="87">
        <v>40</v>
      </c>
      <c r="H659" s="84">
        <f>60+100</f>
        <v>160</v>
      </c>
      <c r="I659" s="84">
        <f t="shared" si="102"/>
        <v>0</v>
      </c>
      <c r="J659" s="87">
        <v>100</v>
      </c>
      <c r="K659" s="87">
        <v>300</v>
      </c>
      <c r="L659" s="84">
        <f t="shared" si="95"/>
        <v>1150</v>
      </c>
      <c r="M659" s="95">
        <v>600</v>
      </c>
      <c r="N659" s="84">
        <f>100</f>
        <v>100</v>
      </c>
      <c r="O659" s="87">
        <v>240</v>
      </c>
      <c r="P659" s="87">
        <v>40</v>
      </c>
      <c r="Q659" s="87">
        <f t="shared" si="96"/>
        <v>315</v>
      </c>
      <c r="R659" s="87">
        <f t="shared" si="97"/>
        <v>100</v>
      </c>
      <c r="S659" s="84">
        <f t="shared" si="98"/>
        <v>695</v>
      </c>
      <c r="T659" s="84">
        <f>50</f>
        <v>50</v>
      </c>
      <c r="U659" s="85"/>
      <c r="V659" s="85"/>
      <c r="W659" s="85"/>
      <c r="X659" s="85"/>
      <c r="Y659" s="85"/>
      <c r="Z659" s="85"/>
      <c r="AA659" s="85"/>
      <c r="AB659" s="85"/>
      <c r="AC659" s="85"/>
      <c r="AD659" s="85"/>
    </row>
    <row r="660" spans="1:30" ht="15.75" x14ac:dyDescent="0.25">
      <c r="A660" s="13">
        <v>61028</v>
      </c>
      <c r="B660" s="96">
        <f t="shared" si="94"/>
        <v>31</v>
      </c>
      <c r="C660" s="84">
        <f>122.58</f>
        <v>122.58</v>
      </c>
      <c r="D660" s="84">
        <f>297.941</f>
        <v>297.94099999999997</v>
      </c>
      <c r="E660" s="93">
        <f>89.177</f>
        <v>89.177000000000007</v>
      </c>
      <c r="F660" s="84">
        <f>240.302-40-60-100</f>
        <v>40.301999999999992</v>
      </c>
      <c r="G660" s="87">
        <v>40</v>
      </c>
      <c r="H660" s="84">
        <f>60+100</f>
        <v>160</v>
      </c>
      <c r="I660" s="84">
        <f t="shared" si="102"/>
        <v>0</v>
      </c>
      <c r="J660" s="87">
        <v>100</v>
      </c>
      <c r="K660" s="87">
        <v>300</v>
      </c>
      <c r="L660" s="84">
        <f t="shared" si="95"/>
        <v>1150</v>
      </c>
      <c r="M660" s="95">
        <v>600</v>
      </c>
      <c r="N660" s="84">
        <f>100</f>
        <v>100</v>
      </c>
      <c r="O660" s="87">
        <v>240</v>
      </c>
      <c r="P660" s="87">
        <v>40</v>
      </c>
      <c r="Q660" s="87">
        <f t="shared" si="96"/>
        <v>315</v>
      </c>
      <c r="R660" s="87">
        <f t="shared" si="97"/>
        <v>100</v>
      </c>
      <c r="S660" s="84">
        <f t="shared" si="98"/>
        <v>695</v>
      </c>
      <c r="T660" s="84">
        <f>50</f>
        <v>50</v>
      </c>
      <c r="U660" s="85"/>
      <c r="V660" s="85"/>
      <c r="W660" s="85"/>
      <c r="X660" s="85"/>
      <c r="Y660" s="85"/>
      <c r="Z660" s="85"/>
      <c r="AA660" s="85"/>
      <c r="AB660" s="85"/>
      <c r="AC660" s="85"/>
      <c r="AD660" s="85"/>
    </row>
    <row r="661" spans="1:30" ht="15.75" x14ac:dyDescent="0.25">
      <c r="A661" s="13">
        <v>61056</v>
      </c>
      <c r="B661" s="96">
        <f t="shared" si="94"/>
        <v>28</v>
      </c>
      <c r="C661" s="84">
        <f>122.58</f>
        <v>122.58</v>
      </c>
      <c r="D661" s="84">
        <f>297.941</f>
        <v>297.94099999999997</v>
      </c>
      <c r="E661" s="93">
        <f>89.177</f>
        <v>89.177000000000007</v>
      </c>
      <c r="F661" s="84">
        <f>240.302-40-60-100</f>
        <v>40.301999999999992</v>
      </c>
      <c r="G661" s="87">
        <v>40</v>
      </c>
      <c r="H661" s="84">
        <f>60+100</f>
        <v>160</v>
      </c>
      <c r="I661" s="84">
        <f t="shared" si="102"/>
        <v>0</v>
      </c>
      <c r="J661" s="87">
        <v>100</v>
      </c>
      <c r="K661" s="87">
        <v>300</v>
      </c>
      <c r="L661" s="84">
        <f t="shared" si="95"/>
        <v>1150</v>
      </c>
      <c r="M661" s="95">
        <v>600</v>
      </c>
      <c r="N661" s="84">
        <f>100</f>
        <v>100</v>
      </c>
      <c r="O661" s="87">
        <v>240</v>
      </c>
      <c r="P661" s="87">
        <v>40</v>
      </c>
      <c r="Q661" s="87">
        <f t="shared" si="96"/>
        <v>315</v>
      </c>
      <c r="R661" s="87">
        <f t="shared" si="97"/>
        <v>100</v>
      </c>
      <c r="S661" s="84">
        <f t="shared" si="98"/>
        <v>695</v>
      </c>
      <c r="T661" s="84">
        <f>50</f>
        <v>50</v>
      </c>
      <c r="U661" s="85"/>
      <c r="V661" s="85"/>
      <c r="W661" s="85"/>
      <c r="X661" s="85"/>
      <c r="Y661" s="85"/>
      <c r="Z661" s="85"/>
      <c r="AA661" s="85"/>
      <c r="AB661" s="85"/>
      <c r="AC661" s="85"/>
      <c r="AD661" s="85"/>
    </row>
    <row r="662" spans="1:30" ht="15.75" x14ac:dyDescent="0.25">
      <c r="A662" s="13">
        <v>61087</v>
      </c>
      <c r="B662" s="96">
        <f t="shared" si="94"/>
        <v>31</v>
      </c>
      <c r="C662" s="84">
        <f>122.58</f>
        <v>122.58</v>
      </c>
      <c r="D662" s="84">
        <f>297.941</f>
        <v>297.94099999999997</v>
      </c>
      <c r="E662" s="93">
        <f>89.177</f>
        <v>89.177000000000007</v>
      </c>
      <c r="F662" s="84">
        <f>240.302-40-60-100</f>
        <v>40.301999999999992</v>
      </c>
      <c r="G662" s="87">
        <v>40</v>
      </c>
      <c r="H662" s="84">
        <f>60+100</f>
        <v>160</v>
      </c>
      <c r="I662" s="84">
        <f t="shared" si="102"/>
        <v>0</v>
      </c>
      <c r="J662" s="87">
        <v>100</v>
      </c>
      <c r="K662" s="87">
        <v>300</v>
      </c>
      <c r="L662" s="84">
        <f t="shared" si="95"/>
        <v>1150</v>
      </c>
      <c r="M662" s="95">
        <v>600</v>
      </c>
      <c r="N662" s="84">
        <f>100</f>
        <v>100</v>
      </c>
      <c r="O662" s="87">
        <v>240</v>
      </c>
      <c r="P662" s="87">
        <v>40</v>
      </c>
      <c r="Q662" s="87">
        <f t="shared" si="96"/>
        <v>315</v>
      </c>
      <c r="R662" s="87">
        <f t="shared" si="97"/>
        <v>100</v>
      </c>
      <c r="S662" s="84">
        <f t="shared" si="98"/>
        <v>695</v>
      </c>
      <c r="T662" s="84">
        <f>50</f>
        <v>50</v>
      </c>
      <c r="U662" s="85"/>
      <c r="V662" s="85"/>
      <c r="W662" s="85"/>
      <c r="X662" s="85"/>
      <c r="Y662" s="85"/>
      <c r="Z662" s="85"/>
      <c r="AA662" s="85"/>
      <c r="AB662" s="85"/>
      <c r="AC662" s="85"/>
      <c r="AD662" s="85"/>
    </row>
    <row r="663" spans="1:30" ht="15.75" x14ac:dyDescent="0.25">
      <c r="A663" s="13">
        <v>61117</v>
      </c>
      <c r="B663" s="96">
        <f t="shared" si="94"/>
        <v>30</v>
      </c>
      <c r="C663" s="84">
        <f>141.293</f>
        <v>141.29300000000001</v>
      </c>
      <c r="D663" s="84">
        <f>267.993</f>
        <v>267.99299999999999</v>
      </c>
      <c r="E663" s="93">
        <f>115.016</f>
        <v>115.01600000000001</v>
      </c>
      <c r="F663" s="84">
        <f>314.698-40-25-60-100</f>
        <v>89.697999999999979</v>
      </c>
      <c r="G663" s="87">
        <v>40</v>
      </c>
      <c r="H663" s="84">
        <f t="shared" ref="H663:H669" si="105">25+60+100</f>
        <v>185</v>
      </c>
      <c r="I663" s="84">
        <f t="shared" si="102"/>
        <v>0</v>
      </c>
      <c r="J663" s="87">
        <v>100</v>
      </c>
      <c r="K663" s="87">
        <v>300</v>
      </c>
      <c r="L663" s="84">
        <f t="shared" si="95"/>
        <v>1239</v>
      </c>
      <c r="M663" s="95">
        <v>600</v>
      </c>
      <c r="N663" s="84">
        <f>100</f>
        <v>100</v>
      </c>
      <c r="O663" s="87">
        <v>240</v>
      </c>
      <c r="P663" s="87">
        <v>40</v>
      </c>
      <c r="Q663" s="87">
        <f t="shared" si="96"/>
        <v>315</v>
      </c>
      <c r="R663" s="87">
        <f t="shared" si="97"/>
        <v>100</v>
      </c>
      <c r="S663" s="84">
        <f t="shared" si="98"/>
        <v>695</v>
      </c>
      <c r="T663" s="84">
        <f>50</f>
        <v>50</v>
      </c>
      <c r="U663" s="85"/>
      <c r="V663" s="85"/>
      <c r="W663" s="85"/>
      <c r="X663" s="85"/>
      <c r="Y663" s="85"/>
      <c r="Z663" s="85"/>
      <c r="AA663" s="85"/>
      <c r="AB663" s="85"/>
      <c r="AC663" s="85"/>
      <c r="AD663" s="85"/>
    </row>
    <row r="664" spans="1:30" ht="15.75" x14ac:dyDescent="0.25">
      <c r="A664" s="13">
        <v>61148</v>
      </c>
      <c r="B664" s="96">
        <f t="shared" ref="B664:B727" si="106">EOMONTH(A664,0)-EOMONTH(A664,-1)</f>
        <v>31</v>
      </c>
      <c r="C664" s="84">
        <f>194.205</f>
        <v>194.20500000000001</v>
      </c>
      <c r="D664" s="84">
        <f>267.466</f>
        <v>267.46600000000001</v>
      </c>
      <c r="E664" s="93">
        <f>133.845</f>
        <v>133.845</v>
      </c>
      <c r="F664" s="84">
        <f>278.484-40-25-60-100</f>
        <v>53.48399999999998</v>
      </c>
      <c r="G664" s="87">
        <v>40</v>
      </c>
      <c r="H664" s="84">
        <f t="shared" si="105"/>
        <v>185</v>
      </c>
      <c r="I664" s="84">
        <f t="shared" si="102"/>
        <v>0</v>
      </c>
      <c r="J664" s="87">
        <v>100</v>
      </c>
      <c r="K664" s="87">
        <v>300</v>
      </c>
      <c r="L664" s="84">
        <f t="shared" ref="L664:L727" si="107">SUM(C664:K664)</f>
        <v>1274</v>
      </c>
      <c r="M664" s="95">
        <v>600</v>
      </c>
      <c r="N664" s="84">
        <f>75</f>
        <v>75</v>
      </c>
      <c r="O664" s="87">
        <v>240</v>
      </c>
      <c r="P664" s="87">
        <v>40</v>
      </c>
      <c r="Q664" s="87">
        <f t="shared" ref="Q664:Q727" si="108">695-R664-O664-P664</f>
        <v>315</v>
      </c>
      <c r="R664" s="87">
        <f t="shared" ref="R664:R727" si="109">200-J664</f>
        <v>100</v>
      </c>
      <c r="S664" s="84">
        <f t="shared" ref="S664:S727" si="110">SUM(O664:R664)</f>
        <v>695</v>
      </c>
      <c r="T664" s="84">
        <f>50</f>
        <v>50</v>
      </c>
      <c r="U664" s="85"/>
      <c r="V664" s="85"/>
      <c r="W664" s="85"/>
      <c r="X664" s="85"/>
      <c r="Y664" s="85"/>
      <c r="Z664" s="85"/>
      <c r="AA664" s="85"/>
      <c r="AB664" s="85"/>
      <c r="AC664" s="85"/>
      <c r="AD664" s="85"/>
    </row>
    <row r="665" spans="1:30" ht="15.75" x14ac:dyDescent="0.25">
      <c r="A665" s="13">
        <v>61178</v>
      </c>
      <c r="B665" s="96">
        <f t="shared" si="106"/>
        <v>30</v>
      </c>
      <c r="C665" s="84">
        <f>194.205</f>
        <v>194.20500000000001</v>
      </c>
      <c r="D665" s="84">
        <f>267.466</f>
        <v>267.46600000000001</v>
      </c>
      <c r="E665" s="93">
        <f>133.845</f>
        <v>133.845</v>
      </c>
      <c r="F665" s="84">
        <f>278.484-40-25-60-100</f>
        <v>53.48399999999998</v>
      </c>
      <c r="G665" s="87">
        <v>40</v>
      </c>
      <c r="H665" s="84">
        <f t="shared" si="105"/>
        <v>185</v>
      </c>
      <c r="I665" s="84">
        <f t="shared" si="102"/>
        <v>0</v>
      </c>
      <c r="J665" s="87">
        <v>100</v>
      </c>
      <c r="K665" s="87">
        <v>300</v>
      </c>
      <c r="L665" s="84">
        <f t="shared" si="107"/>
        <v>1274</v>
      </c>
      <c r="M665" s="95">
        <v>600</v>
      </c>
      <c r="N665" s="84">
        <f>30</f>
        <v>30</v>
      </c>
      <c r="O665" s="87">
        <v>240</v>
      </c>
      <c r="P665" s="87">
        <v>40</v>
      </c>
      <c r="Q665" s="87">
        <f t="shared" si="108"/>
        <v>315</v>
      </c>
      <c r="R665" s="87">
        <f t="shared" si="109"/>
        <v>100</v>
      </c>
      <c r="S665" s="84">
        <f t="shared" si="110"/>
        <v>695</v>
      </c>
      <c r="T665" s="84">
        <f>50</f>
        <v>50</v>
      </c>
      <c r="U665" s="85"/>
      <c r="V665" s="85"/>
      <c r="W665" s="85"/>
      <c r="X665" s="85"/>
      <c r="Y665" s="85"/>
      <c r="Z665" s="85"/>
      <c r="AA665" s="85"/>
      <c r="AB665" s="85"/>
      <c r="AC665" s="85"/>
      <c r="AD665" s="85"/>
    </row>
    <row r="666" spans="1:30" ht="15.75" x14ac:dyDescent="0.25">
      <c r="A666" s="13">
        <v>61209</v>
      </c>
      <c r="B666" s="96">
        <f t="shared" si="106"/>
        <v>31</v>
      </c>
      <c r="C666" s="84">
        <f>194.205</f>
        <v>194.20500000000001</v>
      </c>
      <c r="D666" s="84">
        <f>267.466</f>
        <v>267.46600000000001</v>
      </c>
      <c r="E666" s="93">
        <f>133.845</f>
        <v>133.845</v>
      </c>
      <c r="F666" s="84">
        <f>278.484-40-25-60-100</f>
        <v>53.48399999999998</v>
      </c>
      <c r="G666" s="87">
        <v>40</v>
      </c>
      <c r="H666" s="84">
        <f t="shared" si="105"/>
        <v>185</v>
      </c>
      <c r="I666" s="84">
        <f t="shared" si="102"/>
        <v>0</v>
      </c>
      <c r="J666" s="87">
        <v>100</v>
      </c>
      <c r="K666" s="87">
        <v>300</v>
      </c>
      <c r="L666" s="84">
        <f t="shared" si="107"/>
        <v>1274</v>
      </c>
      <c r="M666" s="95">
        <v>600</v>
      </c>
      <c r="N666" s="84">
        <f>30</f>
        <v>30</v>
      </c>
      <c r="O666" s="87">
        <v>240</v>
      </c>
      <c r="P666" s="87">
        <v>40</v>
      </c>
      <c r="Q666" s="87">
        <f t="shared" si="108"/>
        <v>315</v>
      </c>
      <c r="R666" s="87">
        <f t="shared" si="109"/>
        <v>100</v>
      </c>
      <c r="S666" s="84">
        <f t="shared" si="110"/>
        <v>695</v>
      </c>
      <c r="T666" s="84">
        <f>0</f>
        <v>0</v>
      </c>
      <c r="U666" s="85"/>
      <c r="V666" s="85"/>
      <c r="W666" s="85"/>
      <c r="X666" s="85"/>
      <c r="Y666" s="85"/>
      <c r="Z666" s="85"/>
      <c r="AA666" s="85"/>
      <c r="AB666" s="85"/>
      <c r="AC666" s="85"/>
      <c r="AD666" s="85"/>
    </row>
    <row r="667" spans="1:30" ht="15.75" x14ac:dyDescent="0.25">
      <c r="A667" s="13">
        <v>61240</v>
      </c>
      <c r="B667" s="96">
        <f t="shared" si="106"/>
        <v>31</v>
      </c>
      <c r="C667" s="84">
        <f>194.205</f>
        <v>194.20500000000001</v>
      </c>
      <c r="D667" s="84">
        <f>267.466</f>
        <v>267.46600000000001</v>
      </c>
      <c r="E667" s="93">
        <f>133.845</f>
        <v>133.845</v>
      </c>
      <c r="F667" s="84">
        <f>278.484-40-25-60-100</f>
        <v>53.48399999999998</v>
      </c>
      <c r="G667" s="87">
        <v>40</v>
      </c>
      <c r="H667" s="84">
        <f t="shared" si="105"/>
        <v>185</v>
      </c>
      <c r="I667" s="84">
        <f t="shared" si="102"/>
        <v>0</v>
      </c>
      <c r="J667" s="87">
        <v>100</v>
      </c>
      <c r="K667" s="87">
        <v>300</v>
      </c>
      <c r="L667" s="84">
        <f t="shared" si="107"/>
        <v>1274</v>
      </c>
      <c r="M667" s="95">
        <v>600</v>
      </c>
      <c r="N667" s="84">
        <f>30</f>
        <v>30</v>
      </c>
      <c r="O667" s="87">
        <v>240</v>
      </c>
      <c r="P667" s="87">
        <v>40</v>
      </c>
      <c r="Q667" s="87">
        <f t="shared" si="108"/>
        <v>315</v>
      </c>
      <c r="R667" s="87">
        <f t="shared" si="109"/>
        <v>100</v>
      </c>
      <c r="S667" s="84">
        <f t="shared" si="110"/>
        <v>695</v>
      </c>
      <c r="T667" s="84">
        <f>0</f>
        <v>0</v>
      </c>
      <c r="U667" s="85"/>
      <c r="V667" s="85"/>
      <c r="W667" s="85"/>
      <c r="X667" s="85"/>
      <c r="Y667" s="85"/>
      <c r="Z667" s="85"/>
      <c r="AA667" s="85"/>
      <c r="AB667" s="85"/>
      <c r="AC667" s="85"/>
      <c r="AD667" s="85"/>
    </row>
    <row r="668" spans="1:30" ht="15.75" x14ac:dyDescent="0.25">
      <c r="A668" s="13">
        <v>61270</v>
      </c>
      <c r="B668" s="96">
        <f t="shared" si="106"/>
        <v>30</v>
      </c>
      <c r="C668" s="84">
        <f>194.205</f>
        <v>194.20500000000001</v>
      </c>
      <c r="D668" s="84">
        <f>267.466</f>
        <v>267.46600000000001</v>
      </c>
      <c r="E668" s="93">
        <f>133.845</f>
        <v>133.845</v>
      </c>
      <c r="F668" s="84">
        <f>278.484-40-25-60-100</f>
        <v>53.48399999999998</v>
      </c>
      <c r="G668" s="87">
        <v>40</v>
      </c>
      <c r="H668" s="84">
        <f t="shared" si="105"/>
        <v>185</v>
      </c>
      <c r="I668" s="84">
        <f t="shared" si="102"/>
        <v>0</v>
      </c>
      <c r="J668" s="87">
        <v>100</v>
      </c>
      <c r="K668" s="87">
        <v>300</v>
      </c>
      <c r="L668" s="84">
        <f t="shared" si="107"/>
        <v>1274</v>
      </c>
      <c r="M668" s="95">
        <v>600</v>
      </c>
      <c r="N668" s="84">
        <f>30</f>
        <v>30</v>
      </c>
      <c r="O668" s="87">
        <v>240</v>
      </c>
      <c r="P668" s="87">
        <v>40</v>
      </c>
      <c r="Q668" s="87">
        <f t="shared" si="108"/>
        <v>315</v>
      </c>
      <c r="R668" s="87">
        <f t="shared" si="109"/>
        <v>100</v>
      </c>
      <c r="S668" s="84">
        <f t="shared" si="110"/>
        <v>695</v>
      </c>
      <c r="T668" s="84">
        <f>0</f>
        <v>0</v>
      </c>
      <c r="U668" s="85"/>
      <c r="V668" s="85"/>
      <c r="W668" s="85"/>
      <c r="X668" s="85"/>
      <c r="Y668" s="85"/>
      <c r="Z668" s="85"/>
      <c r="AA668" s="85"/>
      <c r="AB668" s="85"/>
      <c r="AC668" s="85"/>
      <c r="AD668" s="85"/>
    </row>
    <row r="669" spans="1:30" ht="15.75" x14ac:dyDescent="0.25">
      <c r="A669" s="13">
        <v>61301</v>
      </c>
      <c r="B669" s="96">
        <f t="shared" si="106"/>
        <v>31</v>
      </c>
      <c r="C669" s="84">
        <f>131.881</f>
        <v>131.881</v>
      </c>
      <c r="D669" s="84">
        <f>277.167</f>
        <v>277.16699999999997</v>
      </c>
      <c r="E669" s="93">
        <f>79.08</f>
        <v>79.08</v>
      </c>
      <c r="F669" s="84">
        <f>350.872-40-25-60-100</f>
        <v>125.87200000000001</v>
      </c>
      <c r="G669" s="87">
        <v>40</v>
      </c>
      <c r="H669" s="84">
        <f t="shared" si="105"/>
        <v>185</v>
      </c>
      <c r="I669" s="84">
        <f t="shared" si="102"/>
        <v>0</v>
      </c>
      <c r="J669" s="87">
        <v>100</v>
      </c>
      <c r="K669" s="87">
        <v>300</v>
      </c>
      <c r="L669" s="84">
        <f t="shared" si="107"/>
        <v>1239</v>
      </c>
      <c r="M669" s="95">
        <v>600</v>
      </c>
      <c r="N669" s="84">
        <f>75</f>
        <v>75</v>
      </c>
      <c r="O669" s="87">
        <v>240</v>
      </c>
      <c r="P669" s="87">
        <v>40</v>
      </c>
      <c r="Q669" s="87">
        <f t="shared" si="108"/>
        <v>315</v>
      </c>
      <c r="R669" s="87">
        <f t="shared" si="109"/>
        <v>100</v>
      </c>
      <c r="S669" s="84">
        <f t="shared" si="110"/>
        <v>695</v>
      </c>
      <c r="T669" s="84">
        <f>0</f>
        <v>0</v>
      </c>
      <c r="U669" s="85"/>
      <c r="V669" s="85"/>
      <c r="W669" s="85"/>
      <c r="X669" s="85"/>
      <c r="Y669" s="85"/>
      <c r="Z669" s="85"/>
      <c r="AA669" s="85"/>
      <c r="AB669" s="85"/>
      <c r="AC669" s="85"/>
      <c r="AD669" s="85"/>
    </row>
    <row r="670" spans="1:30" ht="15.75" x14ac:dyDescent="0.25">
      <c r="A670" s="13">
        <v>61331</v>
      </c>
      <c r="B670" s="96">
        <f t="shared" si="106"/>
        <v>30</v>
      </c>
      <c r="C670" s="84">
        <f>122.58</f>
        <v>122.58</v>
      </c>
      <c r="D670" s="84">
        <f>297.941</f>
        <v>297.94099999999997</v>
      </c>
      <c r="E670" s="93">
        <f>89.177</f>
        <v>89.177000000000007</v>
      </c>
      <c r="F670" s="84">
        <f>240.302-40-60-100</f>
        <v>40.301999999999992</v>
      </c>
      <c r="G670" s="87">
        <v>40</v>
      </c>
      <c r="H670" s="84">
        <f>60+100</f>
        <v>160</v>
      </c>
      <c r="I670" s="84">
        <f t="shared" si="102"/>
        <v>0</v>
      </c>
      <c r="J670" s="87">
        <v>100</v>
      </c>
      <c r="K670" s="87">
        <v>300</v>
      </c>
      <c r="L670" s="84">
        <f t="shared" si="107"/>
        <v>1150</v>
      </c>
      <c r="M670" s="95">
        <v>600</v>
      </c>
      <c r="N670" s="84">
        <f>100</f>
        <v>100</v>
      </c>
      <c r="O670" s="87">
        <v>240</v>
      </c>
      <c r="P670" s="87">
        <v>40</v>
      </c>
      <c r="Q670" s="87">
        <f t="shared" si="108"/>
        <v>315</v>
      </c>
      <c r="R670" s="87">
        <f t="shared" si="109"/>
        <v>100</v>
      </c>
      <c r="S670" s="84">
        <f t="shared" si="110"/>
        <v>695</v>
      </c>
      <c r="T670" s="84">
        <f>50</f>
        <v>50</v>
      </c>
      <c r="U670" s="85"/>
      <c r="V670" s="85"/>
      <c r="W670" s="85"/>
      <c r="X670" s="85"/>
      <c r="Y670" s="85"/>
      <c r="Z670" s="85"/>
      <c r="AA670" s="85"/>
      <c r="AB670" s="85"/>
      <c r="AC670" s="85"/>
      <c r="AD670" s="85"/>
    </row>
    <row r="671" spans="1:30" ht="15.75" x14ac:dyDescent="0.25">
      <c r="A671" s="13">
        <v>61362</v>
      </c>
      <c r="B671" s="96">
        <f t="shared" si="106"/>
        <v>31</v>
      </c>
      <c r="C671" s="84">
        <f>122.58</f>
        <v>122.58</v>
      </c>
      <c r="D671" s="84">
        <f>297.941</f>
        <v>297.94099999999997</v>
      </c>
      <c r="E671" s="93">
        <f>89.177</f>
        <v>89.177000000000007</v>
      </c>
      <c r="F671" s="84">
        <f>240.302-40-60-100</f>
        <v>40.301999999999992</v>
      </c>
      <c r="G671" s="87">
        <v>40</v>
      </c>
      <c r="H671" s="84">
        <f>60+100</f>
        <v>160</v>
      </c>
      <c r="I671" s="84">
        <f t="shared" si="102"/>
        <v>0</v>
      </c>
      <c r="J671" s="87">
        <v>100</v>
      </c>
      <c r="K671" s="87">
        <v>300</v>
      </c>
      <c r="L671" s="84">
        <f t="shared" si="107"/>
        <v>1150</v>
      </c>
      <c r="M671" s="95">
        <v>600</v>
      </c>
      <c r="N671" s="84">
        <f>100</f>
        <v>100</v>
      </c>
      <c r="O671" s="87">
        <v>240</v>
      </c>
      <c r="P671" s="87">
        <v>40</v>
      </c>
      <c r="Q671" s="87">
        <f t="shared" si="108"/>
        <v>315</v>
      </c>
      <c r="R671" s="87">
        <f t="shared" si="109"/>
        <v>100</v>
      </c>
      <c r="S671" s="84">
        <f t="shared" si="110"/>
        <v>695</v>
      </c>
      <c r="T671" s="84">
        <f>50</f>
        <v>50</v>
      </c>
      <c r="U671" s="85"/>
      <c r="V671" s="85"/>
      <c r="W671" s="85"/>
      <c r="X671" s="85"/>
      <c r="Y671" s="85"/>
      <c r="Z671" s="85"/>
      <c r="AA671" s="85"/>
      <c r="AB671" s="85"/>
      <c r="AC671" s="85"/>
      <c r="AD671" s="85"/>
    </row>
    <row r="672" spans="1:30" ht="15.75" x14ac:dyDescent="0.25">
      <c r="A672" s="13">
        <v>61393</v>
      </c>
      <c r="B672" s="96">
        <f t="shared" si="106"/>
        <v>31</v>
      </c>
      <c r="C672" s="84">
        <f>122.58</f>
        <v>122.58</v>
      </c>
      <c r="D672" s="84">
        <f>297.941</f>
        <v>297.94099999999997</v>
      </c>
      <c r="E672" s="93">
        <f>89.177</f>
        <v>89.177000000000007</v>
      </c>
      <c r="F672" s="84">
        <f>240.302-40-60-100</f>
        <v>40.301999999999992</v>
      </c>
      <c r="G672" s="87">
        <v>40</v>
      </c>
      <c r="H672" s="84">
        <f>60+100</f>
        <v>160</v>
      </c>
      <c r="I672" s="84">
        <f t="shared" si="102"/>
        <v>0</v>
      </c>
      <c r="J672" s="87">
        <v>100</v>
      </c>
      <c r="K672" s="87">
        <v>300</v>
      </c>
      <c r="L672" s="84">
        <f t="shared" si="107"/>
        <v>1150</v>
      </c>
      <c r="M672" s="95">
        <v>600</v>
      </c>
      <c r="N672" s="84">
        <f>100</f>
        <v>100</v>
      </c>
      <c r="O672" s="87">
        <v>240</v>
      </c>
      <c r="P672" s="87">
        <v>40</v>
      </c>
      <c r="Q672" s="87">
        <f t="shared" si="108"/>
        <v>315</v>
      </c>
      <c r="R672" s="87">
        <f t="shared" si="109"/>
        <v>100</v>
      </c>
      <c r="S672" s="84">
        <f t="shared" si="110"/>
        <v>695</v>
      </c>
      <c r="T672" s="84">
        <f>50</f>
        <v>50</v>
      </c>
      <c r="U672" s="85"/>
      <c r="V672" s="85"/>
      <c r="W672" s="85"/>
      <c r="X672" s="85"/>
      <c r="Y672" s="85"/>
      <c r="Z672" s="85"/>
      <c r="AA672" s="85"/>
      <c r="AB672" s="85"/>
      <c r="AC672" s="85"/>
      <c r="AD672" s="85"/>
    </row>
    <row r="673" spans="1:30" ht="15.75" x14ac:dyDescent="0.25">
      <c r="A673" s="13">
        <v>61422</v>
      </c>
      <c r="B673" s="96">
        <f t="shared" si="106"/>
        <v>29</v>
      </c>
      <c r="C673" s="84">
        <f>122.58</f>
        <v>122.58</v>
      </c>
      <c r="D673" s="84">
        <f>297.941</f>
        <v>297.94099999999997</v>
      </c>
      <c r="E673" s="93">
        <f>89.177</f>
        <v>89.177000000000007</v>
      </c>
      <c r="F673" s="84">
        <f>240.302-40-60-100</f>
        <v>40.301999999999992</v>
      </c>
      <c r="G673" s="87">
        <v>40</v>
      </c>
      <c r="H673" s="84">
        <f>60+100</f>
        <v>160</v>
      </c>
      <c r="I673" s="84">
        <f t="shared" si="102"/>
        <v>0</v>
      </c>
      <c r="J673" s="87">
        <v>100</v>
      </c>
      <c r="K673" s="87">
        <v>300</v>
      </c>
      <c r="L673" s="84">
        <f t="shared" si="107"/>
        <v>1150</v>
      </c>
      <c r="M673" s="95">
        <v>600</v>
      </c>
      <c r="N673" s="84">
        <f>100</f>
        <v>100</v>
      </c>
      <c r="O673" s="87">
        <v>240</v>
      </c>
      <c r="P673" s="87">
        <v>40</v>
      </c>
      <c r="Q673" s="87">
        <f t="shared" si="108"/>
        <v>315</v>
      </c>
      <c r="R673" s="87">
        <f t="shared" si="109"/>
        <v>100</v>
      </c>
      <c r="S673" s="84">
        <f t="shared" si="110"/>
        <v>695</v>
      </c>
      <c r="T673" s="84">
        <f>50</f>
        <v>50</v>
      </c>
      <c r="U673" s="85"/>
      <c r="V673" s="85"/>
      <c r="W673" s="85"/>
      <c r="X673" s="85"/>
      <c r="Y673" s="85"/>
      <c r="Z673" s="85"/>
      <c r="AA673" s="85"/>
      <c r="AB673" s="85"/>
      <c r="AC673" s="85"/>
      <c r="AD673" s="85"/>
    </row>
    <row r="674" spans="1:30" ht="15.75" x14ac:dyDescent="0.25">
      <c r="A674" s="13">
        <v>61453</v>
      </c>
      <c r="B674" s="96">
        <f t="shared" si="106"/>
        <v>31</v>
      </c>
      <c r="C674" s="84">
        <f>122.58</f>
        <v>122.58</v>
      </c>
      <c r="D674" s="84">
        <f>297.941</f>
        <v>297.94099999999997</v>
      </c>
      <c r="E674" s="93">
        <f>89.177</f>
        <v>89.177000000000007</v>
      </c>
      <c r="F674" s="84">
        <f>240.302-40-60-100</f>
        <v>40.301999999999992</v>
      </c>
      <c r="G674" s="87">
        <v>40</v>
      </c>
      <c r="H674" s="84">
        <f>60+100</f>
        <v>160</v>
      </c>
      <c r="I674" s="84">
        <f t="shared" si="102"/>
        <v>0</v>
      </c>
      <c r="J674" s="87">
        <v>100</v>
      </c>
      <c r="K674" s="87">
        <v>300</v>
      </c>
      <c r="L674" s="84">
        <f t="shared" si="107"/>
        <v>1150</v>
      </c>
      <c r="M674" s="95">
        <v>600</v>
      </c>
      <c r="N674" s="84">
        <f>100</f>
        <v>100</v>
      </c>
      <c r="O674" s="87">
        <v>240</v>
      </c>
      <c r="P674" s="87">
        <v>40</v>
      </c>
      <c r="Q674" s="87">
        <f t="shared" si="108"/>
        <v>315</v>
      </c>
      <c r="R674" s="87">
        <f t="shared" si="109"/>
        <v>100</v>
      </c>
      <c r="S674" s="84">
        <f t="shared" si="110"/>
        <v>695</v>
      </c>
      <c r="T674" s="84">
        <f>50</f>
        <v>50</v>
      </c>
      <c r="U674" s="85"/>
      <c r="V674" s="85"/>
      <c r="W674" s="85"/>
      <c r="X674" s="85"/>
      <c r="Y674" s="85"/>
      <c r="Z674" s="85"/>
      <c r="AA674" s="85"/>
      <c r="AB674" s="85"/>
      <c r="AC674" s="85"/>
      <c r="AD674" s="85"/>
    </row>
    <row r="675" spans="1:30" ht="15.75" x14ac:dyDescent="0.25">
      <c r="A675" s="13">
        <v>61483</v>
      </c>
      <c r="B675" s="96">
        <f t="shared" si="106"/>
        <v>30</v>
      </c>
      <c r="C675" s="84">
        <f>141.293</f>
        <v>141.29300000000001</v>
      </c>
      <c r="D675" s="84">
        <f>267.993</f>
        <v>267.99299999999999</v>
      </c>
      <c r="E675" s="93">
        <f>115.016</f>
        <v>115.01600000000001</v>
      </c>
      <c r="F675" s="84">
        <f>314.698-40-25-60-100</f>
        <v>89.697999999999979</v>
      </c>
      <c r="G675" s="87">
        <v>40</v>
      </c>
      <c r="H675" s="84">
        <f t="shared" ref="H675:H681" si="111">25+60+100</f>
        <v>185</v>
      </c>
      <c r="I675" s="84">
        <f t="shared" si="102"/>
        <v>0</v>
      </c>
      <c r="J675" s="87">
        <v>100</v>
      </c>
      <c r="K675" s="87">
        <v>300</v>
      </c>
      <c r="L675" s="84">
        <f t="shared" si="107"/>
        <v>1239</v>
      </c>
      <c r="M675" s="95">
        <v>600</v>
      </c>
      <c r="N675" s="84">
        <f>100</f>
        <v>100</v>
      </c>
      <c r="O675" s="87">
        <v>240</v>
      </c>
      <c r="P675" s="87">
        <v>40</v>
      </c>
      <c r="Q675" s="87">
        <f t="shared" si="108"/>
        <v>315</v>
      </c>
      <c r="R675" s="87">
        <f t="shared" si="109"/>
        <v>100</v>
      </c>
      <c r="S675" s="84">
        <f t="shared" si="110"/>
        <v>695</v>
      </c>
      <c r="T675" s="84">
        <f>50</f>
        <v>50</v>
      </c>
      <c r="U675" s="85"/>
      <c r="V675" s="85"/>
      <c r="W675" s="85"/>
      <c r="X675" s="85"/>
      <c r="Y675" s="85"/>
      <c r="Z675" s="85"/>
      <c r="AA675" s="85"/>
      <c r="AB675" s="85"/>
      <c r="AC675" s="85"/>
      <c r="AD675" s="85"/>
    </row>
    <row r="676" spans="1:30" ht="15.75" x14ac:dyDescent="0.25">
      <c r="A676" s="13">
        <v>61514</v>
      </c>
      <c r="B676" s="96">
        <f t="shared" si="106"/>
        <v>31</v>
      </c>
      <c r="C676" s="84">
        <f>194.205</f>
        <v>194.20500000000001</v>
      </c>
      <c r="D676" s="84">
        <f>267.466</f>
        <v>267.46600000000001</v>
      </c>
      <c r="E676" s="93">
        <f>133.845</f>
        <v>133.845</v>
      </c>
      <c r="F676" s="84">
        <f>278.484-40-25-60-100</f>
        <v>53.48399999999998</v>
      </c>
      <c r="G676" s="87">
        <v>40</v>
      </c>
      <c r="H676" s="84">
        <f t="shared" si="111"/>
        <v>185</v>
      </c>
      <c r="I676" s="84">
        <f t="shared" si="102"/>
        <v>0</v>
      </c>
      <c r="J676" s="87">
        <v>100</v>
      </c>
      <c r="K676" s="87">
        <v>300</v>
      </c>
      <c r="L676" s="84">
        <f t="shared" si="107"/>
        <v>1274</v>
      </c>
      <c r="M676" s="95">
        <v>600</v>
      </c>
      <c r="N676" s="84">
        <f>75</f>
        <v>75</v>
      </c>
      <c r="O676" s="87">
        <v>240</v>
      </c>
      <c r="P676" s="87">
        <v>40</v>
      </c>
      <c r="Q676" s="87">
        <f t="shared" si="108"/>
        <v>315</v>
      </c>
      <c r="R676" s="87">
        <f t="shared" si="109"/>
        <v>100</v>
      </c>
      <c r="S676" s="84">
        <f t="shared" si="110"/>
        <v>695</v>
      </c>
      <c r="T676" s="84">
        <f>50</f>
        <v>50</v>
      </c>
      <c r="U676" s="85"/>
      <c r="V676" s="85"/>
      <c r="W676" s="85"/>
      <c r="X676" s="85"/>
      <c r="Y676" s="85"/>
      <c r="Z676" s="85"/>
      <c r="AA676" s="85"/>
      <c r="AB676" s="85"/>
      <c r="AC676" s="85"/>
      <c r="AD676" s="85"/>
    </row>
    <row r="677" spans="1:30" ht="15.75" x14ac:dyDescent="0.25">
      <c r="A677" s="13">
        <v>61544</v>
      </c>
      <c r="B677" s="96">
        <f t="shared" si="106"/>
        <v>30</v>
      </c>
      <c r="C677" s="84">
        <f>194.205</f>
        <v>194.20500000000001</v>
      </c>
      <c r="D677" s="84">
        <f>267.466</f>
        <v>267.46600000000001</v>
      </c>
      <c r="E677" s="93">
        <f>133.845</f>
        <v>133.845</v>
      </c>
      <c r="F677" s="84">
        <f>278.484-40-25-60-100</f>
        <v>53.48399999999998</v>
      </c>
      <c r="G677" s="87">
        <v>40</v>
      </c>
      <c r="H677" s="84">
        <f t="shared" si="111"/>
        <v>185</v>
      </c>
      <c r="I677" s="84">
        <f t="shared" si="102"/>
        <v>0</v>
      </c>
      <c r="J677" s="87">
        <v>100</v>
      </c>
      <c r="K677" s="87">
        <v>300</v>
      </c>
      <c r="L677" s="84">
        <f t="shared" si="107"/>
        <v>1274</v>
      </c>
      <c r="M677" s="95">
        <v>600</v>
      </c>
      <c r="N677" s="84">
        <f>30</f>
        <v>30</v>
      </c>
      <c r="O677" s="87">
        <v>240</v>
      </c>
      <c r="P677" s="87">
        <v>40</v>
      </c>
      <c r="Q677" s="87">
        <f t="shared" si="108"/>
        <v>315</v>
      </c>
      <c r="R677" s="87">
        <f t="shared" si="109"/>
        <v>100</v>
      </c>
      <c r="S677" s="84">
        <f t="shared" si="110"/>
        <v>695</v>
      </c>
      <c r="T677" s="84">
        <f>50</f>
        <v>50</v>
      </c>
      <c r="U677" s="85"/>
      <c r="V677" s="85"/>
      <c r="W677" s="85"/>
      <c r="X677" s="85"/>
      <c r="Y677" s="85"/>
      <c r="Z677" s="85"/>
      <c r="AA677" s="85"/>
      <c r="AB677" s="85"/>
      <c r="AC677" s="85"/>
      <c r="AD677" s="85"/>
    </row>
    <row r="678" spans="1:30" ht="15.75" x14ac:dyDescent="0.25">
      <c r="A678" s="13">
        <v>61575</v>
      </c>
      <c r="B678" s="96">
        <f t="shared" si="106"/>
        <v>31</v>
      </c>
      <c r="C678" s="84">
        <f>194.205</f>
        <v>194.20500000000001</v>
      </c>
      <c r="D678" s="84">
        <f>267.466</f>
        <v>267.46600000000001</v>
      </c>
      <c r="E678" s="93">
        <f>133.845</f>
        <v>133.845</v>
      </c>
      <c r="F678" s="84">
        <f>278.484-40-25-60-100</f>
        <v>53.48399999999998</v>
      </c>
      <c r="G678" s="87">
        <v>40</v>
      </c>
      <c r="H678" s="84">
        <f t="shared" si="111"/>
        <v>185</v>
      </c>
      <c r="I678" s="84">
        <f t="shared" si="102"/>
        <v>0</v>
      </c>
      <c r="J678" s="87">
        <v>100</v>
      </c>
      <c r="K678" s="87">
        <v>300</v>
      </c>
      <c r="L678" s="84">
        <f t="shared" si="107"/>
        <v>1274</v>
      </c>
      <c r="M678" s="95">
        <v>600</v>
      </c>
      <c r="N678" s="84">
        <f>30</f>
        <v>30</v>
      </c>
      <c r="O678" s="87">
        <v>240</v>
      </c>
      <c r="P678" s="87">
        <v>40</v>
      </c>
      <c r="Q678" s="87">
        <f t="shared" si="108"/>
        <v>315</v>
      </c>
      <c r="R678" s="87">
        <f t="shared" si="109"/>
        <v>100</v>
      </c>
      <c r="S678" s="84">
        <f t="shared" si="110"/>
        <v>695</v>
      </c>
      <c r="T678" s="84">
        <f>0</f>
        <v>0</v>
      </c>
      <c r="U678" s="85"/>
      <c r="V678" s="85"/>
      <c r="W678" s="85"/>
      <c r="X678" s="85"/>
      <c r="Y678" s="85"/>
      <c r="Z678" s="85"/>
      <c r="AA678" s="85"/>
      <c r="AB678" s="85"/>
      <c r="AC678" s="85"/>
      <c r="AD678" s="85"/>
    </row>
    <row r="679" spans="1:30" ht="15.75" x14ac:dyDescent="0.25">
      <c r="A679" s="13">
        <v>61606</v>
      </c>
      <c r="B679" s="96">
        <f t="shared" si="106"/>
        <v>31</v>
      </c>
      <c r="C679" s="84">
        <f>194.205</f>
        <v>194.20500000000001</v>
      </c>
      <c r="D679" s="84">
        <f>267.466</f>
        <v>267.46600000000001</v>
      </c>
      <c r="E679" s="93">
        <f>133.845</f>
        <v>133.845</v>
      </c>
      <c r="F679" s="84">
        <f>278.484-40-25-60-100</f>
        <v>53.48399999999998</v>
      </c>
      <c r="G679" s="87">
        <v>40</v>
      </c>
      <c r="H679" s="84">
        <f t="shared" si="111"/>
        <v>185</v>
      </c>
      <c r="I679" s="84">
        <f t="shared" si="102"/>
        <v>0</v>
      </c>
      <c r="J679" s="87">
        <v>100</v>
      </c>
      <c r="K679" s="87">
        <v>300</v>
      </c>
      <c r="L679" s="84">
        <f t="shared" si="107"/>
        <v>1274</v>
      </c>
      <c r="M679" s="95">
        <v>600</v>
      </c>
      <c r="N679" s="84">
        <f>30</f>
        <v>30</v>
      </c>
      <c r="O679" s="87">
        <v>240</v>
      </c>
      <c r="P679" s="87">
        <v>40</v>
      </c>
      <c r="Q679" s="87">
        <f t="shared" si="108"/>
        <v>315</v>
      </c>
      <c r="R679" s="87">
        <f t="shared" si="109"/>
        <v>100</v>
      </c>
      <c r="S679" s="84">
        <f t="shared" si="110"/>
        <v>695</v>
      </c>
      <c r="T679" s="84">
        <f>0</f>
        <v>0</v>
      </c>
      <c r="U679" s="85"/>
      <c r="V679" s="85"/>
      <c r="W679" s="85"/>
      <c r="X679" s="85"/>
      <c r="Y679" s="85"/>
      <c r="Z679" s="85"/>
      <c r="AA679" s="85"/>
      <c r="AB679" s="85"/>
      <c r="AC679" s="85"/>
      <c r="AD679" s="85"/>
    </row>
    <row r="680" spans="1:30" ht="15.75" x14ac:dyDescent="0.25">
      <c r="A680" s="13">
        <v>61636</v>
      </c>
      <c r="B680" s="96">
        <f t="shared" si="106"/>
        <v>30</v>
      </c>
      <c r="C680" s="84">
        <f>194.205</f>
        <v>194.20500000000001</v>
      </c>
      <c r="D680" s="84">
        <f>267.466</f>
        <v>267.46600000000001</v>
      </c>
      <c r="E680" s="93">
        <f>133.845</f>
        <v>133.845</v>
      </c>
      <c r="F680" s="84">
        <f>278.484-40-25-60-100</f>
        <v>53.48399999999998</v>
      </c>
      <c r="G680" s="87">
        <v>40</v>
      </c>
      <c r="H680" s="84">
        <f t="shared" si="111"/>
        <v>185</v>
      </c>
      <c r="I680" s="84">
        <f t="shared" si="102"/>
        <v>0</v>
      </c>
      <c r="J680" s="87">
        <v>100</v>
      </c>
      <c r="K680" s="87">
        <v>300</v>
      </c>
      <c r="L680" s="84">
        <f t="shared" si="107"/>
        <v>1274</v>
      </c>
      <c r="M680" s="95">
        <v>600</v>
      </c>
      <c r="N680" s="84">
        <f>30</f>
        <v>30</v>
      </c>
      <c r="O680" s="87">
        <v>240</v>
      </c>
      <c r="P680" s="87">
        <v>40</v>
      </c>
      <c r="Q680" s="87">
        <f t="shared" si="108"/>
        <v>315</v>
      </c>
      <c r="R680" s="87">
        <f t="shared" si="109"/>
        <v>100</v>
      </c>
      <c r="S680" s="84">
        <f t="shared" si="110"/>
        <v>695</v>
      </c>
      <c r="T680" s="84">
        <f>0</f>
        <v>0</v>
      </c>
      <c r="U680" s="85"/>
      <c r="V680" s="85"/>
      <c r="W680" s="85"/>
      <c r="X680" s="85"/>
      <c r="Y680" s="85"/>
      <c r="Z680" s="85"/>
      <c r="AA680" s="85"/>
      <c r="AB680" s="85"/>
      <c r="AC680" s="85"/>
      <c r="AD680" s="85"/>
    </row>
    <row r="681" spans="1:30" ht="15.75" x14ac:dyDescent="0.25">
      <c r="A681" s="13">
        <v>61667</v>
      </c>
      <c r="B681" s="96">
        <f t="shared" si="106"/>
        <v>31</v>
      </c>
      <c r="C681" s="84">
        <f>131.881</f>
        <v>131.881</v>
      </c>
      <c r="D681" s="84">
        <f>277.167</f>
        <v>277.16699999999997</v>
      </c>
      <c r="E681" s="93">
        <f>79.08</f>
        <v>79.08</v>
      </c>
      <c r="F681" s="84">
        <f>350.872-40-25-60-100</f>
        <v>125.87200000000001</v>
      </c>
      <c r="G681" s="87">
        <v>40</v>
      </c>
      <c r="H681" s="84">
        <f t="shared" si="111"/>
        <v>185</v>
      </c>
      <c r="I681" s="84">
        <f t="shared" si="102"/>
        <v>0</v>
      </c>
      <c r="J681" s="87">
        <v>100</v>
      </c>
      <c r="K681" s="87">
        <v>300</v>
      </c>
      <c r="L681" s="84">
        <f t="shared" si="107"/>
        <v>1239</v>
      </c>
      <c r="M681" s="95">
        <v>600</v>
      </c>
      <c r="N681" s="84">
        <f>75</f>
        <v>75</v>
      </c>
      <c r="O681" s="87">
        <v>240</v>
      </c>
      <c r="P681" s="87">
        <v>40</v>
      </c>
      <c r="Q681" s="87">
        <f t="shared" si="108"/>
        <v>315</v>
      </c>
      <c r="R681" s="87">
        <f t="shared" si="109"/>
        <v>100</v>
      </c>
      <c r="S681" s="84">
        <f t="shared" si="110"/>
        <v>695</v>
      </c>
      <c r="T681" s="84">
        <f>0</f>
        <v>0</v>
      </c>
      <c r="U681" s="85"/>
      <c r="V681" s="85"/>
      <c r="W681" s="85"/>
      <c r="X681" s="85"/>
      <c r="Y681" s="85"/>
      <c r="Z681" s="85"/>
      <c r="AA681" s="85"/>
      <c r="AB681" s="85"/>
      <c r="AC681" s="85"/>
      <c r="AD681" s="85"/>
    </row>
    <row r="682" spans="1:30" ht="15.75" x14ac:dyDescent="0.25">
      <c r="A682" s="13">
        <v>61697</v>
      </c>
      <c r="B682" s="96">
        <f t="shared" si="106"/>
        <v>30</v>
      </c>
      <c r="C682" s="84">
        <f>122.58</f>
        <v>122.58</v>
      </c>
      <c r="D682" s="84">
        <f>297.941</f>
        <v>297.94099999999997</v>
      </c>
      <c r="E682" s="93">
        <f>89.177</f>
        <v>89.177000000000007</v>
      </c>
      <c r="F682" s="84">
        <f>240.302-40-60-100</f>
        <v>40.301999999999992</v>
      </c>
      <c r="G682" s="87">
        <v>40</v>
      </c>
      <c r="H682" s="84">
        <f>60+100</f>
        <v>160</v>
      </c>
      <c r="I682" s="84">
        <f t="shared" si="102"/>
        <v>0</v>
      </c>
      <c r="J682" s="87">
        <v>100</v>
      </c>
      <c r="K682" s="87">
        <v>300</v>
      </c>
      <c r="L682" s="84">
        <f t="shared" si="107"/>
        <v>1150</v>
      </c>
      <c r="M682" s="95">
        <v>600</v>
      </c>
      <c r="N682" s="84">
        <f>100</f>
        <v>100</v>
      </c>
      <c r="O682" s="87">
        <v>240</v>
      </c>
      <c r="P682" s="87">
        <v>40</v>
      </c>
      <c r="Q682" s="87">
        <f t="shared" si="108"/>
        <v>315</v>
      </c>
      <c r="R682" s="87">
        <f t="shared" si="109"/>
        <v>100</v>
      </c>
      <c r="S682" s="84">
        <f t="shared" si="110"/>
        <v>695</v>
      </c>
      <c r="T682" s="84">
        <f>50</f>
        <v>50</v>
      </c>
      <c r="U682" s="85"/>
      <c r="V682" s="85"/>
      <c r="W682" s="85"/>
      <c r="X682" s="85"/>
      <c r="Y682" s="85"/>
      <c r="Z682" s="85"/>
      <c r="AA682" s="85"/>
      <c r="AB682" s="85"/>
      <c r="AC682" s="85"/>
      <c r="AD682" s="85"/>
    </row>
    <row r="683" spans="1:30" ht="15.75" x14ac:dyDescent="0.25">
      <c r="A683" s="13">
        <v>61728</v>
      </c>
      <c r="B683" s="96">
        <f t="shared" si="106"/>
        <v>31</v>
      </c>
      <c r="C683" s="84">
        <f>122.58</f>
        <v>122.58</v>
      </c>
      <c r="D683" s="84">
        <f>297.941</f>
        <v>297.94099999999997</v>
      </c>
      <c r="E683" s="93">
        <f>89.177</f>
        <v>89.177000000000007</v>
      </c>
      <c r="F683" s="84">
        <f>240.302-40-60-100</f>
        <v>40.301999999999992</v>
      </c>
      <c r="G683" s="87">
        <v>40</v>
      </c>
      <c r="H683" s="84">
        <f>60+100</f>
        <v>160</v>
      </c>
      <c r="I683" s="84">
        <f t="shared" si="102"/>
        <v>0</v>
      </c>
      <c r="J683" s="87">
        <v>100</v>
      </c>
      <c r="K683" s="87">
        <v>300</v>
      </c>
      <c r="L683" s="84">
        <f t="shared" si="107"/>
        <v>1150</v>
      </c>
      <c r="M683" s="95">
        <v>600</v>
      </c>
      <c r="N683" s="84">
        <f>100</f>
        <v>100</v>
      </c>
      <c r="O683" s="87">
        <v>240</v>
      </c>
      <c r="P683" s="87">
        <v>40</v>
      </c>
      <c r="Q683" s="87">
        <f t="shared" si="108"/>
        <v>315</v>
      </c>
      <c r="R683" s="87">
        <f t="shared" si="109"/>
        <v>100</v>
      </c>
      <c r="S683" s="84">
        <f t="shared" si="110"/>
        <v>695</v>
      </c>
      <c r="T683" s="84">
        <f>50</f>
        <v>50</v>
      </c>
      <c r="U683" s="85"/>
      <c r="V683" s="85"/>
      <c r="W683" s="85"/>
      <c r="X683" s="85"/>
      <c r="Y683" s="85"/>
      <c r="Z683" s="85"/>
      <c r="AA683" s="85"/>
      <c r="AB683" s="85"/>
      <c r="AC683" s="85"/>
      <c r="AD683" s="85"/>
    </row>
    <row r="684" spans="1:30" ht="15.75" x14ac:dyDescent="0.25">
      <c r="A684" s="13">
        <v>61759</v>
      </c>
      <c r="B684" s="96">
        <f t="shared" si="106"/>
        <v>31</v>
      </c>
      <c r="C684" s="84">
        <f>122.58</f>
        <v>122.58</v>
      </c>
      <c r="D684" s="84">
        <f>297.941</f>
        <v>297.94099999999997</v>
      </c>
      <c r="E684" s="93">
        <f>89.177</f>
        <v>89.177000000000007</v>
      </c>
      <c r="F684" s="84">
        <f>240.302-40-60-100</f>
        <v>40.301999999999992</v>
      </c>
      <c r="G684" s="87">
        <v>40</v>
      </c>
      <c r="H684" s="84">
        <f>60+100</f>
        <v>160</v>
      </c>
      <c r="I684" s="84">
        <f t="shared" si="102"/>
        <v>0</v>
      </c>
      <c r="J684" s="87">
        <v>100</v>
      </c>
      <c r="K684" s="87">
        <v>300</v>
      </c>
      <c r="L684" s="84">
        <f t="shared" si="107"/>
        <v>1150</v>
      </c>
      <c r="M684" s="95">
        <v>600</v>
      </c>
      <c r="N684" s="84">
        <f>100</f>
        <v>100</v>
      </c>
      <c r="O684" s="87">
        <v>240</v>
      </c>
      <c r="P684" s="87">
        <v>40</v>
      </c>
      <c r="Q684" s="87">
        <f t="shared" si="108"/>
        <v>315</v>
      </c>
      <c r="R684" s="87">
        <f t="shared" si="109"/>
        <v>100</v>
      </c>
      <c r="S684" s="84">
        <f t="shared" si="110"/>
        <v>695</v>
      </c>
      <c r="T684" s="84">
        <f>50</f>
        <v>50</v>
      </c>
      <c r="U684" s="85"/>
      <c r="V684" s="85"/>
      <c r="W684" s="85"/>
      <c r="X684" s="85"/>
      <c r="Y684" s="85"/>
      <c r="Z684" s="85"/>
      <c r="AA684" s="85"/>
      <c r="AB684" s="85"/>
      <c r="AC684" s="85"/>
      <c r="AD684" s="85"/>
    </row>
    <row r="685" spans="1:30" ht="15.75" x14ac:dyDescent="0.25">
      <c r="A685" s="13">
        <v>61787</v>
      </c>
      <c r="B685" s="96">
        <f t="shared" si="106"/>
        <v>28</v>
      </c>
      <c r="C685" s="84">
        <f>122.58</f>
        <v>122.58</v>
      </c>
      <c r="D685" s="84">
        <f>297.941</f>
        <v>297.94099999999997</v>
      </c>
      <c r="E685" s="93">
        <f>89.177</f>
        <v>89.177000000000007</v>
      </c>
      <c r="F685" s="84">
        <f>240.302-40-60-100</f>
        <v>40.301999999999992</v>
      </c>
      <c r="G685" s="87">
        <v>40</v>
      </c>
      <c r="H685" s="84">
        <f>60+100</f>
        <v>160</v>
      </c>
      <c r="I685" s="84">
        <f t="shared" si="102"/>
        <v>0</v>
      </c>
      <c r="J685" s="87">
        <v>100</v>
      </c>
      <c r="K685" s="87">
        <v>300</v>
      </c>
      <c r="L685" s="84">
        <f t="shared" si="107"/>
        <v>1150</v>
      </c>
      <c r="M685" s="95">
        <v>600</v>
      </c>
      <c r="N685" s="84">
        <f>100</f>
        <v>100</v>
      </c>
      <c r="O685" s="87">
        <v>240</v>
      </c>
      <c r="P685" s="87">
        <v>40</v>
      </c>
      <c r="Q685" s="87">
        <f t="shared" si="108"/>
        <v>315</v>
      </c>
      <c r="R685" s="87">
        <f t="shared" si="109"/>
        <v>100</v>
      </c>
      <c r="S685" s="84">
        <f t="shared" si="110"/>
        <v>695</v>
      </c>
      <c r="T685" s="84">
        <f>50</f>
        <v>50</v>
      </c>
      <c r="U685" s="85"/>
      <c r="V685" s="85"/>
      <c r="W685" s="85"/>
      <c r="X685" s="85"/>
      <c r="Y685" s="85"/>
      <c r="Z685" s="85"/>
      <c r="AA685" s="85"/>
      <c r="AB685" s="85"/>
      <c r="AC685" s="85"/>
      <c r="AD685" s="85"/>
    </row>
    <row r="686" spans="1:30" ht="15.75" x14ac:dyDescent="0.25">
      <c r="A686" s="13">
        <v>61818</v>
      </c>
      <c r="B686" s="96">
        <f t="shared" si="106"/>
        <v>31</v>
      </c>
      <c r="C686" s="84">
        <f>122.58</f>
        <v>122.58</v>
      </c>
      <c r="D686" s="84">
        <f>297.941</f>
        <v>297.94099999999997</v>
      </c>
      <c r="E686" s="93">
        <f>89.177</f>
        <v>89.177000000000007</v>
      </c>
      <c r="F686" s="84">
        <f>240.302-40-60-100</f>
        <v>40.301999999999992</v>
      </c>
      <c r="G686" s="87">
        <v>40</v>
      </c>
      <c r="H686" s="84">
        <f>60+100</f>
        <v>160</v>
      </c>
      <c r="I686" s="84">
        <f t="shared" si="102"/>
        <v>0</v>
      </c>
      <c r="J686" s="87">
        <v>100</v>
      </c>
      <c r="K686" s="87">
        <v>300</v>
      </c>
      <c r="L686" s="84">
        <f t="shared" si="107"/>
        <v>1150</v>
      </c>
      <c r="M686" s="95">
        <v>600</v>
      </c>
      <c r="N686" s="84">
        <f>100</f>
        <v>100</v>
      </c>
      <c r="O686" s="87">
        <v>240</v>
      </c>
      <c r="P686" s="87">
        <v>40</v>
      </c>
      <c r="Q686" s="87">
        <f t="shared" si="108"/>
        <v>315</v>
      </c>
      <c r="R686" s="87">
        <f t="shared" si="109"/>
        <v>100</v>
      </c>
      <c r="S686" s="84">
        <f t="shared" si="110"/>
        <v>695</v>
      </c>
      <c r="T686" s="84">
        <f>50</f>
        <v>50</v>
      </c>
      <c r="U686" s="85"/>
      <c r="V686" s="85"/>
      <c r="W686" s="85"/>
      <c r="X686" s="85"/>
      <c r="Y686" s="85"/>
      <c r="Z686" s="85"/>
      <c r="AA686" s="85"/>
      <c r="AB686" s="85"/>
      <c r="AC686" s="85"/>
      <c r="AD686" s="85"/>
    </row>
    <row r="687" spans="1:30" ht="15.75" x14ac:dyDescent="0.25">
      <c r="A687" s="13">
        <v>61848</v>
      </c>
      <c r="B687" s="96">
        <f t="shared" si="106"/>
        <v>30</v>
      </c>
      <c r="C687" s="84">
        <f>141.293</f>
        <v>141.29300000000001</v>
      </c>
      <c r="D687" s="84">
        <f>267.993</f>
        <v>267.99299999999999</v>
      </c>
      <c r="E687" s="93">
        <f>115.016</f>
        <v>115.01600000000001</v>
      </c>
      <c r="F687" s="84">
        <f>314.698-40-25-60-100</f>
        <v>89.697999999999979</v>
      </c>
      <c r="G687" s="87">
        <v>40</v>
      </c>
      <c r="H687" s="84">
        <f t="shared" ref="H687:H693" si="112">25+60+100</f>
        <v>185</v>
      </c>
      <c r="I687" s="84">
        <f t="shared" si="102"/>
        <v>0</v>
      </c>
      <c r="J687" s="87">
        <v>100</v>
      </c>
      <c r="K687" s="87">
        <v>300</v>
      </c>
      <c r="L687" s="84">
        <f t="shared" si="107"/>
        <v>1239</v>
      </c>
      <c r="M687" s="95">
        <v>600</v>
      </c>
      <c r="N687" s="84">
        <f>100</f>
        <v>100</v>
      </c>
      <c r="O687" s="87">
        <v>240</v>
      </c>
      <c r="P687" s="87">
        <v>40</v>
      </c>
      <c r="Q687" s="87">
        <f t="shared" si="108"/>
        <v>315</v>
      </c>
      <c r="R687" s="87">
        <f t="shared" si="109"/>
        <v>100</v>
      </c>
      <c r="S687" s="84">
        <f t="shared" si="110"/>
        <v>695</v>
      </c>
      <c r="T687" s="84">
        <f>50</f>
        <v>50</v>
      </c>
      <c r="U687" s="85"/>
      <c r="V687" s="85"/>
      <c r="W687" s="85"/>
      <c r="X687" s="85"/>
      <c r="Y687" s="85"/>
      <c r="Z687" s="85"/>
      <c r="AA687" s="85"/>
      <c r="AB687" s="85"/>
      <c r="AC687" s="85"/>
      <c r="AD687" s="85"/>
    </row>
    <row r="688" spans="1:30" ht="15.75" x14ac:dyDescent="0.25">
      <c r="A688" s="13">
        <v>61879</v>
      </c>
      <c r="B688" s="96">
        <f t="shared" si="106"/>
        <v>31</v>
      </c>
      <c r="C688" s="84">
        <f>194.205</f>
        <v>194.20500000000001</v>
      </c>
      <c r="D688" s="84">
        <f>267.466</f>
        <v>267.46600000000001</v>
      </c>
      <c r="E688" s="93">
        <f>133.845</f>
        <v>133.845</v>
      </c>
      <c r="F688" s="84">
        <f>278.484-40-25-60-100</f>
        <v>53.48399999999998</v>
      </c>
      <c r="G688" s="87">
        <v>40</v>
      </c>
      <c r="H688" s="84">
        <f t="shared" si="112"/>
        <v>185</v>
      </c>
      <c r="I688" s="84">
        <f t="shared" si="102"/>
        <v>0</v>
      </c>
      <c r="J688" s="87">
        <v>100</v>
      </c>
      <c r="K688" s="87">
        <v>300</v>
      </c>
      <c r="L688" s="84">
        <f t="shared" si="107"/>
        <v>1274</v>
      </c>
      <c r="M688" s="95">
        <v>600</v>
      </c>
      <c r="N688" s="84">
        <f>75</f>
        <v>75</v>
      </c>
      <c r="O688" s="87">
        <v>240</v>
      </c>
      <c r="P688" s="87">
        <v>40</v>
      </c>
      <c r="Q688" s="87">
        <f t="shared" si="108"/>
        <v>315</v>
      </c>
      <c r="R688" s="87">
        <f t="shared" si="109"/>
        <v>100</v>
      </c>
      <c r="S688" s="84">
        <f t="shared" si="110"/>
        <v>695</v>
      </c>
      <c r="T688" s="84">
        <f>50</f>
        <v>50</v>
      </c>
      <c r="U688" s="85"/>
      <c r="V688" s="85"/>
      <c r="W688" s="85"/>
      <c r="X688" s="85"/>
      <c r="Y688" s="85"/>
      <c r="Z688" s="85"/>
      <c r="AA688" s="85"/>
      <c r="AB688" s="85"/>
      <c r="AC688" s="85"/>
      <c r="AD688" s="85"/>
    </row>
    <row r="689" spans="1:30" ht="15.75" x14ac:dyDescent="0.25">
      <c r="A689" s="13">
        <v>61909</v>
      </c>
      <c r="B689" s="96">
        <f t="shared" si="106"/>
        <v>30</v>
      </c>
      <c r="C689" s="84">
        <f>194.205</f>
        <v>194.20500000000001</v>
      </c>
      <c r="D689" s="84">
        <f>267.466</f>
        <v>267.46600000000001</v>
      </c>
      <c r="E689" s="93">
        <f>133.845</f>
        <v>133.845</v>
      </c>
      <c r="F689" s="84">
        <f>278.484-40-25-60-100</f>
        <v>53.48399999999998</v>
      </c>
      <c r="G689" s="87">
        <v>40</v>
      </c>
      <c r="H689" s="84">
        <f t="shared" si="112"/>
        <v>185</v>
      </c>
      <c r="I689" s="84">
        <f t="shared" si="102"/>
        <v>0</v>
      </c>
      <c r="J689" s="87">
        <v>100</v>
      </c>
      <c r="K689" s="87">
        <v>300</v>
      </c>
      <c r="L689" s="84">
        <f t="shared" si="107"/>
        <v>1274</v>
      </c>
      <c r="M689" s="95">
        <v>600</v>
      </c>
      <c r="N689" s="84">
        <f>30</f>
        <v>30</v>
      </c>
      <c r="O689" s="87">
        <v>240</v>
      </c>
      <c r="P689" s="87">
        <v>40</v>
      </c>
      <c r="Q689" s="87">
        <f t="shared" si="108"/>
        <v>315</v>
      </c>
      <c r="R689" s="87">
        <f t="shared" si="109"/>
        <v>100</v>
      </c>
      <c r="S689" s="84">
        <f t="shared" si="110"/>
        <v>695</v>
      </c>
      <c r="T689" s="84">
        <f>50</f>
        <v>50</v>
      </c>
      <c r="U689" s="85"/>
      <c r="V689" s="85"/>
      <c r="W689" s="85"/>
      <c r="X689" s="85"/>
      <c r="Y689" s="85"/>
      <c r="Z689" s="85"/>
      <c r="AA689" s="85"/>
      <c r="AB689" s="85"/>
      <c r="AC689" s="85"/>
      <c r="AD689" s="85"/>
    </row>
    <row r="690" spans="1:30" ht="15.75" x14ac:dyDescent="0.25">
      <c r="A690" s="13">
        <v>61940</v>
      </c>
      <c r="B690" s="96">
        <f t="shared" si="106"/>
        <v>31</v>
      </c>
      <c r="C690" s="84">
        <f>194.205</f>
        <v>194.20500000000001</v>
      </c>
      <c r="D690" s="84">
        <f>267.466</f>
        <v>267.46600000000001</v>
      </c>
      <c r="E690" s="93">
        <f>133.845</f>
        <v>133.845</v>
      </c>
      <c r="F690" s="84">
        <f>278.484-40-25-60-100</f>
        <v>53.48399999999998</v>
      </c>
      <c r="G690" s="87">
        <v>40</v>
      </c>
      <c r="H690" s="84">
        <f t="shared" si="112"/>
        <v>185</v>
      </c>
      <c r="I690" s="84">
        <f t="shared" si="102"/>
        <v>0</v>
      </c>
      <c r="J690" s="87">
        <v>100</v>
      </c>
      <c r="K690" s="87">
        <v>300</v>
      </c>
      <c r="L690" s="84">
        <f t="shared" si="107"/>
        <v>1274</v>
      </c>
      <c r="M690" s="95">
        <v>600</v>
      </c>
      <c r="N690" s="84">
        <f>30</f>
        <v>30</v>
      </c>
      <c r="O690" s="87">
        <v>240</v>
      </c>
      <c r="P690" s="87">
        <v>40</v>
      </c>
      <c r="Q690" s="87">
        <f t="shared" si="108"/>
        <v>315</v>
      </c>
      <c r="R690" s="87">
        <f t="shared" si="109"/>
        <v>100</v>
      </c>
      <c r="S690" s="84">
        <f t="shared" si="110"/>
        <v>695</v>
      </c>
      <c r="T690" s="84">
        <f>0</f>
        <v>0</v>
      </c>
      <c r="U690" s="85"/>
      <c r="V690" s="85"/>
      <c r="W690" s="85"/>
      <c r="X690" s="85"/>
      <c r="Y690" s="85"/>
      <c r="Z690" s="85"/>
      <c r="AA690" s="85"/>
      <c r="AB690" s="85"/>
      <c r="AC690" s="85"/>
      <c r="AD690" s="85"/>
    </row>
    <row r="691" spans="1:30" ht="15.75" x14ac:dyDescent="0.25">
      <c r="A691" s="13">
        <v>61971</v>
      </c>
      <c r="B691" s="96">
        <f t="shared" si="106"/>
        <v>31</v>
      </c>
      <c r="C691" s="84">
        <f>194.205</f>
        <v>194.20500000000001</v>
      </c>
      <c r="D691" s="84">
        <f>267.466</f>
        <v>267.46600000000001</v>
      </c>
      <c r="E691" s="93">
        <f>133.845</f>
        <v>133.845</v>
      </c>
      <c r="F691" s="84">
        <f>278.484-40-25-60-100</f>
        <v>53.48399999999998</v>
      </c>
      <c r="G691" s="87">
        <v>40</v>
      </c>
      <c r="H691" s="84">
        <f t="shared" si="112"/>
        <v>185</v>
      </c>
      <c r="I691" s="84">
        <f t="shared" si="102"/>
        <v>0</v>
      </c>
      <c r="J691" s="87">
        <v>100</v>
      </c>
      <c r="K691" s="87">
        <v>300</v>
      </c>
      <c r="L691" s="84">
        <f t="shared" si="107"/>
        <v>1274</v>
      </c>
      <c r="M691" s="95">
        <v>600</v>
      </c>
      <c r="N691" s="84">
        <f>30</f>
        <v>30</v>
      </c>
      <c r="O691" s="87">
        <v>240</v>
      </c>
      <c r="P691" s="87">
        <v>40</v>
      </c>
      <c r="Q691" s="87">
        <f t="shared" si="108"/>
        <v>315</v>
      </c>
      <c r="R691" s="87">
        <f t="shared" si="109"/>
        <v>100</v>
      </c>
      <c r="S691" s="84">
        <f t="shared" si="110"/>
        <v>695</v>
      </c>
      <c r="T691" s="84">
        <f>0</f>
        <v>0</v>
      </c>
      <c r="U691" s="85"/>
      <c r="V691" s="85"/>
      <c r="W691" s="85"/>
      <c r="X691" s="85"/>
      <c r="Y691" s="85"/>
      <c r="Z691" s="85"/>
      <c r="AA691" s="85"/>
      <c r="AB691" s="85"/>
      <c r="AC691" s="85"/>
      <c r="AD691" s="85"/>
    </row>
    <row r="692" spans="1:30" ht="15.75" x14ac:dyDescent="0.25">
      <c r="A692" s="13">
        <v>62001</v>
      </c>
      <c r="B692" s="96">
        <f t="shared" si="106"/>
        <v>30</v>
      </c>
      <c r="C692" s="84">
        <f>194.205</f>
        <v>194.20500000000001</v>
      </c>
      <c r="D692" s="84">
        <f>267.466</f>
        <v>267.46600000000001</v>
      </c>
      <c r="E692" s="93">
        <f>133.845</f>
        <v>133.845</v>
      </c>
      <c r="F692" s="84">
        <f>278.484-40-25-60-100</f>
        <v>53.48399999999998</v>
      </c>
      <c r="G692" s="87">
        <v>40</v>
      </c>
      <c r="H692" s="84">
        <f t="shared" si="112"/>
        <v>185</v>
      </c>
      <c r="I692" s="84">
        <f t="shared" ref="I692:I755" si="113">400-J692-K692</f>
        <v>0</v>
      </c>
      <c r="J692" s="87">
        <v>100</v>
      </c>
      <c r="K692" s="87">
        <v>300</v>
      </c>
      <c r="L692" s="84">
        <f t="shared" si="107"/>
        <v>1274</v>
      </c>
      <c r="M692" s="95">
        <v>600</v>
      </c>
      <c r="N692" s="84">
        <f>30</f>
        <v>30</v>
      </c>
      <c r="O692" s="87">
        <v>240</v>
      </c>
      <c r="P692" s="87">
        <v>40</v>
      </c>
      <c r="Q692" s="87">
        <f t="shared" si="108"/>
        <v>315</v>
      </c>
      <c r="R692" s="87">
        <f t="shared" si="109"/>
        <v>100</v>
      </c>
      <c r="S692" s="84">
        <f t="shared" si="110"/>
        <v>695</v>
      </c>
      <c r="T692" s="84">
        <f>0</f>
        <v>0</v>
      </c>
      <c r="U692" s="85"/>
      <c r="V692" s="85"/>
      <c r="W692" s="85"/>
      <c r="X692" s="85"/>
      <c r="Y692" s="85"/>
      <c r="Z692" s="85"/>
      <c r="AA692" s="85"/>
      <c r="AB692" s="85"/>
      <c r="AC692" s="85"/>
      <c r="AD692" s="85"/>
    </row>
    <row r="693" spans="1:30" ht="15.75" x14ac:dyDescent="0.25">
      <c r="A693" s="13">
        <v>62032</v>
      </c>
      <c r="B693" s="96">
        <f t="shared" si="106"/>
        <v>31</v>
      </c>
      <c r="C693" s="84">
        <f>131.881</f>
        <v>131.881</v>
      </c>
      <c r="D693" s="84">
        <f>277.167</f>
        <v>277.16699999999997</v>
      </c>
      <c r="E693" s="93">
        <f>79.08</f>
        <v>79.08</v>
      </c>
      <c r="F693" s="84">
        <f>350.872-40-25-60-100</f>
        <v>125.87200000000001</v>
      </c>
      <c r="G693" s="87">
        <v>40</v>
      </c>
      <c r="H693" s="84">
        <f t="shared" si="112"/>
        <v>185</v>
      </c>
      <c r="I693" s="84">
        <f t="shared" si="113"/>
        <v>0</v>
      </c>
      <c r="J693" s="87">
        <v>100</v>
      </c>
      <c r="K693" s="87">
        <v>300</v>
      </c>
      <c r="L693" s="84">
        <f t="shared" si="107"/>
        <v>1239</v>
      </c>
      <c r="M693" s="95">
        <v>600</v>
      </c>
      <c r="N693" s="84">
        <f>75</f>
        <v>75</v>
      </c>
      <c r="O693" s="87">
        <v>240</v>
      </c>
      <c r="P693" s="87">
        <v>40</v>
      </c>
      <c r="Q693" s="87">
        <f t="shared" si="108"/>
        <v>315</v>
      </c>
      <c r="R693" s="87">
        <f t="shared" si="109"/>
        <v>100</v>
      </c>
      <c r="S693" s="84">
        <f t="shared" si="110"/>
        <v>695</v>
      </c>
      <c r="T693" s="84">
        <f>0</f>
        <v>0</v>
      </c>
      <c r="U693" s="85"/>
      <c r="V693" s="85"/>
      <c r="W693" s="85"/>
      <c r="X693" s="85"/>
      <c r="Y693" s="85"/>
      <c r="Z693" s="85"/>
      <c r="AA693" s="85"/>
      <c r="AB693" s="85"/>
      <c r="AC693" s="85"/>
      <c r="AD693" s="85"/>
    </row>
    <row r="694" spans="1:30" ht="15.75" x14ac:dyDescent="0.25">
      <c r="A694" s="13">
        <v>62062</v>
      </c>
      <c r="B694" s="96">
        <f t="shared" si="106"/>
        <v>30</v>
      </c>
      <c r="C694" s="84">
        <f>122.58</f>
        <v>122.58</v>
      </c>
      <c r="D694" s="84">
        <f>297.941</f>
        <v>297.94099999999997</v>
      </c>
      <c r="E694" s="93">
        <f>89.177</f>
        <v>89.177000000000007</v>
      </c>
      <c r="F694" s="84">
        <f>240.302-40-60-100</f>
        <v>40.301999999999992</v>
      </c>
      <c r="G694" s="87">
        <v>40</v>
      </c>
      <c r="H694" s="84">
        <f>60+100</f>
        <v>160</v>
      </c>
      <c r="I694" s="84">
        <f t="shared" si="113"/>
        <v>0</v>
      </c>
      <c r="J694" s="87">
        <v>100</v>
      </c>
      <c r="K694" s="87">
        <v>300</v>
      </c>
      <c r="L694" s="84">
        <f t="shared" si="107"/>
        <v>1150</v>
      </c>
      <c r="M694" s="95">
        <v>600</v>
      </c>
      <c r="N694" s="84">
        <f>100</f>
        <v>100</v>
      </c>
      <c r="O694" s="87">
        <v>240</v>
      </c>
      <c r="P694" s="87">
        <v>40</v>
      </c>
      <c r="Q694" s="87">
        <f t="shared" si="108"/>
        <v>315</v>
      </c>
      <c r="R694" s="87">
        <f t="shared" si="109"/>
        <v>100</v>
      </c>
      <c r="S694" s="84">
        <f t="shared" si="110"/>
        <v>695</v>
      </c>
      <c r="T694" s="84">
        <f>50</f>
        <v>50</v>
      </c>
      <c r="U694" s="85"/>
      <c r="V694" s="85"/>
      <c r="W694" s="85"/>
      <c r="X694" s="85"/>
      <c r="Y694" s="85"/>
      <c r="Z694" s="85"/>
      <c r="AA694" s="85"/>
      <c r="AB694" s="85"/>
      <c r="AC694" s="85"/>
      <c r="AD694" s="85"/>
    </row>
    <row r="695" spans="1:30" ht="15.75" x14ac:dyDescent="0.25">
      <c r="A695" s="13">
        <v>62093</v>
      </c>
      <c r="B695" s="96">
        <f t="shared" si="106"/>
        <v>31</v>
      </c>
      <c r="C695" s="84">
        <f>122.58</f>
        <v>122.58</v>
      </c>
      <c r="D695" s="84">
        <f>297.941</f>
        <v>297.94099999999997</v>
      </c>
      <c r="E695" s="93">
        <f>89.177</f>
        <v>89.177000000000007</v>
      </c>
      <c r="F695" s="84">
        <f>240.302-40-60-100</f>
        <v>40.301999999999992</v>
      </c>
      <c r="G695" s="87">
        <v>40</v>
      </c>
      <c r="H695" s="84">
        <f>60+100</f>
        <v>160</v>
      </c>
      <c r="I695" s="84">
        <f t="shared" si="113"/>
        <v>0</v>
      </c>
      <c r="J695" s="87">
        <v>100</v>
      </c>
      <c r="K695" s="87">
        <v>300</v>
      </c>
      <c r="L695" s="84">
        <f t="shared" si="107"/>
        <v>1150</v>
      </c>
      <c r="M695" s="95">
        <v>600</v>
      </c>
      <c r="N695" s="84">
        <f>100</f>
        <v>100</v>
      </c>
      <c r="O695" s="87">
        <v>240</v>
      </c>
      <c r="P695" s="87">
        <v>40</v>
      </c>
      <c r="Q695" s="87">
        <f t="shared" si="108"/>
        <v>315</v>
      </c>
      <c r="R695" s="87">
        <f t="shared" si="109"/>
        <v>100</v>
      </c>
      <c r="S695" s="84">
        <f t="shared" si="110"/>
        <v>695</v>
      </c>
      <c r="T695" s="84">
        <f>50</f>
        <v>50</v>
      </c>
      <c r="U695" s="85"/>
      <c r="V695" s="85"/>
      <c r="W695" s="85"/>
      <c r="X695" s="85"/>
      <c r="Y695" s="85"/>
      <c r="Z695" s="85"/>
      <c r="AA695" s="85"/>
      <c r="AB695" s="85"/>
      <c r="AC695" s="85"/>
      <c r="AD695" s="85"/>
    </row>
    <row r="696" spans="1:30" ht="15.75" x14ac:dyDescent="0.25">
      <c r="A696" s="13">
        <v>62124</v>
      </c>
      <c r="B696" s="96">
        <f t="shared" si="106"/>
        <v>31</v>
      </c>
      <c r="C696" s="84">
        <f>122.58</f>
        <v>122.58</v>
      </c>
      <c r="D696" s="84">
        <f>297.941</f>
        <v>297.94099999999997</v>
      </c>
      <c r="E696" s="93">
        <f>89.177</f>
        <v>89.177000000000007</v>
      </c>
      <c r="F696" s="84">
        <f>240.302-40-60-100</f>
        <v>40.301999999999992</v>
      </c>
      <c r="G696" s="87">
        <v>40</v>
      </c>
      <c r="H696" s="84">
        <f>60+100</f>
        <v>160</v>
      </c>
      <c r="I696" s="84">
        <f t="shared" si="113"/>
        <v>0</v>
      </c>
      <c r="J696" s="87">
        <v>100</v>
      </c>
      <c r="K696" s="87">
        <v>300</v>
      </c>
      <c r="L696" s="84">
        <f t="shared" si="107"/>
        <v>1150</v>
      </c>
      <c r="M696" s="95">
        <v>600</v>
      </c>
      <c r="N696" s="84">
        <f>100</f>
        <v>100</v>
      </c>
      <c r="O696" s="87">
        <v>240</v>
      </c>
      <c r="P696" s="87">
        <v>40</v>
      </c>
      <c r="Q696" s="87">
        <f t="shared" si="108"/>
        <v>315</v>
      </c>
      <c r="R696" s="87">
        <f t="shared" si="109"/>
        <v>100</v>
      </c>
      <c r="S696" s="84">
        <f t="shared" si="110"/>
        <v>695</v>
      </c>
      <c r="T696" s="84">
        <f>50</f>
        <v>50</v>
      </c>
      <c r="U696" s="85"/>
      <c r="V696" s="85"/>
      <c r="W696" s="85"/>
      <c r="X696" s="85"/>
      <c r="Y696" s="85"/>
      <c r="Z696" s="85"/>
      <c r="AA696" s="85"/>
      <c r="AB696" s="85"/>
      <c r="AC696" s="85"/>
      <c r="AD696" s="85"/>
    </row>
    <row r="697" spans="1:30" ht="15.75" x14ac:dyDescent="0.25">
      <c r="A697" s="13">
        <v>62152</v>
      </c>
      <c r="B697" s="96">
        <f t="shared" si="106"/>
        <v>28</v>
      </c>
      <c r="C697" s="84">
        <f>122.58</f>
        <v>122.58</v>
      </c>
      <c r="D697" s="84">
        <f>297.941</f>
        <v>297.94099999999997</v>
      </c>
      <c r="E697" s="93">
        <f>89.177</f>
        <v>89.177000000000007</v>
      </c>
      <c r="F697" s="84">
        <f>240.302-40-60-100</f>
        <v>40.301999999999992</v>
      </c>
      <c r="G697" s="87">
        <v>40</v>
      </c>
      <c r="H697" s="84">
        <f>60+100</f>
        <v>160</v>
      </c>
      <c r="I697" s="84">
        <f t="shared" si="113"/>
        <v>0</v>
      </c>
      <c r="J697" s="87">
        <v>100</v>
      </c>
      <c r="K697" s="87">
        <v>300</v>
      </c>
      <c r="L697" s="84">
        <f t="shared" si="107"/>
        <v>1150</v>
      </c>
      <c r="M697" s="95">
        <v>600</v>
      </c>
      <c r="N697" s="84">
        <f>100</f>
        <v>100</v>
      </c>
      <c r="O697" s="87">
        <v>240</v>
      </c>
      <c r="P697" s="87">
        <v>40</v>
      </c>
      <c r="Q697" s="87">
        <f t="shared" si="108"/>
        <v>315</v>
      </c>
      <c r="R697" s="87">
        <f t="shared" si="109"/>
        <v>100</v>
      </c>
      <c r="S697" s="84">
        <f t="shared" si="110"/>
        <v>695</v>
      </c>
      <c r="T697" s="84">
        <f>50</f>
        <v>50</v>
      </c>
      <c r="U697" s="85"/>
      <c r="V697" s="85"/>
      <c r="W697" s="85"/>
      <c r="X697" s="85"/>
      <c r="Y697" s="85"/>
      <c r="Z697" s="85"/>
      <c r="AA697" s="85"/>
      <c r="AB697" s="85"/>
      <c r="AC697" s="85"/>
      <c r="AD697" s="85"/>
    </row>
    <row r="698" spans="1:30" ht="15.75" x14ac:dyDescent="0.25">
      <c r="A698" s="13">
        <v>62183</v>
      </c>
      <c r="B698" s="96">
        <f t="shared" si="106"/>
        <v>31</v>
      </c>
      <c r="C698" s="84">
        <f>122.58</f>
        <v>122.58</v>
      </c>
      <c r="D698" s="84">
        <f>297.941</f>
        <v>297.94099999999997</v>
      </c>
      <c r="E698" s="93">
        <f>89.177</f>
        <v>89.177000000000007</v>
      </c>
      <c r="F698" s="84">
        <f>240.302-40-60-100</f>
        <v>40.301999999999992</v>
      </c>
      <c r="G698" s="87">
        <v>40</v>
      </c>
      <c r="H698" s="84">
        <f>60+100</f>
        <v>160</v>
      </c>
      <c r="I698" s="84">
        <f t="shared" si="113"/>
        <v>0</v>
      </c>
      <c r="J698" s="87">
        <v>100</v>
      </c>
      <c r="K698" s="87">
        <v>300</v>
      </c>
      <c r="L698" s="84">
        <f t="shared" si="107"/>
        <v>1150</v>
      </c>
      <c r="M698" s="95">
        <v>600</v>
      </c>
      <c r="N698" s="84">
        <f>100</f>
        <v>100</v>
      </c>
      <c r="O698" s="87">
        <v>240</v>
      </c>
      <c r="P698" s="87">
        <v>40</v>
      </c>
      <c r="Q698" s="87">
        <f t="shared" si="108"/>
        <v>315</v>
      </c>
      <c r="R698" s="87">
        <f t="shared" si="109"/>
        <v>100</v>
      </c>
      <c r="S698" s="84">
        <f t="shared" si="110"/>
        <v>695</v>
      </c>
      <c r="T698" s="84">
        <f>50</f>
        <v>50</v>
      </c>
      <c r="U698" s="85"/>
      <c r="V698" s="85"/>
      <c r="W698" s="85"/>
      <c r="X698" s="85"/>
      <c r="Y698" s="85"/>
      <c r="Z698" s="85"/>
      <c r="AA698" s="85"/>
      <c r="AB698" s="85"/>
      <c r="AC698" s="85"/>
      <c r="AD698" s="85"/>
    </row>
    <row r="699" spans="1:30" ht="15.75" x14ac:dyDescent="0.25">
      <c r="A699" s="13">
        <v>62213</v>
      </c>
      <c r="B699" s="96">
        <f t="shared" si="106"/>
        <v>30</v>
      </c>
      <c r="C699" s="84">
        <f>141.293</f>
        <v>141.29300000000001</v>
      </c>
      <c r="D699" s="84">
        <f>267.993</f>
        <v>267.99299999999999</v>
      </c>
      <c r="E699" s="93">
        <f>115.016</f>
        <v>115.01600000000001</v>
      </c>
      <c r="F699" s="84">
        <f>314.698-40-25-60-100</f>
        <v>89.697999999999979</v>
      </c>
      <c r="G699" s="87">
        <v>40</v>
      </c>
      <c r="H699" s="84">
        <f t="shared" ref="H699:H705" si="114">25+60+100</f>
        <v>185</v>
      </c>
      <c r="I699" s="84">
        <f t="shared" si="113"/>
        <v>0</v>
      </c>
      <c r="J699" s="87">
        <v>100</v>
      </c>
      <c r="K699" s="87">
        <v>300</v>
      </c>
      <c r="L699" s="84">
        <f t="shared" si="107"/>
        <v>1239</v>
      </c>
      <c r="M699" s="95">
        <v>600</v>
      </c>
      <c r="N699" s="84">
        <f>100</f>
        <v>100</v>
      </c>
      <c r="O699" s="87">
        <v>240</v>
      </c>
      <c r="P699" s="87">
        <v>40</v>
      </c>
      <c r="Q699" s="87">
        <f t="shared" si="108"/>
        <v>315</v>
      </c>
      <c r="R699" s="87">
        <f t="shared" si="109"/>
        <v>100</v>
      </c>
      <c r="S699" s="84">
        <f t="shared" si="110"/>
        <v>695</v>
      </c>
      <c r="T699" s="84">
        <f>50</f>
        <v>50</v>
      </c>
      <c r="U699" s="85"/>
      <c r="V699" s="85"/>
      <c r="W699" s="85"/>
      <c r="X699" s="85"/>
      <c r="Y699" s="85"/>
      <c r="Z699" s="85"/>
      <c r="AA699" s="85"/>
      <c r="AB699" s="85"/>
      <c r="AC699" s="85"/>
      <c r="AD699" s="85"/>
    </row>
    <row r="700" spans="1:30" ht="15.75" x14ac:dyDescent="0.25">
      <c r="A700" s="13">
        <v>62244</v>
      </c>
      <c r="B700" s="96">
        <f t="shared" si="106"/>
        <v>31</v>
      </c>
      <c r="C700" s="84">
        <f>194.205</f>
        <v>194.20500000000001</v>
      </c>
      <c r="D700" s="84">
        <f>267.466</f>
        <v>267.46600000000001</v>
      </c>
      <c r="E700" s="93">
        <f>133.845</f>
        <v>133.845</v>
      </c>
      <c r="F700" s="84">
        <f>278.484-40-25-60-100</f>
        <v>53.48399999999998</v>
      </c>
      <c r="G700" s="87">
        <v>40</v>
      </c>
      <c r="H700" s="84">
        <f t="shared" si="114"/>
        <v>185</v>
      </c>
      <c r="I700" s="84">
        <f t="shared" si="113"/>
        <v>0</v>
      </c>
      <c r="J700" s="87">
        <v>100</v>
      </c>
      <c r="K700" s="87">
        <v>300</v>
      </c>
      <c r="L700" s="84">
        <f t="shared" si="107"/>
        <v>1274</v>
      </c>
      <c r="M700" s="95">
        <v>600</v>
      </c>
      <c r="N700" s="84">
        <f>75</f>
        <v>75</v>
      </c>
      <c r="O700" s="87">
        <v>240</v>
      </c>
      <c r="P700" s="87">
        <v>40</v>
      </c>
      <c r="Q700" s="87">
        <f t="shared" si="108"/>
        <v>315</v>
      </c>
      <c r="R700" s="87">
        <f t="shared" si="109"/>
        <v>100</v>
      </c>
      <c r="S700" s="84">
        <f t="shared" si="110"/>
        <v>695</v>
      </c>
      <c r="T700" s="84">
        <f>50</f>
        <v>50</v>
      </c>
      <c r="U700" s="85"/>
      <c r="V700" s="85"/>
      <c r="W700" s="85"/>
      <c r="X700" s="85"/>
      <c r="Y700" s="85"/>
      <c r="Z700" s="85"/>
      <c r="AA700" s="85"/>
      <c r="AB700" s="85"/>
      <c r="AC700" s="85"/>
      <c r="AD700" s="85"/>
    </row>
    <row r="701" spans="1:30" ht="15.75" x14ac:dyDescent="0.25">
      <c r="A701" s="13">
        <v>62274</v>
      </c>
      <c r="B701" s="96">
        <f t="shared" si="106"/>
        <v>30</v>
      </c>
      <c r="C701" s="84">
        <f>194.205</f>
        <v>194.20500000000001</v>
      </c>
      <c r="D701" s="84">
        <f>267.466</f>
        <v>267.46600000000001</v>
      </c>
      <c r="E701" s="93">
        <f>133.845</f>
        <v>133.845</v>
      </c>
      <c r="F701" s="84">
        <f>278.484-40-25-60-100</f>
        <v>53.48399999999998</v>
      </c>
      <c r="G701" s="87">
        <v>40</v>
      </c>
      <c r="H701" s="84">
        <f t="shared" si="114"/>
        <v>185</v>
      </c>
      <c r="I701" s="84">
        <f t="shared" si="113"/>
        <v>0</v>
      </c>
      <c r="J701" s="87">
        <v>100</v>
      </c>
      <c r="K701" s="87">
        <v>300</v>
      </c>
      <c r="L701" s="84">
        <f t="shared" si="107"/>
        <v>1274</v>
      </c>
      <c r="M701" s="95">
        <v>600</v>
      </c>
      <c r="N701" s="84">
        <f>30</f>
        <v>30</v>
      </c>
      <c r="O701" s="87">
        <v>240</v>
      </c>
      <c r="P701" s="87">
        <v>40</v>
      </c>
      <c r="Q701" s="87">
        <f t="shared" si="108"/>
        <v>315</v>
      </c>
      <c r="R701" s="87">
        <f t="shared" si="109"/>
        <v>100</v>
      </c>
      <c r="S701" s="84">
        <f t="shared" si="110"/>
        <v>695</v>
      </c>
      <c r="T701" s="84">
        <f>50</f>
        <v>50</v>
      </c>
      <c r="U701" s="85"/>
      <c r="V701" s="85"/>
      <c r="W701" s="85"/>
      <c r="X701" s="85"/>
      <c r="Y701" s="85"/>
      <c r="Z701" s="85"/>
      <c r="AA701" s="85"/>
      <c r="AB701" s="85"/>
      <c r="AC701" s="85"/>
      <c r="AD701" s="85"/>
    </row>
    <row r="702" spans="1:30" ht="15.75" x14ac:dyDescent="0.25">
      <c r="A702" s="13">
        <v>62305</v>
      </c>
      <c r="B702" s="96">
        <f t="shared" si="106"/>
        <v>31</v>
      </c>
      <c r="C702" s="84">
        <f>194.205</f>
        <v>194.20500000000001</v>
      </c>
      <c r="D702" s="84">
        <f>267.466</f>
        <v>267.46600000000001</v>
      </c>
      <c r="E702" s="93">
        <f>133.845</f>
        <v>133.845</v>
      </c>
      <c r="F702" s="84">
        <f>278.484-40-25-60-100</f>
        <v>53.48399999999998</v>
      </c>
      <c r="G702" s="87">
        <v>40</v>
      </c>
      <c r="H702" s="84">
        <f t="shared" si="114"/>
        <v>185</v>
      </c>
      <c r="I702" s="84">
        <f t="shared" si="113"/>
        <v>0</v>
      </c>
      <c r="J702" s="87">
        <v>100</v>
      </c>
      <c r="K702" s="87">
        <v>300</v>
      </c>
      <c r="L702" s="84">
        <f t="shared" si="107"/>
        <v>1274</v>
      </c>
      <c r="M702" s="95">
        <v>600</v>
      </c>
      <c r="N702" s="84">
        <f>30</f>
        <v>30</v>
      </c>
      <c r="O702" s="87">
        <v>240</v>
      </c>
      <c r="P702" s="87">
        <v>40</v>
      </c>
      <c r="Q702" s="87">
        <f t="shared" si="108"/>
        <v>315</v>
      </c>
      <c r="R702" s="87">
        <f t="shared" si="109"/>
        <v>100</v>
      </c>
      <c r="S702" s="84">
        <f t="shared" si="110"/>
        <v>695</v>
      </c>
      <c r="T702" s="84">
        <f>0</f>
        <v>0</v>
      </c>
      <c r="U702" s="85"/>
      <c r="V702" s="85"/>
      <c r="W702" s="85"/>
      <c r="X702" s="85"/>
      <c r="Y702" s="85"/>
      <c r="Z702" s="85"/>
      <c r="AA702" s="85"/>
      <c r="AB702" s="85"/>
      <c r="AC702" s="85"/>
      <c r="AD702" s="85"/>
    </row>
    <row r="703" spans="1:30" ht="15.75" x14ac:dyDescent="0.25">
      <c r="A703" s="13">
        <v>62336</v>
      </c>
      <c r="B703" s="96">
        <f t="shared" si="106"/>
        <v>31</v>
      </c>
      <c r="C703" s="84">
        <f>194.205</f>
        <v>194.20500000000001</v>
      </c>
      <c r="D703" s="84">
        <f>267.466</f>
        <v>267.46600000000001</v>
      </c>
      <c r="E703" s="93">
        <f>133.845</f>
        <v>133.845</v>
      </c>
      <c r="F703" s="84">
        <f>278.484-40-25-60-100</f>
        <v>53.48399999999998</v>
      </c>
      <c r="G703" s="87">
        <v>40</v>
      </c>
      <c r="H703" s="84">
        <f t="shared" si="114"/>
        <v>185</v>
      </c>
      <c r="I703" s="84">
        <f t="shared" si="113"/>
        <v>0</v>
      </c>
      <c r="J703" s="87">
        <v>100</v>
      </c>
      <c r="K703" s="87">
        <v>300</v>
      </c>
      <c r="L703" s="84">
        <f t="shared" si="107"/>
        <v>1274</v>
      </c>
      <c r="M703" s="95">
        <v>600</v>
      </c>
      <c r="N703" s="84">
        <f>30</f>
        <v>30</v>
      </c>
      <c r="O703" s="87">
        <v>240</v>
      </c>
      <c r="P703" s="87">
        <v>40</v>
      </c>
      <c r="Q703" s="87">
        <f t="shared" si="108"/>
        <v>315</v>
      </c>
      <c r="R703" s="87">
        <f t="shared" si="109"/>
        <v>100</v>
      </c>
      <c r="S703" s="84">
        <f t="shared" si="110"/>
        <v>695</v>
      </c>
      <c r="T703" s="84">
        <f>0</f>
        <v>0</v>
      </c>
      <c r="U703" s="85"/>
      <c r="V703" s="85"/>
      <c r="W703" s="85"/>
      <c r="X703" s="85"/>
      <c r="Y703" s="85"/>
      <c r="Z703" s="85"/>
      <c r="AA703" s="85"/>
      <c r="AB703" s="85"/>
      <c r="AC703" s="85"/>
      <c r="AD703" s="85"/>
    </row>
    <row r="704" spans="1:30" ht="15.75" x14ac:dyDescent="0.25">
      <c r="A704" s="13">
        <v>62366</v>
      </c>
      <c r="B704" s="96">
        <f t="shared" si="106"/>
        <v>30</v>
      </c>
      <c r="C704" s="84">
        <f>194.205</f>
        <v>194.20500000000001</v>
      </c>
      <c r="D704" s="84">
        <f>267.466</f>
        <v>267.46600000000001</v>
      </c>
      <c r="E704" s="93">
        <f>133.845</f>
        <v>133.845</v>
      </c>
      <c r="F704" s="84">
        <f>278.484-40-25-60-100</f>
        <v>53.48399999999998</v>
      </c>
      <c r="G704" s="87">
        <v>40</v>
      </c>
      <c r="H704" s="84">
        <f t="shared" si="114"/>
        <v>185</v>
      </c>
      <c r="I704" s="84">
        <f t="shared" si="113"/>
        <v>0</v>
      </c>
      <c r="J704" s="87">
        <v>100</v>
      </c>
      <c r="K704" s="87">
        <v>300</v>
      </c>
      <c r="L704" s="84">
        <f t="shared" si="107"/>
        <v>1274</v>
      </c>
      <c r="M704" s="95">
        <v>600</v>
      </c>
      <c r="N704" s="84">
        <f>30</f>
        <v>30</v>
      </c>
      <c r="O704" s="87">
        <v>240</v>
      </c>
      <c r="P704" s="87">
        <v>40</v>
      </c>
      <c r="Q704" s="87">
        <f t="shared" si="108"/>
        <v>315</v>
      </c>
      <c r="R704" s="87">
        <f t="shared" si="109"/>
        <v>100</v>
      </c>
      <c r="S704" s="84">
        <f t="shared" si="110"/>
        <v>695</v>
      </c>
      <c r="T704" s="84">
        <f>0</f>
        <v>0</v>
      </c>
      <c r="U704" s="85"/>
      <c r="V704" s="85"/>
      <c r="W704" s="85"/>
      <c r="X704" s="85"/>
      <c r="Y704" s="85"/>
      <c r="Z704" s="85"/>
      <c r="AA704" s="85"/>
      <c r="AB704" s="85"/>
      <c r="AC704" s="85"/>
      <c r="AD704" s="85"/>
    </row>
    <row r="705" spans="1:30" ht="15.75" x14ac:dyDescent="0.25">
      <c r="A705" s="13">
        <v>62397</v>
      </c>
      <c r="B705" s="96">
        <f t="shared" si="106"/>
        <v>31</v>
      </c>
      <c r="C705" s="84">
        <f>131.881</f>
        <v>131.881</v>
      </c>
      <c r="D705" s="84">
        <f>277.167</f>
        <v>277.16699999999997</v>
      </c>
      <c r="E705" s="93">
        <f>79.08</f>
        <v>79.08</v>
      </c>
      <c r="F705" s="84">
        <f>350.872-40-25-60-100</f>
        <v>125.87200000000001</v>
      </c>
      <c r="G705" s="87">
        <v>40</v>
      </c>
      <c r="H705" s="84">
        <f t="shared" si="114"/>
        <v>185</v>
      </c>
      <c r="I705" s="84">
        <f t="shared" si="113"/>
        <v>0</v>
      </c>
      <c r="J705" s="87">
        <v>100</v>
      </c>
      <c r="K705" s="87">
        <v>300</v>
      </c>
      <c r="L705" s="84">
        <f t="shared" si="107"/>
        <v>1239</v>
      </c>
      <c r="M705" s="95">
        <v>600</v>
      </c>
      <c r="N705" s="84">
        <f>75</f>
        <v>75</v>
      </c>
      <c r="O705" s="87">
        <v>240</v>
      </c>
      <c r="P705" s="87">
        <v>40</v>
      </c>
      <c r="Q705" s="87">
        <f t="shared" si="108"/>
        <v>315</v>
      </c>
      <c r="R705" s="87">
        <f t="shared" si="109"/>
        <v>100</v>
      </c>
      <c r="S705" s="84">
        <f t="shared" si="110"/>
        <v>695</v>
      </c>
      <c r="T705" s="84">
        <f>0</f>
        <v>0</v>
      </c>
      <c r="U705" s="85"/>
      <c r="V705" s="85"/>
      <c r="W705" s="85"/>
      <c r="X705" s="85"/>
      <c r="Y705" s="85"/>
      <c r="Z705" s="85"/>
      <c r="AA705" s="85"/>
      <c r="AB705" s="85"/>
      <c r="AC705" s="85"/>
      <c r="AD705" s="85"/>
    </row>
    <row r="706" spans="1:30" ht="15.75" x14ac:dyDescent="0.25">
      <c r="A706" s="13">
        <v>62427</v>
      </c>
      <c r="B706" s="96">
        <f t="shared" si="106"/>
        <v>30</v>
      </c>
      <c r="C706" s="84">
        <f>122.58</f>
        <v>122.58</v>
      </c>
      <c r="D706" s="84">
        <f>297.941</f>
        <v>297.94099999999997</v>
      </c>
      <c r="E706" s="93">
        <f>89.177</f>
        <v>89.177000000000007</v>
      </c>
      <c r="F706" s="84">
        <f>240.302-40-60-100</f>
        <v>40.301999999999992</v>
      </c>
      <c r="G706" s="87">
        <v>40</v>
      </c>
      <c r="H706" s="84">
        <f>60+100</f>
        <v>160</v>
      </c>
      <c r="I706" s="84">
        <f t="shared" si="113"/>
        <v>0</v>
      </c>
      <c r="J706" s="87">
        <v>100</v>
      </c>
      <c r="K706" s="87">
        <v>300</v>
      </c>
      <c r="L706" s="84">
        <f t="shared" si="107"/>
        <v>1150</v>
      </c>
      <c r="M706" s="95">
        <v>600</v>
      </c>
      <c r="N706" s="84">
        <f>100</f>
        <v>100</v>
      </c>
      <c r="O706" s="87">
        <v>240</v>
      </c>
      <c r="P706" s="87">
        <v>40</v>
      </c>
      <c r="Q706" s="87">
        <f t="shared" si="108"/>
        <v>315</v>
      </c>
      <c r="R706" s="87">
        <f t="shared" si="109"/>
        <v>100</v>
      </c>
      <c r="S706" s="84">
        <f t="shared" si="110"/>
        <v>695</v>
      </c>
      <c r="T706" s="84">
        <f>50</f>
        <v>50</v>
      </c>
      <c r="U706" s="85"/>
      <c r="V706" s="85"/>
      <c r="W706" s="85"/>
      <c r="X706" s="85"/>
      <c r="Y706" s="85"/>
      <c r="Z706" s="85"/>
      <c r="AA706" s="85"/>
      <c r="AB706" s="85"/>
      <c r="AC706" s="85"/>
      <c r="AD706" s="85"/>
    </row>
    <row r="707" spans="1:30" ht="15.75" x14ac:dyDescent="0.25">
      <c r="A707" s="13">
        <v>62458</v>
      </c>
      <c r="B707" s="96">
        <f t="shared" si="106"/>
        <v>31</v>
      </c>
      <c r="C707" s="84">
        <f>122.58</f>
        <v>122.58</v>
      </c>
      <c r="D707" s="84">
        <f>297.941</f>
        <v>297.94099999999997</v>
      </c>
      <c r="E707" s="93">
        <f>89.177</f>
        <v>89.177000000000007</v>
      </c>
      <c r="F707" s="84">
        <f>240.302-40-60-100</f>
        <v>40.301999999999992</v>
      </c>
      <c r="G707" s="87">
        <v>40</v>
      </c>
      <c r="H707" s="84">
        <f>60+100</f>
        <v>160</v>
      </c>
      <c r="I707" s="84">
        <f t="shared" si="113"/>
        <v>0</v>
      </c>
      <c r="J707" s="87">
        <v>100</v>
      </c>
      <c r="K707" s="87">
        <v>300</v>
      </c>
      <c r="L707" s="84">
        <f t="shared" si="107"/>
        <v>1150</v>
      </c>
      <c r="M707" s="95">
        <v>600</v>
      </c>
      <c r="N707" s="84">
        <f>100</f>
        <v>100</v>
      </c>
      <c r="O707" s="87">
        <v>240</v>
      </c>
      <c r="P707" s="87">
        <v>40</v>
      </c>
      <c r="Q707" s="87">
        <f t="shared" si="108"/>
        <v>315</v>
      </c>
      <c r="R707" s="87">
        <f t="shared" si="109"/>
        <v>100</v>
      </c>
      <c r="S707" s="84">
        <f t="shared" si="110"/>
        <v>695</v>
      </c>
      <c r="T707" s="84">
        <f>50</f>
        <v>50</v>
      </c>
      <c r="U707" s="85"/>
      <c r="V707" s="85"/>
      <c r="W707" s="85"/>
      <c r="X707" s="85"/>
      <c r="Y707" s="85"/>
      <c r="Z707" s="85"/>
      <c r="AA707" s="85"/>
      <c r="AB707" s="85"/>
      <c r="AC707" s="85"/>
      <c r="AD707" s="85"/>
    </row>
    <row r="708" spans="1:30" ht="15.75" x14ac:dyDescent="0.25">
      <c r="A708" s="13">
        <v>62489</v>
      </c>
      <c r="B708" s="96">
        <f t="shared" si="106"/>
        <v>31</v>
      </c>
      <c r="C708" s="84">
        <f>122.58</f>
        <v>122.58</v>
      </c>
      <c r="D708" s="84">
        <f>297.941</f>
        <v>297.94099999999997</v>
      </c>
      <c r="E708" s="93">
        <f>89.177</f>
        <v>89.177000000000007</v>
      </c>
      <c r="F708" s="84">
        <f>240.302-40-60-100</f>
        <v>40.301999999999992</v>
      </c>
      <c r="G708" s="87">
        <v>40</v>
      </c>
      <c r="H708" s="84">
        <f>60+100</f>
        <v>160</v>
      </c>
      <c r="I708" s="84">
        <f t="shared" si="113"/>
        <v>0</v>
      </c>
      <c r="J708" s="87">
        <v>100</v>
      </c>
      <c r="K708" s="87">
        <v>300</v>
      </c>
      <c r="L708" s="84">
        <f t="shared" si="107"/>
        <v>1150</v>
      </c>
      <c r="M708" s="95">
        <v>600</v>
      </c>
      <c r="N708" s="84">
        <f>100</f>
        <v>100</v>
      </c>
      <c r="O708" s="87">
        <v>240</v>
      </c>
      <c r="P708" s="87">
        <v>40</v>
      </c>
      <c r="Q708" s="87">
        <f t="shared" si="108"/>
        <v>315</v>
      </c>
      <c r="R708" s="87">
        <f t="shared" si="109"/>
        <v>100</v>
      </c>
      <c r="S708" s="84">
        <f t="shared" si="110"/>
        <v>695</v>
      </c>
      <c r="T708" s="84">
        <f>50</f>
        <v>50</v>
      </c>
      <c r="U708" s="85"/>
      <c r="V708" s="85"/>
      <c r="W708" s="85"/>
      <c r="X708" s="85"/>
      <c r="Y708" s="85"/>
      <c r="Z708" s="85"/>
      <c r="AA708" s="85"/>
      <c r="AB708" s="85"/>
      <c r="AC708" s="85"/>
      <c r="AD708" s="85"/>
    </row>
    <row r="709" spans="1:30" ht="15.75" x14ac:dyDescent="0.25">
      <c r="A709" s="13">
        <v>62517</v>
      </c>
      <c r="B709" s="96">
        <f t="shared" si="106"/>
        <v>28</v>
      </c>
      <c r="C709" s="84">
        <f>122.58</f>
        <v>122.58</v>
      </c>
      <c r="D709" s="84">
        <f>297.941</f>
        <v>297.94099999999997</v>
      </c>
      <c r="E709" s="93">
        <f>89.177</f>
        <v>89.177000000000007</v>
      </c>
      <c r="F709" s="84">
        <f>240.302-40-60-100</f>
        <v>40.301999999999992</v>
      </c>
      <c r="G709" s="87">
        <v>40</v>
      </c>
      <c r="H709" s="84">
        <f>60+100</f>
        <v>160</v>
      </c>
      <c r="I709" s="84">
        <f t="shared" si="113"/>
        <v>0</v>
      </c>
      <c r="J709" s="87">
        <v>100</v>
      </c>
      <c r="K709" s="87">
        <v>300</v>
      </c>
      <c r="L709" s="84">
        <f t="shared" si="107"/>
        <v>1150</v>
      </c>
      <c r="M709" s="95">
        <v>600</v>
      </c>
      <c r="N709" s="84">
        <f>100</f>
        <v>100</v>
      </c>
      <c r="O709" s="87">
        <v>240</v>
      </c>
      <c r="P709" s="87">
        <v>40</v>
      </c>
      <c r="Q709" s="87">
        <f t="shared" si="108"/>
        <v>315</v>
      </c>
      <c r="R709" s="87">
        <f t="shared" si="109"/>
        <v>100</v>
      </c>
      <c r="S709" s="84">
        <f t="shared" si="110"/>
        <v>695</v>
      </c>
      <c r="T709" s="84">
        <f>50</f>
        <v>50</v>
      </c>
      <c r="U709" s="85"/>
      <c r="V709" s="85"/>
      <c r="W709" s="85"/>
      <c r="X709" s="85"/>
      <c r="Y709" s="85"/>
      <c r="Z709" s="85"/>
      <c r="AA709" s="85"/>
      <c r="AB709" s="85"/>
      <c r="AC709" s="85"/>
      <c r="AD709" s="85"/>
    </row>
    <row r="710" spans="1:30" ht="15.75" x14ac:dyDescent="0.25">
      <c r="A710" s="13">
        <v>62548</v>
      </c>
      <c r="B710" s="96">
        <f t="shared" si="106"/>
        <v>31</v>
      </c>
      <c r="C710" s="84">
        <f>122.58</f>
        <v>122.58</v>
      </c>
      <c r="D710" s="84">
        <f>297.941</f>
        <v>297.94099999999997</v>
      </c>
      <c r="E710" s="93">
        <f>89.177</f>
        <v>89.177000000000007</v>
      </c>
      <c r="F710" s="84">
        <f>240.302-40-60-100</f>
        <v>40.301999999999992</v>
      </c>
      <c r="G710" s="87">
        <v>40</v>
      </c>
      <c r="H710" s="84">
        <f>60+100</f>
        <v>160</v>
      </c>
      <c r="I710" s="84">
        <f t="shared" si="113"/>
        <v>0</v>
      </c>
      <c r="J710" s="87">
        <v>100</v>
      </c>
      <c r="K710" s="87">
        <v>300</v>
      </c>
      <c r="L710" s="84">
        <f t="shared" si="107"/>
        <v>1150</v>
      </c>
      <c r="M710" s="95">
        <v>600</v>
      </c>
      <c r="N710" s="84">
        <f>100</f>
        <v>100</v>
      </c>
      <c r="O710" s="87">
        <v>240</v>
      </c>
      <c r="P710" s="87">
        <v>40</v>
      </c>
      <c r="Q710" s="87">
        <f t="shared" si="108"/>
        <v>315</v>
      </c>
      <c r="R710" s="87">
        <f t="shared" si="109"/>
        <v>100</v>
      </c>
      <c r="S710" s="84">
        <f t="shared" si="110"/>
        <v>695</v>
      </c>
      <c r="T710" s="84">
        <f>50</f>
        <v>50</v>
      </c>
      <c r="U710" s="85"/>
      <c r="V710" s="85"/>
      <c r="W710" s="85"/>
      <c r="X710" s="85"/>
      <c r="Y710" s="85"/>
      <c r="Z710" s="85"/>
      <c r="AA710" s="85"/>
      <c r="AB710" s="85"/>
      <c r="AC710" s="85"/>
      <c r="AD710" s="85"/>
    </row>
    <row r="711" spans="1:30" ht="15.75" x14ac:dyDescent="0.25">
      <c r="A711" s="13">
        <v>62578</v>
      </c>
      <c r="B711" s="96">
        <f t="shared" si="106"/>
        <v>30</v>
      </c>
      <c r="C711" s="84">
        <f>141.293</f>
        <v>141.29300000000001</v>
      </c>
      <c r="D711" s="84">
        <f>267.993</f>
        <v>267.99299999999999</v>
      </c>
      <c r="E711" s="93">
        <f>115.016</f>
        <v>115.01600000000001</v>
      </c>
      <c r="F711" s="84">
        <f>314.698-40-25-60-100</f>
        <v>89.697999999999979</v>
      </c>
      <c r="G711" s="87">
        <v>40</v>
      </c>
      <c r="H711" s="84">
        <f t="shared" ref="H711:H717" si="115">25+60+100</f>
        <v>185</v>
      </c>
      <c r="I711" s="84">
        <f t="shared" si="113"/>
        <v>0</v>
      </c>
      <c r="J711" s="87">
        <v>100</v>
      </c>
      <c r="K711" s="87">
        <v>300</v>
      </c>
      <c r="L711" s="84">
        <f t="shared" si="107"/>
        <v>1239</v>
      </c>
      <c r="M711" s="95">
        <v>600</v>
      </c>
      <c r="N711" s="84">
        <f>100</f>
        <v>100</v>
      </c>
      <c r="O711" s="87">
        <v>240</v>
      </c>
      <c r="P711" s="87">
        <v>40</v>
      </c>
      <c r="Q711" s="87">
        <f t="shared" si="108"/>
        <v>315</v>
      </c>
      <c r="R711" s="87">
        <f t="shared" si="109"/>
        <v>100</v>
      </c>
      <c r="S711" s="84">
        <f t="shared" si="110"/>
        <v>695</v>
      </c>
      <c r="T711" s="84">
        <f>50</f>
        <v>50</v>
      </c>
      <c r="U711" s="85"/>
      <c r="V711" s="85"/>
      <c r="W711" s="85"/>
      <c r="X711" s="85"/>
      <c r="Y711" s="85"/>
      <c r="Z711" s="85"/>
      <c r="AA711" s="85"/>
      <c r="AB711" s="85"/>
      <c r="AC711" s="85"/>
      <c r="AD711" s="85"/>
    </row>
    <row r="712" spans="1:30" ht="15.75" x14ac:dyDescent="0.25">
      <c r="A712" s="13">
        <v>62609</v>
      </c>
      <c r="B712" s="96">
        <f t="shared" si="106"/>
        <v>31</v>
      </c>
      <c r="C712" s="84">
        <f>194.205</f>
        <v>194.20500000000001</v>
      </c>
      <c r="D712" s="84">
        <f>267.466</f>
        <v>267.46600000000001</v>
      </c>
      <c r="E712" s="93">
        <f>133.845</f>
        <v>133.845</v>
      </c>
      <c r="F712" s="84">
        <f>278.484-40-25-60-100</f>
        <v>53.48399999999998</v>
      </c>
      <c r="G712" s="87">
        <v>40</v>
      </c>
      <c r="H712" s="84">
        <f t="shared" si="115"/>
        <v>185</v>
      </c>
      <c r="I712" s="84">
        <f t="shared" si="113"/>
        <v>0</v>
      </c>
      <c r="J712" s="87">
        <v>100</v>
      </c>
      <c r="K712" s="87">
        <v>300</v>
      </c>
      <c r="L712" s="84">
        <f t="shared" si="107"/>
        <v>1274</v>
      </c>
      <c r="M712" s="95">
        <v>600</v>
      </c>
      <c r="N712" s="84">
        <f>75</f>
        <v>75</v>
      </c>
      <c r="O712" s="87">
        <v>240</v>
      </c>
      <c r="P712" s="87">
        <v>40</v>
      </c>
      <c r="Q712" s="87">
        <f t="shared" si="108"/>
        <v>315</v>
      </c>
      <c r="R712" s="87">
        <f t="shared" si="109"/>
        <v>100</v>
      </c>
      <c r="S712" s="84">
        <f t="shared" si="110"/>
        <v>695</v>
      </c>
      <c r="T712" s="84">
        <f>50</f>
        <v>50</v>
      </c>
      <c r="U712" s="85"/>
      <c r="V712" s="85"/>
      <c r="W712" s="85"/>
      <c r="X712" s="85"/>
      <c r="Y712" s="85"/>
      <c r="Z712" s="85"/>
      <c r="AA712" s="85"/>
      <c r="AB712" s="85"/>
      <c r="AC712" s="85"/>
      <c r="AD712" s="85"/>
    </row>
    <row r="713" spans="1:30" ht="15.75" x14ac:dyDescent="0.25">
      <c r="A713" s="13">
        <v>62639</v>
      </c>
      <c r="B713" s="96">
        <f t="shared" si="106"/>
        <v>30</v>
      </c>
      <c r="C713" s="84">
        <f>194.205</f>
        <v>194.20500000000001</v>
      </c>
      <c r="D713" s="84">
        <f>267.466</f>
        <v>267.46600000000001</v>
      </c>
      <c r="E713" s="93">
        <f>133.845</f>
        <v>133.845</v>
      </c>
      <c r="F713" s="84">
        <f>278.484-40-25-60-100</f>
        <v>53.48399999999998</v>
      </c>
      <c r="G713" s="87">
        <v>40</v>
      </c>
      <c r="H713" s="84">
        <f t="shared" si="115"/>
        <v>185</v>
      </c>
      <c r="I713" s="84">
        <f t="shared" si="113"/>
        <v>0</v>
      </c>
      <c r="J713" s="87">
        <v>100</v>
      </c>
      <c r="K713" s="87">
        <v>300</v>
      </c>
      <c r="L713" s="84">
        <f t="shared" si="107"/>
        <v>1274</v>
      </c>
      <c r="M713" s="95">
        <v>600</v>
      </c>
      <c r="N713" s="84">
        <f>30</f>
        <v>30</v>
      </c>
      <c r="O713" s="87">
        <v>240</v>
      </c>
      <c r="P713" s="87">
        <v>40</v>
      </c>
      <c r="Q713" s="87">
        <f t="shared" si="108"/>
        <v>315</v>
      </c>
      <c r="R713" s="87">
        <f t="shared" si="109"/>
        <v>100</v>
      </c>
      <c r="S713" s="84">
        <f t="shared" si="110"/>
        <v>695</v>
      </c>
      <c r="T713" s="84">
        <f>50</f>
        <v>50</v>
      </c>
      <c r="U713" s="85"/>
      <c r="V713" s="85"/>
      <c r="W713" s="85"/>
      <c r="X713" s="85"/>
      <c r="Y713" s="85"/>
      <c r="Z713" s="85"/>
      <c r="AA713" s="85"/>
      <c r="AB713" s="85"/>
      <c r="AC713" s="85"/>
      <c r="AD713" s="85"/>
    </row>
    <row r="714" spans="1:30" ht="15.75" x14ac:dyDescent="0.25">
      <c r="A714" s="13">
        <v>62670</v>
      </c>
      <c r="B714" s="96">
        <f t="shared" si="106"/>
        <v>31</v>
      </c>
      <c r="C714" s="84">
        <f>194.205</f>
        <v>194.20500000000001</v>
      </c>
      <c r="D714" s="84">
        <f>267.466</f>
        <v>267.46600000000001</v>
      </c>
      <c r="E714" s="93">
        <f>133.845</f>
        <v>133.845</v>
      </c>
      <c r="F714" s="84">
        <f>278.484-40-25-60-100</f>
        <v>53.48399999999998</v>
      </c>
      <c r="G714" s="87">
        <v>40</v>
      </c>
      <c r="H714" s="84">
        <f t="shared" si="115"/>
        <v>185</v>
      </c>
      <c r="I714" s="84">
        <f t="shared" si="113"/>
        <v>0</v>
      </c>
      <c r="J714" s="87">
        <v>100</v>
      </c>
      <c r="K714" s="87">
        <v>300</v>
      </c>
      <c r="L714" s="84">
        <f t="shared" si="107"/>
        <v>1274</v>
      </c>
      <c r="M714" s="95">
        <v>600</v>
      </c>
      <c r="N714" s="84">
        <f>30</f>
        <v>30</v>
      </c>
      <c r="O714" s="87">
        <v>240</v>
      </c>
      <c r="P714" s="87">
        <v>40</v>
      </c>
      <c r="Q714" s="87">
        <f t="shared" si="108"/>
        <v>315</v>
      </c>
      <c r="R714" s="87">
        <f t="shared" si="109"/>
        <v>100</v>
      </c>
      <c r="S714" s="84">
        <f t="shared" si="110"/>
        <v>695</v>
      </c>
      <c r="T714" s="84">
        <f>0</f>
        <v>0</v>
      </c>
      <c r="U714" s="85"/>
      <c r="V714" s="85"/>
      <c r="W714" s="85"/>
      <c r="X714" s="85"/>
      <c r="Y714" s="85"/>
      <c r="Z714" s="85"/>
      <c r="AA714" s="85"/>
      <c r="AB714" s="85"/>
      <c r="AC714" s="85"/>
      <c r="AD714" s="85"/>
    </row>
    <row r="715" spans="1:30" ht="15.75" x14ac:dyDescent="0.25">
      <c r="A715" s="13">
        <v>62701</v>
      </c>
      <c r="B715" s="96">
        <f t="shared" si="106"/>
        <v>31</v>
      </c>
      <c r="C715" s="84">
        <f>194.205</f>
        <v>194.20500000000001</v>
      </c>
      <c r="D715" s="84">
        <f>267.466</f>
        <v>267.46600000000001</v>
      </c>
      <c r="E715" s="93">
        <f>133.845</f>
        <v>133.845</v>
      </c>
      <c r="F715" s="84">
        <f>278.484-40-25-60-100</f>
        <v>53.48399999999998</v>
      </c>
      <c r="G715" s="87">
        <v>40</v>
      </c>
      <c r="H715" s="84">
        <f t="shared" si="115"/>
        <v>185</v>
      </c>
      <c r="I715" s="84">
        <f t="shared" si="113"/>
        <v>0</v>
      </c>
      <c r="J715" s="87">
        <v>100</v>
      </c>
      <c r="K715" s="87">
        <v>300</v>
      </c>
      <c r="L715" s="84">
        <f t="shared" si="107"/>
        <v>1274</v>
      </c>
      <c r="M715" s="95">
        <v>600</v>
      </c>
      <c r="N715" s="84">
        <f>30</f>
        <v>30</v>
      </c>
      <c r="O715" s="87">
        <v>240</v>
      </c>
      <c r="P715" s="87">
        <v>40</v>
      </c>
      <c r="Q715" s="87">
        <f t="shared" si="108"/>
        <v>315</v>
      </c>
      <c r="R715" s="87">
        <f t="shared" si="109"/>
        <v>100</v>
      </c>
      <c r="S715" s="84">
        <f t="shared" si="110"/>
        <v>695</v>
      </c>
      <c r="T715" s="84">
        <f>0</f>
        <v>0</v>
      </c>
      <c r="U715" s="85"/>
      <c r="V715" s="85"/>
      <c r="W715" s="85"/>
      <c r="X715" s="85"/>
      <c r="Y715" s="85"/>
      <c r="Z715" s="85"/>
      <c r="AA715" s="85"/>
      <c r="AB715" s="85"/>
      <c r="AC715" s="85"/>
      <c r="AD715" s="85"/>
    </row>
    <row r="716" spans="1:30" ht="15.75" x14ac:dyDescent="0.25">
      <c r="A716" s="13">
        <v>62731</v>
      </c>
      <c r="B716" s="96">
        <f t="shared" si="106"/>
        <v>30</v>
      </c>
      <c r="C716" s="84">
        <f>194.205</f>
        <v>194.20500000000001</v>
      </c>
      <c r="D716" s="84">
        <f>267.466</f>
        <v>267.46600000000001</v>
      </c>
      <c r="E716" s="93">
        <f>133.845</f>
        <v>133.845</v>
      </c>
      <c r="F716" s="84">
        <f>278.484-40-25-60-100</f>
        <v>53.48399999999998</v>
      </c>
      <c r="G716" s="87">
        <v>40</v>
      </c>
      <c r="H716" s="84">
        <f t="shared" si="115"/>
        <v>185</v>
      </c>
      <c r="I716" s="84">
        <f t="shared" si="113"/>
        <v>0</v>
      </c>
      <c r="J716" s="87">
        <v>100</v>
      </c>
      <c r="K716" s="87">
        <v>300</v>
      </c>
      <c r="L716" s="84">
        <f t="shared" si="107"/>
        <v>1274</v>
      </c>
      <c r="M716" s="95">
        <v>600</v>
      </c>
      <c r="N716" s="84">
        <f>30</f>
        <v>30</v>
      </c>
      <c r="O716" s="87">
        <v>240</v>
      </c>
      <c r="P716" s="87">
        <v>40</v>
      </c>
      <c r="Q716" s="87">
        <f t="shared" si="108"/>
        <v>315</v>
      </c>
      <c r="R716" s="87">
        <f t="shared" si="109"/>
        <v>100</v>
      </c>
      <c r="S716" s="84">
        <f t="shared" si="110"/>
        <v>695</v>
      </c>
      <c r="T716" s="84">
        <f>0</f>
        <v>0</v>
      </c>
      <c r="U716" s="85"/>
      <c r="V716" s="85"/>
      <c r="W716" s="85"/>
      <c r="X716" s="85"/>
      <c r="Y716" s="85"/>
      <c r="Z716" s="85"/>
      <c r="AA716" s="85"/>
      <c r="AB716" s="85"/>
      <c r="AC716" s="85"/>
      <c r="AD716" s="85"/>
    </row>
    <row r="717" spans="1:30" ht="15.75" x14ac:dyDescent="0.25">
      <c r="A717" s="13">
        <v>62762</v>
      </c>
      <c r="B717" s="96">
        <f t="shared" si="106"/>
        <v>31</v>
      </c>
      <c r="C717" s="84">
        <f>131.881</f>
        <v>131.881</v>
      </c>
      <c r="D717" s="84">
        <f>277.167</f>
        <v>277.16699999999997</v>
      </c>
      <c r="E717" s="93">
        <f>79.08</f>
        <v>79.08</v>
      </c>
      <c r="F717" s="84">
        <f>350.872-40-25-60-100</f>
        <v>125.87200000000001</v>
      </c>
      <c r="G717" s="87">
        <v>40</v>
      </c>
      <c r="H717" s="84">
        <f t="shared" si="115"/>
        <v>185</v>
      </c>
      <c r="I717" s="84">
        <f t="shared" si="113"/>
        <v>0</v>
      </c>
      <c r="J717" s="87">
        <v>100</v>
      </c>
      <c r="K717" s="87">
        <v>300</v>
      </c>
      <c r="L717" s="84">
        <f t="shared" si="107"/>
        <v>1239</v>
      </c>
      <c r="M717" s="95">
        <v>600</v>
      </c>
      <c r="N717" s="84">
        <f>75</f>
        <v>75</v>
      </c>
      <c r="O717" s="87">
        <v>240</v>
      </c>
      <c r="P717" s="87">
        <v>40</v>
      </c>
      <c r="Q717" s="87">
        <f t="shared" si="108"/>
        <v>315</v>
      </c>
      <c r="R717" s="87">
        <f t="shared" si="109"/>
        <v>100</v>
      </c>
      <c r="S717" s="84">
        <f t="shared" si="110"/>
        <v>695</v>
      </c>
      <c r="T717" s="84">
        <f>0</f>
        <v>0</v>
      </c>
      <c r="U717" s="85"/>
      <c r="V717" s="85"/>
      <c r="W717" s="85"/>
      <c r="X717" s="85"/>
      <c r="Y717" s="85"/>
      <c r="Z717" s="85"/>
      <c r="AA717" s="85"/>
      <c r="AB717" s="85"/>
      <c r="AC717" s="85"/>
      <c r="AD717" s="85"/>
    </row>
    <row r="718" spans="1:30" ht="15.75" x14ac:dyDescent="0.25">
      <c r="A718" s="13">
        <v>62792</v>
      </c>
      <c r="B718" s="96">
        <f t="shared" si="106"/>
        <v>30</v>
      </c>
      <c r="C718" s="84">
        <f>122.58</f>
        <v>122.58</v>
      </c>
      <c r="D718" s="84">
        <f>297.941</f>
        <v>297.94099999999997</v>
      </c>
      <c r="E718" s="93">
        <f>89.177</f>
        <v>89.177000000000007</v>
      </c>
      <c r="F718" s="84">
        <f>240.302-40-60-100</f>
        <v>40.301999999999992</v>
      </c>
      <c r="G718" s="87">
        <v>40</v>
      </c>
      <c r="H718" s="84">
        <f>60+100</f>
        <v>160</v>
      </c>
      <c r="I718" s="84">
        <f t="shared" si="113"/>
        <v>0</v>
      </c>
      <c r="J718" s="87">
        <v>100</v>
      </c>
      <c r="K718" s="87">
        <v>300</v>
      </c>
      <c r="L718" s="84">
        <f t="shared" si="107"/>
        <v>1150</v>
      </c>
      <c r="M718" s="95">
        <v>600</v>
      </c>
      <c r="N718" s="84">
        <f>100</f>
        <v>100</v>
      </c>
      <c r="O718" s="87">
        <v>240</v>
      </c>
      <c r="P718" s="87">
        <v>40</v>
      </c>
      <c r="Q718" s="87">
        <f t="shared" si="108"/>
        <v>315</v>
      </c>
      <c r="R718" s="87">
        <f t="shared" si="109"/>
        <v>100</v>
      </c>
      <c r="S718" s="84">
        <f t="shared" si="110"/>
        <v>695</v>
      </c>
      <c r="T718" s="84">
        <f>50</f>
        <v>50</v>
      </c>
      <c r="U718" s="85"/>
      <c r="V718" s="85"/>
      <c r="W718" s="85"/>
      <c r="X718" s="85"/>
      <c r="Y718" s="85"/>
      <c r="Z718" s="85"/>
      <c r="AA718" s="85"/>
      <c r="AB718" s="85"/>
      <c r="AC718" s="85"/>
      <c r="AD718" s="85"/>
    </row>
    <row r="719" spans="1:30" ht="15.75" x14ac:dyDescent="0.25">
      <c r="A719" s="13">
        <v>62823</v>
      </c>
      <c r="B719" s="96">
        <f t="shared" si="106"/>
        <v>31</v>
      </c>
      <c r="C719" s="84">
        <f>122.58</f>
        <v>122.58</v>
      </c>
      <c r="D719" s="84">
        <f>297.941</f>
        <v>297.94099999999997</v>
      </c>
      <c r="E719" s="93">
        <f>89.177</f>
        <v>89.177000000000007</v>
      </c>
      <c r="F719" s="84">
        <f>240.302-40-60-100</f>
        <v>40.301999999999992</v>
      </c>
      <c r="G719" s="87">
        <v>40</v>
      </c>
      <c r="H719" s="84">
        <f>60+100</f>
        <v>160</v>
      </c>
      <c r="I719" s="84">
        <f t="shared" si="113"/>
        <v>0</v>
      </c>
      <c r="J719" s="87">
        <v>100</v>
      </c>
      <c r="K719" s="87">
        <v>300</v>
      </c>
      <c r="L719" s="84">
        <f t="shared" si="107"/>
        <v>1150</v>
      </c>
      <c r="M719" s="95">
        <v>600</v>
      </c>
      <c r="N719" s="84">
        <f>100</f>
        <v>100</v>
      </c>
      <c r="O719" s="87">
        <v>240</v>
      </c>
      <c r="P719" s="87">
        <v>40</v>
      </c>
      <c r="Q719" s="87">
        <f t="shared" si="108"/>
        <v>315</v>
      </c>
      <c r="R719" s="87">
        <f t="shared" si="109"/>
        <v>100</v>
      </c>
      <c r="S719" s="84">
        <f t="shared" si="110"/>
        <v>695</v>
      </c>
      <c r="T719" s="84">
        <f>50</f>
        <v>50</v>
      </c>
      <c r="U719" s="85"/>
      <c r="V719" s="85"/>
      <c r="W719" s="85"/>
      <c r="X719" s="85"/>
      <c r="Y719" s="85"/>
      <c r="Z719" s="85"/>
      <c r="AA719" s="85"/>
      <c r="AB719" s="85"/>
      <c r="AC719" s="85"/>
      <c r="AD719" s="85"/>
    </row>
    <row r="720" spans="1:30" ht="15.75" x14ac:dyDescent="0.25">
      <c r="A720" s="13">
        <v>62854</v>
      </c>
      <c r="B720" s="96">
        <f t="shared" si="106"/>
        <v>31</v>
      </c>
      <c r="C720" s="84">
        <f>122.58</f>
        <v>122.58</v>
      </c>
      <c r="D720" s="84">
        <f>297.941</f>
        <v>297.94099999999997</v>
      </c>
      <c r="E720" s="93">
        <f>89.177</f>
        <v>89.177000000000007</v>
      </c>
      <c r="F720" s="84">
        <f>240.302-40-60-100</f>
        <v>40.301999999999992</v>
      </c>
      <c r="G720" s="87">
        <v>40</v>
      </c>
      <c r="H720" s="84">
        <f>60+100</f>
        <v>160</v>
      </c>
      <c r="I720" s="84">
        <f t="shared" si="113"/>
        <v>0</v>
      </c>
      <c r="J720" s="87">
        <v>100</v>
      </c>
      <c r="K720" s="87">
        <v>300</v>
      </c>
      <c r="L720" s="84">
        <f t="shared" si="107"/>
        <v>1150</v>
      </c>
      <c r="M720" s="95">
        <v>600</v>
      </c>
      <c r="N720" s="84">
        <f>100</f>
        <v>100</v>
      </c>
      <c r="O720" s="87">
        <v>240</v>
      </c>
      <c r="P720" s="87">
        <v>40</v>
      </c>
      <c r="Q720" s="87">
        <f t="shared" si="108"/>
        <v>315</v>
      </c>
      <c r="R720" s="87">
        <f t="shared" si="109"/>
        <v>100</v>
      </c>
      <c r="S720" s="84">
        <f t="shared" si="110"/>
        <v>695</v>
      </c>
      <c r="T720" s="84">
        <f>50</f>
        <v>50</v>
      </c>
      <c r="U720" s="85"/>
      <c r="V720" s="85"/>
      <c r="W720" s="85"/>
      <c r="X720" s="85"/>
      <c r="Y720" s="85"/>
      <c r="Z720" s="85"/>
      <c r="AA720" s="85"/>
      <c r="AB720" s="85"/>
      <c r="AC720" s="85"/>
      <c r="AD720" s="85"/>
    </row>
    <row r="721" spans="1:30" ht="15.75" x14ac:dyDescent="0.25">
      <c r="A721" s="13">
        <v>62883</v>
      </c>
      <c r="B721" s="96">
        <f t="shared" si="106"/>
        <v>29</v>
      </c>
      <c r="C721" s="84">
        <f>122.58</f>
        <v>122.58</v>
      </c>
      <c r="D721" s="84">
        <f>297.941</f>
        <v>297.94099999999997</v>
      </c>
      <c r="E721" s="93">
        <f>89.177</f>
        <v>89.177000000000007</v>
      </c>
      <c r="F721" s="84">
        <f>240.302-40-60-100</f>
        <v>40.301999999999992</v>
      </c>
      <c r="G721" s="87">
        <v>40</v>
      </c>
      <c r="H721" s="84">
        <f>60+100</f>
        <v>160</v>
      </c>
      <c r="I721" s="84">
        <f t="shared" si="113"/>
        <v>0</v>
      </c>
      <c r="J721" s="87">
        <v>100</v>
      </c>
      <c r="K721" s="87">
        <v>300</v>
      </c>
      <c r="L721" s="84">
        <f t="shared" si="107"/>
        <v>1150</v>
      </c>
      <c r="M721" s="95">
        <v>600</v>
      </c>
      <c r="N721" s="84">
        <f>100</f>
        <v>100</v>
      </c>
      <c r="O721" s="87">
        <v>240</v>
      </c>
      <c r="P721" s="87">
        <v>40</v>
      </c>
      <c r="Q721" s="87">
        <f t="shared" si="108"/>
        <v>315</v>
      </c>
      <c r="R721" s="87">
        <f t="shared" si="109"/>
        <v>100</v>
      </c>
      <c r="S721" s="84">
        <f t="shared" si="110"/>
        <v>695</v>
      </c>
      <c r="T721" s="84">
        <f>50</f>
        <v>50</v>
      </c>
      <c r="U721" s="85"/>
      <c r="V721" s="85"/>
      <c r="W721" s="85"/>
      <c r="X721" s="85"/>
      <c r="Y721" s="85"/>
      <c r="Z721" s="85"/>
      <c r="AA721" s="85"/>
      <c r="AB721" s="85"/>
      <c r="AC721" s="85"/>
      <c r="AD721" s="85"/>
    </row>
    <row r="722" spans="1:30" ht="15.75" x14ac:dyDescent="0.25">
      <c r="A722" s="13">
        <v>62914</v>
      </c>
      <c r="B722" s="96">
        <f t="shared" si="106"/>
        <v>31</v>
      </c>
      <c r="C722" s="84">
        <f>122.58</f>
        <v>122.58</v>
      </c>
      <c r="D722" s="84">
        <f>297.941</f>
        <v>297.94099999999997</v>
      </c>
      <c r="E722" s="93">
        <f>89.177</f>
        <v>89.177000000000007</v>
      </c>
      <c r="F722" s="84">
        <f>240.302-40-60-100</f>
        <v>40.301999999999992</v>
      </c>
      <c r="G722" s="87">
        <v>40</v>
      </c>
      <c r="H722" s="84">
        <f>60+100</f>
        <v>160</v>
      </c>
      <c r="I722" s="84">
        <f t="shared" si="113"/>
        <v>0</v>
      </c>
      <c r="J722" s="87">
        <v>100</v>
      </c>
      <c r="K722" s="87">
        <v>300</v>
      </c>
      <c r="L722" s="84">
        <f t="shared" si="107"/>
        <v>1150</v>
      </c>
      <c r="M722" s="95">
        <v>600</v>
      </c>
      <c r="N722" s="84">
        <f>100</f>
        <v>100</v>
      </c>
      <c r="O722" s="87">
        <v>240</v>
      </c>
      <c r="P722" s="87">
        <v>40</v>
      </c>
      <c r="Q722" s="87">
        <f t="shared" si="108"/>
        <v>315</v>
      </c>
      <c r="R722" s="87">
        <f t="shared" si="109"/>
        <v>100</v>
      </c>
      <c r="S722" s="84">
        <f t="shared" si="110"/>
        <v>695</v>
      </c>
      <c r="T722" s="84">
        <f>50</f>
        <v>50</v>
      </c>
      <c r="U722" s="85"/>
      <c r="V722" s="85"/>
      <c r="W722" s="85"/>
      <c r="X722" s="85"/>
      <c r="Y722" s="85"/>
      <c r="Z722" s="85"/>
      <c r="AA722" s="85"/>
      <c r="AB722" s="85"/>
      <c r="AC722" s="85"/>
      <c r="AD722" s="85"/>
    </row>
    <row r="723" spans="1:30" ht="15.75" x14ac:dyDescent="0.25">
      <c r="A723" s="13">
        <v>62944</v>
      </c>
      <c r="B723" s="96">
        <f t="shared" si="106"/>
        <v>30</v>
      </c>
      <c r="C723" s="84">
        <f>141.293</f>
        <v>141.29300000000001</v>
      </c>
      <c r="D723" s="84">
        <f>267.993</f>
        <v>267.99299999999999</v>
      </c>
      <c r="E723" s="93">
        <f>115.016</f>
        <v>115.01600000000001</v>
      </c>
      <c r="F723" s="84">
        <f>314.698-40-25-60-100</f>
        <v>89.697999999999979</v>
      </c>
      <c r="G723" s="87">
        <v>40</v>
      </c>
      <c r="H723" s="84">
        <f t="shared" ref="H723:H729" si="116">25+60+100</f>
        <v>185</v>
      </c>
      <c r="I723" s="84">
        <f t="shared" si="113"/>
        <v>0</v>
      </c>
      <c r="J723" s="87">
        <v>100</v>
      </c>
      <c r="K723" s="87">
        <v>300</v>
      </c>
      <c r="L723" s="84">
        <f t="shared" si="107"/>
        <v>1239</v>
      </c>
      <c r="M723" s="95">
        <v>600</v>
      </c>
      <c r="N723" s="84">
        <f>100</f>
        <v>100</v>
      </c>
      <c r="O723" s="87">
        <v>240</v>
      </c>
      <c r="P723" s="87">
        <v>40</v>
      </c>
      <c r="Q723" s="87">
        <f t="shared" si="108"/>
        <v>315</v>
      </c>
      <c r="R723" s="87">
        <f t="shared" si="109"/>
        <v>100</v>
      </c>
      <c r="S723" s="84">
        <f t="shared" si="110"/>
        <v>695</v>
      </c>
      <c r="T723" s="84">
        <f>50</f>
        <v>50</v>
      </c>
      <c r="U723" s="85"/>
      <c r="V723" s="85"/>
      <c r="W723" s="85"/>
      <c r="X723" s="85"/>
      <c r="Y723" s="85"/>
      <c r="Z723" s="85"/>
      <c r="AA723" s="85"/>
      <c r="AB723" s="85"/>
      <c r="AC723" s="85"/>
      <c r="AD723" s="85"/>
    </row>
    <row r="724" spans="1:30" ht="15.75" x14ac:dyDescent="0.25">
      <c r="A724" s="13">
        <v>62975</v>
      </c>
      <c r="B724" s="96">
        <f t="shared" si="106"/>
        <v>31</v>
      </c>
      <c r="C724" s="84">
        <f>194.205</f>
        <v>194.20500000000001</v>
      </c>
      <c r="D724" s="84">
        <f>267.466</f>
        <v>267.46600000000001</v>
      </c>
      <c r="E724" s="93">
        <f>133.845</f>
        <v>133.845</v>
      </c>
      <c r="F724" s="84">
        <f>278.484-40-25-60-100</f>
        <v>53.48399999999998</v>
      </c>
      <c r="G724" s="87">
        <v>40</v>
      </c>
      <c r="H724" s="84">
        <f t="shared" si="116"/>
        <v>185</v>
      </c>
      <c r="I724" s="84">
        <f t="shared" si="113"/>
        <v>0</v>
      </c>
      <c r="J724" s="87">
        <v>100</v>
      </c>
      <c r="K724" s="87">
        <v>300</v>
      </c>
      <c r="L724" s="84">
        <f t="shared" si="107"/>
        <v>1274</v>
      </c>
      <c r="M724" s="95">
        <v>600</v>
      </c>
      <c r="N724" s="84">
        <f>75</f>
        <v>75</v>
      </c>
      <c r="O724" s="87">
        <v>240</v>
      </c>
      <c r="P724" s="87">
        <v>40</v>
      </c>
      <c r="Q724" s="87">
        <f t="shared" si="108"/>
        <v>315</v>
      </c>
      <c r="R724" s="87">
        <f t="shared" si="109"/>
        <v>100</v>
      </c>
      <c r="S724" s="84">
        <f t="shared" si="110"/>
        <v>695</v>
      </c>
      <c r="T724" s="84">
        <f>50</f>
        <v>50</v>
      </c>
      <c r="U724" s="85"/>
      <c r="V724" s="85"/>
      <c r="W724" s="85"/>
      <c r="X724" s="85"/>
      <c r="Y724" s="85"/>
      <c r="Z724" s="85"/>
      <c r="AA724" s="85"/>
      <c r="AB724" s="85"/>
      <c r="AC724" s="85"/>
      <c r="AD724" s="85"/>
    </row>
    <row r="725" spans="1:30" ht="15.75" x14ac:dyDescent="0.25">
      <c r="A725" s="13">
        <v>63005</v>
      </c>
      <c r="B725" s="96">
        <f t="shared" si="106"/>
        <v>30</v>
      </c>
      <c r="C725" s="84">
        <f>194.205</f>
        <v>194.20500000000001</v>
      </c>
      <c r="D725" s="84">
        <f>267.466</f>
        <v>267.46600000000001</v>
      </c>
      <c r="E725" s="93">
        <f>133.845</f>
        <v>133.845</v>
      </c>
      <c r="F725" s="84">
        <f>278.484-40-25-60-100</f>
        <v>53.48399999999998</v>
      </c>
      <c r="G725" s="87">
        <v>40</v>
      </c>
      <c r="H725" s="84">
        <f t="shared" si="116"/>
        <v>185</v>
      </c>
      <c r="I725" s="84">
        <f t="shared" si="113"/>
        <v>0</v>
      </c>
      <c r="J725" s="87">
        <v>100</v>
      </c>
      <c r="K725" s="87">
        <v>300</v>
      </c>
      <c r="L725" s="84">
        <f t="shared" si="107"/>
        <v>1274</v>
      </c>
      <c r="M725" s="95">
        <v>600</v>
      </c>
      <c r="N725" s="84">
        <f>30</f>
        <v>30</v>
      </c>
      <c r="O725" s="87">
        <v>240</v>
      </c>
      <c r="P725" s="87">
        <v>40</v>
      </c>
      <c r="Q725" s="87">
        <f t="shared" si="108"/>
        <v>315</v>
      </c>
      <c r="R725" s="87">
        <f t="shared" si="109"/>
        <v>100</v>
      </c>
      <c r="S725" s="84">
        <f t="shared" si="110"/>
        <v>695</v>
      </c>
      <c r="T725" s="84">
        <f>50</f>
        <v>50</v>
      </c>
      <c r="U725" s="85"/>
      <c r="V725" s="85"/>
      <c r="W725" s="85"/>
      <c r="X725" s="85"/>
      <c r="Y725" s="85"/>
      <c r="Z725" s="85"/>
      <c r="AA725" s="85"/>
      <c r="AB725" s="85"/>
      <c r="AC725" s="85"/>
      <c r="AD725" s="85"/>
    </row>
    <row r="726" spans="1:30" ht="15.75" x14ac:dyDescent="0.25">
      <c r="A726" s="13">
        <v>63036</v>
      </c>
      <c r="B726" s="96">
        <f t="shared" si="106"/>
        <v>31</v>
      </c>
      <c r="C726" s="84">
        <f>194.205</f>
        <v>194.20500000000001</v>
      </c>
      <c r="D726" s="84">
        <f>267.466</f>
        <v>267.46600000000001</v>
      </c>
      <c r="E726" s="93">
        <f>133.845</f>
        <v>133.845</v>
      </c>
      <c r="F726" s="84">
        <f>278.484-40-25-60-100</f>
        <v>53.48399999999998</v>
      </c>
      <c r="G726" s="87">
        <v>40</v>
      </c>
      <c r="H726" s="84">
        <f t="shared" si="116"/>
        <v>185</v>
      </c>
      <c r="I726" s="84">
        <f t="shared" si="113"/>
        <v>0</v>
      </c>
      <c r="J726" s="87">
        <v>100</v>
      </c>
      <c r="K726" s="87">
        <v>300</v>
      </c>
      <c r="L726" s="84">
        <f t="shared" si="107"/>
        <v>1274</v>
      </c>
      <c r="M726" s="95">
        <v>600</v>
      </c>
      <c r="N726" s="84">
        <f>30</f>
        <v>30</v>
      </c>
      <c r="O726" s="87">
        <v>240</v>
      </c>
      <c r="P726" s="87">
        <v>40</v>
      </c>
      <c r="Q726" s="87">
        <f t="shared" si="108"/>
        <v>315</v>
      </c>
      <c r="R726" s="87">
        <f t="shared" si="109"/>
        <v>100</v>
      </c>
      <c r="S726" s="84">
        <f t="shared" si="110"/>
        <v>695</v>
      </c>
      <c r="T726" s="84">
        <f>0</f>
        <v>0</v>
      </c>
      <c r="U726" s="85"/>
      <c r="V726" s="85"/>
      <c r="W726" s="85"/>
      <c r="X726" s="85"/>
      <c r="Y726" s="85"/>
      <c r="Z726" s="85"/>
      <c r="AA726" s="85"/>
      <c r="AB726" s="85"/>
      <c r="AC726" s="85"/>
      <c r="AD726" s="85"/>
    </row>
    <row r="727" spans="1:30" ht="15.75" x14ac:dyDescent="0.25">
      <c r="A727" s="13">
        <v>63067</v>
      </c>
      <c r="B727" s="96">
        <f t="shared" si="106"/>
        <v>31</v>
      </c>
      <c r="C727" s="84">
        <f>194.205</f>
        <v>194.20500000000001</v>
      </c>
      <c r="D727" s="84">
        <f>267.466</f>
        <v>267.46600000000001</v>
      </c>
      <c r="E727" s="93">
        <f>133.845</f>
        <v>133.845</v>
      </c>
      <c r="F727" s="84">
        <f>278.484-40-25-60-100</f>
        <v>53.48399999999998</v>
      </c>
      <c r="G727" s="87">
        <v>40</v>
      </c>
      <c r="H727" s="84">
        <f t="shared" si="116"/>
        <v>185</v>
      </c>
      <c r="I727" s="84">
        <f t="shared" si="113"/>
        <v>0</v>
      </c>
      <c r="J727" s="87">
        <v>100</v>
      </c>
      <c r="K727" s="87">
        <v>300</v>
      </c>
      <c r="L727" s="84">
        <f t="shared" si="107"/>
        <v>1274</v>
      </c>
      <c r="M727" s="95">
        <v>600</v>
      </c>
      <c r="N727" s="84">
        <f>30</f>
        <v>30</v>
      </c>
      <c r="O727" s="87">
        <v>240</v>
      </c>
      <c r="P727" s="87">
        <v>40</v>
      </c>
      <c r="Q727" s="87">
        <f t="shared" si="108"/>
        <v>315</v>
      </c>
      <c r="R727" s="87">
        <f t="shared" si="109"/>
        <v>100</v>
      </c>
      <c r="S727" s="84">
        <f t="shared" si="110"/>
        <v>695</v>
      </c>
      <c r="T727" s="84">
        <f>0</f>
        <v>0</v>
      </c>
      <c r="U727" s="85"/>
      <c r="V727" s="85"/>
      <c r="W727" s="85"/>
      <c r="X727" s="85"/>
      <c r="Y727" s="85"/>
      <c r="Z727" s="85"/>
      <c r="AA727" s="85"/>
      <c r="AB727" s="85"/>
      <c r="AC727" s="85"/>
      <c r="AD727" s="85"/>
    </row>
    <row r="728" spans="1:30" ht="15.75" x14ac:dyDescent="0.25">
      <c r="A728" s="13">
        <v>63097</v>
      </c>
      <c r="B728" s="96">
        <f t="shared" ref="B728:B791" si="117">EOMONTH(A728,0)-EOMONTH(A728,-1)</f>
        <v>30</v>
      </c>
      <c r="C728" s="84">
        <f>194.205</f>
        <v>194.20500000000001</v>
      </c>
      <c r="D728" s="84">
        <f>267.466</f>
        <v>267.46600000000001</v>
      </c>
      <c r="E728" s="93">
        <f>133.845</f>
        <v>133.845</v>
      </c>
      <c r="F728" s="84">
        <f>278.484-40-25-60-100</f>
        <v>53.48399999999998</v>
      </c>
      <c r="G728" s="87">
        <v>40</v>
      </c>
      <c r="H728" s="84">
        <f t="shared" si="116"/>
        <v>185</v>
      </c>
      <c r="I728" s="84">
        <f t="shared" si="113"/>
        <v>0</v>
      </c>
      <c r="J728" s="87">
        <v>100</v>
      </c>
      <c r="K728" s="87">
        <v>300</v>
      </c>
      <c r="L728" s="84">
        <f t="shared" ref="L728:L791" si="118">SUM(C728:K728)</f>
        <v>1274</v>
      </c>
      <c r="M728" s="95">
        <v>600</v>
      </c>
      <c r="N728" s="84">
        <f>30</f>
        <v>30</v>
      </c>
      <c r="O728" s="87">
        <v>240</v>
      </c>
      <c r="P728" s="87">
        <v>40</v>
      </c>
      <c r="Q728" s="87">
        <f t="shared" ref="Q728:Q791" si="119">695-R728-O728-P728</f>
        <v>315</v>
      </c>
      <c r="R728" s="87">
        <f t="shared" ref="R728:R791" si="120">200-J728</f>
        <v>100</v>
      </c>
      <c r="S728" s="84">
        <f t="shared" ref="S728:S791" si="121">SUM(O728:R728)</f>
        <v>695</v>
      </c>
      <c r="T728" s="84">
        <f>0</f>
        <v>0</v>
      </c>
      <c r="U728" s="85"/>
      <c r="V728" s="85"/>
      <c r="W728" s="85"/>
      <c r="X728" s="85"/>
      <c r="Y728" s="85"/>
      <c r="Z728" s="85"/>
      <c r="AA728" s="85"/>
      <c r="AB728" s="85"/>
      <c r="AC728" s="85"/>
      <c r="AD728" s="85"/>
    </row>
    <row r="729" spans="1:30" ht="15.75" x14ac:dyDescent="0.25">
      <c r="A729" s="13">
        <v>63128</v>
      </c>
      <c r="B729" s="96">
        <f t="shared" si="117"/>
        <v>31</v>
      </c>
      <c r="C729" s="84">
        <f>131.881</f>
        <v>131.881</v>
      </c>
      <c r="D729" s="84">
        <f>277.167</f>
        <v>277.16699999999997</v>
      </c>
      <c r="E729" s="93">
        <f>79.08</f>
        <v>79.08</v>
      </c>
      <c r="F729" s="84">
        <f>350.872-40-25-60-100</f>
        <v>125.87200000000001</v>
      </c>
      <c r="G729" s="87">
        <v>40</v>
      </c>
      <c r="H729" s="84">
        <f t="shared" si="116"/>
        <v>185</v>
      </c>
      <c r="I729" s="84">
        <f t="shared" si="113"/>
        <v>0</v>
      </c>
      <c r="J729" s="87">
        <v>100</v>
      </c>
      <c r="K729" s="87">
        <v>300</v>
      </c>
      <c r="L729" s="84">
        <f t="shared" si="118"/>
        <v>1239</v>
      </c>
      <c r="M729" s="95">
        <v>600</v>
      </c>
      <c r="N729" s="84">
        <f>75</f>
        <v>75</v>
      </c>
      <c r="O729" s="87">
        <v>240</v>
      </c>
      <c r="P729" s="87">
        <v>40</v>
      </c>
      <c r="Q729" s="87">
        <f t="shared" si="119"/>
        <v>315</v>
      </c>
      <c r="R729" s="87">
        <f t="shared" si="120"/>
        <v>100</v>
      </c>
      <c r="S729" s="84">
        <f t="shared" si="121"/>
        <v>695</v>
      </c>
      <c r="T729" s="84">
        <f>0</f>
        <v>0</v>
      </c>
      <c r="U729" s="85"/>
      <c r="V729" s="85"/>
      <c r="W729" s="85"/>
      <c r="X729" s="85"/>
      <c r="Y729" s="85"/>
      <c r="Z729" s="85"/>
      <c r="AA729" s="85"/>
      <c r="AB729" s="85"/>
      <c r="AC729" s="85"/>
      <c r="AD729" s="85"/>
    </row>
    <row r="730" spans="1:30" ht="15.75" x14ac:dyDescent="0.25">
      <c r="A730" s="13">
        <v>63158</v>
      </c>
      <c r="B730" s="96">
        <f t="shared" si="117"/>
        <v>30</v>
      </c>
      <c r="C730" s="84">
        <f>122.58</f>
        <v>122.58</v>
      </c>
      <c r="D730" s="84">
        <f>297.941</f>
        <v>297.94099999999997</v>
      </c>
      <c r="E730" s="93">
        <f>89.177</f>
        <v>89.177000000000007</v>
      </c>
      <c r="F730" s="84">
        <f>240.302-40-60-100</f>
        <v>40.301999999999992</v>
      </c>
      <c r="G730" s="87">
        <v>40</v>
      </c>
      <c r="H730" s="84">
        <f>60+100</f>
        <v>160</v>
      </c>
      <c r="I730" s="84">
        <f t="shared" si="113"/>
        <v>0</v>
      </c>
      <c r="J730" s="87">
        <v>100</v>
      </c>
      <c r="K730" s="87">
        <v>300</v>
      </c>
      <c r="L730" s="84">
        <f t="shared" si="118"/>
        <v>1150</v>
      </c>
      <c r="M730" s="95">
        <v>600</v>
      </c>
      <c r="N730" s="84">
        <f>100</f>
        <v>100</v>
      </c>
      <c r="O730" s="87">
        <v>240</v>
      </c>
      <c r="P730" s="87">
        <v>40</v>
      </c>
      <c r="Q730" s="87">
        <f t="shared" si="119"/>
        <v>315</v>
      </c>
      <c r="R730" s="87">
        <f t="shared" si="120"/>
        <v>100</v>
      </c>
      <c r="S730" s="84">
        <f t="shared" si="121"/>
        <v>695</v>
      </c>
      <c r="T730" s="84">
        <f>50</f>
        <v>50</v>
      </c>
      <c r="U730" s="85"/>
      <c r="V730" s="85"/>
      <c r="W730" s="85"/>
      <c r="X730" s="85"/>
      <c r="Y730" s="85"/>
      <c r="Z730" s="85"/>
      <c r="AA730" s="85"/>
      <c r="AB730" s="85"/>
      <c r="AC730" s="85"/>
      <c r="AD730" s="85"/>
    </row>
    <row r="731" spans="1:30" ht="15.75" x14ac:dyDescent="0.25">
      <c r="A731" s="13">
        <v>63189</v>
      </c>
      <c r="B731" s="96">
        <f t="shared" si="117"/>
        <v>31</v>
      </c>
      <c r="C731" s="84">
        <f>122.58</f>
        <v>122.58</v>
      </c>
      <c r="D731" s="84">
        <f>297.941</f>
        <v>297.94099999999997</v>
      </c>
      <c r="E731" s="93">
        <f>89.177</f>
        <v>89.177000000000007</v>
      </c>
      <c r="F731" s="84">
        <f>240.302-40-60-100</f>
        <v>40.301999999999992</v>
      </c>
      <c r="G731" s="87">
        <v>40</v>
      </c>
      <c r="H731" s="84">
        <f>60+100</f>
        <v>160</v>
      </c>
      <c r="I731" s="84">
        <f t="shared" si="113"/>
        <v>0</v>
      </c>
      <c r="J731" s="87">
        <v>100</v>
      </c>
      <c r="K731" s="87">
        <v>300</v>
      </c>
      <c r="L731" s="84">
        <f t="shared" si="118"/>
        <v>1150</v>
      </c>
      <c r="M731" s="95">
        <v>600</v>
      </c>
      <c r="N731" s="84">
        <f>100</f>
        <v>100</v>
      </c>
      <c r="O731" s="87">
        <v>240</v>
      </c>
      <c r="P731" s="87">
        <v>40</v>
      </c>
      <c r="Q731" s="87">
        <f t="shared" si="119"/>
        <v>315</v>
      </c>
      <c r="R731" s="87">
        <f t="shared" si="120"/>
        <v>100</v>
      </c>
      <c r="S731" s="84">
        <f t="shared" si="121"/>
        <v>695</v>
      </c>
      <c r="T731" s="84">
        <f>50</f>
        <v>50</v>
      </c>
      <c r="U731" s="85"/>
      <c r="V731" s="85"/>
      <c r="W731" s="85"/>
      <c r="X731" s="85"/>
      <c r="Y731" s="85"/>
      <c r="Z731" s="85"/>
      <c r="AA731" s="85"/>
      <c r="AB731" s="85"/>
      <c r="AC731" s="85"/>
      <c r="AD731" s="85"/>
    </row>
    <row r="732" spans="1:30" ht="15.75" x14ac:dyDescent="0.25">
      <c r="A732" s="13">
        <v>63220</v>
      </c>
      <c r="B732" s="96">
        <f t="shared" si="117"/>
        <v>31</v>
      </c>
      <c r="C732" s="84">
        <f>122.58</f>
        <v>122.58</v>
      </c>
      <c r="D732" s="84">
        <f>297.941</f>
        <v>297.94099999999997</v>
      </c>
      <c r="E732" s="93">
        <f>89.177</f>
        <v>89.177000000000007</v>
      </c>
      <c r="F732" s="84">
        <f>240.302-40-60-100</f>
        <v>40.301999999999992</v>
      </c>
      <c r="G732" s="87">
        <v>40</v>
      </c>
      <c r="H732" s="84">
        <f>60+100</f>
        <v>160</v>
      </c>
      <c r="I732" s="84">
        <f t="shared" si="113"/>
        <v>0</v>
      </c>
      <c r="J732" s="87">
        <v>100</v>
      </c>
      <c r="K732" s="87">
        <v>300</v>
      </c>
      <c r="L732" s="84">
        <f t="shared" si="118"/>
        <v>1150</v>
      </c>
      <c r="M732" s="95">
        <v>600</v>
      </c>
      <c r="N732" s="84">
        <f>100</f>
        <v>100</v>
      </c>
      <c r="O732" s="87">
        <v>240</v>
      </c>
      <c r="P732" s="87">
        <v>40</v>
      </c>
      <c r="Q732" s="87">
        <f t="shared" si="119"/>
        <v>315</v>
      </c>
      <c r="R732" s="87">
        <f t="shared" si="120"/>
        <v>100</v>
      </c>
      <c r="S732" s="84">
        <f t="shared" si="121"/>
        <v>695</v>
      </c>
      <c r="T732" s="84">
        <f>50</f>
        <v>50</v>
      </c>
      <c r="U732" s="85"/>
      <c r="V732" s="85"/>
      <c r="W732" s="85"/>
      <c r="X732" s="85"/>
      <c r="Y732" s="85"/>
      <c r="Z732" s="85"/>
      <c r="AA732" s="85"/>
      <c r="AB732" s="85"/>
      <c r="AC732" s="85"/>
      <c r="AD732" s="85"/>
    </row>
    <row r="733" spans="1:30" ht="15.75" x14ac:dyDescent="0.25">
      <c r="A733" s="13">
        <v>63248</v>
      </c>
      <c r="B733" s="96">
        <f t="shared" si="117"/>
        <v>28</v>
      </c>
      <c r="C733" s="84">
        <f>122.58</f>
        <v>122.58</v>
      </c>
      <c r="D733" s="84">
        <f>297.941</f>
        <v>297.94099999999997</v>
      </c>
      <c r="E733" s="93">
        <f>89.177</f>
        <v>89.177000000000007</v>
      </c>
      <c r="F733" s="84">
        <f>240.302-40-60-100</f>
        <v>40.301999999999992</v>
      </c>
      <c r="G733" s="87">
        <v>40</v>
      </c>
      <c r="H733" s="84">
        <f>60+100</f>
        <v>160</v>
      </c>
      <c r="I733" s="84">
        <f t="shared" si="113"/>
        <v>0</v>
      </c>
      <c r="J733" s="87">
        <v>100</v>
      </c>
      <c r="K733" s="87">
        <v>300</v>
      </c>
      <c r="L733" s="84">
        <f t="shared" si="118"/>
        <v>1150</v>
      </c>
      <c r="M733" s="95">
        <v>600</v>
      </c>
      <c r="N733" s="84">
        <f>100</f>
        <v>100</v>
      </c>
      <c r="O733" s="87">
        <v>240</v>
      </c>
      <c r="P733" s="87">
        <v>40</v>
      </c>
      <c r="Q733" s="87">
        <f t="shared" si="119"/>
        <v>315</v>
      </c>
      <c r="R733" s="87">
        <f t="shared" si="120"/>
        <v>100</v>
      </c>
      <c r="S733" s="84">
        <f t="shared" si="121"/>
        <v>695</v>
      </c>
      <c r="T733" s="84">
        <f>50</f>
        <v>50</v>
      </c>
      <c r="U733" s="85"/>
      <c r="V733" s="85"/>
      <c r="W733" s="85"/>
      <c r="X733" s="85"/>
      <c r="Y733" s="85"/>
      <c r="Z733" s="85"/>
      <c r="AA733" s="85"/>
      <c r="AB733" s="85"/>
      <c r="AC733" s="85"/>
      <c r="AD733" s="85"/>
    </row>
    <row r="734" spans="1:30" ht="15.75" x14ac:dyDescent="0.25">
      <c r="A734" s="13">
        <v>63279</v>
      </c>
      <c r="B734" s="96">
        <f t="shared" si="117"/>
        <v>31</v>
      </c>
      <c r="C734" s="84">
        <f>122.58</f>
        <v>122.58</v>
      </c>
      <c r="D734" s="84">
        <f>297.941</f>
        <v>297.94099999999997</v>
      </c>
      <c r="E734" s="93">
        <f>89.177</f>
        <v>89.177000000000007</v>
      </c>
      <c r="F734" s="84">
        <f>240.302-40-60-100</f>
        <v>40.301999999999992</v>
      </c>
      <c r="G734" s="87">
        <v>40</v>
      </c>
      <c r="H734" s="84">
        <f>60+100</f>
        <v>160</v>
      </c>
      <c r="I734" s="84">
        <f t="shared" si="113"/>
        <v>0</v>
      </c>
      <c r="J734" s="87">
        <v>100</v>
      </c>
      <c r="K734" s="87">
        <v>300</v>
      </c>
      <c r="L734" s="84">
        <f t="shared" si="118"/>
        <v>1150</v>
      </c>
      <c r="M734" s="95">
        <v>600</v>
      </c>
      <c r="N734" s="84">
        <f>100</f>
        <v>100</v>
      </c>
      <c r="O734" s="87">
        <v>240</v>
      </c>
      <c r="P734" s="87">
        <v>40</v>
      </c>
      <c r="Q734" s="87">
        <f t="shared" si="119"/>
        <v>315</v>
      </c>
      <c r="R734" s="87">
        <f t="shared" si="120"/>
        <v>100</v>
      </c>
      <c r="S734" s="84">
        <f t="shared" si="121"/>
        <v>695</v>
      </c>
      <c r="T734" s="84">
        <f>50</f>
        <v>50</v>
      </c>
      <c r="U734" s="85"/>
      <c r="V734" s="85"/>
      <c r="W734" s="85"/>
      <c r="X734" s="85"/>
      <c r="Y734" s="85"/>
      <c r="Z734" s="85"/>
      <c r="AA734" s="85"/>
      <c r="AB734" s="85"/>
      <c r="AC734" s="85"/>
      <c r="AD734" s="85"/>
    </row>
    <row r="735" spans="1:30" ht="15.75" x14ac:dyDescent="0.25">
      <c r="A735" s="13">
        <v>63309</v>
      </c>
      <c r="B735" s="96">
        <f t="shared" si="117"/>
        <v>30</v>
      </c>
      <c r="C735" s="84">
        <f>141.293</f>
        <v>141.29300000000001</v>
      </c>
      <c r="D735" s="84">
        <f>267.993</f>
        <v>267.99299999999999</v>
      </c>
      <c r="E735" s="93">
        <f>115.016</f>
        <v>115.01600000000001</v>
      </c>
      <c r="F735" s="84">
        <f>314.698-40-25-60-100</f>
        <v>89.697999999999979</v>
      </c>
      <c r="G735" s="87">
        <v>40</v>
      </c>
      <c r="H735" s="84">
        <f t="shared" ref="H735:H741" si="122">25+60+100</f>
        <v>185</v>
      </c>
      <c r="I735" s="84">
        <f t="shared" si="113"/>
        <v>0</v>
      </c>
      <c r="J735" s="87">
        <v>100</v>
      </c>
      <c r="K735" s="87">
        <v>300</v>
      </c>
      <c r="L735" s="84">
        <f t="shared" si="118"/>
        <v>1239</v>
      </c>
      <c r="M735" s="95">
        <v>600</v>
      </c>
      <c r="N735" s="84">
        <f>100</f>
        <v>100</v>
      </c>
      <c r="O735" s="87">
        <v>240</v>
      </c>
      <c r="P735" s="87">
        <v>40</v>
      </c>
      <c r="Q735" s="87">
        <f t="shared" si="119"/>
        <v>315</v>
      </c>
      <c r="R735" s="87">
        <f t="shared" si="120"/>
        <v>100</v>
      </c>
      <c r="S735" s="84">
        <f t="shared" si="121"/>
        <v>695</v>
      </c>
      <c r="T735" s="84">
        <f>50</f>
        <v>50</v>
      </c>
      <c r="U735" s="85"/>
      <c r="V735" s="85"/>
      <c r="W735" s="85"/>
      <c r="X735" s="85"/>
      <c r="Y735" s="85"/>
      <c r="Z735" s="85"/>
      <c r="AA735" s="85"/>
      <c r="AB735" s="85"/>
      <c r="AC735" s="85"/>
      <c r="AD735" s="85"/>
    </row>
    <row r="736" spans="1:30" ht="15.75" x14ac:dyDescent="0.25">
      <c r="A736" s="13">
        <v>63340</v>
      </c>
      <c r="B736" s="96">
        <f t="shared" si="117"/>
        <v>31</v>
      </c>
      <c r="C736" s="84">
        <f>194.205</f>
        <v>194.20500000000001</v>
      </c>
      <c r="D736" s="84">
        <f>267.466</f>
        <v>267.46600000000001</v>
      </c>
      <c r="E736" s="93">
        <f>133.845</f>
        <v>133.845</v>
      </c>
      <c r="F736" s="84">
        <f>278.484-40-25-60-100</f>
        <v>53.48399999999998</v>
      </c>
      <c r="G736" s="87">
        <v>40</v>
      </c>
      <c r="H736" s="84">
        <f t="shared" si="122"/>
        <v>185</v>
      </c>
      <c r="I736" s="84">
        <f t="shared" si="113"/>
        <v>0</v>
      </c>
      <c r="J736" s="87">
        <v>100</v>
      </c>
      <c r="K736" s="87">
        <v>300</v>
      </c>
      <c r="L736" s="84">
        <f t="shared" si="118"/>
        <v>1274</v>
      </c>
      <c r="M736" s="95">
        <v>600</v>
      </c>
      <c r="N736" s="84">
        <f>75</f>
        <v>75</v>
      </c>
      <c r="O736" s="87">
        <v>240</v>
      </c>
      <c r="P736" s="87">
        <v>40</v>
      </c>
      <c r="Q736" s="87">
        <f t="shared" si="119"/>
        <v>315</v>
      </c>
      <c r="R736" s="87">
        <f t="shared" si="120"/>
        <v>100</v>
      </c>
      <c r="S736" s="84">
        <f t="shared" si="121"/>
        <v>695</v>
      </c>
      <c r="T736" s="84">
        <f>50</f>
        <v>50</v>
      </c>
      <c r="U736" s="85"/>
      <c r="V736" s="85"/>
      <c r="W736" s="85"/>
      <c r="X736" s="85"/>
      <c r="Y736" s="85"/>
      <c r="Z736" s="85"/>
      <c r="AA736" s="85"/>
      <c r="AB736" s="85"/>
      <c r="AC736" s="85"/>
      <c r="AD736" s="85"/>
    </row>
    <row r="737" spans="1:30" ht="15.75" x14ac:dyDescent="0.25">
      <c r="A737" s="13">
        <v>63370</v>
      </c>
      <c r="B737" s="96">
        <f t="shared" si="117"/>
        <v>30</v>
      </c>
      <c r="C737" s="84">
        <f>194.205</f>
        <v>194.20500000000001</v>
      </c>
      <c r="D737" s="84">
        <f>267.466</f>
        <v>267.46600000000001</v>
      </c>
      <c r="E737" s="93">
        <f>133.845</f>
        <v>133.845</v>
      </c>
      <c r="F737" s="84">
        <f>278.484-40-25-60-100</f>
        <v>53.48399999999998</v>
      </c>
      <c r="G737" s="87">
        <v>40</v>
      </c>
      <c r="H737" s="84">
        <f t="shared" si="122"/>
        <v>185</v>
      </c>
      <c r="I737" s="84">
        <f t="shared" si="113"/>
        <v>0</v>
      </c>
      <c r="J737" s="87">
        <v>100</v>
      </c>
      <c r="K737" s="87">
        <v>300</v>
      </c>
      <c r="L737" s="84">
        <f t="shared" si="118"/>
        <v>1274</v>
      </c>
      <c r="M737" s="95">
        <v>600</v>
      </c>
      <c r="N737" s="84">
        <f>30</f>
        <v>30</v>
      </c>
      <c r="O737" s="87">
        <v>240</v>
      </c>
      <c r="P737" s="87">
        <v>40</v>
      </c>
      <c r="Q737" s="87">
        <f t="shared" si="119"/>
        <v>315</v>
      </c>
      <c r="R737" s="87">
        <f t="shared" si="120"/>
        <v>100</v>
      </c>
      <c r="S737" s="84">
        <f t="shared" si="121"/>
        <v>695</v>
      </c>
      <c r="T737" s="84">
        <f>50</f>
        <v>50</v>
      </c>
      <c r="U737" s="85"/>
      <c r="V737" s="85"/>
      <c r="W737" s="85"/>
      <c r="X737" s="85"/>
      <c r="Y737" s="85"/>
      <c r="Z737" s="85"/>
      <c r="AA737" s="85"/>
      <c r="AB737" s="85"/>
      <c r="AC737" s="85"/>
      <c r="AD737" s="85"/>
    </row>
    <row r="738" spans="1:30" ht="15.75" x14ac:dyDescent="0.25">
      <c r="A738" s="13">
        <v>63401</v>
      </c>
      <c r="B738" s="96">
        <f t="shared" si="117"/>
        <v>31</v>
      </c>
      <c r="C738" s="84">
        <f>194.205</f>
        <v>194.20500000000001</v>
      </c>
      <c r="D738" s="84">
        <f>267.466</f>
        <v>267.46600000000001</v>
      </c>
      <c r="E738" s="93">
        <f>133.845</f>
        <v>133.845</v>
      </c>
      <c r="F738" s="84">
        <f>278.484-40-25-60-100</f>
        <v>53.48399999999998</v>
      </c>
      <c r="G738" s="87">
        <v>40</v>
      </c>
      <c r="H738" s="84">
        <f t="shared" si="122"/>
        <v>185</v>
      </c>
      <c r="I738" s="84">
        <f t="shared" si="113"/>
        <v>0</v>
      </c>
      <c r="J738" s="87">
        <v>100</v>
      </c>
      <c r="K738" s="87">
        <v>300</v>
      </c>
      <c r="L738" s="84">
        <f t="shared" si="118"/>
        <v>1274</v>
      </c>
      <c r="M738" s="95">
        <v>600</v>
      </c>
      <c r="N738" s="84">
        <f>30</f>
        <v>30</v>
      </c>
      <c r="O738" s="87">
        <v>240</v>
      </c>
      <c r="P738" s="87">
        <v>40</v>
      </c>
      <c r="Q738" s="87">
        <f t="shared" si="119"/>
        <v>315</v>
      </c>
      <c r="R738" s="87">
        <f t="shared" si="120"/>
        <v>100</v>
      </c>
      <c r="S738" s="84">
        <f t="shared" si="121"/>
        <v>695</v>
      </c>
      <c r="T738" s="84">
        <f>0</f>
        <v>0</v>
      </c>
      <c r="U738" s="85"/>
      <c r="V738" s="85"/>
      <c r="W738" s="85"/>
      <c r="X738" s="85"/>
      <c r="Y738" s="85"/>
      <c r="Z738" s="85"/>
      <c r="AA738" s="85"/>
      <c r="AB738" s="85"/>
      <c r="AC738" s="85"/>
      <c r="AD738" s="85"/>
    </row>
    <row r="739" spans="1:30" ht="15.75" x14ac:dyDescent="0.25">
      <c r="A739" s="13">
        <v>63432</v>
      </c>
      <c r="B739" s="96">
        <f t="shared" si="117"/>
        <v>31</v>
      </c>
      <c r="C739" s="84">
        <f>194.205</f>
        <v>194.20500000000001</v>
      </c>
      <c r="D739" s="84">
        <f>267.466</f>
        <v>267.46600000000001</v>
      </c>
      <c r="E739" s="93">
        <f>133.845</f>
        <v>133.845</v>
      </c>
      <c r="F739" s="84">
        <f>278.484-40-25-60-100</f>
        <v>53.48399999999998</v>
      </c>
      <c r="G739" s="87">
        <v>40</v>
      </c>
      <c r="H739" s="84">
        <f t="shared" si="122"/>
        <v>185</v>
      </c>
      <c r="I739" s="84">
        <f t="shared" si="113"/>
        <v>0</v>
      </c>
      <c r="J739" s="87">
        <v>100</v>
      </c>
      <c r="K739" s="87">
        <v>300</v>
      </c>
      <c r="L739" s="84">
        <f t="shared" si="118"/>
        <v>1274</v>
      </c>
      <c r="M739" s="95">
        <v>600</v>
      </c>
      <c r="N739" s="84">
        <f>30</f>
        <v>30</v>
      </c>
      <c r="O739" s="87">
        <v>240</v>
      </c>
      <c r="P739" s="87">
        <v>40</v>
      </c>
      <c r="Q739" s="87">
        <f t="shared" si="119"/>
        <v>315</v>
      </c>
      <c r="R739" s="87">
        <f t="shared" si="120"/>
        <v>100</v>
      </c>
      <c r="S739" s="84">
        <f t="shared" si="121"/>
        <v>695</v>
      </c>
      <c r="T739" s="84">
        <f>0</f>
        <v>0</v>
      </c>
      <c r="U739" s="85"/>
      <c r="V739" s="85"/>
      <c r="W739" s="85"/>
      <c r="X739" s="85"/>
      <c r="Y739" s="85"/>
      <c r="Z739" s="85"/>
      <c r="AA739" s="85"/>
      <c r="AB739" s="85"/>
      <c r="AC739" s="85"/>
      <c r="AD739" s="85"/>
    </row>
    <row r="740" spans="1:30" ht="15.75" x14ac:dyDescent="0.25">
      <c r="A740" s="13">
        <v>63462</v>
      </c>
      <c r="B740" s="96">
        <f t="shared" si="117"/>
        <v>30</v>
      </c>
      <c r="C740" s="84">
        <f>194.205</f>
        <v>194.20500000000001</v>
      </c>
      <c r="D740" s="84">
        <f>267.466</f>
        <v>267.46600000000001</v>
      </c>
      <c r="E740" s="93">
        <f>133.845</f>
        <v>133.845</v>
      </c>
      <c r="F740" s="84">
        <f>278.484-40-25-60-100</f>
        <v>53.48399999999998</v>
      </c>
      <c r="G740" s="87">
        <v>40</v>
      </c>
      <c r="H740" s="84">
        <f t="shared" si="122"/>
        <v>185</v>
      </c>
      <c r="I740" s="84">
        <f t="shared" si="113"/>
        <v>0</v>
      </c>
      <c r="J740" s="87">
        <v>100</v>
      </c>
      <c r="K740" s="87">
        <v>300</v>
      </c>
      <c r="L740" s="84">
        <f t="shared" si="118"/>
        <v>1274</v>
      </c>
      <c r="M740" s="95">
        <v>600</v>
      </c>
      <c r="N740" s="84">
        <f>30</f>
        <v>30</v>
      </c>
      <c r="O740" s="87">
        <v>240</v>
      </c>
      <c r="P740" s="87">
        <v>40</v>
      </c>
      <c r="Q740" s="87">
        <f t="shared" si="119"/>
        <v>315</v>
      </c>
      <c r="R740" s="87">
        <f t="shared" si="120"/>
        <v>100</v>
      </c>
      <c r="S740" s="84">
        <f t="shared" si="121"/>
        <v>695</v>
      </c>
      <c r="T740" s="84">
        <f>0</f>
        <v>0</v>
      </c>
      <c r="U740" s="85"/>
      <c r="V740" s="85"/>
      <c r="W740" s="85"/>
      <c r="X740" s="85"/>
      <c r="Y740" s="85"/>
      <c r="Z740" s="85"/>
      <c r="AA740" s="85"/>
      <c r="AB740" s="85"/>
      <c r="AC740" s="85"/>
      <c r="AD740" s="85"/>
    </row>
    <row r="741" spans="1:30" ht="15.75" x14ac:dyDescent="0.25">
      <c r="A741" s="13">
        <v>63493</v>
      </c>
      <c r="B741" s="96">
        <f t="shared" si="117"/>
        <v>31</v>
      </c>
      <c r="C741" s="84">
        <f>131.881</f>
        <v>131.881</v>
      </c>
      <c r="D741" s="84">
        <f>277.167</f>
        <v>277.16699999999997</v>
      </c>
      <c r="E741" s="93">
        <f>79.08</f>
        <v>79.08</v>
      </c>
      <c r="F741" s="84">
        <f>350.872-40-25-60-100</f>
        <v>125.87200000000001</v>
      </c>
      <c r="G741" s="87">
        <v>40</v>
      </c>
      <c r="H741" s="84">
        <f t="shared" si="122"/>
        <v>185</v>
      </c>
      <c r="I741" s="84">
        <f t="shared" si="113"/>
        <v>0</v>
      </c>
      <c r="J741" s="87">
        <v>100</v>
      </c>
      <c r="K741" s="87">
        <v>300</v>
      </c>
      <c r="L741" s="84">
        <f t="shared" si="118"/>
        <v>1239</v>
      </c>
      <c r="M741" s="95">
        <v>600</v>
      </c>
      <c r="N741" s="84">
        <f>75</f>
        <v>75</v>
      </c>
      <c r="O741" s="87">
        <v>240</v>
      </c>
      <c r="P741" s="87">
        <v>40</v>
      </c>
      <c r="Q741" s="87">
        <f t="shared" si="119"/>
        <v>315</v>
      </c>
      <c r="R741" s="87">
        <f t="shared" si="120"/>
        <v>100</v>
      </c>
      <c r="S741" s="84">
        <f t="shared" si="121"/>
        <v>695</v>
      </c>
      <c r="T741" s="84">
        <f>0</f>
        <v>0</v>
      </c>
      <c r="U741" s="85"/>
      <c r="V741" s="85"/>
      <c r="W741" s="85"/>
      <c r="X741" s="85"/>
      <c r="Y741" s="85"/>
      <c r="Z741" s="85"/>
      <c r="AA741" s="85"/>
      <c r="AB741" s="85"/>
      <c r="AC741" s="85"/>
      <c r="AD741" s="85"/>
    </row>
    <row r="742" spans="1:30" ht="15.75" x14ac:dyDescent="0.25">
      <c r="A742" s="13">
        <v>63523</v>
      </c>
      <c r="B742" s="96">
        <f t="shared" si="117"/>
        <v>30</v>
      </c>
      <c r="C742" s="84">
        <f>122.58</f>
        <v>122.58</v>
      </c>
      <c r="D742" s="84">
        <f>297.941</f>
        <v>297.94099999999997</v>
      </c>
      <c r="E742" s="93">
        <f>89.177</f>
        <v>89.177000000000007</v>
      </c>
      <c r="F742" s="84">
        <f>240.302-40-60-100</f>
        <v>40.301999999999992</v>
      </c>
      <c r="G742" s="87">
        <v>40</v>
      </c>
      <c r="H742" s="84">
        <f>60+100</f>
        <v>160</v>
      </c>
      <c r="I742" s="84">
        <f t="shared" si="113"/>
        <v>0</v>
      </c>
      <c r="J742" s="87">
        <v>100</v>
      </c>
      <c r="K742" s="87">
        <v>300</v>
      </c>
      <c r="L742" s="84">
        <f t="shared" si="118"/>
        <v>1150</v>
      </c>
      <c r="M742" s="95">
        <v>600</v>
      </c>
      <c r="N742" s="84">
        <f>100</f>
        <v>100</v>
      </c>
      <c r="O742" s="87">
        <v>240</v>
      </c>
      <c r="P742" s="87">
        <v>40</v>
      </c>
      <c r="Q742" s="87">
        <f t="shared" si="119"/>
        <v>315</v>
      </c>
      <c r="R742" s="87">
        <f t="shared" si="120"/>
        <v>100</v>
      </c>
      <c r="S742" s="84">
        <f t="shared" si="121"/>
        <v>695</v>
      </c>
      <c r="T742" s="84">
        <f>50</f>
        <v>50</v>
      </c>
      <c r="U742" s="85"/>
      <c r="V742" s="85"/>
      <c r="W742" s="85"/>
      <c r="X742" s="85"/>
      <c r="Y742" s="85"/>
      <c r="Z742" s="85"/>
      <c r="AA742" s="85"/>
      <c r="AB742" s="85"/>
      <c r="AC742" s="85"/>
      <c r="AD742" s="85"/>
    </row>
    <row r="743" spans="1:30" ht="15.75" x14ac:dyDescent="0.25">
      <c r="A743" s="13">
        <v>63554</v>
      </c>
      <c r="B743" s="96">
        <f t="shared" si="117"/>
        <v>31</v>
      </c>
      <c r="C743" s="84">
        <f>122.58</f>
        <v>122.58</v>
      </c>
      <c r="D743" s="84">
        <f>297.941</f>
        <v>297.94099999999997</v>
      </c>
      <c r="E743" s="93">
        <f>89.177</f>
        <v>89.177000000000007</v>
      </c>
      <c r="F743" s="84">
        <f>240.302-40-60-100</f>
        <v>40.301999999999992</v>
      </c>
      <c r="G743" s="87">
        <v>40</v>
      </c>
      <c r="H743" s="84">
        <f>60+100</f>
        <v>160</v>
      </c>
      <c r="I743" s="84">
        <f t="shared" si="113"/>
        <v>0</v>
      </c>
      <c r="J743" s="87">
        <v>100</v>
      </c>
      <c r="K743" s="87">
        <v>300</v>
      </c>
      <c r="L743" s="84">
        <f t="shared" si="118"/>
        <v>1150</v>
      </c>
      <c r="M743" s="95">
        <v>600</v>
      </c>
      <c r="N743" s="84">
        <f>100</f>
        <v>100</v>
      </c>
      <c r="O743" s="87">
        <v>240</v>
      </c>
      <c r="P743" s="87">
        <v>40</v>
      </c>
      <c r="Q743" s="87">
        <f t="shared" si="119"/>
        <v>315</v>
      </c>
      <c r="R743" s="87">
        <f t="shared" si="120"/>
        <v>100</v>
      </c>
      <c r="S743" s="84">
        <f t="shared" si="121"/>
        <v>695</v>
      </c>
      <c r="T743" s="84">
        <f>50</f>
        <v>50</v>
      </c>
      <c r="U743" s="85"/>
      <c r="V743" s="85"/>
      <c r="W743" s="85"/>
      <c r="X743" s="85"/>
      <c r="Y743" s="85"/>
      <c r="Z743" s="85"/>
      <c r="AA743" s="85"/>
      <c r="AB743" s="85"/>
      <c r="AC743" s="85"/>
      <c r="AD743" s="85"/>
    </row>
    <row r="744" spans="1:30" ht="15.75" x14ac:dyDescent="0.25">
      <c r="A744" s="13">
        <v>63585</v>
      </c>
      <c r="B744" s="96">
        <f t="shared" si="117"/>
        <v>31</v>
      </c>
      <c r="C744" s="84">
        <f>122.58</f>
        <v>122.58</v>
      </c>
      <c r="D744" s="84">
        <f>297.941</f>
        <v>297.94099999999997</v>
      </c>
      <c r="E744" s="93">
        <f>89.177</f>
        <v>89.177000000000007</v>
      </c>
      <c r="F744" s="84">
        <f>240.302-40-60-100</f>
        <v>40.301999999999992</v>
      </c>
      <c r="G744" s="87">
        <v>40</v>
      </c>
      <c r="H744" s="84">
        <f>60+100</f>
        <v>160</v>
      </c>
      <c r="I744" s="84">
        <f t="shared" si="113"/>
        <v>0</v>
      </c>
      <c r="J744" s="87">
        <v>100</v>
      </c>
      <c r="K744" s="87">
        <v>300</v>
      </c>
      <c r="L744" s="84">
        <f t="shared" si="118"/>
        <v>1150</v>
      </c>
      <c r="M744" s="95">
        <v>600</v>
      </c>
      <c r="N744" s="84">
        <f>100</f>
        <v>100</v>
      </c>
      <c r="O744" s="87">
        <v>240</v>
      </c>
      <c r="P744" s="87">
        <v>40</v>
      </c>
      <c r="Q744" s="87">
        <f t="shared" si="119"/>
        <v>315</v>
      </c>
      <c r="R744" s="87">
        <f t="shared" si="120"/>
        <v>100</v>
      </c>
      <c r="S744" s="84">
        <f t="shared" si="121"/>
        <v>695</v>
      </c>
      <c r="T744" s="84">
        <f>50</f>
        <v>50</v>
      </c>
      <c r="U744" s="85"/>
      <c r="V744" s="85"/>
      <c r="W744" s="85"/>
      <c r="X744" s="85"/>
      <c r="Y744" s="85"/>
      <c r="Z744" s="85"/>
      <c r="AA744" s="85"/>
      <c r="AB744" s="85"/>
      <c r="AC744" s="85"/>
      <c r="AD744" s="85"/>
    </row>
    <row r="745" spans="1:30" ht="15.75" x14ac:dyDescent="0.25">
      <c r="A745" s="13">
        <v>63613</v>
      </c>
      <c r="B745" s="96">
        <f t="shared" si="117"/>
        <v>28</v>
      </c>
      <c r="C745" s="84">
        <f>122.58</f>
        <v>122.58</v>
      </c>
      <c r="D745" s="84">
        <f>297.941</f>
        <v>297.94099999999997</v>
      </c>
      <c r="E745" s="93">
        <f>89.177</f>
        <v>89.177000000000007</v>
      </c>
      <c r="F745" s="84">
        <f>240.302-40-60-100</f>
        <v>40.301999999999992</v>
      </c>
      <c r="G745" s="87">
        <v>40</v>
      </c>
      <c r="H745" s="84">
        <f>60+100</f>
        <v>160</v>
      </c>
      <c r="I745" s="84">
        <f t="shared" si="113"/>
        <v>0</v>
      </c>
      <c r="J745" s="87">
        <v>100</v>
      </c>
      <c r="K745" s="87">
        <v>300</v>
      </c>
      <c r="L745" s="84">
        <f t="shared" si="118"/>
        <v>1150</v>
      </c>
      <c r="M745" s="95">
        <v>600</v>
      </c>
      <c r="N745" s="84">
        <f>100</f>
        <v>100</v>
      </c>
      <c r="O745" s="87">
        <v>240</v>
      </c>
      <c r="P745" s="87">
        <v>40</v>
      </c>
      <c r="Q745" s="87">
        <f t="shared" si="119"/>
        <v>315</v>
      </c>
      <c r="R745" s="87">
        <f t="shared" si="120"/>
        <v>100</v>
      </c>
      <c r="S745" s="84">
        <f t="shared" si="121"/>
        <v>695</v>
      </c>
      <c r="T745" s="84">
        <f>50</f>
        <v>50</v>
      </c>
      <c r="U745" s="85"/>
      <c r="V745" s="85"/>
      <c r="W745" s="85"/>
      <c r="X745" s="85"/>
      <c r="Y745" s="85"/>
      <c r="Z745" s="85"/>
      <c r="AA745" s="85"/>
      <c r="AB745" s="85"/>
      <c r="AC745" s="85"/>
      <c r="AD745" s="85"/>
    </row>
    <row r="746" spans="1:30" ht="15.75" x14ac:dyDescent="0.25">
      <c r="A746" s="13">
        <v>63644</v>
      </c>
      <c r="B746" s="96">
        <f t="shared" si="117"/>
        <v>31</v>
      </c>
      <c r="C746" s="84">
        <f>122.58</f>
        <v>122.58</v>
      </c>
      <c r="D746" s="84">
        <f>297.941</f>
        <v>297.94099999999997</v>
      </c>
      <c r="E746" s="93">
        <f>89.177</f>
        <v>89.177000000000007</v>
      </c>
      <c r="F746" s="84">
        <f>240.302-40-60-100</f>
        <v>40.301999999999992</v>
      </c>
      <c r="G746" s="87">
        <v>40</v>
      </c>
      <c r="H746" s="84">
        <f>60+100</f>
        <v>160</v>
      </c>
      <c r="I746" s="84">
        <f t="shared" si="113"/>
        <v>0</v>
      </c>
      <c r="J746" s="87">
        <v>100</v>
      </c>
      <c r="K746" s="87">
        <v>300</v>
      </c>
      <c r="L746" s="84">
        <f t="shared" si="118"/>
        <v>1150</v>
      </c>
      <c r="M746" s="95">
        <v>600</v>
      </c>
      <c r="N746" s="84">
        <f>100</f>
        <v>100</v>
      </c>
      <c r="O746" s="87">
        <v>240</v>
      </c>
      <c r="P746" s="87">
        <v>40</v>
      </c>
      <c r="Q746" s="87">
        <f t="shared" si="119"/>
        <v>315</v>
      </c>
      <c r="R746" s="87">
        <f t="shared" si="120"/>
        <v>100</v>
      </c>
      <c r="S746" s="84">
        <f t="shared" si="121"/>
        <v>695</v>
      </c>
      <c r="T746" s="84">
        <f>50</f>
        <v>50</v>
      </c>
      <c r="U746" s="85"/>
      <c r="V746" s="85"/>
      <c r="W746" s="85"/>
      <c r="X746" s="85"/>
      <c r="Y746" s="85"/>
      <c r="Z746" s="85"/>
      <c r="AA746" s="85"/>
      <c r="AB746" s="85"/>
      <c r="AC746" s="85"/>
      <c r="AD746" s="85"/>
    </row>
    <row r="747" spans="1:30" ht="15.75" x14ac:dyDescent="0.25">
      <c r="A747" s="13">
        <v>63674</v>
      </c>
      <c r="B747" s="96">
        <f t="shared" si="117"/>
        <v>30</v>
      </c>
      <c r="C747" s="84">
        <f>141.293</f>
        <v>141.29300000000001</v>
      </c>
      <c r="D747" s="84">
        <f>267.993</f>
        <v>267.99299999999999</v>
      </c>
      <c r="E747" s="93">
        <f>115.016</f>
        <v>115.01600000000001</v>
      </c>
      <c r="F747" s="84">
        <f>314.698-40-25-60-100</f>
        <v>89.697999999999979</v>
      </c>
      <c r="G747" s="87">
        <v>40</v>
      </c>
      <c r="H747" s="84">
        <f t="shared" ref="H747:H753" si="123">25+60+100</f>
        <v>185</v>
      </c>
      <c r="I747" s="84">
        <f t="shared" si="113"/>
        <v>0</v>
      </c>
      <c r="J747" s="87">
        <v>100</v>
      </c>
      <c r="K747" s="87">
        <v>300</v>
      </c>
      <c r="L747" s="84">
        <f t="shared" si="118"/>
        <v>1239</v>
      </c>
      <c r="M747" s="95">
        <v>600</v>
      </c>
      <c r="N747" s="84">
        <f>100</f>
        <v>100</v>
      </c>
      <c r="O747" s="87">
        <v>240</v>
      </c>
      <c r="P747" s="87">
        <v>40</v>
      </c>
      <c r="Q747" s="87">
        <f t="shared" si="119"/>
        <v>315</v>
      </c>
      <c r="R747" s="87">
        <f t="shared" si="120"/>
        <v>100</v>
      </c>
      <c r="S747" s="84">
        <f t="shared" si="121"/>
        <v>695</v>
      </c>
      <c r="T747" s="84">
        <f>50</f>
        <v>50</v>
      </c>
      <c r="U747" s="85"/>
      <c r="V747" s="85"/>
      <c r="W747" s="85"/>
      <c r="X747" s="85"/>
      <c r="Y747" s="85"/>
      <c r="Z747" s="85"/>
      <c r="AA747" s="85"/>
      <c r="AB747" s="85"/>
      <c r="AC747" s="85"/>
      <c r="AD747" s="85"/>
    </row>
    <row r="748" spans="1:30" ht="15.75" x14ac:dyDescent="0.25">
      <c r="A748" s="13">
        <v>63705</v>
      </c>
      <c r="B748" s="96">
        <f t="shared" si="117"/>
        <v>31</v>
      </c>
      <c r="C748" s="84">
        <f>194.205</f>
        <v>194.20500000000001</v>
      </c>
      <c r="D748" s="84">
        <f>267.466</f>
        <v>267.46600000000001</v>
      </c>
      <c r="E748" s="93">
        <f>133.845</f>
        <v>133.845</v>
      </c>
      <c r="F748" s="84">
        <f>278.484-40-25-60-100</f>
        <v>53.48399999999998</v>
      </c>
      <c r="G748" s="87">
        <v>40</v>
      </c>
      <c r="H748" s="84">
        <f t="shared" si="123"/>
        <v>185</v>
      </c>
      <c r="I748" s="84">
        <f t="shared" si="113"/>
        <v>0</v>
      </c>
      <c r="J748" s="87">
        <v>100</v>
      </c>
      <c r="K748" s="87">
        <v>300</v>
      </c>
      <c r="L748" s="84">
        <f t="shared" si="118"/>
        <v>1274</v>
      </c>
      <c r="M748" s="95">
        <v>600</v>
      </c>
      <c r="N748" s="84">
        <f>75</f>
        <v>75</v>
      </c>
      <c r="O748" s="87">
        <v>240</v>
      </c>
      <c r="P748" s="87">
        <v>40</v>
      </c>
      <c r="Q748" s="87">
        <f t="shared" si="119"/>
        <v>315</v>
      </c>
      <c r="R748" s="87">
        <f t="shared" si="120"/>
        <v>100</v>
      </c>
      <c r="S748" s="84">
        <f t="shared" si="121"/>
        <v>695</v>
      </c>
      <c r="T748" s="84">
        <f>50</f>
        <v>50</v>
      </c>
      <c r="U748" s="85"/>
      <c r="V748" s="85"/>
      <c r="W748" s="85"/>
      <c r="X748" s="85"/>
      <c r="Y748" s="85"/>
      <c r="Z748" s="85"/>
      <c r="AA748" s="85"/>
      <c r="AB748" s="85"/>
      <c r="AC748" s="85"/>
      <c r="AD748" s="85"/>
    </row>
    <row r="749" spans="1:30" ht="15.75" x14ac:dyDescent="0.25">
      <c r="A749" s="13">
        <v>63735</v>
      </c>
      <c r="B749" s="96">
        <f t="shared" si="117"/>
        <v>30</v>
      </c>
      <c r="C749" s="84">
        <f>194.205</f>
        <v>194.20500000000001</v>
      </c>
      <c r="D749" s="84">
        <f>267.466</f>
        <v>267.46600000000001</v>
      </c>
      <c r="E749" s="93">
        <f>133.845</f>
        <v>133.845</v>
      </c>
      <c r="F749" s="84">
        <f>278.484-40-25-60-100</f>
        <v>53.48399999999998</v>
      </c>
      <c r="G749" s="87">
        <v>40</v>
      </c>
      <c r="H749" s="84">
        <f t="shared" si="123"/>
        <v>185</v>
      </c>
      <c r="I749" s="84">
        <f t="shared" si="113"/>
        <v>0</v>
      </c>
      <c r="J749" s="87">
        <v>100</v>
      </c>
      <c r="K749" s="87">
        <v>300</v>
      </c>
      <c r="L749" s="84">
        <f t="shared" si="118"/>
        <v>1274</v>
      </c>
      <c r="M749" s="95">
        <v>600</v>
      </c>
      <c r="N749" s="84">
        <f>30</f>
        <v>30</v>
      </c>
      <c r="O749" s="87">
        <v>240</v>
      </c>
      <c r="P749" s="87">
        <v>40</v>
      </c>
      <c r="Q749" s="87">
        <f t="shared" si="119"/>
        <v>315</v>
      </c>
      <c r="R749" s="87">
        <f t="shared" si="120"/>
        <v>100</v>
      </c>
      <c r="S749" s="84">
        <f t="shared" si="121"/>
        <v>695</v>
      </c>
      <c r="T749" s="84">
        <f>50</f>
        <v>50</v>
      </c>
      <c r="U749" s="85"/>
      <c r="V749" s="85"/>
      <c r="W749" s="85"/>
      <c r="X749" s="85"/>
      <c r="Y749" s="85"/>
      <c r="Z749" s="85"/>
      <c r="AA749" s="85"/>
      <c r="AB749" s="85"/>
      <c r="AC749" s="85"/>
      <c r="AD749" s="85"/>
    </row>
    <row r="750" spans="1:30" ht="15.75" x14ac:dyDescent="0.25">
      <c r="A750" s="13">
        <v>63766</v>
      </c>
      <c r="B750" s="96">
        <f t="shared" si="117"/>
        <v>31</v>
      </c>
      <c r="C750" s="84">
        <f>194.205</f>
        <v>194.20500000000001</v>
      </c>
      <c r="D750" s="84">
        <f>267.466</f>
        <v>267.46600000000001</v>
      </c>
      <c r="E750" s="93">
        <f>133.845</f>
        <v>133.845</v>
      </c>
      <c r="F750" s="84">
        <f>278.484-40-25-60-100</f>
        <v>53.48399999999998</v>
      </c>
      <c r="G750" s="87">
        <v>40</v>
      </c>
      <c r="H750" s="84">
        <f t="shared" si="123"/>
        <v>185</v>
      </c>
      <c r="I750" s="84">
        <f t="shared" si="113"/>
        <v>0</v>
      </c>
      <c r="J750" s="87">
        <v>100</v>
      </c>
      <c r="K750" s="87">
        <v>300</v>
      </c>
      <c r="L750" s="84">
        <f t="shared" si="118"/>
        <v>1274</v>
      </c>
      <c r="M750" s="95">
        <v>600</v>
      </c>
      <c r="N750" s="84">
        <f>30</f>
        <v>30</v>
      </c>
      <c r="O750" s="87">
        <v>240</v>
      </c>
      <c r="P750" s="87">
        <v>40</v>
      </c>
      <c r="Q750" s="87">
        <f t="shared" si="119"/>
        <v>315</v>
      </c>
      <c r="R750" s="87">
        <f t="shared" si="120"/>
        <v>100</v>
      </c>
      <c r="S750" s="84">
        <f t="shared" si="121"/>
        <v>695</v>
      </c>
      <c r="T750" s="84">
        <f>0</f>
        <v>0</v>
      </c>
      <c r="U750" s="85"/>
      <c r="V750" s="85"/>
      <c r="W750" s="85"/>
      <c r="X750" s="85"/>
      <c r="Y750" s="85"/>
      <c r="Z750" s="85"/>
      <c r="AA750" s="85"/>
      <c r="AB750" s="85"/>
      <c r="AC750" s="85"/>
      <c r="AD750" s="85"/>
    </row>
    <row r="751" spans="1:30" ht="15.75" x14ac:dyDescent="0.25">
      <c r="A751" s="13">
        <v>63797</v>
      </c>
      <c r="B751" s="96">
        <f t="shared" si="117"/>
        <v>31</v>
      </c>
      <c r="C751" s="84">
        <f>194.205</f>
        <v>194.20500000000001</v>
      </c>
      <c r="D751" s="84">
        <f>267.466</f>
        <v>267.46600000000001</v>
      </c>
      <c r="E751" s="93">
        <f>133.845</f>
        <v>133.845</v>
      </c>
      <c r="F751" s="84">
        <f>278.484-40-25-60-100</f>
        <v>53.48399999999998</v>
      </c>
      <c r="G751" s="87">
        <v>40</v>
      </c>
      <c r="H751" s="84">
        <f t="shared" si="123"/>
        <v>185</v>
      </c>
      <c r="I751" s="84">
        <f t="shared" si="113"/>
        <v>0</v>
      </c>
      <c r="J751" s="87">
        <v>100</v>
      </c>
      <c r="K751" s="87">
        <v>300</v>
      </c>
      <c r="L751" s="84">
        <f t="shared" si="118"/>
        <v>1274</v>
      </c>
      <c r="M751" s="95">
        <v>600</v>
      </c>
      <c r="N751" s="84">
        <f>30</f>
        <v>30</v>
      </c>
      <c r="O751" s="87">
        <v>240</v>
      </c>
      <c r="P751" s="87">
        <v>40</v>
      </c>
      <c r="Q751" s="87">
        <f t="shared" si="119"/>
        <v>315</v>
      </c>
      <c r="R751" s="87">
        <f t="shared" si="120"/>
        <v>100</v>
      </c>
      <c r="S751" s="84">
        <f t="shared" si="121"/>
        <v>695</v>
      </c>
      <c r="T751" s="84">
        <f>0</f>
        <v>0</v>
      </c>
      <c r="U751" s="85"/>
      <c r="V751" s="85"/>
      <c r="W751" s="85"/>
      <c r="X751" s="85"/>
      <c r="Y751" s="85"/>
      <c r="Z751" s="85"/>
      <c r="AA751" s="85"/>
      <c r="AB751" s="85"/>
      <c r="AC751" s="85"/>
      <c r="AD751" s="85"/>
    </row>
    <row r="752" spans="1:30" ht="15.75" x14ac:dyDescent="0.25">
      <c r="A752" s="13">
        <v>63827</v>
      </c>
      <c r="B752" s="96">
        <f t="shared" si="117"/>
        <v>30</v>
      </c>
      <c r="C752" s="84">
        <f>194.205</f>
        <v>194.20500000000001</v>
      </c>
      <c r="D752" s="84">
        <f>267.466</f>
        <v>267.46600000000001</v>
      </c>
      <c r="E752" s="93">
        <f>133.845</f>
        <v>133.845</v>
      </c>
      <c r="F752" s="84">
        <f>278.484-40-25-60-100</f>
        <v>53.48399999999998</v>
      </c>
      <c r="G752" s="87">
        <v>40</v>
      </c>
      <c r="H752" s="84">
        <f t="shared" si="123"/>
        <v>185</v>
      </c>
      <c r="I752" s="84">
        <f t="shared" si="113"/>
        <v>0</v>
      </c>
      <c r="J752" s="87">
        <v>100</v>
      </c>
      <c r="K752" s="87">
        <v>300</v>
      </c>
      <c r="L752" s="84">
        <f t="shared" si="118"/>
        <v>1274</v>
      </c>
      <c r="M752" s="95">
        <v>600</v>
      </c>
      <c r="N752" s="84">
        <f>30</f>
        <v>30</v>
      </c>
      <c r="O752" s="87">
        <v>240</v>
      </c>
      <c r="P752" s="87">
        <v>40</v>
      </c>
      <c r="Q752" s="87">
        <f t="shared" si="119"/>
        <v>315</v>
      </c>
      <c r="R752" s="87">
        <f t="shared" si="120"/>
        <v>100</v>
      </c>
      <c r="S752" s="84">
        <f t="shared" si="121"/>
        <v>695</v>
      </c>
      <c r="T752" s="84">
        <f>0</f>
        <v>0</v>
      </c>
      <c r="U752" s="85"/>
      <c r="V752" s="85"/>
      <c r="W752" s="85"/>
      <c r="X752" s="85"/>
      <c r="Y752" s="85"/>
      <c r="Z752" s="85"/>
      <c r="AA752" s="85"/>
      <c r="AB752" s="85"/>
      <c r="AC752" s="85"/>
      <c r="AD752" s="85"/>
    </row>
    <row r="753" spans="1:30" ht="15.75" x14ac:dyDescent="0.25">
      <c r="A753" s="13">
        <v>63858</v>
      </c>
      <c r="B753" s="96">
        <f t="shared" si="117"/>
        <v>31</v>
      </c>
      <c r="C753" s="84">
        <f>131.881</f>
        <v>131.881</v>
      </c>
      <c r="D753" s="84">
        <f>277.167</f>
        <v>277.16699999999997</v>
      </c>
      <c r="E753" s="93">
        <f>79.08</f>
        <v>79.08</v>
      </c>
      <c r="F753" s="84">
        <f>350.872-40-25-60-100</f>
        <v>125.87200000000001</v>
      </c>
      <c r="G753" s="87">
        <v>40</v>
      </c>
      <c r="H753" s="84">
        <f t="shared" si="123"/>
        <v>185</v>
      </c>
      <c r="I753" s="84">
        <f t="shared" si="113"/>
        <v>0</v>
      </c>
      <c r="J753" s="87">
        <v>100</v>
      </c>
      <c r="K753" s="87">
        <v>300</v>
      </c>
      <c r="L753" s="84">
        <f t="shared" si="118"/>
        <v>1239</v>
      </c>
      <c r="M753" s="95">
        <v>600</v>
      </c>
      <c r="N753" s="84">
        <f>75</f>
        <v>75</v>
      </c>
      <c r="O753" s="87">
        <v>240</v>
      </c>
      <c r="P753" s="87">
        <v>40</v>
      </c>
      <c r="Q753" s="87">
        <f t="shared" si="119"/>
        <v>315</v>
      </c>
      <c r="R753" s="87">
        <f t="shared" si="120"/>
        <v>100</v>
      </c>
      <c r="S753" s="84">
        <f t="shared" si="121"/>
        <v>695</v>
      </c>
      <c r="T753" s="84">
        <f>0</f>
        <v>0</v>
      </c>
      <c r="U753" s="85"/>
      <c r="V753" s="85"/>
      <c r="W753" s="85"/>
      <c r="X753" s="85"/>
      <c r="Y753" s="85"/>
      <c r="Z753" s="85"/>
      <c r="AA753" s="85"/>
      <c r="AB753" s="85"/>
      <c r="AC753" s="85"/>
      <c r="AD753" s="85"/>
    </row>
    <row r="754" spans="1:30" ht="15.75" x14ac:dyDescent="0.25">
      <c r="A754" s="13">
        <v>63888</v>
      </c>
      <c r="B754" s="96">
        <f t="shared" si="117"/>
        <v>30</v>
      </c>
      <c r="C754" s="84">
        <f>122.58</f>
        <v>122.58</v>
      </c>
      <c r="D754" s="84">
        <f>297.941</f>
        <v>297.94099999999997</v>
      </c>
      <c r="E754" s="93">
        <f>89.177</f>
        <v>89.177000000000007</v>
      </c>
      <c r="F754" s="84">
        <f>240.302-40-60-100</f>
        <v>40.301999999999992</v>
      </c>
      <c r="G754" s="87">
        <v>40</v>
      </c>
      <c r="H754" s="84">
        <f>60+100</f>
        <v>160</v>
      </c>
      <c r="I754" s="84">
        <f t="shared" si="113"/>
        <v>0</v>
      </c>
      <c r="J754" s="87">
        <v>100</v>
      </c>
      <c r="K754" s="87">
        <v>300</v>
      </c>
      <c r="L754" s="84">
        <f t="shared" si="118"/>
        <v>1150</v>
      </c>
      <c r="M754" s="95">
        <v>600</v>
      </c>
      <c r="N754" s="84">
        <f>100</f>
        <v>100</v>
      </c>
      <c r="O754" s="87">
        <v>240</v>
      </c>
      <c r="P754" s="87">
        <v>40</v>
      </c>
      <c r="Q754" s="87">
        <f t="shared" si="119"/>
        <v>315</v>
      </c>
      <c r="R754" s="87">
        <f t="shared" si="120"/>
        <v>100</v>
      </c>
      <c r="S754" s="84">
        <f t="shared" si="121"/>
        <v>695</v>
      </c>
      <c r="T754" s="84">
        <f>50</f>
        <v>50</v>
      </c>
      <c r="U754" s="85"/>
      <c r="V754" s="85"/>
      <c r="W754" s="85"/>
      <c r="X754" s="85"/>
      <c r="Y754" s="85"/>
      <c r="Z754" s="85"/>
      <c r="AA754" s="85"/>
      <c r="AB754" s="85"/>
      <c r="AC754" s="85"/>
      <c r="AD754" s="85"/>
    </row>
    <row r="755" spans="1:30" ht="15.75" x14ac:dyDescent="0.25">
      <c r="A755" s="13">
        <v>63919</v>
      </c>
      <c r="B755" s="96">
        <f t="shared" si="117"/>
        <v>31</v>
      </c>
      <c r="C755" s="84">
        <f>122.58</f>
        <v>122.58</v>
      </c>
      <c r="D755" s="84">
        <f>297.941</f>
        <v>297.94099999999997</v>
      </c>
      <c r="E755" s="93">
        <f>89.177</f>
        <v>89.177000000000007</v>
      </c>
      <c r="F755" s="84">
        <f>240.302-40-60-100</f>
        <v>40.301999999999992</v>
      </c>
      <c r="G755" s="87">
        <v>40</v>
      </c>
      <c r="H755" s="84">
        <f>60+100</f>
        <v>160</v>
      </c>
      <c r="I755" s="84">
        <f t="shared" si="113"/>
        <v>0</v>
      </c>
      <c r="J755" s="87">
        <v>100</v>
      </c>
      <c r="K755" s="87">
        <v>300</v>
      </c>
      <c r="L755" s="84">
        <f t="shared" si="118"/>
        <v>1150</v>
      </c>
      <c r="M755" s="95">
        <v>600</v>
      </c>
      <c r="N755" s="84">
        <f>100</f>
        <v>100</v>
      </c>
      <c r="O755" s="87">
        <v>240</v>
      </c>
      <c r="P755" s="87">
        <v>40</v>
      </c>
      <c r="Q755" s="87">
        <f t="shared" si="119"/>
        <v>315</v>
      </c>
      <c r="R755" s="87">
        <f t="shared" si="120"/>
        <v>100</v>
      </c>
      <c r="S755" s="84">
        <f t="shared" si="121"/>
        <v>695</v>
      </c>
      <c r="T755" s="84">
        <f>50</f>
        <v>50</v>
      </c>
      <c r="U755" s="85"/>
      <c r="V755" s="85"/>
      <c r="W755" s="85"/>
      <c r="X755" s="85"/>
      <c r="Y755" s="85"/>
      <c r="Z755" s="85"/>
      <c r="AA755" s="85"/>
      <c r="AB755" s="85"/>
      <c r="AC755" s="85"/>
      <c r="AD755" s="85"/>
    </row>
    <row r="756" spans="1:30" ht="15.75" x14ac:dyDescent="0.25">
      <c r="A756" s="13">
        <v>63950</v>
      </c>
      <c r="B756" s="96">
        <f t="shared" si="117"/>
        <v>31</v>
      </c>
      <c r="C756" s="84">
        <f>122.58</f>
        <v>122.58</v>
      </c>
      <c r="D756" s="84">
        <f>297.941</f>
        <v>297.94099999999997</v>
      </c>
      <c r="E756" s="93">
        <f>89.177</f>
        <v>89.177000000000007</v>
      </c>
      <c r="F756" s="84">
        <f>240.302-40-60-100</f>
        <v>40.301999999999992</v>
      </c>
      <c r="G756" s="87">
        <v>40</v>
      </c>
      <c r="H756" s="84">
        <f>60+100</f>
        <v>160</v>
      </c>
      <c r="I756" s="84">
        <f t="shared" ref="I756:I819" si="124">400-J756-K756</f>
        <v>0</v>
      </c>
      <c r="J756" s="87">
        <v>100</v>
      </c>
      <c r="K756" s="87">
        <v>300</v>
      </c>
      <c r="L756" s="84">
        <f t="shared" si="118"/>
        <v>1150</v>
      </c>
      <c r="M756" s="95">
        <v>600</v>
      </c>
      <c r="N756" s="84">
        <f>100</f>
        <v>100</v>
      </c>
      <c r="O756" s="87">
        <v>240</v>
      </c>
      <c r="P756" s="87">
        <v>40</v>
      </c>
      <c r="Q756" s="87">
        <f t="shared" si="119"/>
        <v>315</v>
      </c>
      <c r="R756" s="87">
        <f t="shared" si="120"/>
        <v>100</v>
      </c>
      <c r="S756" s="84">
        <f t="shared" si="121"/>
        <v>695</v>
      </c>
      <c r="T756" s="84">
        <f>50</f>
        <v>50</v>
      </c>
      <c r="U756" s="85"/>
      <c r="V756" s="85"/>
      <c r="W756" s="85"/>
      <c r="X756" s="85"/>
      <c r="Y756" s="85"/>
      <c r="Z756" s="85"/>
      <c r="AA756" s="85"/>
      <c r="AB756" s="85"/>
      <c r="AC756" s="85"/>
      <c r="AD756" s="85"/>
    </row>
    <row r="757" spans="1:30" ht="15.75" x14ac:dyDescent="0.25">
      <c r="A757" s="13">
        <v>63978</v>
      </c>
      <c r="B757" s="96">
        <f t="shared" si="117"/>
        <v>28</v>
      </c>
      <c r="C757" s="84">
        <f>122.58</f>
        <v>122.58</v>
      </c>
      <c r="D757" s="84">
        <f>297.941</f>
        <v>297.94099999999997</v>
      </c>
      <c r="E757" s="93">
        <f>89.177</f>
        <v>89.177000000000007</v>
      </c>
      <c r="F757" s="84">
        <f>240.302-40-60-100</f>
        <v>40.301999999999992</v>
      </c>
      <c r="G757" s="87">
        <v>40</v>
      </c>
      <c r="H757" s="84">
        <f>60+100</f>
        <v>160</v>
      </c>
      <c r="I757" s="84">
        <f t="shared" si="124"/>
        <v>0</v>
      </c>
      <c r="J757" s="87">
        <v>100</v>
      </c>
      <c r="K757" s="87">
        <v>300</v>
      </c>
      <c r="L757" s="84">
        <f t="shared" si="118"/>
        <v>1150</v>
      </c>
      <c r="M757" s="95">
        <v>600</v>
      </c>
      <c r="N757" s="84">
        <f>100</f>
        <v>100</v>
      </c>
      <c r="O757" s="87">
        <v>240</v>
      </c>
      <c r="P757" s="87">
        <v>40</v>
      </c>
      <c r="Q757" s="87">
        <f t="shared" si="119"/>
        <v>315</v>
      </c>
      <c r="R757" s="87">
        <f t="shared" si="120"/>
        <v>100</v>
      </c>
      <c r="S757" s="84">
        <f t="shared" si="121"/>
        <v>695</v>
      </c>
      <c r="T757" s="84">
        <f>50</f>
        <v>50</v>
      </c>
      <c r="U757" s="85"/>
      <c r="V757" s="85"/>
      <c r="W757" s="85"/>
      <c r="X757" s="85"/>
      <c r="Y757" s="85"/>
      <c r="Z757" s="85"/>
      <c r="AA757" s="85"/>
      <c r="AB757" s="85"/>
      <c r="AC757" s="85"/>
      <c r="AD757" s="85"/>
    </row>
    <row r="758" spans="1:30" ht="15.75" x14ac:dyDescent="0.25">
      <c r="A758" s="13">
        <v>64009</v>
      </c>
      <c r="B758" s="96">
        <f t="shared" si="117"/>
        <v>31</v>
      </c>
      <c r="C758" s="84">
        <f>122.58</f>
        <v>122.58</v>
      </c>
      <c r="D758" s="84">
        <f>297.941</f>
        <v>297.94099999999997</v>
      </c>
      <c r="E758" s="93">
        <f>89.177</f>
        <v>89.177000000000007</v>
      </c>
      <c r="F758" s="84">
        <f>240.302-40-60-100</f>
        <v>40.301999999999992</v>
      </c>
      <c r="G758" s="87">
        <v>40</v>
      </c>
      <c r="H758" s="84">
        <f>60+100</f>
        <v>160</v>
      </c>
      <c r="I758" s="84">
        <f t="shared" si="124"/>
        <v>0</v>
      </c>
      <c r="J758" s="87">
        <v>100</v>
      </c>
      <c r="K758" s="87">
        <v>300</v>
      </c>
      <c r="L758" s="84">
        <f t="shared" si="118"/>
        <v>1150</v>
      </c>
      <c r="M758" s="95">
        <v>600</v>
      </c>
      <c r="N758" s="84">
        <f>100</f>
        <v>100</v>
      </c>
      <c r="O758" s="87">
        <v>240</v>
      </c>
      <c r="P758" s="87">
        <v>40</v>
      </c>
      <c r="Q758" s="87">
        <f t="shared" si="119"/>
        <v>315</v>
      </c>
      <c r="R758" s="87">
        <f t="shared" si="120"/>
        <v>100</v>
      </c>
      <c r="S758" s="84">
        <f t="shared" si="121"/>
        <v>695</v>
      </c>
      <c r="T758" s="84">
        <f>50</f>
        <v>50</v>
      </c>
      <c r="U758" s="85"/>
      <c r="V758" s="85"/>
      <c r="W758" s="85"/>
      <c r="X758" s="85"/>
      <c r="Y758" s="85"/>
      <c r="Z758" s="85"/>
      <c r="AA758" s="85"/>
      <c r="AB758" s="85"/>
      <c r="AC758" s="85"/>
      <c r="AD758" s="85"/>
    </row>
    <row r="759" spans="1:30" ht="15.75" x14ac:dyDescent="0.25">
      <c r="A759" s="13">
        <v>64039</v>
      </c>
      <c r="B759" s="96">
        <f t="shared" si="117"/>
        <v>30</v>
      </c>
      <c r="C759" s="84">
        <f>141.293</f>
        <v>141.29300000000001</v>
      </c>
      <c r="D759" s="84">
        <f>267.993</f>
        <v>267.99299999999999</v>
      </c>
      <c r="E759" s="93">
        <f>115.016</f>
        <v>115.01600000000001</v>
      </c>
      <c r="F759" s="84">
        <f>314.698-40-25-60-100</f>
        <v>89.697999999999979</v>
      </c>
      <c r="G759" s="87">
        <v>40</v>
      </c>
      <c r="H759" s="84">
        <f t="shared" ref="H759:H765" si="125">25+60+100</f>
        <v>185</v>
      </c>
      <c r="I759" s="84">
        <f t="shared" si="124"/>
        <v>0</v>
      </c>
      <c r="J759" s="87">
        <v>100</v>
      </c>
      <c r="K759" s="87">
        <v>300</v>
      </c>
      <c r="L759" s="84">
        <f t="shared" si="118"/>
        <v>1239</v>
      </c>
      <c r="M759" s="95">
        <v>600</v>
      </c>
      <c r="N759" s="84">
        <f>100</f>
        <v>100</v>
      </c>
      <c r="O759" s="87">
        <v>240</v>
      </c>
      <c r="P759" s="87">
        <v>40</v>
      </c>
      <c r="Q759" s="87">
        <f t="shared" si="119"/>
        <v>315</v>
      </c>
      <c r="R759" s="87">
        <f t="shared" si="120"/>
        <v>100</v>
      </c>
      <c r="S759" s="84">
        <f t="shared" si="121"/>
        <v>695</v>
      </c>
      <c r="T759" s="84">
        <f>50</f>
        <v>50</v>
      </c>
      <c r="U759" s="85"/>
      <c r="V759" s="85"/>
      <c r="W759" s="85"/>
      <c r="X759" s="85"/>
      <c r="Y759" s="85"/>
      <c r="Z759" s="85"/>
      <c r="AA759" s="85"/>
      <c r="AB759" s="85"/>
      <c r="AC759" s="85"/>
      <c r="AD759" s="85"/>
    </row>
    <row r="760" spans="1:30" ht="15.75" x14ac:dyDescent="0.25">
      <c r="A760" s="13">
        <v>64070</v>
      </c>
      <c r="B760" s="96">
        <f t="shared" si="117"/>
        <v>31</v>
      </c>
      <c r="C760" s="84">
        <f>194.205</f>
        <v>194.20500000000001</v>
      </c>
      <c r="D760" s="84">
        <f>267.466</f>
        <v>267.46600000000001</v>
      </c>
      <c r="E760" s="93">
        <f>133.845</f>
        <v>133.845</v>
      </c>
      <c r="F760" s="84">
        <f>278.484-40-25-60-100</f>
        <v>53.48399999999998</v>
      </c>
      <c r="G760" s="87">
        <v>40</v>
      </c>
      <c r="H760" s="84">
        <f t="shared" si="125"/>
        <v>185</v>
      </c>
      <c r="I760" s="84">
        <f t="shared" si="124"/>
        <v>0</v>
      </c>
      <c r="J760" s="87">
        <v>100</v>
      </c>
      <c r="K760" s="87">
        <v>300</v>
      </c>
      <c r="L760" s="84">
        <f t="shared" si="118"/>
        <v>1274</v>
      </c>
      <c r="M760" s="95">
        <v>600</v>
      </c>
      <c r="N760" s="84">
        <f>75</f>
        <v>75</v>
      </c>
      <c r="O760" s="87">
        <v>240</v>
      </c>
      <c r="P760" s="87">
        <v>40</v>
      </c>
      <c r="Q760" s="87">
        <f t="shared" si="119"/>
        <v>315</v>
      </c>
      <c r="R760" s="87">
        <f t="shared" si="120"/>
        <v>100</v>
      </c>
      <c r="S760" s="84">
        <f t="shared" si="121"/>
        <v>695</v>
      </c>
      <c r="T760" s="84">
        <f>50</f>
        <v>50</v>
      </c>
      <c r="U760" s="85"/>
      <c r="V760" s="85"/>
      <c r="W760" s="85"/>
      <c r="X760" s="85"/>
      <c r="Y760" s="85"/>
      <c r="Z760" s="85"/>
      <c r="AA760" s="85"/>
      <c r="AB760" s="85"/>
      <c r="AC760" s="85"/>
      <c r="AD760" s="85"/>
    </row>
    <row r="761" spans="1:30" ht="15.75" x14ac:dyDescent="0.25">
      <c r="A761" s="13">
        <v>64100</v>
      </c>
      <c r="B761" s="96">
        <f t="shared" si="117"/>
        <v>30</v>
      </c>
      <c r="C761" s="84">
        <f>194.205</f>
        <v>194.20500000000001</v>
      </c>
      <c r="D761" s="84">
        <f>267.466</f>
        <v>267.46600000000001</v>
      </c>
      <c r="E761" s="93">
        <f>133.845</f>
        <v>133.845</v>
      </c>
      <c r="F761" s="84">
        <f>278.484-40-25-60-100</f>
        <v>53.48399999999998</v>
      </c>
      <c r="G761" s="87">
        <v>40</v>
      </c>
      <c r="H761" s="84">
        <f t="shared" si="125"/>
        <v>185</v>
      </c>
      <c r="I761" s="84">
        <f t="shared" si="124"/>
        <v>0</v>
      </c>
      <c r="J761" s="87">
        <v>100</v>
      </c>
      <c r="K761" s="87">
        <v>300</v>
      </c>
      <c r="L761" s="84">
        <f t="shared" si="118"/>
        <v>1274</v>
      </c>
      <c r="M761" s="95">
        <v>600</v>
      </c>
      <c r="N761" s="84">
        <f>30</f>
        <v>30</v>
      </c>
      <c r="O761" s="87">
        <v>240</v>
      </c>
      <c r="P761" s="87">
        <v>40</v>
      </c>
      <c r="Q761" s="87">
        <f t="shared" si="119"/>
        <v>315</v>
      </c>
      <c r="R761" s="87">
        <f t="shared" si="120"/>
        <v>100</v>
      </c>
      <c r="S761" s="84">
        <f t="shared" si="121"/>
        <v>695</v>
      </c>
      <c r="T761" s="84">
        <f>50</f>
        <v>50</v>
      </c>
      <c r="U761" s="85"/>
      <c r="V761" s="85"/>
      <c r="W761" s="85"/>
      <c r="X761" s="85"/>
      <c r="Y761" s="85"/>
      <c r="Z761" s="85"/>
      <c r="AA761" s="85"/>
      <c r="AB761" s="85"/>
      <c r="AC761" s="85"/>
      <c r="AD761" s="85"/>
    </row>
    <row r="762" spans="1:30" ht="15.75" x14ac:dyDescent="0.25">
      <c r="A762" s="13">
        <v>64131</v>
      </c>
      <c r="B762" s="96">
        <f t="shared" si="117"/>
        <v>31</v>
      </c>
      <c r="C762" s="84">
        <f>194.205</f>
        <v>194.20500000000001</v>
      </c>
      <c r="D762" s="84">
        <f>267.466</f>
        <v>267.46600000000001</v>
      </c>
      <c r="E762" s="93">
        <f>133.845</f>
        <v>133.845</v>
      </c>
      <c r="F762" s="84">
        <f>278.484-40-25-60-100</f>
        <v>53.48399999999998</v>
      </c>
      <c r="G762" s="87">
        <v>40</v>
      </c>
      <c r="H762" s="84">
        <f t="shared" si="125"/>
        <v>185</v>
      </c>
      <c r="I762" s="84">
        <f t="shared" si="124"/>
        <v>0</v>
      </c>
      <c r="J762" s="87">
        <v>100</v>
      </c>
      <c r="K762" s="87">
        <v>300</v>
      </c>
      <c r="L762" s="84">
        <f t="shared" si="118"/>
        <v>1274</v>
      </c>
      <c r="M762" s="95">
        <v>600</v>
      </c>
      <c r="N762" s="84">
        <f>30</f>
        <v>30</v>
      </c>
      <c r="O762" s="87">
        <v>240</v>
      </c>
      <c r="P762" s="87">
        <v>40</v>
      </c>
      <c r="Q762" s="87">
        <f t="shared" si="119"/>
        <v>315</v>
      </c>
      <c r="R762" s="87">
        <f t="shared" si="120"/>
        <v>100</v>
      </c>
      <c r="S762" s="84">
        <f t="shared" si="121"/>
        <v>695</v>
      </c>
      <c r="T762" s="84">
        <f>0</f>
        <v>0</v>
      </c>
      <c r="U762" s="85"/>
      <c r="V762" s="85"/>
      <c r="W762" s="85"/>
      <c r="X762" s="85"/>
      <c r="Y762" s="85"/>
      <c r="Z762" s="85"/>
      <c r="AA762" s="85"/>
      <c r="AB762" s="85"/>
      <c r="AC762" s="85"/>
      <c r="AD762" s="85"/>
    </row>
    <row r="763" spans="1:30" ht="15.75" x14ac:dyDescent="0.25">
      <c r="A763" s="13">
        <v>64162</v>
      </c>
      <c r="B763" s="96">
        <f t="shared" si="117"/>
        <v>31</v>
      </c>
      <c r="C763" s="84">
        <f>194.205</f>
        <v>194.20500000000001</v>
      </c>
      <c r="D763" s="84">
        <f>267.466</f>
        <v>267.46600000000001</v>
      </c>
      <c r="E763" s="93">
        <f>133.845</f>
        <v>133.845</v>
      </c>
      <c r="F763" s="84">
        <f>278.484-40-25-60-100</f>
        <v>53.48399999999998</v>
      </c>
      <c r="G763" s="87">
        <v>40</v>
      </c>
      <c r="H763" s="84">
        <f t="shared" si="125"/>
        <v>185</v>
      </c>
      <c r="I763" s="84">
        <f t="shared" si="124"/>
        <v>0</v>
      </c>
      <c r="J763" s="87">
        <v>100</v>
      </c>
      <c r="K763" s="87">
        <v>300</v>
      </c>
      <c r="L763" s="84">
        <f t="shared" si="118"/>
        <v>1274</v>
      </c>
      <c r="M763" s="95">
        <v>600</v>
      </c>
      <c r="N763" s="84">
        <f>30</f>
        <v>30</v>
      </c>
      <c r="O763" s="87">
        <v>240</v>
      </c>
      <c r="P763" s="87">
        <v>40</v>
      </c>
      <c r="Q763" s="87">
        <f t="shared" si="119"/>
        <v>315</v>
      </c>
      <c r="R763" s="87">
        <f t="shared" si="120"/>
        <v>100</v>
      </c>
      <c r="S763" s="84">
        <f t="shared" si="121"/>
        <v>695</v>
      </c>
      <c r="T763" s="84">
        <f>0</f>
        <v>0</v>
      </c>
      <c r="U763" s="85"/>
      <c r="V763" s="85"/>
      <c r="W763" s="85"/>
      <c r="X763" s="85"/>
      <c r="Y763" s="85"/>
      <c r="Z763" s="85"/>
      <c r="AA763" s="85"/>
      <c r="AB763" s="85"/>
      <c r="AC763" s="85"/>
      <c r="AD763" s="85"/>
    </row>
    <row r="764" spans="1:30" ht="15.75" x14ac:dyDescent="0.25">
      <c r="A764" s="13">
        <v>64192</v>
      </c>
      <c r="B764" s="96">
        <f t="shared" si="117"/>
        <v>30</v>
      </c>
      <c r="C764" s="84">
        <f>194.205</f>
        <v>194.20500000000001</v>
      </c>
      <c r="D764" s="84">
        <f>267.466</f>
        <v>267.46600000000001</v>
      </c>
      <c r="E764" s="93">
        <f>133.845</f>
        <v>133.845</v>
      </c>
      <c r="F764" s="84">
        <f>278.484-40-25-60-100</f>
        <v>53.48399999999998</v>
      </c>
      <c r="G764" s="87">
        <v>40</v>
      </c>
      <c r="H764" s="84">
        <f t="shared" si="125"/>
        <v>185</v>
      </c>
      <c r="I764" s="84">
        <f t="shared" si="124"/>
        <v>0</v>
      </c>
      <c r="J764" s="87">
        <v>100</v>
      </c>
      <c r="K764" s="87">
        <v>300</v>
      </c>
      <c r="L764" s="84">
        <f t="shared" si="118"/>
        <v>1274</v>
      </c>
      <c r="M764" s="95">
        <v>600</v>
      </c>
      <c r="N764" s="84">
        <f>30</f>
        <v>30</v>
      </c>
      <c r="O764" s="87">
        <v>240</v>
      </c>
      <c r="P764" s="87">
        <v>40</v>
      </c>
      <c r="Q764" s="87">
        <f t="shared" si="119"/>
        <v>315</v>
      </c>
      <c r="R764" s="87">
        <f t="shared" si="120"/>
        <v>100</v>
      </c>
      <c r="S764" s="84">
        <f t="shared" si="121"/>
        <v>695</v>
      </c>
      <c r="T764" s="84">
        <f>0</f>
        <v>0</v>
      </c>
      <c r="U764" s="85"/>
      <c r="V764" s="85"/>
      <c r="W764" s="85"/>
      <c r="X764" s="85"/>
      <c r="Y764" s="85"/>
      <c r="Z764" s="85"/>
      <c r="AA764" s="85"/>
      <c r="AB764" s="85"/>
      <c r="AC764" s="85"/>
      <c r="AD764" s="85"/>
    </row>
    <row r="765" spans="1:30" ht="15.75" x14ac:dyDescent="0.25">
      <c r="A765" s="13">
        <v>64223</v>
      </c>
      <c r="B765" s="96">
        <f t="shared" si="117"/>
        <v>31</v>
      </c>
      <c r="C765" s="84">
        <f>131.881</f>
        <v>131.881</v>
      </c>
      <c r="D765" s="84">
        <f>277.167</f>
        <v>277.16699999999997</v>
      </c>
      <c r="E765" s="93">
        <f>79.08</f>
        <v>79.08</v>
      </c>
      <c r="F765" s="84">
        <f>350.872-40-25-60-100</f>
        <v>125.87200000000001</v>
      </c>
      <c r="G765" s="87">
        <v>40</v>
      </c>
      <c r="H765" s="84">
        <f t="shared" si="125"/>
        <v>185</v>
      </c>
      <c r="I765" s="84">
        <f t="shared" si="124"/>
        <v>0</v>
      </c>
      <c r="J765" s="87">
        <v>100</v>
      </c>
      <c r="K765" s="87">
        <v>300</v>
      </c>
      <c r="L765" s="84">
        <f t="shared" si="118"/>
        <v>1239</v>
      </c>
      <c r="M765" s="95">
        <v>600</v>
      </c>
      <c r="N765" s="84">
        <f>75</f>
        <v>75</v>
      </c>
      <c r="O765" s="87">
        <v>240</v>
      </c>
      <c r="P765" s="87">
        <v>40</v>
      </c>
      <c r="Q765" s="87">
        <f t="shared" si="119"/>
        <v>315</v>
      </c>
      <c r="R765" s="87">
        <f t="shared" si="120"/>
        <v>100</v>
      </c>
      <c r="S765" s="84">
        <f t="shared" si="121"/>
        <v>695</v>
      </c>
      <c r="T765" s="84">
        <f>0</f>
        <v>0</v>
      </c>
      <c r="U765" s="85"/>
      <c r="V765" s="85"/>
      <c r="W765" s="85"/>
      <c r="X765" s="85"/>
      <c r="Y765" s="85"/>
      <c r="Z765" s="85"/>
      <c r="AA765" s="85"/>
      <c r="AB765" s="85"/>
      <c r="AC765" s="85"/>
      <c r="AD765" s="85"/>
    </row>
    <row r="766" spans="1:30" ht="15.75" x14ac:dyDescent="0.25">
      <c r="A766" s="13">
        <v>64253</v>
      </c>
      <c r="B766" s="96">
        <f t="shared" si="117"/>
        <v>30</v>
      </c>
      <c r="C766" s="84">
        <f>122.58</f>
        <v>122.58</v>
      </c>
      <c r="D766" s="84">
        <f>297.941</f>
        <v>297.94099999999997</v>
      </c>
      <c r="E766" s="93">
        <f>89.177</f>
        <v>89.177000000000007</v>
      </c>
      <c r="F766" s="84">
        <f>240.302-40-60-100</f>
        <v>40.301999999999992</v>
      </c>
      <c r="G766" s="87">
        <v>40</v>
      </c>
      <c r="H766" s="84">
        <f>60+100</f>
        <v>160</v>
      </c>
      <c r="I766" s="84">
        <f t="shared" si="124"/>
        <v>0</v>
      </c>
      <c r="J766" s="87">
        <v>100</v>
      </c>
      <c r="K766" s="87">
        <v>300</v>
      </c>
      <c r="L766" s="84">
        <f t="shared" si="118"/>
        <v>1150</v>
      </c>
      <c r="M766" s="95">
        <v>600</v>
      </c>
      <c r="N766" s="84">
        <f>100</f>
        <v>100</v>
      </c>
      <c r="O766" s="87">
        <v>240</v>
      </c>
      <c r="P766" s="87">
        <v>40</v>
      </c>
      <c r="Q766" s="87">
        <f t="shared" si="119"/>
        <v>315</v>
      </c>
      <c r="R766" s="87">
        <f t="shared" si="120"/>
        <v>100</v>
      </c>
      <c r="S766" s="84">
        <f t="shared" si="121"/>
        <v>695</v>
      </c>
      <c r="T766" s="84">
        <f>50</f>
        <v>50</v>
      </c>
      <c r="U766" s="85"/>
      <c r="V766" s="85"/>
      <c r="W766" s="85"/>
      <c r="X766" s="85"/>
      <c r="Y766" s="85"/>
      <c r="Z766" s="85"/>
      <c r="AA766" s="85"/>
      <c r="AB766" s="85"/>
      <c r="AC766" s="85"/>
      <c r="AD766" s="85"/>
    </row>
    <row r="767" spans="1:30" ht="15.75" x14ac:dyDescent="0.25">
      <c r="A767" s="13">
        <v>64284</v>
      </c>
      <c r="B767" s="96">
        <f t="shared" si="117"/>
        <v>31</v>
      </c>
      <c r="C767" s="84">
        <f>122.58</f>
        <v>122.58</v>
      </c>
      <c r="D767" s="84">
        <f>297.941</f>
        <v>297.94099999999997</v>
      </c>
      <c r="E767" s="93">
        <f>89.177</f>
        <v>89.177000000000007</v>
      </c>
      <c r="F767" s="84">
        <f>240.302-40-60-100</f>
        <v>40.301999999999992</v>
      </c>
      <c r="G767" s="87">
        <v>40</v>
      </c>
      <c r="H767" s="84">
        <f>60+100</f>
        <v>160</v>
      </c>
      <c r="I767" s="84">
        <f t="shared" si="124"/>
        <v>0</v>
      </c>
      <c r="J767" s="87">
        <v>100</v>
      </c>
      <c r="K767" s="87">
        <v>300</v>
      </c>
      <c r="L767" s="84">
        <f t="shared" si="118"/>
        <v>1150</v>
      </c>
      <c r="M767" s="95">
        <v>600</v>
      </c>
      <c r="N767" s="84">
        <f>100</f>
        <v>100</v>
      </c>
      <c r="O767" s="87">
        <v>240</v>
      </c>
      <c r="P767" s="87">
        <v>40</v>
      </c>
      <c r="Q767" s="87">
        <f t="shared" si="119"/>
        <v>315</v>
      </c>
      <c r="R767" s="87">
        <f t="shared" si="120"/>
        <v>100</v>
      </c>
      <c r="S767" s="84">
        <f t="shared" si="121"/>
        <v>695</v>
      </c>
      <c r="T767" s="84">
        <f>50</f>
        <v>50</v>
      </c>
      <c r="U767" s="85"/>
      <c r="V767" s="85"/>
      <c r="W767" s="85"/>
      <c r="X767" s="85"/>
      <c r="Y767" s="85"/>
      <c r="Z767" s="85"/>
      <c r="AA767" s="85"/>
      <c r="AB767" s="85"/>
      <c r="AC767" s="85"/>
      <c r="AD767" s="85"/>
    </row>
    <row r="768" spans="1:30" ht="15.75" x14ac:dyDescent="0.25">
      <c r="A768" s="13">
        <v>64315</v>
      </c>
      <c r="B768" s="96">
        <f t="shared" si="117"/>
        <v>31</v>
      </c>
      <c r="C768" s="84">
        <f>122.58</f>
        <v>122.58</v>
      </c>
      <c r="D768" s="84">
        <f>297.941</f>
        <v>297.94099999999997</v>
      </c>
      <c r="E768" s="93">
        <f>89.177</f>
        <v>89.177000000000007</v>
      </c>
      <c r="F768" s="84">
        <f>240.302-40-60-100</f>
        <v>40.301999999999992</v>
      </c>
      <c r="G768" s="87">
        <v>40</v>
      </c>
      <c r="H768" s="84">
        <f>60+100</f>
        <v>160</v>
      </c>
      <c r="I768" s="84">
        <f t="shared" si="124"/>
        <v>0</v>
      </c>
      <c r="J768" s="87">
        <v>100</v>
      </c>
      <c r="K768" s="87">
        <v>300</v>
      </c>
      <c r="L768" s="84">
        <f t="shared" si="118"/>
        <v>1150</v>
      </c>
      <c r="M768" s="95">
        <v>600</v>
      </c>
      <c r="N768" s="84">
        <f>100</f>
        <v>100</v>
      </c>
      <c r="O768" s="87">
        <v>240</v>
      </c>
      <c r="P768" s="87">
        <v>40</v>
      </c>
      <c r="Q768" s="87">
        <f t="shared" si="119"/>
        <v>315</v>
      </c>
      <c r="R768" s="87">
        <f t="shared" si="120"/>
        <v>100</v>
      </c>
      <c r="S768" s="84">
        <f t="shared" si="121"/>
        <v>695</v>
      </c>
      <c r="T768" s="84">
        <f>50</f>
        <v>50</v>
      </c>
      <c r="U768" s="85"/>
      <c r="V768" s="85"/>
      <c r="W768" s="85"/>
      <c r="X768" s="85"/>
      <c r="Y768" s="85"/>
      <c r="Z768" s="85"/>
      <c r="AA768" s="85"/>
      <c r="AB768" s="85"/>
      <c r="AC768" s="85"/>
      <c r="AD768" s="85"/>
    </row>
    <row r="769" spans="1:30" ht="15.75" x14ac:dyDescent="0.25">
      <c r="A769" s="13">
        <v>64344</v>
      </c>
      <c r="B769" s="96">
        <f t="shared" si="117"/>
        <v>29</v>
      </c>
      <c r="C769" s="84">
        <f>122.58</f>
        <v>122.58</v>
      </c>
      <c r="D769" s="84">
        <f>297.941</f>
        <v>297.94099999999997</v>
      </c>
      <c r="E769" s="93">
        <f>89.177</f>
        <v>89.177000000000007</v>
      </c>
      <c r="F769" s="84">
        <f>240.302-40-60-100</f>
        <v>40.301999999999992</v>
      </c>
      <c r="G769" s="87">
        <v>40</v>
      </c>
      <c r="H769" s="84">
        <f>60+100</f>
        <v>160</v>
      </c>
      <c r="I769" s="84">
        <f t="shared" si="124"/>
        <v>0</v>
      </c>
      <c r="J769" s="87">
        <v>100</v>
      </c>
      <c r="K769" s="87">
        <v>300</v>
      </c>
      <c r="L769" s="84">
        <f t="shared" si="118"/>
        <v>1150</v>
      </c>
      <c r="M769" s="95">
        <v>600</v>
      </c>
      <c r="N769" s="84">
        <f>100</f>
        <v>100</v>
      </c>
      <c r="O769" s="87">
        <v>240</v>
      </c>
      <c r="P769" s="87">
        <v>40</v>
      </c>
      <c r="Q769" s="87">
        <f t="shared" si="119"/>
        <v>315</v>
      </c>
      <c r="R769" s="87">
        <f t="shared" si="120"/>
        <v>100</v>
      </c>
      <c r="S769" s="84">
        <f t="shared" si="121"/>
        <v>695</v>
      </c>
      <c r="T769" s="84">
        <f>50</f>
        <v>50</v>
      </c>
      <c r="U769" s="85"/>
      <c r="V769" s="85"/>
      <c r="W769" s="85"/>
      <c r="X769" s="85"/>
      <c r="Y769" s="85"/>
      <c r="Z769" s="85"/>
      <c r="AA769" s="85"/>
      <c r="AB769" s="85"/>
      <c r="AC769" s="85"/>
      <c r="AD769" s="85"/>
    </row>
    <row r="770" spans="1:30" ht="15.75" x14ac:dyDescent="0.25">
      <c r="A770" s="13">
        <v>64375</v>
      </c>
      <c r="B770" s="96">
        <f t="shared" si="117"/>
        <v>31</v>
      </c>
      <c r="C770" s="84">
        <f>122.58</f>
        <v>122.58</v>
      </c>
      <c r="D770" s="84">
        <f>297.941</f>
        <v>297.94099999999997</v>
      </c>
      <c r="E770" s="93">
        <f>89.177</f>
        <v>89.177000000000007</v>
      </c>
      <c r="F770" s="84">
        <f>240.302-40-60-100</f>
        <v>40.301999999999992</v>
      </c>
      <c r="G770" s="87">
        <v>40</v>
      </c>
      <c r="H770" s="84">
        <f>60+100</f>
        <v>160</v>
      </c>
      <c r="I770" s="84">
        <f t="shared" si="124"/>
        <v>0</v>
      </c>
      <c r="J770" s="87">
        <v>100</v>
      </c>
      <c r="K770" s="87">
        <v>300</v>
      </c>
      <c r="L770" s="84">
        <f t="shared" si="118"/>
        <v>1150</v>
      </c>
      <c r="M770" s="95">
        <v>600</v>
      </c>
      <c r="N770" s="84">
        <f>100</f>
        <v>100</v>
      </c>
      <c r="O770" s="87">
        <v>240</v>
      </c>
      <c r="P770" s="87">
        <v>40</v>
      </c>
      <c r="Q770" s="87">
        <f t="shared" si="119"/>
        <v>315</v>
      </c>
      <c r="R770" s="87">
        <f t="shared" si="120"/>
        <v>100</v>
      </c>
      <c r="S770" s="84">
        <f t="shared" si="121"/>
        <v>695</v>
      </c>
      <c r="T770" s="84">
        <f>50</f>
        <v>50</v>
      </c>
      <c r="U770" s="85"/>
      <c r="V770" s="85"/>
      <c r="W770" s="85"/>
      <c r="X770" s="85"/>
      <c r="Y770" s="85"/>
      <c r="Z770" s="85"/>
      <c r="AA770" s="85"/>
      <c r="AB770" s="85"/>
      <c r="AC770" s="85"/>
      <c r="AD770" s="85"/>
    </row>
    <row r="771" spans="1:30" ht="15.75" x14ac:dyDescent="0.25">
      <c r="A771" s="13">
        <v>64405</v>
      </c>
      <c r="B771" s="96">
        <f t="shared" si="117"/>
        <v>30</v>
      </c>
      <c r="C771" s="84">
        <f>141.293</f>
        <v>141.29300000000001</v>
      </c>
      <c r="D771" s="84">
        <f>267.993</f>
        <v>267.99299999999999</v>
      </c>
      <c r="E771" s="93">
        <f>115.016</f>
        <v>115.01600000000001</v>
      </c>
      <c r="F771" s="84">
        <f>314.698-40-25-60-100</f>
        <v>89.697999999999979</v>
      </c>
      <c r="G771" s="87">
        <v>40</v>
      </c>
      <c r="H771" s="84">
        <f t="shared" ref="H771:H777" si="126">25+60+100</f>
        <v>185</v>
      </c>
      <c r="I771" s="84">
        <f t="shared" si="124"/>
        <v>0</v>
      </c>
      <c r="J771" s="87">
        <v>100</v>
      </c>
      <c r="K771" s="87">
        <v>300</v>
      </c>
      <c r="L771" s="84">
        <f t="shared" si="118"/>
        <v>1239</v>
      </c>
      <c r="M771" s="95">
        <v>600</v>
      </c>
      <c r="N771" s="84">
        <f>100</f>
        <v>100</v>
      </c>
      <c r="O771" s="87">
        <v>240</v>
      </c>
      <c r="P771" s="87">
        <v>40</v>
      </c>
      <c r="Q771" s="87">
        <f t="shared" si="119"/>
        <v>315</v>
      </c>
      <c r="R771" s="87">
        <f t="shared" si="120"/>
        <v>100</v>
      </c>
      <c r="S771" s="84">
        <f t="shared" si="121"/>
        <v>695</v>
      </c>
      <c r="T771" s="84">
        <f>50</f>
        <v>50</v>
      </c>
      <c r="U771" s="85"/>
      <c r="V771" s="85"/>
      <c r="W771" s="85"/>
      <c r="X771" s="85"/>
      <c r="Y771" s="85"/>
      <c r="Z771" s="85"/>
      <c r="AA771" s="85"/>
      <c r="AB771" s="85"/>
      <c r="AC771" s="85"/>
      <c r="AD771" s="85"/>
    </row>
    <row r="772" spans="1:30" ht="15.75" x14ac:dyDescent="0.25">
      <c r="A772" s="13">
        <v>64436</v>
      </c>
      <c r="B772" s="96">
        <f t="shared" si="117"/>
        <v>31</v>
      </c>
      <c r="C772" s="84">
        <f>194.205</f>
        <v>194.20500000000001</v>
      </c>
      <c r="D772" s="84">
        <f>267.466</f>
        <v>267.46600000000001</v>
      </c>
      <c r="E772" s="93">
        <f>133.845</f>
        <v>133.845</v>
      </c>
      <c r="F772" s="84">
        <f>278.484-40-25-60-100</f>
        <v>53.48399999999998</v>
      </c>
      <c r="G772" s="87">
        <v>40</v>
      </c>
      <c r="H772" s="84">
        <f t="shared" si="126"/>
        <v>185</v>
      </c>
      <c r="I772" s="84">
        <f t="shared" si="124"/>
        <v>0</v>
      </c>
      <c r="J772" s="87">
        <v>100</v>
      </c>
      <c r="K772" s="87">
        <v>300</v>
      </c>
      <c r="L772" s="84">
        <f t="shared" si="118"/>
        <v>1274</v>
      </c>
      <c r="M772" s="95">
        <v>600</v>
      </c>
      <c r="N772" s="84">
        <f>75</f>
        <v>75</v>
      </c>
      <c r="O772" s="87">
        <v>240</v>
      </c>
      <c r="P772" s="87">
        <v>40</v>
      </c>
      <c r="Q772" s="87">
        <f t="shared" si="119"/>
        <v>315</v>
      </c>
      <c r="R772" s="87">
        <f t="shared" si="120"/>
        <v>100</v>
      </c>
      <c r="S772" s="84">
        <f t="shared" si="121"/>
        <v>695</v>
      </c>
      <c r="T772" s="84">
        <f>50</f>
        <v>50</v>
      </c>
      <c r="U772" s="85"/>
      <c r="V772" s="85"/>
      <c r="W772" s="85"/>
      <c r="X772" s="85"/>
      <c r="Y772" s="85"/>
      <c r="Z772" s="85"/>
      <c r="AA772" s="85"/>
      <c r="AB772" s="85"/>
      <c r="AC772" s="85"/>
      <c r="AD772" s="85"/>
    </row>
    <row r="773" spans="1:30" ht="15.75" x14ac:dyDescent="0.25">
      <c r="A773" s="13">
        <v>64466</v>
      </c>
      <c r="B773" s="96">
        <f t="shared" si="117"/>
        <v>30</v>
      </c>
      <c r="C773" s="84">
        <f>194.205</f>
        <v>194.20500000000001</v>
      </c>
      <c r="D773" s="84">
        <f>267.466</f>
        <v>267.46600000000001</v>
      </c>
      <c r="E773" s="93">
        <f>133.845</f>
        <v>133.845</v>
      </c>
      <c r="F773" s="84">
        <f>278.484-40-25-60-100</f>
        <v>53.48399999999998</v>
      </c>
      <c r="G773" s="87">
        <v>40</v>
      </c>
      <c r="H773" s="84">
        <f t="shared" si="126"/>
        <v>185</v>
      </c>
      <c r="I773" s="84">
        <f t="shared" si="124"/>
        <v>0</v>
      </c>
      <c r="J773" s="87">
        <v>100</v>
      </c>
      <c r="K773" s="87">
        <v>300</v>
      </c>
      <c r="L773" s="84">
        <f t="shared" si="118"/>
        <v>1274</v>
      </c>
      <c r="M773" s="95">
        <v>600</v>
      </c>
      <c r="N773" s="84">
        <f>30</f>
        <v>30</v>
      </c>
      <c r="O773" s="87">
        <v>240</v>
      </c>
      <c r="P773" s="87">
        <v>40</v>
      </c>
      <c r="Q773" s="87">
        <f t="shared" si="119"/>
        <v>315</v>
      </c>
      <c r="R773" s="87">
        <f t="shared" si="120"/>
        <v>100</v>
      </c>
      <c r="S773" s="84">
        <f t="shared" si="121"/>
        <v>695</v>
      </c>
      <c r="T773" s="84">
        <f>50</f>
        <v>50</v>
      </c>
      <c r="U773" s="85"/>
      <c r="V773" s="85"/>
      <c r="W773" s="85"/>
      <c r="X773" s="85"/>
      <c r="Y773" s="85"/>
      <c r="Z773" s="85"/>
      <c r="AA773" s="85"/>
      <c r="AB773" s="85"/>
      <c r="AC773" s="85"/>
      <c r="AD773" s="85"/>
    </row>
    <row r="774" spans="1:30" ht="15.75" x14ac:dyDescent="0.25">
      <c r="A774" s="13">
        <v>64497</v>
      </c>
      <c r="B774" s="96">
        <f t="shared" si="117"/>
        <v>31</v>
      </c>
      <c r="C774" s="84">
        <f>194.205</f>
        <v>194.20500000000001</v>
      </c>
      <c r="D774" s="84">
        <f>267.466</f>
        <v>267.46600000000001</v>
      </c>
      <c r="E774" s="93">
        <f>133.845</f>
        <v>133.845</v>
      </c>
      <c r="F774" s="84">
        <f>278.484-40-25-60-100</f>
        <v>53.48399999999998</v>
      </c>
      <c r="G774" s="87">
        <v>40</v>
      </c>
      <c r="H774" s="84">
        <f t="shared" si="126"/>
        <v>185</v>
      </c>
      <c r="I774" s="84">
        <f t="shared" si="124"/>
        <v>0</v>
      </c>
      <c r="J774" s="87">
        <v>100</v>
      </c>
      <c r="K774" s="87">
        <v>300</v>
      </c>
      <c r="L774" s="84">
        <f t="shared" si="118"/>
        <v>1274</v>
      </c>
      <c r="M774" s="95">
        <v>600</v>
      </c>
      <c r="N774" s="84">
        <f>30</f>
        <v>30</v>
      </c>
      <c r="O774" s="87">
        <v>240</v>
      </c>
      <c r="P774" s="87">
        <v>40</v>
      </c>
      <c r="Q774" s="87">
        <f t="shared" si="119"/>
        <v>315</v>
      </c>
      <c r="R774" s="87">
        <f t="shared" si="120"/>
        <v>100</v>
      </c>
      <c r="S774" s="84">
        <f t="shared" si="121"/>
        <v>695</v>
      </c>
      <c r="T774" s="84">
        <f>0</f>
        <v>0</v>
      </c>
      <c r="U774" s="85"/>
      <c r="V774" s="85"/>
      <c r="W774" s="85"/>
      <c r="X774" s="85"/>
      <c r="Y774" s="85"/>
      <c r="Z774" s="85"/>
      <c r="AA774" s="85"/>
      <c r="AB774" s="85"/>
      <c r="AC774" s="85"/>
      <c r="AD774" s="85"/>
    </row>
    <row r="775" spans="1:30" ht="15.75" x14ac:dyDescent="0.25">
      <c r="A775" s="13">
        <v>64528</v>
      </c>
      <c r="B775" s="96">
        <f t="shared" si="117"/>
        <v>31</v>
      </c>
      <c r="C775" s="84">
        <f>194.205</f>
        <v>194.20500000000001</v>
      </c>
      <c r="D775" s="84">
        <f>267.466</f>
        <v>267.46600000000001</v>
      </c>
      <c r="E775" s="93">
        <f>133.845</f>
        <v>133.845</v>
      </c>
      <c r="F775" s="84">
        <f>278.484-40-25-60-100</f>
        <v>53.48399999999998</v>
      </c>
      <c r="G775" s="87">
        <v>40</v>
      </c>
      <c r="H775" s="84">
        <f t="shared" si="126"/>
        <v>185</v>
      </c>
      <c r="I775" s="84">
        <f t="shared" si="124"/>
        <v>0</v>
      </c>
      <c r="J775" s="87">
        <v>100</v>
      </c>
      <c r="K775" s="87">
        <v>300</v>
      </c>
      <c r="L775" s="84">
        <f t="shared" si="118"/>
        <v>1274</v>
      </c>
      <c r="M775" s="95">
        <v>600</v>
      </c>
      <c r="N775" s="84">
        <f>30</f>
        <v>30</v>
      </c>
      <c r="O775" s="87">
        <v>240</v>
      </c>
      <c r="P775" s="87">
        <v>40</v>
      </c>
      <c r="Q775" s="87">
        <f t="shared" si="119"/>
        <v>315</v>
      </c>
      <c r="R775" s="87">
        <f t="shared" si="120"/>
        <v>100</v>
      </c>
      <c r="S775" s="84">
        <f t="shared" si="121"/>
        <v>695</v>
      </c>
      <c r="T775" s="84">
        <f>0</f>
        <v>0</v>
      </c>
      <c r="U775" s="85"/>
      <c r="V775" s="85"/>
      <c r="W775" s="85"/>
      <c r="X775" s="85"/>
      <c r="Y775" s="85"/>
      <c r="Z775" s="85"/>
      <c r="AA775" s="85"/>
      <c r="AB775" s="85"/>
      <c r="AC775" s="85"/>
      <c r="AD775" s="85"/>
    </row>
    <row r="776" spans="1:30" ht="15.75" x14ac:dyDescent="0.25">
      <c r="A776" s="13">
        <v>64558</v>
      </c>
      <c r="B776" s="96">
        <f t="shared" si="117"/>
        <v>30</v>
      </c>
      <c r="C776" s="84">
        <f>194.205</f>
        <v>194.20500000000001</v>
      </c>
      <c r="D776" s="84">
        <f>267.466</f>
        <v>267.46600000000001</v>
      </c>
      <c r="E776" s="93">
        <f>133.845</f>
        <v>133.845</v>
      </c>
      <c r="F776" s="84">
        <f>278.484-40-25-60-100</f>
        <v>53.48399999999998</v>
      </c>
      <c r="G776" s="87">
        <v>40</v>
      </c>
      <c r="H776" s="84">
        <f t="shared" si="126"/>
        <v>185</v>
      </c>
      <c r="I776" s="84">
        <f t="shared" si="124"/>
        <v>0</v>
      </c>
      <c r="J776" s="87">
        <v>100</v>
      </c>
      <c r="K776" s="87">
        <v>300</v>
      </c>
      <c r="L776" s="84">
        <f t="shared" si="118"/>
        <v>1274</v>
      </c>
      <c r="M776" s="95">
        <v>600</v>
      </c>
      <c r="N776" s="84">
        <f>30</f>
        <v>30</v>
      </c>
      <c r="O776" s="87">
        <v>240</v>
      </c>
      <c r="P776" s="87">
        <v>40</v>
      </c>
      <c r="Q776" s="87">
        <f t="shared" si="119"/>
        <v>315</v>
      </c>
      <c r="R776" s="87">
        <f t="shared" si="120"/>
        <v>100</v>
      </c>
      <c r="S776" s="84">
        <f t="shared" si="121"/>
        <v>695</v>
      </c>
      <c r="T776" s="84">
        <f>0</f>
        <v>0</v>
      </c>
      <c r="U776" s="85"/>
      <c r="V776" s="85"/>
      <c r="W776" s="85"/>
      <c r="X776" s="85"/>
      <c r="Y776" s="85"/>
      <c r="Z776" s="85"/>
      <c r="AA776" s="85"/>
      <c r="AB776" s="85"/>
      <c r="AC776" s="85"/>
      <c r="AD776" s="85"/>
    </row>
    <row r="777" spans="1:30" ht="15.75" x14ac:dyDescent="0.25">
      <c r="A777" s="13">
        <v>64589</v>
      </c>
      <c r="B777" s="96">
        <f t="shared" si="117"/>
        <v>31</v>
      </c>
      <c r="C777" s="84">
        <f>131.881</f>
        <v>131.881</v>
      </c>
      <c r="D777" s="84">
        <f>277.167</f>
        <v>277.16699999999997</v>
      </c>
      <c r="E777" s="93">
        <f>79.08</f>
        <v>79.08</v>
      </c>
      <c r="F777" s="84">
        <f>350.872-40-25-60-100</f>
        <v>125.87200000000001</v>
      </c>
      <c r="G777" s="87">
        <v>40</v>
      </c>
      <c r="H777" s="84">
        <f t="shared" si="126"/>
        <v>185</v>
      </c>
      <c r="I777" s="84">
        <f t="shared" si="124"/>
        <v>0</v>
      </c>
      <c r="J777" s="87">
        <v>100</v>
      </c>
      <c r="K777" s="87">
        <v>300</v>
      </c>
      <c r="L777" s="84">
        <f t="shared" si="118"/>
        <v>1239</v>
      </c>
      <c r="M777" s="95">
        <v>600</v>
      </c>
      <c r="N777" s="84">
        <f>75</f>
        <v>75</v>
      </c>
      <c r="O777" s="87">
        <v>240</v>
      </c>
      <c r="P777" s="87">
        <v>40</v>
      </c>
      <c r="Q777" s="87">
        <f t="shared" si="119"/>
        <v>315</v>
      </c>
      <c r="R777" s="87">
        <f t="shared" si="120"/>
        <v>100</v>
      </c>
      <c r="S777" s="84">
        <f t="shared" si="121"/>
        <v>695</v>
      </c>
      <c r="T777" s="84">
        <f>0</f>
        <v>0</v>
      </c>
      <c r="U777" s="85"/>
      <c r="V777" s="85"/>
      <c r="W777" s="85"/>
      <c r="X777" s="85"/>
      <c r="Y777" s="85"/>
      <c r="Z777" s="85"/>
      <c r="AA777" s="85"/>
      <c r="AB777" s="85"/>
      <c r="AC777" s="85"/>
      <c r="AD777" s="85"/>
    </row>
    <row r="778" spans="1:30" ht="15.75" x14ac:dyDescent="0.25">
      <c r="A778" s="13">
        <v>64619</v>
      </c>
      <c r="B778" s="96">
        <f t="shared" si="117"/>
        <v>30</v>
      </c>
      <c r="C778" s="84">
        <f>122.58</f>
        <v>122.58</v>
      </c>
      <c r="D778" s="84">
        <f>297.941</f>
        <v>297.94099999999997</v>
      </c>
      <c r="E778" s="93">
        <f>89.177</f>
        <v>89.177000000000007</v>
      </c>
      <c r="F778" s="84">
        <f>240.302-40-60-100</f>
        <v>40.301999999999992</v>
      </c>
      <c r="G778" s="87">
        <v>40</v>
      </c>
      <c r="H778" s="84">
        <f>60+100</f>
        <v>160</v>
      </c>
      <c r="I778" s="84">
        <f t="shared" si="124"/>
        <v>0</v>
      </c>
      <c r="J778" s="87">
        <v>100</v>
      </c>
      <c r="K778" s="87">
        <v>300</v>
      </c>
      <c r="L778" s="84">
        <f t="shared" si="118"/>
        <v>1150</v>
      </c>
      <c r="M778" s="95">
        <v>600</v>
      </c>
      <c r="N778" s="84">
        <f>100</f>
        <v>100</v>
      </c>
      <c r="O778" s="87">
        <v>240</v>
      </c>
      <c r="P778" s="87">
        <v>40</v>
      </c>
      <c r="Q778" s="87">
        <f t="shared" si="119"/>
        <v>315</v>
      </c>
      <c r="R778" s="87">
        <f t="shared" si="120"/>
        <v>100</v>
      </c>
      <c r="S778" s="84">
        <f t="shared" si="121"/>
        <v>695</v>
      </c>
      <c r="T778" s="84">
        <f>50</f>
        <v>50</v>
      </c>
      <c r="U778" s="85"/>
      <c r="V778" s="85"/>
      <c r="W778" s="85"/>
      <c r="X778" s="85"/>
      <c r="Y778" s="85"/>
      <c r="Z778" s="85"/>
      <c r="AA778" s="85"/>
      <c r="AB778" s="85"/>
      <c r="AC778" s="85"/>
      <c r="AD778" s="85"/>
    </row>
    <row r="779" spans="1:30" ht="15.75" x14ac:dyDescent="0.25">
      <c r="A779" s="13">
        <v>64650</v>
      </c>
      <c r="B779" s="96">
        <f t="shared" si="117"/>
        <v>31</v>
      </c>
      <c r="C779" s="84">
        <f>122.58</f>
        <v>122.58</v>
      </c>
      <c r="D779" s="84">
        <f>297.941</f>
        <v>297.94099999999997</v>
      </c>
      <c r="E779" s="93">
        <f>89.177</f>
        <v>89.177000000000007</v>
      </c>
      <c r="F779" s="84">
        <f>240.302-40-60-100</f>
        <v>40.301999999999992</v>
      </c>
      <c r="G779" s="87">
        <v>40</v>
      </c>
      <c r="H779" s="84">
        <f>60+100</f>
        <v>160</v>
      </c>
      <c r="I779" s="84">
        <f t="shared" si="124"/>
        <v>0</v>
      </c>
      <c r="J779" s="87">
        <v>100</v>
      </c>
      <c r="K779" s="87">
        <v>300</v>
      </c>
      <c r="L779" s="84">
        <f t="shared" si="118"/>
        <v>1150</v>
      </c>
      <c r="M779" s="95">
        <v>600</v>
      </c>
      <c r="N779" s="84">
        <f>100</f>
        <v>100</v>
      </c>
      <c r="O779" s="87">
        <v>240</v>
      </c>
      <c r="P779" s="87">
        <v>40</v>
      </c>
      <c r="Q779" s="87">
        <f t="shared" si="119"/>
        <v>315</v>
      </c>
      <c r="R779" s="87">
        <f t="shared" si="120"/>
        <v>100</v>
      </c>
      <c r="S779" s="84">
        <f t="shared" si="121"/>
        <v>695</v>
      </c>
      <c r="T779" s="84">
        <f>50</f>
        <v>50</v>
      </c>
      <c r="U779" s="85"/>
      <c r="V779" s="85"/>
      <c r="W779" s="85"/>
      <c r="X779" s="85"/>
      <c r="Y779" s="85"/>
      <c r="Z779" s="85"/>
      <c r="AA779" s="85"/>
      <c r="AB779" s="85"/>
      <c r="AC779" s="85"/>
      <c r="AD779" s="85"/>
    </row>
    <row r="780" spans="1:30" ht="15.75" x14ac:dyDescent="0.25">
      <c r="A780" s="13">
        <v>64681</v>
      </c>
      <c r="B780" s="96">
        <f t="shared" si="117"/>
        <v>31</v>
      </c>
      <c r="C780" s="84">
        <f>122.58</f>
        <v>122.58</v>
      </c>
      <c r="D780" s="84">
        <f>297.941</f>
        <v>297.94099999999997</v>
      </c>
      <c r="E780" s="93">
        <f>89.177</f>
        <v>89.177000000000007</v>
      </c>
      <c r="F780" s="84">
        <f>240.302-40-60-100</f>
        <v>40.301999999999992</v>
      </c>
      <c r="G780" s="87">
        <v>40</v>
      </c>
      <c r="H780" s="84">
        <f>60+100</f>
        <v>160</v>
      </c>
      <c r="I780" s="84">
        <f t="shared" si="124"/>
        <v>0</v>
      </c>
      <c r="J780" s="87">
        <v>100</v>
      </c>
      <c r="K780" s="87">
        <v>300</v>
      </c>
      <c r="L780" s="84">
        <f t="shared" si="118"/>
        <v>1150</v>
      </c>
      <c r="M780" s="95">
        <v>600</v>
      </c>
      <c r="N780" s="84">
        <f>100</f>
        <v>100</v>
      </c>
      <c r="O780" s="87">
        <v>240</v>
      </c>
      <c r="P780" s="87">
        <v>40</v>
      </c>
      <c r="Q780" s="87">
        <f t="shared" si="119"/>
        <v>315</v>
      </c>
      <c r="R780" s="87">
        <f t="shared" si="120"/>
        <v>100</v>
      </c>
      <c r="S780" s="84">
        <f t="shared" si="121"/>
        <v>695</v>
      </c>
      <c r="T780" s="84">
        <f>50</f>
        <v>50</v>
      </c>
      <c r="U780" s="85"/>
      <c r="V780" s="85"/>
      <c r="W780" s="85"/>
      <c r="X780" s="85"/>
      <c r="Y780" s="85"/>
      <c r="Z780" s="85"/>
      <c r="AA780" s="85"/>
      <c r="AB780" s="85"/>
      <c r="AC780" s="85"/>
      <c r="AD780" s="85"/>
    </row>
    <row r="781" spans="1:30" ht="15.75" x14ac:dyDescent="0.25">
      <c r="A781" s="13">
        <v>64709</v>
      </c>
      <c r="B781" s="96">
        <f t="shared" si="117"/>
        <v>28</v>
      </c>
      <c r="C781" s="84">
        <f>122.58</f>
        <v>122.58</v>
      </c>
      <c r="D781" s="84">
        <f>297.941</f>
        <v>297.94099999999997</v>
      </c>
      <c r="E781" s="93">
        <f>89.177</f>
        <v>89.177000000000007</v>
      </c>
      <c r="F781" s="84">
        <f>240.302-40-60-100</f>
        <v>40.301999999999992</v>
      </c>
      <c r="G781" s="87">
        <v>40</v>
      </c>
      <c r="H781" s="84">
        <f>60+100</f>
        <v>160</v>
      </c>
      <c r="I781" s="84">
        <f t="shared" si="124"/>
        <v>0</v>
      </c>
      <c r="J781" s="87">
        <v>100</v>
      </c>
      <c r="K781" s="87">
        <v>300</v>
      </c>
      <c r="L781" s="84">
        <f t="shared" si="118"/>
        <v>1150</v>
      </c>
      <c r="M781" s="95">
        <v>600</v>
      </c>
      <c r="N781" s="84">
        <f>100</f>
        <v>100</v>
      </c>
      <c r="O781" s="87">
        <v>240</v>
      </c>
      <c r="P781" s="87">
        <v>40</v>
      </c>
      <c r="Q781" s="87">
        <f t="shared" si="119"/>
        <v>315</v>
      </c>
      <c r="R781" s="87">
        <f t="shared" si="120"/>
        <v>100</v>
      </c>
      <c r="S781" s="84">
        <f t="shared" si="121"/>
        <v>695</v>
      </c>
      <c r="T781" s="84">
        <f>50</f>
        <v>50</v>
      </c>
      <c r="U781" s="85"/>
      <c r="V781" s="85"/>
      <c r="W781" s="85"/>
      <c r="X781" s="85"/>
      <c r="Y781" s="85"/>
      <c r="Z781" s="85"/>
      <c r="AA781" s="85"/>
      <c r="AB781" s="85"/>
      <c r="AC781" s="85"/>
      <c r="AD781" s="85"/>
    </row>
    <row r="782" spans="1:30" ht="15.75" x14ac:dyDescent="0.25">
      <c r="A782" s="13">
        <v>64740</v>
      </c>
      <c r="B782" s="96">
        <f t="shared" si="117"/>
        <v>31</v>
      </c>
      <c r="C782" s="84">
        <f>122.58</f>
        <v>122.58</v>
      </c>
      <c r="D782" s="84">
        <f>297.941</f>
        <v>297.94099999999997</v>
      </c>
      <c r="E782" s="93">
        <f>89.177</f>
        <v>89.177000000000007</v>
      </c>
      <c r="F782" s="84">
        <f>240.302-40-60-100</f>
        <v>40.301999999999992</v>
      </c>
      <c r="G782" s="87">
        <v>40</v>
      </c>
      <c r="H782" s="84">
        <f>60+100</f>
        <v>160</v>
      </c>
      <c r="I782" s="84">
        <f t="shared" si="124"/>
        <v>0</v>
      </c>
      <c r="J782" s="87">
        <v>100</v>
      </c>
      <c r="K782" s="87">
        <v>300</v>
      </c>
      <c r="L782" s="84">
        <f t="shared" si="118"/>
        <v>1150</v>
      </c>
      <c r="M782" s="95">
        <v>600</v>
      </c>
      <c r="N782" s="84">
        <f>100</f>
        <v>100</v>
      </c>
      <c r="O782" s="87">
        <v>240</v>
      </c>
      <c r="P782" s="87">
        <v>40</v>
      </c>
      <c r="Q782" s="87">
        <f t="shared" si="119"/>
        <v>315</v>
      </c>
      <c r="R782" s="87">
        <f t="shared" si="120"/>
        <v>100</v>
      </c>
      <c r="S782" s="84">
        <f t="shared" si="121"/>
        <v>695</v>
      </c>
      <c r="T782" s="84">
        <f>50</f>
        <v>50</v>
      </c>
      <c r="U782" s="85"/>
      <c r="V782" s="85"/>
      <c r="W782" s="85"/>
      <c r="X782" s="85"/>
      <c r="Y782" s="85"/>
      <c r="Z782" s="85"/>
      <c r="AA782" s="85"/>
      <c r="AB782" s="85"/>
      <c r="AC782" s="85"/>
      <c r="AD782" s="85"/>
    </row>
    <row r="783" spans="1:30" ht="15.75" x14ac:dyDescent="0.25">
      <c r="A783" s="13">
        <v>64770</v>
      </c>
      <c r="B783" s="96">
        <f t="shared" si="117"/>
        <v>30</v>
      </c>
      <c r="C783" s="84">
        <f>141.293</f>
        <v>141.29300000000001</v>
      </c>
      <c r="D783" s="84">
        <f>267.993</f>
        <v>267.99299999999999</v>
      </c>
      <c r="E783" s="93">
        <f>115.016</f>
        <v>115.01600000000001</v>
      </c>
      <c r="F783" s="84">
        <f>314.698-40-25-60-100</f>
        <v>89.697999999999979</v>
      </c>
      <c r="G783" s="87">
        <v>40</v>
      </c>
      <c r="H783" s="84">
        <f t="shared" ref="H783:H789" si="127">25+60+100</f>
        <v>185</v>
      </c>
      <c r="I783" s="84">
        <f t="shared" si="124"/>
        <v>0</v>
      </c>
      <c r="J783" s="87">
        <v>100</v>
      </c>
      <c r="K783" s="87">
        <v>300</v>
      </c>
      <c r="L783" s="84">
        <f t="shared" si="118"/>
        <v>1239</v>
      </c>
      <c r="M783" s="95">
        <v>600</v>
      </c>
      <c r="N783" s="84">
        <f>100</f>
        <v>100</v>
      </c>
      <c r="O783" s="87">
        <v>240</v>
      </c>
      <c r="P783" s="87">
        <v>40</v>
      </c>
      <c r="Q783" s="87">
        <f t="shared" si="119"/>
        <v>315</v>
      </c>
      <c r="R783" s="87">
        <f t="shared" si="120"/>
        <v>100</v>
      </c>
      <c r="S783" s="84">
        <f t="shared" si="121"/>
        <v>695</v>
      </c>
      <c r="T783" s="84">
        <f>50</f>
        <v>50</v>
      </c>
      <c r="U783" s="85"/>
      <c r="V783" s="85"/>
      <c r="W783" s="85"/>
      <c r="X783" s="85"/>
      <c r="Y783" s="85"/>
      <c r="Z783" s="85"/>
      <c r="AA783" s="85"/>
      <c r="AB783" s="85"/>
      <c r="AC783" s="85"/>
      <c r="AD783" s="85"/>
    </row>
    <row r="784" spans="1:30" ht="15.75" x14ac:dyDescent="0.25">
      <c r="A784" s="13">
        <v>64801</v>
      </c>
      <c r="B784" s="96">
        <f t="shared" si="117"/>
        <v>31</v>
      </c>
      <c r="C784" s="84">
        <f>194.205</f>
        <v>194.20500000000001</v>
      </c>
      <c r="D784" s="84">
        <f>267.466</f>
        <v>267.46600000000001</v>
      </c>
      <c r="E784" s="93">
        <f>133.845</f>
        <v>133.845</v>
      </c>
      <c r="F784" s="84">
        <f>278.484-40-25-60-100</f>
        <v>53.48399999999998</v>
      </c>
      <c r="G784" s="87">
        <v>40</v>
      </c>
      <c r="H784" s="84">
        <f t="shared" si="127"/>
        <v>185</v>
      </c>
      <c r="I784" s="84">
        <f t="shared" si="124"/>
        <v>0</v>
      </c>
      <c r="J784" s="87">
        <v>100</v>
      </c>
      <c r="K784" s="87">
        <v>300</v>
      </c>
      <c r="L784" s="84">
        <f t="shared" si="118"/>
        <v>1274</v>
      </c>
      <c r="M784" s="95">
        <v>600</v>
      </c>
      <c r="N784" s="84">
        <f>75</f>
        <v>75</v>
      </c>
      <c r="O784" s="87">
        <v>240</v>
      </c>
      <c r="P784" s="87">
        <v>40</v>
      </c>
      <c r="Q784" s="87">
        <f t="shared" si="119"/>
        <v>315</v>
      </c>
      <c r="R784" s="87">
        <f t="shared" si="120"/>
        <v>100</v>
      </c>
      <c r="S784" s="84">
        <f t="shared" si="121"/>
        <v>695</v>
      </c>
      <c r="T784" s="84">
        <f>50</f>
        <v>50</v>
      </c>
      <c r="U784" s="85"/>
      <c r="V784" s="85"/>
      <c r="W784" s="85"/>
      <c r="X784" s="85"/>
      <c r="Y784" s="85"/>
      <c r="Z784" s="85"/>
      <c r="AA784" s="85"/>
      <c r="AB784" s="85"/>
      <c r="AC784" s="85"/>
      <c r="AD784" s="85"/>
    </row>
    <row r="785" spans="1:30" ht="15.75" x14ac:dyDescent="0.25">
      <c r="A785" s="13">
        <v>64831</v>
      </c>
      <c r="B785" s="96">
        <f t="shared" si="117"/>
        <v>30</v>
      </c>
      <c r="C785" s="84">
        <f>194.205</f>
        <v>194.20500000000001</v>
      </c>
      <c r="D785" s="84">
        <f>267.466</f>
        <v>267.46600000000001</v>
      </c>
      <c r="E785" s="93">
        <f>133.845</f>
        <v>133.845</v>
      </c>
      <c r="F785" s="84">
        <f>278.484-40-25-60-100</f>
        <v>53.48399999999998</v>
      </c>
      <c r="G785" s="87">
        <v>40</v>
      </c>
      <c r="H785" s="84">
        <f t="shared" si="127"/>
        <v>185</v>
      </c>
      <c r="I785" s="84">
        <f t="shared" si="124"/>
        <v>0</v>
      </c>
      <c r="J785" s="87">
        <v>100</v>
      </c>
      <c r="K785" s="87">
        <v>300</v>
      </c>
      <c r="L785" s="84">
        <f t="shared" si="118"/>
        <v>1274</v>
      </c>
      <c r="M785" s="95">
        <v>600</v>
      </c>
      <c r="N785" s="84">
        <f>30</f>
        <v>30</v>
      </c>
      <c r="O785" s="87">
        <v>240</v>
      </c>
      <c r="P785" s="87">
        <v>40</v>
      </c>
      <c r="Q785" s="87">
        <f t="shared" si="119"/>
        <v>315</v>
      </c>
      <c r="R785" s="87">
        <f t="shared" si="120"/>
        <v>100</v>
      </c>
      <c r="S785" s="84">
        <f t="shared" si="121"/>
        <v>695</v>
      </c>
      <c r="T785" s="84">
        <f>50</f>
        <v>50</v>
      </c>
      <c r="U785" s="85"/>
      <c r="V785" s="85"/>
      <c r="W785" s="85"/>
      <c r="X785" s="85"/>
      <c r="Y785" s="85"/>
      <c r="Z785" s="85"/>
      <c r="AA785" s="85"/>
      <c r="AB785" s="85"/>
      <c r="AC785" s="85"/>
      <c r="AD785" s="85"/>
    </row>
    <row r="786" spans="1:30" ht="15.75" x14ac:dyDescent="0.25">
      <c r="A786" s="13">
        <v>64862</v>
      </c>
      <c r="B786" s="96">
        <f t="shared" si="117"/>
        <v>31</v>
      </c>
      <c r="C786" s="84">
        <f>194.205</f>
        <v>194.20500000000001</v>
      </c>
      <c r="D786" s="84">
        <f>267.466</f>
        <v>267.46600000000001</v>
      </c>
      <c r="E786" s="93">
        <f>133.845</f>
        <v>133.845</v>
      </c>
      <c r="F786" s="84">
        <f>278.484-40-25-60-100</f>
        <v>53.48399999999998</v>
      </c>
      <c r="G786" s="87">
        <v>40</v>
      </c>
      <c r="H786" s="84">
        <f t="shared" si="127"/>
        <v>185</v>
      </c>
      <c r="I786" s="84">
        <f t="shared" si="124"/>
        <v>0</v>
      </c>
      <c r="J786" s="87">
        <v>100</v>
      </c>
      <c r="K786" s="87">
        <v>300</v>
      </c>
      <c r="L786" s="84">
        <f t="shared" si="118"/>
        <v>1274</v>
      </c>
      <c r="M786" s="95">
        <v>600</v>
      </c>
      <c r="N786" s="84">
        <f>30</f>
        <v>30</v>
      </c>
      <c r="O786" s="87">
        <v>240</v>
      </c>
      <c r="P786" s="87">
        <v>40</v>
      </c>
      <c r="Q786" s="87">
        <f t="shared" si="119"/>
        <v>315</v>
      </c>
      <c r="R786" s="87">
        <f t="shared" si="120"/>
        <v>100</v>
      </c>
      <c r="S786" s="84">
        <f t="shared" si="121"/>
        <v>695</v>
      </c>
      <c r="T786" s="84">
        <f>0</f>
        <v>0</v>
      </c>
      <c r="U786" s="85"/>
      <c r="V786" s="85"/>
      <c r="W786" s="85"/>
      <c r="X786" s="85"/>
      <c r="Y786" s="85"/>
      <c r="Z786" s="85"/>
      <c r="AA786" s="85"/>
      <c r="AB786" s="85"/>
      <c r="AC786" s="85"/>
      <c r="AD786" s="85"/>
    </row>
    <row r="787" spans="1:30" ht="15.75" x14ac:dyDescent="0.25">
      <c r="A787" s="13">
        <v>64893</v>
      </c>
      <c r="B787" s="96">
        <f t="shared" si="117"/>
        <v>31</v>
      </c>
      <c r="C787" s="84">
        <f>194.205</f>
        <v>194.20500000000001</v>
      </c>
      <c r="D787" s="84">
        <f>267.466</f>
        <v>267.46600000000001</v>
      </c>
      <c r="E787" s="93">
        <f>133.845</f>
        <v>133.845</v>
      </c>
      <c r="F787" s="84">
        <f>278.484-40-25-60-100</f>
        <v>53.48399999999998</v>
      </c>
      <c r="G787" s="87">
        <v>40</v>
      </c>
      <c r="H787" s="84">
        <f t="shared" si="127"/>
        <v>185</v>
      </c>
      <c r="I787" s="84">
        <f t="shared" si="124"/>
        <v>0</v>
      </c>
      <c r="J787" s="87">
        <v>100</v>
      </c>
      <c r="K787" s="87">
        <v>300</v>
      </c>
      <c r="L787" s="84">
        <f t="shared" si="118"/>
        <v>1274</v>
      </c>
      <c r="M787" s="95">
        <v>600</v>
      </c>
      <c r="N787" s="84">
        <f>30</f>
        <v>30</v>
      </c>
      <c r="O787" s="87">
        <v>240</v>
      </c>
      <c r="P787" s="87">
        <v>40</v>
      </c>
      <c r="Q787" s="87">
        <f t="shared" si="119"/>
        <v>315</v>
      </c>
      <c r="R787" s="87">
        <f t="shared" si="120"/>
        <v>100</v>
      </c>
      <c r="S787" s="84">
        <f t="shared" si="121"/>
        <v>695</v>
      </c>
      <c r="T787" s="84">
        <f>0</f>
        <v>0</v>
      </c>
      <c r="U787" s="85"/>
      <c r="V787" s="85"/>
      <c r="W787" s="85"/>
      <c r="X787" s="85"/>
      <c r="Y787" s="85"/>
      <c r="Z787" s="85"/>
      <c r="AA787" s="85"/>
      <c r="AB787" s="85"/>
      <c r="AC787" s="85"/>
      <c r="AD787" s="85"/>
    </row>
    <row r="788" spans="1:30" ht="15.75" x14ac:dyDescent="0.25">
      <c r="A788" s="13">
        <v>64923</v>
      </c>
      <c r="B788" s="96">
        <f t="shared" si="117"/>
        <v>30</v>
      </c>
      <c r="C788" s="84">
        <f>194.205</f>
        <v>194.20500000000001</v>
      </c>
      <c r="D788" s="84">
        <f>267.466</f>
        <v>267.46600000000001</v>
      </c>
      <c r="E788" s="93">
        <f>133.845</f>
        <v>133.845</v>
      </c>
      <c r="F788" s="84">
        <f>278.484-40-25-60-100</f>
        <v>53.48399999999998</v>
      </c>
      <c r="G788" s="87">
        <v>40</v>
      </c>
      <c r="H788" s="84">
        <f t="shared" si="127"/>
        <v>185</v>
      </c>
      <c r="I788" s="84">
        <f t="shared" si="124"/>
        <v>0</v>
      </c>
      <c r="J788" s="87">
        <v>100</v>
      </c>
      <c r="K788" s="87">
        <v>300</v>
      </c>
      <c r="L788" s="84">
        <f t="shared" si="118"/>
        <v>1274</v>
      </c>
      <c r="M788" s="95">
        <v>600</v>
      </c>
      <c r="N788" s="84">
        <f>30</f>
        <v>30</v>
      </c>
      <c r="O788" s="87">
        <v>240</v>
      </c>
      <c r="P788" s="87">
        <v>40</v>
      </c>
      <c r="Q788" s="87">
        <f t="shared" si="119"/>
        <v>315</v>
      </c>
      <c r="R788" s="87">
        <f t="shared" si="120"/>
        <v>100</v>
      </c>
      <c r="S788" s="84">
        <f t="shared" si="121"/>
        <v>695</v>
      </c>
      <c r="T788" s="84">
        <f>0</f>
        <v>0</v>
      </c>
      <c r="U788" s="85"/>
      <c r="V788" s="85"/>
      <c r="W788" s="85"/>
      <c r="X788" s="85"/>
      <c r="Y788" s="85"/>
      <c r="Z788" s="85"/>
      <c r="AA788" s="85"/>
      <c r="AB788" s="85"/>
      <c r="AC788" s="85"/>
      <c r="AD788" s="85"/>
    </row>
    <row r="789" spans="1:30" ht="15.75" x14ac:dyDescent="0.25">
      <c r="A789" s="13">
        <v>64954</v>
      </c>
      <c r="B789" s="96">
        <f t="shared" si="117"/>
        <v>31</v>
      </c>
      <c r="C789" s="84">
        <f>131.881</f>
        <v>131.881</v>
      </c>
      <c r="D789" s="84">
        <f>277.167</f>
        <v>277.16699999999997</v>
      </c>
      <c r="E789" s="93">
        <f>79.08</f>
        <v>79.08</v>
      </c>
      <c r="F789" s="84">
        <f>350.872-40-25-60-100</f>
        <v>125.87200000000001</v>
      </c>
      <c r="G789" s="87">
        <v>40</v>
      </c>
      <c r="H789" s="84">
        <f t="shared" si="127"/>
        <v>185</v>
      </c>
      <c r="I789" s="84">
        <f t="shared" si="124"/>
        <v>0</v>
      </c>
      <c r="J789" s="87">
        <v>100</v>
      </c>
      <c r="K789" s="87">
        <v>300</v>
      </c>
      <c r="L789" s="84">
        <f t="shared" si="118"/>
        <v>1239</v>
      </c>
      <c r="M789" s="95">
        <v>600</v>
      </c>
      <c r="N789" s="84">
        <f>75</f>
        <v>75</v>
      </c>
      <c r="O789" s="87">
        <v>240</v>
      </c>
      <c r="P789" s="87">
        <v>40</v>
      </c>
      <c r="Q789" s="87">
        <f t="shared" si="119"/>
        <v>315</v>
      </c>
      <c r="R789" s="87">
        <f t="shared" si="120"/>
        <v>100</v>
      </c>
      <c r="S789" s="84">
        <f t="shared" si="121"/>
        <v>695</v>
      </c>
      <c r="T789" s="84">
        <f>0</f>
        <v>0</v>
      </c>
      <c r="U789" s="85"/>
      <c r="V789" s="85"/>
      <c r="W789" s="85"/>
      <c r="X789" s="85"/>
      <c r="Y789" s="85"/>
      <c r="Z789" s="85"/>
      <c r="AA789" s="85"/>
      <c r="AB789" s="85"/>
      <c r="AC789" s="85"/>
      <c r="AD789" s="85"/>
    </row>
    <row r="790" spans="1:30" ht="15.75" x14ac:dyDescent="0.25">
      <c r="A790" s="13">
        <v>64984</v>
      </c>
      <c r="B790" s="96">
        <f t="shared" si="117"/>
        <v>30</v>
      </c>
      <c r="C790" s="84">
        <f>122.58</f>
        <v>122.58</v>
      </c>
      <c r="D790" s="84">
        <f>297.941</f>
        <v>297.94099999999997</v>
      </c>
      <c r="E790" s="93">
        <f>89.177</f>
        <v>89.177000000000007</v>
      </c>
      <c r="F790" s="84">
        <f>240.302-40-60-100</f>
        <v>40.301999999999992</v>
      </c>
      <c r="G790" s="87">
        <v>40</v>
      </c>
      <c r="H790" s="84">
        <f>60+100</f>
        <v>160</v>
      </c>
      <c r="I790" s="84">
        <f t="shared" si="124"/>
        <v>0</v>
      </c>
      <c r="J790" s="87">
        <v>100</v>
      </c>
      <c r="K790" s="87">
        <v>300</v>
      </c>
      <c r="L790" s="84">
        <f t="shared" si="118"/>
        <v>1150</v>
      </c>
      <c r="M790" s="95">
        <v>600</v>
      </c>
      <c r="N790" s="84">
        <f>100</f>
        <v>100</v>
      </c>
      <c r="O790" s="87">
        <v>240</v>
      </c>
      <c r="P790" s="87">
        <v>40</v>
      </c>
      <c r="Q790" s="87">
        <f t="shared" si="119"/>
        <v>315</v>
      </c>
      <c r="R790" s="87">
        <f t="shared" si="120"/>
        <v>100</v>
      </c>
      <c r="S790" s="84">
        <f t="shared" si="121"/>
        <v>695</v>
      </c>
      <c r="T790" s="84">
        <f>50</f>
        <v>50</v>
      </c>
      <c r="U790" s="85"/>
      <c r="V790" s="85"/>
      <c r="W790" s="85"/>
      <c r="X790" s="85"/>
      <c r="Y790" s="85"/>
      <c r="Z790" s="85"/>
      <c r="AA790" s="85"/>
      <c r="AB790" s="85"/>
      <c r="AC790" s="85"/>
      <c r="AD790" s="85"/>
    </row>
    <row r="791" spans="1:30" ht="15.75" x14ac:dyDescent="0.25">
      <c r="A791" s="13">
        <v>65015</v>
      </c>
      <c r="B791" s="96">
        <f t="shared" si="117"/>
        <v>31</v>
      </c>
      <c r="C791" s="84">
        <f>122.58</f>
        <v>122.58</v>
      </c>
      <c r="D791" s="84">
        <f>297.941</f>
        <v>297.94099999999997</v>
      </c>
      <c r="E791" s="93">
        <f>89.177</f>
        <v>89.177000000000007</v>
      </c>
      <c r="F791" s="84">
        <f>240.302-40-60-100</f>
        <v>40.301999999999992</v>
      </c>
      <c r="G791" s="87">
        <v>40</v>
      </c>
      <c r="H791" s="84">
        <f>60+100</f>
        <v>160</v>
      </c>
      <c r="I791" s="84">
        <f t="shared" si="124"/>
        <v>0</v>
      </c>
      <c r="J791" s="87">
        <v>100</v>
      </c>
      <c r="K791" s="87">
        <v>300</v>
      </c>
      <c r="L791" s="84">
        <f t="shared" si="118"/>
        <v>1150</v>
      </c>
      <c r="M791" s="95">
        <v>600</v>
      </c>
      <c r="N791" s="84">
        <f>100</f>
        <v>100</v>
      </c>
      <c r="O791" s="87">
        <v>240</v>
      </c>
      <c r="P791" s="87">
        <v>40</v>
      </c>
      <c r="Q791" s="87">
        <f t="shared" si="119"/>
        <v>315</v>
      </c>
      <c r="R791" s="87">
        <f t="shared" si="120"/>
        <v>100</v>
      </c>
      <c r="S791" s="84">
        <f t="shared" si="121"/>
        <v>695</v>
      </c>
      <c r="T791" s="84">
        <f>50</f>
        <v>50</v>
      </c>
      <c r="U791" s="85"/>
      <c r="V791" s="85"/>
      <c r="W791" s="85"/>
      <c r="X791" s="85"/>
      <c r="Y791" s="85"/>
      <c r="Z791" s="85"/>
      <c r="AA791" s="85"/>
      <c r="AB791" s="85"/>
      <c r="AC791" s="85"/>
      <c r="AD791" s="85"/>
    </row>
    <row r="792" spans="1:30" ht="15.75" x14ac:dyDescent="0.25">
      <c r="A792" s="13">
        <v>65046</v>
      </c>
      <c r="B792" s="96">
        <f t="shared" ref="B792:B855" si="128">EOMONTH(A792,0)-EOMONTH(A792,-1)</f>
        <v>31</v>
      </c>
      <c r="C792" s="84">
        <f>122.58</f>
        <v>122.58</v>
      </c>
      <c r="D792" s="84">
        <f>297.941</f>
        <v>297.94099999999997</v>
      </c>
      <c r="E792" s="93">
        <f>89.177</f>
        <v>89.177000000000007</v>
      </c>
      <c r="F792" s="84">
        <f>240.302-40-60-100</f>
        <v>40.301999999999992</v>
      </c>
      <c r="G792" s="87">
        <v>40</v>
      </c>
      <c r="H792" s="84">
        <f>60+100</f>
        <v>160</v>
      </c>
      <c r="I792" s="84">
        <f t="shared" si="124"/>
        <v>0</v>
      </c>
      <c r="J792" s="87">
        <v>100</v>
      </c>
      <c r="K792" s="87">
        <v>300</v>
      </c>
      <c r="L792" s="84">
        <f t="shared" ref="L792:L855" si="129">SUM(C792:K792)</f>
        <v>1150</v>
      </c>
      <c r="M792" s="95">
        <v>600</v>
      </c>
      <c r="N792" s="84">
        <f>100</f>
        <v>100</v>
      </c>
      <c r="O792" s="87">
        <v>240</v>
      </c>
      <c r="P792" s="87">
        <v>40</v>
      </c>
      <c r="Q792" s="87">
        <f t="shared" ref="Q792:Q855" si="130">695-R792-O792-P792</f>
        <v>315</v>
      </c>
      <c r="R792" s="87">
        <f t="shared" ref="R792:R855" si="131">200-J792</f>
        <v>100</v>
      </c>
      <c r="S792" s="84">
        <f t="shared" ref="S792:S855" si="132">SUM(O792:R792)</f>
        <v>695</v>
      </c>
      <c r="T792" s="84">
        <f>50</f>
        <v>50</v>
      </c>
      <c r="U792" s="85"/>
      <c r="V792" s="85"/>
      <c r="W792" s="85"/>
      <c r="X792" s="85"/>
      <c r="Y792" s="85"/>
      <c r="Z792" s="85"/>
      <c r="AA792" s="85"/>
      <c r="AB792" s="85"/>
      <c r="AC792" s="85"/>
      <c r="AD792" s="85"/>
    </row>
    <row r="793" spans="1:30" ht="15.75" x14ac:dyDescent="0.25">
      <c r="A793" s="13">
        <v>65074</v>
      </c>
      <c r="B793" s="96">
        <f t="shared" si="128"/>
        <v>28</v>
      </c>
      <c r="C793" s="84">
        <f>122.58</f>
        <v>122.58</v>
      </c>
      <c r="D793" s="84">
        <f>297.941</f>
        <v>297.94099999999997</v>
      </c>
      <c r="E793" s="93">
        <f>89.177</f>
        <v>89.177000000000007</v>
      </c>
      <c r="F793" s="84">
        <f>240.302-40-60-100</f>
        <v>40.301999999999992</v>
      </c>
      <c r="G793" s="87">
        <v>40</v>
      </c>
      <c r="H793" s="84">
        <f>60+100</f>
        <v>160</v>
      </c>
      <c r="I793" s="84">
        <f t="shared" si="124"/>
        <v>0</v>
      </c>
      <c r="J793" s="87">
        <v>100</v>
      </c>
      <c r="K793" s="87">
        <v>300</v>
      </c>
      <c r="L793" s="84">
        <f t="shared" si="129"/>
        <v>1150</v>
      </c>
      <c r="M793" s="95">
        <v>600</v>
      </c>
      <c r="N793" s="84">
        <f>100</f>
        <v>100</v>
      </c>
      <c r="O793" s="87">
        <v>240</v>
      </c>
      <c r="P793" s="87">
        <v>40</v>
      </c>
      <c r="Q793" s="87">
        <f t="shared" si="130"/>
        <v>315</v>
      </c>
      <c r="R793" s="87">
        <f t="shared" si="131"/>
        <v>100</v>
      </c>
      <c r="S793" s="84">
        <f t="shared" si="132"/>
        <v>695</v>
      </c>
      <c r="T793" s="84">
        <f>50</f>
        <v>50</v>
      </c>
      <c r="U793" s="85"/>
      <c r="V793" s="85"/>
      <c r="W793" s="85"/>
      <c r="X793" s="85"/>
      <c r="Y793" s="85"/>
      <c r="Z793" s="85"/>
      <c r="AA793" s="85"/>
      <c r="AB793" s="85"/>
      <c r="AC793" s="85"/>
      <c r="AD793" s="85"/>
    </row>
    <row r="794" spans="1:30" ht="15.75" x14ac:dyDescent="0.25">
      <c r="A794" s="13">
        <v>65105</v>
      </c>
      <c r="B794" s="96">
        <f t="shared" si="128"/>
        <v>31</v>
      </c>
      <c r="C794" s="84">
        <f>122.58</f>
        <v>122.58</v>
      </c>
      <c r="D794" s="84">
        <f>297.941</f>
        <v>297.94099999999997</v>
      </c>
      <c r="E794" s="93">
        <f>89.177</f>
        <v>89.177000000000007</v>
      </c>
      <c r="F794" s="84">
        <f>240.302-40-60-100</f>
        <v>40.301999999999992</v>
      </c>
      <c r="G794" s="87">
        <v>40</v>
      </c>
      <c r="H794" s="84">
        <f>60+100</f>
        <v>160</v>
      </c>
      <c r="I794" s="84">
        <f t="shared" si="124"/>
        <v>0</v>
      </c>
      <c r="J794" s="87">
        <v>100</v>
      </c>
      <c r="K794" s="87">
        <v>300</v>
      </c>
      <c r="L794" s="84">
        <f t="shared" si="129"/>
        <v>1150</v>
      </c>
      <c r="M794" s="95">
        <v>600</v>
      </c>
      <c r="N794" s="84">
        <f>100</f>
        <v>100</v>
      </c>
      <c r="O794" s="87">
        <v>240</v>
      </c>
      <c r="P794" s="87">
        <v>40</v>
      </c>
      <c r="Q794" s="87">
        <f t="shared" si="130"/>
        <v>315</v>
      </c>
      <c r="R794" s="87">
        <f t="shared" si="131"/>
        <v>100</v>
      </c>
      <c r="S794" s="84">
        <f t="shared" si="132"/>
        <v>695</v>
      </c>
      <c r="T794" s="84">
        <f>50</f>
        <v>50</v>
      </c>
      <c r="U794" s="85"/>
      <c r="V794" s="85"/>
      <c r="W794" s="85"/>
      <c r="X794" s="85"/>
      <c r="Y794" s="85"/>
      <c r="Z794" s="85"/>
      <c r="AA794" s="85"/>
      <c r="AB794" s="85"/>
      <c r="AC794" s="85"/>
      <c r="AD794" s="85"/>
    </row>
    <row r="795" spans="1:30" ht="15.75" x14ac:dyDescent="0.25">
      <c r="A795" s="13">
        <v>65135</v>
      </c>
      <c r="B795" s="96">
        <f t="shared" si="128"/>
        <v>30</v>
      </c>
      <c r="C795" s="84">
        <f>141.293</f>
        <v>141.29300000000001</v>
      </c>
      <c r="D795" s="84">
        <f>267.993</f>
        <v>267.99299999999999</v>
      </c>
      <c r="E795" s="93">
        <f>115.016</f>
        <v>115.01600000000001</v>
      </c>
      <c r="F795" s="84">
        <f>314.698-40-25-60-100</f>
        <v>89.697999999999979</v>
      </c>
      <c r="G795" s="87">
        <v>40</v>
      </c>
      <c r="H795" s="84">
        <f t="shared" ref="H795:H801" si="133">25+60+100</f>
        <v>185</v>
      </c>
      <c r="I795" s="84">
        <f t="shared" si="124"/>
        <v>0</v>
      </c>
      <c r="J795" s="87">
        <v>100</v>
      </c>
      <c r="K795" s="87">
        <v>300</v>
      </c>
      <c r="L795" s="84">
        <f t="shared" si="129"/>
        <v>1239</v>
      </c>
      <c r="M795" s="95">
        <v>600</v>
      </c>
      <c r="N795" s="84">
        <f>100</f>
        <v>100</v>
      </c>
      <c r="O795" s="87">
        <v>240</v>
      </c>
      <c r="P795" s="87">
        <v>40</v>
      </c>
      <c r="Q795" s="87">
        <f t="shared" si="130"/>
        <v>315</v>
      </c>
      <c r="R795" s="87">
        <f t="shared" si="131"/>
        <v>100</v>
      </c>
      <c r="S795" s="84">
        <f t="shared" si="132"/>
        <v>695</v>
      </c>
      <c r="T795" s="84">
        <f>50</f>
        <v>50</v>
      </c>
      <c r="U795" s="85"/>
      <c r="V795" s="85"/>
      <c r="W795" s="85"/>
      <c r="X795" s="85"/>
      <c r="Y795" s="85"/>
      <c r="Z795" s="85"/>
      <c r="AA795" s="85"/>
      <c r="AB795" s="85"/>
      <c r="AC795" s="85"/>
      <c r="AD795" s="85"/>
    </row>
    <row r="796" spans="1:30" ht="15.75" x14ac:dyDescent="0.25">
      <c r="A796" s="13">
        <v>65166</v>
      </c>
      <c r="B796" s="96">
        <f t="shared" si="128"/>
        <v>31</v>
      </c>
      <c r="C796" s="84">
        <f>194.205</f>
        <v>194.20500000000001</v>
      </c>
      <c r="D796" s="84">
        <f>267.466</f>
        <v>267.46600000000001</v>
      </c>
      <c r="E796" s="93">
        <f>133.845</f>
        <v>133.845</v>
      </c>
      <c r="F796" s="84">
        <f>278.484-40-25-60-100</f>
        <v>53.48399999999998</v>
      </c>
      <c r="G796" s="87">
        <v>40</v>
      </c>
      <c r="H796" s="84">
        <f t="shared" si="133"/>
        <v>185</v>
      </c>
      <c r="I796" s="84">
        <f t="shared" si="124"/>
        <v>0</v>
      </c>
      <c r="J796" s="87">
        <v>100</v>
      </c>
      <c r="K796" s="87">
        <v>300</v>
      </c>
      <c r="L796" s="84">
        <f t="shared" si="129"/>
        <v>1274</v>
      </c>
      <c r="M796" s="95">
        <v>600</v>
      </c>
      <c r="N796" s="84">
        <f>75</f>
        <v>75</v>
      </c>
      <c r="O796" s="87">
        <v>240</v>
      </c>
      <c r="P796" s="87">
        <v>40</v>
      </c>
      <c r="Q796" s="87">
        <f t="shared" si="130"/>
        <v>315</v>
      </c>
      <c r="R796" s="87">
        <f t="shared" si="131"/>
        <v>100</v>
      </c>
      <c r="S796" s="84">
        <f t="shared" si="132"/>
        <v>695</v>
      </c>
      <c r="T796" s="84">
        <f>50</f>
        <v>50</v>
      </c>
      <c r="U796" s="85"/>
      <c r="V796" s="85"/>
      <c r="W796" s="85"/>
      <c r="X796" s="85"/>
      <c r="Y796" s="85"/>
      <c r="Z796" s="85"/>
      <c r="AA796" s="85"/>
      <c r="AB796" s="85"/>
      <c r="AC796" s="85"/>
      <c r="AD796" s="85"/>
    </row>
    <row r="797" spans="1:30" ht="15.75" x14ac:dyDescent="0.25">
      <c r="A797" s="13">
        <v>65196</v>
      </c>
      <c r="B797" s="96">
        <f t="shared" si="128"/>
        <v>30</v>
      </c>
      <c r="C797" s="84">
        <f>194.205</f>
        <v>194.20500000000001</v>
      </c>
      <c r="D797" s="84">
        <f>267.466</f>
        <v>267.46600000000001</v>
      </c>
      <c r="E797" s="93">
        <f>133.845</f>
        <v>133.845</v>
      </c>
      <c r="F797" s="84">
        <f>278.484-40-25-60-100</f>
        <v>53.48399999999998</v>
      </c>
      <c r="G797" s="87">
        <v>40</v>
      </c>
      <c r="H797" s="84">
        <f t="shared" si="133"/>
        <v>185</v>
      </c>
      <c r="I797" s="84">
        <f t="shared" si="124"/>
        <v>0</v>
      </c>
      <c r="J797" s="87">
        <v>100</v>
      </c>
      <c r="K797" s="87">
        <v>300</v>
      </c>
      <c r="L797" s="84">
        <f t="shared" si="129"/>
        <v>1274</v>
      </c>
      <c r="M797" s="95">
        <v>600</v>
      </c>
      <c r="N797" s="84">
        <f>30</f>
        <v>30</v>
      </c>
      <c r="O797" s="87">
        <v>240</v>
      </c>
      <c r="P797" s="87">
        <v>40</v>
      </c>
      <c r="Q797" s="87">
        <f t="shared" si="130"/>
        <v>315</v>
      </c>
      <c r="R797" s="87">
        <f t="shared" si="131"/>
        <v>100</v>
      </c>
      <c r="S797" s="84">
        <f t="shared" si="132"/>
        <v>695</v>
      </c>
      <c r="T797" s="84">
        <f>50</f>
        <v>50</v>
      </c>
      <c r="U797" s="85"/>
      <c r="V797" s="85"/>
      <c r="W797" s="85"/>
      <c r="X797" s="85"/>
      <c r="Y797" s="85"/>
      <c r="Z797" s="85"/>
      <c r="AA797" s="85"/>
      <c r="AB797" s="85"/>
      <c r="AC797" s="85"/>
      <c r="AD797" s="85"/>
    </row>
    <row r="798" spans="1:30" ht="15.75" x14ac:dyDescent="0.25">
      <c r="A798" s="13">
        <v>65227</v>
      </c>
      <c r="B798" s="96">
        <f t="shared" si="128"/>
        <v>31</v>
      </c>
      <c r="C798" s="84">
        <f>194.205</f>
        <v>194.20500000000001</v>
      </c>
      <c r="D798" s="84">
        <f>267.466</f>
        <v>267.46600000000001</v>
      </c>
      <c r="E798" s="93">
        <f>133.845</f>
        <v>133.845</v>
      </c>
      <c r="F798" s="84">
        <f>278.484-40-25-60-100</f>
        <v>53.48399999999998</v>
      </c>
      <c r="G798" s="87">
        <v>40</v>
      </c>
      <c r="H798" s="84">
        <f t="shared" si="133"/>
        <v>185</v>
      </c>
      <c r="I798" s="84">
        <f t="shared" si="124"/>
        <v>0</v>
      </c>
      <c r="J798" s="87">
        <v>100</v>
      </c>
      <c r="K798" s="87">
        <v>300</v>
      </c>
      <c r="L798" s="84">
        <f t="shared" si="129"/>
        <v>1274</v>
      </c>
      <c r="M798" s="95">
        <v>600</v>
      </c>
      <c r="N798" s="84">
        <f>30</f>
        <v>30</v>
      </c>
      <c r="O798" s="87">
        <v>240</v>
      </c>
      <c r="P798" s="87">
        <v>40</v>
      </c>
      <c r="Q798" s="87">
        <f t="shared" si="130"/>
        <v>315</v>
      </c>
      <c r="R798" s="87">
        <f t="shared" si="131"/>
        <v>100</v>
      </c>
      <c r="S798" s="84">
        <f t="shared" si="132"/>
        <v>695</v>
      </c>
      <c r="T798" s="84">
        <f>0</f>
        <v>0</v>
      </c>
      <c r="U798" s="85"/>
      <c r="V798" s="85"/>
      <c r="W798" s="85"/>
      <c r="X798" s="85"/>
      <c r="Y798" s="85"/>
      <c r="Z798" s="85"/>
      <c r="AA798" s="85"/>
      <c r="AB798" s="85"/>
      <c r="AC798" s="85"/>
      <c r="AD798" s="85"/>
    </row>
    <row r="799" spans="1:30" ht="15.75" x14ac:dyDescent="0.25">
      <c r="A799" s="13">
        <v>65258</v>
      </c>
      <c r="B799" s="96">
        <f t="shared" si="128"/>
        <v>31</v>
      </c>
      <c r="C799" s="84">
        <f>194.205</f>
        <v>194.20500000000001</v>
      </c>
      <c r="D799" s="84">
        <f>267.466</f>
        <v>267.46600000000001</v>
      </c>
      <c r="E799" s="93">
        <f>133.845</f>
        <v>133.845</v>
      </c>
      <c r="F799" s="84">
        <f>278.484-40-25-60-100</f>
        <v>53.48399999999998</v>
      </c>
      <c r="G799" s="87">
        <v>40</v>
      </c>
      <c r="H799" s="84">
        <f t="shared" si="133"/>
        <v>185</v>
      </c>
      <c r="I799" s="84">
        <f t="shared" si="124"/>
        <v>0</v>
      </c>
      <c r="J799" s="87">
        <v>100</v>
      </c>
      <c r="K799" s="87">
        <v>300</v>
      </c>
      <c r="L799" s="84">
        <f t="shared" si="129"/>
        <v>1274</v>
      </c>
      <c r="M799" s="95">
        <v>600</v>
      </c>
      <c r="N799" s="84">
        <f>30</f>
        <v>30</v>
      </c>
      <c r="O799" s="87">
        <v>240</v>
      </c>
      <c r="P799" s="87">
        <v>40</v>
      </c>
      <c r="Q799" s="87">
        <f t="shared" si="130"/>
        <v>315</v>
      </c>
      <c r="R799" s="87">
        <f t="shared" si="131"/>
        <v>100</v>
      </c>
      <c r="S799" s="84">
        <f t="shared" si="132"/>
        <v>695</v>
      </c>
      <c r="T799" s="84">
        <f>0</f>
        <v>0</v>
      </c>
      <c r="U799" s="85"/>
      <c r="V799" s="85"/>
      <c r="W799" s="85"/>
      <c r="X799" s="85"/>
      <c r="Y799" s="85"/>
      <c r="Z799" s="85"/>
      <c r="AA799" s="85"/>
      <c r="AB799" s="85"/>
      <c r="AC799" s="85"/>
      <c r="AD799" s="85"/>
    </row>
    <row r="800" spans="1:30" ht="15.75" x14ac:dyDescent="0.25">
      <c r="A800" s="13">
        <v>65288</v>
      </c>
      <c r="B800" s="96">
        <f t="shared" si="128"/>
        <v>30</v>
      </c>
      <c r="C800" s="84">
        <f>194.205</f>
        <v>194.20500000000001</v>
      </c>
      <c r="D800" s="84">
        <f>267.466</f>
        <v>267.46600000000001</v>
      </c>
      <c r="E800" s="93">
        <f>133.845</f>
        <v>133.845</v>
      </c>
      <c r="F800" s="84">
        <f>278.484-40-25-60-100</f>
        <v>53.48399999999998</v>
      </c>
      <c r="G800" s="87">
        <v>40</v>
      </c>
      <c r="H800" s="84">
        <f t="shared" si="133"/>
        <v>185</v>
      </c>
      <c r="I800" s="84">
        <f t="shared" si="124"/>
        <v>0</v>
      </c>
      <c r="J800" s="87">
        <v>100</v>
      </c>
      <c r="K800" s="87">
        <v>300</v>
      </c>
      <c r="L800" s="84">
        <f t="shared" si="129"/>
        <v>1274</v>
      </c>
      <c r="M800" s="95">
        <v>600</v>
      </c>
      <c r="N800" s="84">
        <f>30</f>
        <v>30</v>
      </c>
      <c r="O800" s="87">
        <v>240</v>
      </c>
      <c r="P800" s="87">
        <v>40</v>
      </c>
      <c r="Q800" s="87">
        <f t="shared" si="130"/>
        <v>315</v>
      </c>
      <c r="R800" s="87">
        <f t="shared" si="131"/>
        <v>100</v>
      </c>
      <c r="S800" s="84">
        <f t="shared" si="132"/>
        <v>695</v>
      </c>
      <c r="T800" s="84">
        <f>0</f>
        <v>0</v>
      </c>
      <c r="U800" s="85"/>
      <c r="V800" s="85"/>
      <c r="W800" s="85"/>
      <c r="X800" s="85"/>
      <c r="Y800" s="85"/>
      <c r="Z800" s="85"/>
      <c r="AA800" s="85"/>
      <c r="AB800" s="85"/>
      <c r="AC800" s="85"/>
      <c r="AD800" s="85"/>
    </row>
    <row r="801" spans="1:30" ht="15.75" x14ac:dyDescent="0.25">
      <c r="A801" s="13">
        <v>65319</v>
      </c>
      <c r="B801" s="96">
        <f t="shared" si="128"/>
        <v>31</v>
      </c>
      <c r="C801" s="84">
        <f>131.881</f>
        <v>131.881</v>
      </c>
      <c r="D801" s="84">
        <f>277.167</f>
        <v>277.16699999999997</v>
      </c>
      <c r="E801" s="93">
        <f>79.08</f>
        <v>79.08</v>
      </c>
      <c r="F801" s="84">
        <f>350.872-40-25-60-100</f>
        <v>125.87200000000001</v>
      </c>
      <c r="G801" s="87">
        <v>40</v>
      </c>
      <c r="H801" s="84">
        <f t="shared" si="133"/>
        <v>185</v>
      </c>
      <c r="I801" s="84">
        <f t="shared" si="124"/>
        <v>0</v>
      </c>
      <c r="J801" s="87">
        <v>100</v>
      </c>
      <c r="K801" s="87">
        <v>300</v>
      </c>
      <c r="L801" s="84">
        <f t="shared" si="129"/>
        <v>1239</v>
      </c>
      <c r="M801" s="95">
        <v>600</v>
      </c>
      <c r="N801" s="84">
        <f>75</f>
        <v>75</v>
      </c>
      <c r="O801" s="87">
        <v>240</v>
      </c>
      <c r="P801" s="87">
        <v>40</v>
      </c>
      <c r="Q801" s="87">
        <f t="shared" si="130"/>
        <v>315</v>
      </c>
      <c r="R801" s="87">
        <f t="shared" si="131"/>
        <v>100</v>
      </c>
      <c r="S801" s="84">
        <f t="shared" si="132"/>
        <v>695</v>
      </c>
      <c r="T801" s="84">
        <f>0</f>
        <v>0</v>
      </c>
      <c r="U801" s="85"/>
      <c r="V801" s="85"/>
      <c r="W801" s="85"/>
      <c r="X801" s="85"/>
      <c r="Y801" s="85"/>
      <c r="Z801" s="85"/>
      <c r="AA801" s="85"/>
      <c r="AB801" s="85"/>
      <c r="AC801" s="85"/>
      <c r="AD801" s="85"/>
    </row>
    <row r="802" spans="1:30" ht="15.75" x14ac:dyDescent="0.25">
      <c r="A802" s="13">
        <v>65349</v>
      </c>
      <c r="B802" s="96">
        <f t="shared" si="128"/>
        <v>30</v>
      </c>
      <c r="C802" s="84">
        <f>122.58</f>
        <v>122.58</v>
      </c>
      <c r="D802" s="84">
        <f>297.941</f>
        <v>297.94099999999997</v>
      </c>
      <c r="E802" s="93">
        <f>89.177</f>
        <v>89.177000000000007</v>
      </c>
      <c r="F802" s="84">
        <f>240.302-40-60-100</f>
        <v>40.301999999999992</v>
      </c>
      <c r="G802" s="87">
        <v>40</v>
      </c>
      <c r="H802" s="84">
        <f>60+100</f>
        <v>160</v>
      </c>
      <c r="I802" s="84">
        <f t="shared" si="124"/>
        <v>0</v>
      </c>
      <c r="J802" s="87">
        <v>100</v>
      </c>
      <c r="K802" s="87">
        <v>300</v>
      </c>
      <c r="L802" s="84">
        <f t="shared" si="129"/>
        <v>1150</v>
      </c>
      <c r="M802" s="95">
        <v>600</v>
      </c>
      <c r="N802" s="84">
        <f>100</f>
        <v>100</v>
      </c>
      <c r="O802" s="87">
        <v>240</v>
      </c>
      <c r="P802" s="87">
        <v>40</v>
      </c>
      <c r="Q802" s="87">
        <f t="shared" si="130"/>
        <v>315</v>
      </c>
      <c r="R802" s="87">
        <f t="shared" si="131"/>
        <v>100</v>
      </c>
      <c r="S802" s="84">
        <f t="shared" si="132"/>
        <v>695</v>
      </c>
      <c r="T802" s="84">
        <f>50</f>
        <v>50</v>
      </c>
      <c r="U802" s="85"/>
      <c r="V802" s="85"/>
      <c r="W802" s="85"/>
      <c r="X802" s="85"/>
      <c r="Y802" s="85"/>
      <c r="Z802" s="85"/>
      <c r="AA802" s="85"/>
      <c r="AB802" s="85"/>
      <c r="AC802" s="85"/>
      <c r="AD802" s="85"/>
    </row>
    <row r="803" spans="1:30" ht="15.75" x14ac:dyDescent="0.25">
      <c r="A803" s="13">
        <v>65380</v>
      </c>
      <c r="B803" s="96">
        <f t="shared" si="128"/>
        <v>31</v>
      </c>
      <c r="C803" s="84">
        <f>122.58</f>
        <v>122.58</v>
      </c>
      <c r="D803" s="84">
        <f>297.941</f>
        <v>297.94099999999997</v>
      </c>
      <c r="E803" s="93">
        <f>89.177</f>
        <v>89.177000000000007</v>
      </c>
      <c r="F803" s="84">
        <f>240.302-40-60-100</f>
        <v>40.301999999999992</v>
      </c>
      <c r="G803" s="87">
        <v>40</v>
      </c>
      <c r="H803" s="84">
        <f>60+100</f>
        <v>160</v>
      </c>
      <c r="I803" s="84">
        <f t="shared" si="124"/>
        <v>0</v>
      </c>
      <c r="J803" s="87">
        <v>100</v>
      </c>
      <c r="K803" s="87">
        <v>300</v>
      </c>
      <c r="L803" s="84">
        <f t="shared" si="129"/>
        <v>1150</v>
      </c>
      <c r="M803" s="95">
        <v>600</v>
      </c>
      <c r="N803" s="84">
        <f>100</f>
        <v>100</v>
      </c>
      <c r="O803" s="87">
        <v>240</v>
      </c>
      <c r="P803" s="87">
        <v>40</v>
      </c>
      <c r="Q803" s="87">
        <f t="shared" si="130"/>
        <v>315</v>
      </c>
      <c r="R803" s="87">
        <f t="shared" si="131"/>
        <v>100</v>
      </c>
      <c r="S803" s="84">
        <f t="shared" si="132"/>
        <v>695</v>
      </c>
      <c r="T803" s="84">
        <f>50</f>
        <v>50</v>
      </c>
      <c r="U803" s="85"/>
      <c r="V803" s="85"/>
      <c r="W803" s="85"/>
      <c r="X803" s="85"/>
      <c r="Y803" s="85"/>
      <c r="Z803" s="85"/>
      <c r="AA803" s="85"/>
      <c r="AB803" s="85"/>
      <c r="AC803" s="85"/>
      <c r="AD803" s="85"/>
    </row>
    <row r="804" spans="1:30" ht="15.75" x14ac:dyDescent="0.25">
      <c r="A804" s="13">
        <v>65411</v>
      </c>
      <c r="B804" s="96">
        <f t="shared" si="128"/>
        <v>31</v>
      </c>
      <c r="C804" s="84">
        <f>122.58</f>
        <v>122.58</v>
      </c>
      <c r="D804" s="84">
        <f>297.941</f>
        <v>297.94099999999997</v>
      </c>
      <c r="E804" s="93">
        <f>89.177</f>
        <v>89.177000000000007</v>
      </c>
      <c r="F804" s="84">
        <f>240.302-40-60-100</f>
        <v>40.301999999999992</v>
      </c>
      <c r="G804" s="87">
        <v>40</v>
      </c>
      <c r="H804" s="84">
        <f>60+100</f>
        <v>160</v>
      </c>
      <c r="I804" s="84">
        <f t="shared" si="124"/>
        <v>0</v>
      </c>
      <c r="J804" s="87">
        <v>100</v>
      </c>
      <c r="K804" s="87">
        <v>300</v>
      </c>
      <c r="L804" s="84">
        <f t="shared" si="129"/>
        <v>1150</v>
      </c>
      <c r="M804" s="95">
        <v>600</v>
      </c>
      <c r="N804" s="84">
        <f>100</f>
        <v>100</v>
      </c>
      <c r="O804" s="87">
        <v>240</v>
      </c>
      <c r="P804" s="87">
        <v>40</v>
      </c>
      <c r="Q804" s="87">
        <f t="shared" si="130"/>
        <v>315</v>
      </c>
      <c r="R804" s="87">
        <f t="shared" si="131"/>
        <v>100</v>
      </c>
      <c r="S804" s="84">
        <f t="shared" si="132"/>
        <v>695</v>
      </c>
      <c r="T804" s="84">
        <f>50</f>
        <v>50</v>
      </c>
      <c r="U804" s="85"/>
      <c r="V804" s="85"/>
      <c r="W804" s="85"/>
      <c r="X804" s="85"/>
      <c r="Y804" s="85"/>
      <c r="Z804" s="85"/>
      <c r="AA804" s="85"/>
      <c r="AB804" s="85"/>
      <c r="AC804" s="85"/>
      <c r="AD804" s="85"/>
    </row>
    <row r="805" spans="1:30" ht="15.75" x14ac:dyDescent="0.25">
      <c r="A805" s="13">
        <v>65439</v>
      </c>
      <c r="B805" s="96">
        <f t="shared" si="128"/>
        <v>28</v>
      </c>
      <c r="C805" s="84">
        <f>122.58</f>
        <v>122.58</v>
      </c>
      <c r="D805" s="84">
        <f>297.941</f>
        <v>297.94099999999997</v>
      </c>
      <c r="E805" s="93">
        <f>89.177</f>
        <v>89.177000000000007</v>
      </c>
      <c r="F805" s="84">
        <f>240.302-40-60-100</f>
        <v>40.301999999999992</v>
      </c>
      <c r="G805" s="87">
        <v>40</v>
      </c>
      <c r="H805" s="84">
        <f>60+100</f>
        <v>160</v>
      </c>
      <c r="I805" s="84">
        <f t="shared" si="124"/>
        <v>0</v>
      </c>
      <c r="J805" s="87">
        <v>100</v>
      </c>
      <c r="K805" s="87">
        <v>300</v>
      </c>
      <c r="L805" s="84">
        <f t="shared" si="129"/>
        <v>1150</v>
      </c>
      <c r="M805" s="95">
        <v>600</v>
      </c>
      <c r="N805" s="84">
        <f>100</f>
        <v>100</v>
      </c>
      <c r="O805" s="87">
        <v>240</v>
      </c>
      <c r="P805" s="87">
        <v>40</v>
      </c>
      <c r="Q805" s="87">
        <f t="shared" si="130"/>
        <v>315</v>
      </c>
      <c r="R805" s="87">
        <f t="shared" si="131"/>
        <v>100</v>
      </c>
      <c r="S805" s="84">
        <f t="shared" si="132"/>
        <v>695</v>
      </c>
      <c r="T805" s="84">
        <f>50</f>
        <v>50</v>
      </c>
      <c r="U805" s="85"/>
      <c r="V805" s="85"/>
      <c r="W805" s="85"/>
      <c r="X805" s="85"/>
      <c r="Y805" s="85"/>
      <c r="Z805" s="85"/>
      <c r="AA805" s="85"/>
      <c r="AB805" s="85"/>
      <c r="AC805" s="85"/>
      <c r="AD805" s="85"/>
    </row>
    <row r="806" spans="1:30" ht="15.75" x14ac:dyDescent="0.25">
      <c r="A806" s="13">
        <v>65470</v>
      </c>
      <c r="B806" s="96">
        <f t="shared" si="128"/>
        <v>31</v>
      </c>
      <c r="C806" s="84">
        <f>122.58</f>
        <v>122.58</v>
      </c>
      <c r="D806" s="84">
        <f>297.941</f>
        <v>297.94099999999997</v>
      </c>
      <c r="E806" s="93">
        <f>89.177</f>
        <v>89.177000000000007</v>
      </c>
      <c r="F806" s="84">
        <f>240.302-40-60-100</f>
        <v>40.301999999999992</v>
      </c>
      <c r="G806" s="87">
        <v>40</v>
      </c>
      <c r="H806" s="84">
        <f>60+100</f>
        <v>160</v>
      </c>
      <c r="I806" s="84">
        <f t="shared" si="124"/>
        <v>0</v>
      </c>
      <c r="J806" s="87">
        <v>100</v>
      </c>
      <c r="K806" s="87">
        <v>300</v>
      </c>
      <c r="L806" s="84">
        <f t="shared" si="129"/>
        <v>1150</v>
      </c>
      <c r="M806" s="95">
        <v>600</v>
      </c>
      <c r="N806" s="84">
        <f>100</f>
        <v>100</v>
      </c>
      <c r="O806" s="87">
        <v>240</v>
      </c>
      <c r="P806" s="87">
        <v>40</v>
      </c>
      <c r="Q806" s="87">
        <f t="shared" si="130"/>
        <v>315</v>
      </c>
      <c r="R806" s="87">
        <f t="shared" si="131"/>
        <v>100</v>
      </c>
      <c r="S806" s="84">
        <f t="shared" si="132"/>
        <v>695</v>
      </c>
      <c r="T806" s="84">
        <f>50</f>
        <v>50</v>
      </c>
      <c r="U806" s="85"/>
      <c r="V806" s="85"/>
      <c r="W806" s="85"/>
      <c r="X806" s="85"/>
      <c r="Y806" s="85"/>
      <c r="Z806" s="85"/>
      <c r="AA806" s="85"/>
      <c r="AB806" s="85"/>
      <c r="AC806" s="85"/>
      <c r="AD806" s="85"/>
    </row>
    <row r="807" spans="1:30" ht="15.75" x14ac:dyDescent="0.25">
      <c r="A807" s="13">
        <v>65500</v>
      </c>
      <c r="B807" s="96">
        <f t="shared" si="128"/>
        <v>30</v>
      </c>
      <c r="C807" s="84">
        <f>141.293</f>
        <v>141.29300000000001</v>
      </c>
      <c r="D807" s="84">
        <f>267.993</f>
        <v>267.99299999999999</v>
      </c>
      <c r="E807" s="93">
        <f>115.016</f>
        <v>115.01600000000001</v>
      </c>
      <c r="F807" s="84">
        <f>314.698-40-25-60-100</f>
        <v>89.697999999999979</v>
      </c>
      <c r="G807" s="87">
        <v>40</v>
      </c>
      <c r="H807" s="84">
        <f t="shared" ref="H807:H813" si="134">25+60+100</f>
        <v>185</v>
      </c>
      <c r="I807" s="84">
        <f t="shared" si="124"/>
        <v>0</v>
      </c>
      <c r="J807" s="87">
        <v>100</v>
      </c>
      <c r="K807" s="87">
        <v>300</v>
      </c>
      <c r="L807" s="84">
        <f t="shared" si="129"/>
        <v>1239</v>
      </c>
      <c r="M807" s="95">
        <v>600</v>
      </c>
      <c r="N807" s="84">
        <f>100</f>
        <v>100</v>
      </c>
      <c r="O807" s="87">
        <v>240</v>
      </c>
      <c r="P807" s="87">
        <v>40</v>
      </c>
      <c r="Q807" s="87">
        <f t="shared" si="130"/>
        <v>315</v>
      </c>
      <c r="R807" s="87">
        <f t="shared" si="131"/>
        <v>100</v>
      </c>
      <c r="S807" s="84">
        <f t="shared" si="132"/>
        <v>695</v>
      </c>
      <c r="T807" s="84">
        <f>50</f>
        <v>50</v>
      </c>
      <c r="U807" s="85"/>
      <c r="V807" s="85"/>
      <c r="W807" s="85"/>
      <c r="X807" s="85"/>
      <c r="Y807" s="85"/>
      <c r="Z807" s="85"/>
      <c r="AA807" s="85"/>
      <c r="AB807" s="85"/>
      <c r="AC807" s="85"/>
      <c r="AD807" s="85"/>
    </row>
    <row r="808" spans="1:30" ht="15.75" x14ac:dyDescent="0.25">
      <c r="A808" s="13">
        <v>65531</v>
      </c>
      <c r="B808" s="96">
        <f t="shared" si="128"/>
        <v>31</v>
      </c>
      <c r="C808" s="84">
        <f>194.205</f>
        <v>194.20500000000001</v>
      </c>
      <c r="D808" s="84">
        <f>267.466</f>
        <v>267.46600000000001</v>
      </c>
      <c r="E808" s="93">
        <f>133.845</f>
        <v>133.845</v>
      </c>
      <c r="F808" s="84">
        <f>278.484-40-25-60-100</f>
        <v>53.48399999999998</v>
      </c>
      <c r="G808" s="87">
        <v>40</v>
      </c>
      <c r="H808" s="84">
        <f t="shared" si="134"/>
        <v>185</v>
      </c>
      <c r="I808" s="84">
        <f t="shared" si="124"/>
        <v>0</v>
      </c>
      <c r="J808" s="87">
        <v>100</v>
      </c>
      <c r="K808" s="87">
        <v>300</v>
      </c>
      <c r="L808" s="84">
        <f t="shared" si="129"/>
        <v>1274</v>
      </c>
      <c r="M808" s="95">
        <v>600</v>
      </c>
      <c r="N808" s="84">
        <f>75</f>
        <v>75</v>
      </c>
      <c r="O808" s="87">
        <v>240</v>
      </c>
      <c r="P808" s="87">
        <v>40</v>
      </c>
      <c r="Q808" s="87">
        <f t="shared" si="130"/>
        <v>315</v>
      </c>
      <c r="R808" s="87">
        <f t="shared" si="131"/>
        <v>100</v>
      </c>
      <c r="S808" s="84">
        <f t="shared" si="132"/>
        <v>695</v>
      </c>
      <c r="T808" s="84">
        <f>50</f>
        <v>50</v>
      </c>
      <c r="U808" s="85"/>
      <c r="V808" s="85"/>
      <c r="W808" s="85"/>
      <c r="X808" s="85"/>
      <c r="Y808" s="85"/>
      <c r="Z808" s="85"/>
      <c r="AA808" s="85"/>
      <c r="AB808" s="85"/>
      <c r="AC808" s="85"/>
      <c r="AD808" s="85"/>
    </row>
    <row r="809" spans="1:30" ht="15.75" x14ac:dyDescent="0.25">
      <c r="A809" s="13">
        <v>65561</v>
      </c>
      <c r="B809" s="96">
        <f t="shared" si="128"/>
        <v>30</v>
      </c>
      <c r="C809" s="84">
        <f>194.205</f>
        <v>194.20500000000001</v>
      </c>
      <c r="D809" s="84">
        <f>267.466</f>
        <v>267.46600000000001</v>
      </c>
      <c r="E809" s="93">
        <f>133.845</f>
        <v>133.845</v>
      </c>
      <c r="F809" s="84">
        <f>278.484-40-25-60-100</f>
        <v>53.48399999999998</v>
      </c>
      <c r="G809" s="87">
        <v>40</v>
      </c>
      <c r="H809" s="84">
        <f t="shared" si="134"/>
        <v>185</v>
      </c>
      <c r="I809" s="84">
        <f t="shared" si="124"/>
        <v>0</v>
      </c>
      <c r="J809" s="87">
        <v>100</v>
      </c>
      <c r="K809" s="87">
        <v>300</v>
      </c>
      <c r="L809" s="84">
        <f t="shared" si="129"/>
        <v>1274</v>
      </c>
      <c r="M809" s="95">
        <v>600</v>
      </c>
      <c r="N809" s="84">
        <f>30</f>
        <v>30</v>
      </c>
      <c r="O809" s="87">
        <v>240</v>
      </c>
      <c r="P809" s="87">
        <v>40</v>
      </c>
      <c r="Q809" s="87">
        <f t="shared" si="130"/>
        <v>315</v>
      </c>
      <c r="R809" s="87">
        <f t="shared" si="131"/>
        <v>100</v>
      </c>
      <c r="S809" s="84">
        <f t="shared" si="132"/>
        <v>695</v>
      </c>
      <c r="T809" s="84">
        <f>50</f>
        <v>50</v>
      </c>
      <c r="U809" s="85"/>
      <c r="V809" s="85"/>
      <c r="W809" s="85"/>
      <c r="X809" s="85"/>
      <c r="Y809" s="85"/>
      <c r="Z809" s="85"/>
      <c r="AA809" s="85"/>
      <c r="AB809" s="85"/>
      <c r="AC809" s="85"/>
      <c r="AD809" s="85"/>
    </row>
    <row r="810" spans="1:30" ht="15.75" x14ac:dyDescent="0.25">
      <c r="A810" s="13">
        <v>65592</v>
      </c>
      <c r="B810" s="96">
        <f t="shared" si="128"/>
        <v>31</v>
      </c>
      <c r="C810" s="84">
        <f>194.205</f>
        <v>194.20500000000001</v>
      </c>
      <c r="D810" s="84">
        <f>267.466</f>
        <v>267.46600000000001</v>
      </c>
      <c r="E810" s="93">
        <f>133.845</f>
        <v>133.845</v>
      </c>
      <c r="F810" s="84">
        <f>278.484-40-25-60-100</f>
        <v>53.48399999999998</v>
      </c>
      <c r="G810" s="87">
        <v>40</v>
      </c>
      <c r="H810" s="84">
        <f t="shared" si="134"/>
        <v>185</v>
      </c>
      <c r="I810" s="84">
        <f t="shared" si="124"/>
        <v>0</v>
      </c>
      <c r="J810" s="87">
        <v>100</v>
      </c>
      <c r="K810" s="87">
        <v>300</v>
      </c>
      <c r="L810" s="84">
        <f t="shared" si="129"/>
        <v>1274</v>
      </c>
      <c r="M810" s="95">
        <v>600</v>
      </c>
      <c r="N810" s="84">
        <f>30</f>
        <v>30</v>
      </c>
      <c r="O810" s="87">
        <v>240</v>
      </c>
      <c r="P810" s="87">
        <v>40</v>
      </c>
      <c r="Q810" s="87">
        <f t="shared" si="130"/>
        <v>315</v>
      </c>
      <c r="R810" s="87">
        <f t="shared" si="131"/>
        <v>100</v>
      </c>
      <c r="S810" s="84">
        <f t="shared" si="132"/>
        <v>695</v>
      </c>
      <c r="T810" s="84">
        <f>0</f>
        <v>0</v>
      </c>
      <c r="U810" s="85"/>
      <c r="V810" s="85"/>
      <c r="W810" s="85"/>
      <c r="X810" s="85"/>
      <c r="Y810" s="85"/>
      <c r="Z810" s="85"/>
      <c r="AA810" s="85"/>
      <c r="AB810" s="85"/>
      <c r="AC810" s="85"/>
      <c r="AD810" s="85"/>
    </row>
    <row r="811" spans="1:30" ht="15.75" x14ac:dyDescent="0.25">
      <c r="A811" s="13">
        <v>65623</v>
      </c>
      <c r="B811" s="96">
        <f t="shared" si="128"/>
        <v>31</v>
      </c>
      <c r="C811" s="84">
        <f>194.205</f>
        <v>194.20500000000001</v>
      </c>
      <c r="D811" s="84">
        <f>267.466</f>
        <v>267.46600000000001</v>
      </c>
      <c r="E811" s="93">
        <f>133.845</f>
        <v>133.845</v>
      </c>
      <c r="F811" s="84">
        <f>278.484-40-25-60-100</f>
        <v>53.48399999999998</v>
      </c>
      <c r="G811" s="87">
        <v>40</v>
      </c>
      <c r="H811" s="84">
        <f t="shared" si="134"/>
        <v>185</v>
      </c>
      <c r="I811" s="84">
        <f t="shared" si="124"/>
        <v>0</v>
      </c>
      <c r="J811" s="87">
        <v>100</v>
      </c>
      <c r="K811" s="87">
        <v>300</v>
      </c>
      <c r="L811" s="84">
        <f t="shared" si="129"/>
        <v>1274</v>
      </c>
      <c r="M811" s="95">
        <v>600</v>
      </c>
      <c r="N811" s="84">
        <f>30</f>
        <v>30</v>
      </c>
      <c r="O811" s="87">
        <v>240</v>
      </c>
      <c r="P811" s="87">
        <v>40</v>
      </c>
      <c r="Q811" s="87">
        <f t="shared" si="130"/>
        <v>315</v>
      </c>
      <c r="R811" s="87">
        <f t="shared" si="131"/>
        <v>100</v>
      </c>
      <c r="S811" s="84">
        <f t="shared" si="132"/>
        <v>695</v>
      </c>
      <c r="T811" s="84">
        <f>0</f>
        <v>0</v>
      </c>
      <c r="U811" s="85"/>
      <c r="V811" s="85"/>
      <c r="W811" s="85"/>
      <c r="X811" s="85"/>
      <c r="Y811" s="85"/>
      <c r="Z811" s="85"/>
      <c r="AA811" s="85"/>
      <c r="AB811" s="85"/>
      <c r="AC811" s="85"/>
      <c r="AD811" s="85"/>
    </row>
    <row r="812" spans="1:30" ht="15.75" x14ac:dyDescent="0.25">
      <c r="A812" s="13">
        <v>65653</v>
      </c>
      <c r="B812" s="96">
        <f t="shared" si="128"/>
        <v>30</v>
      </c>
      <c r="C812" s="84">
        <f>194.205</f>
        <v>194.20500000000001</v>
      </c>
      <c r="D812" s="84">
        <f>267.466</f>
        <v>267.46600000000001</v>
      </c>
      <c r="E812" s="93">
        <f>133.845</f>
        <v>133.845</v>
      </c>
      <c r="F812" s="84">
        <f>278.484-40-25-60-100</f>
        <v>53.48399999999998</v>
      </c>
      <c r="G812" s="87">
        <v>40</v>
      </c>
      <c r="H812" s="84">
        <f t="shared" si="134"/>
        <v>185</v>
      </c>
      <c r="I812" s="84">
        <f t="shared" si="124"/>
        <v>0</v>
      </c>
      <c r="J812" s="87">
        <v>100</v>
      </c>
      <c r="K812" s="87">
        <v>300</v>
      </c>
      <c r="L812" s="84">
        <f t="shared" si="129"/>
        <v>1274</v>
      </c>
      <c r="M812" s="95">
        <v>600</v>
      </c>
      <c r="N812" s="84">
        <f>30</f>
        <v>30</v>
      </c>
      <c r="O812" s="87">
        <v>240</v>
      </c>
      <c r="P812" s="87">
        <v>40</v>
      </c>
      <c r="Q812" s="87">
        <f t="shared" si="130"/>
        <v>315</v>
      </c>
      <c r="R812" s="87">
        <f t="shared" si="131"/>
        <v>100</v>
      </c>
      <c r="S812" s="84">
        <f t="shared" si="132"/>
        <v>695</v>
      </c>
      <c r="T812" s="84">
        <f>0</f>
        <v>0</v>
      </c>
      <c r="U812" s="85"/>
      <c r="V812" s="85"/>
      <c r="W812" s="85"/>
      <c r="X812" s="85"/>
      <c r="Y812" s="85"/>
      <c r="Z812" s="85"/>
      <c r="AA812" s="85"/>
      <c r="AB812" s="85"/>
      <c r="AC812" s="85"/>
      <c r="AD812" s="85"/>
    </row>
    <row r="813" spans="1:30" ht="15.75" x14ac:dyDescent="0.25">
      <c r="A813" s="13">
        <v>65684</v>
      </c>
      <c r="B813" s="96">
        <f t="shared" si="128"/>
        <v>31</v>
      </c>
      <c r="C813" s="84">
        <f>131.881</f>
        <v>131.881</v>
      </c>
      <c r="D813" s="84">
        <f>277.167</f>
        <v>277.16699999999997</v>
      </c>
      <c r="E813" s="93">
        <f>79.08</f>
        <v>79.08</v>
      </c>
      <c r="F813" s="84">
        <f>350.872-40-25-60-100</f>
        <v>125.87200000000001</v>
      </c>
      <c r="G813" s="87">
        <v>40</v>
      </c>
      <c r="H813" s="84">
        <f t="shared" si="134"/>
        <v>185</v>
      </c>
      <c r="I813" s="84">
        <f t="shared" si="124"/>
        <v>0</v>
      </c>
      <c r="J813" s="87">
        <v>100</v>
      </c>
      <c r="K813" s="87">
        <v>300</v>
      </c>
      <c r="L813" s="84">
        <f t="shared" si="129"/>
        <v>1239</v>
      </c>
      <c r="M813" s="95">
        <v>600</v>
      </c>
      <c r="N813" s="84">
        <f>75</f>
        <v>75</v>
      </c>
      <c r="O813" s="87">
        <v>240</v>
      </c>
      <c r="P813" s="87">
        <v>40</v>
      </c>
      <c r="Q813" s="87">
        <f t="shared" si="130"/>
        <v>315</v>
      </c>
      <c r="R813" s="87">
        <f t="shared" si="131"/>
        <v>100</v>
      </c>
      <c r="S813" s="84">
        <f t="shared" si="132"/>
        <v>695</v>
      </c>
      <c r="T813" s="84">
        <f>0</f>
        <v>0</v>
      </c>
      <c r="U813" s="85"/>
      <c r="V813" s="85"/>
      <c r="W813" s="85"/>
      <c r="X813" s="85"/>
      <c r="Y813" s="85"/>
      <c r="Z813" s="85"/>
      <c r="AA813" s="85"/>
      <c r="AB813" s="85"/>
      <c r="AC813" s="85"/>
      <c r="AD813" s="85"/>
    </row>
    <row r="814" spans="1:30" ht="15.75" x14ac:dyDescent="0.25">
      <c r="A814" s="13">
        <v>65714</v>
      </c>
      <c r="B814" s="96">
        <f t="shared" si="128"/>
        <v>30</v>
      </c>
      <c r="C814" s="84">
        <f>122.58</f>
        <v>122.58</v>
      </c>
      <c r="D814" s="84">
        <f>297.941</f>
        <v>297.94099999999997</v>
      </c>
      <c r="E814" s="93">
        <f>89.177</f>
        <v>89.177000000000007</v>
      </c>
      <c r="F814" s="84">
        <f>240.302-40-60-100</f>
        <v>40.301999999999992</v>
      </c>
      <c r="G814" s="87">
        <v>40</v>
      </c>
      <c r="H814" s="84">
        <f>60+100</f>
        <v>160</v>
      </c>
      <c r="I814" s="84">
        <f t="shared" si="124"/>
        <v>0</v>
      </c>
      <c r="J814" s="87">
        <v>100</v>
      </c>
      <c r="K814" s="87">
        <v>300</v>
      </c>
      <c r="L814" s="84">
        <f t="shared" si="129"/>
        <v>1150</v>
      </c>
      <c r="M814" s="95">
        <v>600</v>
      </c>
      <c r="N814" s="84">
        <f>100</f>
        <v>100</v>
      </c>
      <c r="O814" s="87">
        <v>240</v>
      </c>
      <c r="P814" s="87">
        <v>40</v>
      </c>
      <c r="Q814" s="87">
        <f t="shared" si="130"/>
        <v>315</v>
      </c>
      <c r="R814" s="87">
        <f t="shared" si="131"/>
        <v>100</v>
      </c>
      <c r="S814" s="84">
        <f t="shared" si="132"/>
        <v>695</v>
      </c>
      <c r="T814" s="84">
        <f>50</f>
        <v>50</v>
      </c>
      <c r="U814" s="85"/>
      <c r="V814" s="85"/>
      <c r="W814" s="85"/>
      <c r="X814" s="85"/>
      <c r="Y814" s="85"/>
      <c r="Z814" s="85"/>
      <c r="AA814" s="85"/>
      <c r="AB814" s="85"/>
      <c r="AC814" s="85"/>
      <c r="AD814" s="85"/>
    </row>
    <row r="815" spans="1:30" ht="15.75" x14ac:dyDescent="0.25">
      <c r="A815" s="13">
        <v>65745</v>
      </c>
      <c r="B815" s="96">
        <f t="shared" si="128"/>
        <v>31</v>
      </c>
      <c r="C815" s="84">
        <f>122.58</f>
        <v>122.58</v>
      </c>
      <c r="D815" s="84">
        <f>297.941</f>
        <v>297.94099999999997</v>
      </c>
      <c r="E815" s="93">
        <f>89.177</f>
        <v>89.177000000000007</v>
      </c>
      <c r="F815" s="84">
        <f>240.302-40-60-100</f>
        <v>40.301999999999992</v>
      </c>
      <c r="G815" s="87">
        <v>40</v>
      </c>
      <c r="H815" s="84">
        <f>60+100</f>
        <v>160</v>
      </c>
      <c r="I815" s="84">
        <f t="shared" si="124"/>
        <v>0</v>
      </c>
      <c r="J815" s="87">
        <v>100</v>
      </c>
      <c r="K815" s="87">
        <v>300</v>
      </c>
      <c r="L815" s="84">
        <f t="shared" si="129"/>
        <v>1150</v>
      </c>
      <c r="M815" s="95">
        <v>600</v>
      </c>
      <c r="N815" s="84">
        <f>100</f>
        <v>100</v>
      </c>
      <c r="O815" s="87">
        <v>240</v>
      </c>
      <c r="P815" s="87">
        <v>40</v>
      </c>
      <c r="Q815" s="87">
        <f t="shared" si="130"/>
        <v>315</v>
      </c>
      <c r="R815" s="87">
        <f t="shared" si="131"/>
        <v>100</v>
      </c>
      <c r="S815" s="84">
        <f t="shared" si="132"/>
        <v>695</v>
      </c>
      <c r="T815" s="84">
        <f>50</f>
        <v>50</v>
      </c>
      <c r="U815" s="85"/>
      <c r="V815" s="85"/>
      <c r="W815" s="85"/>
      <c r="X815" s="85"/>
      <c r="Y815" s="85"/>
      <c r="Z815" s="85"/>
      <c r="AA815" s="85"/>
      <c r="AB815" s="85"/>
      <c r="AC815" s="85"/>
      <c r="AD815" s="85"/>
    </row>
    <row r="816" spans="1:30" ht="15.75" x14ac:dyDescent="0.25">
      <c r="A816" s="13">
        <v>65776</v>
      </c>
      <c r="B816" s="96">
        <f t="shared" si="128"/>
        <v>31</v>
      </c>
      <c r="C816" s="84">
        <f>122.58</f>
        <v>122.58</v>
      </c>
      <c r="D816" s="84">
        <f>297.941</f>
        <v>297.94099999999997</v>
      </c>
      <c r="E816" s="93">
        <f>89.177</f>
        <v>89.177000000000007</v>
      </c>
      <c r="F816" s="84">
        <f>240.302-40-60-100</f>
        <v>40.301999999999992</v>
      </c>
      <c r="G816" s="87">
        <v>40</v>
      </c>
      <c r="H816" s="84">
        <f>60+100</f>
        <v>160</v>
      </c>
      <c r="I816" s="84">
        <f t="shared" si="124"/>
        <v>0</v>
      </c>
      <c r="J816" s="87">
        <v>100</v>
      </c>
      <c r="K816" s="87">
        <v>300</v>
      </c>
      <c r="L816" s="84">
        <f t="shared" si="129"/>
        <v>1150</v>
      </c>
      <c r="M816" s="95">
        <v>600</v>
      </c>
      <c r="N816" s="84">
        <f>100</f>
        <v>100</v>
      </c>
      <c r="O816" s="87">
        <v>240</v>
      </c>
      <c r="P816" s="87">
        <v>40</v>
      </c>
      <c r="Q816" s="87">
        <f t="shared" si="130"/>
        <v>315</v>
      </c>
      <c r="R816" s="87">
        <f t="shared" si="131"/>
        <v>100</v>
      </c>
      <c r="S816" s="84">
        <f t="shared" si="132"/>
        <v>695</v>
      </c>
      <c r="T816" s="84">
        <f>50</f>
        <v>50</v>
      </c>
      <c r="U816" s="85"/>
      <c r="V816" s="85"/>
      <c r="W816" s="85"/>
      <c r="X816" s="85"/>
      <c r="Y816" s="85"/>
      <c r="Z816" s="85"/>
      <c r="AA816" s="85"/>
      <c r="AB816" s="85"/>
      <c r="AC816" s="85"/>
      <c r="AD816" s="85"/>
    </row>
    <row r="817" spans="1:30" ht="15.75" x14ac:dyDescent="0.25">
      <c r="A817" s="13">
        <v>65805</v>
      </c>
      <c r="B817" s="96">
        <f t="shared" si="128"/>
        <v>29</v>
      </c>
      <c r="C817" s="84">
        <f>122.58</f>
        <v>122.58</v>
      </c>
      <c r="D817" s="84">
        <f>297.941</f>
        <v>297.94099999999997</v>
      </c>
      <c r="E817" s="93">
        <f>89.177</f>
        <v>89.177000000000007</v>
      </c>
      <c r="F817" s="84">
        <f>240.302-40-60-100</f>
        <v>40.301999999999992</v>
      </c>
      <c r="G817" s="87">
        <v>40</v>
      </c>
      <c r="H817" s="84">
        <f>60+100</f>
        <v>160</v>
      </c>
      <c r="I817" s="84">
        <f t="shared" si="124"/>
        <v>0</v>
      </c>
      <c r="J817" s="87">
        <v>100</v>
      </c>
      <c r="K817" s="87">
        <v>300</v>
      </c>
      <c r="L817" s="84">
        <f t="shared" si="129"/>
        <v>1150</v>
      </c>
      <c r="M817" s="95">
        <v>600</v>
      </c>
      <c r="N817" s="84">
        <f>100</f>
        <v>100</v>
      </c>
      <c r="O817" s="87">
        <v>240</v>
      </c>
      <c r="P817" s="87">
        <v>40</v>
      </c>
      <c r="Q817" s="87">
        <f t="shared" si="130"/>
        <v>315</v>
      </c>
      <c r="R817" s="87">
        <f t="shared" si="131"/>
        <v>100</v>
      </c>
      <c r="S817" s="84">
        <f t="shared" si="132"/>
        <v>695</v>
      </c>
      <c r="T817" s="84">
        <f>50</f>
        <v>50</v>
      </c>
      <c r="U817" s="85"/>
      <c r="V817" s="85"/>
      <c r="W817" s="85"/>
      <c r="X817" s="85"/>
      <c r="Y817" s="85"/>
      <c r="Z817" s="85"/>
      <c r="AA817" s="85"/>
      <c r="AB817" s="85"/>
      <c r="AC817" s="85"/>
      <c r="AD817" s="85"/>
    </row>
    <row r="818" spans="1:30" ht="15.75" x14ac:dyDescent="0.25">
      <c r="A818" s="13">
        <v>65836</v>
      </c>
      <c r="B818" s="96">
        <f t="shared" si="128"/>
        <v>31</v>
      </c>
      <c r="C818" s="84">
        <f>122.58</f>
        <v>122.58</v>
      </c>
      <c r="D818" s="84">
        <f>297.941</f>
        <v>297.94099999999997</v>
      </c>
      <c r="E818" s="93">
        <f>89.177</f>
        <v>89.177000000000007</v>
      </c>
      <c r="F818" s="84">
        <f>240.302-40-60-100</f>
        <v>40.301999999999992</v>
      </c>
      <c r="G818" s="87">
        <v>40</v>
      </c>
      <c r="H818" s="84">
        <f>60+100</f>
        <v>160</v>
      </c>
      <c r="I818" s="84">
        <f t="shared" si="124"/>
        <v>0</v>
      </c>
      <c r="J818" s="87">
        <v>100</v>
      </c>
      <c r="K818" s="87">
        <v>300</v>
      </c>
      <c r="L818" s="84">
        <f t="shared" si="129"/>
        <v>1150</v>
      </c>
      <c r="M818" s="95">
        <v>600</v>
      </c>
      <c r="N818" s="84">
        <f>100</f>
        <v>100</v>
      </c>
      <c r="O818" s="87">
        <v>240</v>
      </c>
      <c r="P818" s="87">
        <v>40</v>
      </c>
      <c r="Q818" s="87">
        <f t="shared" si="130"/>
        <v>315</v>
      </c>
      <c r="R818" s="87">
        <f t="shared" si="131"/>
        <v>100</v>
      </c>
      <c r="S818" s="84">
        <f t="shared" si="132"/>
        <v>695</v>
      </c>
      <c r="T818" s="84">
        <f>50</f>
        <v>50</v>
      </c>
      <c r="U818" s="85"/>
      <c r="V818" s="85"/>
      <c r="W818" s="85"/>
      <c r="X818" s="85"/>
      <c r="Y818" s="85"/>
      <c r="Z818" s="85"/>
      <c r="AA818" s="85"/>
      <c r="AB818" s="85"/>
      <c r="AC818" s="85"/>
      <c r="AD818" s="85"/>
    </row>
    <row r="819" spans="1:30" ht="15.75" x14ac:dyDescent="0.25">
      <c r="A819" s="13">
        <v>65866</v>
      </c>
      <c r="B819" s="96">
        <f t="shared" si="128"/>
        <v>30</v>
      </c>
      <c r="C819" s="84">
        <f>141.293</f>
        <v>141.29300000000001</v>
      </c>
      <c r="D819" s="84">
        <f>267.993</f>
        <v>267.99299999999999</v>
      </c>
      <c r="E819" s="93">
        <f>115.016</f>
        <v>115.01600000000001</v>
      </c>
      <c r="F819" s="84">
        <f>314.698-40-25-60-100</f>
        <v>89.697999999999979</v>
      </c>
      <c r="G819" s="87">
        <v>40</v>
      </c>
      <c r="H819" s="84">
        <f t="shared" ref="H819:H825" si="135">25+60+100</f>
        <v>185</v>
      </c>
      <c r="I819" s="84">
        <f t="shared" si="124"/>
        <v>0</v>
      </c>
      <c r="J819" s="87">
        <v>100</v>
      </c>
      <c r="K819" s="87">
        <v>300</v>
      </c>
      <c r="L819" s="84">
        <f t="shared" si="129"/>
        <v>1239</v>
      </c>
      <c r="M819" s="95">
        <v>600</v>
      </c>
      <c r="N819" s="84">
        <f>100</f>
        <v>100</v>
      </c>
      <c r="O819" s="87">
        <v>240</v>
      </c>
      <c r="P819" s="87">
        <v>40</v>
      </c>
      <c r="Q819" s="87">
        <f t="shared" si="130"/>
        <v>315</v>
      </c>
      <c r="R819" s="87">
        <f t="shared" si="131"/>
        <v>100</v>
      </c>
      <c r="S819" s="84">
        <f t="shared" si="132"/>
        <v>695</v>
      </c>
      <c r="T819" s="84">
        <f>50</f>
        <v>50</v>
      </c>
      <c r="U819" s="85"/>
      <c r="V819" s="85"/>
      <c r="W819" s="85"/>
      <c r="X819" s="85"/>
      <c r="Y819" s="85"/>
      <c r="Z819" s="85"/>
      <c r="AA819" s="85"/>
      <c r="AB819" s="85"/>
      <c r="AC819" s="85"/>
      <c r="AD819" s="85"/>
    </row>
    <row r="820" spans="1:30" ht="15.75" x14ac:dyDescent="0.25">
      <c r="A820" s="13">
        <v>65897</v>
      </c>
      <c r="B820" s="96">
        <f t="shared" si="128"/>
        <v>31</v>
      </c>
      <c r="C820" s="84">
        <f>194.205</f>
        <v>194.20500000000001</v>
      </c>
      <c r="D820" s="84">
        <f>267.466</f>
        <v>267.46600000000001</v>
      </c>
      <c r="E820" s="93">
        <f>133.845</f>
        <v>133.845</v>
      </c>
      <c r="F820" s="84">
        <f>278.484-40-25-60-100</f>
        <v>53.48399999999998</v>
      </c>
      <c r="G820" s="87">
        <v>40</v>
      </c>
      <c r="H820" s="84">
        <f t="shared" si="135"/>
        <v>185</v>
      </c>
      <c r="I820" s="84">
        <f t="shared" ref="I820:I883" si="136">400-J820-K820</f>
        <v>0</v>
      </c>
      <c r="J820" s="87">
        <v>100</v>
      </c>
      <c r="K820" s="87">
        <v>300</v>
      </c>
      <c r="L820" s="84">
        <f t="shared" si="129"/>
        <v>1274</v>
      </c>
      <c r="M820" s="95">
        <v>600</v>
      </c>
      <c r="N820" s="84">
        <f>75</f>
        <v>75</v>
      </c>
      <c r="O820" s="87">
        <v>240</v>
      </c>
      <c r="P820" s="87">
        <v>40</v>
      </c>
      <c r="Q820" s="87">
        <f t="shared" si="130"/>
        <v>315</v>
      </c>
      <c r="R820" s="87">
        <f t="shared" si="131"/>
        <v>100</v>
      </c>
      <c r="S820" s="84">
        <f t="shared" si="132"/>
        <v>695</v>
      </c>
      <c r="T820" s="84">
        <f>50</f>
        <v>50</v>
      </c>
      <c r="U820" s="85"/>
      <c r="V820" s="85"/>
      <c r="W820" s="85"/>
      <c r="X820" s="85"/>
      <c r="Y820" s="85"/>
      <c r="Z820" s="85"/>
      <c r="AA820" s="85"/>
      <c r="AB820" s="85"/>
      <c r="AC820" s="85"/>
      <c r="AD820" s="85"/>
    </row>
    <row r="821" spans="1:30" ht="15.75" x14ac:dyDescent="0.25">
      <c r="A821" s="13">
        <v>65927</v>
      </c>
      <c r="B821" s="96">
        <f t="shared" si="128"/>
        <v>30</v>
      </c>
      <c r="C821" s="84">
        <f>194.205</f>
        <v>194.20500000000001</v>
      </c>
      <c r="D821" s="84">
        <f>267.466</f>
        <v>267.46600000000001</v>
      </c>
      <c r="E821" s="93">
        <f>133.845</f>
        <v>133.845</v>
      </c>
      <c r="F821" s="84">
        <f>278.484-40-25-60-100</f>
        <v>53.48399999999998</v>
      </c>
      <c r="G821" s="87">
        <v>40</v>
      </c>
      <c r="H821" s="84">
        <f t="shared" si="135"/>
        <v>185</v>
      </c>
      <c r="I821" s="84">
        <f t="shared" si="136"/>
        <v>0</v>
      </c>
      <c r="J821" s="87">
        <v>100</v>
      </c>
      <c r="K821" s="87">
        <v>300</v>
      </c>
      <c r="L821" s="84">
        <f t="shared" si="129"/>
        <v>1274</v>
      </c>
      <c r="M821" s="95">
        <v>600</v>
      </c>
      <c r="N821" s="84">
        <f>30</f>
        <v>30</v>
      </c>
      <c r="O821" s="87">
        <v>240</v>
      </c>
      <c r="P821" s="87">
        <v>40</v>
      </c>
      <c r="Q821" s="87">
        <f t="shared" si="130"/>
        <v>315</v>
      </c>
      <c r="R821" s="87">
        <f t="shared" si="131"/>
        <v>100</v>
      </c>
      <c r="S821" s="84">
        <f t="shared" si="132"/>
        <v>695</v>
      </c>
      <c r="T821" s="84">
        <f>50</f>
        <v>50</v>
      </c>
      <c r="U821" s="85"/>
      <c r="V821" s="85"/>
      <c r="W821" s="85"/>
      <c r="X821" s="85"/>
      <c r="Y821" s="85"/>
      <c r="Z821" s="85"/>
      <c r="AA821" s="85"/>
      <c r="AB821" s="85"/>
      <c r="AC821" s="85"/>
      <c r="AD821" s="85"/>
    </row>
    <row r="822" spans="1:30" ht="15.75" x14ac:dyDescent="0.25">
      <c r="A822" s="13">
        <v>65958</v>
      </c>
      <c r="B822" s="96">
        <f t="shared" si="128"/>
        <v>31</v>
      </c>
      <c r="C822" s="84">
        <f>194.205</f>
        <v>194.20500000000001</v>
      </c>
      <c r="D822" s="84">
        <f>267.466</f>
        <v>267.46600000000001</v>
      </c>
      <c r="E822" s="93">
        <f>133.845</f>
        <v>133.845</v>
      </c>
      <c r="F822" s="84">
        <f>278.484-40-25-60-100</f>
        <v>53.48399999999998</v>
      </c>
      <c r="G822" s="87">
        <v>40</v>
      </c>
      <c r="H822" s="84">
        <f t="shared" si="135"/>
        <v>185</v>
      </c>
      <c r="I822" s="84">
        <f t="shared" si="136"/>
        <v>0</v>
      </c>
      <c r="J822" s="87">
        <v>100</v>
      </c>
      <c r="K822" s="87">
        <v>300</v>
      </c>
      <c r="L822" s="84">
        <f t="shared" si="129"/>
        <v>1274</v>
      </c>
      <c r="M822" s="95">
        <v>600</v>
      </c>
      <c r="N822" s="84">
        <f>30</f>
        <v>30</v>
      </c>
      <c r="O822" s="87">
        <v>240</v>
      </c>
      <c r="P822" s="87">
        <v>40</v>
      </c>
      <c r="Q822" s="87">
        <f t="shared" si="130"/>
        <v>315</v>
      </c>
      <c r="R822" s="87">
        <f t="shared" si="131"/>
        <v>100</v>
      </c>
      <c r="S822" s="84">
        <f t="shared" si="132"/>
        <v>695</v>
      </c>
      <c r="T822" s="84">
        <f>0</f>
        <v>0</v>
      </c>
      <c r="U822" s="85"/>
      <c r="V822" s="85"/>
      <c r="W822" s="85"/>
      <c r="X822" s="85"/>
      <c r="Y822" s="85"/>
      <c r="Z822" s="85"/>
      <c r="AA822" s="85"/>
      <c r="AB822" s="85"/>
      <c r="AC822" s="85"/>
      <c r="AD822" s="85"/>
    </row>
    <row r="823" spans="1:30" ht="15.75" x14ac:dyDescent="0.25">
      <c r="A823" s="13">
        <v>65989</v>
      </c>
      <c r="B823" s="96">
        <f t="shared" si="128"/>
        <v>31</v>
      </c>
      <c r="C823" s="84">
        <f>194.205</f>
        <v>194.20500000000001</v>
      </c>
      <c r="D823" s="84">
        <f>267.466</f>
        <v>267.46600000000001</v>
      </c>
      <c r="E823" s="93">
        <f>133.845</f>
        <v>133.845</v>
      </c>
      <c r="F823" s="84">
        <f>278.484-40-25-60-100</f>
        <v>53.48399999999998</v>
      </c>
      <c r="G823" s="87">
        <v>40</v>
      </c>
      <c r="H823" s="84">
        <f t="shared" si="135"/>
        <v>185</v>
      </c>
      <c r="I823" s="84">
        <f t="shared" si="136"/>
        <v>0</v>
      </c>
      <c r="J823" s="87">
        <v>100</v>
      </c>
      <c r="K823" s="87">
        <v>300</v>
      </c>
      <c r="L823" s="84">
        <f t="shared" si="129"/>
        <v>1274</v>
      </c>
      <c r="M823" s="95">
        <v>600</v>
      </c>
      <c r="N823" s="84">
        <f>30</f>
        <v>30</v>
      </c>
      <c r="O823" s="87">
        <v>240</v>
      </c>
      <c r="P823" s="87">
        <v>40</v>
      </c>
      <c r="Q823" s="87">
        <f t="shared" si="130"/>
        <v>315</v>
      </c>
      <c r="R823" s="87">
        <f t="shared" si="131"/>
        <v>100</v>
      </c>
      <c r="S823" s="84">
        <f t="shared" si="132"/>
        <v>695</v>
      </c>
      <c r="T823" s="84">
        <f>0</f>
        <v>0</v>
      </c>
      <c r="U823" s="85"/>
      <c r="V823" s="85"/>
      <c r="W823" s="85"/>
      <c r="X823" s="85"/>
      <c r="Y823" s="85"/>
      <c r="Z823" s="85"/>
      <c r="AA823" s="85"/>
      <c r="AB823" s="85"/>
      <c r="AC823" s="85"/>
      <c r="AD823" s="85"/>
    </row>
    <row r="824" spans="1:30" ht="15.75" x14ac:dyDescent="0.25">
      <c r="A824" s="13">
        <v>66019</v>
      </c>
      <c r="B824" s="96">
        <f t="shared" si="128"/>
        <v>30</v>
      </c>
      <c r="C824" s="84">
        <f>194.205</f>
        <v>194.20500000000001</v>
      </c>
      <c r="D824" s="84">
        <f>267.466</f>
        <v>267.46600000000001</v>
      </c>
      <c r="E824" s="93">
        <f>133.845</f>
        <v>133.845</v>
      </c>
      <c r="F824" s="84">
        <f>278.484-40-25-60-100</f>
        <v>53.48399999999998</v>
      </c>
      <c r="G824" s="87">
        <v>40</v>
      </c>
      <c r="H824" s="84">
        <f t="shared" si="135"/>
        <v>185</v>
      </c>
      <c r="I824" s="84">
        <f t="shared" si="136"/>
        <v>0</v>
      </c>
      <c r="J824" s="87">
        <v>100</v>
      </c>
      <c r="K824" s="87">
        <v>300</v>
      </c>
      <c r="L824" s="84">
        <f t="shared" si="129"/>
        <v>1274</v>
      </c>
      <c r="M824" s="95">
        <v>600</v>
      </c>
      <c r="N824" s="84">
        <f>30</f>
        <v>30</v>
      </c>
      <c r="O824" s="87">
        <v>240</v>
      </c>
      <c r="P824" s="87">
        <v>40</v>
      </c>
      <c r="Q824" s="87">
        <f t="shared" si="130"/>
        <v>315</v>
      </c>
      <c r="R824" s="87">
        <f t="shared" si="131"/>
        <v>100</v>
      </c>
      <c r="S824" s="84">
        <f t="shared" si="132"/>
        <v>695</v>
      </c>
      <c r="T824" s="84">
        <f>0</f>
        <v>0</v>
      </c>
      <c r="U824" s="85"/>
      <c r="V824" s="85"/>
      <c r="W824" s="85"/>
      <c r="X824" s="85"/>
      <c r="Y824" s="85"/>
      <c r="Z824" s="85"/>
      <c r="AA824" s="85"/>
      <c r="AB824" s="85"/>
      <c r="AC824" s="85"/>
      <c r="AD824" s="85"/>
    </row>
    <row r="825" spans="1:30" ht="15.75" x14ac:dyDescent="0.25">
      <c r="A825" s="13">
        <v>66050</v>
      </c>
      <c r="B825" s="96">
        <f t="shared" si="128"/>
        <v>31</v>
      </c>
      <c r="C825" s="84">
        <f>131.881</f>
        <v>131.881</v>
      </c>
      <c r="D825" s="84">
        <f>277.167</f>
        <v>277.16699999999997</v>
      </c>
      <c r="E825" s="93">
        <f>79.08</f>
        <v>79.08</v>
      </c>
      <c r="F825" s="84">
        <f>350.872-40-25-60-100</f>
        <v>125.87200000000001</v>
      </c>
      <c r="G825" s="87">
        <v>40</v>
      </c>
      <c r="H825" s="84">
        <f t="shared" si="135"/>
        <v>185</v>
      </c>
      <c r="I825" s="84">
        <f t="shared" si="136"/>
        <v>0</v>
      </c>
      <c r="J825" s="87">
        <v>100</v>
      </c>
      <c r="K825" s="87">
        <v>300</v>
      </c>
      <c r="L825" s="84">
        <f t="shared" si="129"/>
        <v>1239</v>
      </c>
      <c r="M825" s="95">
        <v>600</v>
      </c>
      <c r="N825" s="84">
        <f>75</f>
        <v>75</v>
      </c>
      <c r="O825" s="87">
        <v>240</v>
      </c>
      <c r="P825" s="87">
        <v>40</v>
      </c>
      <c r="Q825" s="87">
        <f t="shared" si="130"/>
        <v>315</v>
      </c>
      <c r="R825" s="87">
        <f t="shared" si="131"/>
        <v>100</v>
      </c>
      <c r="S825" s="84">
        <f t="shared" si="132"/>
        <v>695</v>
      </c>
      <c r="T825" s="84">
        <f>0</f>
        <v>0</v>
      </c>
      <c r="U825" s="85"/>
      <c r="V825" s="85"/>
      <c r="W825" s="85"/>
      <c r="X825" s="85"/>
      <c r="Y825" s="85"/>
      <c r="Z825" s="85"/>
      <c r="AA825" s="85"/>
      <c r="AB825" s="85"/>
      <c r="AC825" s="85"/>
      <c r="AD825" s="85"/>
    </row>
    <row r="826" spans="1:30" ht="15.75" x14ac:dyDescent="0.25">
      <c r="A826" s="13">
        <v>66080</v>
      </c>
      <c r="B826" s="96">
        <f t="shared" si="128"/>
        <v>30</v>
      </c>
      <c r="C826" s="84">
        <f>122.58</f>
        <v>122.58</v>
      </c>
      <c r="D826" s="84">
        <f>297.941</f>
        <v>297.94099999999997</v>
      </c>
      <c r="E826" s="93">
        <f>89.177</f>
        <v>89.177000000000007</v>
      </c>
      <c r="F826" s="84">
        <f>240.302-40-60-100</f>
        <v>40.301999999999992</v>
      </c>
      <c r="G826" s="87">
        <v>40</v>
      </c>
      <c r="H826" s="84">
        <f>60+100</f>
        <v>160</v>
      </c>
      <c r="I826" s="84">
        <f t="shared" si="136"/>
        <v>0</v>
      </c>
      <c r="J826" s="87">
        <v>100</v>
      </c>
      <c r="K826" s="87">
        <v>300</v>
      </c>
      <c r="L826" s="84">
        <f t="shared" si="129"/>
        <v>1150</v>
      </c>
      <c r="M826" s="95">
        <v>600</v>
      </c>
      <c r="N826" s="84">
        <f>100</f>
        <v>100</v>
      </c>
      <c r="O826" s="87">
        <v>240</v>
      </c>
      <c r="P826" s="87">
        <v>40</v>
      </c>
      <c r="Q826" s="87">
        <f t="shared" si="130"/>
        <v>315</v>
      </c>
      <c r="R826" s="87">
        <f t="shared" si="131"/>
        <v>100</v>
      </c>
      <c r="S826" s="84">
        <f t="shared" si="132"/>
        <v>695</v>
      </c>
      <c r="T826" s="84">
        <f>50</f>
        <v>50</v>
      </c>
      <c r="U826" s="85"/>
      <c r="V826" s="85"/>
      <c r="W826" s="85"/>
      <c r="X826" s="85"/>
      <c r="Y826" s="85"/>
      <c r="Z826" s="85"/>
      <c r="AA826" s="85"/>
      <c r="AB826" s="85"/>
      <c r="AC826" s="85"/>
      <c r="AD826" s="85"/>
    </row>
    <row r="827" spans="1:30" ht="15.75" x14ac:dyDescent="0.25">
      <c r="A827" s="13">
        <v>66111</v>
      </c>
      <c r="B827" s="96">
        <f t="shared" si="128"/>
        <v>31</v>
      </c>
      <c r="C827" s="84">
        <f>122.58</f>
        <v>122.58</v>
      </c>
      <c r="D827" s="84">
        <f>297.941</f>
        <v>297.94099999999997</v>
      </c>
      <c r="E827" s="93">
        <f>89.177</f>
        <v>89.177000000000007</v>
      </c>
      <c r="F827" s="84">
        <f>240.302-40-60-100</f>
        <v>40.301999999999992</v>
      </c>
      <c r="G827" s="87">
        <v>40</v>
      </c>
      <c r="H827" s="84">
        <f>60+100</f>
        <v>160</v>
      </c>
      <c r="I827" s="84">
        <f t="shared" si="136"/>
        <v>0</v>
      </c>
      <c r="J827" s="87">
        <v>100</v>
      </c>
      <c r="K827" s="87">
        <v>300</v>
      </c>
      <c r="L827" s="84">
        <f t="shared" si="129"/>
        <v>1150</v>
      </c>
      <c r="M827" s="95">
        <v>600</v>
      </c>
      <c r="N827" s="84">
        <f>100</f>
        <v>100</v>
      </c>
      <c r="O827" s="87">
        <v>240</v>
      </c>
      <c r="P827" s="87">
        <v>40</v>
      </c>
      <c r="Q827" s="87">
        <f t="shared" si="130"/>
        <v>315</v>
      </c>
      <c r="R827" s="87">
        <f t="shared" si="131"/>
        <v>100</v>
      </c>
      <c r="S827" s="84">
        <f t="shared" si="132"/>
        <v>695</v>
      </c>
      <c r="T827" s="84">
        <f>50</f>
        <v>50</v>
      </c>
      <c r="U827" s="85"/>
      <c r="V827" s="85"/>
      <c r="W827" s="85"/>
      <c r="X827" s="85"/>
      <c r="Y827" s="85"/>
      <c r="Z827" s="85"/>
      <c r="AA827" s="85"/>
      <c r="AB827" s="85"/>
      <c r="AC827" s="85"/>
      <c r="AD827" s="85"/>
    </row>
    <row r="828" spans="1:30" ht="15.75" x14ac:dyDescent="0.25">
      <c r="A828" s="13">
        <v>66142</v>
      </c>
      <c r="B828" s="96">
        <f t="shared" si="128"/>
        <v>31</v>
      </c>
      <c r="C828" s="84">
        <f>122.58</f>
        <v>122.58</v>
      </c>
      <c r="D828" s="84">
        <f>297.941</f>
        <v>297.94099999999997</v>
      </c>
      <c r="E828" s="93">
        <f>89.177</f>
        <v>89.177000000000007</v>
      </c>
      <c r="F828" s="84">
        <f>240.302-40-60-100</f>
        <v>40.301999999999992</v>
      </c>
      <c r="G828" s="87">
        <v>40</v>
      </c>
      <c r="H828" s="84">
        <f>60+100</f>
        <v>160</v>
      </c>
      <c r="I828" s="84">
        <f t="shared" si="136"/>
        <v>0</v>
      </c>
      <c r="J828" s="87">
        <v>100</v>
      </c>
      <c r="K828" s="87">
        <v>300</v>
      </c>
      <c r="L828" s="84">
        <f t="shared" si="129"/>
        <v>1150</v>
      </c>
      <c r="M828" s="95">
        <v>600</v>
      </c>
      <c r="N828" s="84">
        <f>100</f>
        <v>100</v>
      </c>
      <c r="O828" s="87">
        <v>240</v>
      </c>
      <c r="P828" s="87">
        <v>40</v>
      </c>
      <c r="Q828" s="87">
        <f t="shared" si="130"/>
        <v>315</v>
      </c>
      <c r="R828" s="87">
        <f t="shared" si="131"/>
        <v>100</v>
      </c>
      <c r="S828" s="84">
        <f t="shared" si="132"/>
        <v>695</v>
      </c>
      <c r="T828" s="84">
        <f>50</f>
        <v>50</v>
      </c>
      <c r="U828" s="85"/>
      <c r="V828" s="85"/>
      <c r="W828" s="85"/>
      <c r="X828" s="85"/>
      <c r="Y828" s="85"/>
      <c r="Z828" s="85"/>
      <c r="AA828" s="85"/>
      <c r="AB828" s="85"/>
      <c r="AC828" s="85"/>
      <c r="AD828" s="85"/>
    </row>
    <row r="829" spans="1:30" ht="15.75" x14ac:dyDescent="0.25">
      <c r="A829" s="13">
        <v>66170</v>
      </c>
      <c r="B829" s="96">
        <f t="shared" si="128"/>
        <v>28</v>
      </c>
      <c r="C829" s="84">
        <f>122.58</f>
        <v>122.58</v>
      </c>
      <c r="D829" s="84">
        <f>297.941</f>
        <v>297.94099999999997</v>
      </c>
      <c r="E829" s="93">
        <f>89.177</f>
        <v>89.177000000000007</v>
      </c>
      <c r="F829" s="84">
        <f>240.302-40-60-100</f>
        <v>40.301999999999992</v>
      </c>
      <c r="G829" s="87">
        <v>40</v>
      </c>
      <c r="H829" s="84">
        <f>60+100</f>
        <v>160</v>
      </c>
      <c r="I829" s="84">
        <f t="shared" si="136"/>
        <v>0</v>
      </c>
      <c r="J829" s="87">
        <v>100</v>
      </c>
      <c r="K829" s="87">
        <v>300</v>
      </c>
      <c r="L829" s="84">
        <f t="shared" si="129"/>
        <v>1150</v>
      </c>
      <c r="M829" s="95">
        <v>600</v>
      </c>
      <c r="N829" s="84">
        <f>100</f>
        <v>100</v>
      </c>
      <c r="O829" s="87">
        <v>240</v>
      </c>
      <c r="P829" s="87">
        <v>40</v>
      </c>
      <c r="Q829" s="87">
        <f t="shared" si="130"/>
        <v>315</v>
      </c>
      <c r="R829" s="87">
        <f t="shared" si="131"/>
        <v>100</v>
      </c>
      <c r="S829" s="84">
        <f t="shared" si="132"/>
        <v>695</v>
      </c>
      <c r="T829" s="84">
        <f>50</f>
        <v>50</v>
      </c>
      <c r="U829" s="85"/>
      <c r="V829" s="85"/>
      <c r="W829" s="85"/>
      <c r="X829" s="85"/>
      <c r="Y829" s="85"/>
      <c r="Z829" s="85"/>
      <c r="AA829" s="85"/>
      <c r="AB829" s="85"/>
      <c r="AC829" s="85"/>
      <c r="AD829" s="85"/>
    </row>
    <row r="830" spans="1:30" ht="15.75" x14ac:dyDescent="0.25">
      <c r="A830" s="13">
        <v>66201</v>
      </c>
      <c r="B830" s="96">
        <f t="shared" si="128"/>
        <v>31</v>
      </c>
      <c r="C830" s="84">
        <f>122.58</f>
        <v>122.58</v>
      </c>
      <c r="D830" s="84">
        <f>297.941</f>
        <v>297.94099999999997</v>
      </c>
      <c r="E830" s="93">
        <f>89.177</f>
        <v>89.177000000000007</v>
      </c>
      <c r="F830" s="84">
        <f>240.302-40-60-100</f>
        <v>40.301999999999992</v>
      </c>
      <c r="G830" s="87">
        <v>40</v>
      </c>
      <c r="H830" s="84">
        <f>60+100</f>
        <v>160</v>
      </c>
      <c r="I830" s="84">
        <f t="shared" si="136"/>
        <v>0</v>
      </c>
      <c r="J830" s="87">
        <v>100</v>
      </c>
      <c r="K830" s="87">
        <v>300</v>
      </c>
      <c r="L830" s="84">
        <f t="shared" si="129"/>
        <v>1150</v>
      </c>
      <c r="M830" s="95">
        <v>600</v>
      </c>
      <c r="N830" s="84">
        <f>100</f>
        <v>100</v>
      </c>
      <c r="O830" s="87">
        <v>240</v>
      </c>
      <c r="P830" s="87">
        <v>40</v>
      </c>
      <c r="Q830" s="87">
        <f t="shared" si="130"/>
        <v>315</v>
      </c>
      <c r="R830" s="87">
        <f t="shared" si="131"/>
        <v>100</v>
      </c>
      <c r="S830" s="84">
        <f t="shared" si="132"/>
        <v>695</v>
      </c>
      <c r="T830" s="84">
        <f>50</f>
        <v>50</v>
      </c>
      <c r="U830" s="85"/>
      <c r="V830" s="85"/>
      <c r="W830" s="85"/>
      <c r="X830" s="85"/>
      <c r="Y830" s="85"/>
      <c r="Z830" s="85"/>
      <c r="AA830" s="85"/>
      <c r="AB830" s="85"/>
      <c r="AC830" s="85"/>
      <c r="AD830" s="85"/>
    </row>
    <row r="831" spans="1:30" ht="15.75" x14ac:dyDescent="0.25">
      <c r="A831" s="13">
        <v>66231</v>
      </c>
      <c r="B831" s="96">
        <f t="shared" si="128"/>
        <v>30</v>
      </c>
      <c r="C831" s="84">
        <f>141.293</f>
        <v>141.29300000000001</v>
      </c>
      <c r="D831" s="84">
        <f>267.993</f>
        <v>267.99299999999999</v>
      </c>
      <c r="E831" s="93">
        <f>115.016</f>
        <v>115.01600000000001</v>
      </c>
      <c r="F831" s="84">
        <f>314.698-40-25-60-100</f>
        <v>89.697999999999979</v>
      </c>
      <c r="G831" s="87">
        <v>40</v>
      </c>
      <c r="H831" s="84">
        <f t="shared" ref="H831:H837" si="137">25+60+100</f>
        <v>185</v>
      </c>
      <c r="I831" s="84">
        <f t="shared" si="136"/>
        <v>0</v>
      </c>
      <c r="J831" s="87">
        <v>100</v>
      </c>
      <c r="K831" s="87">
        <v>300</v>
      </c>
      <c r="L831" s="84">
        <f t="shared" si="129"/>
        <v>1239</v>
      </c>
      <c r="M831" s="95">
        <v>600</v>
      </c>
      <c r="N831" s="84">
        <f>100</f>
        <v>100</v>
      </c>
      <c r="O831" s="87">
        <v>240</v>
      </c>
      <c r="P831" s="87">
        <v>40</v>
      </c>
      <c r="Q831" s="87">
        <f t="shared" si="130"/>
        <v>315</v>
      </c>
      <c r="R831" s="87">
        <f t="shared" si="131"/>
        <v>100</v>
      </c>
      <c r="S831" s="84">
        <f t="shared" si="132"/>
        <v>695</v>
      </c>
      <c r="T831" s="84">
        <f>50</f>
        <v>50</v>
      </c>
      <c r="U831" s="85"/>
      <c r="V831" s="85"/>
      <c r="W831" s="85"/>
      <c r="X831" s="85"/>
      <c r="Y831" s="85"/>
      <c r="Z831" s="85"/>
      <c r="AA831" s="85"/>
      <c r="AB831" s="85"/>
      <c r="AC831" s="85"/>
      <c r="AD831" s="85"/>
    </row>
    <row r="832" spans="1:30" ht="15.75" x14ac:dyDescent="0.25">
      <c r="A832" s="13">
        <v>66262</v>
      </c>
      <c r="B832" s="96">
        <f t="shared" si="128"/>
        <v>31</v>
      </c>
      <c r="C832" s="84">
        <f>194.205</f>
        <v>194.20500000000001</v>
      </c>
      <c r="D832" s="84">
        <f>267.466</f>
        <v>267.46600000000001</v>
      </c>
      <c r="E832" s="93">
        <f>133.845</f>
        <v>133.845</v>
      </c>
      <c r="F832" s="84">
        <f>278.484-40-25-60-100</f>
        <v>53.48399999999998</v>
      </c>
      <c r="G832" s="87">
        <v>40</v>
      </c>
      <c r="H832" s="84">
        <f t="shared" si="137"/>
        <v>185</v>
      </c>
      <c r="I832" s="84">
        <f t="shared" si="136"/>
        <v>0</v>
      </c>
      <c r="J832" s="87">
        <v>100</v>
      </c>
      <c r="K832" s="87">
        <v>300</v>
      </c>
      <c r="L832" s="84">
        <f t="shared" si="129"/>
        <v>1274</v>
      </c>
      <c r="M832" s="95">
        <v>600</v>
      </c>
      <c r="N832" s="84">
        <f>75</f>
        <v>75</v>
      </c>
      <c r="O832" s="87">
        <v>240</v>
      </c>
      <c r="P832" s="87">
        <v>40</v>
      </c>
      <c r="Q832" s="87">
        <f t="shared" si="130"/>
        <v>315</v>
      </c>
      <c r="R832" s="87">
        <f t="shared" si="131"/>
        <v>100</v>
      </c>
      <c r="S832" s="84">
        <f t="shared" si="132"/>
        <v>695</v>
      </c>
      <c r="T832" s="84">
        <f>50</f>
        <v>50</v>
      </c>
      <c r="U832" s="85"/>
      <c r="V832" s="85"/>
      <c r="W832" s="85"/>
      <c r="X832" s="85"/>
      <c r="Y832" s="85"/>
      <c r="Z832" s="85"/>
      <c r="AA832" s="85"/>
      <c r="AB832" s="85"/>
      <c r="AC832" s="85"/>
      <c r="AD832" s="85"/>
    </row>
    <row r="833" spans="1:30" ht="15.75" x14ac:dyDescent="0.25">
      <c r="A833" s="13">
        <v>66292</v>
      </c>
      <c r="B833" s="96">
        <f t="shared" si="128"/>
        <v>30</v>
      </c>
      <c r="C833" s="84">
        <f>194.205</f>
        <v>194.20500000000001</v>
      </c>
      <c r="D833" s="84">
        <f>267.466</f>
        <v>267.46600000000001</v>
      </c>
      <c r="E833" s="93">
        <f>133.845</f>
        <v>133.845</v>
      </c>
      <c r="F833" s="84">
        <f>278.484-40-25-60-100</f>
        <v>53.48399999999998</v>
      </c>
      <c r="G833" s="87">
        <v>40</v>
      </c>
      <c r="H833" s="84">
        <f t="shared" si="137"/>
        <v>185</v>
      </c>
      <c r="I833" s="84">
        <f t="shared" si="136"/>
        <v>0</v>
      </c>
      <c r="J833" s="87">
        <v>100</v>
      </c>
      <c r="K833" s="87">
        <v>300</v>
      </c>
      <c r="L833" s="84">
        <f t="shared" si="129"/>
        <v>1274</v>
      </c>
      <c r="M833" s="95">
        <v>600</v>
      </c>
      <c r="N833" s="84">
        <f>30</f>
        <v>30</v>
      </c>
      <c r="O833" s="87">
        <v>240</v>
      </c>
      <c r="P833" s="87">
        <v>40</v>
      </c>
      <c r="Q833" s="87">
        <f t="shared" si="130"/>
        <v>315</v>
      </c>
      <c r="R833" s="87">
        <f t="shared" si="131"/>
        <v>100</v>
      </c>
      <c r="S833" s="84">
        <f t="shared" si="132"/>
        <v>695</v>
      </c>
      <c r="T833" s="84">
        <f>50</f>
        <v>50</v>
      </c>
      <c r="U833" s="85"/>
      <c r="V833" s="85"/>
      <c r="W833" s="85"/>
      <c r="X833" s="85"/>
      <c r="Y833" s="85"/>
      <c r="Z833" s="85"/>
      <c r="AA833" s="85"/>
      <c r="AB833" s="85"/>
      <c r="AC833" s="85"/>
      <c r="AD833" s="85"/>
    </row>
    <row r="834" spans="1:30" ht="15.75" x14ac:dyDescent="0.25">
      <c r="A834" s="13">
        <v>66323</v>
      </c>
      <c r="B834" s="96">
        <f t="shared" si="128"/>
        <v>31</v>
      </c>
      <c r="C834" s="84">
        <f>194.205</f>
        <v>194.20500000000001</v>
      </c>
      <c r="D834" s="84">
        <f>267.466</f>
        <v>267.46600000000001</v>
      </c>
      <c r="E834" s="93">
        <f>133.845</f>
        <v>133.845</v>
      </c>
      <c r="F834" s="84">
        <f>278.484-40-25-60-100</f>
        <v>53.48399999999998</v>
      </c>
      <c r="G834" s="87">
        <v>40</v>
      </c>
      <c r="H834" s="84">
        <f t="shared" si="137"/>
        <v>185</v>
      </c>
      <c r="I834" s="84">
        <f t="shared" si="136"/>
        <v>0</v>
      </c>
      <c r="J834" s="87">
        <v>100</v>
      </c>
      <c r="K834" s="87">
        <v>300</v>
      </c>
      <c r="L834" s="84">
        <f t="shared" si="129"/>
        <v>1274</v>
      </c>
      <c r="M834" s="95">
        <v>600</v>
      </c>
      <c r="N834" s="84">
        <f>30</f>
        <v>30</v>
      </c>
      <c r="O834" s="87">
        <v>240</v>
      </c>
      <c r="P834" s="87">
        <v>40</v>
      </c>
      <c r="Q834" s="87">
        <f t="shared" si="130"/>
        <v>315</v>
      </c>
      <c r="R834" s="87">
        <f t="shared" si="131"/>
        <v>100</v>
      </c>
      <c r="S834" s="84">
        <f t="shared" si="132"/>
        <v>695</v>
      </c>
      <c r="T834" s="84">
        <f>0</f>
        <v>0</v>
      </c>
      <c r="U834" s="85"/>
      <c r="V834" s="85"/>
      <c r="W834" s="85"/>
      <c r="X834" s="85"/>
      <c r="Y834" s="85"/>
      <c r="Z834" s="85"/>
      <c r="AA834" s="85"/>
      <c r="AB834" s="85"/>
      <c r="AC834" s="85"/>
      <c r="AD834" s="85"/>
    </row>
    <row r="835" spans="1:30" ht="15.75" x14ac:dyDescent="0.25">
      <c r="A835" s="13">
        <v>66354</v>
      </c>
      <c r="B835" s="96">
        <f t="shared" si="128"/>
        <v>31</v>
      </c>
      <c r="C835" s="84">
        <f>194.205</f>
        <v>194.20500000000001</v>
      </c>
      <c r="D835" s="84">
        <f>267.466</f>
        <v>267.46600000000001</v>
      </c>
      <c r="E835" s="93">
        <f>133.845</f>
        <v>133.845</v>
      </c>
      <c r="F835" s="84">
        <f>278.484-40-25-60-100</f>
        <v>53.48399999999998</v>
      </c>
      <c r="G835" s="87">
        <v>40</v>
      </c>
      <c r="H835" s="84">
        <f t="shared" si="137"/>
        <v>185</v>
      </c>
      <c r="I835" s="84">
        <f t="shared" si="136"/>
        <v>0</v>
      </c>
      <c r="J835" s="87">
        <v>100</v>
      </c>
      <c r="K835" s="87">
        <v>300</v>
      </c>
      <c r="L835" s="84">
        <f t="shared" si="129"/>
        <v>1274</v>
      </c>
      <c r="M835" s="95">
        <v>600</v>
      </c>
      <c r="N835" s="84">
        <f>30</f>
        <v>30</v>
      </c>
      <c r="O835" s="87">
        <v>240</v>
      </c>
      <c r="P835" s="87">
        <v>40</v>
      </c>
      <c r="Q835" s="87">
        <f t="shared" si="130"/>
        <v>315</v>
      </c>
      <c r="R835" s="87">
        <f t="shared" si="131"/>
        <v>100</v>
      </c>
      <c r="S835" s="84">
        <f t="shared" si="132"/>
        <v>695</v>
      </c>
      <c r="T835" s="84">
        <f>0</f>
        <v>0</v>
      </c>
      <c r="U835" s="85"/>
      <c r="V835" s="85"/>
      <c r="W835" s="85"/>
      <c r="X835" s="85"/>
      <c r="Y835" s="85"/>
      <c r="Z835" s="85"/>
      <c r="AA835" s="85"/>
      <c r="AB835" s="85"/>
      <c r="AC835" s="85"/>
      <c r="AD835" s="85"/>
    </row>
    <row r="836" spans="1:30" ht="15.75" x14ac:dyDescent="0.25">
      <c r="A836" s="13">
        <v>66384</v>
      </c>
      <c r="B836" s="96">
        <f t="shared" si="128"/>
        <v>30</v>
      </c>
      <c r="C836" s="84">
        <f>194.205</f>
        <v>194.20500000000001</v>
      </c>
      <c r="D836" s="84">
        <f>267.466</f>
        <v>267.46600000000001</v>
      </c>
      <c r="E836" s="93">
        <f>133.845</f>
        <v>133.845</v>
      </c>
      <c r="F836" s="84">
        <f>278.484-40-25-60-100</f>
        <v>53.48399999999998</v>
      </c>
      <c r="G836" s="87">
        <v>40</v>
      </c>
      <c r="H836" s="84">
        <f t="shared" si="137"/>
        <v>185</v>
      </c>
      <c r="I836" s="84">
        <f t="shared" si="136"/>
        <v>0</v>
      </c>
      <c r="J836" s="87">
        <v>100</v>
      </c>
      <c r="K836" s="87">
        <v>300</v>
      </c>
      <c r="L836" s="84">
        <f t="shared" si="129"/>
        <v>1274</v>
      </c>
      <c r="M836" s="95">
        <v>600</v>
      </c>
      <c r="N836" s="84">
        <f>30</f>
        <v>30</v>
      </c>
      <c r="O836" s="87">
        <v>240</v>
      </c>
      <c r="P836" s="87">
        <v>40</v>
      </c>
      <c r="Q836" s="87">
        <f t="shared" si="130"/>
        <v>315</v>
      </c>
      <c r="R836" s="87">
        <f t="shared" si="131"/>
        <v>100</v>
      </c>
      <c r="S836" s="84">
        <f t="shared" si="132"/>
        <v>695</v>
      </c>
      <c r="T836" s="84">
        <f>0</f>
        <v>0</v>
      </c>
      <c r="U836" s="85"/>
      <c r="V836" s="85"/>
      <c r="W836" s="85"/>
      <c r="X836" s="85"/>
      <c r="Y836" s="85"/>
      <c r="Z836" s="85"/>
      <c r="AA836" s="85"/>
      <c r="AB836" s="85"/>
      <c r="AC836" s="85"/>
      <c r="AD836" s="85"/>
    </row>
    <row r="837" spans="1:30" ht="15.75" x14ac:dyDescent="0.25">
      <c r="A837" s="13">
        <v>66415</v>
      </c>
      <c r="B837" s="96">
        <f t="shared" si="128"/>
        <v>31</v>
      </c>
      <c r="C837" s="84">
        <f>131.881</f>
        <v>131.881</v>
      </c>
      <c r="D837" s="84">
        <f>277.167</f>
        <v>277.16699999999997</v>
      </c>
      <c r="E837" s="93">
        <f>79.08</f>
        <v>79.08</v>
      </c>
      <c r="F837" s="84">
        <f>350.872-40-25-60-100</f>
        <v>125.87200000000001</v>
      </c>
      <c r="G837" s="87">
        <v>40</v>
      </c>
      <c r="H837" s="84">
        <f t="shared" si="137"/>
        <v>185</v>
      </c>
      <c r="I837" s="84">
        <f t="shared" si="136"/>
        <v>0</v>
      </c>
      <c r="J837" s="87">
        <v>100</v>
      </c>
      <c r="K837" s="87">
        <v>300</v>
      </c>
      <c r="L837" s="84">
        <f t="shared" si="129"/>
        <v>1239</v>
      </c>
      <c r="M837" s="95">
        <v>600</v>
      </c>
      <c r="N837" s="84">
        <f>75</f>
        <v>75</v>
      </c>
      <c r="O837" s="87">
        <v>240</v>
      </c>
      <c r="P837" s="87">
        <v>40</v>
      </c>
      <c r="Q837" s="87">
        <f t="shared" si="130"/>
        <v>315</v>
      </c>
      <c r="R837" s="87">
        <f t="shared" si="131"/>
        <v>100</v>
      </c>
      <c r="S837" s="84">
        <f t="shared" si="132"/>
        <v>695</v>
      </c>
      <c r="T837" s="84">
        <f>0</f>
        <v>0</v>
      </c>
      <c r="U837" s="85"/>
      <c r="V837" s="85"/>
      <c r="W837" s="85"/>
      <c r="X837" s="85"/>
      <c r="Y837" s="85"/>
      <c r="Z837" s="85"/>
      <c r="AA837" s="85"/>
      <c r="AB837" s="85"/>
      <c r="AC837" s="85"/>
      <c r="AD837" s="85"/>
    </row>
    <row r="838" spans="1:30" ht="15.75" x14ac:dyDescent="0.25">
      <c r="A838" s="13">
        <v>66445</v>
      </c>
      <c r="B838" s="96">
        <f t="shared" si="128"/>
        <v>30</v>
      </c>
      <c r="C838" s="84">
        <f>122.58</f>
        <v>122.58</v>
      </c>
      <c r="D838" s="84">
        <f>297.941</f>
        <v>297.94099999999997</v>
      </c>
      <c r="E838" s="93">
        <f>89.177</f>
        <v>89.177000000000007</v>
      </c>
      <c r="F838" s="84">
        <f>240.302-40-60-100</f>
        <v>40.301999999999992</v>
      </c>
      <c r="G838" s="87">
        <v>40</v>
      </c>
      <c r="H838" s="84">
        <f>60+100</f>
        <v>160</v>
      </c>
      <c r="I838" s="84">
        <f t="shared" si="136"/>
        <v>0</v>
      </c>
      <c r="J838" s="87">
        <v>100</v>
      </c>
      <c r="K838" s="87">
        <v>300</v>
      </c>
      <c r="L838" s="84">
        <f t="shared" si="129"/>
        <v>1150</v>
      </c>
      <c r="M838" s="95">
        <v>600</v>
      </c>
      <c r="N838" s="84">
        <f>100</f>
        <v>100</v>
      </c>
      <c r="O838" s="87">
        <v>240</v>
      </c>
      <c r="P838" s="87">
        <v>40</v>
      </c>
      <c r="Q838" s="87">
        <f t="shared" si="130"/>
        <v>315</v>
      </c>
      <c r="R838" s="87">
        <f t="shared" si="131"/>
        <v>100</v>
      </c>
      <c r="S838" s="84">
        <f t="shared" si="132"/>
        <v>695</v>
      </c>
      <c r="T838" s="84">
        <f>50</f>
        <v>50</v>
      </c>
      <c r="U838" s="85"/>
      <c r="V838" s="85"/>
      <c r="W838" s="85"/>
      <c r="X838" s="85"/>
      <c r="Y838" s="85"/>
      <c r="Z838" s="85"/>
      <c r="AA838" s="85"/>
      <c r="AB838" s="85"/>
      <c r="AC838" s="85"/>
      <c r="AD838" s="85"/>
    </row>
    <row r="839" spans="1:30" ht="15.75" x14ac:dyDescent="0.25">
      <c r="A839" s="13">
        <v>66476</v>
      </c>
      <c r="B839" s="96">
        <f t="shared" si="128"/>
        <v>31</v>
      </c>
      <c r="C839" s="84">
        <f>122.58</f>
        <v>122.58</v>
      </c>
      <c r="D839" s="84">
        <f>297.941</f>
        <v>297.94099999999997</v>
      </c>
      <c r="E839" s="93">
        <f>89.177</f>
        <v>89.177000000000007</v>
      </c>
      <c r="F839" s="84">
        <f>240.302-40-60-100</f>
        <v>40.301999999999992</v>
      </c>
      <c r="G839" s="87">
        <v>40</v>
      </c>
      <c r="H839" s="84">
        <f>60+100</f>
        <v>160</v>
      </c>
      <c r="I839" s="84">
        <f t="shared" si="136"/>
        <v>0</v>
      </c>
      <c r="J839" s="87">
        <v>100</v>
      </c>
      <c r="K839" s="87">
        <v>300</v>
      </c>
      <c r="L839" s="84">
        <f t="shared" si="129"/>
        <v>1150</v>
      </c>
      <c r="M839" s="95">
        <v>600</v>
      </c>
      <c r="N839" s="84">
        <f>100</f>
        <v>100</v>
      </c>
      <c r="O839" s="87">
        <v>240</v>
      </c>
      <c r="P839" s="87">
        <v>40</v>
      </c>
      <c r="Q839" s="87">
        <f t="shared" si="130"/>
        <v>315</v>
      </c>
      <c r="R839" s="87">
        <f t="shared" si="131"/>
        <v>100</v>
      </c>
      <c r="S839" s="84">
        <f t="shared" si="132"/>
        <v>695</v>
      </c>
      <c r="T839" s="84">
        <f>50</f>
        <v>50</v>
      </c>
      <c r="U839" s="85"/>
      <c r="V839" s="85"/>
      <c r="W839" s="85"/>
      <c r="X839" s="85"/>
      <c r="Y839" s="85"/>
      <c r="Z839" s="85"/>
      <c r="AA839" s="85"/>
      <c r="AB839" s="85"/>
      <c r="AC839" s="85"/>
      <c r="AD839" s="85"/>
    </row>
    <row r="840" spans="1:30" ht="15.75" x14ac:dyDescent="0.25">
      <c r="A840" s="13">
        <v>66507</v>
      </c>
      <c r="B840" s="96">
        <f t="shared" si="128"/>
        <v>31</v>
      </c>
      <c r="C840" s="84">
        <f>122.58</f>
        <v>122.58</v>
      </c>
      <c r="D840" s="84">
        <f>297.941</f>
        <v>297.94099999999997</v>
      </c>
      <c r="E840" s="93">
        <f>89.177</f>
        <v>89.177000000000007</v>
      </c>
      <c r="F840" s="84">
        <f>240.302-40-60-100</f>
        <v>40.301999999999992</v>
      </c>
      <c r="G840" s="87">
        <v>40</v>
      </c>
      <c r="H840" s="84">
        <f>60+100</f>
        <v>160</v>
      </c>
      <c r="I840" s="84">
        <f t="shared" si="136"/>
        <v>0</v>
      </c>
      <c r="J840" s="87">
        <v>100</v>
      </c>
      <c r="K840" s="87">
        <v>300</v>
      </c>
      <c r="L840" s="84">
        <f t="shared" si="129"/>
        <v>1150</v>
      </c>
      <c r="M840" s="95">
        <v>600</v>
      </c>
      <c r="N840" s="84">
        <f>100</f>
        <v>100</v>
      </c>
      <c r="O840" s="87">
        <v>240</v>
      </c>
      <c r="P840" s="87">
        <v>40</v>
      </c>
      <c r="Q840" s="87">
        <f t="shared" si="130"/>
        <v>315</v>
      </c>
      <c r="R840" s="87">
        <f t="shared" si="131"/>
        <v>100</v>
      </c>
      <c r="S840" s="84">
        <f t="shared" si="132"/>
        <v>695</v>
      </c>
      <c r="T840" s="84">
        <f>50</f>
        <v>50</v>
      </c>
      <c r="U840" s="85"/>
      <c r="V840" s="85"/>
      <c r="W840" s="85"/>
      <c r="X840" s="85"/>
      <c r="Y840" s="85"/>
      <c r="Z840" s="85"/>
      <c r="AA840" s="85"/>
      <c r="AB840" s="85"/>
      <c r="AC840" s="85"/>
      <c r="AD840" s="85"/>
    </row>
    <row r="841" spans="1:30" ht="15.75" x14ac:dyDescent="0.25">
      <c r="A841" s="13">
        <v>66535</v>
      </c>
      <c r="B841" s="96">
        <f t="shared" si="128"/>
        <v>28</v>
      </c>
      <c r="C841" s="84">
        <f>122.58</f>
        <v>122.58</v>
      </c>
      <c r="D841" s="84">
        <f>297.941</f>
        <v>297.94099999999997</v>
      </c>
      <c r="E841" s="93">
        <f>89.177</f>
        <v>89.177000000000007</v>
      </c>
      <c r="F841" s="84">
        <f>240.302-40-60-100</f>
        <v>40.301999999999992</v>
      </c>
      <c r="G841" s="87">
        <v>40</v>
      </c>
      <c r="H841" s="84">
        <f>60+100</f>
        <v>160</v>
      </c>
      <c r="I841" s="84">
        <f t="shared" si="136"/>
        <v>0</v>
      </c>
      <c r="J841" s="87">
        <v>100</v>
      </c>
      <c r="K841" s="87">
        <v>300</v>
      </c>
      <c r="L841" s="84">
        <f t="shared" si="129"/>
        <v>1150</v>
      </c>
      <c r="M841" s="95">
        <v>600</v>
      </c>
      <c r="N841" s="84">
        <f>100</f>
        <v>100</v>
      </c>
      <c r="O841" s="87">
        <v>240</v>
      </c>
      <c r="P841" s="87">
        <v>40</v>
      </c>
      <c r="Q841" s="87">
        <f t="shared" si="130"/>
        <v>315</v>
      </c>
      <c r="R841" s="87">
        <f t="shared" si="131"/>
        <v>100</v>
      </c>
      <c r="S841" s="84">
        <f t="shared" si="132"/>
        <v>695</v>
      </c>
      <c r="T841" s="84">
        <f>50</f>
        <v>50</v>
      </c>
      <c r="U841" s="85"/>
      <c r="V841" s="85"/>
      <c r="W841" s="85"/>
      <c r="X841" s="85"/>
      <c r="Y841" s="85"/>
      <c r="Z841" s="85"/>
      <c r="AA841" s="85"/>
      <c r="AB841" s="85"/>
      <c r="AC841" s="85"/>
      <c r="AD841" s="85"/>
    </row>
    <row r="842" spans="1:30" ht="15.75" x14ac:dyDescent="0.25">
      <c r="A842" s="13">
        <v>66566</v>
      </c>
      <c r="B842" s="96">
        <f t="shared" si="128"/>
        <v>31</v>
      </c>
      <c r="C842" s="84">
        <f>122.58</f>
        <v>122.58</v>
      </c>
      <c r="D842" s="84">
        <f>297.941</f>
        <v>297.94099999999997</v>
      </c>
      <c r="E842" s="93">
        <f>89.177</f>
        <v>89.177000000000007</v>
      </c>
      <c r="F842" s="84">
        <f>240.302-40-60-100</f>
        <v>40.301999999999992</v>
      </c>
      <c r="G842" s="87">
        <v>40</v>
      </c>
      <c r="H842" s="84">
        <f>60+100</f>
        <v>160</v>
      </c>
      <c r="I842" s="84">
        <f t="shared" si="136"/>
        <v>0</v>
      </c>
      <c r="J842" s="87">
        <v>100</v>
      </c>
      <c r="K842" s="87">
        <v>300</v>
      </c>
      <c r="L842" s="84">
        <f t="shared" si="129"/>
        <v>1150</v>
      </c>
      <c r="M842" s="95">
        <v>600</v>
      </c>
      <c r="N842" s="84">
        <f>100</f>
        <v>100</v>
      </c>
      <c r="O842" s="87">
        <v>240</v>
      </c>
      <c r="P842" s="87">
        <v>40</v>
      </c>
      <c r="Q842" s="87">
        <f t="shared" si="130"/>
        <v>315</v>
      </c>
      <c r="R842" s="87">
        <f t="shared" si="131"/>
        <v>100</v>
      </c>
      <c r="S842" s="84">
        <f t="shared" si="132"/>
        <v>695</v>
      </c>
      <c r="T842" s="84">
        <f>50</f>
        <v>50</v>
      </c>
      <c r="U842" s="85"/>
      <c r="V842" s="85"/>
      <c r="W842" s="85"/>
      <c r="X842" s="85"/>
      <c r="Y842" s="85"/>
      <c r="Z842" s="85"/>
      <c r="AA842" s="85"/>
      <c r="AB842" s="85"/>
      <c r="AC842" s="85"/>
      <c r="AD842" s="85"/>
    </row>
    <row r="843" spans="1:30" ht="15.75" x14ac:dyDescent="0.25">
      <c r="A843" s="13">
        <v>66596</v>
      </c>
      <c r="B843" s="96">
        <f t="shared" si="128"/>
        <v>30</v>
      </c>
      <c r="C843" s="84">
        <f>141.293</f>
        <v>141.29300000000001</v>
      </c>
      <c r="D843" s="84">
        <f>267.993</f>
        <v>267.99299999999999</v>
      </c>
      <c r="E843" s="93">
        <f>115.016</f>
        <v>115.01600000000001</v>
      </c>
      <c r="F843" s="84">
        <f>314.698-40-25-60-100</f>
        <v>89.697999999999979</v>
      </c>
      <c r="G843" s="87">
        <v>40</v>
      </c>
      <c r="H843" s="84">
        <f t="shared" ref="H843:H849" si="138">25+60+100</f>
        <v>185</v>
      </c>
      <c r="I843" s="84">
        <f t="shared" si="136"/>
        <v>0</v>
      </c>
      <c r="J843" s="87">
        <v>100</v>
      </c>
      <c r="K843" s="87">
        <v>300</v>
      </c>
      <c r="L843" s="84">
        <f t="shared" si="129"/>
        <v>1239</v>
      </c>
      <c r="M843" s="95">
        <v>600</v>
      </c>
      <c r="N843" s="84">
        <f>100</f>
        <v>100</v>
      </c>
      <c r="O843" s="87">
        <v>240</v>
      </c>
      <c r="P843" s="87">
        <v>40</v>
      </c>
      <c r="Q843" s="87">
        <f t="shared" si="130"/>
        <v>315</v>
      </c>
      <c r="R843" s="87">
        <f t="shared" si="131"/>
        <v>100</v>
      </c>
      <c r="S843" s="84">
        <f t="shared" si="132"/>
        <v>695</v>
      </c>
      <c r="T843" s="84">
        <f>50</f>
        <v>50</v>
      </c>
      <c r="U843" s="85"/>
      <c r="V843" s="85"/>
      <c r="W843" s="85"/>
      <c r="X843" s="85"/>
      <c r="Y843" s="85"/>
      <c r="Z843" s="85"/>
      <c r="AA843" s="85"/>
      <c r="AB843" s="85"/>
      <c r="AC843" s="85"/>
      <c r="AD843" s="85"/>
    </row>
    <row r="844" spans="1:30" ht="15.75" x14ac:dyDescent="0.25">
      <c r="A844" s="13">
        <v>66627</v>
      </c>
      <c r="B844" s="96">
        <f t="shared" si="128"/>
        <v>31</v>
      </c>
      <c r="C844" s="84">
        <f>194.205</f>
        <v>194.20500000000001</v>
      </c>
      <c r="D844" s="84">
        <f>267.466</f>
        <v>267.46600000000001</v>
      </c>
      <c r="E844" s="93">
        <f>133.845</f>
        <v>133.845</v>
      </c>
      <c r="F844" s="84">
        <f>278.484-40-25-60-100</f>
        <v>53.48399999999998</v>
      </c>
      <c r="G844" s="87">
        <v>40</v>
      </c>
      <c r="H844" s="84">
        <f t="shared" si="138"/>
        <v>185</v>
      </c>
      <c r="I844" s="84">
        <f t="shared" si="136"/>
        <v>0</v>
      </c>
      <c r="J844" s="87">
        <v>100</v>
      </c>
      <c r="K844" s="87">
        <v>300</v>
      </c>
      <c r="L844" s="84">
        <f t="shared" si="129"/>
        <v>1274</v>
      </c>
      <c r="M844" s="95">
        <v>600</v>
      </c>
      <c r="N844" s="84">
        <f>75</f>
        <v>75</v>
      </c>
      <c r="O844" s="87">
        <v>240</v>
      </c>
      <c r="P844" s="87">
        <v>40</v>
      </c>
      <c r="Q844" s="87">
        <f t="shared" si="130"/>
        <v>315</v>
      </c>
      <c r="R844" s="87">
        <f t="shared" si="131"/>
        <v>100</v>
      </c>
      <c r="S844" s="84">
        <f t="shared" si="132"/>
        <v>695</v>
      </c>
      <c r="T844" s="84">
        <f>50</f>
        <v>50</v>
      </c>
      <c r="U844" s="85"/>
      <c r="V844" s="85"/>
      <c r="W844" s="85"/>
      <c r="X844" s="85"/>
      <c r="Y844" s="85"/>
      <c r="Z844" s="85"/>
      <c r="AA844" s="85"/>
      <c r="AB844" s="85"/>
      <c r="AC844" s="85"/>
      <c r="AD844" s="85"/>
    </row>
    <row r="845" spans="1:30" ht="15.75" x14ac:dyDescent="0.25">
      <c r="A845" s="13">
        <v>66657</v>
      </c>
      <c r="B845" s="96">
        <f t="shared" si="128"/>
        <v>30</v>
      </c>
      <c r="C845" s="84">
        <f>194.205</f>
        <v>194.20500000000001</v>
      </c>
      <c r="D845" s="84">
        <f>267.466</f>
        <v>267.46600000000001</v>
      </c>
      <c r="E845" s="93">
        <f>133.845</f>
        <v>133.845</v>
      </c>
      <c r="F845" s="84">
        <f>278.484-40-25-60-100</f>
        <v>53.48399999999998</v>
      </c>
      <c r="G845" s="87">
        <v>40</v>
      </c>
      <c r="H845" s="84">
        <f t="shared" si="138"/>
        <v>185</v>
      </c>
      <c r="I845" s="84">
        <f t="shared" si="136"/>
        <v>0</v>
      </c>
      <c r="J845" s="87">
        <v>100</v>
      </c>
      <c r="K845" s="87">
        <v>300</v>
      </c>
      <c r="L845" s="84">
        <f t="shared" si="129"/>
        <v>1274</v>
      </c>
      <c r="M845" s="95">
        <v>600</v>
      </c>
      <c r="N845" s="84">
        <f>30</f>
        <v>30</v>
      </c>
      <c r="O845" s="87">
        <v>240</v>
      </c>
      <c r="P845" s="87">
        <v>40</v>
      </c>
      <c r="Q845" s="87">
        <f t="shared" si="130"/>
        <v>315</v>
      </c>
      <c r="R845" s="87">
        <f t="shared" si="131"/>
        <v>100</v>
      </c>
      <c r="S845" s="84">
        <f t="shared" si="132"/>
        <v>695</v>
      </c>
      <c r="T845" s="84">
        <f>50</f>
        <v>50</v>
      </c>
      <c r="U845" s="85"/>
      <c r="V845" s="85"/>
      <c r="W845" s="85"/>
      <c r="X845" s="85"/>
      <c r="Y845" s="85"/>
      <c r="Z845" s="85"/>
      <c r="AA845" s="85"/>
      <c r="AB845" s="85"/>
      <c r="AC845" s="85"/>
      <c r="AD845" s="85"/>
    </row>
    <row r="846" spans="1:30" ht="15.75" x14ac:dyDescent="0.25">
      <c r="A846" s="13">
        <v>66688</v>
      </c>
      <c r="B846" s="96">
        <f t="shared" si="128"/>
        <v>31</v>
      </c>
      <c r="C846" s="84">
        <f>194.205</f>
        <v>194.20500000000001</v>
      </c>
      <c r="D846" s="84">
        <f>267.466</f>
        <v>267.46600000000001</v>
      </c>
      <c r="E846" s="93">
        <f>133.845</f>
        <v>133.845</v>
      </c>
      <c r="F846" s="84">
        <f>278.484-40-25-60-100</f>
        <v>53.48399999999998</v>
      </c>
      <c r="G846" s="87">
        <v>40</v>
      </c>
      <c r="H846" s="84">
        <f t="shared" si="138"/>
        <v>185</v>
      </c>
      <c r="I846" s="84">
        <f t="shared" si="136"/>
        <v>0</v>
      </c>
      <c r="J846" s="87">
        <v>100</v>
      </c>
      <c r="K846" s="87">
        <v>300</v>
      </c>
      <c r="L846" s="84">
        <f t="shared" si="129"/>
        <v>1274</v>
      </c>
      <c r="M846" s="95">
        <v>600</v>
      </c>
      <c r="N846" s="84">
        <f>30</f>
        <v>30</v>
      </c>
      <c r="O846" s="87">
        <v>240</v>
      </c>
      <c r="P846" s="87">
        <v>40</v>
      </c>
      <c r="Q846" s="87">
        <f t="shared" si="130"/>
        <v>315</v>
      </c>
      <c r="R846" s="87">
        <f t="shared" si="131"/>
        <v>100</v>
      </c>
      <c r="S846" s="84">
        <f t="shared" si="132"/>
        <v>695</v>
      </c>
      <c r="T846" s="84">
        <f>0</f>
        <v>0</v>
      </c>
      <c r="U846" s="85"/>
      <c r="V846" s="85"/>
      <c r="W846" s="85"/>
      <c r="X846" s="85"/>
      <c r="Y846" s="85"/>
      <c r="Z846" s="85"/>
      <c r="AA846" s="85"/>
      <c r="AB846" s="85"/>
      <c r="AC846" s="85"/>
      <c r="AD846" s="85"/>
    </row>
    <row r="847" spans="1:30" ht="15.75" x14ac:dyDescent="0.25">
      <c r="A847" s="13">
        <v>66719</v>
      </c>
      <c r="B847" s="96">
        <f t="shared" si="128"/>
        <v>31</v>
      </c>
      <c r="C847" s="84">
        <f>194.205</f>
        <v>194.20500000000001</v>
      </c>
      <c r="D847" s="84">
        <f>267.466</f>
        <v>267.46600000000001</v>
      </c>
      <c r="E847" s="93">
        <f>133.845</f>
        <v>133.845</v>
      </c>
      <c r="F847" s="84">
        <f>278.484-40-25-60-100</f>
        <v>53.48399999999998</v>
      </c>
      <c r="G847" s="87">
        <v>40</v>
      </c>
      <c r="H847" s="84">
        <f t="shared" si="138"/>
        <v>185</v>
      </c>
      <c r="I847" s="84">
        <f t="shared" si="136"/>
        <v>0</v>
      </c>
      <c r="J847" s="87">
        <v>100</v>
      </c>
      <c r="K847" s="87">
        <v>300</v>
      </c>
      <c r="L847" s="84">
        <f t="shared" si="129"/>
        <v>1274</v>
      </c>
      <c r="M847" s="95">
        <v>600</v>
      </c>
      <c r="N847" s="84">
        <f>30</f>
        <v>30</v>
      </c>
      <c r="O847" s="87">
        <v>240</v>
      </c>
      <c r="P847" s="87">
        <v>40</v>
      </c>
      <c r="Q847" s="87">
        <f t="shared" si="130"/>
        <v>315</v>
      </c>
      <c r="R847" s="87">
        <f t="shared" si="131"/>
        <v>100</v>
      </c>
      <c r="S847" s="84">
        <f t="shared" si="132"/>
        <v>695</v>
      </c>
      <c r="T847" s="84">
        <f>0</f>
        <v>0</v>
      </c>
      <c r="U847" s="85"/>
      <c r="V847" s="85"/>
      <c r="W847" s="85"/>
      <c r="X847" s="85"/>
      <c r="Y847" s="85"/>
      <c r="Z847" s="85"/>
      <c r="AA847" s="85"/>
      <c r="AB847" s="85"/>
      <c r="AC847" s="85"/>
      <c r="AD847" s="85"/>
    </row>
    <row r="848" spans="1:30" ht="15.75" x14ac:dyDescent="0.25">
      <c r="A848" s="13">
        <v>66749</v>
      </c>
      <c r="B848" s="96">
        <f t="shared" si="128"/>
        <v>30</v>
      </c>
      <c r="C848" s="84">
        <f>194.205</f>
        <v>194.20500000000001</v>
      </c>
      <c r="D848" s="84">
        <f>267.466</f>
        <v>267.46600000000001</v>
      </c>
      <c r="E848" s="93">
        <f>133.845</f>
        <v>133.845</v>
      </c>
      <c r="F848" s="84">
        <f>278.484-40-25-60-100</f>
        <v>53.48399999999998</v>
      </c>
      <c r="G848" s="87">
        <v>40</v>
      </c>
      <c r="H848" s="84">
        <f t="shared" si="138"/>
        <v>185</v>
      </c>
      <c r="I848" s="84">
        <f t="shared" si="136"/>
        <v>0</v>
      </c>
      <c r="J848" s="87">
        <v>100</v>
      </c>
      <c r="K848" s="87">
        <v>300</v>
      </c>
      <c r="L848" s="84">
        <f t="shared" si="129"/>
        <v>1274</v>
      </c>
      <c r="M848" s="95">
        <v>600</v>
      </c>
      <c r="N848" s="84">
        <f>30</f>
        <v>30</v>
      </c>
      <c r="O848" s="87">
        <v>240</v>
      </c>
      <c r="P848" s="87">
        <v>40</v>
      </c>
      <c r="Q848" s="87">
        <f t="shared" si="130"/>
        <v>315</v>
      </c>
      <c r="R848" s="87">
        <f t="shared" si="131"/>
        <v>100</v>
      </c>
      <c r="S848" s="84">
        <f t="shared" si="132"/>
        <v>695</v>
      </c>
      <c r="T848" s="84">
        <f>0</f>
        <v>0</v>
      </c>
      <c r="U848" s="85"/>
      <c r="V848" s="85"/>
      <c r="W848" s="85"/>
      <c r="X848" s="85"/>
      <c r="Y848" s="85"/>
      <c r="Z848" s="85"/>
      <c r="AA848" s="85"/>
      <c r="AB848" s="85"/>
      <c r="AC848" s="85"/>
      <c r="AD848" s="85"/>
    </row>
    <row r="849" spans="1:30" ht="15.75" x14ac:dyDescent="0.25">
      <c r="A849" s="13">
        <v>66780</v>
      </c>
      <c r="B849" s="96">
        <f t="shared" si="128"/>
        <v>31</v>
      </c>
      <c r="C849" s="84">
        <f>131.881</f>
        <v>131.881</v>
      </c>
      <c r="D849" s="84">
        <f>277.167</f>
        <v>277.16699999999997</v>
      </c>
      <c r="E849" s="93">
        <f>79.08</f>
        <v>79.08</v>
      </c>
      <c r="F849" s="84">
        <f>350.872-40-25-60-100</f>
        <v>125.87200000000001</v>
      </c>
      <c r="G849" s="87">
        <v>40</v>
      </c>
      <c r="H849" s="84">
        <f t="shared" si="138"/>
        <v>185</v>
      </c>
      <c r="I849" s="84">
        <f t="shared" si="136"/>
        <v>0</v>
      </c>
      <c r="J849" s="87">
        <v>100</v>
      </c>
      <c r="K849" s="87">
        <v>300</v>
      </c>
      <c r="L849" s="84">
        <f t="shared" si="129"/>
        <v>1239</v>
      </c>
      <c r="M849" s="95">
        <v>600</v>
      </c>
      <c r="N849" s="84">
        <f>75</f>
        <v>75</v>
      </c>
      <c r="O849" s="87">
        <v>240</v>
      </c>
      <c r="P849" s="87">
        <v>40</v>
      </c>
      <c r="Q849" s="87">
        <f t="shared" si="130"/>
        <v>315</v>
      </c>
      <c r="R849" s="87">
        <f t="shared" si="131"/>
        <v>100</v>
      </c>
      <c r="S849" s="84">
        <f t="shared" si="132"/>
        <v>695</v>
      </c>
      <c r="T849" s="84">
        <f>0</f>
        <v>0</v>
      </c>
      <c r="U849" s="85"/>
      <c r="V849" s="85"/>
      <c r="W849" s="85"/>
      <c r="X849" s="85"/>
      <c r="Y849" s="85"/>
      <c r="Z849" s="85"/>
      <c r="AA849" s="85"/>
      <c r="AB849" s="85"/>
      <c r="AC849" s="85"/>
      <c r="AD849" s="85"/>
    </row>
    <row r="850" spans="1:30" ht="15.75" x14ac:dyDescent="0.25">
      <c r="A850" s="13">
        <v>66810</v>
      </c>
      <c r="B850" s="96">
        <f t="shared" si="128"/>
        <v>30</v>
      </c>
      <c r="C850" s="84">
        <f>122.58</f>
        <v>122.58</v>
      </c>
      <c r="D850" s="84">
        <f>297.941</f>
        <v>297.94099999999997</v>
      </c>
      <c r="E850" s="93">
        <f>89.177</f>
        <v>89.177000000000007</v>
      </c>
      <c r="F850" s="84">
        <f>240.302-40-60-100</f>
        <v>40.301999999999992</v>
      </c>
      <c r="G850" s="87">
        <v>40</v>
      </c>
      <c r="H850" s="84">
        <f>60+100</f>
        <v>160</v>
      </c>
      <c r="I850" s="84">
        <f t="shared" si="136"/>
        <v>0</v>
      </c>
      <c r="J850" s="87">
        <v>100</v>
      </c>
      <c r="K850" s="87">
        <v>300</v>
      </c>
      <c r="L850" s="84">
        <f t="shared" si="129"/>
        <v>1150</v>
      </c>
      <c r="M850" s="95">
        <v>600</v>
      </c>
      <c r="N850" s="84">
        <f>100</f>
        <v>100</v>
      </c>
      <c r="O850" s="87">
        <v>240</v>
      </c>
      <c r="P850" s="87">
        <v>40</v>
      </c>
      <c r="Q850" s="87">
        <f t="shared" si="130"/>
        <v>315</v>
      </c>
      <c r="R850" s="87">
        <f t="shared" si="131"/>
        <v>100</v>
      </c>
      <c r="S850" s="84">
        <f t="shared" si="132"/>
        <v>695</v>
      </c>
      <c r="T850" s="84">
        <f>50</f>
        <v>50</v>
      </c>
      <c r="U850" s="85"/>
      <c r="V850" s="85"/>
      <c r="W850" s="85"/>
      <c r="X850" s="85"/>
      <c r="Y850" s="85"/>
      <c r="Z850" s="85"/>
      <c r="AA850" s="85"/>
      <c r="AB850" s="85"/>
      <c r="AC850" s="85"/>
      <c r="AD850" s="85"/>
    </row>
    <row r="851" spans="1:30" ht="15.75" x14ac:dyDescent="0.25">
      <c r="A851" s="13">
        <v>66841</v>
      </c>
      <c r="B851" s="96">
        <f t="shared" si="128"/>
        <v>31</v>
      </c>
      <c r="C851" s="84">
        <f>122.58</f>
        <v>122.58</v>
      </c>
      <c r="D851" s="84">
        <f>297.941</f>
        <v>297.94099999999997</v>
      </c>
      <c r="E851" s="93">
        <f>89.177</f>
        <v>89.177000000000007</v>
      </c>
      <c r="F851" s="84">
        <f>240.302-40-60-100</f>
        <v>40.301999999999992</v>
      </c>
      <c r="G851" s="87">
        <v>40</v>
      </c>
      <c r="H851" s="84">
        <f>60+100</f>
        <v>160</v>
      </c>
      <c r="I851" s="84">
        <f t="shared" si="136"/>
        <v>0</v>
      </c>
      <c r="J851" s="87">
        <v>100</v>
      </c>
      <c r="K851" s="87">
        <v>300</v>
      </c>
      <c r="L851" s="84">
        <f t="shared" si="129"/>
        <v>1150</v>
      </c>
      <c r="M851" s="95">
        <v>600</v>
      </c>
      <c r="N851" s="84">
        <f>100</f>
        <v>100</v>
      </c>
      <c r="O851" s="87">
        <v>240</v>
      </c>
      <c r="P851" s="87">
        <v>40</v>
      </c>
      <c r="Q851" s="87">
        <f t="shared" si="130"/>
        <v>315</v>
      </c>
      <c r="R851" s="87">
        <f t="shared" si="131"/>
        <v>100</v>
      </c>
      <c r="S851" s="84">
        <f t="shared" si="132"/>
        <v>695</v>
      </c>
      <c r="T851" s="84">
        <f>50</f>
        <v>50</v>
      </c>
      <c r="U851" s="85"/>
      <c r="V851" s="85"/>
      <c r="W851" s="85"/>
      <c r="X851" s="85"/>
      <c r="Y851" s="85"/>
      <c r="Z851" s="85"/>
      <c r="AA851" s="85"/>
      <c r="AB851" s="85"/>
      <c r="AC851" s="85"/>
      <c r="AD851" s="85"/>
    </row>
    <row r="852" spans="1:30" ht="15.75" x14ac:dyDescent="0.25">
      <c r="A852" s="13">
        <v>66872</v>
      </c>
      <c r="B852" s="96">
        <f t="shared" si="128"/>
        <v>31</v>
      </c>
      <c r="C852" s="84">
        <f>122.58</f>
        <v>122.58</v>
      </c>
      <c r="D852" s="84">
        <f>297.941</f>
        <v>297.94099999999997</v>
      </c>
      <c r="E852" s="93">
        <f>89.177</f>
        <v>89.177000000000007</v>
      </c>
      <c r="F852" s="84">
        <f>240.302-40-60-100</f>
        <v>40.301999999999992</v>
      </c>
      <c r="G852" s="87">
        <v>40</v>
      </c>
      <c r="H852" s="84">
        <f>60+100</f>
        <v>160</v>
      </c>
      <c r="I852" s="84">
        <f t="shared" si="136"/>
        <v>0</v>
      </c>
      <c r="J852" s="87">
        <v>100</v>
      </c>
      <c r="K852" s="87">
        <v>300</v>
      </c>
      <c r="L852" s="84">
        <f t="shared" si="129"/>
        <v>1150</v>
      </c>
      <c r="M852" s="95">
        <v>600</v>
      </c>
      <c r="N852" s="84">
        <f>100</f>
        <v>100</v>
      </c>
      <c r="O852" s="87">
        <v>240</v>
      </c>
      <c r="P852" s="87">
        <v>40</v>
      </c>
      <c r="Q852" s="87">
        <f t="shared" si="130"/>
        <v>315</v>
      </c>
      <c r="R852" s="87">
        <f t="shared" si="131"/>
        <v>100</v>
      </c>
      <c r="S852" s="84">
        <f t="shared" si="132"/>
        <v>695</v>
      </c>
      <c r="T852" s="84">
        <f>50</f>
        <v>50</v>
      </c>
      <c r="U852" s="85"/>
      <c r="V852" s="85"/>
      <c r="W852" s="85"/>
      <c r="X852" s="85"/>
      <c r="Y852" s="85"/>
      <c r="Z852" s="85"/>
      <c r="AA852" s="85"/>
      <c r="AB852" s="85"/>
      <c r="AC852" s="85"/>
      <c r="AD852" s="85"/>
    </row>
    <row r="853" spans="1:30" ht="15.75" x14ac:dyDescent="0.25">
      <c r="A853" s="13">
        <v>66900</v>
      </c>
      <c r="B853" s="96">
        <f t="shared" si="128"/>
        <v>28</v>
      </c>
      <c r="C853" s="84">
        <f>122.58</f>
        <v>122.58</v>
      </c>
      <c r="D853" s="84">
        <f>297.941</f>
        <v>297.94099999999997</v>
      </c>
      <c r="E853" s="93">
        <f>89.177</f>
        <v>89.177000000000007</v>
      </c>
      <c r="F853" s="84">
        <f>240.302-40-60-100</f>
        <v>40.301999999999992</v>
      </c>
      <c r="G853" s="87">
        <v>40</v>
      </c>
      <c r="H853" s="84">
        <f>60+100</f>
        <v>160</v>
      </c>
      <c r="I853" s="84">
        <f t="shared" si="136"/>
        <v>0</v>
      </c>
      <c r="J853" s="87">
        <v>100</v>
      </c>
      <c r="K853" s="87">
        <v>300</v>
      </c>
      <c r="L853" s="84">
        <f t="shared" si="129"/>
        <v>1150</v>
      </c>
      <c r="M853" s="95">
        <v>600</v>
      </c>
      <c r="N853" s="84">
        <f>100</f>
        <v>100</v>
      </c>
      <c r="O853" s="87">
        <v>240</v>
      </c>
      <c r="P853" s="87">
        <v>40</v>
      </c>
      <c r="Q853" s="87">
        <f t="shared" si="130"/>
        <v>315</v>
      </c>
      <c r="R853" s="87">
        <f t="shared" si="131"/>
        <v>100</v>
      </c>
      <c r="S853" s="84">
        <f t="shared" si="132"/>
        <v>695</v>
      </c>
      <c r="T853" s="84">
        <f>50</f>
        <v>50</v>
      </c>
      <c r="U853" s="85"/>
      <c r="V853" s="85"/>
      <c r="W853" s="85"/>
      <c r="X853" s="85"/>
      <c r="Y853" s="85"/>
      <c r="Z853" s="85"/>
      <c r="AA853" s="85"/>
      <c r="AB853" s="85"/>
      <c r="AC853" s="85"/>
      <c r="AD853" s="85"/>
    </row>
    <row r="854" spans="1:30" ht="15.75" x14ac:dyDescent="0.25">
      <c r="A854" s="13">
        <v>66931</v>
      </c>
      <c r="B854" s="96">
        <f t="shared" si="128"/>
        <v>31</v>
      </c>
      <c r="C854" s="84">
        <f>122.58</f>
        <v>122.58</v>
      </c>
      <c r="D854" s="84">
        <f>297.941</f>
        <v>297.94099999999997</v>
      </c>
      <c r="E854" s="93">
        <f>89.177</f>
        <v>89.177000000000007</v>
      </c>
      <c r="F854" s="84">
        <f>240.302-40-60-100</f>
        <v>40.301999999999992</v>
      </c>
      <c r="G854" s="87">
        <v>40</v>
      </c>
      <c r="H854" s="84">
        <f>60+100</f>
        <v>160</v>
      </c>
      <c r="I854" s="84">
        <f t="shared" si="136"/>
        <v>0</v>
      </c>
      <c r="J854" s="87">
        <v>100</v>
      </c>
      <c r="K854" s="87">
        <v>300</v>
      </c>
      <c r="L854" s="84">
        <f t="shared" si="129"/>
        <v>1150</v>
      </c>
      <c r="M854" s="95">
        <v>600</v>
      </c>
      <c r="N854" s="84">
        <f>100</f>
        <v>100</v>
      </c>
      <c r="O854" s="87">
        <v>240</v>
      </c>
      <c r="P854" s="87">
        <v>40</v>
      </c>
      <c r="Q854" s="87">
        <f t="shared" si="130"/>
        <v>315</v>
      </c>
      <c r="R854" s="87">
        <f t="shared" si="131"/>
        <v>100</v>
      </c>
      <c r="S854" s="84">
        <f t="shared" si="132"/>
        <v>695</v>
      </c>
      <c r="T854" s="84">
        <f>50</f>
        <v>50</v>
      </c>
      <c r="U854" s="85"/>
      <c r="V854" s="85"/>
      <c r="W854" s="85"/>
      <c r="X854" s="85"/>
      <c r="Y854" s="85"/>
      <c r="Z854" s="85"/>
      <c r="AA854" s="85"/>
      <c r="AB854" s="85"/>
      <c r="AC854" s="85"/>
      <c r="AD854" s="85"/>
    </row>
    <row r="855" spans="1:30" ht="15.75" x14ac:dyDescent="0.25">
      <c r="A855" s="13">
        <v>66961</v>
      </c>
      <c r="B855" s="96">
        <f t="shared" si="128"/>
        <v>30</v>
      </c>
      <c r="C855" s="84">
        <f>141.293</f>
        <v>141.29300000000001</v>
      </c>
      <c r="D855" s="84">
        <f>267.993</f>
        <v>267.99299999999999</v>
      </c>
      <c r="E855" s="93">
        <f>115.016</f>
        <v>115.01600000000001</v>
      </c>
      <c r="F855" s="84">
        <f>314.698-40-25-60-100</f>
        <v>89.697999999999979</v>
      </c>
      <c r="G855" s="87">
        <v>40</v>
      </c>
      <c r="H855" s="84">
        <f t="shared" ref="H855:H861" si="139">25+60+100</f>
        <v>185</v>
      </c>
      <c r="I855" s="84">
        <f t="shared" si="136"/>
        <v>0</v>
      </c>
      <c r="J855" s="87">
        <v>100</v>
      </c>
      <c r="K855" s="87">
        <v>300</v>
      </c>
      <c r="L855" s="84">
        <f t="shared" si="129"/>
        <v>1239</v>
      </c>
      <c r="M855" s="95">
        <v>600</v>
      </c>
      <c r="N855" s="84">
        <f>100</f>
        <v>100</v>
      </c>
      <c r="O855" s="87">
        <v>240</v>
      </c>
      <c r="P855" s="87">
        <v>40</v>
      </c>
      <c r="Q855" s="87">
        <f t="shared" si="130"/>
        <v>315</v>
      </c>
      <c r="R855" s="87">
        <f t="shared" si="131"/>
        <v>100</v>
      </c>
      <c r="S855" s="84">
        <f t="shared" si="132"/>
        <v>695</v>
      </c>
      <c r="T855" s="84">
        <f>50</f>
        <v>50</v>
      </c>
      <c r="U855" s="85"/>
      <c r="V855" s="85"/>
      <c r="W855" s="85"/>
      <c r="X855" s="85"/>
      <c r="Y855" s="85"/>
      <c r="Z855" s="85"/>
      <c r="AA855" s="85"/>
      <c r="AB855" s="85"/>
      <c r="AC855" s="85"/>
      <c r="AD855" s="85"/>
    </row>
    <row r="856" spans="1:30" ht="15.75" x14ac:dyDescent="0.25">
      <c r="A856" s="13">
        <v>66992</v>
      </c>
      <c r="B856" s="96">
        <f t="shared" ref="B856:B919" si="140">EOMONTH(A856,0)-EOMONTH(A856,-1)</f>
        <v>31</v>
      </c>
      <c r="C856" s="84">
        <f>194.205</f>
        <v>194.20500000000001</v>
      </c>
      <c r="D856" s="84">
        <f>267.466</f>
        <v>267.46600000000001</v>
      </c>
      <c r="E856" s="93">
        <f>133.845</f>
        <v>133.845</v>
      </c>
      <c r="F856" s="84">
        <f>278.484-40-25-60-100</f>
        <v>53.48399999999998</v>
      </c>
      <c r="G856" s="87">
        <v>40</v>
      </c>
      <c r="H856" s="84">
        <f t="shared" si="139"/>
        <v>185</v>
      </c>
      <c r="I856" s="84">
        <f t="shared" si="136"/>
        <v>0</v>
      </c>
      <c r="J856" s="87">
        <v>100</v>
      </c>
      <c r="K856" s="87">
        <v>300</v>
      </c>
      <c r="L856" s="84">
        <f t="shared" ref="L856:L919" si="141">SUM(C856:K856)</f>
        <v>1274</v>
      </c>
      <c r="M856" s="95">
        <v>600</v>
      </c>
      <c r="N856" s="84">
        <f>75</f>
        <v>75</v>
      </c>
      <c r="O856" s="87">
        <v>240</v>
      </c>
      <c r="P856" s="87">
        <v>40</v>
      </c>
      <c r="Q856" s="87">
        <f t="shared" ref="Q856:Q919" si="142">695-R856-O856-P856</f>
        <v>315</v>
      </c>
      <c r="R856" s="87">
        <f t="shared" ref="R856:R919" si="143">200-J856</f>
        <v>100</v>
      </c>
      <c r="S856" s="84">
        <f t="shared" ref="S856:S919" si="144">SUM(O856:R856)</f>
        <v>695</v>
      </c>
      <c r="T856" s="84">
        <f>50</f>
        <v>50</v>
      </c>
      <c r="U856" s="85"/>
      <c r="V856" s="85"/>
      <c r="W856" s="85"/>
      <c r="X856" s="85"/>
      <c r="Y856" s="85"/>
      <c r="Z856" s="85"/>
      <c r="AA856" s="85"/>
      <c r="AB856" s="85"/>
      <c r="AC856" s="85"/>
      <c r="AD856" s="85"/>
    </row>
    <row r="857" spans="1:30" ht="15.75" x14ac:dyDescent="0.25">
      <c r="A857" s="13">
        <v>67022</v>
      </c>
      <c r="B857" s="96">
        <f t="shared" si="140"/>
        <v>30</v>
      </c>
      <c r="C857" s="84">
        <f>194.205</f>
        <v>194.20500000000001</v>
      </c>
      <c r="D857" s="84">
        <f>267.466</f>
        <v>267.46600000000001</v>
      </c>
      <c r="E857" s="93">
        <f>133.845</f>
        <v>133.845</v>
      </c>
      <c r="F857" s="84">
        <f>278.484-40-25-60-100</f>
        <v>53.48399999999998</v>
      </c>
      <c r="G857" s="87">
        <v>40</v>
      </c>
      <c r="H857" s="84">
        <f t="shared" si="139"/>
        <v>185</v>
      </c>
      <c r="I857" s="84">
        <f t="shared" si="136"/>
        <v>0</v>
      </c>
      <c r="J857" s="87">
        <v>100</v>
      </c>
      <c r="K857" s="87">
        <v>300</v>
      </c>
      <c r="L857" s="84">
        <f t="shared" si="141"/>
        <v>1274</v>
      </c>
      <c r="M857" s="95">
        <v>600</v>
      </c>
      <c r="N857" s="84">
        <f>30</f>
        <v>30</v>
      </c>
      <c r="O857" s="87">
        <v>240</v>
      </c>
      <c r="P857" s="87">
        <v>40</v>
      </c>
      <c r="Q857" s="87">
        <f t="shared" si="142"/>
        <v>315</v>
      </c>
      <c r="R857" s="87">
        <f t="shared" si="143"/>
        <v>100</v>
      </c>
      <c r="S857" s="84">
        <f t="shared" si="144"/>
        <v>695</v>
      </c>
      <c r="T857" s="84">
        <f>50</f>
        <v>50</v>
      </c>
      <c r="U857" s="85"/>
      <c r="V857" s="85"/>
      <c r="W857" s="85"/>
      <c r="X857" s="85"/>
      <c r="Y857" s="85"/>
      <c r="Z857" s="85"/>
      <c r="AA857" s="85"/>
      <c r="AB857" s="85"/>
      <c r="AC857" s="85"/>
      <c r="AD857" s="85"/>
    </row>
    <row r="858" spans="1:30" ht="15.75" x14ac:dyDescent="0.25">
      <c r="A858" s="13">
        <v>67053</v>
      </c>
      <c r="B858" s="96">
        <f t="shared" si="140"/>
        <v>31</v>
      </c>
      <c r="C858" s="84">
        <f>194.205</f>
        <v>194.20500000000001</v>
      </c>
      <c r="D858" s="84">
        <f>267.466</f>
        <v>267.46600000000001</v>
      </c>
      <c r="E858" s="93">
        <f>133.845</f>
        <v>133.845</v>
      </c>
      <c r="F858" s="84">
        <f>278.484-40-25-60-100</f>
        <v>53.48399999999998</v>
      </c>
      <c r="G858" s="87">
        <v>40</v>
      </c>
      <c r="H858" s="84">
        <f t="shared" si="139"/>
        <v>185</v>
      </c>
      <c r="I858" s="84">
        <f t="shared" si="136"/>
        <v>0</v>
      </c>
      <c r="J858" s="87">
        <v>100</v>
      </c>
      <c r="K858" s="87">
        <v>300</v>
      </c>
      <c r="L858" s="84">
        <f t="shared" si="141"/>
        <v>1274</v>
      </c>
      <c r="M858" s="95">
        <v>600</v>
      </c>
      <c r="N858" s="84">
        <f>30</f>
        <v>30</v>
      </c>
      <c r="O858" s="87">
        <v>240</v>
      </c>
      <c r="P858" s="87">
        <v>40</v>
      </c>
      <c r="Q858" s="87">
        <f t="shared" si="142"/>
        <v>315</v>
      </c>
      <c r="R858" s="87">
        <f t="shared" si="143"/>
        <v>100</v>
      </c>
      <c r="S858" s="84">
        <f t="shared" si="144"/>
        <v>695</v>
      </c>
      <c r="T858" s="84">
        <f>0</f>
        <v>0</v>
      </c>
      <c r="U858" s="85"/>
      <c r="V858" s="85"/>
      <c r="W858" s="85"/>
      <c r="X858" s="85"/>
      <c r="Y858" s="85"/>
      <c r="Z858" s="85"/>
      <c r="AA858" s="85"/>
      <c r="AB858" s="85"/>
      <c r="AC858" s="85"/>
      <c r="AD858" s="85"/>
    </row>
    <row r="859" spans="1:30" ht="15.75" x14ac:dyDescent="0.25">
      <c r="A859" s="13">
        <v>67084</v>
      </c>
      <c r="B859" s="96">
        <f t="shared" si="140"/>
        <v>31</v>
      </c>
      <c r="C859" s="84">
        <f>194.205</f>
        <v>194.20500000000001</v>
      </c>
      <c r="D859" s="84">
        <f>267.466</f>
        <v>267.46600000000001</v>
      </c>
      <c r="E859" s="93">
        <f>133.845</f>
        <v>133.845</v>
      </c>
      <c r="F859" s="84">
        <f>278.484-40-25-60-100</f>
        <v>53.48399999999998</v>
      </c>
      <c r="G859" s="87">
        <v>40</v>
      </c>
      <c r="H859" s="84">
        <f t="shared" si="139"/>
        <v>185</v>
      </c>
      <c r="I859" s="84">
        <f t="shared" si="136"/>
        <v>0</v>
      </c>
      <c r="J859" s="87">
        <v>100</v>
      </c>
      <c r="K859" s="87">
        <v>300</v>
      </c>
      <c r="L859" s="84">
        <f t="shared" si="141"/>
        <v>1274</v>
      </c>
      <c r="M859" s="95">
        <v>600</v>
      </c>
      <c r="N859" s="84">
        <f>30</f>
        <v>30</v>
      </c>
      <c r="O859" s="87">
        <v>240</v>
      </c>
      <c r="P859" s="87">
        <v>40</v>
      </c>
      <c r="Q859" s="87">
        <f t="shared" si="142"/>
        <v>315</v>
      </c>
      <c r="R859" s="87">
        <f t="shared" si="143"/>
        <v>100</v>
      </c>
      <c r="S859" s="84">
        <f t="shared" si="144"/>
        <v>695</v>
      </c>
      <c r="T859" s="84">
        <f>0</f>
        <v>0</v>
      </c>
      <c r="U859" s="85"/>
      <c r="V859" s="85"/>
      <c r="W859" s="85"/>
      <c r="X859" s="85"/>
      <c r="Y859" s="85"/>
      <c r="Z859" s="85"/>
      <c r="AA859" s="85"/>
      <c r="AB859" s="85"/>
      <c r="AC859" s="85"/>
      <c r="AD859" s="85"/>
    </row>
    <row r="860" spans="1:30" ht="15.75" x14ac:dyDescent="0.25">
      <c r="A860" s="13">
        <v>67114</v>
      </c>
      <c r="B860" s="96">
        <f t="shared" si="140"/>
        <v>30</v>
      </c>
      <c r="C860" s="84">
        <f>194.205</f>
        <v>194.20500000000001</v>
      </c>
      <c r="D860" s="84">
        <f>267.466</f>
        <v>267.46600000000001</v>
      </c>
      <c r="E860" s="93">
        <f>133.845</f>
        <v>133.845</v>
      </c>
      <c r="F860" s="84">
        <f>278.484-40-25-60-100</f>
        <v>53.48399999999998</v>
      </c>
      <c r="G860" s="87">
        <v>40</v>
      </c>
      <c r="H860" s="84">
        <f t="shared" si="139"/>
        <v>185</v>
      </c>
      <c r="I860" s="84">
        <f t="shared" si="136"/>
        <v>0</v>
      </c>
      <c r="J860" s="87">
        <v>100</v>
      </c>
      <c r="K860" s="87">
        <v>300</v>
      </c>
      <c r="L860" s="84">
        <f t="shared" si="141"/>
        <v>1274</v>
      </c>
      <c r="M860" s="95">
        <v>600</v>
      </c>
      <c r="N860" s="84">
        <f>30</f>
        <v>30</v>
      </c>
      <c r="O860" s="87">
        <v>240</v>
      </c>
      <c r="P860" s="87">
        <v>40</v>
      </c>
      <c r="Q860" s="87">
        <f t="shared" si="142"/>
        <v>315</v>
      </c>
      <c r="R860" s="87">
        <f t="shared" si="143"/>
        <v>100</v>
      </c>
      <c r="S860" s="84">
        <f t="shared" si="144"/>
        <v>695</v>
      </c>
      <c r="T860" s="84">
        <f>0</f>
        <v>0</v>
      </c>
      <c r="U860" s="85"/>
      <c r="V860" s="85"/>
      <c r="W860" s="85"/>
      <c r="X860" s="85"/>
      <c r="Y860" s="85"/>
      <c r="Z860" s="85"/>
      <c r="AA860" s="85"/>
      <c r="AB860" s="85"/>
      <c r="AC860" s="85"/>
      <c r="AD860" s="85"/>
    </row>
    <row r="861" spans="1:30" ht="15.75" x14ac:dyDescent="0.25">
      <c r="A861" s="13">
        <v>67145</v>
      </c>
      <c r="B861" s="96">
        <f t="shared" si="140"/>
        <v>31</v>
      </c>
      <c r="C861" s="84">
        <f>131.881</f>
        <v>131.881</v>
      </c>
      <c r="D861" s="84">
        <f>277.167</f>
        <v>277.16699999999997</v>
      </c>
      <c r="E861" s="93">
        <f>79.08</f>
        <v>79.08</v>
      </c>
      <c r="F861" s="84">
        <f>350.872-40-25-60-100</f>
        <v>125.87200000000001</v>
      </c>
      <c r="G861" s="87">
        <v>40</v>
      </c>
      <c r="H861" s="84">
        <f t="shared" si="139"/>
        <v>185</v>
      </c>
      <c r="I861" s="84">
        <f t="shared" si="136"/>
        <v>0</v>
      </c>
      <c r="J861" s="87">
        <v>100</v>
      </c>
      <c r="K861" s="87">
        <v>300</v>
      </c>
      <c r="L861" s="84">
        <f t="shared" si="141"/>
        <v>1239</v>
      </c>
      <c r="M861" s="95">
        <v>600</v>
      </c>
      <c r="N861" s="84">
        <f>75</f>
        <v>75</v>
      </c>
      <c r="O861" s="87">
        <v>240</v>
      </c>
      <c r="P861" s="87">
        <v>40</v>
      </c>
      <c r="Q861" s="87">
        <f t="shared" si="142"/>
        <v>315</v>
      </c>
      <c r="R861" s="87">
        <f t="shared" si="143"/>
        <v>100</v>
      </c>
      <c r="S861" s="84">
        <f t="shared" si="144"/>
        <v>695</v>
      </c>
      <c r="T861" s="84">
        <f>0</f>
        <v>0</v>
      </c>
      <c r="U861" s="85"/>
      <c r="V861" s="85"/>
      <c r="W861" s="85"/>
      <c r="X861" s="85"/>
      <c r="Y861" s="85"/>
      <c r="Z861" s="85"/>
      <c r="AA861" s="85"/>
      <c r="AB861" s="85"/>
      <c r="AC861" s="85"/>
      <c r="AD861" s="85"/>
    </row>
    <row r="862" spans="1:30" ht="15.75" x14ac:dyDescent="0.25">
      <c r="A862" s="13">
        <v>67175</v>
      </c>
      <c r="B862" s="96">
        <f t="shared" si="140"/>
        <v>30</v>
      </c>
      <c r="C862" s="84">
        <f>122.58</f>
        <v>122.58</v>
      </c>
      <c r="D862" s="84">
        <f>297.941</f>
        <v>297.94099999999997</v>
      </c>
      <c r="E862" s="93">
        <f>89.177</f>
        <v>89.177000000000007</v>
      </c>
      <c r="F862" s="84">
        <f>240.302-40-60-100</f>
        <v>40.301999999999992</v>
      </c>
      <c r="G862" s="87">
        <v>40</v>
      </c>
      <c r="H862" s="84">
        <f>60+100</f>
        <v>160</v>
      </c>
      <c r="I862" s="84">
        <f t="shared" si="136"/>
        <v>0</v>
      </c>
      <c r="J862" s="87">
        <v>100</v>
      </c>
      <c r="K862" s="87">
        <v>300</v>
      </c>
      <c r="L862" s="84">
        <f t="shared" si="141"/>
        <v>1150</v>
      </c>
      <c r="M862" s="95">
        <v>600</v>
      </c>
      <c r="N862" s="84">
        <f>100</f>
        <v>100</v>
      </c>
      <c r="O862" s="87">
        <v>240</v>
      </c>
      <c r="P862" s="87">
        <v>40</v>
      </c>
      <c r="Q862" s="87">
        <f t="shared" si="142"/>
        <v>315</v>
      </c>
      <c r="R862" s="87">
        <f t="shared" si="143"/>
        <v>100</v>
      </c>
      <c r="S862" s="84">
        <f t="shared" si="144"/>
        <v>695</v>
      </c>
      <c r="T862" s="84">
        <f>50</f>
        <v>50</v>
      </c>
      <c r="U862" s="85"/>
      <c r="V862" s="85"/>
      <c r="W862" s="85"/>
      <c r="X862" s="85"/>
      <c r="Y862" s="85"/>
      <c r="Z862" s="85"/>
      <c r="AA862" s="85"/>
      <c r="AB862" s="85"/>
      <c r="AC862" s="85"/>
      <c r="AD862" s="85"/>
    </row>
    <row r="863" spans="1:30" ht="15.75" x14ac:dyDescent="0.25">
      <c r="A863" s="13">
        <v>67206</v>
      </c>
      <c r="B863" s="96">
        <f t="shared" si="140"/>
        <v>31</v>
      </c>
      <c r="C863" s="84">
        <f>122.58</f>
        <v>122.58</v>
      </c>
      <c r="D863" s="84">
        <f>297.941</f>
        <v>297.94099999999997</v>
      </c>
      <c r="E863" s="93">
        <f>89.177</f>
        <v>89.177000000000007</v>
      </c>
      <c r="F863" s="84">
        <f>240.302-40-60-100</f>
        <v>40.301999999999992</v>
      </c>
      <c r="G863" s="87">
        <v>40</v>
      </c>
      <c r="H863" s="84">
        <f>60+100</f>
        <v>160</v>
      </c>
      <c r="I863" s="84">
        <f t="shared" si="136"/>
        <v>0</v>
      </c>
      <c r="J863" s="87">
        <v>100</v>
      </c>
      <c r="K863" s="87">
        <v>300</v>
      </c>
      <c r="L863" s="84">
        <f t="shared" si="141"/>
        <v>1150</v>
      </c>
      <c r="M863" s="95">
        <v>600</v>
      </c>
      <c r="N863" s="84">
        <f>100</f>
        <v>100</v>
      </c>
      <c r="O863" s="87">
        <v>240</v>
      </c>
      <c r="P863" s="87">
        <v>40</v>
      </c>
      <c r="Q863" s="87">
        <f t="shared" si="142"/>
        <v>315</v>
      </c>
      <c r="R863" s="87">
        <f t="shared" si="143"/>
        <v>100</v>
      </c>
      <c r="S863" s="84">
        <f t="shared" si="144"/>
        <v>695</v>
      </c>
      <c r="T863" s="84">
        <f>50</f>
        <v>50</v>
      </c>
      <c r="U863" s="85"/>
      <c r="V863" s="85"/>
      <c r="W863" s="85"/>
      <c r="X863" s="85"/>
      <c r="Y863" s="85"/>
      <c r="Z863" s="85"/>
      <c r="AA863" s="85"/>
      <c r="AB863" s="85"/>
      <c r="AC863" s="85"/>
      <c r="AD863" s="85"/>
    </row>
    <row r="864" spans="1:30" ht="15.75" x14ac:dyDescent="0.25">
      <c r="A864" s="13">
        <v>67237</v>
      </c>
      <c r="B864" s="96">
        <f t="shared" si="140"/>
        <v>31</v>
      </c>
      <c r="C864" s="84">
        <f>122.58</f>
        <v>122.58</v>
      </c>
      <c r="D864" s="84">
        <f>297.941</f>
        <v>297.94099999999997</v>
      </c>
      <c r="E864" s="93">
        <f>89.177</f>
        <v>89.177000000000007</v>
      </c>
      <c r="F864" s="84">
        <f>240.302-40-60-100</f>
        <v>40.301999999999992</v>
      </c>
      <c r="G864" s="87">
        <v>40</v>
      </c>
      <c r="H864" s="84">
        <f>60+100</f>
        <v>160</v>
      </c>
      <c r="I864" s="84">
        <f t="shared" si="136"/>
        <v>0</v>
      </c>
      <c r="J864" s="87">
        <v>100</v>
      </c>
      <c r="K864" s="87">
        <v>300</v>
      </c>
      <c r="L864" s="84">
        <f t="shared" si="141"/>
        <v>1150</v>
      </c>
      <c r="M864" s="95">
        <v>600</v>
      </c>
      <c r="N864" s="84">
        <f>100</f>
        <v>100</v>
      </c>
      <c r="O864" s="87">
        <v>240</v>
      </c>
      <c r="P864" s="87">
        <v>40</v>
      </c>
      <c r="Q864" s="87">
        <f t="shared" si="142"/>
        <v>315</v>
      </c>
      <c r="R864" s="87">
        <f t="shared" si="143"/>
        <v>100</v>
      </c>
      <c r="S864" s="84">
        <f t="shared" si="144"/>
        <v>695</v>
      </c>
      <c r="T864" s="84">
        <f>50</f>
        <v>50</v>
      </c>
      <c r="U864" s="85"/>
      <c r="V864" s="85"/>
      <c r="W864" s="85"/>
      <c r="X864" s="85"/>
      <c r="Y864" s="85"/>
      <c r="Z864" s="85"/>
      <c r="AA864" s="85"/>
      <c r="AB864" s="85"/>
      <c r="AC864" s="85"/>
      <c r="AD864" s="85"/>
    </row>
    <row r="865" spans="1:30" ht="15.75" x14ac:dyDescent="0.25">
      <c r="A865" s="13">
        <v>67266</v>
      </c>
      <c r="B865" s="96">
        <f t="shared" si="140"/>
        <v>29</v>
      </c>
      <c r="C865" s="84">
        <f>122.58</f>
        <v>122.58</v>
      </c>
      <c r="D865" s="84">
        <f>297.941</f>
        <v>297.94099999999997</v>
      </c>
      <c r="E865" s="93">
        <f>89.177</f>
        <v>89.177000000000007</v>
      </c>
      <c r="F865" s="84">
        <f>240.302-40-60-100</f>
        <v>40.301999999999992</v>
      </c>
      <c r="G865" s="87">
        <v>40</v>
      </c>
      <c r="H865" s="84">
        <f>60+100</f>
        <v>160</v>
      </c>
      <c r="I865" s="84">
        <f t="shared" si="136"/>
        <v>0</v>
      </c>
      <c r="J865" s="87">
        <v>100</v>
      </c>
      <c r="K865" s="87">
        <v>300</v>
      </c>
      <c r="L865" s="84">
        <f t="shared" si="141"/>
        <v>1150</v>
      </c>
      <c r="M865" s="95">
        <v>600</v>
      </c>
      <c r="N865" s="84">
        <f>100</f>
        <v>100</v>
      </c>
      <c r="O865" s="87">
        <v>240</v>
      </c>
      <c r="P865" s="87">
        <v>40</v>
      </c>
      <c r="Q865" s="87">
        <f t="shared" si="142"/>
        <v>315</v>
      </c>
      <c r="R865" s="87">
        <f t="shared" si="143"/>
        <v>100</v>
      </c>
      <c r="S865" s="84">
        <f t="shared" si="144"/>
        <v>695</v>
      </c>
      <c r="T865" s="84">
        <f>50</f>
        <v>50</v>
      </c>
      <c r="U865" s="85"/>
      <c r="V865" s="85"/>
      <c r="W865" s="85"/>
      <c r="X865" s="85"/>
      <c r="Y865" s="85"/>
      <c r="Z865" s="85"/>
      <c r="AA865" s="85"/>
      <c r="AB865" s="85"/>
      <c r="AC865" s="85"/>
      <c r="AD865" s="85"/>
    </row>
    <row r="866" spans="1:30" ht="15.75" x14ac:dyDescent="0.25">
      <c r="A866" s="13">
        <v>67297</v>
      </c>
      <c r="B866" s="96">
        <f t="shared" si="140"/>
        <v>31</v>
      </c>
      <c r="C866" s="84">
        <f>122.58</f>
        <v>122.58</v>
      </c>
      <c r="D866" s="84">
        <f>297.941</f>
        <v>297.94099999999997</v>
      </c>
      <c r="E866" s="93">
        <f>89.177</f>
        <v>89.177000000000007</v>
      </c>
      <c r="F866" s="84">
        <f>240.302-40-60-100</f>
        <v>40.301999999999992</v>
      </c>
      <c r="G866" s="87">
        <v>40</v>
      </c>
      <c r="H866" s="84">
        <f>60+100</f>
        <v>160</v>
      </c>
      <c r="I866" s="84">
        <f t="shared" si="136"/>
        <v>0</v>
      </c>
      <c r="J866" s="87">
        <v>100</v>
      </c>
      <c r="K866" s="87">
        <v>300</v>
      </c>
      <c r="L866" s="84">
        <f t="shared" si="141"/>
        <v>1150</v>
      </c>
      <c r="M866" s="95">
        <v>600</v>
      </c>
      <c r="N866" s="84">
        <f>100</f>
        <v>100</v>
      </c>
      <c r="O866" s="87">
        <v>240</v>
      </c>
      <c r="P866" s="87">
        <v>40</v>
      </c>
      <c r="Q866" s="87">
        <f t="shared" si="142"/>
        <v>315</v>
      </c>
      <c r="R866" s="87">
        <f t="shared" si="143"/>
        <v>100</v>
      </c>
      <c r="S866" s="84">
        <f t="shared" si="144"/>
        <v>695</v>
      </c>
      <c r="T866" s="84">
        <f>50</f>
        <v>50</v>
      </c>
      <c r="U866" s="85"/>
      <c r="V866" s="85"/>
      <c r="W866" s="85"/>
      <c r="X866" s="85"/>
      <c r="Y866" s="85"/>
      <c r="Z866" s="85"/>
      <c r="AA866" s="85"/>
      <c r="AB866" s="85"/>
      <c r="AC866" s="85"/>
      <c r="AD866" s="85"/>
    </row>
    <row r="867" spans="1:30" ht="15.75" x14ac:dyDescent="0.25">
      <c r="A867" s="13">
        <v>67327</v>
      </c>
      <c r="B867" s="96">
        <f t="shared" si="140"/>
        <v>30</v>
      </c>
      <c r="C867" s="84">
        <f>141.293</f>
        <v>141.29300000000001</v>
      </c>
      <c r="D867" s="84">
        <f>267.993</f>
        <v>267.99299999999999</v>
      </c>
      <c r="E867" s="93">
        <f>115.016</f>
        <v>115.01600000000001</v>
      </c>
      <c r="F867" s="84">
        <f>314.698-40-25-60-100</f>
        <v>89.697999999999979</v>
      </c>
      <c r="G867" s="87">
        <v>40</v>
      </c>
      <c r="H867" s="84">
        <f t="shared" ref="H867:H873" si="145">25+60+100</f>
        <v>185</v>
      </c>
      <c r="I867" s="84">
        <f t="shared" si="136"/>
        <v>0</v>
      </c>
      <c r="J867" s="87">
        <v>100</v>
      </c>
      <c r="K867" s="87">
        <v>300</v>
      </c>
      <c r="L867" s="84">
        <f t="shared" si="141"/>
        <v>1239</v>
      </c>
      <c r="M867" s="95">
        <v>600</v>
      </c>
      <c r="N867" s="84">
        <f>100</f>
        <v>100</v>
      </c>
      <c r="O867" s="87">
        <v>240</v>
      </c>
      <c r="P867" s="87">
        <v>40</v>
      </c>
      <c r="Q867" s="87">
        <f t="shared" si="142"/>
        <v>315</v>
      </c>
      <c r="R867" s="87">
        <f t="shared" si="143"/>
        <v>100</v>
      </c>
      <c r="S867" s="84">
        <f t="shared" si="144"/>
        <v>695</v>
      </c>
      <c r="T867" s="84">
        <f>50</f>
        <v>50</v>
      </c>
      <c r="U867" s="85"/>
      <c r="V867" s="85"/>
      <c r="W867" s="85"/>
      <c r="X867" s="85"/>
      <c r="Y867" s="85"/>
      <c r="Z867" s="85"/>
      <c r="AA867" s="85"/>
      <c r="AB867" s="85"/>
      <c r="AC867" s="85"/>
      <c r="AD867" s="85"/>
    </row>
    <row r="868" spans="1:30" ht="15.75" x14ac:dyDescent="0.25">
      <c r="A868" s="13">
        <v>67358</v>
      </c>
      <c r="B868" s="96">
        <f t="shared" si="140"/>
        <v>31</v>
      </c>
      <c r="C868" s="84">
        <f>194.205</f>
        <v>194.20500000000001</v>
      </c>
      <c r="D868" s="84">
        <f>267.466</f>
        <v>267.46600000000001</v>
      </c>
      <c r="E868" s="93">
        <f>133.845</f>
        <v>133.845</v>
      </c>
      <c r="F868" s="84">
        <f>278.484-40-25-60-100</f>
        <v>53.48399999999998</v>
      </c>
      <c r="G868" s="87">
        <v>40</v>
      </c>
      <c r="H868" s="84">
        <f t="shared" si="145"/>
        <v>185</v>
      </c>
      <c r="I868" s="84">
        <f t="shared" si="136"/>
        <v>0</v>
      </c>
      <c r="J868" s="87">
        <v>100</v>
      </c>
      <c r="K868" s="87">
        <v>300</v>
      </c>
      <c r="L868" s="84">
        <f t="shared" si="141"/>
        <v>1274</v>
      </c>
      <c r="M868" s="95">
        <v>600</v>
      </c>
      <c r="N868" s="84">
        <f>75</f>
        <v>75</v>
      </c>
      <c r="O868" s="87">
        <v>240</v>
      </c>
      <c r="P868" s="87">
        <v>40</v>
      </c>
      <c r="Q868" s="87">
        <f t="shared" si="142"/>
        <v>315</v>
      </c>
      <c r="R868" s="87">
        <f t="shared" si="143"/>
        <v>100</v>
      </c>
      <c r="S868" s="84">
        <f t="shared" si="144"/>
        <v>695</v>
      </c>
      <c r="T868" s="84">
        <f>50</f>
        <v>50</v>
      </c>
      <c r="U868" s="85"/>
      <c r="V868" s="85"/>
      <c r="W868" s="85"/>
      <c r="X868" s="85"/>
      <c r="Y868" s="85"/>
      <c r="Z868" s="85"/>
      <c r="AA868" s="85"/>
      <c r="AB868" s="85"/>
      <c r="AC868" s="85"/>
      <c r="AD868" s="85"/>
    </row>
    <row r="869" spans="1:30" ht="15.75" x14ac:dyDescent="0.25">
      <c r="A869" s="13">
        <v>67388</v>
      </c>
      <c r="B869" s="96">
        <f t="shared" si="140"/>
        <v>30</v>
      </c>
      <c r="C869" s="84">
        <f>194.205</f>
        <v>194.20500000000001</v>
      </c>
      <c r="D869" s="84">
        <f>267.466</f>
        <v>267.46600000000001</v>
      </c>
      <c r="E869" s="93">
        <f>133.845</f>
        <v>133.845</v>
      </c>
      <c r="F869" s="84">
        <f>278.484-40-25-60-100</f>
        <v>53.48399999999998</v>
      </c>
      <c r="G869" s="87">
        <v>40</v>
      </c>
      <c r="H869" s="84">
        <f t="shared" si="145"/>
        <v>185</v>
      </c>
      <c r="I869" s="84">
        <f t="shared" si="136"/>
        <v>0</v>
      </c>
      <c r="J869" s="87">
        <v>100</v>
      </c>
      <c r="K869" s="87">
        <v>300</v>
      </c>
      <c r="L869" s="84">
        <f t="shared" si="141"/>
        <v>1274</v>
      </c>
      <c r="M869" s="95">
        <v>600</v>
      </c>
      <c r="N869" s="84">
        <f>30</f>
        <v>30</v>
      </c>
      <c r="O869" s="87">
        <v>240</v>
      </c>
      <c r="P869" s="87">
        <v>40</v>
      </c>
      <c r="Q869" s="87">
        <f t="shared" si="142"/>
        <v>315</v>
      </c>
      <c r="R869" s="87">
        <f t="shared" si="143"/>
        <v>100</v>
      </c>
      <c r="S869" s="84">
        <f t="shared" si="144"/>
        <v>695</v>
      </c>
      <c r="T869" s="84">
        <f>50</f>
        <v>50</v>
      </c>
      <c r="U869" s="85"/>
      <c r="V869" s="85"/>
      <c r="W869" s="85"/>
      <c r="X869" s="85"/>
      <c r="Y869" s="85"/>
      <c r="Z869" s="85"/>
      <c r="AA869" s="85"/>
      <c r="AB869" s="85"/>
      <c r="AC869" s="85"/>
      <c r="AD869" s="85"/>
    </row>
    <row r="870" spans="1:30" ht="15.75" x14ac:dyDescent="0.25">
      <c r="A870" s="13">
        <v>67419</v>
      </c>
      <c r="B870" s="96">
        <f t="shared" si="140"/>
        <v>31</v>
      </c>
      <c r="C870" s="84">
        <f>194.205</f>
        <v>194.20500000000001</v>
      </c>
      <c r="D870" s="84">
        <f>267.466</f>
        <v>267.46600000000001</v>
      </c>
      <c r="E870" s="93">
        <f>133.845</f>
        <v>133.845</v>
      </c>
      <c r="F870" s="84">
        <f>278.484-40-25-60-100</f>
        <v>53.48399999999998</v>
      </c>
      <c r="G870" s="87">
        <v>40</v>
      </c>
      <c r="H870" s="84">
        <f t="shared" si="145"/>
        <v>185</v>
      </c>
      <c r="I870" s="84">
        <f t="shared" si="136"/>
        <v>0</v>
      </c>
      <c r="J870" s="87">
        <v>100</v>
      </c>
      <c r="K870" s="87">
        <v>300</v>
      </c>
      <c r="L870" s="84">
        <f t="shared" si="141"/>
        <v>1274</v>
      </c>
      <c r="M870" s="95">
        <v>600</v>
      </c>
      <c r="N870" s="84">
        <f>30</f>
        <v>30</v>
      </c>
      <c r="O870" s="87">
        <v>240</v>
      </c>
      <c r="P870" s="87">
        <v>40</v>
      </c>
      <c r="Q870" s="87">
        <f t="shared" si="142"/>
        <v>315</v>
      </c>
      <c r="R870" s="87">
        <f t="shared" si="143"/>
        <v>100</v>
      </c>
      <c r="S870" s="84">
        <f t="shared" si="144"/>
        <v>695</v>
      </c>
      <c r="T870" s="84">
        <f>0</f>
        <v>0</v>
      </c>
      <c r="U870" s="85"/>
      <c r="V870" s="85"/>
      <c r="W870" s="85"/>
      <c r="X870" s="85"/>
      <c r="Y870" s="85"/>
      <c r="Z870" s="85"/>
      <c r="AA870" s="85"/>
      <c r="AB870" s="85"/>
      <c r="AC870" s="85"/>
      <c r="AD870" s="85"/>
    </row>
    <row r="871" spans="1:30" ht="15.75" x14ac:dyDescent="0.25">
      <c r="A871" s="13">
        <v>67450</v>
      </c>
      <c r="B871" s="96">
        <f t="shared" si="140"/>
        <v>31</v>
      </c>
      <c r="C871" s="84">
        <f>194.205</f>
        <v>194.20500000000001</v>
      </c>
      <c r="D871" s="84">
        <f>267.466</f>
        <v>267.46600000000001</v>
      </c>
      <c r="E871" s="93">
        <f>133.845</f>
        <v>133.845</v>
      </c>
      <c r="F871" s="84">
        <f>278.484-40-25-60-100</f>
        <v>53.48399999999998</v>
      </c>
      <c r="G871" s="87">
        <v>40</v>
      </c>
      <c r="H871" s="84">
        <f t="shared" si="145"/>
        <v>185</v>
      </c>
      <c r="I871" s="84">
        <f t="shared" si="136"/>
        <v>0</v>
      </c>
      <c r="J871" s="87">
        <v>100</v>
      </c>
      <c r="K871" s="87">
        <v>300</v>
      </c>
      <c r="L871" s="84">
        <f t="shared" si="141"/>
        <v>1274</v>
      </c>
      <c r="M871" s="95">
        <v>600</v>
      </c>
      <c r="N871" s="84">
        <f>30</f>
        <v>30</v>
      </c>
      <c r="O871" s="87">
        <v>240</v>
      </c>
      <c r="P871" s="87">
        <v>40</v>
      </c>
      <c r="Q871" s="87">
        <f t="shared" si="142"/>
        <v>315</v>
      </c>
      <c r="R871" s="87">
        <f t="shared" si="143"/>
        <v>100</v>
      </c>
      <c r="S871" s="84">
        <f t="shared" si="144"/>
        <v>695</v>
      </c>
      <c r="T871" s="84">
        <f>0</f>
        <v>0</v>
      </c>
      <c r="U871" s="85"/>
      <c r="V871" s="85"/>
      <c r="W871" s="85"/>
      <c r="X871" s="85"/>
      <c r="Y871" s="85"/>
      <c r="Z871" s="85"/>
      <c r="AA871" s="85"/>
      <c r="AB871" s="85"/>
      <c r="AC871" s="85"/>
      <c r="AD871" s="85"/>
    </row>
    <row r="872" spans="1:30" ht="15.75" x14ac:dyDescent="0.25">
      <c r="A872" s="13">
        <v>67480</v>
      </c>
      <c r="B872" s="96">
        <f t="shared" si="140"/>
        <v>30</v>
      </c>
      <c r="C872" s="84">
        <f>194.205</f>
        <v>194.20500000000001</v>
      </c>
      <c r="D872" s="84">
        <f>267.466</f>
        <v>267.46600000000001</v>
      </c>
      <c r="E872" s="93">
        <f>133.845</f>
        <v>133.845</v>
      </c>
      <c r="F872" s="84">
        <f>278.484-40-25-60-100</f>
        <v>53.48399999999998</v>
      </c>
      <c r="G872" s="87">
        <v>40</v>
      </c>
      <c r="H872" s="84">
        <f t="shared" si="145"/>
        <v>185</v>
      </c>
      <c r="I872" s="84">
        <f t="shared" si="136"/>
        <v>0</v>
      </c>
      <c r="J872" s="87">
        <v>100</v>
      </c>
      <c r="K872" s="87">
        <v>300</v>
      </c>
      <c r="L872" s="84">
        <f t="shared" si="141"/>
        <v>1274</v>
      </c>
      <c r="M872" s="95">
        <v>600</v>
      </c>
      <c r="N872" s="84">
        <f>30</f>
        <v>30</v>
      </c>
      <c r="O872" s="87">
        <v>240</v>
      </c>
      <c r="P872" s="87">
        <v>40</v>
      </c>
      <c r="Q872" s="87">
        <f t="shared" si="142"/>
        <v>315</v>
      </c>
      <c r="R872" s="87">
        <f t="shared" si="143"/>
        <v>100</v>
      </c>
      <c r="S872" s="84">
        <f t="shared" si="144"/>
        <v>695</v>
      </c>
      <c r="T872" s="84">
        <f>0</f>
        <v>0</v>
      </c>
      <c r="U872" s="85"/>
      <c r="V872" s="85"/>
      <c r="W872" s="85"/>
      <c r="X872" s="85"/>
      <c r="Y872" s="85"/>
      <c r="Z872" s="85"/>
      <c r="AA872" s="85"/>
      <c r="AB872" s="85"/>
      <c r="AC872" s="85"/>
      <c r="AD872" s="85"/>
    </row>
    <row r="873" spans="1:30" ht="15.75" x14ac:dyDescent="0.25">
      <c r="A873" s="13">
        <v>67511</v>
      </c>
      <c r="B873" s="96">
        <f t="shared" si="140"/>
        <v>31</v>
      </c>
      <c r="C873" s="84">
        <f>131.881</f>
        <v>131.881</v>
      </c>
      <c r="D873" s="84">
        <f>277.167</f>
        <v>277.16699999999997</v>
      </c>
      <c r="E873" s="93">
        <f>79.08</f>
        <v>79.08</v>
      </c>
      <c r="F873" s="84">
        <f>350.872-40-25-60-100</f>
        <v>125.87200000000001</v>
      </c>
      <c r="G873" s="87">
        <v>40</v>
      </c>
      <c r="H873" s="84">
        <f t="shared" si="145"/>
        <v>185</v>
      </c>
      <c r="I873" s="84">
        <f t="shared" si="136"/>
        <v>0</v>
      </c>
      <c r="J873" s="87">
        <v>100</v>
      </c>
      <c r="K873" s="87">
        <v>300</v>
      </c>
      <c r="L873" s="84">
        <f t="shared" si="141"/>
        <v>1239</v>
      </c>
      <c r="M873" s="95">
        <v>600</v>
      </c>
      <c r="N873" s="84">
        <f>75</f>
        <v>75</v>
      </c>
      <c r="O873" s="87">
        <v>240</v>
      </c>
      <c r="P873" s="87">
        <v>40</v>
      </c>
      <c r="Q873" s="87">
        <f t="shared" si="142"/>
        <v>315</v>
      </c>
      <c r="R873" s="87">
        <f t="shared" si="143"/>
        <v>100</v>
      </c>
      <c r="S873" s="84">
        <f t="shared" si="144"/>
        <v>695</v>
      </c>
      <c r="T873" s="84">
        <f>0</f>
        <v>0</v>
      </c>
      <c r="U873" s="85"/>
      <c r="V873" s="85"/>
      <c r="W873" s="85"/>
      <c r="X873" s="85"/>
      <c r="Y873" s="85"/>
      <c r="Z873" s="85"/>
      <c r="AA873" s="85"/>
      <c r="AB873" s="85"/>
      <c r="AC873" s="85"/>
      <c r="AD873" s="85"/>
    </row>
    <row r="874" spans="1:30" ht="15.75" x14ac:dyDescent="0.25">
      <c r="A874" s="13">
        <v>67541</v>
      </c>
      <c r="B874" s="96">
        <f t="shared" si="140"/>
        <v>30</v>
      </c>
      <c r="C874" s="84">
        <f>122.58</f>
        <v>122.58</v>
      </c>
      <c r="D874" s="84">
        <f>297.941</f>
        <v>297.94099999999997</v>
      </c>
      <c r="E874" s="93">
        <f>89.177</f>
        <v>89.177000000000007</v>
      </c>
      <c r="F874" s="84">
        <f>240.302-40-60-100</f>
        <v>40.301999999999992</v>
      </c>
      <c r="G874" s="87">
        <v>40</v>
      </c>
      <c r="H874" s="84">
        <f>60+100</f>
        <v>160</v>
      </c>
      <c r="I874" s="84">
        <f t="shared" si="136"/>
        <v>0</v>
      </c>
      <c r="J874" s="87">
        <v>100</v>
      </c>
      <c r="K874" s="87">
        <v>300</v>
      </c>
      <c r="L874" s="84">
        <f t="shared" si="141"/>
        <v>1150</v>
      </c>
      <c r="M874" s="95">
        <v>600</v>
      </c>
      <c r="N874" s="84">
        <f>100</f>
        <v>100</v>
      </c>
      <c r="O874" s="87">
        <v>240</v>
      </c>
      <c r="P874" s="87">
        <v>40</v>
      </c>
      <c r="Q874" s="87">
        <f t="shared" si="142"/>
        <v>315</v>
      </c>
      <c r="R874" s="87">
        <f t="shared" si="143"/>
        <v>100</v>
      </c>
      <c r="S874" s="84">
        <f t="shared" si="144"/>
        <v>695</v>
      </c>
      <c r="T874" s="84">
        <f>50</f>
        <v>50</v>
      </c>
      <c r="U874" s="85"/>
      <c r="V874" s="85"/>
      <c r="W874" s="85"/>
      <c r="X874" s="85"/>
      <c r="Y874" s="85"/>
      <c r="Z874" s="85"/>
      <c r="AA874" s="85"/>
      <c r="AB874" s="85"/>
      <c r="AC874" s="85"/>
      <c r="AD874" s="85"/>
    </row>
    <row r="875" spans="1:30" ht="15.75" x14ac:dyDescent="0.25">
      <c r="A875" s="13">
        <v>67572</v>
      </c>
      <c r="B875" s="96">
        <f t="shared" si="140"/>
        <v>31</v>
      </c>
      <c r="C875" s="84">
        <f>122.58</f>
        <v>122.58</v>
      </c>
      <c r="D875" s="84">
        <f>297.941</f>
        <v>297.94099999999997</v>
      </c>
      <c r="E875" s="93">
        <f>89.177</f>
        <v>89.177000000000007</v>
      </c>
      <c r="F875" s="84">
        <f>240.302-40-60-100</f>
        <v>40.301999999999992</v>
      </c>
      <c r="G875" s="87">
        <v>40</v>
      </c>
      <c r="H875" s="84">
        <f>60+100</f>
        <v>160</v>
      </c>
      <c r="I875" s="84">
        <f t="shared" si="136"/>
        <v>0</v>
      </c>
      <c r="J875" s="87">
        <v>100</v>
      </c>
      <c r="K875" s="87">
        <v>300</v>
      </c>
      <c r="L875" s="84">
        <f t="shared" si="141"/>
        <v>1150</v>
      </c>
      <c r="M875" s="95">
        <v>600</v>
      </c>
      <c r="N875" s="84">
        <f>100</f>
        <v>100</v>
      </c>
      <c r="O875" s="87">
        <v>240</v>
      </c>
      <c r="P875" s="87">
        <v>40</v>
      </c>
      <c r="Q875" s="87">
        <f t="shared" si="142"/>
        <v>315</v>
      </c>
      <c r="R875" s="87">
        <f t="shared" si="143"/>
        <v>100</v>
      </c>
      <c r="S875" s="84">
        <f t="shared" si="144"/>
        <v>695</v>
      </c>
      <c r="T875" s="84">
        <f>50</f>
        <v>50</v>
      </c>
      <c r="U875" s="85"/>
      <c r="V875" s="85"/>
      <c r="W875" s="85"/>
      <c r="X875" s="85"/>
      <c r="Y875" s="85"/>
      <c r="Z875" s="85"/>
      <c r="AA875" s="85"/>
      <c r="AB875" s="85"/>
      <c r="AC875" s="85"/>
      <c r="AD875" s="85"/>
    </row>
    <row r="876" spans="1:30" ht="15.75" x14ac:dyDescent="0.25">
      <c r="A876" s="13">
        <v>67603</v>
      </c>
      <c r="B876" s="96">
        <f t="shared" si="140"/>
        <v>31</v>
      </c>
      <c r="C876" s="84">
        <f>122.58</f>
        <v>122.58</v>
      </c>
      <c r="D876" s="84">
        <f>297.941</f>
        <v>297.94099999999997</v>
      </c>
      <c r="E876" s="93">
        <f>89.177</f>
        <v>89.177000000000007</v>
      </c>
      <c r="F876" s="84">
        <f>240.302-40-60-100</f>
        <v>40.301999999999992</v>
      </c>
      <c r="G876" s="87">
        <v>40</v>
      </c>
      <c r="H876" s="84">
        <f>60+100</f>
        <v>160</v>
      </c>
      <c r="I876" s="84">
        <f t="shared" si="136"/>
        <v>0</v>
      </c>
      <c r="J876" s="87">
        <v>100</v>
      </c>
      <c r="K876" s="87">
        <v>300</v>
      </c>
      <c r="L876" s="84">
        <f t="shared" si="141"/>
        <v>1150</v>
      </c>
      <c r="M876" s="95">
        <v>600</v>
      </c>
      <c r="N876" s="84">
        <f>100</f>
        <v>100</v>
      </c>
      <c r="O876" s="87">
        <v>240</v>
      </c>
      <c r="P876" s="87">
        <v>40</v>
      </c>
      <c r="Q876" s="87">
        <f t="shared" si="142"/>
        <v>315</v>
      </c>
      <c r="R876" s="87">
        <f t="shared" si="143"/>
        <v>100</v>
      </c>
      <c r="S876" s="84">
        <f t="shared" si="144"/>
        <v>695</v>
      </c>
      <c r="T876" s="84">
        <f>50</f>
        <v>50</v>
      </c>
      <c r="U876" s="85"/>
      <c r="V876" s="85"/>
      <c r="W876" s="85"/>
      <c r="X876" s="85"/>
      <c r="Y876" s="85"/>
      <c r="Z876" s="85"/>
      <c r="AA876" s="85"/>
      <c r="AB876" s="85"/>
      <c r="AC876" s="85"/>
      <c r="AD876" s="85"/>
    </row>
    <row r="877" spans="1:30" ht="15.75" x14ac:dyDescent="0.25">
      <c r="A877" s="13">
        <v>67631</v>
      </c>
      <c r="B877" s="96">
        <f t="shared" si="140"/>
        <v>28</v>
      </c>
      <c r="C877" s="84">
        <f>122.58</f>
        <v>122.58</v>
      </c>
      <c r="D877" s="84">
        <f>297.941</f>
        <v>297.94099999999997</v>
      </c>
      <c r="E877" s="93">
        <f>89.177</f>
        <v>89.177000000000007</v>
      </c>
      <c r="F877" s="84">
        <f>240.302-40-60-100</f>
        <v>40.301999999999992</v>
      </c>
      <c r="G877" s="87">
        <v>40</v>
      </c>
      <c r="H877" s="84">
        <f>60+100</f>
        <v>160</v>
      </c>
      <c r="I877" s="84">
        <f t="shared" si="136"/>
        <v>0</v>
      </c>
      <c r="J877" s="87">
        <v>100</v>
      </c>
      <c r="K877" s="87">
        <v>300</v>
      </c>
      <c r="L877" s="84">
        <f t="shared" si="141"/>
        <v>1150</v>
      </c>
      <c r="M877" s="95">
        <v>600</v>
      </c>
      <c r="N877" s="84">
        <f>100</f>
        <v>100</v>
      </c>
      <c r="O877" s="87">
        <v>240</v>
      </c>
      <c r="P877" s="87">
        <v>40</v>
      </c>
      <c r="Q877" s="87">
        <f t="shared" si="142"/>
        <v>315</v>
      </c>
      <c r="R877" s="87">
        <f t="shared" si="143"/>
        <v>100</v>
      </c>
      <c r="S877" s="84">
        <f t="shared" si="144"/>
        <v>695</v>
      </c>
      <c r="T877" s="84">
        <f>50</f>
        <v>50</v>
      </c>
      <c r="U877" s="85"/>
      <c r="V877" s="85"/>
      <c r="W877" s="85"/>
      <c r="X877" s="85"/>
      <c r="Y877" s="85"/>
      <c r="Z877" s="85"/>
      <c r="AA877" s="85"/>
      <c r="AB877" s="85"/>
      <c r="AC877" s="85"/>
      <c r="AD877" s="85"/>
    </row>
    <row r="878" spans="1:30" ht="15.75" x14ac:dyDescent="0.25">
      <c r="A878" s="13">
        <v>67662</v>
      </c>
      <c r="B878" s="96">
        <f t="shared" si="140"/>
        <v>31</v>
      </c>
      <c r="C878" s="84">
        <f>122.58</f>
        <v>122.58</v>
      </c>
      <c r="D878" s="84">
        <f>297.941</f>
        <v>297.94099999999997</v>
      </c>
      <c r="E878" s="93">
        <f>89.177</f>
        <v>89.177000000000007</v>
      </c>
      <c r="F878" s="84">
        <f>240.302-40-60-100</f>
        <v>40.301999999999992</v>
      </c>
      <c r="G878" s="87">
        <v>40</v>
      </c>
      <c r="H878" s="84">
        <f>60+100</f>
        <v>160</v>
      </c>
      <c r="I878" s="84">
        <f t="shared" si="136"/>
        <v>0</v>
      </c>
      <c r="J878" s="87">
        <v>100</v>
      </c>
      <c r="K878" s="87">
        <v>300</v>
      </c>
      <c r="L878" s="84">
        <f t="shared" si="141"/>
        <v>1150</v>
      </c>
      <c r="M878" s="95">
        <v>600</v>
      </c>
      <c r="N878" s="84">
        <f>100</f>
        <v>100</v>
      </c>
      <c r="O878" s="87">
        <v>240</v>
      </c>
      <c r="P878" s="87">
        <v>40</v>
      </c>
      <c r="Q878" s="87">
        <f t="shared" si="142"/>
        <v>315</v>
      </c>
      <c r="R878" s="87">
        <f t="shared" si="143"/>
        <v>100</v>
      </c>
      <c r="S878" s="84">
        <f t="shared" si="144"/>
        <v>695</v>
      </c>
      <c r="T878" s="84">
        <f>50</f>
        <v>50</v>
      </c>
      <c r="U878" s="85"/>
      <c r="V878" s="85"/>
      <c r="W878" s="85"/>
      <c r="X878" s="85"/>
      <c r="Y878" s="85"/>
      <c r="Z878" s="85"/>
      <c r="AA878" s="85"/>
      <c r="AB878" s="85"/>
      <c r="AC878" s="85"/>
      <c r="AD878" s="85"/>
    </row>
    <row r="879" spans="1:30" ht="15.75" x14ac:dyDescent="0.25">
      <c r="A879" s="13">
        <v>67692</v>
      </c>
      <c r="B879" s="96">
        <f t="shared" si="140"/>
        <v>30</v>
      </c>
      <c r="C879" s="84">
        <f>141.293</f>
        <v>141.29300000000001</v>
      </c>
      <c r="D879" s="84">
        <f>267.993</f>
        <v>267.99299999999999</v>
      </c>
      <c r="E879" s="93">
        <f>115.016</f>
        <v>115.01600000000001</v>
      </c>
      <c r="F879" s="84">
        <f>314.698-40-25-60-100</f>
        <v>89.697999999999979</v>
      </c>
      <c r="G879" s="87">
        <v>40</v>
      </c>
      <c r="H879" s="84">
        <f t="shared" ref="H879:H885" si="146">25+60+100</f>
        <v>185</v>
      </c>
      <c r="I879" s="84">
        <f t="shared" si="136"/>
        <v>0</v>
      </c>
      <c r="J879" s="87">
        <v>100</v>
      </c>
      <c r="K879" s="87">
        <v>300</v>
      </c>
      <c r="L879" s="84">
        <f t="shared" si="141"/>
        <v>1239</v>
      </c>
      <c r="M879" s="95">
        <v>600</v>
      </c>
      <c r="N879" s="84">
        <f>100</f>
        <v>100</v>
      </c>
      <c r="O879" s="87">
        <v>240</v>
      </c>
      <c r="P879" s="87">
        <v>40</v>
      </c>
      <c r="Q879" s="87">
        <f t="shared" si="142"/>
        <v>315</v>
      </c>
      <c r="R879" s="87">
        <f t="shared" si="143"/>
        <v>100</v>
      </c>
      <c r="S879" s="84">
        <f t="shared" si="144"/>
        <v>695</v>
      </c>
      <c r="T879" s="84">
        <f>50</f>
        <v>50</v>
      </c>
      <c r="U879" s="85"/>
      <c r="V879" s="85"/>
      <c r="W879" s="85"/>
      <c r="X879" s="85"/>
      <c r="Y879" s="85"/>
      <c r="Z879" s="85"/>
      <c r="AA879" s="85"/>
      <c r="AB879" s="85"/>
      <c r="AC879" s="85"/>
      <c r="AD879" s="85"/>
    </row>
    <row r="880" spans="1:30" ht="15.75" x14ac:dyDescent="0.25">
      <c r="A880" s="13">
        <v>67723</v>
      </c>
      <c r="B880" s="96">
        <f t="shared" si="140"/>
        <v>31</v>
      </c>
      <c r="C880" s="84">
        <f>194.205</f>
        <v>194.20500000000001</v>
      </c>
      <c r="D880" s="84">
        <f>267.466</f>
        <v>267.46600000000001</v>
      </c>
      <c r="E880" s="93">
        <f>133.845</f>
        <v>133.845</v>
      </c>
      <c r="F880" s="84">
        <f>278.484-40-25-60-100</f>
        <v>53.48399999999998</v>
      </c>
      <c r="G880" s="87">
        <v>40</v>
      </c>
      <c r="H880" s="84">
        <f t="shared" si="146"/>
        <v>185</v>
      </c>
      <c r="I880" s="84">
        <f t="shared" si="136"/>
        <v>0</v>
      </c>
      <c r="J880" s="87">
        <v>100</v>
      </c>
      <c r="K880" s="87">
        <v>300</v>
      </c>
      <c r="L880" s="84">
        <f t="shared" si="141"/>
        <v>1274</v>
      </c>
      <c r="M880" s="95">
        <v>600</v>
      </c>
      <c r="N880" s="84">
        <f>75</f>
        <v>75</v>
      </c>
      <c r="O880" s="87">
        <v>240</v>
      </c>
      <c r="P880" s="87">
        <v>40</v>
      </c>
      <c r="Q880" s="87">
        <f t="shared" si="142"/>
        <v>315</v>
      </c>
      <c r="R880" s="87">
        <f t="shared" si="143"/>
        <v>100</v>
      </c>
      <c r="S880" s="84">
        <f t="shared" si="144"/>
        <v>695</v>
      </c>
      <c r="T880" s="84">
        <f>50</f>
        <v>50</v>
      </c>
      <c r="U880" s="85"/>
      <c r="V880" s="85"/>
      <c r="W880" s="85"/>
      <c r="X880" s="85"/>
      <c r="Y880" s="85"/>
      <c r="Z880" s="85"/>
      <c r="AA880" s="85"/>
      <c r="AB880" s="85"/>
      <c r="AC880" s="85"/>
      <c r="AD880" s="85"/>
    </row>
    <row r="881" spans="1:30" ht="15.75" x14ac:dyDescent="0.25">
      <c r="A881" s="13">
        <v>67753</v>
      </c>
      <c r="B881" s="96">
        <f t="shared" si="140"/>
        <v>30</v>
      </c>
      <c r="C881" s="84">
        <f>194.205</f>
        <v>194.20500000000001</v>
      </c>
      <c r="D881" s="84">
        <f>267.466</f>
        <v>267.46600000000001</v>
      </c>
      <c r="E881" s="93">
        <f>133.845</f>
        <v>133.845</v>
      </c>
      <c r="F881" s="84">
        <f>278.484-40-25-60-100</f>
        <v>53.48399999999998</v>
      </c>
      <c r="G881" s="87">
        <v>40</v>
      </c>
      <c r="H881" s="84">
        <f t="shared" si="146"/>
        <v>185</v>
      </c>
      <c r="I881" s="84">
        <f t="shared" si="136"/>
        <v>0</v>
      </c>
      <c r="J881" s="87">
        <v>100</v>
      </c>
      <c r="K881" s="87">
        <v>300</v>
      </c>
      <c r="L881" s="84">
        <f t="shared" si="141"/>
        <v>1274</v>
      </c>
      <c r="M881" s="95">
        <v>600</v>
      </c>
      <c r="N881" s="84">
        <f>30</f>
        <v>30</v>
      </c>
      <c r="O881" s="87">
        <v>240</v>
      </c>
      <c r="P881" s="87">
        <v>40</v>
      </c>
      <c r="Q881" s="87">
        <f t="shared" si="142"/>
        <v>315</v>
      </c>
      <c r="R881" s="87">
        <f t="shared" si="143"/>
        <v>100</v>
      </c>
      <c r="S881" s="84">
        <f t="shared" si="144"/>
        <v>695</v>
      </c>
      <c r="T881" s="84">
        <f>50</f>
        <v>50</v>
      </c>
      <c r="U881" s="85"/>
      <c r="V881" s="85"/>
      <c r="W881" s="85"/>
      <c r="X881" s="85"/>
      <c r="Y881" s="85"/>
      <c r="Z881" s="85"/>
      <c r="AA881" s="85"/>
      <c r="AB881" s="85"/>
      <c r="AC881" s="85"/>
      <c r="AD881" s="85"/>
    </row>
    <row r="882" spans="1:30" ht="15.75" x14ac:dyDescent="0.25">
      <c r="A882" s="13">
        <v>67784</v>
      </c>
      <c r="B882" s="96">
        <f t="shared" si="140"/>
        <v>31</v>
      </c>
      <c r="C882" s="84">
        <f>194.205</f>
        <v>194.20500000000001</v>
      </c>
      <c r="D882" s="84">
        <f>267.466</f>
        <v>267.46600000000001</v>
      </c>
      <c r="E882" s="93">
        <f>133.845</f>
        <v>133.845</v>
      </c>
      <c r="F882" s="84">
        <f>278.484-40-25-60-100</f>
        <v>53.48399999999998</v>
      </c>
      <c r="G882" s="87">
        <v>40</v>
      </c>
      <c r="H882" s="84">
        <f t="shared" si="146"/>
        <v>185</v>
      </c>
      <c r="I882" s="84">
        <f t="shared" si="136"/>
        <v>0</v>
      </c>
      <c r="J882" s="87">
        <v>100</v>
      </c>
      <c r="K882" s="87">
        <v>300</v>
      </c>
      <c r="L882" s="84">
        <f t="shared" si="141"/>
        <v>1274</v>
      </c>
      <c r="M882" s="95">
        <v>600</v>
      </c>
      <c r="N882" s="84">
        <f>30</f>
        <v>30</v>
      </c>
      <c r="O882" s="87">
        <v>240</v>
      </c>
      <c r="P882" s="87">
        <v>40</v>
      </c>
      <c r="Q882" s="87">
        <f t="shared" si="142"/>
        <v>315</v>
      </c>
      <c r="R882" s="87">
        <f t="shared" si="143"/>
        <v>100</v>
      </c>
      <c r="S882" s="84">
        <f t="shared" si="144"/>
        <v>695</v>
      </c>
      <c r="T882" s="84">
        <f>0</f>
        <v>0</v>
      </c>
      <c r="U882" s="85"/>
      <c r="V882" s="85"/>
      <c r="W882" s="85"/>
      <c r="X882" s="85"/>
      <c r="Y882" s="85"/>
      <c r="Z882" s="85"/>
      <c r="AA882" s="85"/>
      <c r="AB882" s="85"/>
      <c r="AC882" s="85"/>
      <c r="AD882" s="85"/>
    </row>
    <row r="883" spans="1:30" ht="15.75" x14ac:dyDescent="0.25">
      <c r="A883" s="13">
        <v>67815</v>
      </c>
      <c r="B883" s="96">
        <f t="shared" si="140"/>
        <v>31</v>
      </c>
      <c r="C883" s="84">
        <f>194.205</f>
        <v>194.20500000000001</v>
      </c>
      <c r="D883" s="84">
        <f>267.466</f>
        <v>267.46600000000001</v>
      </c>
      <c r="E883" s="93">
        <f>133.845</f>
        <v>133.845</v>
      </c>
      <c r="F883" s="84">
        <f>278.484-40-25-60-100</f>
        <v>53.48399999999998</v>
      </c>
      <c r="G883" s="87">
        <v>40</v>
      </c>
      <c r="H883" s="84">
        <f t="shared" si="146"/>
        <v>185</v>
      </c>
      <c r="I883" s="84">
        <f t="shared" si="136"/>
        <v>0</v>
      </c>
      <c r="J883" s="87">
        <v>100</v>
      </c>
      <c r="K883" s="87">
        <v>300</v>
      </c>
      <c r="L883" s="84">
        <f t="shared" si="141"/>
        <v>1274</v>
      </c>
      <c r="M883" s="95">
        <v>600</v>
      </c>
      <c r="N883" s="84">
        <f>30</f>
        <v>30</v>
      </c>
      <c r="O883" s="87">
        <v>240</v>
      </c>
      <c r="P883" s="87">
        <v>40</v>
      </c>
      <c r="Q883" s="87">
        <f t="shared" si="142"/>
        <v>315</v>
      </c>
      <c r="R883" s="87">
        <f t="shared" si="143"/>
        <v>100</v>
      </c>
      <c r="S883" s="84">
        <f t="shared" si="144"/>
        <v>695</v>
      </c>
      <c r="T883" s="84">
        <f>0</f>
        <v>0</v>
      </c>
      <c r="U883" s="85"/>
      <c r="V883" s="85"/>
      <c r="W883" s="85"/>
      <c r="X883" s="85"/>
      <c r="Y883" s="85"/>
      <c r="Z883" s="85"/>
      <c r="AA883" s="85"/>
      <c r="AB883" s="85"/>
      <c r="AC883" s="85"/>
      <c r="AD883" s="85"/>
    </row>
    <row r="884" spans="1:30" ht="15.75" x14ac:dyDescent="0.25">
      <c r="A884" s="13">
        <v>67845</v>
      </c>
      <c r="B884" s="96">
        <f t="shared" si="140"/>
        <v>30</v>
      </c>
      <c r="C884" s="84">
        <f>194.205</f>
        <v>194.20500000000001</v>
      </c>
      <c r="D884" s="84">
        <f>267.466</f>
        <v>267.46600000000001</v>
      </c>
      <c r="E884" s="93">
        <f>133.845</f>
        <v>133.845</v>
      </c>
      <c r="F884" s="84">
        <f>278.484-40-25-60-100</f>
        <v>53.48399999999998</v>
      </c>
      <c r="G884" s="87">
        <v>40</v>
      </c>
      <c r="H884" s="84">
        <f t="shared" si="146"/>
        <v>185</v>
      </c>
      <c r="I884" s="84">
        <f t="shared" ref="I884:I947" si="147">400-J884-K884</f>
        <v>0</v>
      </c>
      <c r="J884" s="87">
        <v>100</v>
      </c>
      <c r="K884" s="87">
        <v>300</v>
      </c>
      <c r="L884" s="84">
        <f t="shared" si="141"/>
        <v>1274</v>
      </c>
      <c r="M884" s="95">
        <v>600</v>
      </c>
      <c r="N884" s="84">
        <f>30</f>
        <v>30</v>
      </c>
      <c r="O884" s="87">
        <v>240</v>
      </c>
      <c r="P884" s="87">
        <v>40</v>
      </c>
      <c r="Q884" s="87">
        <f t="shared" si="142"/>
        <v>315</v>
      </c>
      <c r="R884" s="87">
        <f t="shared" si="143"/>
        <v>100</v>
      </c>
      <c r="S884" s="84">
        <f t="shared" si="144"/>
        <v>695</v>
      </c>
      <c r="T884" s="84">
        <f>0</f>
        <v>0</v>
      </c>
      <c r="U884" s="85"/>
      <c r="V884" s="85"/>
      <c r="W884" s="85"/>
      <c r="X884" s="85"/>
      <c r="Y884" s="85"/>
      <c r="Z884" s="85"/>
      <c r="AA884" s="85"/>
      <c r="AB884" s="85"/>
      <c r="AC884" s="85"/>
      <c r="AD884" s="85"/>
    </row>
    <row r="885" spans="1:30" ht="15.75" x14ac:dyDescent="0.25">
      <c r="A885" s="13">
        <v>67876</v>
      </c>
      <c r="B885" s="96">
        <f t="shared" si="140"/>
        <v>31</v>
      </c>
      <c r="C885" s="84">
        <f>131.881</f>
        <v>131.881</v>
      </c>
      <c r="D885" s="84">
        <f>277.167</f>
        <v>277.16699999999997</v>
      </c>
      <c r="E885" s="93">
        <f>79.08</f>
        <v>79.08</v>
      </c>
      <c r="F885" s="84">
        <f>350.872-40-25-60-100</f>
        <v>125.87200000000001</v>
      </c>
      <c r="G885" s="87">
        <v>40</v>
      </c>
      <c r="H885" s="84">
        <f t="shared" si="146"/>
        <v>185</v>
      </c>
      <c r="I885" s="84">
        <f t="shared" si="147"/>
        <v>0</v>
      </c>
      <c r="J885" s="87">
        <v>100</v>
      </c>
      <c r="K885" s="87">
        <v>300</v>
      </c>
      <c r="L885" s="84">
        <f t="shared" si="141"/>
        <v>1239</v>
      </c>
      <c r="M885" s="95">
        <v>600</v>
      </c>
      <c r="N885" s="84">
        <f>75</f>
        <v>75</v>
      </c>
      <c r="O885" s="87">
        <v>240</v>
      </c>
      <c r="P885" s="87">
        <v>40</v>
      </c>
      <c r="Q885" s="87">
        <f t="shared" si="142"/>
        <v>315</v>
      </c>
      <c r="R885" s="87">
        <f t="shared" si="143"/>
        <v>100</v>
      </c>
      <c r="S885" s="84">
        <f t="shared" si="144"/>
        <v>695</v>
      </c>
      <c r="T885" s="84">
        <f>0</f>
        <v>0</v>
      </c>
      <c r="U885" s="85"/>
      <c r="V885" s="85"/>
      <c r="W885" s="85"/>
      <c r="X885" s="85"/>
      <c r="Y885" s="85"/>
      <c r="Z885" s="85"/>
      <c r="AA885" s="85"/>
      <c r="AB885" s="85"/>
      <c r="AC885" s="85"/>
      <c r="AD885" s="85"/>
    </row>
    <row r="886" spans="1:30" ht="15.75" x14ac:dyDescent="0.25">
      <c r="A886" s="13">
        <v>67906</v>
      </c>
      <c r="B886" s="96">
        <f t="shared" si="140"/>
        <v>30</v>
      </c>
      <c r="C886" s="84">
        <f>122.58</f>
        <v>122.58</v>
      </c>
      <c r="D886" s="84">
        <f>297.941</f>
        <v>297.94099999999997</v>
      </c>
      <c r="E886" s="93">
        <f>89.177</f>
        <v>89.177000000000007</v>
      </c>
      <c r="F886" s="84">
        <f>240.302-40-60-100</f>
        <v>40.301999999999992</v>
      </c>
      <c r="G886" s="87">
        <v>40</v>
      </c>
      <c r="H886" s="84">
        <f>60+100</f>
        <v>160</v>
      </c>
      <c r="I886" s="84">
        <f t="shared" si="147"/>
        <v>0</v>
      </c>
      <c r="J886" s="87">
        <v>100</v>
      </c>
      <c r="K886" s="87">
        <v>300</v>
      </c>
      <c r="L886" s="84">
        <f t="shared" si="141"/>
        <v>1150</v>
      </c>
      <c r="M886" s="95">
        <v>600</v>
      </c>
      <c r="N886" s="84">
        <f>100</f>
        <v>100</v>
      </c>
      <c r="O886" s="87">
        <v>240</v>
      </c>
      <c r="P886" s="87">
        <v>40</v>
      </c>
      <c r="Q886" s="87">
        <f t="shared" si="142"/>
        <v>315</v>
      </c>
      <c r="R886" s="87">
        <f t="shared" si="143"/>
        <v>100</v>
      </c>
      <c r="S886" s="84">
        <f t="shared" si="144"/>
        <v>695</v>
      </c>
      <c r="T886" s="84">
        <f>50</f>
        <v>50</v>
      </c>
      <c r="U886" s="85"/>
      <c r="V886" s="85"/>
      <c r="W886" s="85"/>
      <c r="X886" s="85"/>
      <c r="Y886" s="85"/>
      <c r="Z886" s="85"/>
      <c r="AA886" s="85"/>
      <c r="AB886" s="85"/>
      <c r="AC886" s="85"/>
      <c r="AD886" s="85"/>
    </row>
    <row r="887" spans="1:30" ht="15.75" x14ac:dyDescent="0.25">
      <c r="A887" s="13">
        <v>67937</v>
      </c>
      <c r="B887" s="96">
        <f t="shared" si="140"/>
        <v>31</v>
      </c>
      <c r="C887" s="84">
        <f>122.58</f>
        <v>122.58</v>
      </c>
      <c r="D887" s="84">
        <f>297.941</f>
        <v>297.94099999999997</v>
      </c>
      <c r="E887" s="93">
        <f>89.177</f>
        <v>89.177000000000007</v>
      </c>
      <c r="F887" s="84">
        <f>240.302-40-60-100</f>
        <v>40.301999999999992</v>
      </c>
      <c r="G887" s="87">
        <v>40</v>
      </c>
      <c r="H887" s="84">
        <f>60+100</f>
        <v>160</v>
      </c>
      <c r="I887" s="84">
        <f t="shared" si="147"/>
        <v>0</v>
      </c>
      <c r="J887" s="87">
        <v>100</v>
      </c>
      <c r="K887" s="87">
        <v>300</v>
      </c>
      <c r="L887" s="84">
        <f t="shared" si="141"/>
        <v>1150</v>
      </c>
      <c r="M887" s="95">
        <v>600</v>
      </c>
      <c r="N887" s="84">
        <f>100</f>
        <v>100</v>
      </c>
      <c r="O887" s="87">
        <v>240</v>
      </c>
      <c r="P887" s="87">
        <v>40</v>
      </c>
      <c r="Q887" s="87">
        <f t="shared" si="142"/>
        <v>315</v>
      </c>
      <c r="R887" s="87">
        <f t="shared" si="143"/>
        <v>100</v>
      </c>
      <c r="S887" s="84">
        <f t="shared" si="144"/>
        <v>695</v>
      </c>
      <c r="T887" s="84">
        <f>50</f>
        <v>50</v>
      </c>
      <c r="U887" s="85"/>
      <c r="V887" s="85"/>
      <c r="W887" s="85"/>
      <c r="X887" s="85"/>
      <c r="Y887" s="85"/>
      <c r="Z887" s="85"/>
      <c r="AA887" s="85"/>
      <c r="AB887" s="85"/>
      <c r="AC887" s="85"/>
      <c r="AD887" s="85"/>
    </row>
    <row r="888" spans="1:30" ht="15.75" x14ac:dyDescent="0.25">
      <c r="A888" s="13">
        <v>67968</v>
      </c>
      <c r="B888" s="96">
        <f t="shared" si="140"/>
        <v>31</v>
      </c>
      <c r="C888" s="84">
        <f>122.58</f>
        <v>122.58</v>
      </c>
      <c r="D888" s="84">
        <f>297.941</f>
        <v>297.94099999999997</v>
      </c>
      <c r="E888" s="93">
        <f>89.177</f>
        <v>89.177000000000007</v>
      </c>
      <c r="F888" s="84">
        <f>240.302-40-60-100</f>
        <v>40.301999999999992</v>
      </c>
      <c r="G888" s="87">
        <v>40</v>
      </c>
      <c r="H888" s="84">
        <f>60+100</f>
        <v>160</v>
      </c>
      <c r="I888" s="84">
        <f t="shared" si="147"/>
        <v>0</v>
      </c>
      <c r="J888" s="87">
        <v>100</v>
      </c>
      <c r="K888" s="87">
        <v>300</v>
      </c>
      <c r="L888" s="84">
        <f t="shared" si="141"/>
        <v>1150</v>
      </c>
      <c r="M888" s="95">
        <v>600</v>
      </c>
      <c r="N888" s="84">
        <f>100</f>
        <v>100</v>
      </c>
      <c r="O888" s="87">
        <v>240</v>
      </c>
      <c r="P888" s="87">
        <v>40</v>
      </c>
      <c r="Q888" s="87">
        <f t="shared" si="142"/>
        <v>315</v>
      </c>
      <c r="R888" s="87">
        <f t="shared" si="143"/>
        <v>100</v>
      </c>
      <c r="S888" s="84">
        <f t="shared" si="144"/>
        <v>695</v>
      </c>
      <c r="T888" s="84">
        <f>50</f>
        <v>50</v>
      </c>
      <c r="U888" s="85"/>
      <c r="V888" s="85"/>
      <c r="W888" s="85"/>
      <c r="X888" s="85"/>
      <c r="Y888" s="85"/>
      <c r="Z888" s="85"/>
      <c r="AA888" s="85"/>
      <c r="AB888" s="85"/>
      <c r="AC888" s="85"/>
      <c r="AD888" s="85"/>
    </row>
    <row r="889" spans="1:30" ht="15.75" x14ac:dyDescent="0.25">
      <c r="A889" s="13">
        <v>67996</v>
      </c>
      <c r="B889" s="96">
        <f t="shared" si="140"/>
        <v>28</v>
      </c>
      <c r="C889" s="84">
        <f>122.58</f>
        <v>122.58</v>
      </c>
      <c r="D889" s="84">
        <f>297.941</f>
        <v>297.94099999999997</v>
      </c>
      <c r="E889" s="93">
        <f>89.177</f>
        <v>89.177000000000007</v>
      </c>
      <c r="F889" s="84">
        <f>240.302-40-60-100</f>
        <v>40.301999999999992</v>
      </c>
      <c r="G889" s="87">
        <v>40</v>
      </c>
      <c r="H889" s="84">
        <f>60+100</f>
        <v>160</v>
      </c>
      <c r="I889" s="84">
        <f t="shared" si="147"/>
        <v>0</v>
      </c>
      <c r="J889" s="87">
        <v>100</v>
      </c>
      <c r="K889" s="87">
        <v>300</v>
      </c>
      <c r="L889" s="84">
        <f t="shared" si="141"/>
        <v>1150</v>
      </c>
      <c r="M889" s="95">
        <v>600</v>
      </c>
      <c r="N889" s="84">
        <f>100</f>
        <v>100</v>
      </c>
      <c r="O889" s="87">
        <v>240</v>
      </c>
      <c r="P889" s="87">
        <v>40</v>
      </c>
      <c r="Q889" s="87">
        <f t="shared" si="142"/>
        <v>315</v>
      </c>
      <c r="R889" s="87">
        <f t="shared" si="143"/>
        <v>100</v>
      </c>
      <c r="S889" s="84">
        <f t="shared" si="144"/>
        <v>695</v>
      </c>
      <c r="T889" s="84">
        <f>50</f>
        <v>50</v>
      </c>
      <c r="U889" s="85"/>
      <c r="V889" s="85"/>
      <c r="W889" s="85"/>
      <c r="X889" s="85"/>
      <c r="Y889" s="85"/>
      <c r="Z889" s="85"/>
      <c r="AA889" s="85"/>
      <c r="AB889" s="85"/>
      <c r="AC889" s="85"/>
      <c r="AD889" s="85"/>
    </row>
    <row r="890" spans="1:30" ht="15.75" x14ac:dyDescent="0.25">
      <c r="A890" s="13">
        <v>68027</v>
      </c>
      <c r="B890" s="96">
        <f t="shared" si="140"/>
        <v>31</v>
      </c>
      <c r="C890" s="84">
        <f>122.58</f>
        <v>122.58</v>
      </c>
      <c r="D890" s="84">
        <f>297.941</f>
        <v>297.94099999999997</v>
      </c>
      <c r="E890" s="93">
        <f>89.177</f>
        <v>89.177000000000007</v>
      </c>
      <c r="F890" s="84">
        <f>240.302-40-60-100</f>
        <v>40.301999999999992</v>
      </c>
      <c r="G890" s="87">
        <v>40</v>
      </c>
      <c r="H890" s="84">
        <f>60+100</f>
        <v>160</v>
      </c>
      <c r="I890" s="84">
        <f t="shared" si="147"/>
        <v>0</v>
      </c>
      <c r="J890" s="87">
        <v>100</v>
      </c>
      <c r="K890" s="87">
        <v>300</v>
      </c>
      <c r="L890" s="84">
        <f t="shared" si="141"/>
        <v>1150</v>
      </c>
      <c r="M890" s="95">
        <v>600</v>
      </c>
      <c r="N890" s="84">
        <f>100</f>
        <v>100</v>
      </c>
      <c r="O890" s="87">
        <v>240</v>
      </c>
      <c r="P890" s="87">
        <v>40</v>
      </c>
      <c r="Q890" s="87">
        <f t="shared" si="142"/>
        <v>315</v>
      </c>
      <c r="R890" s="87">
        <f t="shared" si="143"/>
        <v>100</v>
      </c>
      <c r="S890" s="84">
        <f t="shared" si="144"/>
        <v>695</v>
      </c>
      <c r="T890" s="84">
        <f>50</f>
        <v>50</v>
      </c>
      <c r="U890" s="85"/>
      <c r="V890" s="85"/>
      <c r="W890" s="85"/>
      <c r="X890" s="85"/>
      <c r="Y890" s="85"/>
      <c r="Z890" s="85"/>
      <c r="AA890" s="85"/>
      <c r="AB890" s="85"/>
      <c r="AC890" s="85"/>
      <c r="AD890" s="85"/>
    </row>
    <row r="891" spans="1:30" ht="15.75" x14ac:dyDescent="0.25">
      <c r="A891" s="13">
        <v>68057</v>
      </c>
      <c r="B891" s="96">
        <f t="shared" si="140"/>
        <v>30</v>
      </c>
      <c r="C891" s="84">
        <f>141.293</f>
        <v>141.29300000000001</v>
      </c>
      <c r="D891" s="84">
        <f>267.993</f>
        <v>267.99299999999999</v>
      </c>
      <c r="E891" s="93">
        <f>115.016</f>
        <v>115.01600000000001</v>
      </c>
      <c r="F891" s="84">
        <f>314.698-40-25-60-100</f>
        <v>89.697999999999979</v>
      </c>
      <c r="G891" s="87">
        <v>40</v>
      </c>
      <c r="H891" s="84">
        <f t="shared" ref="H891:H897" si="148">25+60+100</f>
        <v>185</v>
      </c>
      <c r="I891" s="84">
        <f t="shared" si="147"/>
        <v>0</v>
      </c>
      <c r="J891" s="87">
        <v>100</v>
      </c>
      <c r="K891" s="87">
        <v>300</v>
      </c>
      <c r="L891" s="84">
        <f t="shared" si="141"/>
        <v>1239</v>
      </c>
      <c r="M891" s="95">
        <v>600</v>
      </c>
      <c r="N891" s="84">
        <f>100</f>
        <v>100</v>
      </c>
      <c r="O891" s="87">
        <v>240</v>
      </c>
      <c r="P891" s="87">
        <v>40</v>
      </c>
      <c r="Q891" s="87">
        <f t="shared" si="142"/>
        <v>315</v>
      </c>
      <c r="R891" s="87">
        <f t="shared" si="143"/>
        <v>100</v>
      </c>
      <c r="S891" s="84">
        <f t="shared" si="144"/>
        <v>695</v>
      </c>
      <c r="T891" s="84">
        <f>50</f>
        <v>50</v>
      </c>
      <c r="U891" s="85"/>
      <c r="V891" s="85"/>
      <c r="W891" s="85"/>
      <c r="X891" s="85"/>
      <c r="Y891" s="85"/>
      <c r="Z891" s="85"/>
      <c r="AA891" s="85"/>
      <c r="AB891" s="85"/>
      <c r="AC891" s="85"/>
      <c r="AD891" s="85"/>
    </row>
    <row r="892" spans="1:30" ht="15.75" x14ac:dyDescent="0.25">
      <c r="A892" s="13">
        <v>68088</v>
      </c>
      <c r="B892" s="96">
        <f t="shared" si="140"/>
        <v>31</v>
      </c>
      <c r="C892" s="84">
        <f>194.205</f>
        <v>194.20500000000001</v>
      </c>
      <c r="D892" s="84">
        <f>267.466</f>
        <v>267.46600000000001</v>
      </c>
      <c r="E892" s="93">
        <f>133.845</f>
        <v>133.845</v>
      </c>
      <c r="F892" s="84">
        <f>278.484-40-25-60-100</f>
        <v>53.48399999999998</v>
      </c>
      <c r="G892" s="87">
        <v>40</v>
      </c>
      <c r="H892" s="84">
        <f t="shared" si="148"/>
        <v>185</v>
      </c>
      <c r="I892" s="84">
        <f t="shared" si="147"/>
        <v>0</v>
      </c>
      <c r="J892" s="87">
        <v>100</v>
      </c>
      <c r="K892" s="87">
        <v>300</v>
      </c>
      <c r="L892" s="84">
        <f t="shared" si="141"/>
        <v>1274</v>
      </c>
      <c r="M892" s="95">
        <v>600</v>
      </c>
      <c r="N892" s="84">
        <f>75</f>
        <v>75</v>
      </c>
      <c r="O892" s="87">
        <v>240</v>
      </c>
      <c r="P892" s="87">
        <v>40</v>
      </c>
      <c r="Q892" s="87">
        <f t="shared" si="142"/>
        <v>315</v>
      </c>
      <c r="R892" s="87">
        <f t="shared" si="143"/>
        <v>100</v>
      </c>
      <c r="S892" s="84">
        <f t="shared" si="144"/>
        <v>695</v>
      </c>
      <c r="T892" s="84">
        <f>50</f>
        <v>50</v>
      </c>
      <c r="U892" s="85"/>
      <c r="V892" s="85"/>
      <c r="W892" s="85"/>
      <c r="X892" s="85"/>
      <c r="Y892" s="85"/>
      <c r="Z892" s="85"/>
      <c r="AA892" s="85"/>
      <c r="AB892" s="85"/>
      <c r="AC892" s="85"/>
      <c r="AD892" s="85"/>
    </row>
    <row r="893" spans="1:30" ht="15.75" x14ac:dyDescent="0.25">
      <c r="A893" s="13">
        <v>68118</v>
      </c>
      <c r="B893" s="96">
        <f t="shared" si="140"/>
        <v>30</v>
      </c>
      <c r="C893" s="84">
        <f>194.205</f>
        <v>194.20500000000001</v>
      </c>
      <c r="D893" s="84">
        <f>267.466</f>
        <v>267.46600000000001</v>
      </c>
      <c r="E893" s="93">
        <f>133.845</f>
        <v>133.845</v>
      </c>
      <c r="F893" s="84">
        <f>278.484-40-25-60-100</f>
        <v>53.48399999999998</v>
      </c>
      <c r="G893" s="87">
        <v>40</v>
      </c>
      <c r="H893" s="84">
        <f t="shared" si="148"/>
        <v>185</v>
      </c>
      <c r="I893" s="84">
        <f t="shared" si="147"/>
        <v>0</v>
      </c>
      <c r="J893" s="87">
        <v>100</v>
      </c>
      <c r="K893" s="87">
        <v>300</v>
      </c>
      <c r="L893" s="84">
        <f t="shared" si="141"/>
        <v>1274</v>
      </c>
      <c r="M893" s="95">
        <v>600</v>
      </c>
      <c r="N893" s="84">
        <f>30</f>
        <v>30</v>
      </c>
      <c r="O893" s="87">
        <v>240</v>
      </c>
      <c r="P893" s="87">
        <v>40</v>
      </c>
      <c r="Q893" s="87">
        <f t="shared" si="142"/>
        <v>315</v>
      </c>
      <c r="R893" s="87">
        <f t="shared" si="143"/>
        <v>100</v>
      </c>
      <c r="S893" s="84">
        <f t="shared" si="144"/>
        <v>695</v>
      </c>
      <c r="T893" s="84">
        <f>50</f>
        <v>50</v>
      </c>
      <c r="U893" s="85"/>
      <c r="V893" s="85"/>
      <c r="W893" s="85"/>
      <c r="X893" s="85"/>
      <c r="Y893" s="85"/>
      <c r="Z893" s="85"/>
      <c r="AA893" s="85"/>
      <c r="AB893" s="85"/>
      <c r="AC893" s="85"/>
      <c r="AD893" s="85"/>
    </row>
    <row r="894" spans="1:30" ht="15.75" x14ac:dyDescent="0.25">
      <c r="A894" s="13">
        <v>68149</v>
      </c>
      <c r="B894" s="96">
        <f t="shared" si="140"/>
        <v>31</v>
      </c>
      <c r="C894" s="84">
        <f>194.205</f>
        <v>194.20500000000001</v>
      </c>
      <c r="D894" s="84">
        <f>267.466</f>
        <v>267.46600000000001</v>
      </c>
      <c r="E894" s="93">
        <f>133.845</f>
        <v>133.845</v>
      </c>
      <c r="F894" s="84">
        <f>278.484-40-25-60-100</f>
        <v>53.48399999999998</v>
      </c>
      <c r="G894" s="87">
        <v>40</v>
      </c>
      <c r="H894" s="84">
        <f t="shared" si="148"/>
        <v>185</v>
      </c>
      <c r="I894" s="84">
        <f t="shared" si="147"/>
        <v>0</v>
      </c>
      <c r="J894" s="87">
        <v>100</v>
      </c>
      <c r="K894" s="87">
        <v>300</v>
      </c>
      <c r="L894" s="84">
        <f t="shared" si="141"/>
        <v>1274</v>
      </c>
      <c r="M894" s="95">
        <v>600</v>
      </c>
      <c r="N894" s="84">
        <f>30</f>
        <v>30</v>
      </c>
      <c r="O894" s="87">
        <v>240</v>
      </c>
      <c r="P894" s="87">
        <v>40</v>
      </c>
      <c r="Q894" s="87">
        <f t="shared" si="142"/>
        <v>315</v>
      </c>
      <c r="R894" s="87">
        <f t="shared" si="143"/>
        <v>100</v>
      </c>
      <c r="S894" s="84">
        <f t="shared" si="144"/>
        <v>695</v>
      </c>
      <c r="T894" s="84">
        <f>0</f>
        <v>0</v>
      </c>
      <c r="U894" s="85"/>
      <c r="V894" s="85"/>
      <c r="W894" s="85"/>
      <c r="X894" s="85"/>
      <c r="Y894" s="85"/>
      <c r="Z894" s="85"/>
      <c r="AA894" s="85"/>
      <c r="AB894" s="85"/>
      <c r="AC894" s="85"/>
      <c r="AD894" s="85"/>
    </row>
    <row r="895" spans="1:30" ht="15.75" x14ac:dyDescent="0.25">
      <c r="A895" s="13">
        <v>68180</v>
      </c>
      <c r="B895" s="96">
        <f t="shared" si="140"/>
        <v>31</v>
      </c>
      <c r="C895" s="84">
        <f>194.205</f>
        <v>194.20500000000001</v>
      </c>
      <c r="D895" s="84">
        <f>267.466</f>
        <v>267.46600000000001</v>
      </c>
      <c r="E895" s="93">
        <f>133.845</f>
        <v>133.845</v>
      </c>
      <c r="F895" s="84">
        <f>278.484-40-25-60-100</f>
        <v>53.48399999999998</v>
      </c>
      <c r="G895" s="87">
        <v>40</v>
      </c>
      <c r="H895" s="84">
        <f t="shared" si="148"/>
        <v>185</v>
      </c>
      <c r="I895" s="84">
        <f t="shared" si="147"/>
        <v>0</v>
      </c>
      <c r="J895" s="87">
        <v>100</v>
      </c>
      <c r="K895" s="87">
        <v>300</v>
      </c>
      <c r="L895" s="84">
        <f t="shared" si="141"/>
        <v>1274</v>
      </c>
      <c r="M895" s="95">
        <v>600</v>
      </c>
      <c r="N895" s="84">
        <f>30</f>
        <v>30</v>
      </c>
      <c r="O895" s="87">
        <v>240</v>
      </c>
      <c r="P895" s="87">
        <v>40</v>
      </c>
      <c r="Q895" s="87">
        <f t="shared" si="142"/>
        <v>315</v>
      </c>
      <c r="R895" s="87">
        <f t="shared" si="143"/>
        <v>100</v>
      </c>
      <c r="S895" s="84">
        <f t="shared" si="144"/>
        <v>695</v>
      </c>
      <c r="T895" s="84">
        <f>0</f>
        <v>0</v>
      </c>
      <c r="U895" s="85"/>
      <c r="V895" s="85"/>
      <c r="W895" s="85"/>
      <c r="X895" s="85"/>
      <c r="Y895" s="85"/>
      <c r="Z895" s="85"/>
      <c r="AA895" s="85"/>
      <c r="AB895" s="85"/>
      <c r="AC895" s="85"/>
      <c r="AD895" s="85"/>
    </row>
    <row r="896" spans="1:30" ht="15.75" x14ac:dyDescent="0.25">
      <c r="A896" s="13">
        <v>68210</v>
      </c>
      <c r="B896" s="96">
        <f t="shared" si="140"/>
        <v>30</v>
      </c>
      <c r="C896" s="84">
        <f>194.205</f>
        <v>194.20500000000001</v>
      </c>
      <c r="D896" s="84">
        <f>267.466</f>
        <v>267.46600000000001</v>
      </c>
      <c r="E896" s="93">
        <f>133.845</f>
        <v>133.845</v>
      </c>
      <c r="F896" s="84">
        <f>278.484-40-25-60-100</f>
        <v>53.48399999999998</v>
      </c>
      <c r="G896" s="87">
        <v>40</v>
      </c>
      <c r="H896" s="84">
        <f t="shared" si="148"/>
        <v>185</v>
      </c>
      <c r="I896" s="84">
        <f t="shared" si="147"/>
        <v>0</v>
      </c>
      <c r="J896" s="87">
        <v>100</v>
      </c>
      <c r="K896" s="87">
        <v>300</v>
      </c>
      <c r="L896" s="84">
        <f t="shared" si="141"/>
        <v>1274</v>
      </c>
      <c r="M896" s="95">
        <v>600</v>
      </c>
      <c r="N896" s="84">
        <f>30</f>
        <v>30</v>
      </c>
      <c r="O896" s="87">
        <v>240</v>
      </c>
      <c r="P896" s="87">
        <v>40</v>
      </c>
      <c r="Q896" s="87">
        <f t="shared" si="142"/>
        <v>315</v>
      </c>
      <c r="R896" s="87">
        <f t="shared" si="143"/>
        <v>100</v>
      </c>
      <c r="S896" s="84">
        <f t="shared" si="144"/>
        <v>695</v>
      </c>
      <c r="T896" s="84">
        <f>0</f>
        <v>0</v>
      </c>
      <c r="U896" s="85"/>
      <c r="V896" s="85"/>
      <c r="W896" s="85"/>
      <c r="X896" s="85"/>
      <c r="Y896" s="85"/>
      <c r="Z896" s="85"/>
      <c r="AA896" s="85"/>
      <c r="AB896" s="85"/>
      <c r="AC896" s="85"/>
      <c r="AD896" s="85"/>
    </row>
    <row r="897" spans="1:30" ht="15.75" x14ac:dyDescent="0.25">
      <c r="A897" s="13">
        <v>68241</v>
      </c>
      <c r="B897" s="96">
        <f t="shared" si="140"/>
        <v>31</v>
      </c>
      <c r="C897" s="84">
        <f>131.881</f>
        <v>131.881</v>
      </c>
      <c r="D897" s="84">
        <f>277.167</f>
        <v>277.16699999999997</v>
      </c>
      <c r="E897" s="93">
        <f>79.08</f>
        <v>79.08</v>
      </c>
      <c r="F897" s="84">
        <f>350.872-40-25-60-100</f>
        <v>125.87200000000001</v>
      </c>
      <c r="G897" s="87">
        <v>40</v>
      </c>
      <c r="H897" s="84">
        <f t="shared" si="148"/>
        <v>185</v>
      </c>
      <c r="I897" s="84">
        <f t="shared" si="147"/>
        <v>0</v>
      </c>
      <c r="J897" s="87">
        <v>100</v>
      </c>
      <c r="K897" s="87">
        <v>300</v>
      </c>
      <c r="L897" s="84">
        <f t="shared" si="141"/>
        <v>1239</v>
      </c>
      <c r="M897" s="95">
        <v>600</v>
      </c>
      <c r="N897" s="84">
        <f>75</f>
        <v>75</v>
      </c>
      <c r="O897" s="87">
        <v>240</v>
      </c>
      <c r="P897" s="87">
        <v>40</v>
      </c>
      <c r="Q897" s="87">
        <f t="shared" si="142"/>
        <v>315</v>
      </c>
      <c r="R897" s="87">
        <f t="shared" si="143"/>
        <v>100</v>
      </c>
      <c r="S897" s="84">
        <f t="shared" si="144"/>
        <v>695</v>
      </c>
      <c r="T897" s="84">
        <f>0</f>
        <v>0</v>
      </c>
      <c r="U897" s="85"/>
      <c r="V897" s="85"/>
      <c r="W897" s="85"/>
      <c r="X897" s="85"/>
      <c r="Y897" s="85"/>
      <c r="Z897" s="85"/>
      <c r="AA897" s="85"/>
      <c r="AB897" s="85"/>
      <c r="AC897" s="85"/>
      <c r="AD897" s="85"/>
    </row>
    <row r="898" spans="1:30" ht="15.75" x14ac:dyDescent="0.25">
      <c r="A898" s="13">
        <v>68271</v>
      </c>
      <c r="B898" s="96">
        <f t="shared" si="140"/>
        <v>30</v>
      </c>
      <c r="C898" s="84">
        <f>122.58</f>
        <v>122.58</v>
      </c>
      <c r="D898" s="84">
        <f>297.941</f>
        <v>297.94099999999997</v>
      </c>
      <c r="E898" s="93">
        <f>89.177</f>
        <v>89.177000000000007</v>
      </c>
      <c r="F898" s="84">
        <f>240.302-40-60-100</f>
        <v>40.301999999999992</v>
      </c>
      <c r="G898" s="87">
        <v>40</v>
      </c>
      <c r="H898" s="84">
        <f>60+100</f>
        <v>160</v>
      </c>
      <c r="I898" s="84">
        <f t="shared" si="147"/>
        <v>0</v>
      </c>
      <c r="J898" s="87">
        <v>100</v>
      </c>
      <c r="K898" s="87">
        <v>300</v>
      </c>
      <c r="L898" s="84">
        <f t="shared" si="141"/>
        <v>1150</v>
      </c>
      <c r="M898" s="95">
        <v>600</v>
      </c>
      <c r="N898" s="84">
        <f>100</f>
        <v>100</v>
      </c>
      <c r="O898" s="87">
        <v>240</v>
      </c>
      <c r="P898" s="87">
        <v>40</v>
      </c>
      <c r="Q898" s="87">
        <f t="shared" si="142"/>
        <v>315</v>
      </c>
      <c r="R898" s="87">
        <f t="shared" si="143"/>
        <v>100</v>
      </c>
      <c r="S898" s="84">
        <f t="shared" si="144"/>
        <v>695</v>
      </c>
      <c r="T898" s="84">
        <f>50</f>
        <v>50</v>
      </c>
      <c r="U898" s="85"/>
      <c r="V898" s="85"/>
      <c r="W898" s="85"/>
      <c r="X898" s="85"/>
      <c r="Y898" s="85"/>
      <c r="Z898" s="85"/>
      <c r="AA898" s="85"/>
      <c r="AB898" s="85"/>
      <c r="AC898" s="85"/>
      <c r="AD898" s="85"/>
    </row>
    <row r="899" spans="1:30" ht="15.75" x14ac:dyDescent="0.25">
      <c r="A899" s="13">
        <v>68302</v>
      </c>
      <c r="B899" s="96">
        <f t="shared" si="140"/>
        <v>31</v>
      </c>
      <c r="C899" s="84">
        <f>122.58</f>
        <v>122.58</v>
      </c>
      <c r="D899" s="84">
        <f>297.941</f>
        <v>297.94099999999997</v>
      </c>
      <c r="E899" s="93">
        <f>89.177</f>
        <v>89.177000000000007</v>
      </c>
      <c r="F899" s="84">
        <f>240.302-40-60-100</f>
        <v>40.301999999999992</v>
      </c>
      <c r="G899" s="87">
        <v>40</v>
      </c>
      <c r="H899" s="84">
        <f>60+100</f>
        <v>160</v>
      </c>
      <c r="I899" s="84">
        <f t="shared" si="147"/>
        <v>0</v>
      </c>
      <c r="J899" s="87">
        <v>100</v>
      </c>
      <c r="K899" s="87">
        <v>300</v>
      </c>
      <c r="L899" s="84">
        <f t="shared" si="141"/>
        <v>1150</v>
      </c>
      <c r="M899" s="95">
        <v>600</v>
      </c>
      <c r="N899" s="84">
        <f>100</f>
        <v>100</v>
      </c>
      <c r="O899" s="87">
        <v>240</v>
      </c>
      <c r="P899" s="87">
        <v>40</v>
      </c>
      <c r="Q899" s="87">
        <f t="shared" si="142"/>
        <v>315</v>
      </c>
      <c r="R899" s="87">
        <f t="shared" si="143"/>
        <v>100</v>
      </c>
      <c r="S899" s="84">
        <f t="shared" si="144"/>
        <v>695</v>
      </c>
      <c r="T899" s="84">
        <f>50</f>
        <v>50</v>
      </c>
      <c r="U899" s="85"/>
      <c r="V899" s="85"/>
      <c r="W899" s="85"/>
      <c r="X899" s="85"/>
      <c r="Y899" s="85"/>
      <c r="Z899" s="85"/>
      <c r="AA899" s="85"/>
      <c r="AB899" s="85"/>
      <c r="AC899" s="85"/>
      <c r="AD899" s="85"/>
    </row>
    <row r="900" spans="1:30" ht="15.75" x14ac:dyDescent="0.25">
      <c r="A900" s="13">
        <v>68333</v>
      </c>
      <c r="B900" s="96">
        <f t="shared" si="140"/>
        <v>31</v>
      </c>
      <c r="C900" s="84">
        <f>122.58</f>
        <v>122.58</v>
      </c>
      <c r="D900" s="84">
        <f>297.941</f>
        <v>297.94099999999997</v>
      </c>
      <c r="E900" s="93">
        <f>89.177</f>
        <v>89.177000000000007</v>
      </c>
      <c r="F900" s="84">
        <f>240.302-40-60-100</f>
        <v>40.301999999999992</v>
      </c>
      <c r="G900" s="87">
        <v>40</v>
      </c>
      <c r="H900" s="84">
        <f>60+100</f>
        <v>160</v>
      </c>
      <c r="I900" s="84">
        <f t="shared" si="147"/>
        <v>0</v>
      </c>
      <c r="J900" s="87">
        <v>100</v>
      </c>
      <c r="K900" s="87">
        <v>300</v>
      </c>
      <c r="L900" s="84">
        <f t="shared" si="141"/>
        <v>1150</v>
      </c>
      <c r="M900" s="95">
        <v>600</v>
      </c>
      <c r="N900" s="84">
        <f>100</f>
        <v>100</v>
      </c>
      <c r="O900" s="87">
        <v>240</v>
      </c>
      <c r="P900" s="87">
        <v>40</v>
      </c>
      <c r="Q900" s="87">
        <f t="shared" si="142"/>
        <v>315</v>
      </c>
      <c r="R900" s="87">
        <f t="shared" si="143"/>
        <v>100</v>
      </c>
      <c r="S900" s="84">
        <f t="shared" si="144"/>
        <v>695</v>
      </c>
      <c r="T900" s="84">
        <f>50</f>
        <v>50</v>
      </c>
      <c r="U900" s="85"/>
      <c r="V900" s="85"/>
      <c r="W900" s="85"/>
      <c r="X900" s="85"/>
      <c r="Y900" s="85"/>
      <c r="Z900" s="85"/>
      <c r="AA900" s="85"/>
      <c r="AB900" s="85"/>
      <c r="AC900" s="85"/>
      <c r="AD900" s="85"/>
    </row>
    <row r="901" spans="1:30" ht="15.75" x14ac:dyDescent="0.25">
      <c r="A901" s="13">
        <v>68361</v>
      </c>
      <c r="B901" s="96">
        <f t="shared" si="140"/>
        <v>28</v>
      </c>
      <c r="C901" s="84">
        <f>122.58</f>
        <v>122.58</v>
      </c>
      <c r="D901" s="84">
        <f>297.941</f>
        <v>297.94099999999997</v>
      </c>
      <c r="E901" s="93">
        <f>89.177</f>
        <v>89.177000000000007</v>
      </c>
      <c r="F901" s="84">
        <f>240.302-40-60-100</f>
        <v>40.301999999999992</v>
      </c>
      <c r="G901" s="87">
        <v>40</v>
      </c>
      <c r="H901" s="84">
        <f>60+100</f>
        <v>160</v>
      </c>
      <c r="I901" s="84">
        <f t="shared" si="147"/>
        <v>0</v>
      </c>
      <c r="J901" s="87">
        <v>100</v>
      </c>
      <c r="K901" s="87">
        <v>300</v>
      </c>
      <c r="L901" s="84">
        <f t="shared" si="141"/>
        <v>1150</v>
      </c>
      <c r="M901" s="95">
        <v>600</v>
      </c>
      <c r="N901" s="84">
        <f>100</f>
        <v>100</v>
      </c>
      <c r="O901" s="87">
        <v>240</v>
      </c>
      <c r="P901" s="87">
        <v>40</v>
      </c>
      <c r="Q901" s="87">
        <f t="shared" si="142"/>
        <v>315</v>
      </c>
      <c r="R901" s="87">
        <f t="shared" si="143"/>
        <v>100</v>
      </c>
      <c r="S901" s="84">
        <f t="shared" si="144"/>
        <v>695</v>
      </c>
      <c r="T901" s="84">
        <f>50</f>
        <v>50</v>
      </c>
      <c r="U901" s="85"/>
      <c r="V901" s="85"/>
      <c r="W901" s="85"/>
      <c r="X901" s="85"/>
      <c r="Y901" s="85"/>
      <c r="Z901" s="85"/>
      <c r="AA901" s="85"/>
      <c r="AB901" s="85"/>
      <c r="AC901" s="85"/>
      <c r="AD901" s="85"/>
    </row>
    <row r="902" spans="1:30" ht="15.75" x14ac:dyDescent="0.25">
      <c r="A902" s="13">
        <v>68392</v>
      </c>
      <c r="B902" s="96">
        <f t="shared" si="140"/>
        <v>31</v>
      </c>
      <c r="C902" s="84">
        <f>122.58</f>
        <v>122.58</v>
      </c>
      <c r="D902" s="84">
        <f>297.941</f>
        <v>297.94099999999997</v>
      </c>
      <c r="E902" s="93">
        <f>89.177</f>
        <v>89.177000000000007</v>
      </c>
      <c r="F902" s="84">
        <f>240.302-40-60-100</f>
        <v>40.301999999999992</v>
      </c>
      <c r="G902" s="87">
        <v>40</v>
      </c>
      <c r="H902" s="84">
        <f>60+100</f>
        <v>160</v>
      </c>
      <c r="I902" s="84">
        <f t="shared" si="147"/>
        <v>0</v>
      </c>
      <c r="J902" s="87">
        <v>100</v>
      </c>
      <c r="K902" s="87">
        <v>300</v>
      </c>
      <c r="L902" s="84">
        <f t="shared" si="141"/>
        <v>1150</v>
      </c>
      <c r="M902" s="95">
        <v>600</v>
      </c>
      <c r="N902" s="84">
        <f>100</f>
        <v>100</v>
      </c>
      <c r="O902" s="87">
        <v>240</v>
      </c>
      <c r="P902" s="87">
        <v>40</v>
      </c>
      <c r="Q902" s="87">
        <f t="shared" si="142"/>
        <v>315</v>
      </c>
      <c r="R902" s="87">
        <f t="shared" si="143"/>
        <v>100</v>
      </c>
      <c r="S902" s="84">
        <f t="shared" si="144"/>
        <v>695</v>
      </c>
      <c r="T902" s="84">
        <f>50</f>
        <v>50</v>
      </c>
      <c r="U902" s="85"/>
      <c r="V902" s="85"/>
      <c r="W902" s="85"/>
      <c r="X902" s="85"/>
      <c r="Y902" s="85"/>
      <c r="Z902" s="85"/>
      <c r="AA902" s="85"/>
      <c r="AB902" s="85"/>
      <c r="AC902" s="85"/>
      <c r="AD902" s="85"/>
    </row>
    <row r="903" spans="1:30" ht="15.75" x14ac:dyDescent="0.25">
      <c r="A903" s="13">
        <v>68422</v>
      </c>
      <c r="B903" s="96">
        <f t="shared" si="140"/>
        <v>30</v>
      </c>
      <c r="C903" s="84">
        <f>141.293</f>
        <v>141.29300000000001</v>
      </c>
      <c r="D903" s="84">
        <f>267.993</f>
        <v>267.99299999999999</v>
      </c>
      <c r="E903" s="93">
        <f>115.016</f>
        <v>115.01600000000001</v>
      </c>
      <c r="F903" s="84">
        <f>314.698-40-25-60-100</f>
        <v>89.697999999999979</v>
      </c>
      <c r="G903" s="87">
        <v>40</v>
      </c>
      <c r="H903" s="84">
        <f t="shared" ref="H903:H909" si="149">25+60+100</f>
        <v>185</v>
      </c>
      <c r="I903" s="84">
        <f t="shared" si="147"/>
        <v>0</v>
      </c>
      <c r="J903" s="87">
        <v>100</v>
      </c>
      <c r="K903" s="87">
        <v>300</v>
      </c>
      <c r="L903" s="84">
        <f t="shared" si="141"/>
        <v>1239</v>
      </c>
      <c r="M903" s="95">
        <v>600</v>
      </c>
      <c r="N903" s="84">
        <f>100</f>
        <v>100</v>
      </c>
      <c r="O903" s="87">
        <v>240</v>
      </c>
      <c r="P903" s="87">
        <v>40</v>
      </c>
      <c r="Q903" s="87">
        <f t="shared" si="142"/>
        <v>315</v>
      </c>
      <c r="R903" s="87">
        <f t="shared" si="143"/>
        <v>100</v>
      </c>
      <c r="S903" s="84">
        <f t="shared" si="144"/>
        <v>695</v>
      </c>
      <c r="T903" s="84">
        <f>50</f>
        <v>50</v>
      </c>
      <c r="U903" s="85"/>
      <c r="V903" s="85"/>
      <c r="W903" s="85"/>
      <c r="X903" s="85"/>
      <c r="Y903" s="85"/>
      <c r="Z903" s="85"/>
      <c r="AA903" s="85"/>
      <c r="AB903" s="85"/>
      <c r="AC903" s="85"/>
      <c r="AD903" s="85"/>
    </row>
    <row r="904" spans="1:30" ht="15.75" x14ac:dyDescent="0.25">
      <c r="A904" s="13">
        <v>68453</v>
      </c>
      <c r="B904" s="96">
        <f t="shared" si="140"/>
        <v>31</v>
      </c>
      <c r="C904" s="84">
        <f>194.205</f>
        <v>194.20500000000001</v>
      </c>
      <c r="D904" s="84">
        <f>267.466</f>
        <v>267.46600000000001</v>
      </c>
      <c r="E904" s="93">
        <f>133.845</f>
        <v>133.845</v>
      </c>
      <c r="F904" s="84">
        <f>278.484-40-25-60-100</f>
        <v>53.48399999999998</v>
      </c>
      <c r="G904" s="87">
        <v>40</v>
      </c>
      <c r="H904" s="84">
        <f t="shared" si="149"/>
        <v>185</v>
      </c>
      <c r="I904" s="84">
        <f t="shared" si="147"/>
        <v>0</v>
      </c>
      <c r="J904" s="87">
        <v>100</v>
      </c>
      <c r="K904" s="87">
        <v>300</v>
      </c>
      <c r="L904" s="84">
        <f t="shared" si="141"/>
        <v>1274</v>
      </c>
      <c r="M904" s="95">
        <v>600</v>
      </c>
      <c r="N904" s="84">
        <f>75</f>
        <v>75</v>
      </c>
      <c r="O904" s="87">
        <v>240</v>
      </c>
      <c r="P904" s="87">
        <v>40</v>
      </c>
      <c r="Q904" s="87">
        <f t="shared" si="142"/>
        <v>315</v>
      </c>
      <c r="R904" s="87">
        <f t="shared" si="143"/>
        <v>100</v>
      </c>
      <c r="S904" s="84">
        <f t="shared" si="144"/>
        <v>695</v>
      </c>
      <c r="T904" s="84">
        <f>50</f>
        <v>50</v>
      </c>
      <c r="U904" s="85"/>
      <c r="V904" s="85"/>
      <c r="W904" s="85"/>
      <c r="X904" s="85"/>
      <c r="Y904" s="85"/>
      <c r="Z904" s="85"/>
      <c r="AA904" s="85"/>
      <c r="AB904" s="85"/>
      <c r="AC904" s="85"/>
      <c r="AD904" s="85"/>
    </row>
    <row r="905" spans="1:30" ht="15.75" x14ac:dyDescent="0.25">
      <c r="A905" s="13">
        <v>68483</v>
      </c>
      <c r="B905" s="96">
        <f t="shared" si="140"/>
        <v>30</v>
      </c>
      <c r="C905" s="84">
        <f>194.205</f>
        <v>194.20500000000001</v>
      </c>
      <c r="D905" s="84">
        <f>267.466</f>
        <v>267.46600000000001</v>
      </c>
      <c r="E905" s="93">
        <f>133.845</f>
        <v>133.845</v>
      </c>
      <c r="F905" s="84">
        <f>278.484-40-25-60-100</f>
        <v>53.48399999999998</v>
      </c>
      <c r="G905" s="87">
        <v>40</v>
      </c>
      <c r="H905" s="84">
        <f t="shared" si="149"/>
        <v>185</v>
      </c>
      <c r="I905" s="84">
        <f t="shared" si="147"/>
        <v>0</v>
      </c>
      <c r="J905" s="87">
        <v>100</v>
      </c>
      <c r="K905" s="87">
        <v>300</v>
      </c>
      <c r="L905" s="84">
        <f t="shared" si="141"/>
        <v>1274</v>
      </c>
      <c r="M905" s="95">
        <v>600</v>
      </c>
      <c r="N905" s="84">
        <f>30</f>
        <v>30</v>
      </c>
      <c r="O905" s="87">
        <v>240</v>
      </c>
      <c r="P905" s="87">
        <v>40</v>
      </c>
      <c r="Q905" s="87">
        <f t="shared" si="142"/>
        <v>315</v>
      </c>
      <c r="R905" s="87">
        <f t="shared" si="143"/>
        <v>100</v>
      </c>
      <c r="S905" s="84">
        <f t="shared" si="144"/>
        <v>695</v>
      </c>
      <c r="T905" s="84">
        <f>50</f>
        <v>50</v>
      </c>
      <c r="U905" s="85"/>
      <c r="V905" s="85"/>
      <c r="W905" s="85"/>
      <c r="X905" s="85"/>
      <c r="Y905" s="85"/>
      <c r="Z905" s="85"/>
      <c r="AA905" s="85"/>
      <c r="AB905" s="85"/>
      <c r="AC905" s="85"/>
      <c r="AD905" s="85"/>
    </row>
    <row r="906" spans="1:30" ht="15.75" x14ac:dyDescent="0.25">
      <c r="A906" s="13">
        <v>68514</v>
      </c>
      <c r="B906" s="96">
        <f t="shared" si="140"/>
        <v>31</v>
      </c>
      <c r="C906" s="84">
        <f>194.205</f>
        <v>194.20500000000001</v>
      </c>
      <c r="D906" s="84">
        <f>267.466</f>
        <v>267.46600000000001</v>
      </c>
      <c r="E906" s="93">
        <f>133.845</f>
        <v>133.845</v>
      </c>
      <c r="F906" s="84">
        <f>278.484-40-25-60-100</f>
        <v>53.48399999999998</v>
      </c>
      <c r="G906" s="87">
        <v>40</v>
      </c>
      <c r="H906" s="84">
        <f t="shared" si="149"/>
        <v>185</v>
      </c>
      <c r="I906" s="84">
        <f t="shared" si="147"/>
        <v>0</v>
      </c>
      <c r="J906" s="87">
        <v>100</v>
      </c>
      <c r="K906" s="87">
        <v>300</v>
      </c>
      <c r="L906" s="84">
        <f t="shared" si="141"/>
        <v>1274</v>
      </c>
      <c r="M906" s="95">
        <v>600</v>
      </c>
      <c r="N906" s="84">
        <f>30</f>
        <v>30</v>
      </c>
      <c r="O906" s="87">
        <v>240</v>
      </c>
      <c r="P906" s="87">
        <v>40</v>
      </c>
      <c r="Q906" s="87">
        <f t="shared" si="142"/>
        <v>315</v>
      </c>
      <c r="R906" s="87">
        <f t="shared" si="143"/>
        <v>100</v>
      </c>
      <c r="S906" s="84">
        <f t="shared" si="144"/>
        <v>695</v>
      </c>
      <c r="T906" s="84">
        <f>0</f>
        <v>0</v>
      </c>
      <c r="U906" s="85"/>
      <c r="V906" s="85"/>
      <c r="W906" s="85"/>
      <c r="X906" s="85"/>
      <c r="Y906" s="85"/>
      <c r="Z906" s="85"/>
      <c r="AA906" s="85"/>
      <c r="AB906" s="85"/>
      <c r="AC906" s="85"/>
      <c r="AD906" s="85"/>
    </row>
    <row r="907" spans="1:30" ht="15.75" x14ac:dyDescent="0.25">
      <c r="A907" s="13">
        <v>68545</v>
      </c>
      <c r="B907" s="96">
        <f t="shared" si="140"/>
        <v>31</v>
      </c>
      <c r="C907" s="84">
        <f>194.205</f>
        <v>194.20500000000001</v>
      </c>
      <c r="D907" s="84">
        <f>267.466</f>
        <v>267.46600000000001</v>
      </c>
      <c r="E907" s="93">
        <f>133.845</f>
        <v>133.845</v>
      </c>
      <c r="F907" s="84">
        <f>278.484-40-25-60-100</f>
        <v>53.48399999999998</v>
      </c>
      <c r="G907" s="87">
        <v>40</v>
      </c>
      <c r="H907" s="84">
        <f t="shared" si="149"/>
        <v>185</v>
      </c>
      <c r="I907" s="84">
        <f t="shared" si="147"/>
        <v>0</v>
      </c>
      <c r="J907" s="87">
        <v>100</v>
      </c>
      <c r="K907" s="87">
        <v>300</v>
      </c>
      <c r="L907" s="84">
        <f t="shared" si="141"/>
        <v>1274</v>
      </c>
      <c r="M907" s="95">
        <v>600</v>
      </c>
      <c r="N907" s="84">
        <f>30</f>
        <v>30</v>
      </c>
      <c r="O907" s="87">
        <v>240</v>
      </c>
      <c r="P907" s="87">
        <v>40</v>
      </c>
      <c r="Q907" s="87">
        <f t="shared" si="142"/>
        <v>315</v>
      </c>
      <c r="R907" s="87">
        <f t="shared" si="143"/>
        <v>100</v>
      </c>
      <c r="S907" s="84">
        <f t="shared" si="144"/>
        <v>695</v>
      </c>
      <c r="T907" s="84">
        <f>0</f>
        <v>0</v>
      </c>
      <c r="U907" s="85"/>
      <c r="V907" s="85"/>
      <c r="W907" s="85"/>
      <c r="X907" s="85"/>
      <c r="Y907" s="85"/>
      <c r="Z907" s="85"/>
      <c r="AA907" s="85"/>
      <c r="AB907" s="85"/>
      <c r="AC907" s="85"/>
      <c r="AD907" s="85"/>
    </row>
    <row r="908" spans="1:30" ht="15.75" x14ac:dyDescent="0.25">
      <c r="A908" s="13">
        <v>68575</v>
      </c>
      <c r="B908" s="96">
        <f t="shared" si="140"/>
        <v>30</v>
      </c>
      <c r="C908" s="84">
        <f>194.205</f>
        <v>194.20500000000001</v>
      </c>
      <c r="D908" s="84">
        <f>267.466</f>
        <v>267.46600000000001</v>
      </c>
      <c r="E908" s="93">
        <f>133.845</f>
        <v>133.845</v>
      </c>
      <c r="F908" s="84">
        <f>278.484-40-25-60-100</f>
        <v>53.48399999999998</v>
      </c>
      <c r="G908" s="87">
        <v>40</v>
      </c>
      <c r="H908" s="84">
        <f t="shared" si="149"/>
        <v>185</v>
      </c>
      <c r="I908" s="84">
        <f t="shared" si="147"/>
        <v>0</v>
      </c>
      <c r="J908" s="87">
        <v>100</v>
      </c>
      <c r="K908" s="87">
        <v>300</v>
      </c>
      <c r="L908" s="84">
        <f t="shared" si="141"/>
        <v>1274</v>
      </c>
      <c r="M908" s="95">
        <v>600</v>
      </c>
      <c r="N908" s="84">
        <f>30</f>
        <v>30</v>
      </c>
      <c r="O908" s="87">
        <v>240</v>
      </c>
      <c r="P908" s="87">
        <v>40</v>
      </c>
      <c r="Q908" s="87">
        <f t="shared" si="142"/>
        <v>315</v>
      </c>
      <c r="R908" s="87">
        <f t="shared" si="143"/>
        <v>100</v>
      </c>
      <c r="S908" s="84">
        <f t="shared" si="144"/>
        <v>695</v>
      </c>
      <c r="T908" s="84">
        <f>0</f>
        <v>0</v>
      </c>
      <c r="U908" s="85"/>
      <c r="V908" s="85"/>
      <c r="W908" s="85"/>
      <c r="X908" s="85"/>
      <c r="Y908" s="85"/>
      <c r="Z908" s="85"/>
      <c r="AA908" s="85"/>
      <c r="AB908" s="85"/>
      <c r="AC908" s="85"/>
      <c r="AD908" s="85"/>
    </row>
    <row r="909" spans="1:30" ht="15.75" x14ac:dyDescent="0.25">
      <c r="A909" s="13">
        <v>68606</v>
      </c>
      <c r="B909" s="96">
        <f t="shared" si="140"/>
        <v>31</v>
      </c>
      <c r="C909" s="84">
        <f>131.881</f>
        <v>131.881</v>
      </c>
      <c r="D909" s="84">
        <f>277.167</f>
        <v>277.16699999999997</v>
      </c>
      <c r="E909" s="93">
        <f>79.08</f>
        <v>79.08</v>
      </c>
      <c r="F909" s="84">
        <f>350.872-40-25-60-100</f>
        <v>125.87200000000001</v>
      </c>
      <c r="G909" s="87">
        <v>40</v>
      </c>
      <c r="H909" s="84">
        <f t="shared" si="149"/>
        <v>185</v>
      </c>
      <c r="I909" s="84">
        <f t="shared" si="147"/>
        <v>0</v>
      </c>
      <c r="J909" s="87">
        <v>100</v>
      </c>
      <c r="K909" s="87">
        <v>300</v>
      </c>
      <c r="L909" s="84">
        <f t="shared" si="141"/>
        <v>1239</v>
      </c>
      <c r="M909" s="95">
        <v>600</v>
      </c>
      <c r="N909" s="84">
        <f>75</f>
        <v>75</v>
      </c>
      <c r="O909" s="87">
        <v>240</v>
      </c>
      <c r="P909" s="87">
        <v>40</v>
      </c>
      <c r="Q909" s="87">
        <f t="shared" si="142"/>
        <v>315</v>
      </c>
      <c r="R909" s="87">
        <f t="shared" si="143"/>
        <v>100</v>
      </c>
      <c r="S909" s="84">
        <f t="shared" si="144"/>
        <v>695</v>
      </c>
      <c r="T909" s="84">
        <f>0</f>
        <v>0</v>
      </c>
      <c r="U909" s="85"/>
      <c r="V909" s="85"/>
      <c r="W909" s="85"/>
      <c r="X909" s="85"/>
      <c r="Y909" s="85"/>
      <c r="Z909" s="85"/>
      <c r="AA909" s="85"/>
      <c r="AB909" s="85"/>
      <c r="AC909" s="85"/>
      <c r="AD909" s="85"/>
    </row>
    <row r="910" spans="1:30" ht="15.75" x14ac:dyDescent="0.25">
      <c r="A910" s="13">
        <v>68636</v>
      </c>
      <c r="B910" s="96">
        <f t="shared" si="140"/>
        <v>30</v>
      </c>
      <c r="C910" s="84">
        <f>122.58</f>
        <v>122.58</v>
      </c>
      <c r="D910" s="84">
        <f>297.941</f>
        <v>297.94099999999997</v>
      </c>
      <c r="E910" s="93">
        <f>89.177</f>
        <v>89.177000000000007</v>
      </c>
      <c r="F910" s="84">
        <f>240.302-40-60-100</f>
        <v>40.301999999999992</v>
      </c>
      <c r="G910" s="87">
        <v>40</v>
      </c>
      <c r="H910" s="84">
        <f>60+100</f>
        <v>160</v>
      </c>
      <c r="I910" s="84">
        <f t="shared" si="147"/>
        <v>0</v>
      </c>
      <c r="J910" s="87">
        <v>100</v>
      </c>
      <c r="K910" s="87">
        <v>300</v>
      </c>
      <c r="L910" s="84">
        <f t="shared" si="141"/>
        <v>1150</v>
      </c>
      <c r="M910" s="95">
        <v>600</v>
      </c>
      <c r="N910" s="84">
        <f>100</f>
        <v>100</v>
      </c>
      <c r="O910" s="87">
        <v>240</v>
      </c>
      <c r="P910" s="87">
        <v>40</v>
      </c>
      <c r="Q910" s="87">
        <f t="shared" si="142"/>
        <v>315</v>
      </c>
      <c r="R910" s="87">
        <f t="shared" si="143"/>
        <v>100</v>
      </c>
      <c r="S910" s="84">
        <f t="shared" si="144"/>
        <v>695</v>
      </c>
      <c r="T910" s="84">
        <f>50</f>
        <v>50</v>
      </c>
      <c r="U910" s="85"/>
      <c r="V910" s="85"/>
      <c r="W910" s="85"/>
      <c r="X910" s="85"/>
      <c r="Y910" s="85"/>
      <c r="Z910" s="85"/>
      <c r="AA910" s="85"/>
      <c r="AB910" s="85"/>
      <c r="AC910" s="85"/>
      <c r="AD910" s="85"/>
    </row>
    <row r="911" spans="1:30" ht="15.75" x14ac:dyDescent="0.25">
      <c r="A911" s="13">
        <v>68667</v>
      </c>
      <c r="B911" s="96">
        <f t="shared" si="140"/>
        <v>31</v>
      </c>
      <c r="C911" s="84">
        <f>122.58</f>
        <v>122.58</v>
      </c>
      <c r="D911" s="84">
        <f>297.941</f>
        <v>297.94099999999997</v>
      </c>
      <c r="E911" s="93">
        <f>89.177</f>
        <v>89.177000000000007</v>
      </c>
      <c r="F911" s="84">
        <f>240.302-40-60-100</f>
        <v>40.301999999999992</v>
      </c>
      <c r="G911" s="87">
        <v>40</v>
      </c>
      <c r="H911" s="84">
        <f>60+100</f>
        <v>160</v>
      </c>
      <c r="I911" s="84">
        <f t="shared" si="147"/>
        <v>0</v>
      </c>
      <c r="J911" s="87">
        <v>100</v>
      </c>
      <c r="K911" s="87">
        <v>300</v>
      </c>
      <c r="L911" s="84">
        <f t="shared" si="141"/>
        <v>1150</v>
      </c>
      <c r="M911" s="95">
        <v>600</v>
      </c>
      <c r="N911" s="84">
        <f>100</f>
        <v>100</v>
      </c>
      <c r="O911" s="87">
        <v>240</v>
      </c>
      <c r="P911" s="87">
        <v>40</v>
      </c>
      <c r="Q911" s="87">
        <f t="shared" si="142"/>
        <v>315</v>
      </c>
      <c r="R911" s="87">
        <f t="shared" si="143"/>
        <v>100</v>
      </c>
      <c r="S911" s="84">
        <f t="shared" si="144"/>
        <v>695</v>
      </c>
      <c r="T911" s="84">
        <f>50</f>
        <v>50</v>
      </c>
      <c r="U911" s="85"/>
      <c r="V911" s="85"/>
      <c r="W911" s="85"/>
      <c r="X911" s="85"/>
      <c r="Y911" s="85"/>
      <c r="Z911" s="85"/>
      <c r="AA911" s="85"/>
      <c r="AB911" s="85"/>
      <c r="AC911" s="85"/>
      <c r="AD911" s="85"/>
    </row>
    <row r="912" spans="1:30" ht="15.75" x14ac:dyDescent="0.25">
      <c r="A912" s="13">
        <v>68698</v>
      </c>
      <c r="B912" s="96">
        <f t="shared" si="140"/>
        <v>31</v>
      </c>
      <c r="C912" s="84">
        <f>122.58</f>
        <v>122.58</v>
      </c>
      <c r="D912" s="84">
        <f>297.941</f>
        <v>297.94099999999997</v>
      </c>
      <c r="E912" s="93">
        <f>89.177</f>
        <v>89.177000000000007</v>
      </c>
      <c r="F912" s="84">
        <f>240.302-40-60-100</f>
        <v>40.301999999999992</v>
      </c>
      <c r="G912" s="87">
        <v>40</v>
      </c>
      <c r="H912" s="84">
        <f>60+100</f>
        <v>160</v>
      </c>
      <c r="I912" s="84">
        <f t="shared" si="147"/>
        <v>0</v>
      </c>
      <c r="J912" s="87">
        <v>100</v>
      </c>
      <c r="K912" s="87">
        <v>300</v>
      </c>
      <c r="L912" s="84">
        <f t="shared" si="141"/>
        <v>1150</v>
      </c>
      <c r="M912" s="95">
        <v>600</v>
      </c>
      <c r="N912" s="84">
        <f>100</f>
        <v>100</v>
      </c>
      <c r="O912" s="87">
        <v>240</v>
      </c>
      <c r="P912" s="87">
        <v>40</v>
      </c>
      <c r="Q912" s="87">
        <f t="shared" si="142"/>
        <v>315</v>
      </c>
      <c r="R912" s="87">
        <f t="shared" si="143"/>
        <v>100</v>
      </c>
      <c r="S912" s="84">
        <f t="shared" si="144"/>
        <v>695</v>
      </c>
      <c r="T912" s="84">
        <f>50</f>
        <v>50</v>
      </c>
      <c r="U912" s="85"/>
      <c r="V912" s="85"/>
      <c r="W912" s="85"/>
      <c r="X912" s="85"/>
      <c r="Y912" s="85"/>
      <c r="Z912" s="85"/>
      <c r="AA912" s="85"/>
      <c r="AB912" s="85"/>
      <c r="AC912" s="85"/>
      <c r="AD912" s="85"/>
    </row>
    <row r="913" spans="1:30" ht="15.75" x14ac:dyDescent="0.25">
      <c r="A913" s="13">
        <v>68727</v>
      </c>
      <c r="B913" s="96">
        <f t="shared" si="140"/>
        <v>29</v>
      </c>
      <c r="C913" s="84">
        <f>122.58</f>
        <v>122.58</v>
      </c>
      <c r="D913" s="84">
        <f>297.941</f>
        <v>297.94099999999997</v>
      </c>
      <c r="E913" s="93">
        <f>89.177</f>
        <v>89.177000000000007</v>
      </c>
      <c r="F913" s="84">
        <f>240.302-40-60-100</f>
        <v>40.301999999999992</v>
      </c>
      <c r="G913" s="87">
        <v>40</v>
      </c>
      <c r="H913" s="84">
        <f>60+100</f>
        <v>160</v>
      </c>
      <c r="I913" s="84">
        <f t="shared" si="147"/>
        <v>0</v>
      </c>
      <c r="J913" s="87">
        <v>100</v>
      </c>
      <c r="K913" s="87">
        <v>300</v>
      </c>
      <c r="L913" s="84">
        <f t="shared" si="141"/>
        <v>1150</v>
      </c>
      <c r="M913" s="95">
        <v>600</v>
      </c>
      <c r="N913" s="84">
        <f>100</f>
        <v>100</v>
      </c>
      <c r="O913" s="87">
        <v>240</v>
      </c>
      <c r="P913" s="87">
        <v>40</v>
      </c>
      <c r="Q913" s="87">
        <f t="shared" si="142"/>
        <v>315</v>
      </c>
      <c r="R913" s="87">
        <f t="shared" si="143"/>
        <v>100</v>
      </c>
      <c r="S913" s="84">
        <f t="shared" si="144"/>
        <v>695</v>
      </c>
      <c r="T913" s="84">
        <f>50</f>
        <v>50</v>
      </c>
      <c r="U913" s="85"/>
      <c r="V913" s="85"/>
      <c r="W913" s="85"/>
      <c r="X913" s="85"/>
      <c r="Y913" s="85"/>
      <c r="Z913" s="85"/>
      <c r="AA913" s="85"/>
      <c r="AB913" s="85"/>
      <c r="AC913" s="85"/>
      <c r="AD913" s="85"/>
    </row>
    <row r="914" spans="1:30" ht="15.75" x14ac:dyDescent="0.25">
      <c r="A914" s="13">
        <v>68758</v>
      </c>
      <c r="B914" s="96">
        <f t="shared" si="140"/>
        <v>31</v>
      </c>
      <c r="C914" s="84">
        <f>122.58</f>
        <v>122.58</v>
      </c>
      <c r="D914" s="84">
        <f>297.941</f>
        <v>297.94099999999997</v>
      </c>
      <c r="E914" s="93">
        <f>89.177</f>
        <v>89.177000000000007</v>
      </c>
      <c r="F914" s="84">
        <f>240.302-40-60-100</f>
        <v>40.301999999999992</v>
      </c>
      <c r="G914" s="87">
        <v>40</v>
      </c>
      <c r="H914" s="84">
        <f>60+100</f>
        <v>160</v>
      </c>
      <c r="I914" s="84">
        <f t="shared" si="147"/>
        <v>0</v>
      </c>
      <c r="J914" s="87">
        <v>100</v>
      </c>
      <c r="K914" s="87">
        <v>300</v>
      </c>
      <c r="L914" s="84">
        <f t="shared" si="141"/>
        <v>1150</v>
      </c>
      <c r="M914" s="95">
        <v>600</v>
      </c>
      <c r="N914" s="84">
        <f>100</f>
        <v>100</v>
      </c>
      <c r="O914" s="87">
        <v>240</v>
      </c>
      <c r="P914" s="87">
        <v>40</v>
      </c>
      <c r="Q914" s="87">
        <f t="shared" si="142"/>
        <v>315</v>
      </c>
      <c r="R914" s="87">
        <f t="shared" si="143"/>
        <v>100</v>
      </c>
      <c r="S914" s="84">
        <f t="shared" si="144"/>
        <v>695</v>
      </c>
      <c r="T914" s="84">
        <f>50</f>
        <v>50</v>
      </c>
      <c r="U914" s="85"/>
      <c r="V914" s="85"/>
      <c r="W914" s="85"/>
      <c r="X914" s="85"/>
      <c r="Y914" s="85"/>
      <c r="Z914" s="85"/>
      <c r="AA914" s="85"/>
      <c r="AB914" s="85"/>
      <c r="AC914" s="85"/>
      <c r="AD914" s="85"/>
    </row>
    <row r="915" spans="1:30" ht="15.75" x14ac:dyDescent="0.25">
      <c r="A915" s="13">
        <v>68788</v>
      </c>
      <c r="B915" s="96">
        <f t="shared" si="140"/>
        <v>30</v>
      </c>
      <c r="C915" s="84">
        <f>141.293</f>
        <v>141.29300000000001</v>
      </c>
      <c r="D915" s="84">
        <f>267.993</f>
        <v>267.99299999999999</v>
      </c>
      <c r="E915" s="93">
        <f>115.016</f>
        <v>115.01600000000001</v>
      </c>
      <c r="F915" s="84">
        <f>314.698-40-25-60-100</f>
        <v>89.697999999999979</v>
      </c>
      <c r="G915" s="87">
        <v>40</v>
      </c>
      <c r="H915" s="84">
        <f t="shared" ref="H915:H921" si="150">25+60+100</f>
        <v>185</v>
      </c>
      <c r="I915" s="84">
        <f t="shared" si="147"/>
        <v>0</v>
      </c>
      <c r="J915" s="87">
        <v>100</v>
      </c>
      <c r="K915" s="87">
        <v>300</v>
      </c>
      <c r="L915" s="84">
        <f t="shared" si="141"/>
        <v>1239</v>
      </c>
      <c r="M915" s="95">
        <v>600</v>
      </c>
      <c r="N915" s="84">
        <f>100</f>
        <v>100</v>
      </c>
      <c r="O915" s="87">
        <v>240</v>
      </c>
      <c r="P915" s="87">
        <v>40</v>
      </c>
      <c r="Q915" s="87">
        <f t="shared" si="142"/>
        <v>315</v>
      </c>
      <c r="R915" s="87">
        <f t="shared" si="143"/>
        <v>100</v>
      </c>
      <c r="S915" s="84">
        <f t="shared" si="144"/>
        <v>695</v>
      </c>
      <c r="T915" s="84">
        <f>50</f>
        <v>50</v>
      </c>
      <c r="U915" s="85"/>
      <c r="V915" s="85"/>
      <c r="W915" s="85"/>
      <c r="X915" s="85"/>
      <c r="Y915" s="85"/>
      <c r="Z915" s="85"/>
      <c r="AA915" s="85"/>
      <c r="AB915" s="85"/>
      <c r="AC915" s="85"/>
      <c r="AD915" s="85"/>
    </row>
    <row r="916" spans="1:30" ht="15.75" x14ac:dyDescent="0.25">
      <c r="A916" s="13">
        <v>68819</v>
      </c>
      <c r="B916" s="96">
        <f t="shared" si="140"/>
        <v>31</v>
      </c>
      <c r="C916" s="84">
        <f>194.205</f>
        <v>194.20500000000001</v>
      </c>
      <c r="D916" s="84">
        <f>267.466</f>
        <v>267.46600000000001</v>
      </c>
      <c r="E916" s="93">
        <f>133.845</f>
        <v>133.845</v>
      </c>
      <c r="F916" s="84">
        <f>278.484-40-25-60-100</f>
        <v>53.48399999999998</v>
      </c>
      <c r="G916" s="87">
        <v>40</v>
      </c>
      <c r="H916" s="84">
        <f t="shared" si="150"/>
        <v>185</v>
      </c>
      <c r="I916" s="84">
        <f t="shared" si="147"/>
        <v>0</v>
      </c>
      <c r="J916" s="87">
        <v>100</v>
      </c>
      <c r="K916" s="87">
        <v>300</v>
      </c>
      <c r="L916" s="84">
        <f t="shared" si="141"/>
        <v>1274</v>
      </c>
      <c r="M916" s="95">
        <v>600</v>
      </c>
      <c r="N916" s="84">
        <f>75</f>
        <v>75</v>
      </c>
      <c r="O916" s="87">
        <v>240</v>
      </c>
      <c r="P916" s="87">
        <v>40</v>
      </c>
      <c r="Q916" s="87">
        <f t="shared" si="142"/>
        <v>315</v>
      </c>
      <c r="R916" s="87">
        <f t="shared" si="143"/>
        <v>100</v>
      </c>
      <c r="S916" s="84">
        <f t="shared" si="144"/>
        <v>695</v>
      </c>
      <c r="T916" s="84">
        <f>50</f>
        <v>50</v>
      </c>
      <c r="U916" s="85"/>
      <c r="V916" s="85"/>
      <c r="W916" s="85"/>
      <c r="X916" s="85"/>
      <c r="Y916" s="85"/>
      <c r="Z916" s="85"/>
      <c r="AA916" s="85"/>
      <c r="AB916" s="85"/>
      <c r="AC916" s="85"/>
      <c r="AD916" s="85"/>
    </row>
    <row r="917" spans="1:30" ht="15.75" x14ac:dyDescent="0.25">
      <c r="A917" s="13">
        <v>68849</v>
      </c>
      <c r="B917" s="96">
        <f t="shared" si="140"/>
        <v>30</v>
      </c>
      <c r="C917" s="84">
        <f>194.205</f>
        <v>194.20500000000001</v>
      </c>
      <c r="D917" s="84">
        <f>267.466</f>
        <v>267.46600000000001</v>
      </c>
      <c r="E917" s="93">
        <f>133.845</f>
        <v>133.845</v>
      </c>
      <c r="F917" s="84">
        <f>278.484-40-25-60-100</f>
        <v>53.48399999999998</v>
      </c>
      <c r="G917" s="87">
        <v>40</v>
      </c>
      <c r="H917" s="84">
        <f t="shared" si="150"/>
        <v>185</v>
      </c>
      <c r="I917" s="84">
        <f t="shared" si="147"/>
        <v>0</v>
      </c>
      <c r="J917" s="87">
        <v>100</v>
      </c>
      <c r="K917" s="87">
        <v>300</v>
      </c>
      <c r="L917" s="84">
        <f t="shared" si="141"/>
        <v>1274</v>
      </c>
      <c r="M917" s="95">
        <v>600</v>
      </c>
      <c r="N917" s="84">
        <f>30</f>
        <v>30</v>
      </c>
      <c r="O917" s="87">
        <v>240</v>
      </c>
      <c r="P917" s="87">
        <v>40</v>
      </c>
      <c r="Q917" s="87">
        <f t="shared" si="142"/>
        <v>315</v>
      </c>
      <c r="R917" s="87">
        <f t="shared" si="143"/>
        <v>100</v>
      </c>
      <c r="S917" s="84">
        <f t="shared" si="144"/>
        <v>695</v>
      </c>
      <c r="T917" s="84">
        <f>50</f>
        <v>50</v>
      </c>
      <c r="U917" s="85"/>
      <c r="V917" s="85"/>
      <c r="W917" s="85"/>
      <c r="X917" s="85"/>
      <c r="Y917" s="85"/>
      <c r="Z917" s="85"/>
      <c r="AA917" s="85"/>
      <c r="AB917" s="85"/>
      <c r="AC917" s="85"/>
      <c r="AD917" s="85"/>
    </row>
    <row r="918" spans="1:30" ht="15.75" x14ac:dyDescent="0.25">
      <c r="A918" s="13">
        <v>68880</v>
      </c>
      <c r="B918" s="96">
        <f t="shared" si="140"/>
        <v>31</v>
      </c>
      <c r="C918" s="84">
        <f>194.205</f>
        <v>194.20500000000001</v>
      </c>
      <c r="D918" s="84">
        <f>267.466</f>
        <v>267.46600000000001</v>
      </c>
      <c r="E918" s="93">
        <f>133.845</f>
        <v>133.845</v>
      </c>
      <c r="F918" s="84">
        <f>278.484-40-25-60-100</f>
        <v>53.48399999999998</v>
      </c>
      <c r="G918" s="87">
        <v>40</v>
      </c>
      <c r="H918" s="84">
        <f t="shared" si="150"/>
        <v>185</v>
      </c>
      <c r="I918" s="84">
        <f t="shared" si="147"/>
        <v>0</v>
      </c>
      <c r="J918" s="87">
        <v>100</v>
      </c>
      <c r="K918" s="87">
        <v>300</v>
      </c>
      <c r="L918" s="84">
        <f t="shared" si="141"/>
        <v>1274</v>
      </c>
      <c r="M918" s="95">
        <v>600</v>
      </c>
      <c r="N918" s="84">
        <f>30</f>
        <v>30</v>
      </c>
      <c r="O918" s="87">
        <v>240</v>
      </c>
      <c r="P918" s="87">
        <v>40</v>
      </c>
      <c r="Q918" s="87">
        <f t="shared" si="142"/>
        <v>315</v>
      </c>
      <c r="R918" s="87">
        <f t="shared" si="143"/>
        <v>100</v>
      </c>
      <c r="S918" s="84">
        <f t="shared" si="144"/>
        <v>695</v>
      </c>
      <c r="T918" s="84">
        <f>0</f>
        <v>0</v>
      </c>
      <c r="U918" s="85"/>
      <c r="V918" s="85"/>
      <c r="W918" s="85"/>
      <c r="X918" s="85"/>
      <c r="Y918" s="85"/>
      <c r="Z918" s="85"/>
      <c r="AA918" s="85"/>
      <c r="AB918" s="85"/>
      <c r="AC918" s="85"/>
      <c r="AD918" s="85"/>
    </row>
    <row r="919" spans="1:30" ht="15.75" x14ac:dyDescent="0.25">
      <c r="A919" s="13">
        <v>68911</v>
      </c>
      <c r="B919" s="96">
        <f t="shared" si="140"/>
        <v>31</v>
      </c>
      <c r="C919" s="84">
        <f>194.205</f>
        <v>194.20500000000001</v>
      </c>
      <c r="D919" s="84">
        <f>267.466</f>
        <v>267.46600000000001</v>
      </c>
      <c r="E919" s="93">
        <f>133.845</f>
        <v>133.845</v>
      </c>
      <c r="F919" s="84">
        <f>278.484-40-25-60-100</f>
        <v>53.48399999999998</v>
      </c>
      <c r="G919" s="87">
        <v>40</v>
      </c>
      <c r="H919" s="84">
        <f t="shared" si="150"/>
        <v>185</v>
      </c>
      <c r="I919" s="84">
        <f t="shared" si="147"/>
        <v>0</v>
      </c>
      <c r="J919" s="87">
        <v>100</v>
      </c>
      <c r="K919" s="87">
        <v>300</v>
      </c>
      <c r="L919" s="84">
        <f t="shared" si="141"/>
        <v>1274</v>
      </c>
      <c r="M919" s="95">
        <v>600</v>
      </c>
      <c r="N919" s="84">
        <f>30</f>
        <v>30</v>
      </c>
      <c r="O919" s="87">
        <v>240</v>
      </c>
      <c r="P919" s="87">
        <v>40</v>
      </c>
      <c r="Q919" s="87">
        <f t="shared" si="142"/>
        <v>315</v>
      </c>
      <c r="R919" s="87">
        <f t="shared" si="143"/>
        <v>100</v>
      </c>
      <c r="S919" s="84">
        <f t="shared" si="144"/>
        <v>695</v>
      </c>
      <c r="T919" s="84">
        <f>0</f>
        <v>0</v>
      </c>
      <c r="U919" s="85"/>
      <c r="V919" s="85"/>
      <c r="W919" s="85"/>
      <c r="X919" s="85"/>
      <c r="Y919" s="85"/>
      <c r="Z919" s="85"/>
      <c r="AA919" s="85"/>
      <c r="AB919" s="85"/>
      <c r="AC919" s="85"/>
      <c r="AD919" s="85"/>
    </row>
    <row r="920" spans="1:30" ht="15.75" x14ac:dyDescent="0.25">
      <c r="A920" s="13">
        <v>68941</v>
      </c>
      <c r="B920" s="96">
        <f t="shared" ref="B920:B983" si="151">EOMONTH(A920,0)-EOMONTH(A920,-1)</f>
        <v>30</v>
      </c>
      <c r="C920" s="84">
        <f>194.205</f>
        <v>194.20500000000001</v>
      </c>
      <c r="D920" s="84">
        <f>267.466</f>
        <v>267.46600000000001</v>
      </c>
      <c r="E920" s="93">
        <f>133.845</f>
        <v>133.845</v>
      </c>
      <c r="F920" s="84">
        <f>278.484-40-25-60-100</f>
        <v>53.48399999999998</v>
      </c>
      <c r="G920" s="87">
        <v>40</v>
      </c>
      <c r="H920" s="84">
        <f t="shared" si="150"/>
        <v>185</v>
      </c>
      <c r="I920" s="84">
        <f t="shared" si="147"/>
        <v>0</v>
      </c>
      <c r="J920" s="87">
        <v>100</v>
      </c>
      <c r="K920" s="87">
        <v>300</v>
      </c>
      <c r="L920" s="84">
        <f t="shared" ref="L920:L983" si="152">SUM(C920:K920)</f>
        <v>1274</v>
      </c>
      <c r="M920" s="95">
        <v>600</v>
      </c>
      <c r="N920" s="84">
        <f>30</f>
        <v>30</v>
      </c>
      <c r="O920" s="87">
        <v>240</v>
      </c>
      <c r="P920" s="87">
        <v>40</v>
      </c>
      <c r="Q920" s="87">
        <f t="shared" ref="Q920:Q983" si="153">695-R920-O920-P920</f>
        <v>315</v>
      </c>
      <c r="R920" s="87">
        <f t="shared" ref="R920:R983" si="154">200-J920</f>
        <v>100</v>
      </c>
      <c r="S920" s="84">
        <f t="shared" ref="S920:S983" si="155">SUM(O920:R920)</f>
        <v>695</v>
      </c>
      <c r="T920" s="84">
        <f>0</f>
        <v>0</v>
      </c>
      <c r="U920" s="85"/>
      <c r="V920" s="85"/>
      <c r="W920" s="85"/>
      <c r="X920" s="85"/>
      <c r="Y920" s="85"/>
      <c r="Z920" s="85"/>
      <c r="AA920" s="85"/>
      <c r="AB920" s="85"/>
      <c r="AC920" s="85"/>
      <c r="AD920" s="85"/>
    </row>
    <row r="921" spans="1:30" ht="15.75" x14ac:dyDescent="0.25">
      <c r="A921" s="13">
        <v>68972</v>
      </c>
      <c r="B921" s="96">
        <f t="shared" si="151"/>
        <v>31</v>
      </c>
      <c r="C921" s="84">
        <f>131.881</f>
        <v>131.881</v>
      </c>
      <c r="D921" s="84">
        <f>277.167</f>
        <v>277.16699999999997</v>
      </c>
      <c r="E921" s="93">
        <f>79.08</f>
        <v>79.08</v>
      </c>
      <c r="F921" s="84">
        <f>350.872-40-25-60-100</f>
        <v>125.87200000000001</v>
      </c>
      <c r="G921" s="87">
        <v>40</v>
      </c>
      <c r="H921" s="84">
        <f t="shared" si="150"/>
        <v>185</v>
      </c>
      <c r="I921" s="84">
        <f t="shared" si="147"/>
        <v>0</v>
      </c>
      <c r="J921" s="87">
        <v>100</v>
      </c>
      <c r="K921" s="87">
        <v>300</v>
      </c>
      <c r="L921" s="84">
        <f t="shared" si="152"/>
        <v>1239</v>
      </c>
      <c r="M921" s="95">
        <v>600</v>
      </c>
      <c r="N921" s="84">
        <f>75</f>
        <v>75</v>
      </c>
      <c r="O921" s="87">
        <v>240</v>
      </c>
      <c r="P921" s="87">
        <v>40</v>
      </c>
      <c r="Q921" s="87">
        <f t="shared" si="153"/>
        <v>315</v>
      </c>
      <c r="R921" s="87">
        <f t="shared" si="154"/>
        <v>100</v>
      </c>
      <c r="S921" s="84">
        <f t="shared" si="155"/>
        <v>695</v>
      </c>
      <c r="T921" s="84">
        <f>0</f>
        <v>0</v>
      </c>
      <c r="U921" s="85"/>
      <c r="V921" s="85"/>
      <c r="W921" s="85"/>
      <c r="X921" s="85"/>
      <c r="Y921" s="85"/>
      <c r="Z921" s="85"/>
      <c r="AA921" s="85"/>
      <c r="AB921" s="85"/>
      <c r="AC921" s="85"/>
      <c r="AD921" s="85"/>
    </row>
    <row r="922" spans="1:30" ht="15.75" x14ac:dyDescent="0.25">
      <c r="A922" s="13">
        <v>69002</v>
      </c>
      <c r="B922" s="96">
        <f t="shared" si="151"/>
        <v>30</v>
      </c>
      <c r="C922" s="84">
        <f>122.58</f>
        <v>122.58</v>
      </c>
      <c r="D922" s="84">
        <f>297.941</f>
        <v>297.94099999999997</v>
      </c>
      <c r="E922" s="93">
        <f>89.177</f>
        <v>89.177000000000007</v>
      </c>
      <c r="F922" s="84">
        <f>240.302-40-60-100</f>
        <v>40.301999999999992</v>
      </c>
      <c r="G922" s="87">
        <v>40</v>
      </c>
      <c r="H922" s="84">
        <f>60+100</f>
        <v>160</v>
      </c>
      <c r="I922" s="84">
        <f t="shared" si="147"/>
        <v>0</v>
      </c>
      <c r="J922" s="87">
        <v>100</v>
      </c>
      <c r="K922" s="87">
        <v>300</v>
      </c>
      <c r="L922" s="84">
        <f t="shared" si="152"/>
        <v>1150</v>
      </c>
      <c r="M922" s="95">
        <v>600</v>
      </c>
      <c r="N922" s="84">
        <f>100</f>
        <v>100</v>
      </c>
      <c r="O922" s="87">
        <v>240</v>
      </c>
      <c r="P922" s="87">
        <v>40</v>
      </c>
      <c r="Q922" s="87">
        <f t="shared" si="153"/>
        <v>315</v>
      </c>
      <c r="R922" s="87">
        <f t="shared" si="154"/>
        <v>100</v>
      </c>
      <c r="S922" s="84">
        <f t="shared" si="155"/>
        <v>695</v>
      </c>
      <c r="T922" s="84">
        <f>50</f>
        <v>50</v>
      </c>
      <c r="U922" s="85"/>
      <c r="V922" s="85"/>
      <c r="W922" s="85"/>
      <c r="X922" s="85"/>
      <c r="Y922" s="85"/>
      <c r="Z922" s="85"/>
      <c r="AA922" s="85"/>
      <c r="AB922" s="85"/>
      <c r="AC922" s="85"/>
      <c r="AD922" s="85"/>
    </row>
    <row r="923" spans="1:30" ht="15.75" x14ac:dyDescent="0.25">
      <c r="A923" s="13">
        <v>69033</v>
      </c>
      <c r="B923" s="96">
        <f t="shared" si="151"/>
        <v>31</v>
      </c>
      <c r="C923" s="84">
        <f>122.58</f>
        <v>122.58</v>
      </c>
      <c r="D923" s="84">
        <f>297.941</f>
        <v>297.94099999999997</v>
      </c>
      <c r="E923" s="93">
        <f>89.177</f>
        <v>89.177000000000007</v>
      </c>
      <c r="F923" s="84">
        <f>240.302-40-60-100</f>
        <v>40.301999999999992</v>
      </c>
      <c r="G923" s="87">
        <v>40</v>
      </c>
      <c r="H923" s="84">
        <f>60+100</f>
        <v>160</v>
      </c>
      <c r="I923" s="84">
        <f t="shared" si="147"/>
        <v>0</v>
      </c>
      <c r="J923" s="87">
        <v>100</v>
      </c>
      <c r="K923" s="87">
        <v>300</v>
      </c>
      <c r="L923" s="84">
        <f t="shared" si="152"/>
        <v>1150</v>
      </c>
      <c r="M923" s="95">
        <v>600</v>
      </c>
      <c r="N923" s="84">
        <f>100</f>
        <v>100</v>
      </c>
      <c r="O923" s="87">
        <v>240</v>
      </c>
      <c r="P923" s="87">
        <v>40</v>
      </c>
      <c r="Q923" s="87">
        <f t="shared" si="153"/>
        <v>315</v>
      </c>
      <c r="R923" s="87">
        <f t="shared" si="154"/>
        <v>100</v>
      </c>
      <c r="S923" s="84">
        <f t="shared" si="155"/>
        <v>695</v>
      </c>
      <c r="T923" s="84">
        <f>50</f>
        <v>50</v>
      </c>
      <c r="U923" s="85"/>
      <c r="V923" s="85"/>
      <c r="W923" s="85"/>
      <c r="X923" s="85"/>
      <c r="Y923" s="85"/>
      <c r="Z923" s="85"/>
      <c r="AA923" s="85"/>
      <c r="AB923" s="85"/>
      <c r="AC923" s="85"/>
      <c r="AD923" s="85"/>
    </row>
    <row r="924" spans="1:30" ht="15.75" x14ac:dyDescent="0.25">
      <c r="A924" s="13">
        <v>69064</v>
      </c>
      <c r="B924" s="96">
        <f t="shared" si="151"/>
        <v>31</v>
      </c>
      <c r="C924" s="84">
        <f>122.58</f>
        <v>122.58</v>
      </c>
      <c r="D924" s="84">
        <f>297.941</f>
        <v>297.94099999999997</v>
      </c>
      <c r="E924" s="93">
        <f>89.177</f>
        <v>89.177000000000007</v>
      </c>
      <c r="F924" s="84">
        <f>240.302-40-60-100</f>
        <v>40.301999999999992</v>
      </c>
      <c r="G924" s="87">
        <v>40</v>
      </c>
      <c r="H924" s="84">
        <f>60+100</f>
        <v>160</v>
      </c>
      <c r="I924" s="84">
        <f t="shared" si="147"/>
        <v>0</v>
      </c>
      <c r="J924" s="87">
        <v>100</v>
      </c>
      <c r="K924" s="87">
        <v>300</v>
      </c>
      <c r="L924" s="84">
        <f t="shared" si="152"/>
        <v>1150</v>
      </c>
      <c r="M924" s="95">
        <v>600</v>
      </c>
      <c r="N924" s="84">
        <f>100</f>
        <v>100</v>
      </c>
      <c r="O924" s="87">
        <v>240</v>
      </c>
      <c r="P924" s="87">
        <v>40</v>
      </c>
      <c r="Q924" s="87">
        <f t="shared" si="153"/>
        <v>315</v>
      </c>
      <c r="R924" s="87">
        <f t="shared" si="154"/>
        <v>100</v>
      </c>
      <c r="S924" s="84">
        <f t="shared" si="155"/>
        <v>695</v>
      </c>
      <c r="T924" s="84">
        <f>50</f>
        <v>50</v>
      </c>
      <c r="U924" s="85"/>
      <c r="V924" s="85"/>
      <c r="W924" s="85"/>
      <c r="X924" s="85"/>
      <c r="Y924" s="85"/>
      <c r="Z924" s="85"/>
      <c r="AA924" s="85"/>
      <c r="AB924" s="85"/>
      <c r="AC924" s="85"/>
      <c r="AD924" s="85"/>
    </row>
    <row r="925" spans="1:30" ht="15.75" x14ac:dyDescent="0.25">
      <c r="A925" s="13">
        <v>69092</v>
      </c>
      <c r="B925" s="96">
        <f t="shared" si="151"/>
        <v>28</v>
      </c>
      <c r="C925" s="84">
        <f>122.58</f>
        <v>122.58</v>
      </c>
      <c r="D925" s="84">
        <f>297.941</f>
        <v>297.94099999999997</v>
      </c>
      <c r="E925" s="93">
        <f>89.177</f>
        <v>89.177000000000007</v>
      </c>
      <c r="F925" s="84">
        <f>240.302-40-60-100</f>
        <v>40.301999999999992</v>
      </c>
      <c r="G925" s="87">
        <v>40</v>
      </c>
      <c r="H925" s="84">
        <f>60+100</f>
        <v>160</v>
      </c>
      <c r="I925" s="84">
        <f t="shared" si="147"/>
        <v>0</v>
      </c>
      <c r="J925" s="87">
        <v>100</v>
      </c>
      <c r="K925" s="87">
        <v>300</v>
      </c>
      <c r="L925" s="84">
        <f t="shared" si="152"/>
        <v>1150</v>
      </c>
      <c r="M925" s="95">
        <v>600</v>
      </c>
      <c r="N925" s="84">
        <f>100</f>
        <v>100</v>
      </c>
      <c r="O925" s="87">
        <v>240</v>
      </c>
      <c r="P925" s="87">
        <v>40</v>
      </c>
      <c r="Q925" s="87">
        <f t="shared" si="153"/>
        <v>315</v>
      </c>
      <c r="R925" s="87">
        <f t="shared" si="154"/>
        <v>100</v>
      </c>
      <c r="S925" s="84">
        <f t="shared" si="155"/>
        <v>695</v>
      </c>
      <c r="T925" s="84">
        <f>50</f>
        <v>50</v>
      </c>
      <c r="U925" s="85"/>
      <c r="V925" s="85"/>
      <c r="W925" s="85"/>
      <c r="X925" s="85"/>
      <c r="Y925" s="85"/>
      <c r="Z925" s="85"/>
      <c r="AA925" s="85"/>
      <c r="AB925" s="85"/>
      <c r="AC925" s="85"/>
      <c r="AD925" s="85"/>
    </row>
    <row r="926" spans="1:30" ht="15.75" x14ac:dyDescent="0.25">
      <c r="A926" s="13">
        <v>69123</v>
      </c>
      <c r="B926" s="96">
        <f t="shared" si="151"/>
        <v>31</v>
      </c>
      <c r="C926" s="84">
        <f>122.58</f>
        <v>122.58</v>
      </c>
      <c r="D926" s="84">
        <f>297.941</f>
        <v>297.94099999999997</v>
      </c>
      <c r="E926" s="93">
        <f>89.177</f>
        <v>89.177000000000007</v>
      </c>
      <c r="F926" s="84">
        <f>240.302-40-60-100</f>
        <v>40.301999999999992</v>
      </c>
      <c r="G926" s="87">
        <v>40</v>
      </c>
      <c r="H926" s="84">
        <f>60+100</f>
        <v>160</v>
      </c>
      <c r="I926" s="84">
        <f t="shared" si="147"/>
        <v>0</v>
      </c>
      <c r="J926" s="87">
        <v>100</v>
      </c>
      <c r="K926" s="87">
        <v>300</v>
      </c>
      <c r="L926" s="84">
        <f t="shared" si="152"/>
        <v>1150</v>
      </c>
      <c r="M926" s="95">
        <v>600</v>
      </c>
      <c r="N926" s="84">
        <f>100</f>
        <v>100</v>
      </c>
      <c r="O926" s="87">
        <v>240</v>
      </c>
      <c r="P926" s="87">
        <v>40</v>
      </c>
      <c r="Q926" s="87">
        <f t="shared" si="153"/>
        <v>315</v>
      </c>
      <c r="R926" s="87">
        <f t="shared" si="154"/>
        <v>100</v>
      </c>
      <c r="S926" s="84">
        <f t="shared" si="155"/>
        <v>695</v>
      </c>
      <c r="T926" s="84">
        <f>50</f>
        <v>50</v>
      </c>
      <c r="U926" s="85"/>
      <c r="V926" s="85"/>
      <c r="W926" s="85"/>
      <c r="X926" s="85"/>
      <c r="Y926" s="85"/>
      <c r="Z926" s="85"/>
      <c r="AA926" s="85"/>
      <c r="AB926" s="85"/>
      <c r="AC926" s="85"/>
      <c r="AD926" s="85"/>
    </row>
    <row r="927" spans="1:30" ht="15.75" x14ac:dyDescent="0.25">
      <c r="A927" s="13">
        <v>69153</v>
      </c>
      <c r="B927" s="96">
        <f t="shared" si="151"/>
        <v>30</v>
      </c>
      <c r="C927" s="84">
        <f>141.293</f>
        <v>141.29300000000001</v>
      </c>
      <c r="D927" s="84">
        <f>267.993</f>
        <v>267.99299999999999</v>
      </c>
      <c r="E927" s="93">
        <f>115.016</f>
        <v>115.01600000000001</v>
      </c>
      <c r="F927" s="84">
        <f>314.698-40-25-60-100</f>
        <v>89.697999999999979</v>
      </c>
      <c r="G927" s="87">
        <v>40</v>
      </c>
      <c r="H927" s="84">
        <f t="shared" ref="H927:H933" si="156">25+60+100</f>
        <v>185</v>
      </c>
      <c r="I927" s="84">
        <f t="shared" si="147"/>
        <v>0</v>
      </c>
      <c r="J927" s="87">
        <v>100</v>
      </c>
      <c r="K927" s="87">
        <v>300</v>
      </c>
      <c r="L927" s="84">
        <f t="shared" si="152"/>
        <v>1239</v>
      </c>
      <c r="M927" s="95">
        <v>600</v>
      </c>
      <c r="N927" s="84">
        <f>100</f>
        <v>100</v>
      </c>
      <c r="O927" s="87">
        <v>240</v>
      </c>
      <c r="P927" s="87">
        <v>40</v>
      </c>
      <c r="Q927" s="87">
        <f t="shared" si="153"/>
        <v>315</v>
      </c>
      <c r="R927" s="87">
        <f t="shared" si="154"/>
        <v>100</v>
      </c>
      <c r="S927" s="84">
        <f t="shared" si="155"/>
        <v>695</v>
      </c>
      <c r="T927" s="84">
        <f>50</f>
        <v>50</v>
      </c>
      <c r="U927" s="85"/>
      <c r="V927" s="85"/>
      <c r="W927" s="85"/>
      <c r="X927" s="85"/>
      <c r="Y927" s="85"/>
      <c r="Z927" s="85"/>
      <c r="AA927" s="85"/>
      <c r="AB927" s="85"/>
      <c r="AC927" s="85"/>
      <c r="AD927" s="85"/>
    </row>
    <row r="928" spans="1:30" ht="15.75" x14ac:dyDescent="0.25">
      <c r="A928" s="13">
        <v>69184</v>
      </c>
      <c r="B928" s="96">
        <f t="shared" si="151"/>
        <v>31</v>
      </c>
      <c r="C928" s="84">
        <f>194.205</f>
        <v>194.20500000000001</v>
      </c>
      <c r="D928" s="84">
        <f>267.466</f>
        <v>267.46600000000001</v>
      </c>
      <c r="E928" s="93">
        <f>133.845</f>
        <v>133.845</v>
      </c>
      <c r="F928" s="84">
        <f>278.484-40-25-60-100</f>
        <v>53.48399999999998</v>
      </c>
      <c r="G928" s="87">
        <v>40</v>
      </c>
      <c r="H928" s="84">
        <f t="shared" si="156"/>
        <v>185</v>
      </c>
      <c r="I928" s="84">
        <f t="shared" si="147"/>
        <v>0</v>
      </c>
      <c r="J928" s="87">
        <v>100</v>
      </c>
      <c r="K928" s="87">
        <v>300</v>
      </c>
      <c r="L928" s="84">
        <f t="shared" si="152"/>
        <v>1274</v>
      </c>
      <c r="M928" s="95">
        <v>600</v>
      </c>
      <c r="N928" s="84">
        <f>75</f>
        <v>75</v>
      </c>
      <c r="O928" s="87">
        <v>240</v>
      </c>
      <c r="P928" s="87">
        <v>40</v>
      </c>
      <c r="Q928" s="87">
        <f t="shared" si="153"/>
        <v>315</v>
      </c>
      <c r="R928" s="87">
        <f t="shared" si="154"/>
        <v>100</v>
      </c>
      <c r="S928" s="84">
        <f t="shared" si="155"/>
        <v>695</v>
      </c>
      <c r="T928" s="84">
        <f>50</f>
        <v>50</v>
      </c>
      <c r="U928" s="85"/>
      <c r="V928" s="85"/>
      <c r="W928" s="85"/>
      <c r="X928" s="85"/>
      <c r="Y928" s="85"/>
      <c r="Z928" s="85"/>
      <c r="AA928" s="85"/>
      <c r="AB928" s="85"/>
      <c r="AC928" s="85"/>
      <c r="AD928" s="85"/>
    </row>
    <row r="929" spans="1:30" ht="15.75" x14ac:dyDescent="0.25">
      <c r="A929" s="13">
        <v>69214</v>
      </c>
      <c r="B929" s="96">
        <f t="shared" si="151"/>
        <v>30</v>
      </c>
      <c r="C929" s="84">
        <f>194.205</f>
        <v>194.20500000000001</v>
      </c>
      <c r="D929" s="84">
        <f>267.466</f>
        <v>267.46600000000001</v>
      </c>
      <c r="E929" s="93">
        <f>133.845</f>
        <v>133.845</v>
      </c>
      <c r="F929" s="84">
        <f>278.484-40-25-60-100</f>
        <v>53.48399999999998</v>
      </c>
      <c r="G929" s="87">
        <v>40</v>
      </c>
      <c r="H929" s="84">
        <f t="shared" si="156"/>
        <v>185</v>
      </c>
      <c r="I929" s="84">
        <f t="shared" si="147"/>
        <v>0</v>
      </c>
      <c r="J929" s="87">
        <v>100</v>
      </c>
      <c r="K929" s="87">
        <v>300</v>
      </c>
      <c r="L929" s="84">
        <f t="shared" si="152"/>
        <v>1274</v>
      </c>
      <c r="M929" s="95">
        <v>600</v>
      </c>
      <c r="N929" s="84">
        <f>30</f>
        <v>30</v>
      </c>
      <c r="O929" s="87">
        <v>240</v>
      </c>
      <c r="P929" s="87">
        <v>40</v>
      </c>
      <c r="Q929" s="87">
        <f t="shared" si="153"/>
        <v>315</v>
      </c>
      <c r="R929" s="87">
        <f t="shared" si="154"/>
        <v>100</v>
      </c>
      <c r="S929" s="84">
        <f t="shared" si="155"/>
        <v>695</v>
      </c>
      <c r="T929" s="84">
        <f>50</f>
        <v>50</v>
      </c>
      <c r="U929" s="85"/>
      <c r="V929" s="85"/>
      <c r="W929" s="85"/>
      <c r="X929" s="85"/>
      <c r="Y929" s="85"/>
      <c r="Z929" s="85"/>
      <c r="AA929" s="85"/>
      <c r="AB929" s="85"/>
      <c r="AC929" s="85"/>
      <c r="AD929" s="85"/>
    </row>
    <row r="930" spans="1:30" ht="15.75" x14ac:dyDescent="0.25">
      <c r="A930" s="13">
        <v>69245</v>
      </c>
      <c r="B930" s="96">
        <f t="shared" si="151"/>
        <v>31</v>
      </c>
      <c r="C930" s="84">
        <f>194.205</f>
        <v>194.20500000000001</v>
      </c>
      <c r="D930" s="84">
        <f>267.466</f>
        <v>267.46600000000001</v>
      </c>
      <c r="E930" s="93">
        <f>133.845</f>
        <v>133.845</v>
      </c>
      <c r="F930" s="84">
        <f>278.484-40-25-60-100</f>
        <v>53.48399999999998</v>
      </c>
      <c r="G930" s="87">
        <v>40</v>
      </c>
      <c r="H930" s="84">
        <f t="shared" si="156"/>
        <v>185</v>
      </c>
      <c r="I930" s="84">
        <f t="shared" si="147"/>
        <v>0</v>
      </c>
      <c r="J930" s="87">
        <v>100</v>
      </c>
      <c r="K930" s="87">
        <v>300</v>
      </c>
      <c r="L930" s="84">
        <f t="shared" si="152"/>
        <v>1274</v>
      </c>
      <c r="M930" s="95">
        <v>600</v>
      </c>
      <c r="N930" s="84">
        <f>30</f>
        <v>30</v>
      </c>
      <c r="O930" s="87">
        <v>240</v>
      </c>
      <c r="P930" s="87">
        <v>40</v>
      </c>
      <c r="Q930" s="87">
        <f t="shared" si="153"/>
        <v>315</v>
      </c>
      <c r="R930" s="87">
        <f t="shared" si="154"/>
        <v>100</v>
      </c>
      <c r="S930" s="84">
        <f t="shared" si="155"/>
        <v>695</v>
      </c>
      <c r="T930" s="84">
        <f>0</f>
        <v>0</v>
      </c>
      <c r="U930" s="85"/>
      <c r="V930" s="85"/>
      <c r="W930" s="85"/>
      <c r="X930" s="85"/>
      <c r="Y930" s="85"/>
      <c r="Z930" s="85"/>
      <c r="AA930" s="85"/>
      <c r="AB930" s="85"/>
      <c r="AC930" s="85"/>
      <c r="AD930" s="85"/>
    </row>
    <row r="931" spans="1:30" ht="15.75" x14ac:dyDescent="0.25">
      <c r="A931" s="13">
        <v>69276</v>
      </c>
      <c r="B931" s="96">
        <f t="shared" si="151"/>
        <v>31</v>
      </c>
      <c r="C931" s="84">
        <f>194.205</f>
        <v>194.20500000000001</v>
      </c>
      <c r="D931" s="84">
        <f>267.466</f>
        <v>267.46600000000001</v>
      </c>
      <c r="E931" s="93">
        <f>133.845</f>
        <v>133.845</v>
      </c>
      <c r="F931" s="84">
        <f>278.484-40-25-60-100</f>
        <v>53.48399999999998</v>
      </c>
      <c r="G931" s="87">
        <v>40</v>
      </c>
      <c r="H931" s="84">
        <f t="shared" si="156"/>
        <v>185</v>
      </c>
      <c r="I931" s="84">
        <f t="shared" si="147"/>
        <v>0</v>
      </c>
      <c r="J931" s="87">
        <v>100</v>
      </c>
      <c r="K931" s="87">
        <v>300</v>
      </c>
      <c r="L931" s="84">
        <f t="shared" si="152"/>
        <v>1274</v>
      </c>
      <c r="M931" s="95">
        <v>600</v>
      </c>
      <c r="N931" s="84">
        <f>30</f>
        <v>30</v>
      </c>
      <c r="O931" s="87">
        <v>240</v>
      </c>
      <c r="P931" s="87">
        <v>40</v>
      </c>
      <c r="Q931" s="87">
        <f t="shared" si="153"/>
        <v>315</v>
      </c>
      <c r="R931" s="87">
        <f t="shared" si="154"/>
        <v>100</v>
      </c>
      <c r="S931" s="84">
        <f t="shared" si="155"/>
        <v>695</v>
      </c>
      <c r="T931" s="84">
        <f>0</f>
        <v>0</v>
      </c>
      <c r="U931" s="85"/>
      <c r="V931" s="85"/>
      <c r="W931" s="85"/>
      <c r="X931" s="85"/>
      <c r="Y931" s="85"/>
      <c r="Z931" s="85"/>
      <c r="AA931" s="85"/>
      <c r="AB931" s="85"/>
      <c r="AC931" s="85"/>
      <c r="AD931" s="85"/>
    </row>
    <row r="932" spans="1:30" ht="15.75" x14ac:dyDescent="0.25">
      <c r="A932" s="13">
        <v>69306</v>
      </c>
      <c r="B932" s="96">
        <f t="shared" si="151"/>
        <v>30</v>
      </c>
      <c r="C932" s="84">
        <f>194.205</f>
        <v>194.20500000000001</v>
      </c>
      <c r="D932" s="84">
        <f>267.466</f>
        <v>267.46600000000001</v>
      </c>
      <c r="E932" s="93">
        <f>133.845</f>
        <v>133.845</v>
      </c>
      <c r="F932" s="84">
        <f>278.484-40-25-60-100</f>
        <v>53.48399999999998</v>
      </c>
      <c r="G932" s="87">
        <v>40</v>
      </c>
      <c r="H932" s="84">
        <f t="shared" si="156"/>
        <v>185</v>
      </c>
      <c r="I932" s="84">
        <f t="shared" si="147"/>
        <v>0</v>
      </c>
      <c r="J932" s="87">
        <v>100</v>
      </c>
      <c r="K932" s="87">
        <v>300</v>
      </c>
      <c r="L932" s="84">
        <f t="shared" si="152"/>
        <v>1274</v>
      </c>
      <c r="M932" s="95">
        <v>600</v>
      </c>
      <c r="N932" s="84">
        <f>30</f>
        <v>30</v>
      </c>
      <c r="O932" s="87">
        <v>240</v>
      </c>
      <c r="P932" s="87">
        <v>40</v>
      </c>
      <c r="Q932" s="87">
        <f t="shared" si="153"/>
        <v>315</v>
      </c>
      <c r="R932" s="87">
        <f t="shared" si="154"/>
        <v>100</v>
      </c>
      <c r="S932" s="84">
        <f t="shared" si="155"/>
        <v>695</v>
      </c>
      <c r="T932" s="84">
        <f>0</f>
        <v>0</v>
      </c>
      <c r="U932" s="85"/>
      <c r="V932" s="85"/>
      <c r="W932" s="85"/>
      <c r="X932" s="85"/>
      <c r="Y932" s="85"/>
      <c r="Z932" s="85"/>
      <c r="AA932" s="85"/>
      <c r="AB932" s="85"/>
      <c r="AC932" s="85"/>
      <c r="AD932" s="85"/>
    </row>
    <row r="933" spans="1:30" ht="15.75" x14ac:dyDescent="0.25">
      <c r="A933" s="13">
        <v>69337</v>
      </c>
      <c r="B933" s="96">
        <f t="shared" si="151"/>
        <v>31</v>
      </c>
      <c r="C933" s="84">
        <f>131.881</f>
        <v>131.881</v>
      </c>
      <c r="D933" s="84">
        <f>277.167</f>
        <v>277.16699999999997</v>
      </c>
      <c r="E933" s="93">
        <f>79.08</f>
        <v>79.08</v>
      </c>
      <c r="F933" s="84">
        <f>350.872-40-25-60-100</f>
        <v>125.87200000000001</v>
      </c>
      <c r="G933" s="87">
        <v>40</v>
      </c>
      <c r="H933" s="84">
        <f t="shared" si="156"/>
        <v>185</v>
      </c>
      <c r="I933" s="84">
        <f t="shared" si="147"/>
        <v>0</v>
      </c>
      <c r="J933" s="87">
        <v>100</v>
      </c>
      <c r="K933" s="87">
        <v>300</v>
      </c>
      <c r="L933" s="84">
        <f t="shared" si="152"/>
        <v>1239</v>
      </c>
      <c r="M933" s="95">
        <v>600</v>
      </c>
      <c r="N933" s="84">
        <f>75</f>
        <v>75</v>
      </c>
      <c r="O933" s="87">
        <v>240</v>
      </c>
      <c r="P933" s="87">
        <v>40</v>
      </c>
      <c r="Q933" s="87">
        <f t="shared" si="153"/>
        <v>315</v>
      </c>
      <c r="R933" s="87">
        <f t="shared" si="154"/>
        <v>100</v>
      </c>
      <c r="S933" s="84">
        <f t="shared" si="155"/>
        <v>695</v>
      </c>
      <c r="T933" s="84">
        <f>0</f>
        <v>0</v>
      </c>
      <c r="U933" s="85"/>
      <c r="V933" s="85"/>
      <c r="W933" s="85"/>
      <c r="X933" s="85"/>
      <c r="Y933" s="85"/>
      <c r="Z933" s="85"/>
      <c r="AA933" s="85"/>
      <c r="AB933" s="85"/>
      <c r="AC933" s="85"/>
      <c r="AD933" s="85"/>
    </row>
    <row r="934" spans="1:30" ht="15.75" x14ac:dyDescent="0.25">
      <c r="A934" s="13">
        <v>69367</v>
      </c>
      <c r="B934" s="96">
        <f t="shared" si="151"/>
        <v>30</v>
      </c>
      <c r="C934" s="84">
        <f>122.58</f>
        <v>122.58</v>
      </c>
      <c r="D934" s="84">
        <f>297.941</f>
        <v>297.94099999999997</v>
      </c>
      <c r="E934" s="93">
        <f>89.177</f>
        <v>89.177000000000007</v>
      </c>
      <c r="F934" s="84">
        <f>240.302-40-60-100</f>
        <v>40.301999999999992</v>
      </c>
      <c r="G934" s="87">
        <v>40</v>
      </c>
      <c r="H934" s="84">
        <f>60+100</f>
        <v>160</v>
      </c>
      <c r="I934" s="84">
        <f t="shared" si="147"/>
        <v>0</v>
      </c>
      <c r="J934" s="87">
        <v>100</v>
      </c>
      <c r="K934" s="87">
        <v>300</v>
      </c>
      <c r="L934" s="84">
        <f t="shared" si="152"/>
        <v>1150</v>
      </c>
      <c r="M934" s="95">
        <v>600</v>
      </c>
      <c r="N934" s="84">
        <f>100</f>
        <v>100</v>
      </c>
      <c r="O934" s="87">
        <v>240</v>
      </c>
      <c r="P934" s="87">
        <v>40</v>
      </c>
      <c r="Q934" s="87">
        <f t="shared" si="153"/>
        <v>315</v>
      </c>
      <c r="R934" s="87">
        <f t="shared" si="154"/>
        <v>100</v>
      </c>
      <c r="S934" s="84">
        <f t="shared" si="155"/>
        <v>695</v>
      </c>
      <c r="T934" s="84">
        <f>50</f>
        <v>50</v>
      </c>
      <c r="U934" s="85"/>
      <c r="V934" s="85"/>
      <c r="W934" s="85"/>
      <c r="X934" s="85"/>
      <c r="Y934" s="85"/>
      <c r="Z934" s="85"/>
      <c r="AA934" s="85"/>
      <c r="AB934" s="85"/>
      <c r="AC934" s="85"/>
      <c r="AD934" s="85"/>
    </row>
    <row r="935" spans="1:30" ht="15.75" x14ac:dyDescent="0.25">
      <c r="A935" s="13">
        <v>69398</v>
      </c>
      <c r="B935" s="96">
        <f t="shared" si="151"/>
        <v>31</v>
      </c>
      <c r="C935" s="84">
        <f>122.58</f>
        <v>122.58</v>
      </c>
      <c r="D935" s="84">
        <f>297.941</f>
        <v>297.94099999999997</v>
      </c>
      <c r="E935" s="93">
        <f>89.177</f>
        <v>89.177000000000007</v>
      </c>
      <c r="F935" s="84">
        <f>240.302-40-60-100</f>
        <v>40.301999999999992</v>
      </c>
      <c r="G935" s="87">
        <v>40</v>
      </c>
      <c r="H935" s="84">
        <f>60+100</f>
        <v>160</v>
      </c>
      <c r="I935" s="84">
        <f t="shared" si="147"/>
        <v>0</v>
      </c>
      <c r="J935" s="87">
        <v>100</v>
      </c>
      <c r="K935" s="87">
        <v>300</v>
      </c>
      <c r="L935" s="84">
        <f t="shared" si="152"/>
        <v>1150</v>
      </c>
      <c r="M935" s="95">
        <v>600</v>
      </c>
      <c r="N935" s="84">
        <f>100</f>
        <v>100</v>
      </c>
      <c r="O935" s="87">
        <v>240</v>
      </c>
      <c r="P935" s="87">
        <v>40</v>
      </c>
      <c r="Q935" s="87">
        <f t="shared" si="153"/>
        <v>315</v>
      </c>
      <c r="R935" s="87">
        <f t="shared" si="154"/>
        <v>100</v>
      </c>
      <c r="S935" s="84">
        <f t="shared" si="155"/>
        <v>695</v>
      </c>
      <c r="T935" s="84">
        <f>50</f>
        <v>50</v>
      </c>
      <c r="U935" s="85"/>
      <c r="V935" s="85"/>
      <c r="W935" s="85"/>
      <c r="X935" s="85"/>
      <c r="Y935" s="85"/>
      <c r="Z935" s="85"/>
      <c r="AA935" s="85"/>
      <c r="AB935" s="85"/>
      <c r="AC935" s="85"/>
      <c r="AD935" s="85"/>
    </row>
    <row r="936" spans="1:30" ht="15.75" x14ac:dyDescent="0.25">
      <c r="A936" s="13">
        <v>69429</v>
      </c>
      <c r="B936" s="96">
        <f t="shared" si="151"/>
        <v>31</v>
      </c>
      <c r="C936" s="84">
        <f>122.58</f>
        <v>122.58</v>
      </c>
      <c r="D936" s="84">
        <f>297.941</f>
        <v>297.94099999999997</v>
      </c>
      <c r="E936" s="93">
        <f>89.177</f>
        <v>89.177000000000007</v>
      </c>
      <c r="F936" s="84">
        <f>240.302-40-60-100</f>
        <v>40.301999999999992</v>
      </c>
      <c r="G936" s="87">
        <v>40</v>
      </c>
      <c r="H936" s="84">
        <f>60+100</f>
        <v>160</v>
      </c>
      <c r="I936" s="84">
        <f t="shared" si="147"/>
        <v>0</v>
      </c>
      <c r="J936" s="87">
        <v>100</v>
      </c>
      <c r="K936" s="87">
        <v>300</v>
      </c>
      <c r="L936" s="84">
        <f t="shared" si="152"/>
        <v>1150</v>
      </c>
      <c r="M936" s="95">
        <v>600</v>
      </c>
      <c r="N936" s="84">
        <f>100</f>
        <v>100</v>
      </c>
      <c r="O936" s="87">
        <v>240</v>
      </c>
      <c r="P936" s="87">
        <v>40</v>
      </c>
      <c r="Q936" s="87">
        <f t="shared" si="153"/>
        <v>315</v>
      </c>
      <c r="R936" s="87">
        <f t="shared" si="154"/>
        <v>100</v>
      </c>
      <c r="S936" s="84">
        <f t="shared" si="155"/>
        <v>695</v>
      </c>
      <c r="T936" s="84">
        <f>50</f>
        <v>50</v>
      </c>
      <c r="U936" s="85"/>
      <c r="V936" s="85"/>
      <c r="W936" s="85"/>
      <c r="X936" s="85"/>
      <c r="Y936" s="85"/>
      <c r="Z936" s="85"/>
      <c r="AA936" s="85"/>
      <c r="AB936" s="85"/>
      <c r="AC936" s="85"/>
      <c r="AD936" s="85"/>
    </row>
    <row r="937" spans="1:30" ht="15.75" x14ac:dyDescent="0.25">
      <c r="A937" s="13">
        <v>69457</v>
      </c>
      <c r="B937" s="96">
        <f t="shared" si="151"/>
        <v>28</v>
      </c>
      <c r="C937" s="84">
        <f>122.58</f>
        <v>122.58</v>
      </c>
      <c r="D937" s="84">
        <f>297.941</f>
        <v>297.94099999999997</v>
      </c>
      <c r="E937" s="93">
        <f>89.177</f>
        <v>89.177000000000007</v>
      </c>
      <c r="F937" s="84">
        <f>240.302-40-60-100</f>
        <v>40.301999999999992</v>
      </c>
      <c r="G937" s="87">
        <v>40</v>
      </c>
      <c r="H937" s="84">
        <f>60+100</f>
        <v>160</v>
      </c>
      <c r="I937" s="84">
        <f t="shared" si="147"/>
        <v>0</v>
      </c>
      <c r="J937" s="87">
        <v>100</v>
      </c>
      <c r="K937" s="87">
        <v>300</v>
      </c>
      <c r="L937" s="84">
        <f t="shared" si="152"/>
        <v>1150</v>
      </c>
      <c r="M937" s="95">
        <v>600</v>
      </c>
      <c r="N937" s="84">
        <f>100</f>
        <v>100</v>
      </c>
      <c r="O937" s="87">
        <v>240</v>
      </c>
      <c r="P937" s="87">
        <v>40</v>
      </c>
      <c r="Q937" s="87">
        <f t="shared" si="153"/>
        <v>315</v>
      </c>
      <c r="R937" s="87">
        <f t="shared" si="154"/>
        <v>100</v>
      </c>
      <c r="S937" s="84">
        <f t="shared" si="155"/>
        <v>695</v>
      </c>
      <c r="T937" s="84">
        <f>50</f>
        <v>50</v>
      </c>
      <c r="U937" s="85"/>
      <c r="V937" s="85"/>
      <c r="W937" s="85"/>
      <c r="X937" s="85"/>
      <c r="Y937" s="85"/>
      <c r="Z937" s="85"/>
      <c r="AA937" s="85"/>
      <c r="AB937" s="85"/>
      <c r="AC937" s="85"/>
      <c r="AD937" s="85"/>
    </row>
    <row r="938" spans="1:30" ht="15.75" x14ac:dyDescent="0.25">
      <c r="A938" s="13">
        <v>69488</v>
      </c>
      <c r="B938" s="96">
        <f t="shared" si="151"/>
        <v>31</v>
      </c>
      <c r="C938" s="84">
        <f>122.58</f>
        <v>122.58</v>
      </c>
      <c r="D938" s="84">
        <f>297.941</f>
        <v>297.94099999999997</v>
      </c>
      <c r="E938" s="93">
        <f>89.177</f>
        <v>89.177000000000007</v>
      </c>
      <c r="F938" s="84">
        <f>240.302-40-60-100</f>
        <v>40.301999999999992</v>
      </c>
      <c r="G938" s="87">
        <v>40</v>
      </c>
      <c r="H938" s="84">
        <f>60+100</f>
        <v>160</v>
      </c>
      <c r="I938" s="84">
        <f t="shared" si="147"/>
        <v>0</v>
      </c>
      <c r="J938" s="87">
        <v>100</v>
      </c>
      <c r="K938" s="87">
        <v>300</v>
      </c>
      <c r="L938" s="84">
        <f t="shared" si="152"/>
        <v>1150</v>
      </c>
      <c r="M938" s="95">
        <v>600</v>
      </c>
      <c r="N938" s="84">
        <f>100</f>
        <v>100</v>
      </c>
      <c r="O938" s="87">
        <v>240</v>
      </c>
      <c r="P938" s="87">
        <v>40</v>
      </c>
      <c r="Q938" s="87">
        <f t="shared" si="153"/>
        <v>315</v>
      </c>
      <c r="R938" s="87">
        <f t="shared" si="154"/>
        <v>100</v>
      </c>
      <c r="S938" s="84">
        <f t="shared" si="155"/>
        <v>695</v>
      </c>
      <c r="T938" s="84">
        <f>50</f>
        <v>50</v>
      </c>
      <c r="U938" s="85"/>
      <c r="V938" s="85"/>
      <c r="W938" s="85"/>
      <c r="X938" s="85"/>
      <c r="Y938" s="85"/>
      <c r="Z938" s="85"/>
      <c r="AA938" s="85"/>
      <c r="AB938" s="85"/>
      <c r="AC938" s="85"/>
      <c r="AD938" s="85"/>
    </row>
    <row r="939" spans="1:30" ht="15.75" x14ac:dyDescent="0.25">
      <c r="A939" s="13">
        <v>69518</v>
      </c>
      <c r="B939" s="96">
        <f t="shared" si="151"/>
        <v>30</v>
      </c>
      <c r="C939" s="84">
        <f>141.293</f>
        <v>141.29300000000001</v>
      </c>
      <c r="D939" s="84">
        <f>267.993</f>
        <v>267.99299999999999</v>
      </c>
      <c r="E939" s="93">
        <f>115.016</f>
        <v>115.01600000000001</v>
      </c>
      <c r="F939" s="84">
        <f>314.698-40-25-60-100</f>
        <v>89.697999999999979</v>
      </c>
      <c r="G939" s="87">
        <v>40</v>
      </c>
      <c r="H939" s="84">
        <f t="shared" ref="H939:H945" si="157">25+60+100</f>
        <v>185</v>
      </c>
      <c r="I939" s="84">
        <f t="shared" si="147"/>
        <v>0</v>
      </c>
      <c r="J939" s="87">
        <v>100</v>
      </c>
      <c r="K939" s="87">
        <v>300</v>
      </c>
      <c r="L939" s="84">
        <f t="shared" si="152"/>
        <v>1239</v>
      </c>
      <c r="M939" s="95">
        <v>600</v>
      </c>
      <c r="N939" s="84">
        <f>100</f>
        <v>100</v>
      </c>
      <c r="O939" s="87">
        <v>240</v>
      </c>
      <c r="P939" s="87">
        <v>40</v>
      </c>
      <c r="Q939" s="87">
        <f t="shared" si="153"/>
        <v>315</v>
      </c>
      <c r="R939" s="87">
        <f t="shared" si="154"/>
        <v>100</v>
      </c>
      <c r="S939" s="84">
        <f t="shared" si="155"/>
        <v>695</v>
      </c>
      <c r="T939" s="84">
        <f>50</f>
        <v>50</v>
      </c>
      <c r="U939" s="85"/>
      <c r="V939" s="85"/>
      <c r="W939" s="85"/>
      <c r="X939" s="85"/>
      <c r="Y939" s="85"/>
      <c r="Z939" s="85"/>
      <c r="AA939" s="85"/>
      <c r="AB939" s="85"/>
      <c r="AC939" s="85"/>
      <c r="AD939" s="85"/>
    </row>
    <row r="940" spans="1:30" ht="15.75" x14ac:dyDescent="0.25">
      <c r="A940" s="13">
        <v>69549</v>
      </c>
      <c r="B940" s="96">
        <f t="shared" si="151"/>
        <v>31</v>
      </c>
      <c r="C940" s="84">
        <f>194.205</f>
        <v>194.20500000000001</v>
      </c>
      <c r="D940" s="84">
        <f>267.466</f>
        <v>267.46600000000001</v>
      </c>
      <c r="E940" s="93">
        <f>133.845</f>
        <v>133.845</v>
      </c>
      <c r="F940" s="84">
        <f>278.484-40-25-60-100</f>
        <v>53.48399999999998</v>
      </c>
      <c r="G940" s="87">
        <v>40</v>
      </c>
      <c r="H940" s="84">
        <f t="shared" si="157"/>
        <v>185</v>
      </c>
      <c r="I940" s="84">
        <f t="shared" si="147"/>
        <v>0</v>
      </c>
      <c r="J940" s="87">
        <v>100</v>
      </c>
      <c r="K940" s="87">
        <v>300</v>
      </c>
      <c r="L940" s="84">
        <f t="shared" si="152"/>
        <v>1274</v>
      </c>
      <c r="M940" s="95">
        <v>600</v>
      </c>
      <c r="N940" s="84">
        <f>75</f>
        <v>75</v>
      </c>
      <c r="O940" s="87">
        <v>240</v>
      </c>
      <c r="P940" s="87">
        <v>40</v>
      </c>
      <c r="Q940" s="87">
        <f t="shared" si="153"/>
        <v>315</v>
      </c>
      <c r="R940" s="87">
        <f t="shared" si="154"/>
        <v>100</v>
      </c>
      <c r="S940" s="84">
        <f t="shared" si="155"/>
        <v>695</v>
      </c>
      <c r="T940" s="84">
        <f>50</f>
        <v>50</v>
      </c>
      <c r="U940" s="85"/>
      <c r="V940" s="85"/>
      <c r="W940" s="85"/>
      <c r="X940" s="85"/>
      <c r="Y940" s="85"/>
      <c r="Z940" s="85"/>
      <c r="AA940" s="85"/>
      <c r="AB940" s="85"/>
      <c r="AC940" s="85"/>
      <c r="AD940" s="85"/>
    </row>
    <row r="941" spans="1:30" ht="15.75" x14ac:dyDescent="0.25">
      <c r="A941" s="13">
        <v>69579</v>
      </c>
      <c r="B941" s="96">
        <f t="shared" si="151"/>
        <v>30</v>
      </c>
      <c r="C941" s="84">
        <f>194.205</f>
        <v>194.20500000000001</v>
      </c>
      <c r="D941" s="84">
        <f>267.466</f>
        <v>267.46600000000001</v>
      </c>
      <c r="E941" s="93">
        <f>133.845</f>
        <v>133.845</v>
      </c>
      <c r="F941" s="84">
        <f>278.484-40-25-60-100</f>
        <v>53.48399999999998</v>
      </c>
      <c r="G941" s="87">
        <v>40</v>
      </c>
      <c r="H941" s="84">
        <f t="shared" si="157"/>
        <v>185</v>
      </c>
      <c r="I941" s="84">
        <f t="shared" si="147"/>
        <v>0</v>
      </c>
      <c r="J941" s="87">
        <v>100</v>
      </c>
      <c r="K941" s="87">
        <v>300</v>
      </c>
      <c r="L941" s="84">
        <f t="shared" si="152"/>
        <v>1274</v>
      </c>
      <c r="M941" s="95">
        <v>600</v>
      </c>
      <c r="N941" s="84">
        <f>30</f>
        <v>30</v>
      </c>
      <c r="O941" s="87">
        <v>240</v>
      </c>
      <c r="P941" s="87">
        <v>40</v>
      </c>
      <c r="Q941" s="87">
        <f t="shared" si="153"/>
        <v>315</v>
      </c>
      <c r="R941" s="87">
        <f t="shared" si="154"/>
        <v>100</v>
      </c>
      <c r="S941" s="84">
        <f t="shared" si="155"/>
        <v>695</v>
      </c>
      <c r="T941" s="84">
        <f>50</f>
        <v>50</v>
      </c>
      <c r="U941" s="85"/>
      <c r="V941" s="85"/>
      <c r="W941" s="85"/>
      <c r="X941" s="85"/>
      <c r="Y941" s="85"/>
      <c r="Z941" s="85"/>
      <c r="AA941" s="85"/>
      <c r="AB941" s="85"/>
      <c r="AC941" s="85"/>
      <c r="AD941" s="85"/>
    </row>
    <row r="942" spans="1:30" ht="15.75" x14ac:dyDescent="0.25">
      <c r="A942" s="13">
        <v>69610</v>
      </c>
      <c r="B942" s="96">
        <f t="shared" si="151"/>
        <v>31</v>
      </c>
      <c r="C942" s="84">
        <f>194.205</f>
        <v>194.20500000000001</v>
      </c>
      <c r="D942" s="84">
        <f>267.466</f>
        <v>267.46600000000001</v>
      </c>
      <c r="E942" s="93">
        <f>133.845</f>
        <v>133.845</v>
      </c>
      <c r="F942" s="84">
        <f>278.484-40-25-60-100</f>
        <v>53.48399999999998</v>
      </c>
      <c r="G942" s="87">
        <v>40</v>
      </c>
      <c r="H942" s="84">
        <f t="shared" si="157"/>
        <v>185</v>
      </c>
      <c r="I942" s="84">
        <f t="shared" si="147"/>
        <v>0</v>
      </c>
      <c r="J942" s="87">
        <v>100</v>
      </c>
      <c r="K942" s="87">
        <v>300</v>
      </c>
      <c r="L942" s="84">
        <f t="shared" si="152"/>
        <v>1274</v>
      </c>
      <c r="M942" s="95">
        <v>600</v>
      </c>
      <c r="N942" s="84">
        <f>30</f>
        <v>30</v>
      </c>
      <c r="O942" s="87">
        <v>240</v>
      </c>
      <c r="P942" s="87">
        <v>40</v>
      </c>
      <c r="Q942" s="87">
        <f t="shared" si="153"/>
        <v>315</v>
      </c>
      <c r="R942" s="87">
        <f t="shared" si="154"/>
        <v>100</v>
      </c>
      <c r="S942" s="84">
        <f t="shared" si="155"/>
        <v>695</v>
      </c>
      <c r="T942" s="84">
        <f>0</f>
        <v>0</v>
      </c>
      <c r="U942" s="85"/>
      <c r="V942" s="85"/>
      <c r="W942" s="85"/>
      <c r="X942" s="85"/>
      <c r="Y942" s="85"/>
      <c r="Z942" s="85"/>
      <c r="AA942" s="85"/>
      <c r="AB942" s="85"/>
      <c r="AC942" s="85"/>
      <c r="AD942" s="85"/>
    </row>
    <row r="943" spans="1:30" ht="15.75" x14ac:dyDescent="0.25">
      <c r="A943" s="13">
        <v>69641</v>
      </c>
      <c r="B943" s="96">
        <f t="shared" si="151"/>
        <v>31</v>
      </c>
      <c r="C943" s="84">
        <f>194.205</f>
        <v>194.20500000000001</v>
      </c>
      <c r="D943" s="84">
        <f>267.466</f>
        <v>267.46600000000001</v>
      </c>
      <c r="E943" s="93">
        <f>133.845</f>
        <v>133.845</v>
      </c>
      <c r="F943" s="84">
        <f>278.484-40-25-60-100</f>
        <v>53.48399999999998</v>
      </c>
      <c r="G943" s="87">
        <v>40</v>
      </c>
      <c r="H943" s="84">
        <f t="shared" si="157"/>
        <v>185</v>
      </c>
      <c r="I943" s="84">
        <f t="shared" si="147"/>
        <v>0</v>
      </c>
      <c r="J943" s="87">
        <v>100</v>
      </c>
      <c r="K943" s="87">
        <v>300</v>
      </c>
      <c r="L943" s="84">
        <f t="shared" si="152"/>
        <v>1274</v>
      </c>
      <c r="M943" s="95">
        <v>600</v>
      </c>
      <c r="N943" s="84">
        <f>30</f>
        <v>30</v>
      </c>
      <c r="O943" s="87">
        <v>240</v>
      </c>
      <c r="P943" s="87">
        <v>40</v>
      </c>
      <c r="Q943" s="87">
        <f t="shared" si="153"/>
        <v>315</v>
      </c>
      <c r="R943" s="87">
        <f t="shared" si="154"/>
        <v>100</v>
      </c>
      <c r="S943" s="84">
        <f t="shared" si="155"/>
        <v>695</v>
      </c>
      <c r="T943" s="84">
        <f>0</f>
        <v>0</v>
      </c>
      <c r="U943" s="85"/>
      <c r="V943" s="85"/>
      <c r="W943" s="85"/>
      <c r="X943" s="85"/>
      <c r="Y943" s="85"/>
      <c r="Z943" s="85"/>
      <c r="AA943" s="85"/>
      <c r="AB943" s="85"/>
      <c r="AC943" s="85"/>
      <c r="AD943" s="85"/>
    </row>
    <row r="944" spans="1:30" ht="15.75" x14ac:dyDescent="0.25">
      <c r="A944" s="13">
        <v>69671</v>
      </c>
      <c r="B944" s="96">
        <f t="shared" si="151"/>
        <v>30</v>
      </c>
      <c r="C944" s="84">
        <f>194.205</f>
        <v>194.20500000000001</v>
      </c>
      <c r="D944" s="84">
        <f>267.466</f>
        <v>267.46600000000001</v>
      </c>
      <c r="E944" s="93">
        <f>133.845</f>
        <v>133.845</v>
      </c>
      <c r="F944" s="84">
        <f>278.484-40-25-60-100</f>
        <v>53.48399999999998</v>
      </c>
      <c r="G944" s="87">
        <v>40</v>
      </c>
      <c r="H944" s="84">
        <f t="shared" si="157"/>
        <v>185</v>
      </c>
      <c r="I944" s="84">
        <f t="shared" si="147"/>
        <v>0</v>
      </c>
      <c r="J944" s="87">
        <v>100</v>
      </c>
      <c r="K944" s="87">
        <v>300</v>
      </c>
      <c r="L944" s="84">
        <f t="shared" si="152"/>
        <v>1274</v>
      </c>
      <c r="M944" s="95">
        <v>600</v>
      </c>
      <c r="N944" s="84">
        <f>30</f>
        <v>30</v>
      </c>
      <c r="O944" s="87">
        <v>240</v>
      </c>
      <c r="P944" s="87">
        <v>40</v>
      </c>
      <c r="Q944" s="87">
        <f t="shared" si="153"/>
        <v>315</v>
      </c>
      <c r="R944" s="87">
        <f t="shared" si="154"/>
        <v>100</v>
      </c>
      <c r="S944" s="84">
        <f t="shared" si="155"/>
        <v>695</v>
      </c>
      <c r="T944" s="84">
        <f>0</f>
        <v>0</v>
      </c>
      <c r="U944" s="85"/>
      <c r="V944" s="85"/>
      <c r="W944" s="85"/>
      <c r="X944" s="85"/>
      <c r="Y944" s="85"/>
      <c r="Z944" s="85"/>
      <c r="AA944" s="85"/>
      <c r="AB944" s="85"/>
      <c r="AC944" s="85"/>
      <c r="AD944" s="85"/>
    </row>
    <row r="945" spans="1:30" ht="15.75" x14ac:dyDescent="0.25">
      <c r="A945" s="13">
        <v>69702</v>
      </c>
      <c r="B945" s="96">
        <f t="shared" si="151"/>
        <v>31</v>
      </c>
      <c r="C945" s="84">
        <f>131.881</f>
        <v>131.881</v>
      </c>
      <c r="D945" s="84">
        <f>277.167</f>
        <v>277.16699999999997</v>
      </c>
      <c r="E945" s="93">
        <f>79.08</f>
        <v>79.08</v>
      </c>
      <c r="F945" s="84">
        <f>350.872-40-25-60-100</f>
        <v>125.87200000000001</v>
      </c>
      <c r="G945" s="87">
        <v>40</v>
      </c>
      <c r="H945" s="84">
        <f t="shared" si="157"/>
        <v>185</v>
      </c>
      <c r="I945" s="84">
        <f t="shared" si="147"/>
        <v>0</v>
      </c>
      <c r="J945" s="87">
        <v>100</v>
      </c>
      <c r="K945" s="87">
        <v>300</v>
      </c>
      <c r="L945" s="84">
        <f t="shared" si="152"/>
        <v>1239</v>
      </c>
      <c r="M945" s="95">
        <v>600</v>
      </c>
      <c r="N945" s="84">
        <f>75</f>
        <v>75</v>
      </c>
      <c r="O945" s="87">
        <v>240</v>
      </c>
      <c r="P945" s="87">
        <v>40</v>
      </c>
      <c r="Q945" s="87">
        <f t="shared" si="153"/>
        <v>315</v>
      </c>
      <c r="R945" s="87">
        <f t="shared" si="154"/>
        <v>100</v>
      </c>
      <c r="S945" s="84">
        <f t="shared" si="155"/>
        <v>695</v>
      </c>
      <c r="T945" s="84">
        <f>0</f>
        <v>0</v>
      </c>
      <c r="U945" s="85"/>
      <c r="V945" s="85"/>
      <c r="W945" s="85"/>
      <c r="X945" s="85"/>
      <c r="Y945" s="85"/>
      <c r="Z945" s="85"/>
      <c r="AA945" s="85"/>
      <c r="AB945" s="85"/>
      <c r="AC945" s="85"/>
      <c r="AD945" s="85"/>
    </row>
    <row r="946" spans="1:30" ht="15.75" x14ac:dyDescent="0.25">
      <c r="A946" s="13">
        <v>69732</v>
      </c>
      <c r="B946" s="96">
        <f t="shared" si="151"/>
        <v>30</v>
      </c>
      <c r="C946" s="84">
        <f>122.58</f>
        <v>122.58</v>
      </c>
      <c r="D946" s="84">
        <f>297.941</f>
        <v>297.94099999999997</v>
      </c>
      <c r="E946" s="93">
        <f>89.177</f>
        <v>89.177000000000007</v>
      </c>
      <c r="F946" s="84">
        <f>240.302-40-60-100</f>
        <v>40.301999999999992</v>
      </c>
      <c r="G946" s="87">
        <v>40</v>
      </c>
      <c r="H946" s="84">
        <f>60+100</f>
        <v>160</v>
      </c>
      <c r="I946" s="84">
        <f t="shared" si="147"/>
        <v>0</v>
      </c>
      <c r="J946" s="87">
        <v>100</v>
      </c>
      <c r="K946" s="87">
        <v>300</v>
      </c>
      <c r="L946" s="84">
        <f t="shared" si="152"/>
        <v>1150</v>
      </c>
      <c r="M946" s="95">
        <v>600</v>
      </c>
      <c r="N946" s="84">
        <f>100</f>
        <v>100</v>
      </c>
      <c r="O946" s="87">
        <v>240</v>
      </c>
      <c r="P946" s="87">
        <v>40</v>
      </c>
      <c r="Q946" s="87">
        <f t="shared" si="153"/>
        <v>315</v>
      </c>
      <c r="R946" s="87">
        <f t="shared" si="154"/>
        <v>100</v>
      </c>
      <c r="S946" s="84">
        <f t="shared" si="155"/>
        <v>695</v>
      </c>
      <c r="T946" s="84">
        <f>50</f>
        <v>50</v>
      </c>
      <c r="U946" s="85"/>
      <c r="V946" s="85"/>
      <c r="W946" s="85"/>
      <c r="X946" s="85"/>
      <c r="Y946" s="85"/>
      <c r="Z946" s="85"/>
      <c r="AA946" s="85"/>
      <c r="AB946" s="85"/>
      <c r="AC946" s="85"/>
      <c r="AD946" s="85"/>
    </row>
    <row r="947" spans="1:30" ht="15.75" x14ac:dyDescent="0.25">
      <c r="A947" s="13">
        <v>69763</v>
      </c>
      <c r="B947" s="96">
        <f t="shared" si="151"/>
        <v>31</v>
      </c>
      <c r="C947" s="84">
        <f>122.58</f>
        <v>122.58</v>
      </c>
      <c r="D947" s="84">
        <f>297.941</f>
        <v>297.94099999999997</v>
      </c>
      <c r="E947" s="93">
        <f>89.177</f>
        <v>89.177000000000007</v>
      </c>
      <c r="F947" s="84">
        <f>240.302-40-60-100</f>
        <v>40.301999999999992</v>
      </c>
      <c r="G947" s="87">
        <v>40</v>
      </c>
      <c r="H947" s="84">
        <f>60+100</f>
        <v>160</v>
      </c>
      <c r="I947" s="84">
        <f t="shared" si="147"/>
        <v>0</v>
      </c>
      <c r="J947" s="87">
        <v>100</v>
      </c>
      <c r="K947" s="87">
        <v>300</v>
      </c>
      <c r="L947" s="84">
        <f t="shared" si="152"/>
        <v>1150</v>
      </c>
      <c r="M947" s="95">
        <v>600</v>
      </c>
      <c r="N947" s="84">
        <f>100</f>
        <v>100</v>
      </c>
      <c r="O947" s="87">
        <v>240</v>
      </c>
      <c r="P947" s="87">
        <v>40</v>
      </c>
      <c r="Q947" s="87">
        <f t="shared" si="153"/>
        <v>315</v>
      </c>
      <c r="R947" s="87">
        <f t="shared" si="154"/>
        <v>100</v>
      </c>
      <c r="S947" s="84">
        <f t="shared" si="155"/>
        <v>695</v>
      </c>
      <c r="T947" s="84">
        <f>50</f>
        <v>50</v>
      </c>
      <c r="U947" s="85"/>
      <c r="V947" s="85"/>
      <c r="W947" s="85"/>
      <c r="X947" s="85"/>
      <c r="Y947" s="85"/>
      <c r="Z947" s="85"/>
      <c r="AA947" s="85"/>
      <c r="AB947" s="85"/>
      <c r="AC947" s="85"/>
      <c r="AD947" s="85"/>
    </row>
    <row r="948" spans="1:30" ht="15.75" x14ac:dyDescent="0.25">
      <c r="A948" s="13">
        <v>69794</v>
      </c>
      <c r="B948" s="96">
        <f t="shared" si="151"/>
        <v>31</v>
      </c>
      <c r="C948" s="84">
        <f>122.58</f>
        <v>122.58</v>
      </c>
      <c r="D948" s="84">
        <f>297.941</f>
        <v>297.94099999999997</v>
      </c>
      <c r="E948" s="93">
        <f>89.177</f>
        <v>89.177000000000007</v>
      </c>
      <c r="F948" s="84">
        <f>240.302-40-60-100</f>
        <v>40.301999999999992</v>
      </c>
      <c r="G948" s="87">
        <v>40</v>
      </c>
      <c r="H948" s="84">
        <f>60+100</f>
        <v>160</v>
      </c>
      <c r="I948" s="84">
        <f t="shared" ref="I948:I1011" si="158">400-J948-K948</f>
        <v>0</v>
      </c>
      <c r="J948" s="87">
        <v>100</v>
      </c>
      <c r="K948" s="87">
        <v>300</v>
      </c>
      <c r="L948" s="84">
        <f t="shared" si="152"/>
        <v>1150</v>
      </c>
      <c r="M948" s="95">
        <v>600</v>
      </c>
      <c r="N948" s="84">
        <f>100</f>
        <v>100</v>
      </c>
      <c r="O948" s="87">
        <v>240</v>
      </c>
      <c r="P948" s="87">
        <v>40</v>
      </c>
      <c r="Q948" s="87">
        <f t="shared" si="153"/>
        <v>315</v>
      </c>
      <c r="R948" s="87">
        <f t="shared" si="154"/>
        <v>100</v>
      </c>
      <c r="S948" s="84">
        <f t="shared" si="155"/>
        <v>695</v>
      </c>
      <c r="T948" s="84">
        <f>50</f>
        <v>50</v>
      </c>
      <c r="U948" s="85"/>
      <c r="V948" s="85"/>
      <c r="W948" s="85"/>
      <c r="X948" s="85"/>
      <c r="Y948" s="85"/>
      <c r="Z948" s="85"/>
      <c r="AA948" s="85"/>
      <c r="AB948" s="85"/>
      <c r="AC948" s="85"/>
      <c r="AD948" s="85"/>
    </row>
    <row r="949" spans="1:30" ht="15.75" x14ac:dyDescent="0.25">
      <c r="A949" s="13">
        <v>69822</v>
      </c>
      <c r="B949" s="96">
        <f t="shared" si="151"/>
        <v>28</v>
      </c>
      <c r="C949" s="84">
        <f>122.58</f>
        <v>122.58</v>
      </c>
      <c r="D949" s="84">
        <f>297.941</f>
        <v>297.94099999999997</v>
      </c>
      <c r="E949" s="93">
        <f>89.177</f>
        <v>89.177000000000007</v>
      </c>
      <c r="F949" s="84">
        <f>240.302-40-60-100</f>
        <v>40.301999999999992</v>
      </c>
      <c r="G949" s="87">
        <v>40</v>
      </c>
      <c r="H949" s="84">
        <f>60+100</f>
        <v>160</v>
      </c>
      <c r="I949" s="84">
        <f t="shared" si="158"/>
        <v>0</v>
      </c>
      <c r="J949" s="87">
        <v>100</v>
      </c>
      <c r="K949" s="87">
        <v>300</v>
      </c>
      <c r="L949" s="84">
        <f t="shared" si="152"/>
        <v>1150</v>
      </c>
      <c r="M949" s="95">
        <v>600</v>
      </c>
      <c r="N949" s="84">
        <f>100</f>
        <v>100</v>
      </c>
      <c r="O949" s="87">
        <v>240</v>
      </c>
      <c r="P949" s="87">
        <v>40</v>
      </c>
      <c r="Q949" s="87">
        <f t="shared" si="153"/>
        <v>315</v>
      </c>
      <c r="R949" s="87">
        <f t="shared" si="154"/>
        <v>100</v>
      </c>
      <c r="S949" s="84">
        <f t="shared" si="155"/>
        <v>695</v>
      </c>
      <c r="T949" s="84">
        <f>50</f>
        <v>50</v>
      </c>
      <c r="U949" s="85"/>
      <c r="V949" s="85"/>
      <c r="W949" s="85"/>
      <c r="X949" s="85"/>
      <c r="Y949" s="85"/>
      <c r="Z949" s="85"/>
      <c r="AA949" s="85"/>
      <c r="AB949" s="85"/>
      <c r="AC949" s="85"/>
      <c r="AD949" s="85"/>
    </row>
    <row r="950" spans="1:30" ht="15.75" x14ac:dyDescent="0.25">
      <c r="A950" s="13">
        <v>69853</v>
      </c>
      <c r="B950" s="96">
        <f t="shared" si="151"/>
        <v>31</v>
      </c>
      <c r="C950" s="84">
        <f>122.58</f>
        <v>122.58</v>
      </c>
      <c r="D950" s="84">
        <f>297.941</f>
        <v>297.94099999999997</v>
      </c>
      <c r="E950" s="93">
        <f>89.177</f>
        <v>89.177000000000007</v>
      </c>
      <c r="F950" s="84">
        <f>240.302-40-60-100</f>
        <v>40.301999999999992</v>
      </c>
      <c r="G950" s="87">
        <v>40</v>
      </c>
      <c r="H950" s="84">
        <f>60+100</f>
        <v>160</v>
      </c>
      <c r="I950" s="84">
        <f t="shared" si="158"/>
        <v>0</v>
      </c>
      <c r="J950" s="87">
        <v>100</v>
      </c>
      <c r="K950" s="87">
        <v>300</v>
      </c>
      <c r="L950" s="84">
        <f t="shared" si="152"/>
        <v>1150</v>
      </c>
      <c r="M950" s="95">
        <v>600</v>
      </c>
      <c r="N950" s="84">
        <f>100</f>
        <v>100</v>
      </c>
      <c r="O950" s="87">
        <v>240</v>
      </c>
      <c r="P950" s="87">
        <v>40</v>
      </c>
      <c r="Q950" s="87">
        <f t="shared" si="153"/>
        <v>315</v>
      </c>
      <c r="R950" s="87">
        <f t="shared" si="154"/>
        <v>100</v>
      </c>
      <c r="S950" s="84">
        <f t="shared" si="155"/>
        <v>695</v>
      </c>
      <c r="T950" s="84">
        <f>50</f>
        <v>50</v>
      </c>
      <c r="U950" s="85"/>
      <c r="V950" s="85"/>
      <c r="W950" s="85"/>
      <c r="X950" s="85"/>
      <c r="Y950" s="85"/>
      <c r="Z950" s="85"/>
      <c r="AA950" s="85"/>
      <c r="AB950" s="85"/>
      <c r="AC950" s="85"/>
      <c r="AD950" s="85"/>
    </row>
    <row r="951" spans="1:30" ht="15.75" x14ac:dyDescent="0.25">
      <c r="A951" s="13">
        <v>69883</v>
      </c>
      <c r="B951" s="96">
        <f t="shared" si="151"/>
        <v>30</v>
      </c>
      <c r="C951" s="84">
        <f>141.293</f>
        <v>141.29300000000001</v>
      </c>
      <c r="D951" s="84">
        <f>267.993</f>
        <v>267.99299999999999</v>
      </c>
      <c r="E951" s="93">
        <f>115.016</f>
        <v>115.01600000000001</v>
      </c>
      <c r="F951" s="84">
        <f>314.698-40-25-60-100</f>
        <v>89.697999999999979</v>
      </c>
      <c r="G951" s="87">
        <v>40</v>
      </c>
      <c r="H951" s="84">
        <f t="shared" ref="H951:H957" si="159">25+60+100</f>
        <v>185</v>
      </c>
      <c r="I951" s="84">
        <f t="shared" si="158"/>
        <v>0</v>
      </c>
      <c r="J951" s="87">
        <v>100</v>
      </c>
      <c r="K951" s="87">
        <v>300</v>
      </c>
      <c r="L951" s="84">
        <f t="shared" si="152"/>
        <v>1239</v>
      </c>
      <c r="M951" s="95">
        <v>600</v>
      </c>
      <c r="N951" s="84">
        <f>100</f>
        <v>100</v>
      </c>
      <c r="O951" s="87">
        <v>240</v>
      </c>
      <c r="P951" s="87">
        <v>40</v>
      </c>
      <c r="Q951" s="87">
        <f t="shared" si="153"/>
        <v>315</v>
      </c>
      <c r="R951" s="87">
        <f t="shared" si="154"/>
        <v>100</v>
      </c>
      <c r="S951" s="84">
        <f t="shared" si="155"/>
        <v>695</v>
      </c>
      <c r="T951" s="84">
        <f>50</f>
        <v>50</v>
      </c>
      <c r="U951" s="85"/>
      <c r="V951" s="85"/>
      <c r="W951" s="85"/>
      <c r="X951" s="85"/>
      <c r="Y951" s="85"/>
      <c r="Z951" s="85"/>
      <c r="AA951" s="85"/>
      <c r="AB951" s="85"/>
      <c r="AC951" s="85"/>
      <c r="AD951" s="85"/>
    </row>
    <row r="952" spans="1:30" ht="15.75" x14ac:dyDescent="0.25">
      <c r="A952" s="13">
        <v>69914</v>
      </c>
      <c r="B952" s="96">
        <f t="shared" si="151"/>
        <v>31</v>
      </c>
      <c r="C952" s="84">
        <f>194.205</f>
        <v>194.20500000000001</v>
      </c>
      <c r="D952" s="84">
        <f>267.466</f>
        <v>267.46600000000001</v>
      </c>
      <c r="E952" s="93">
        <f>133.845</f>
        <v>133.845</v>
      </c>
      <c r="F952" s="84">
        <f>278.484-40-25-60-100</f>
        <v>53.48399999999998</v>
      </c>
      <c r="G952" s="87">
        <v>40</v>
      </c>
      <c r="H952" s="84">
        <f t="shared" si="159"/>
        <v>185</v>
      </c>
      <c r="I952" s="84">
        <f t="shared" si="158"/>
        <v>0</v>
      </c>
      <c r="J952" s="87">
        <v>100</v>
      </c>
      <c r="K952" s="87">
        <v>300</v>
      </c>
      <c r="L952" s="84">
        <f t="shared" si="152"/>
        <v>1274</v>
      </c>
      <c r="M952" s="95">
        <v>600</v>
      </c>
      <c r="N952" s="84">
        <f>75</f>
        <v>75</v>
      </c>
      <c r="O952" s="87">
        <v>240</v>
      </c>
      <c r="P952" s="87">
        <v>40</v>
      </c>
      <c r="Q952" s="87">
        <f t="shared" si="153"/>
        <v>315</v>
      </c>
      <c r="R952" s="87">
        <f t="shared" si="154"/>
        <v>100</v>
      </c>
      <c r="S952" s="84">
        <f t="shared" si="155"/>
        <v>695</v>
      </c>
      <c r="T952" s="84">
        <f>50</f>
        <v>50</v>
      </c>
      <c r="U952" s="85"/>
      <c r="V952" s="85"/>
      <c r="W952" s="85"/>
      <c r="X952" s="85"/>
      <c r="Y952" s="85"/>
      <c r="Z952" s="85"/>
      <c r="AA952" s="85"/>
      <c r="AB952" s="85"/>
      <c r="AC952" s="85"/>
      <c r="AD952" s="85"/>
    </row>
    <row r="953" spans="1:30" ht="15.75" x14ac:dyDescent="0.25">
      <c r="A953" s="13">
        <v>69944</v>
      </c>
      <c r="B953" s="96">
        <f t="shared" si="151"/>
        <v>30</v>
      </c>
      <c r="C953" s="84">
        <f>194.205</f>
        <v>194.20500000000001</v>
      </c>
      <c r="D953" s="84">
        <f>267.466</f>
        <v>267.46600000000001</v>
      </c>
      <c r="E953" s="93">
        <f>133.845</f>
        <v>133.845</v>
      </c>
      <c r="F953" s="84">
        <f>278.484-40-25-60-100</f>
        <v>53.48399999999998</v>
      </c>
      <c r="G953" s="87">
        <v>40</v>
      </c>
      <c r="H953" s="84">
        <f t="shared" si="159"/>
        <v>185</v>
      </c>
      <c r="I953" s="84">
        <f t="shared" si="158"/>
        <v>0</v>
      </c>
      <c r="J953" s="87">
        <v>100</v>
      </c>
      <c r="K953" s="87">
        <v>300</v>
      </c>
      <c r="L953" s="84">
        <f t="shared" si="152"/>
        <v>1274</v>
      </c>
      <c r="M953" s="95">
        <v>600</v>
      </c>
      <c r="N953" s="84">
        <f>30</f>
        <v>30</v>
      </c>
      <c r="O953" s="87">
        <v>240</v>
      </c>
      <c r="P953" s="87">
        <v>40</v>
      </c>
      <c r="Q953" s="87">
        <f t="shared" si="153"/>
        <v>315</v>
      </c>
      <c r="R953" s="87">
        <f t="shared" si="154"/>
        <v>100</v>
      </c>
      <c r="S953" s="84">
        <f t="shared" si="155"/>
        <v>695</v>
      </c>
      <c r="T953" s="84">
        <f>50</f>
        <v>50</v>
      </c>
      <c r="U953" s="85"/>
      <c r="V953" s="85"/>
      <c r="W953" s="85"/>
      <c r="X953" s="85"/>
      <c r="Y953" s="85"/>
      <c r="Z953" s="85"/>
      <c r="AA953" s="85"/>
      <c r="AB953" s="85"/>
      <c r="AC953" s="85"/>
      <c r="AD953" s="85"/>
    </row>
    <row r="954" spans="1:30" ht="15.75" x14ac:dyDescent="0.25">
      <c r="A954" s="13">
        <v>69975</v>
      </c>
      <c r="B954" s="96">
        <f t="shared" si="151"/>
        <v>31</v>
      </c>
      <c r="C954" s="84">
        <f>194.205</f>
        <v>194.20500000000001</v>
      </c>
      <c r="D954" s="84">
        <f>267.466</f>
        <v>267.46600000000001</v>
      </c>
      <c r="E954" s="93">
        <f>133.845</f>
        <v>133.845</v>
      </c>
      <c r="F954" s="84">
        <f>278.484-40-25-60-100</f>
        <v>53.48399999999998</v>
      </c>
      <c r="G954" s="87">
        <v>40</v>
      </c>
      <c r="H954" s="84">
        <f t="shared" si="159"/>
        <v>185</v>
      </c>
      <c r="I954" s="84">
        <f t="shared" si="158"/>
        <v>0</v>
      </c>
      <c r="J954" s="87">
        <v>100</v>
      </c>
      <c r="K954" s="87">
        <v>300</v>
      </c>
      <c r="L954" s="84">
        <f t="shared" si="152"/>
        <v>1274</v>
      </c>
      <c r="M954" s="95">
        <v>600</v>
      </c>
      <c r="N954" s="84">
        <f>30</f>
        <v>30</v>
      </c>
      <c r="O954" s="87">
        <v>240</v>
      </c>
      <c r="P954" s="87">
        <v>40</v>
      </c>
      <c r="Q954" s="87">
        <f t="shared" si="153"/>
        <v>315</v>
      </c>
      <c r="R954" s="87">
        <f t="shared" si="154"/>
        <v>100</v>
      </c>
      <c r="S954" s="84">
        <f t="shared" si="155"/>
        <v>695</v>
      </c>
      <c r="T954" s="84">
        <f>0</f>
        <v>0</v>
      </c>
      <c r="U954" s="85"/>
      <c r="V954" s="85"/>
      <c r="W954" s="85"/>
      <c r="X954" s="85"/>
      <c r="Y954" s="85"/>
      <c r="Z954" s="85"/>
      <c r="AA954" s="85"/>
      <c r="AB954" s="85"/>
      <c r="AC954" s="85"/>
      <c r="AD954" s="85"/>
    </row>
    <row r="955" spans="1:30" ht="15.75" x14ac:dyDescent="0.25">
      <c r="A955" s="13">
        <v>70006</v>
      </c>
      <c r="B955" s="96">
        <f t="shared" si="151"/>
        <v>31</v>
      </c>
      <c r="C955" s="84">
        <f>194.205</f>
        <v>194.20500000000001</v>
      </c>
      <c r="D955" s="84">
        <f>267.466</f>
        <v>267.46600000000001</v>
      </c>
      <c r="E955" s="93">
        <f>133.845</f>
        <v>133.845</v>
      </c>
      <c r="F955" s="84">
        <f>278.484-40-25-60-100</f>
        <v>53.48399999999998</v>
      </c>
      <c r="G955" s="87">
        <v>40</v>
      </c>
      <c r="H955" s="84">
        <f t="shared" si="159"/>
        <v>185</v>
      </c>
      <c r="I955" s="84">
        <f t="shared" si="158"/>
        <v>0</v>
      </c>
      <c r="J955" s="87">
        <v>100</v>
      </c>
      <c r="K955" s="87">
        <v>300</v>
      </c>
      <c r="L955" s="84">
        <f t="shared" si="152"/>
        <v>1274</v>
      </c>
      <c r="M955" s="95">
        <v>600</v>
      </c>
      <c r="N955" s="84">
        <f>30</f>
        <v>30</v>
      </c>
      <c r="O955" s="87">
        <v>240</v>
      </c>
      <c r="P955" s="87">
        <v>40</v>
      </c>
      <c r="Q955" s="87">
        <f t="shared" si="153"/>
        <v>315</v>
      </c>
      <c r="R955" s="87">
        <f t="shared" si="154"/>
        <v>100</v>
      </c>
      <c r="S955" s="84">
        <f t="shared" si="155"/>
        <v>695</v>
      </c>
      <c r="T955" s="84">
        <f>0</f>
        <v>0</v>
      </c>
      <c r="U955" s="85"/>
      <c r="V955" s="85"/>
      <c r="W955" s="85"/>
      <c r="X955" s="85"/>
      <c r="Y955" s="85"/>
      <c r="Z955" s="85"/>
      <c r="AA955" s="85"/>
      <c r="AB955" s="85"/>
      <c r="AC955" s="85"/>
      <c r="AD955" s="85"/>
    </row>
    <row r="956" spans="1:30" ht="15.75" x14ac:dyDescent="0.25">
      <c r="A956" s="13">
        <v>70036</v>
      </c>
      <c r="B956" s="96">
        <f t="shared" si="151"/>
        <v>30</v>
      </c>
      <c r="C956" s="84">
        <f>194.205</f>
        <v>194.20500000000001</v>
      </c>
      <c r="D956" s="84">
        <f>267.466</f>
        <v>267.46600000000001</v>
      </c>
      <c r="E956" s="93">
        <f>133.845</f>
        <v>133.845</v>
      </c>
      <c r="F956" s="84">
        <f>278.484-40-25-60-100</f>
        <v>53.48399999999998</v>
      </c>
      <c r="G956" s="87">
        <v>40</v>
      </c>
      <c r="H956" s="84">
        <f t="shared" si="159"/>
        <v>185</v>
      </c>
      <c r="I956" s="84">
        <f t="shared" si="158"/>
        <v>0</v>
      </c>
      <c r="J956" s="87">
        <v>100</v>
      </c>
      <c r="K956" s="87">
        <v>300</v>
      </c>
      <c r="L956" s="84">
        <f t="shared" si="152"/>
        <v>1274</v>
      </c>
      <c r="M956" s="95">
        <v>600</v>
      </c>
      <c r="N956" s="84">
        <f>30</f>
        <v>30</v>
      </c>
      <c r="O956" s="87">
        <v>240</v>
      </c>
      <c r="P956" s="87">
        <v>40</v>
      </c>
      <c r="Q956" s="87">
        <f t="shared" si="153"/>
        <v>315</v>
      </c>
      <c r="R956" s="87">
        <f t="shared" si="154"/>
        <v>100</v>
      </c>
      <c r="S956" s="84">
        <f t="shared" si="155"/>
        <v>695</v>
      </c>
      <c r="T956" s="84">
        <f>0</f>
        <v>0</v>
      </c>
      <c r="U956" s="85"/>
      <c r="V956" s="85"/>
      <c r="W956" s="85"/>
      <c r="X956" s="85"/>
      <c r="Y956" s="85"/>
      <c r="Z956" s="85"/>
      <c r="AA956" s="85"/>
      <c r="AB956" s="85"/>
      <c r="AC956" s="85"/>
      <c r="AD956" s="85"/>
    </row>
    <row r="957" spans="1:30" ht="15.75" x14ac:dyDescent="0.25">
      <c r="A957" s="13">
        <v>70067</v>
      </c>
      <c r="B957" s="96">
        <f t="shared" si="151"/>
        <v>31</v>
      </c>
      <c r="C957" s="84">
        <f>131.881</f>
        <v>131.881</v>
      </c>
      <c r="D957" s="84">
        <f>277.167</f>
        <v>277.16699999999997</v>
      </c>
      <c r="E957" s="93">
        <f>79.08</f>
        <v>79.08</v>
      </c>
      <c r="F957" s="84">
        <f>350.872-40-25-60-100</f>
        <v>125.87200000000001</v>
      </c>
      <c r="G957" s="87">
        <v>40</v>
      </c>
      <c r="H957" s="84">
        <f t="shared" si="159"/>
        <v>185</v>
      </c>
      <c r="I957" s="84">
        <f t="shared" si="158"/>
        <v>0</v>
      </c>
      <c r="J957" s="87">
        <v>100</v>
      </c>
      <c r="K957" s="87">
        <v>300</v>
      </c>
      <c r="L957" s="84">
        <f t="shared" si="152"/>
        <v>1239</v>
      </c>
      <c r="M957" s="95">
        <v>600</v>
      </c>
      <c r="N957" s="84">
        <f>75</f>
        <v>75</v>
      </c>
      <c r="O957" s="87">
        <v>240</v>
      </c>
      <c r="P957" s="87">
        <v>40</v>
      </c>
      <c r="Q957" s="87">
        <f t="shared" si="153"/>
        <v>315</v>
      </c>
      <c r="R957" s="87">
        <f t="shared" si="154"/>
        <v>100</v>
      </c>
      <c r="S957" s="84">
        <f t="shared" si="155"/>
        <v>695</v>
      </c>
      <c r="T957" s="84">
        <f>0</f>
        <v>0</v>
      </c>
      <c r="U957" s="85"/>
      <c r="V957" s="85"/>
      <c r="W957" s="85"/>
      <c r="X957" s="85"/>
      <c r="Y957" s="85"/>
      <c r="Z957" s="85"/>
      <c r="AA957" s="85"/>
      <c r="AB957" s="85"/>
      <c r="AC957" s="85"/>
      <c r="AD957" s="85"/>
    </row>
    <row r="958" spans="1:30" ht="15.75" x14ac:dyDescent="0.25">
      <c r="A958" s="13">
        <v>70097</v>
      </c>
      <c r="B958" s="96">
        <f t="shared" si="151"/>
        <v>30</v>
      </c>
      <c r="C958" s="84">
        <f>122.58</f>
        <v>122.58</v>
      </c>
      <c r="D958" s="84">
        <f>297.941</f>
        <v>297.94099999999997</v>
      </c>
      <c r="E958" s="93">
        <f>89.177</f>
        <v>89.177000000000007</v>
      </c>
      <c r="F958" s="84">
        <f>240.302-40-60-100</f>
        <v>40.301999999999992</v>
      </c>
      <c r="G958" s="87">
        <v>40</v>
      </c>
      <c r="H958" s="84">
        <f>60+100</f>
        <v>160</v>
      </c>
      <c r="I958" s="84">
        <f t="shared" si="158"/>
        <v>0</v>
      </c>
      <c r="J958" s="87">
        <v>100</v>
      </c>
      <c r="K958" s="87">
        <v>300</v>
      </c>
      <c r="L958" s="84">
        <f t="shared" si="152"/>
        <v>1150</v>
      </c>
      <c r="M958" s="95">
        <v>600</v>
      </c>
      <c r="N958" s="84">
        <f>100</f>
        <v>100</v>
      </c>
      <c r="O958" s="87">
        <v>240</v>
      </c>
      <c r="P958" s="87">
        <v>40</v>
      </c>
      <c r="Q958" s="87">
        <f t="shared" si="153"/>
        <v>315</v>
      </c>
      <c r="R958" s="87">
        <f t="shared" si="154"/>
        <v>100</v>
      </c>
      <c r="S958" s="84">
        <f t="shared" si="155"/>
        <v>695</v>
      </c>
      <c r="T958" s="84">
        <f>50</f>
        <v>50</v>
      </c>
      <c r="U958" s="85"/>
      <c r="V958" s="85"/>
      <c r="W958" s="85"/>
      <c r="X958" s="85"/>
      <c r="Y958" s="85"/>
      <c r="Z958" s="85"/>
      <c r="AA958" s="85"/>
      <c r="AB958" s="85"/>
      <c r="AC958" s="85"/>
      <c r="AD958" s="85"/>
    </row>
    <row r="959" spans="1:30" ht="15.75" x14ac:dyDescent="0.25">
      <c r="A959" s="13">
        <v>70128</v>
      </c>
      <c r="B959" s="96">
        <f t="shared" si="151"/>
        <v>31</v>
      </c>
      <c r="C959" s="84">
        <f>122.58</f>
        <v>122.58</v>
      </c>
      <c r="D959" s="84">
        <f>297.941</f>
        <v>297.94099999999997</v>
      </c>
      <c r="E959" s="93">
        <f>89.177</f>
        <v>89.177000000000007</v>
      </c>
      <c r="F959" s="84">
        <f>240.302-40-60-100</f>
        <v>40.301999999999992</v>
      </c>
      <c r="G959" s="87">
        <v>40</v>
      </c>
      <c r="H959" s="84">
        <f>60+100</f>
        <v>160</v>
      </c>
      <c r="I959" s="84">
        <f t="shared" si="158"/>
        <v>0</v>
      </c>
      <c r="J959" s="87">
        <v>100</v>
      </c>
      <c r="K959" s="87">
        <v>300</v>
      </c>
      <c r="L959" s="84">
        <f t="shared" si="152"/>
        <v>1150</v>
      </c>
      <c r="M959" s="95">
        <v>600</v>
      </c>
      <c r="N959" s="84">
        <f>100</f>
        <v>100</v>
      </c>
      <c r="O959" s="87">
        <v>240</v>
      </c>
      <c r="P959" s="87">
        <v>40</v>
      </c>
      <c r="Q959" s="87">
        <f t="shared" si="153"/>
        <v>315</v>
      </c>
      <c r="R959" s="87">
        <f t="shared" si="154"/>
        <v>100</v>
      </c>
      <c r="S959" s="84">
        <f t="shared" si="155"/>
        <v>695</v>
      </c>
      <c r="T959" s="84">
        <f>50</f>
        <v>50</v>
      </c>
      <c r="U959" s="85"/>
      <c r="V959" s="85"/>
      <c r="W959" s="85"/>
      <c r="X959" s="85"/>
      <c r="Y959" s="85"/>
      <c r="Z959" s="85"/>
      <c r="AA959" s="85"/>
      <c r="AB959" s="85"/>
      <c r="AC959" s="85"/>
      <c r="AD959" s="85"/>
    </row>
    <row r="960" spans="1:30" ht="15.75" x14ac:dyDescent="0.25">
      <c r="A960" s="13">
        <v>70159</v>
      </c>
      <c r="B960" s="96">
        <f t="shared" si="151"/>
        <v>31</v>
      </c>
      <c r="C960" s="84">
        <f>122.58</f>
        <v>122.58</v>
      </c>
      <c r="D960" s="84">
        <f>297.941</f>
        <v>297.94099999999997</v>
      </c>
      <c r="E960" s="93">
        <f>89.177</f>
        <v>89.177000000000007</v>
      </c>
      <c r="F960" s="84">
        <f>240.302-40-60-100</f>
        <v>40.301999999999992</v>
      </c>
      <c r="G960" s="87">
        <v>40</v>
      </c>
      <c r="H960" s="84">
        <f>60+100</f>
        <v>160</v>
      </c>
      <c r="I960" s="84">
        <f t="shared" si="158"/>
        <v>0</v>
      </c>
      <c r="J960" s="87">
        <v>100</v>
      </c>
      <c r="K960" s="87">
        <v>300</v>
      </c>
      <c r="L960" s="84">
        <f t="shared" si="152"/>
        <v>1150</v>
      </c>
      <c r="M960" s="95">
        <v>600</v>
      </c>
      <c r="N960" s="84">
        <f>100</f>
        <v>100</v>
      </c>
      <c r="O960" s="87">
        <v>240</v>
      </c>
      <c r="P960" s="87">
        <v>40</v>
      </c>
      <c r="Q960" s="87">
        <f t="shared" si="153"/>
        <v>315</v>
      </c>
      <c r="R960" s="87">
        <f t="shared" si="154"/>
        <v>100</v>
      </c>
      <c r="S960" s="84">
        <f t="shared" si="155"/>
        <v>695</v>
      </c>
      <c r="T960" s="84">
        <f>50</f>
        <v>50</v>
      </c>
      <c r="U960" s="85"/>
      <c r="V960" s="85"/>
      <c r="W960" s="85"/>
      <c r="X960" s="85"/>
      <c r="Y960" s="85"/>
      <c r="Z960" s="85"/>
      <c r="AA960" s="85"/>
      <c r="AB960" s="85"/>
      <c r="AC960" s="85"/>
      <c r="AD960" s="85"/>
    </row>
    <row r="961" spans="1:30" ht="15.75" x14ac:dyDescent="0.25">
      <c r="A961" s="13">
        <v>70188</v>
      </c>
      <c r="B961" s="96">
        <f t="shared" si="151"/>
        <v>29</v>
      </c>
      <c r="C961" s="84">
        <f>122.58</f>
        <v>122.58</v>
      </c>
      <c r="D961" s="84">
        <f>297.941</f>
        <v>297.94099999999997</v>
      </c>
      <c r="E961" s="93">
        <f>89.177</f>
        <v>89.177000000000007</v>
      </c>
      <c r="F961" s="84">
        <f>240.302-40-60-100</f>
        <v>40.301999999999992</v>
      </c>
      <c r="G961" s="87">
        <v>40</v>
      </c>
      <c r="H961" s="84">
        <f>60+100</f>
        <v>160</v>
      </c>
      <c r="I961" s="84">
        <f t="shared" si="158"/>
        <v>0</v>
      </c>
      <c r="J961" s="87">
        <v>100</v>
      </c>
      <c r="K961" s="87">
        <v>300</v>
      </c>
      <c r="L961" s="84">
        <f t="shared" si="152"/>
        <v>1150</v>
      </c>
      <c r="M961" s="95">
        <v>600</v>
      </c>
      <c r="N961" s="84">
        <f>100</f>
        <v>100</v>
      </c>
      <c r="O961" s="87">
        <v>240</v>
      </c>
      <c r="P961" s="87">
        <v>40</v>
      </c>
      <c r="Q961" s="87">
        <f t="shared" si="153"/>
        <v>315</v>
      </c>
      <c r="R961" s="87">
        <f t="shared" si="154"/>
        <v>100</v>
      </c>
      <c r="S961" s="84">
        <f t="shared" si="155"/>
        <v>695</v>
      </c>
      <c r="T961" s="84">
        <f>50</f>
        <v>50</v>
      </c>
      <c r="U961" s="85"/>
      <c r="V961" s="85"/>
      <c r="W961" s="85"/>
      <c r="X961" s="85"/>
      <c r="Y961" s="85"/>
      <c r="Z961" s="85"/>
      <c r="AA961" s="85"/>
      <c r="AB961" s="85"/>
      <c r="AC961" s="85"/>
      <c r="AD961" s="85"/>
    </row>
    <row r="962" spans="1:30" ht="15.75" x14ac:dyDescent="0.25">
      <c r="A962" s="13">
        <v>70219</v>
      </c>
      <c r="B962" s="96">
        <f t="shared" si="151"/>
        <v>31</v>
      </c>
      <c r="C962" s="84">
        <f>122.58</f>
        <v>122.58</v>
      </c>
      <c r="D962" s="84">
        <f>297.941</f>
        <v>297.94099999999997</v>
      </c>
      <c r="E962" s="93">
        <f>89.177</f>
        <v>89.177000000000007</v>
      </c>
      <c r="F962" s="84">
        <f>240.302-40-60-100</f>
        <v>40.301999999999992</v>
      </c>
      <c r="G962" s="87">
        <v>40</v>
      </c>
      <c r="H962" s="84">
        <f>60+100</f>
        <v>160</v>
      </c>
      <c r="I962" s="84">
        <f t="shared" si="158"/>
        <v>0</v>
      </c>
      <c r="J962" s="87">
        <v>100</v>
      </c>
      <c r="K962" s="87">
        <v>300</v>
      </c>
      <c r="L962" s="84">
        <f t="shared" si="152"/>
        <v>1150</v>
      </c>
      <c r="M962" s="95">
        <v>600</v>
      </c>
      <c r="N962" s="84">
        <f>100</f>
        <v>100</v>
      </c>
      <c r="O962" s="87">
        <v>240</v>
      </c>
      <c r="P962" s="87">
        <v>40</v>
      </c>
      <c r="Q962" s="87">
        <f t="shared" si="153"/>
        <v>315</v>
      </c>
      <c r="R962" s="87">
        <f t="shared" si="154"/>
        <v>100</v>
      </c>
      <c r="S962" s="84">
        <f t="shared" si="155"/>
        <v>695</v>
      </c>
      <c r="T962" s="84">
        <f>50</f>
        <v>50</v>
      </c>
      <c r="U962" s="85"/>
      <c r="V962" s="85"/>
      <c r="W962" s="85"/>
      <c r="X962" s="85"/>
      <c r="Y962" s="85"/>
      <c r="Z962" s="85"/>
      <c r="AA962" s="85"/>
      <c r="AB962" s="85"/>
      <c r="AC962" s="85"/>
      <c r="AD962" s="85"/>
    </row>
    <row r="963" spans="1:30" ht="15.75" x14ac:dyDescent="0.25">
      <c r="A963" s="13">
        <v>70249</v>
      </c>
      <c r="B963" s="96">
        <f t="shared" si="151"/>
        <v>30</v>
      </c>
      <c r="C963" s="84">
        <f>141.293</f>
        <v>141.29300000000001</v>
      </c>
      <c r="D963" s="84">
        <f>267.993</f>
        <v>267.99299999999999</v>
      </c>
      <c r="E963" s="93">
        <f>115.016</f>
        <v>115.01600000000001</v>
      </c>
      <c r="F963" s="84">
        <f>314.698-40-25-60-100</f>
        <v>89.697999999999979</v>
      </c>
      <c r="G963" s="87">
        <v>40</v>
      </c>
      <c r="H963" s="84">
        <f t="shared" ref="H963:H969" si="160">25+60+100</f>
        <v>185</v>
      </c>
      <c r="I963" s="84">
        <f t="shared" si="158"/>
        <v>0</v>
      </c>
      <c r="J963" s="87">
        <v>100</v>
      </c>
      <c r="K963" s="87">
        <v>300</v>
      </c>
      <c r="L963" s="84">
        <f t="shared" si="152"/>
        <v>1239</v>
      </c>
      <c r="M963" s="95">
        <v>600</v>
      </c>
      <c r="N963" s="84">
        <f>100</f>
        <v>100</v>
      </c>
      <c r="O963" s="87">
        <v>240</v>
      </c>
      <c r="P963" s="87">
        <v>40</v>
      </c>
      <c r="Q963" s="87">
        <f t="shared" si="153"/>
        <v>315</v>
      </c>
      <c r="R963" s="87">
        <f t="shared" si="154"/>
        <v>100</v>
      </c>
      <c r="S963" s="84">
        <f t="shared" si="155"/>
        <v>695</v>
      </c>
      <c r="T963" s="84">
        <f>50</f>
        <v>50</v>
      </c>
      <c r="U963" s="85"/>
      <c r="V963" s="85"/>
      <c r="W963" s="85"/>
      <c r="X963" s="85"/>
      <c r="Y963" s="85"/>
      <c r="Z963" s="85"/>
      <c r="AA963" s="85"/>
      <c r="AB963" s="85"/>
      <c r="AC963" s="85"/>
      <c r="AD963" s="85"/>
    </row>
    <row r="964" spans="1:30" ht="15.75" x14ac:dyDescent="0.25">
      <c r="A964" s="13">
        <v>70280</v>
      </c>
      <c r="B964" s="96">
        <f t="shared" si="151"/>
        <v>31</v>
      </c>
      <c r="C964" s="84">
        <f>194.205</f>
        <v>194.20500000000001</v>
      </c>
      <c r="D964" s="84">
        <f>267.466</f>
        <v>267.46600000000001</v>
      </c>
      <c r="E964" s="93">
        <f>133.845</f>
        <v>133.845</v>
      </c>
      <c r="F964" s="84">
        <f>278.484-40-25-60-100</f>
        <v>53.48399999999998</v>
      </c>
      <c r="G964" s="87">
        <v>40</v>
      </c>
      <c r="H964" s="84">
        <f t="shared" si="160"/>
        <v>185</v>
      </c>
      <c r="I964" s="84">
        <f t="shared" si="158"/>
        <v>0</v>
      </c>
      <c r="J964" s="87">
        <v>100</v>
      </c>
      <c r="K964" s="87">
        <v>300</v>
      </c>
      <c r="L964" s="84">
        <f t="shared" si="152"/>
        <v>1274</v>
      </c>
      <c r="M964" s="95">
        <v>600</v>
      </c>
      <c r="N964" s="84">
        <f>75</f>
        <v>75</v>
      </c>
      <c r="O964" s="87">
        <v>240</v>
      </c>
      <c r="P964" s="87">
        <v>40</v>
      </c>
      <c r="Q964" s="87">
        <f t="shared" si="153"/>
        <v>315</v>
      </c>
      <c r="R964" s="87">
        <f t="shared" si="154"/>
        <v>100</v>
      </c>
      <c r="S964" s="84">
        <f t="shared" si="155"/>
        <v>695</v>
      </c>
      <c r="T964" s="84">
        <f>50</f>
        <v>50</v>
      </c>
      <c r="U964" s="85"/>
      <c r="V964" s="85"/>
      <c r="W964" s="85"/>
      <c r="X964" s="85"/>
      <c r="Y964" s="85"/>
      <c r="Z964" s="85"/>
      <c r="AA964" s="85"/>
      <c r="AB964" s="85"/>
      <c r="AC964" s="85"/>
      <c r="AD964" s="85"/>
    </row>
    <row r="965" spans="1:30" ht="15.75" x14ac:dyDescent="0.25">
      <c r="A965" s="13">
        <v>70310</v>
      </c>
      <c r="B965" s="96">
        <f t="shared" si="151"/>
        <v>30</v>
      </c>
      <c r="C965" s="84">
        <f>194.205</f>
        <v>194.20500000000001</v>
      </c>
      <c r="D965" s="84">
        <f>267.466</f>
        <v>267.46600000000001</v>
      </c>
      <c r="E965" s="93">
        <f>133.845</f>
        <v>133.845</v>
      </c>
      <c r="F965" s="84">
        <f>278.484-40-25-60-100</f>
        <v>53.48399999999998</v>
      </c>
      <c r="G965" s="87">
        <v>40</v>
      </c>
      <c r="H965" s="84">
        <f t="shared" si="160"/>
        <v>185</v>
      </c>
      <c r="I965" s="84">
        <f t="shared" si="158"/>
        <v>0</v>
      </c>
      <c r="J965" s="87">
        <v>100</v>
      </c>
      <c r="K965" s="87">
        <v>300</v>
      </c>
      <c r="L965" s="84">
        <f t="shared" si="152"/>
        <v>1274</v>
      </c>
      <c r="M965" s="95">
        <v>600</v>
      </c>
      <c r="N965" s="84">
        <f>30</f>
        <v>30</v>
      </c>
      <c r="O965" s="87">
        <v>240</v>
      </c>
      <c r="P965" s="87">
        <v>40</v>
      </c>
      <c r="Q965" s="87">
        <f t="shared" si="153"/>
        <v>315</v>
      </c>
      <c r="R965" s="87">
        <f t="shared" si="154"/>
        <v>100</v>
      </c>
      <c r="S965" s="84">
        <f t="shared" si="155"/>
        <v>695</v>
      </c>
      <c r="T965" s="84">
        <f>50</f>
        <v>50</v>
      </c>
      <c r="U965" s="85"/>
      <c r="V965" s="85"/>
      <c r="W965" s="85"/>
      <c r="X965" s="85"/>
      <c r="Y965" s="85"/>
      <c r="Z965" s="85"/>
      <c r="AA965" s="85"/>
      <c r="AB965" s="85"/>
      <c r="AC965" s="85"/>
      <c r="AD965" s="85"/>
    </row>
    <row r="966" spans="1:30" ht="15.75" x14ac:dyDescent="0.25">
      <c r="A966" s="13">
        <v>70341</v>
      </c>
      <c r="B966" s="96">
        <f t="shared" si="151"/>
        <v>31</v>
      </c>
      <c r="C966" s="84">
        <f>194.205</f>
        <v>194.20500000000001</v>
      </c>
      <c r="D966" s="84">
        <f>267.466</f>
        <v>267.46600000000001</v>
      </c>
      <c r="E966" s="93">
        <f>133.845</f>
        <v>133.845</v>
      </c>
      <c r="F966" s="84">
        <f>278.484-40-25-60-100</f>
        <v>53.48399999999998</v>
      </c>
      <c r="G966" s="87">
        <v>40</v>
      </c>
      <c r="H966" s="84">
        <f t="shared" si="160"/>
        <v>185</v>
      </c>
      <c r="I966" s="84">
        <f t="shared" si="158"/>
        <v>0</v>
      </c>
      <c r="J966" s="87">
        <v>100</v>
      </c>
      <c r="K966" s="87">
        <v>300</v>
      </c>
      <c r="L966" s="84">
        <f t="shared" si="152"/>
        <v>1274</v>
      </c>
      <c r="M966" s="95">
        <v>600</v>
      </c>
      <c r="N966" s="84">
        <f>30</f>
        <v>30</v>
      </c>
      <c r="O966" s="87">
        <v>240</v>
      </c>
      <c r="P966" s="87">
        <v>40</v>
      </c>
      <c r="Q966" s="87">
        <f t="shared" si="153"/>
        <v>315</v>
      </c>
      <c r="R966" s="87">
        <f t="shared" si="154"/>
        <v>100</v>
      </c>
      <c r="S966" s="84">
        <f t="shared" si="155"/>
        <v>695</v>
      </c>
      <c r="T966" s="84">
        <f>0</f>
        <v>0</v>
      </c>
      <c r="U966" s="85"/>
      <c r="V966" s="85"/>
      <c r="W966" s="85"/>
      <c r="X966" s="85"/>
      <c r="Y966" s="85"/>
      <c r="Z966" s="85"/>
      <c r="AA966" s="85"/>
      <c r="AB966" s="85"/>
      <c r="AC966" s="85"/>
      <c r="AD966" s="85"/>
    </row>
    <row r="967" spans="1:30" ht="15.75" x14ac:dyDescent="0.25">
      <c r="A967" s="13">
        <v>70372</v>
      </c>
      <c r="B967" s="96">
        <f t="shared" si="151"/>
        <v>31</v>
      </c>
      <c r="C967" s="84">
        <f>194.205</f>
        <v>194.20500000000001</v>
      </c>
      <c r="D967" s="84">
        <f>267.466</f>
        <v>267.46600000000001</v>
      </c>
      <c r="E967" s="93">
        <f>133.845</f>
        <v>133.845</v>
      </c>
      <c r="F967" s="84">
        <f>278.484-40-25-60-100</f>
        <v>53.48399999999998</v>
      </c>
      <c r="G967" s="87">
        <v>40</v>
      </c>
      <c r="H967" s="84">
        <f t="shared" si="160"/>
        <v>185</v>
      </c>
      <c r="I967" s="84">
        <f t="shared" si="158"/>
        <v>0</v>
      </c>
      <c r="J967" s="87">
        <v>100</v>
      </c>
      <c r="K967" s="87">
        <v>300</v>
      </c>
      <c r="L967" s="84">
        <f t="shared" si="152"/>
        <v>1274</v>
      </c>
      <c r="M967" s="95">
        <v>600</v>
      </c>
      <c r="N967" s="84">
        <f>30</f>
        <v>30</v>
      </c>
      <c r="O967" s="87">
        <v>240</v>
      </c>
      <c r="P967" s="87">
        <v>40</v>
      </c>
      <c r="Q967" s="87">
        <f t="shared" si="153"/>
        <v>315</v>
      </c>
      <c r="R967" s="87">
        <f t="shared" si="154"/>
        <v>100</v>
      </c>
      <c r="S967" s="84">
        <f t="shared" si="155"/>
        <v>695</v>
      </c>
      <c r="T967" s="84">
        <f>0</f>
        <v>0</v>
      </c>
      <c r="U967" s="85"/>
      <c r="V967" s="85"/>
      <c r="W967" s="85"/>
      <c r="X967" s="85"/>
      <c r="Y967" s="85"/>
      <c r="Z967" s="85"/>
      <c r="AA967" s="85"/>
      <c r="AB967" s="85"/>
      <c r="AC967" s="85"/>
      <c r="AD967" s="85"/>
    </row>
    <row r="968" spans="1:30" ht="15.75" x14ac:dyDescent="0.25">
      <c r="A968" s="13">
        <v>70402</v>
      </c>
      <c r="B968" s="96">
        <f t="shared" si="151"/>
        <v>30</v>
      </c>
      <c r="C968" s="84">
        <f>194.205</f>
        <v>194.20500000000001</v>
      </c>
      <c r="D968" s="84">
        <f>267.466</f>
        <v>267.46600000000001</v>
      </c>
      <c r="E968" s="93">
        <f>133.845</f>
        <v>133.845</v>
      </c>
      <c r="F968" s="84">
        <f>278.484-40-25-60-100</f>
        <v>53.48399999999998</v>
      </c>
      <c r="G968" s="87">
        <v>40</v>
      </c>
      <c r="H968" s="84">
        <f t="shared" si="160"/>
        <v>185</v>
      </c>
      <c r="I968" s="84">
        <f t="shared" si="158"/>
        <v>0</v>
      </c>
      <c r="J968" s="87">
        <v>100</v>
      </c>
      <c r="K968" s="87">
        <v>300</v>
      </c>
      <c r="L968" s="84">
        <f t="shared" si="152"/>
        <v>1274</v>
      </c>
      <c r="M968" s="95">
        <v>600</v>
      </c>
      <c r="N968" s="84">
        <f>30</f>
        <v>30</v>
      </c>
      <c r="O968" s="87">
        <v>240</v>
      </c>
      <c r="P968" s="87">
        <v>40</v>
      </c>
      <c r="Q968" s="87">
        <f t="shared" si="153"/>
        <v>315</v>
      </c>
      <c r="R968" s="87">
        <f t="shared" si="154"/>
        <v>100</v>
      </c>
      <c r="S968" s="84">
        <f t="shared" si="155"/>
        <v>695</v>
      </c>
      <c r="T968" s="84">
        <f>0</f>
        <v>0</v>
      </c>
      <c r="U968" s="85"/>
      <c r="V968" s="85"/>
      <c r="W968" s="85"/>
      <c r="X968" s="85"/>
      <c r="Y968" s="85"/>
      <c r="Z968" s="85"/>
      <c r="AA968" s="85"/>
      <c r="AB968" s="85"/>
      <c r="AC968" s="85"/>
      <c r="AD968" s="85"/>
    </row>
    <row r="969" spans="1:30" ht="15.75" x14ac:dyDescent="0.25">
      <c r="A969" s="13">
        <v>70433</v>
      </c>
      <c r="B969" s="96">
        <f t="shared" si="151"/>
        <v>31</v>
      </c>
      <c r="C969" s="84">
        <f>131.881</f>
        <v>131.881</v>
      </c>
      <c r="D969" s="84">
        <f>277.167</f>
        <v>277.16699999999997</v>
      </c>
      <c r="E969" s="93">
        <f>79.08</f>
        <v>79.08</v>
      </c>
      <c r="F969" s="84">
        <f>350.872-40-25-60-100</f>
        <v>125.87200000000001</v>
      </c>
      <c r="G969" s="87">
        <v>40</v>
      </c>
      <c r="H969" s="84">
        <f t="shared" si="160"/>
        <v>185</v>
      </c>
      <c r="I969" s="84">
        <f t="shared" si="158"/>
        <v>0</v>
      </c>
      <c r="J969" s="87">
        <v>100</v>
      </c>
      <c r="K969" s="87">
        <v>300</v>
      </c>
      <c r="L969" s="84">
        <f t="shared" si="152"/>
        <v>1239</v>
      </c>
      <c r="M969" s="95">
        <v>600</v>
      </c>
      <c r="N969" s="84">
        <f>75</f>
        <v>75</v>
      </c>
      <c r="O969" s="87">
        <v>240</v>
      </c>
      <c r="P969" s="87">
        <v>40</v>
      </c>
      <c r="Q969" s="87">
        <f t="shared" si="153"/>
        <v>315</v>
      </c>
      <c r="R969" s="87">
        <f t="shared" si="154"/>
        <v>100</v>
      </c>
      <c r="S969" s="84">
        <f t="shared" si="155"/>
        <v>695</v>
      </c>
      <c r="T969" s="84">
        <f>0</f>
        <v>0</v>
      </c>
      <c r="U969" s="85"/>
      <c r="V969" s="85"/>
      <c r="W969" s="85"/>
      <c r="X969" s="85"/>
      <c r="Y969" s="85"/>
      <c r="Z969" s="85"/>
      <c r="AA969" s="85"/>
      <c r="AB969" s="85"/>
      <c r="AC969" s="85"/>
      <c r="AD969" s="85"/>
    </row>
    <row r="970" spans="1:30" ht="15.75" x14ac:dyDescent="0.25">
      <c r="A970" s="13">
        <v>70463</v>
      </c>
      <c r="B970" s="96">
        <f t="shared" si="151"/>
        <v>30</v>
      </c>
      <c r="C970" s="84">
        <f>122.58</f>
        <v>122.58</v>
      </c>
      <c r="D970" s="84">
        <f>297.941</f>
        <v>297.94099999999997</v>
      </c>
      <c r="E970" s="93">
        <f>89.177</f>
        <v>89.177000000000007</v>
      </c>
      <c r="F970" s="84">
        <f>240.302-40-60-100</f>
        <v>40.301999999999992</v>
      </c>
      <c r="G970" s="87">
        <v>40</v>
      </c>
      <c r="H970" s="84">
        <f>60+100</f>
        <v>160</v>
      </c>
      <c r="I970" s="84">
        <f t="shared" si="158"/>
        <v>0</v>
      </c>
      <c r="J970" s="87">
        <v>100</v>
      </c>
      <c r="K970" s="87">
        <v>300</v>
      </c>
      <c r="L970" s="84">
        <f t="shared" si="152"/>
        <v>1150</v>
      </c>
      <c r="M970" s="95">
        <v>600</v>
      </c>
      <c r="N970" s="84">
        <f>100</f>
        <v>100</v>
      </c>
      <c r="O970" s="87">
        <v>240</v>
      </c>
      <c r="P970" s="87">
        <v>40</v>
      </c>
      <c r="Q970" s="87">
        <f t="shared" si="153"/>
        <v>315</v>
      </c>
      <c r="R970" s="87">
        <f t="shared" si="154"/>
        <v>100</v>
      </c>
      <c r="S970" s="84">
        <f t="shared" si="155"/>
        <v>695</v>
      </c>
      <c r="T970" s="84">
        <f>50</f>
        <v>50</v>
      </c>
      <c r="U970" s="85"/>
      <c r="V970" s="85"/>
      <c r="W970" s="85"/>
      <c r="X970" s="85"/>
      <c r="Y970" s="85"/>
      <c r="Z970" s="85"/>
      <c r="AA970" s="85"/>
      <c r="AB970" s="85"/>
      <c r="AC970" s="85"/>
      <c r="AD970" s="85"/>
    </row>
    <row r="971" spans="1:30" ht="15.75" x14ac:dyDescent="0.25">
      <c r="A971" s="13">
        <v>70494</v>
      </c>
      <c r="B971" s="96">
        <f t="shared" si="151"/>
        <v>31</v>
      </c>
      <c r="C971" s="84">
        <f>122.58</f>
        <v>122.58</v>
      </c>
      <c r="D971" s="84">
        <f>297.941</f>
        <v>297.94099999999997</v>
      </c>
      <c r="E971" s="93">
        <f>89.177</f>
        <v>89.177000000000007</v>
      </c>
      <c r="F971" s="84">
        <f>240.302-40-60-100</f>
        <v>40.301999999999992</v>
      </c>
      <c r="G971" s="87">
        <v>40</v>
      </c>
      <c r="H971" s="84">
        <f>60+100</f>
        <v>160</v>
      </c>
      <c r="I971" s="84">
        <f t="shared" si="158"/>
        <v>0</v>
      </c>
      <c r="J971" s="87">
        <v>100</v>
      </c>
      <c r="K971" s="87">
        <v>300</v>
      </c>
      <c r="L971" s="84">
        <f t="shared" si="152"/>
        <v>1150</v>
      </c>
      <c r="M971" s="95">
        <v>600</v>
      </c>
      <c r="N971" s="84">
        <f>100</f>
        <v>100</v>
      </c>
      <c r="O971" s="87">
        <v>240</v>
      </c>
      <c r="P971" s="87">
        <v>40</v>
      </c>
      <c r="Q971" s="87">
        <f t="shared" si="153"/>
        <v>315</v>
      </c>
      <c r="R971" s="87">
        <f t="shared" si="154"/>
        <v>100</v>
      </c>
      <c r="S971" s="84">
        <f t="shared" si="155"/>
        <v>695</v>
      </c>
      <c r="T971" s="84">
        <f>50</f>
        <v>50</v>
      </c>
      <c r="U971" s="85"/>
      <c r="V971" s="85"/>
      <c r="W971" s="85"/>
      <c r="X971" s="85"/>
      <c r="Y971" s="85"/>
      <c r="Z971" s="85"/>
      <c r="AA971" s="85"/>
      <c r="AB971" s="85"/>
      <c r="AC971" s="85"/>
      <c r="AD971" s="85"/>
    </row>
    <row r="972" spans="1:30" ht="15.75" x14ac:dyDescent="0.25">
      <c r="A972" s="13">
        <v>70525</v>
      </c>
      <c r="B972" s="96">
        <f t="shared" si="151"/>
        <v>31</v>
      </c>
      <c r="C972" s="84">
        <f>122.58</f>
        <v>122.58</v>
      </c>
      <c r="D972" s="84">
        <f>297.941</f>
        <v>297.94099999999997</v>
      </c>
      <c r="E972" s="93">
        <f>89.177</f>
        <v>89.177000000000007</v>
      </c>
      <c r="F972" s="84">
        <f>240.302-40-60-100</f>
        <v>40.301999999999992</v>
      </c>
      <c r="G972" s="87">
        <v>40</v>
      </c>
      <c r="H972" s="84">
        <f>60+100</f>
        <v>160</v>
      </c>
      <c r="I972" s="84">
        <f t="shared" si="158"/>
        <v>0</v>
      </c>
      <c r="J972" s="87">
        <v>100</v>
      </c>
      <c r="K972" s="87">
        <v>300</v>
      </c>
      <c r="L972" s="84">
        <f t="shared" si="152"/>
        <v>1150</v>
      </c>
      <c r="M972" s="95">
        <v>600</v>
      </c>
      <c r="N972" s="84">
        <f>100</f>
        <v>100</v>
      </c>
      <c r="O972" s="87">
        <v>240</v>
      </c>
      <c r="P972" s="87">
        <v>40</v>
      </c>
      <c r="Q972" s="87">
        <f t="shared" si="153"/>
        <v>315</v>
      </c>
      <c r="R972" s="87">
        <f t="shared" si="154"/>
        <v>100</v>
      </c>
      <c r="S972" s="84">
        <f t="shared" si="155"/>
        <v>695</v>
      </c>
      <c r="T972" s="84">
        <f>50</f>
        <v>50</v>
      </c>
      <c r="U972" s="85"/>
      <c r="V972" s="85"/>
      <c r="W972" s="85"/>
      <c r="X972" s="85"/>
      <c r="Y972" s="85"/>
      <c r="Z972" s="85"/>
      <c r="AA972" s="85"/>
      <c r="AB972" s="85"/>
      <c r="AC972" s="85"/>
      <c r="AD972" s="85"/>
    </row>
    <row r="973" spans="1:30" ht="15.75" x14ac:dyDescent="0.25">
      <c r="A973" s="13">
        <v>70553</v>
      </c>
      <c r="B973" s="96">
        <f t="shared" si="151"/>
        <v>28</v>
      </c>
      <c r="C973" s="84">
        <f>122.58</f>
        <v>122.58</v>
      </c>
      <c r="D973" s="84">
        <f>297.941</f>
        <v>297.94099999999997</v>
      </c>
      <c r="E973" s="93">
        <f>89.177</f>
        <v>89.177000000000007</v>
      </c>
      <c r="F973" s="84">
        <f>240.302-40-60-100</f>
        <v>40.301999999999992</v>
      </c>
      <c r="G973" s="87">
        <v>40</v>
      </c>
      <c r="H973" s="84">
        <f>60+100</f>
        <v>160</v>
      </c>
      <c r="I973" s="84">
        <f t="shared" si="158"/>
        <v>0</v>
      </c>
      <c r="J973" s="87">
        <v>100</v>
      </c>
      <c r="K973" s="87">
        <v>300</v>
      </c>
      <c r="L973" s="84">
        <f t="shared" si="152"/>
        <v>1150</v>
      </c>
      <c r="M973" s="95">
        <v>600</v>
      </c>
      <c r="N973" s="84">
        <f>100</f>
        <v>100</v>
      </c>
      <c r="O973" s="87">
        <v>240</v>
      </c>
      <c r="P973" s="87">
        <v>40</v>
      </c>
      <c r="Q973" s="87">
        <f t="shared" si="153"/>
        <v>315</v>
      </c>
      <c r="R973" s="87">
        <f t="shared" si="154"/>
        <v>100</v>
      </c>
      <c r="S973" s="84">
        <f t="shared" si="155"/>
        <v>695</v>
      </c>
      <c r="T973" s="84">
        <f>50</f>
        <v>50</v>
      </c>
      <c r="U973" s="85"/>
      <c r="V973" s="85"/>
      <c r="W973" s="85"/>
      <c r="X973" s="85"/>
      <c r="Y973" s="85"/>
      <c r="Z973" s="85"/>
      <c r="AA973" s="85"/>
      <c r="AB973" s="85"/>
      <c r="AC973" s="85"/>
      <c r="AD973" s="85"/>
    </row>
    <row r="974" spans="1:30" ht="15.75" x14ac:dyDescent="0.25">
      <c r="A974" s="13">
        <v>70584</v>
      </c>
      <c r="B974" s="96">
        <f t="shared" si="151"/>
        <v>31</v>
      </c>
      <c r="C974" s="84">
        <f>122.58</f>
        <v>122.58</v>
      </c>
      <c r="D974" s="84">
        <f>297.941</f>
        <v>297.94099999999997</v>
      </c>
      <c r="E974" s="93">
        <f>89.177</f>
        <v>89.177000000000007</v>
      </c>
      <c r="F974" s="84">
        <f>240.302-40-60-100</f>
        <v>40.301999999999992</v>
      </c>
      <c r="G974" s="87">
        <v>40</v>
      </c>
      <c r="H974" s="84">
        <f>60+100</f>
        <v>160</v>
      </c>
      <c r="I974" s="84">
        <f t="shared" si="158"/>
        <v>0</v>
      </c>
      <c r="J974" s="87">
        <v>100</v>
      </c>
      <c r="K974" s="87">
        <v>300</v>
      </c>
      <c r="L974" s="84">
        <f t="shared" si="152"/>
        <v>1150</v>
      </c>
      <c r="M974" s="95">
        <v>600</v>
      </c>
      <c r="N974" s="84">
        <f>100</f>
        <v>100</v>
      </c>
      <c r="O974" s="87">
        <v>240</v>
      </c>
      <c r="P974" s="87">
        <v>40</v>
      </c>
      <c r="Q974" s="87">
        <f t="shared" si="153"/>
        <v>315</v>
      </c>
      <c r="R974" s="87">
        <f t="shared" si="154"/>
        <v>100</v>
      </c>
      <c r="S974" s="84">
        <f t="shared" si="155"/>
        <v>695</v>
      </c>
      <c r="T974" s="84">
        <f>50</f>
        <v>50</v>
      </c>
      <c r="U974" s="85"/>
      <c r="V974" s="85"/>
      <c r="W974" s="85"/>
      <c r="X974" s="85"/>
      <c r="Y974" s="85"/>
      <c r="Z974" s="85"/>
      <c r="AA974" s="85"/>
      <c r="AB974" s="85"/>
      <c r="AC974" s="85"/>
      <c r="AD974" s="85"/>
    </row>
    <row r="975" spans="1:30" ht="15.75" x14ac:dyDescent="0.25">
      <c r="A975" s="13">
        <v>70614</v>
      </c>
      <c r="B975" s="96">
        <f t="shared" si="151"/>
        <v>30</v>
      </c>
      <c r="C975" s="84">
        <f>141.293</f>
        <v>141.29300000000001</v>
      </c>
      <c r="D975" s="84">
        <f>267.993</f>
        <v>267.99299999999999</v>
      </c>
      <c r="E975" s="93">
        <f>115.016</f>
        <v>115.01600000000001</v>
      </c>
      <c r="F975" s="84">
        <f>314.698-40-25-60-100</f>
        <v>89.697999999999979</v>
      </c>
      <c r="G975" s="87">
        <v>40</v>
      </c>
      <c r="H975" s="84">
        <f t="shared" ref="H975:H981" si="161">25+60+100</f>
        <v>185</v>
      </c>
      <c r="I975" s="84">
        <f t="shared" si="158"/>
        <v>0</v>
      </c>
      <c r="J975" s="87">
        <v>100</v>
      </c>
      <c r="K975" s="87">
        <v>300</v>
      </c>
      <c r="L975" s="84">
        <f t="shared" si="152"/>
        <v>1239</v>
      </c>
      <c r="M975" s="95">
        <v>600</v>
      </c>
      <c r="N975" s="84">
        <f>100</f>
        <v>100</v>
      </c>
      <c r="O975" s="87">
        <v>240</v>
      </c>
      <c r="P975" s="87">
        <v>40</v>
      </c>
      <c r="Q975" s="87">
        <f t="shared" si="153"/>
        <v>315</v>
      </c>
      <c r="R975" s="87">
        <f t="shared" si="154"/>
        <v>100</v>
      </c>
      <c r="S975" s="84">
        <f t="shared" si="155"/>
        <v>695</v>
      </c>
      <c r="T975" s="84">
        <f>50</f>
        <v>50</v>
      </c>
      <c r="U975" s="85"/>
      <c r="V975" s="85"/>
      <c r="W975" s="85"/>
      <c r="X975" s="85"/>
      <c r="Y975" s="85"/>
      <c r="Z975" s="85"/>
      <c r="AA975" s="85"/>
      <c r="AB975" s="85"/>
      <c r="AC975" s="85"/>
      <c r="AD975" s="85"/>
    </row>
    <row r="976" spans="1:30" ht="15.75" x14ac:dyDescent="0.25">
      <c r="A976" s="13">
        <v>70645</v>
      </c>
      <c r="B976" s="96">
        <f t="shared" si="151"/>
        <v>31</v>
      </c>
      <c r="C976" s="84">
        <f>194.205</f>
        <v>194.20500000000001</v>
      </c>
      <c r="D976" s="84">
        <f>267.466</f>
        <v>267.46600000000001</v>
      </c>
      <c r="E976" s="93">
        <f>133.845</f>
        <v>133.845</v>
      </c>
      <c r="F976" s="84">
        <f>278.484-40-25-60-100</f>
        <v>53.48399999999998</v>
      </c>
      <c r="G976" s="87">
        <v>40</v>
      </c>
      <c r="H976" s="84">
        <f t="shared" si="161"/>
        <v>185</v>
      </c>
      <c r="I976" s="84">
        <f t="shared" si="158"/>
        <v>0</v>
      </c>
      <c r="J976" s="87">
        <v>100</v>
      </c>
      <c r="K976" s="87">
        <v>300</v>
      </c>
      <c r="L976" s="84">
        <f t="shared" si="152"/>
        <v>1274</v>
      </c>
      <c r="M976" s="95">
        <v>600</v>
      </c>
      <c r="N976" s="84">
        <f>75</f>
        <v>75</v>
      </c>
      <c r="O976" s="87">
        <v>240</v>
      </c>
      <c r="P976" s="87">
        <v>40</v>
      </c>
      <c r="Q976" s="87">
        <f t="shared" si="153"/>
        <v>315</v>
      </c>
      <c r="R976" s="87">
        <f t="shared" si="154"/>
        <v>100</v>
      </c>
      <c r="S976" s="84">
        <f t="shared" si="155"/>
        <v>695</v>
      </c>
      <c r="T976" s="84">
        <f>50</f>
        <v>50</v>
      </c>
      <c r="U976" s="85"/>
      <c r="V976" s="85"/>
      <c r="W976" s="85"/>
      <c r="X976" s="85"/>
      <c r="Y976" s="85"/>
      <c r="Z976" s="85"/>
      <c r="AA976" s="85"/>
      <c r="AB976" s="85"/>
      <c r="AC976" s="85"/>
      <c r="AD976" s="85"/>
    </row>
    <row r="977" spans="1:30" ht="15.75" x14ac:dyDescent="0.25">
      <c r="A977" s="13">
        <v>70675</v>
      </c>
      <c r="B977" s="96">
        <f t="shared" si="151"/>
        <v>30</v>
      </c>
      <c r="C977" s="84">
        <f>194.205</f>
        <v>194.20500000000001</v>
      </c>
      <c r="D977" s="84">
        <f>267.466</f>
        <v>267.46600000000001</v>
      </c>
      <c r="E977" s="93">
        <f>133.845</f>
        <v>133.845</v>
      </c>
      <c r="F977" s="84">
        <f>278.484-40-25-60-100</f>
        <v>53.48399999999998</v>
      </c>
      <c r="G977" s="87">
        <v>40</v>
      </c>
      <c r="H977" s="84">
        <f t="shared" si="161"/>
        <v>185</v>
      </c>
      <c r="I977" s="84">
        <f t="shared" si="158"/>
        <v>0</v>
      </c>
      <c r="J977" s="87">
        <v>100</v>
      </c>
      <c r="K977" s="87">
        <v>300</v>
      </c>
      <c r="L977" s="84">
        <f t="shared" si="152"/>
        <v>1274</v>
      </c>
      <c r="M977" s="95">
        <v>600</v>
      </c>
      <c r="N977" s="84">
        <f>30</f>
        <v>30</v>
      </c>
      <c r="O977" s="87">
        <v>240</v>
      </c>
      <c r="P977" s="87">
        <v>40</v>
      </c>
      <c r="Q977" s="87">
        <f t="shared" si="153"/>
        <v>315</v>
      </c>
      <c r="R977" s="87">
        <f t="shared" si="154"/>
        <v>100</v>
      </c>
      <c r="S977" s="84">
        <f t="shared" si="155"/>
        <v>695</v>
      </c>
      <c r="T977" s="84">
        <f>50</f>
        <v>50</v>
      </c>
      <c r="U977" s="85"/>
      <c r="V977" s="85"/>
      <c r="W977" s="85"/>
      <c r="X977" s="85"/>
      <c r="Y977" s="85"/>
      <c r="Z977" s="85"/>
      <c r="AA977" s="85"/>
      <c r="AB977" s="85"/>
      <c r="AC977" s="85"/>
      <c r="AD977" s="85"/>
    </row>
    <row r="978" spans="1:30" ht="15.75" x14ac:dyDescent="0.25">
      <c r="A978" s="13">
        <v>70706</v>
      </c>
      <c r="B978" s="96">
        <f t="shared" si="151"/>
        <v>31</v>
      </c>
      <c r="C978" s="84">
        <f>194.205</f>
        <v>194.20500000000001</v>
      </c>
      <c r="D978" s="84">
        <f>267.466</f>
        <v>267.46600000000001</v>
      </c>
      <c r="E978" s="93">
        <f>133.845</f>
        <v>133.845</v>
      </c>
      <c r="F978" s="84">
        <f>278.484-40-25-60-100</f>
        <v>53.48399999999998</v>
      </c>
      <c r="G978" s="87">
        <v>40</v>
      </c>
      <c r="H978" s="84">
        <f t="shared" si="161"/>
        <v>185</v>
      </c>
      <c r="I978" s="84">
        <f t="shared" si="158"/>
        <v>0</v>
      </c>
      <c r="J978" s="87">
        <v>100</v>
      </c>
      <c r="K978" s="87">
        <v>300</v>
      </c>
      <c r="L978" s="84">
        <f t="shared" si="152"/>
        <v>1274</v>
      </c>
      <c r="M978" s="95">
        <v>600</v>
      </c>
      <c r="N978" s="84">
        <f>30</f>
        <v>30</v>
      </c>
      <c r="O978" s="87">
        <v>240</v>
      </c>
      <c r="P978" s="87">
        <v>40</v>
      </c>
      <c r="Q978" s="87">
        <f t="shared" si="153"/>
        <v>315</v>
      </c>
      <c r="R978" s="87">
        <f t="shared" si="154"/>
        <v>100</v>
      </c>
      <c r="S978" s="84">
        <f t="shared" si="155"/>
        <v>695</v>
      </c>
      <c r="T978" s="84">
        <f>0</f>
        <v>0</v>
      </c>
      <c r="U978" s="85"/>
      <c r="V978" s="85"/>
      <c r="W978" s="85"/>
      <c r="X978" s="85"/>
      <c r="Y978" s="85"/>
      <c r="Z978" s="85"/>
      <c r="AA978" s="85"/>
      <c r="AB978" s="85"/>
      <c r="AC978" s="85"/>
      <c r="AD978" s="85"/>
    </row>
    <row r="979" spans="1:30" ht="15.75" x14ac:dyDescent="0.25">
      <c r="A979" s="13">
        <v>70737</v>
      </c>
      <c r="B979" s="96">
        <f t="shared" si="151"/>
        <v>31</v>
      </c>
      <c r="C979" s="84">
        <f>194.205</f>
        <v>194.20500000000001</v>
      </c>
      <c r="D979" s="84">
        <f>267.466</f>
        <v>267.46600000000001</v>
      </c>
      <c r="E979" s="93">
        <f>133.845</f>
        <v>133.845</v>
      </c>
      <c r="F979" s="84">
        <f>278.484-40-25-60-100</f>
        <v>53.48399999999998</v>
      </c>
      <c r="G979" s="87">
        <v>40</v>
      </c>
      <c r="H979" s="84">
        <f t="shared" si="161"/>
        <v>185</v>
      </c>
      <c r="I979" s="84">
        <f t="shared" si="158"/>
        <v>0</v>
      </c>
      <c r="J979" s="87">
        <v>100</v>
      </c>
      <c r="K979" s="87">
        <v>300</v>
      </c>
      <c r="L979" s="84">
        <f t="shared" si="152"/>
        <v>1274</v>
      </c>
      <c r="M979" s="95">
        <v>600</v>
      </c>
      <c r="N979" s="84">
        <f>30</f>
        <v>30</v>
      </c>
      <c r="O979" s="87">
        <v>240</v>
      </c>
      <c r="P979" s="87">
        <v>40</v>
      </c>
      <c r="Q979" s="87">
        <f t="shared" si="153"/>
        <v>315</v>
      </c>
      <c r="R979" s="87">
        <f t="shared" si="154"/>
        <v>100</v>
      </c>
      <c r="S979" s="84">
        <f t="shared" si="155"/>
        <v>695</v>
      </c>
      <c r="T979" s="84">
        <f>0</f>
        <v>0</v>
      </c>
      <c r="U979" s="85"/>
      <c r="V979" s="85"/>
      <c r="W979" s="85"/>
      <c r="X979" s="85"/>
      <c r="Y979" s="85"/>
      <c r="Z979" s="85"/>
      <c r="AA979" s="85"/>
      <c r="AB979" s="85"/>
      <c r="AC979" s="85"/>
      <c r="AD979" s="85"/>
    </row>
    <row r="980" spans="1:30" ht="15.75" x14ac:dyDescent="0.25">
      <c r="A980" s="13">
        <v>70767</v>
      </c>
      <c r="B980" s="96">
        <f t="shared" si="151"/>
        <v>30</v>
      </c>
      <c r="C980" s="84">
        <f>194.205</f>
        <v>194.20500000000001</v>
      </c>
      <c r="D980" s="84">
        <f>267.466</f>
        <v>267.46600000000001</v>
      </c>
      <c r="E980" s="93">
        <f>133.845</f>
        <v>133.845</v>
      </c>
      <c r="F980" s="84">
        <f>278.484-40-25-60-100</f>
        <v>53.48399999999998</v>
      </c>
      <c r="G980" s="87">
        <v>40</v>
      </c>
      <c r="H980" s="84">
        <f t="shared" si="161"/>
        <v>185</v>
      </c>
      <c r="I980" s="84">
        <f t="shared" si="158"/>
        <v>0</v>
      </c>
      <c r="J980" s="87">
        <v>100</v>
      </c>
      <c r="K980" s="87">
        <v>300</v>
      </c>
      <c r="L980" s="84">
        <f t="shared" si="152"/>
        <v>1274</v>
      </c>
      <c r="M980" s="95">
        <v>600</v>
      </c>
      <c r="N980" s="84">
        <f>30</f>
        <v>30</v>
      </c>
      <c r="O980" s="87">
        <v>240</v>
      </c>
      <c r="P980" s="87">
        <v>40</v>
      </c>
      <c r="Q980" s="87">
        <f t="shared" si="153"/>
        <v>315</v>
      </c>
      <c r="R980" s="87">
        <f t="shared" si="154"/>
        <v>100</v>
      </c>
      <c r="S980" s="84">
        <f t="shared" si="155"/>
        <v>695</v>
      </c>
      <c r="T980" s="84">
        <f>0</f>
        <v>0</v>
      </c>
      <c r="U980" s="85"/>
      <c r="V980" s="85"/>
      <c r="W980" s="85"/>
      <c r="X980" s="85"/>
      <c r="Y980" s="85"/>
      <c r="Z980" s="85"/>
      <c r="AA980" s="85"/>
      <c r="AB980" s="85"/>
      <c r="AC980" s="85"/>
      <c r="AD980" s="85"/>
    </row>
    <row r="981" spans="1:30" ht="15.75" x14ac:dyDescent="0.25">
      <c r="A981" s="13">
        <v>70798</v>
      </c>
      <c r="B981" s="96">
        <f t="shared" si="151"/>
        <v>31</v>
      </c>
      <c r="C981" s="84">
        <f>131.881</f>
        <v>131.881</v>
      </c>
      <c r="D981" s="84">
        <f>277.167</f>
        <v>277.16699999999997</v>
      </c>
      <c r="E981" s="93">
        <f>79.08</f>
        <v>79.08</v>
      </c>
      <c r="F981" s="84">
        <f>350.872-40-25-60-100</f>
        <v>125.87200000000001</v>
      </c>
      <c r="G981" s="87">
        <v>40</v>
      </c>
      <c r="H981" s="84">
        <f t="shared" si="161"/>
        <v>185</v>
      </c>
      <c r="I981" s="84">
        <f t="shared" si="158"/>
        <v>0</v>
      </c>
      <c r="J981" s="87">
        <v>100</v>
      </c>
      <c r="K981" s="87">
        <v>300</v>
      </c>
      <c r="L981" s="84">
        <f t="shared" si="152"/>
        <v>1239</v>
      </c>
      <c r="M981" s="95">
        <v>600</v>
      </c>
      <c r="N981" s="84">
        <f>75</f>
        <v>75</v>
      </c>
      <c r="O981" s="87">
        <v>240</v>
      </c>
      <c r="P981" s="87">
        <v>40</v>
      </c>
      <c r="Q981" s="87">
        <f t="shared" si="153"/>
        <v>315</v>
      </c>
      <c r="R981" s="87">
        <f t="shared" si="154"/>
        <v>100</v>
      </c>
      <c r="S981" s="84">
        <f t="shared" si="155"/>
        <v>695</v>
      </c>
      <c r="T981" s="84">
        <f>0</f>
        <v>0</v>
      </c>
      <c r="U981" s="85"/>
      <c r="V981" s="85"/>
      <c r="W981" s="85"/>
      <c r="X981" s="85"/>
      <c r="Y981" s="85"/>
      <c r="Z981" s="85"/>
      <c r="AA981" s="85"/>
      <c r="AB981" s="85"/>
      <c r="AC981" s="85"/>
      <c r="AD981" s="85"/>
    </row>
    <row r="982" spans="1:30" ht="15.75" x14ac:dyDescent="0.25">
      <c r="A982" s="13">
        <v>70828</v>
      </c>
      <c r="B982" s="96">
        <f t="shared" si="151"/>
        <v>30</v>
      </c>
      <c r="C982" s="84">
        <f>122.58</f>
        <v>122.58</v>
      </c>
      <c r="D982" s="84">
        <f>297.941</f>
        <v>297.94099999999997</v>
      </c>
      <c r="E982" s="93">
        <f>89.177</f>
        <v>89.177000000000007</v>
      </c>
      <c r="F982" s="84">
        <f>240.302-40-60-100</f>
        <v>40.301999999999992</v>
      </c>
      <c r="G982" s="87">
        <v>40</v>
      </c>
      <c r="H982" s="84">
        <f>60+100</f>
        <v>160</v>
      </c>
      <c r="I982" s="84">
        <f t="shared" si="158"/>
        <v>0</v>
      </c>
      <c r="J982" s="87">
        <v>100</v>
      </c>
      <c r="K982" s="87">
        <v>300</v>
      </c>
      <c r="L982" s="84">
        <f t="shared" si="152"/>
        <v>1150</v>
      </c>
      <c r="M982" s="95">
        <v>600</v>
      </c>
      <c r="N982" s="84">
        <f>100</f>
        <v>100</v>
      </c>
      <c r="O982" s="87">
        <v>240</v>
      </c>
      <c r="P982" s="87">
        <v>40</v>
      </c>
      <c r="Q982" s="87">
        <f t="shared" si="153"/>
        <v>315</v>
      </c>
      <c r="R982" s="87">
        <f t="shared" si="154"/>
        <v>100</v>
      </c>
      <c r="S982" s="84">
        <f t="shared" si="155"/>
        <v>695</v>
      </c>
      <c r="T982" s="84">
        <f>50</f>
        <v>50</v>
      </c>
      <c r="U982" s="85"/>
      <c r="V982" s="85"/>
      <c r="W982" s="85"/>
      <c r="X982" s="85"/>
      <c r="Y982" s="85"/>
      <c r="Z982" s="85"/>
      <c r="AA982" s="85"/>
      <c r="AB982" s="85"/>
      <c r="AC982" s="85"/>
      <c r="AD982" s="85"/>
    </row>
    <row r="983" spans="1:30" ht="15.75" x14ac:dyDescent="0.25">
      <c r="A983" s="13">
        <v>70859</v>
      </c>
      <c r="B983" s="96">
        <f t="shared" si="151"/>
        <v>31</v>
      </c>
      <c r="C983" s="84">
        <f>122.58</f>
        <v>122.58</v>
      </c>
      <c r="D983" s="84">
        <f>297.941</f>
        <v>297.94099999999997</v>
      </c>
      <c r="E983" s="93">
        <f>89.177</f>
        <v>89.177000000000007</v>
      </c>
      <c r="F983" s="84">
        <f>240.302-40-60-100</f>
        <v>40.301999999999992</v>
      </c>
      <c r="G983" s="87">
        <v>40</v>
      </c>
      <c r="H983" s="84">
        <f>60+100</f>
        <v>160</v>
      </c>
      <c r="I983" s="84">
        <f t="shared" si="158"/>
        <v>0</v>
      </c>
      <c r="J983" s="87">
        <v>100</v>
      </c>
      <c r="K983" s="87">
        <v>300</v>
      </c>
      <c r="L983" s="84">
        <f t="shared" si="152"/>
        <v>1150</v>
      </c>
      <c r="M983" s="95">
        <v>600</v>
      </c>
      <c r="N983" s="84">
        <f>100</f>
        <v>100</v>
      </c>
      <c r="O983" s="87">
        <v>240</v>
      </c>
      <c r="P983" s="87">
        <v>40</v>
      </c>
      <c r="Q983" s="87">
        <f t="shared" si="153"/>
        <v>315</v>
      </c>
      <c r="R983" s="87">
        <f t="shared" si="154"/>
        <v>100</v>
      </c>
      <c r="S983" s="84">
        <f t="shared" si="155"/>
        <v>695</v>
      </c>
      <c r="T983" s="84">
        <f>50</f>
        <v>50</v>
      </c>
      <c r="U983" s="85"/>
      <c r="V983" s="85"/>
      <c r="W983" s="85"/>
      <c r="X983" s="85"/>
      <c r="Y983" s="85"/>
      <c r="Z983" s="85"/>
      <c r="AA983" s="85"/>
      <c r="AB983" s="85"/>
      <c r="AC983" s="85"/>
      <c r="AD983" s="85"/>
    </row>
    <row r="984" spans="1:30" ht="15.75" x14ac:dyDescent="0.25">
      <c r="A984" s="13">
        <v>70890</v>
      </c>
      <c r="B984" s="96">
        <f t="shared" ref="B984:B1047" si="162">EOMONTH(A984,0)-EOMONTH(A984,-1)</f>
        <v>31</v>
      </c>
      <c r="C984" s="84">
        <f>122.58</f>
        <v>122.58</v>
      </c>
      <c r="D984" s="84">
        <f>297.941</f>
        <v>297.94099999999997</v>
      </c>
      <c r="E984" s="93">
        <f>89.177</f>
        <v>89.177000000000007</v>
      </c>
      <c r="F984" s="84">
        <f>240.302-40-60-100</f>
        <v>40.301999999999992</v>
      </c>
      <c r="G984" s="87">
        <v>40</v>
      </c>
      <c r="H984" s="84">
        <f>60+100</f>
        <v>160</v>
      </c>
      <c r="I984" s="84">
        <f t="shared" si="158"/>
        <v>0</v>
      </c>
      <c r="J984" s="87">
        <v>100</v>
      </c>
      <c r="K984" s="87">
        <v>300</v>
      </c>
      <c r="L984" s="84">
        <f t="shared" ref="L984:L1047" si="163">SUM(C984:K984)</f>
        <v>1150</v>
      </c>
      <c r="M984" s="95">
        <v>600</v>
      </c>
      <c r="N984" s="84">
        <f>100</f>
        <v>100</v>
      </c>
      <c r="O984" s="87">
        <v>240</v>
      </c>
      <c r="P984" s="87">
        <v>40</v>
      </c>
      <c r="Q984" s="87">
        <f t="shared" ref="Q984:Q1047" si="164">695-R984-O984-P984</f>
        <v>315</v>
      </c>
      <c r="R984" s="87">
        <f t="shared" ref="R984:R1047" si="165">200-J984</f>
        <v>100</v>
      </c>
      <c r="S984" s="84">
        <f t="shared" ref="S984:S1047" si="166">SUM(O984:R984)</f>
        <v>695</v>
      </c>
      <c r="T984" s="84">
        <f>50</f>
        <v>50</v>
      </c>
      <c r="U984" s="85"/>
      <c r="V984" s="85"/>
      <c r="W984" s="85"/>
      <c r="X984" s="85"/>
      <c r="Y984" s="85"/>
      <c r="Z984" s="85"/>
      <c r="AA984" s="85"/>
      <c r="AB984" s="85"/>
      <c r="AC984" s="85"/>
      <c r="AD984" s="85"/>
    </row>
    <row r="985" spans="1:30" ht="15.75" x14ac:dyDescent="0.25">
      <c r="A985" s="13">
        <v>70918</v>
      </c>
      <c r="B985" s="96">
        <f t="shared" si="162"/>
        <v>28</v>
      </c>
      <c r="C985" s="84">
        <f>122.58</f>
        <v>122.58</v>
      </c>
      <c r="D985" s="84">
        <f>297.941</f>
        <v>297.94099999999997</v>
      </c>
      <c r="E985" s="93">
        <f>89.177</f>
        <v>89.177000000000007</v>
      </c>
      <c r="F985" s="84">
        <f>240.302-40-60-100</f>
        <v>40.301999999999992</v>
      </c>
      <c r="G985" s="87">
        <v>40</v>
      </c>
      <c r="H985" s="84">
        <f>60+100</f>
        <v>160</v>
      </c>
      <c r="I985" s="84">
        <f t="shared" si="158"/>
        <v>0</v>
      </c>
      <c r="J985" s="87">
        <v>100</v>
      </c>
      <c r="K985" s="87">
        <v>300</v>
      </c>
      <c r="L985" s="84">
        <f t="shared" si="163"/>
        <v>1150</v>
      </c>
      <c r="M985" s="95">
        <v>600</v>
      </c>
      <c r="N985" s="84">
        <f>100</f>
        <v>100</v>
      </c>
      <c r="O985" s="87">
        <v>240</v>
      </c>
      <c r="P985" s="87">
        <v>40</v>
      </c>
      <c r="Q985" s="87">
        <f t="shared" si="164"/>
        <v>315</v>
      </c>
      <c r="R985" s="87">
        <f t="shared" si="165"/>
        <v>100</v>
      </c>
      <c r="S985" s="84">
        <f t="shared" si="166"/>
        <v>695</v>
      </c>
      <c r="T985" s="84">
        <f>50</f>
        <v>50</v>
      </c>
      <c r="U985" s="85"/>
      <c r="V985" s="85"/>
      <c r="W985" s="85"/>
      <c r="X985" s="85"/>
      <c r="Y985" s="85"/>
      <c r="Z985" s="85"/>
      <c r="AA985" s="85"/>
      <c r="AB985" s="85"/>
      <c r="AC985" s="85"/>
      <c r="AD985" s="85"/>
    </row>
    <row r="986" spans="1:30" ht="15.75" x14ac:dyDescent="0.25">
      <c r="A986" s="13">
        <v>70949</v>
      </c>
      <c r="B986" s="96">
        <f t="shared" si="162"/>
        <v>31</v>
      </c>
      <c r="C986" s="84">
        <f>122.58</f>
        <v>122.58</v>
      </c>
      <c r="D986" s="84">
        <f>297.941</f>
        <v>297.94099999999997</v>
      </c>
      <c r="E986" s="93">
        <f>89.177</f>
        <v>89.177000000000007</v>
      </c>
      <c r="F986" s="84">
        <f>240.302-40-60-100</f>
        <v>40.301999999999992</v>
      </c>
      <c r="G986" s="87">
        <v>40</v>
      </c>
      <c r="H986" s="84">
        <f>60+100</f>
        <v>160</v>
      </c>
      <c r="I986" s="84">
        <f t="shared" si="158"/>
        <v>0</v>
      </c>
      <c r="J986" s="87">
        <v>100</v>
      </c>
      <c r="K986" s="87">
        <v>300</v>
      </c>
      <c r="L986" s="84">
        <f t="shared" si="163"/>
        <v>1150</v>
      </c>
      <c r="M986" s="95">
        <v>600</v>
      </c>
      <c r="N986" s="84">
        <f>100</f>
        <v>100</v>
      </c>
      <c r="O986" s="87">
        <v>240</v>
      </c>
      <c r="P986" s="87">
        <v>40</v>
      </c>
      <c r="Q986" s="87">
        <f t="shared" si="164"/>
        <v>315</v>
      </c>
      <c r="R986" s="87">
        <f t="shared" si="165"/>
        <v>100</v>
      </c>
      <c r="S986" s="84">
        <f t="shared" si="166"/>
        <v>695</v>
      </c>
      <c r="T986" s="84">
        <f>50</f>
        <v>50</v>
      </c>
      <c r="U986" s="85"/>
      <c r="V986" s="85"/>
      <c r="W986" s="85"/>
      <c r="X986" s="85"/>
      <c r="Y986" s="85"/>
      <c r="Z986" s="85"/>
      <c r="AA986" s="85"/>
      <c r="AB986" s="85"/>
      <c r="AC986" s="85"/>
      <c r="AD986" s="85"/>
    </row>
    <row r="987" spans="1:30" ht="15.75" x14ac:dyDescent="0.25">
      <c r="A987" s="13">
        <v>70979</v>
      </c>
      <c r="B987" s="96">
        <f t="shared" si="162"/>
        <v>30</v>
      </c>
      <c r="C987" s="84">
        <f>141.293</f>
        <v>141.29300000000001</v>
      </c>
      <c r="D987" s="84">
        <f>267.993</f>
        <v>267.99299999999999</v>
      </c>
      <c r="E987" s="93">
        <f>115.016</f>
        <v>115.01600000000001</v>
      </c>
      <c r="F987" s="84">
        <f>314.698-40-25-60-100</f>
        <v>89.697999999999979</v>
      </c>
      <c r="G987" s="87">
        <v>40</v>
      </c>
      <c r="H987" s="84">
        <f t="shared" ref="H987:H993" si="167">25+60+100</f>
        <v>185</v>
      </c>
      <c r="I987" s="84">
        <f t="shared" si="158"/>
        <v>0</v>
      </c>
      <c r="J987" s="87">
        <v>100</v>
      </c>
      <c r="K987" s="87">
        <v>300</v>
      </c>
      <c r="L987" s="84">
        <f t="shared" si="163"/>
        <v>1239</v>
      </c>
      <c r="M987" s="95">
        <v>600</v>
      </c>
      <c r="N987" s="84">
        <f>100</f>
        <v>100</v>
      </c>
      <c r="O987" s="87">
        <v>240</v>
      </c>
      <c r="P987" s="87">
        <v>40</v>
      </c>
      <c r="Q987" s="87">
        <f t="shared" si="164"/>
        <v>315</v>
      </c>
      <c r="R987" s="87">
        <f t="shared" si="165"/>
        <v>100</v>
      </c>
      <c r="S987" s="84">
        <f t="shared" si="166"/>
        <v>695</v>
      </c>
      <c r="T987" s="84">
        <f>50</f>
        <v>50</v>
      </c>
      <c r="U987" s="85"/>
      <c r="V987" s="85"/>
      <c r="W987" s="85"/>
      <c r="X987" s="85"/>
      <c r="Y987" s="85"/>
      <c r="Z987" s="85"/>
      <c r="AA987" s="85"/>
      <c r="AB987" s="85"/>
      <c r="AC987" s="85"/>
      <c r="AD987" s="85"/>
    </row>
    <row r="988" spans="1:30" ht="15.75" x14ac:dyDescent="0.25">
      <c r="A988" s="13">
        <v>71010</v>
      </c>
      <c r="B988" s="96">
        <f t="shared" si="162"/>
        <v>31</v>
      </c>
      <c r="C988" s="84">
        <f>194.205</f>
        <v>194.20500000000001</v>
      </c>
      <c r="D988" s="84">
        <f>267.466</f>
        <v>267.46600000000001</v>
      </c>
      <c r="E988" s="93">
        <f>133.845</f>
        <v>133.845</v>
      </c>
      <c r="F988" s="84">
        <f>278.484-40-25-60-100</f>
        <v>53.48399999999998</v>
      </c>
      <c r="G988" s="87">
        <v>40</v>
      </c>
      <c r="H988" s="84">
        <f t="shared" si="167"/>
        <v>185</v>
      </c>
      <c r="I988" s="84">
        <f t="shared" si="158"/>
        <v>0</v>
      </c>
      <c r="J988" s="87">
        <v>100</v>
      </c>
      <c r="K988" s="87">
        <v>300</v>
      </c>
      <c r="L988" s="84">
        <f t="shared" si="163"/>
        <v>1274</v>
      </c>
      <c r="M988" s="95">
        <v>600</v>
      </c>
      <c r="N988" s="84">
        <f>75</f>
        <v>75</v>
      </c>
      <c r="O988" s="87">
        <v>240</v>
      </c>
      <c r="P988" s="87">
        <v>40</v>
      </c>
      <c r="Q988" s="87">
        <f t="shared" si="164"/>
        <v>315</v>
      </c>
      <c r="R988" s="87">
        <f t="shared" si="165"/>
        <v>100</v>
      </c>
      <c r="S988" s="84">
        <f t="shared" si="166"/>
        <v>695</v>
      </c>
      <c r="T988" s="84">
        <f>50</f>
        <v>50</v>
      </c>
      <c r="U988" s="85"/>
      <c r="V988" s="85"/>
      <c r="W988" s="85"/>
      <c r="X988" s="85"/>
      <c r="Y988" s="85"/>
      <c r="Z988" s="85"/>
      <c r="AA988" s="85"/>
      <c r="AB988" s="85"/>
      <c r="AC988" s="85"/>
      <c r="AD988" s="85"/>
    </row>
    <row r="989" spans="1:30" ht="15.75" x14ac:dyDescent="0.25">
      <c r="A989" s="13">
        <v>71040</v>
      </c>
      <c r="B989" s="96">
        <f t="shared" si="162"/>
        <v>30</v>
      </c>
      <c r="C989" s="84">
        <f>194.205</f>
        <v>194.20500000000001</v>
      </c>
      <c r="D989" s="84">
        <f>267.466</f>
        <v>267.46600000000001</v>
      </c>
      <c r="E989" s="93">
        <f>133.845</f>
        <v>133.845</v>
      </c>
      <c r="F989" s="84">
        <f>278.484-40-25-60-100</f>
        <v>53.48399999999998</v>
      </c>
      <c r="G989" s="87">
        <v>40</v>
      </c>
      <c r="H989" s="84">
        <f t="shared" si="167"/>
        <v>185</v>
      </c>
      <c r="I989" s="84">
        <f t="shared" si="158"/>
        <v>0</v>
      </c>
      <c r="J989" s="87">
        <v>100</v>
      </c>
      <c r="K989" s="87">
        <v>300</v>
      </c>
      <c r="L989" s="84">
        <f t="shared" si="163"/>
        <v>1274</v>
      </c>
      <c r="M989" s="95">
        <v>600</v>
      </c>
      <c r="N989" s="84">
        <f>30</f>
        <v>30</v>
      </c>
      <c r="O989" s="87">
        <v>240</v>
      </c>
      <c r="P989" s="87">
        <v>40</v>
      </c>
      <c r="Q989" s="87">
        <f t="shared" si="164"/>
        <v>315</v>
      </c>
      <c r="R989" s="87">
        <f t="shared" si="165"/>
        <v>100</v>
      </c>
      <c r="S989" s="84">
        <f t="shared" si="166"/>
        <v>695</v>
      </c>
      <c r="T989" s="84">
        <f>50</f>
        <v>50</v>
      </c>
      <c r="U989" s="85"/>
      <c r="V989" s="85"/>
      <c r="W989" s="85"/>
      <c r="X989" s="85"/>
      <c r="Y989" s="85"/>
      <c r="Z989" s="85"/>
      <c r="AA989" s="85"/>
      <c r="AB989" s="85"/>
      <c r="AC989" s="85"/>
      <c r="AD989" s="85"/>
    </row>
    <row r="990" spans="1:30" ht="15.75" x14ac:dyDescent="0.25">
      <c r="A990" s="13">
        <v>71071</v>
      </c>
      <c r="B990" s="96">
        <f t="shared" si="162"/>
        <v>31</v>
      </c>
      <c r="C990" s="84">
        <f>194.205</f>
        <v>194.20500000000001</v>
      </c>
      <c r="D990" s="84">
        <f>267.466</f>
        <v>267.46600000000001</v>
      </c>
      <c r="E990" s="93">
        <f>133.845</f>
        <v>133.845</v>
      </c>
      <c r="F990" s="84">
        <f>278.484-40-25-60-100</f>
        <v>53.48399999999998</v>
      </c>
      <c r="G990" s="87">
        <v>40</v>
      </c>
      <c r="H990" s="84">
        <f t="shared" si="167"/>
        <v>185</v>
      </c>
      <c r="I990" s="84">
        <f t="shared" si="158"/>
        <v>0</v>
      </c>
      <c r="J990" s="87">
        <v>100</v>
      </c>
      <c r="K990" s="87">
        <v>300</v>
      </c>
      <c r="L990" s="84">
        <f t="shared" si="163"/>
        <v>1274</v>
      </c>
      <c r="M990" s="95">
        <v>600</v>
      </c>
      <c r="N990" s="84">
        <f>30</f>
        <v>30</v>
      </c>
      <c r="O990" s="87">
        <v>240</v>
      </c>
      <c r="P990" s="87">
        <v>40</v>
      </c>
      <c r="Q990" s="87">
        <f t="shared" si="164"/>
        <v>315</v>
      </c>
      <c r="R990" s="87">
        <f t="shared" si="165"/>
        <v>100</v>
      </c>
      <c r="S990" s="84">
        <f t="shared" si="166"/>
        <v>695</v>
      </c>
      <c r="T990" s="84">
        <f>0</f>
        <v>0</v>
      </c>
      <c r="U990" s="85"/>
      <c r="V990" s="85"/>
      <c r="W990" s="85"/>
      <c r="X990" s="85"/>
      <c r="Y990" s="85"/>
      <c r="Z990" s="85"/>
      <c r="AA990" s="85"/>
      <c r="AB990" s="85"/>
      <c r="AC990" s="85"/>
      <c r="AD990" s="85"/>
    </row>
    <row r="991" spans="1:30" ht="15.75" x14ac:dyDescent="0.25">
      <c r="A991" s="13">
        <v>71102</v>
      </c>
      <c r="B991" s="96">
        <f t="shared" si="162"/>
        <v>31</v>
      </c>
      <c r="C991" s="84">
        <f>194.205</f>
        <v>194.20500000000001</v>
      </c>
      <c r="D991" s="84">
        <f>267.466</f>
        <v>267.46600000000001</v>
      </c>
      <c r="E991" s="93">
        <f>133.845</f>
        <v>133.845</v>
      </c>
      <c r="F991" s="84">
        <f>278.484-40-25-60-100</f>
        <v>53.48399999999998</v>
      </c>
      <c r="G991" s="87">
        <v>40</v>
      </c>
      <c r="H991" s="84">
        <f t="shared" si="167"/>
        <v>185</v>
      </c>
      <c r="I991" s="84">
        <f t="shared" si="158"/>
        <v>0</v>
      </c>
      <c r="J991" s="87">
        <v>100</v>
      </c>
      <c r="K991" s="87">
        <v>300</v>
      </c>
      <c r="L991" s="84">
        <f t="shared" si="163"/>
        <v>1274</v>
      </c>
      <c r="M991" s="95">
        <v>600</v>
      </c>
      <c r="N991" s="84">
        <f>30</f>
        <v>30</v>
      </c>
      <c r="O991" s="87">
        <v>240</v>
      </c>
      <c r="P991" s="87">
        <v>40</v>
      </c>
      <c r="Q991" s="87">
        <f t="shared" si="164"/>
        <v>315</v>
      </c>
      <c r="R991" s="87">
        <f t="shared" si="165"/>
        <v>100</v>
      </c>
      <c r="S991" s="84">
        <f t="shared" si="166"/>
        <v>695</v>
      </c>
      <c r="T991" s="84">
        <f>0</f>
        <v>0</v>
      </c>
      <c r="U991" s="85"/>
      <c r="V991" s="85"/>
      <c r="W991" s="85"/>
      <c r="X991" s="85"/>
      <c r="Y991" s="85"/>
      <c r="Z991" s="85"/>
      <c r="AA991" s="85"/>
      <c r="AB991" s="85"/>
      <c r="AC991" s="85"/>
      <c r="AD991" s="85"/>
    </row>
    <row r="992" spans="1:30" ht="15.75" x14ac:dyDescent="0.25">
      <c r="A992" s="13">
        <v>71132</v>
      </c>
      <c r="B992" s="96">
        <f t="shared" si="162"/>
        <v>30</v>
      </c>
      <c r="C992" s="84">
        <f>194.205</f>
        <v>194.20500000000001</v>
      </c>
      <c r="D992" s="84">
        <f>267.466</f>
        <v>267.46600000000001</v>
      </c>
      <c r="E992" s="93">
        <f>133.845</f>
        <v>133.845</v>
      </c>
      <c r="F992" s="84">
        <f>278.484-40-25-60-100</f>
        <v>53.48399999999998</v>
      </c>
      <c r="G992" s="87">
        <v>40</v>
      </c>
      <c r="H992" s="84">
        <f t="shared" si="167"/>
        <v>185</v>
      </c>
      <c r="I992" s="84">
        <f t="shared" si="158"/>
        <v>0</v>
      </c>
      <c r="J992" s="87">
        <v>100</v>
      </c>
      <c r="K992" s="87">
        <v>300</v>
      </c>
      <c r="L992" s="84">
        <f t="shared" si="163"/>
        <v>1274</v>
      </c>
      <c r="M992" s="95">
        <v>600</v>
      </c>
      <c r="N992" s="84">
        <f>30</f>
        <v>30</v>
      </c>
      <c r="O992" s="87">
        <v>240</v>
      </c>
      <c r="P992" s="87">
        <v>40</v>
      </c>
      <c r="Q992" s="87">
        <f t="shared" si="164"/>
        <v>315</v>
      </c>
      <c r="R992" s="87">
        <f t="shared" si="165"/>
        <v>100</v>
      </c>
      <c r="S992" s="84">
        <f t="shared" si="166"/>
        <v>695</v>
      </c>
      <c r="T992" s="84">
        <f>0</f>
        <v>0</v>
      </c>
      <c r="U992" s="85"/>
      <c r="V992" s="85"/>
      <c r="W992" s="85"/>
      <c r="X992" s="85"/>
      <c r="Y992" s="85"/>
      <c r="Z992" s="85"/>
      <c r="AA992" s="85"/>
      <c r="AB992" s="85"/>
      <c r="AC992" s="85"/>
      <c r="AD992" s="85"/>
    </row>
    <row r="993" spans="1:30" ht="15.75" x14ac:dyDescent="0.25">
      <c r="A993" s="13">
        <v>71163</v>
      </c>
      <c r="B993" s="96">
        <f t="shared" si="162"/>
        <v>31</v>
      </c>
      <c r="C993" s="84">
        <f>131.881</f>
        <v>131.881</v>
      </c>
      <c r="D993" s="84">
        <f>277.167</f>
        <v>277.16699999999997</v>
      </c>
      <c r="E993" s="93">
        <f>79.08</f>
        <v>79.08</v>
      </c>
      <c r="F993" s="84">
        <f>350.872-40-25-60-100</f>
        <v>125.87200000000001</v>
      </c>
      <c r="G993" s="87">
        <v>40</v>
      </c>
      <c r="H993" s="84">
        <f t="shared" si="167"/>
        <v>185</v>
      </c>
      <c r="I993" s="84">
        <f t="shared" si="158"/>
        <v>0</v>
      </c>
      <c r="J993" s="87">
        <v>100</v>
      </c>
      <c r="K993" s="87">
        <v>300</v>
      </c>
      <c r="L993" s="84">
        <f t="shared" si="163"/>
        <v>1239</v>
      </c>
      <c r="M993" s="95">
        <v>600</v>
      </c>
      <c r="N993" s="84">
        <f>75</f>
        <v>75</v>
      </c>
      <c r="O993" s="87">
        <v>240</v>
      </c>
      <c r="P993" s="87">
        <v>40</v>
      </c>
      <c r="Q993" s="87">
        <f t="shared" si="164"/>
        <v>315</v>
      </c>
      <c r="R993" s="87">
        <f t="shared" si="165"/>
        <v>100</v>
      </c>
      <c r="S993" s="84">
        <f t="shared" si="166"/>
        <v>695</v>
      </c>
      <c r="T993" s="84">
        <f>0</f>
        <v>0</v>
      </c>
      <c r="U993" s="85"/>
      <c r="V993" s="85"/>
      <c r="W993" s="85"/>
      <c r="X993" s="85"/>
      <c r="Y993" s="85"/>
      <c r="Z993" s="85"/>
      <c r="AA993" s="85"/>
      <c r="AB993" s="85"/>
      <c r="AC993" s="85"/>
      <c r="AD993" s="85"/>
    </row>
    <row r="994" spans="1:30" ht="15.75" x14ac:dyDescent="0.25">
      <c r="A994" s="13">
        <v>71193</v>
      </c>
      <c r="B994" s="96">
        <f t="shared" si="162"/>
        <v>30</v>
      </c>
      <c r="C994" s="84">
        <f>122.58</f>
        <v>122.58</v>
      </c>
      <c r="D994" s="84">
        <f>297.941</f>
        <v>297.94099999999997</v>
      </c>
      <c r="E994" s="93">
        <f>89.177</f>
        <v>89.177000000000007</v>
      </c>
      <c r="F994" s="84">
        <f>240.302-40-60-100</f>
        <v>40.301999999999992</v>
      </c>
      <c r="G994" s="87">
        <v>40</v>
      </c>
      <c r="H994" s="84">
        <f>60+100</f>
        <v>160</v>
      </c>
      <c r="I994" s="84">
        <f t="shared" si="158"/>
        <v>0</v>
      </c>
      <c r="J994" s="87">
        <v>100</v>
      </c>
      <c r="K994" s="87">
        <v>300</v>
      </c>
      <c r="L994" s="84">
        <f t="shared" si="163"/>
        <v>1150</v>
      </c>
      <c r="M994" s="95">
        <v>600</v>
      </c>
      <c r="N994" s="84">
        <f>100</f>
        <v>100</v>
      </c>
      <c r="O994" s="87">
        <v>240</v>
      </c>
      <c r="P994" s="87">
        <v>40</v>
      </c>
      <c r="Q994" s="87">
        <f t="shared" si="164"/>
        <v>315</v>
      </c>
      <c r="R994" s="87">
        <f t="shared" si="165"/>
        <v>100</v>
      </c>
      <c r="S994" s="84">
        <f t="shared" si="166"/>
        <v>695</v>
      </c>
      <c r="T994" s="84">
        <f>50</f>
        <v>50</v>
      </c>
      <c r="U994" s="85"/>
      <c r="V994" s="85"/>
      <c r="W994" s="85"/>
      <c r="X994" s="85"/>
      <c r="Y994" s="85"/>
      <c r="Z994" s="85"/>
      <c r="AA994" s="85"/>
      <c r="AB994" s="85"/>
      <c r="AC994" s="85"/>
      <c r="AD994" s="85"/>
    </row>
    <row r="995" spans="1:30" ht="15.75" x14ac:dyDescent="0.25">
      <c r="A995" s="13">
        <v>71224</v>
      </c>
      <c r="B995" s="96">
        <f t="shared" si="162"/>
        <v>31</v>
      </c>
      <c r="C995" s="84">
        <f>122.58</f>
        <v>122.58</v>
      </c>
      <c r="D995" s="84">
        <f>297.941</f>
        <v>297.94099999999997</v>
      </c>
      <c r="E995" s="93">
        <f>89.177</f>
        <v>89.177000000000007</v>
      </c>
      <c r="F995" s="84">
        <f>240.302-40-60-100</f>
        <v>40.301999999999992</v>
      </c>
      <c r="G995" s="87">
        <v>40</v>
      </c>
      <c r="H995" s="84">
        <f>60+100</f>
        <v>160</v>
      </c>
      <c r="I995" s="84">
        <f t="shared" si="158"/>
        <v>0</v>
      </c>
      <c r="J995" s="87">
        <v>100</v>
      </c>
      <c r="K995" s="87">
        <v>300</v>
      </c>
      <c r="L995" s="84">
        <f t="shared" si="163"/>
        <v>1150</v>
      </c>
      <c r="M995" s="95">
        <v>600</v>
      </c>
      <c r="N995" s="84">
        <f>100</f>
        <v>100</v>
      </c>
      <c r="O995" s="87">
        <v>240</v>
      </c>
      <c r="P995" s="87">
        <v>40</v>
      </c>
      <c r="Q995" s="87">
        <f t="shared" si="164"/>
        <v>315</v>
      </c>
      <c r="R995" s="87">
        <f t="shared" si="165"/>
        <v>100</v>
      </c>
      <c r="S995" s="84">
        <f t="shared" si="166"/>
        <v>695</v>
      </c>
      <c r="T995" s="84">
        <f>50</f>
        <v>50</v>
      </c>
      <c r="U995" s="85"/>
      <c r="V995" s="85"/>
      <c r="W995" s="85"/>
      <c r="X995" s="85"/>
      <c r="Y995" s="85"/>
      <c r="Z995" s="85"/>
      <c r="AA995" s="85"/>
      <c r="AB995" s="85"/>
      <c r="AC995" s="85"/>
      <c r="AD995" s="85"/>
    </row>
    <row r="996" spans="1:30" ht="15.75" x14ac:dyDescent="0.25">
      <c r="A996" s="13">
        <v>71255</v>
      </c>
      <c r="B996" s="96">
        <f t="shared" si="162"/>
        <v>31</v>
      </c>
      <c r="C996" s="84">
        <f>122.58</f>
        <v>122.58</v>
      </c>
      <c r="D996" s="84">
        <f>297.941</f>
        <v>297.94099999999997</v>
      </c>
      <c r="E996" s="93">
        <f>89.177</f>
        <v>89.177000000000007</v>
      </c>
      <c r="F996" s="84">
        <f>240.302-40-60-100</f>
        <v>40.301999999999992</v>
      </c>
      <c r="G996" s="87">
        <v>40</v>
      </c>
      <c r="H996" s="84">
        <f>60+100</f>
        <v>160</v>
      </c>
      <c r="I996" s="84">
        <f t="shared" si="158"/>
        <v>0</v>
      </c>
      <c r="J996" s="87">
        <v>100</v>
      </c>
      <c r="K996" s="87">
        <v>300</v>
      </c>
      <c r="L996" s="84">
        <f t="shared" si="163"/>
        <v>1150</v>
      </c>
      <c r="M996" s="95">
        <v>600</v>
      </c>
      <c r="N996" s="84">
        <f>100</f>
        <v>100</v>
      </c>
      <c r="O996" s="87">
        <v>240</v>
      </c>
      <c r="P996" s="87">
        <v>40</v>
      </c>
      <c r="Q996" s="87">
        <f t="shared" si="164"/>
        <v>315</v>
      </c>
      <c r="R996" s="87">
        <f t="shared" si="165"/>
        <v>100</v>
      </c>
      <c r="S996" s="84">
        <f t="shared" si="166"/>
        <v>695</v>
      </c>
      <c r="T996" s="84">
        <f>50</f>
        <v>50</v>
      </c>
      <c r="U996" s="85"/>
      <c r="V996" s="85"/>
      <c r="W996" s="85"/>
      <c r="X996" s="85"/>
      <c r="Y996" s="85"/>
      <c r="Z996" s="85"/>
      <c r="AA996" s="85"/>
      <c r="AB996" s="85"/>
      <c r="AC996" s="85"/>
      <c r="AD996" s="85"/>
    </row>
    <row r="997" spans="1:30" ht="15.75" x14ac:dyDescent="0.25">
      <c r="A997" s="13">
        <v>71283</v>
      </c>
      <c r="B997" s="96">
        <f t="shared" si="162"/>
        <v>28</v>
      </c>
      <c r="C997" s="84">
        <f>122.58</f>
        <v>122.58</v>
      </c>
      <c r="D997" s="84">
        <f>297.941</f>
        <v>297.94099999999997</v>
      </c>
      <c r="E997" s="93">
        <f>89.177</f>
        <v>89.177000000000007</v>
      </c>
      <c r="F997" s="84">
        <f>240.302-40-60-100</f>
        <v>40.301999999999992</v>
      </c>
      <c r="G997" s="87">
        <v>40</v>
      </c>
      <c r="H997" s="84">
        <f>60+100</f>
        <v>160</v>
      </c>
      <c r="I997" s="84">
        <f t="shared" si="158"/>
        <v>0</v>
      </c>
      <c r="J997" s="87">
        <v>100</v>
      </c>
      <c r="K997" s="87">
        <v>300</v>
      </c>
      <c r="L997" s="84">
        <f t="shared" si="163"/>
        <v>1150</v>
      </c>
      <c r="M997" s="95">
        <v>600</v>
      </c>
      <c r="N997" s="84">
        <f>100</f>
        <v>100</v>
      </c>
      <c r="O997" s="87">
        <v>240</v>
      </c>
      <c r="P997" s="87">
        <v>40</v>
      </c>
      <c r="Q997" s="87">
        <f t="shared" si="164"/>
        <v>315</v>
      </c>
      <c r="R997" s="87">
        <f t="shared" si="165"/>
        <v>100</v>
      </c>
      <c r="S997" s="84">
        <f t="shared" si="166"/>
        <v>695</v>
      </c>
      <c r="T997" s="84">
        <f>50</f>
        <v>50</v>
      </c>
      <c r="U997" s="85"/>
      <c r="V997" s="85"/>
      <c r="W997" s="85"/>
      <c r="X997" s="85"/>
      <c r="Y997" s="85"/>
      <c r="Z997" s="85"/>
      <c r="AA997" s="85"/>
      <c r="AB997" s="85"/>
      <c r="AC997" s="85"/>
      <c r="AD997" s="85"/>
    </row>
    <row r="998" spans="1:30" ht="15.75" x14ac:dyDescent="0.25">
      <c r="A998" s="13">
        <v>71314</v>
      </c>
      <c r="B998" s="96">
        <f t="shared" si="162"/>
        <v>31</v>
      </c>
      <c r="C998" s="84">
        <f>122.58</f>
        <v>122.58</v>
      </c>
      <c r="D998" s="84">
        <f>297.941</f>
        <v>297.94099999999997</v>
      </c>
      <c r="E998" s="93">
        <f>89.177</f>
        <v>89.177000000000007</v>
      </c>
      <c r="F998" s="84">
        <f>240.302-40-60-100</f>
        <v>40.301999999999992</v>
      </c>
      <c r="G998" s="87">
        <v>40</v>
      </c>
      <c r="H998" s="84">
        <f>60+100</f>
        <v>160</v>
      </c>
      <c r="I998" s="84">
        <f t="shared" si="158"/>
        <v>0</v>
      </c>
      <c r="J998" s="87">
        <v>100</v>
      </c>
      <c r="K998" s="87">
        <v>300</v>
      </c>
      <c r="L998" s="84">
        <f t="shared" si="163"/>
        <v>1150</v>
      </c>
      <c r="M998" s="95">
        <v>600</v>
      </c>
      <c r="N998" s="84">
        <f>100</f>
        <v>100</v>
      </c>
      <c r="O998" s="87">
        <v>240</v>
      </c>
      <c r="P998" s="87">
        <v>40</v>
      </c>
      <c r="Q998" s="87">
        <f t="shared" si="164"/>
        <v>315</v>
      </c>
      <c r="R998" s="87">
        <f t="shared" si="165"/>
        <v>100</v>
      </c>
      <c r="S998" s="84">
        <f t="shared" si="166"/>
        <v>695</v>
      </c>
      <c r="T998" s="84">
        <f>50</f>
        <v>50</v>
      </c>
      <c r="U998" s="85"/>
      <c r="V998" s="85"/>
      <c r="W998" s="85"/>
      <c r="X998" s="85"/>
      <c r="Y998" s="85"/>
      <c r="Z998" s="85"/>
      <c r="AA998" s="85"/>
      <c r="AB998" s="85"/>
      <c r="AC998" s="85"/>
      <c r="AD998" s="85"/>
    </row>
    <row r="999" spans="1:30" ht="15.75" x14ac:dyDescent="0.25">
      <c r="A999" s="13">
        <v>71344</v>
      </c>
      <c r="B999" s="96">
        <f t="shared" si="162"/>
        <v>30</v>
      </c>
      <c r="C999" s="84">
        <f>141.293</f>
        <v>141.29300000000001</v>
      </c>
      <c r="D999" s="84">
        <f>267.993</f>
        <v>267.99299999999999</v>
      </c>
      <c r="E999" s="93">
        <f>115.016</f>
        <v>115.01600000000001</v>
      </c>
      <c r="F999" s="84">
        <f>314.698-40-25-60-100</f>
        <v>89.697999999999979</v>
      </c>
      <c r="G999" s="87">
        <v>40</v>
      </c>
      <c r="H999" s="84">
        <f t="shared" ref="H999:H1005" si="168">25+60+100</f>
        <v>185</v>
      </c>
      <c r="I999" s="84">
        <f t="shared" si="158"/>
        <v>0</v>
      </c>
      <c r="J999" s="87">
        <v>100</v>
      </c>
      <c r="K999" s="87">
        <v>300</v>
      </c>
      <c r="L999" s="84">
        <f t="shared" si="163"/>
        <v>1239</v>
      </c>
      <c r="M999" s="95">
        <v>600</v>
      </c>
      <c r="N999" s="84">
        <f>100</f>
        <v>100</v>
      </c>
      <c r="O999" s="87">
        <v>240</v>
      </c>
      <c r="P999" s="87">
        <v>40</v>
      </c>
      <c r="Q999" s="87">
        <f t="shared" si="164"/>
        <v>315</v>
      </c>
      <c r="R999" s="87">
        <f t="shared" si="165"/>
        <v>100</v>
      </c>
      <c r="S999" s="84">
        <f t="shared" si="166"/>
        <v>695</v>
      </c>
      <c r="T999" s="84">
        <f>50</f>
        <v>50</v>
      </c>
      <c r="U999" s="85"/>
      <c r="V999" s="85"/>
      <c r="W999" s="85"/>
      <c r="X999" s="85"/>
      <c r="Y999" s="85"/>
      <c r="Z999" s="85"/>
      <c r="AA999" s="85"/>
      <c r="AB999" s="85"/>
      <c r="AC999" s="85"/>
      <c r="AD999" s="85"/>
    </row>
    <row r="1000" spans="1:30" ht="15.75" x14ac:dyDescent="0.25">
      <c r="A1000" s="13">
        <v>71375</v>
      </c>
      <c r="B1000" s="96">
        <f t="shared" si="162"/>
        <v>31</v>
      </c>
      <c r="C1000" s="84">
        <f>194.205</f>
        <v>194.20500000000001</v>
      </c>
      <c r="D1000" s="84">
        <f>267.466</f>
        <v>267.46600000000001</v>
      </c>
      <c r="E1000" s="93">
        <f>133.845</f>
        <v>133.845</v>
      </c>
      <c r="F1000" s="84">
        <f>278.484-40-25-60-100</f>
        <v>53.48399999999998</v>
      </c>
      <c r="G1000" s="87">
        <v>40</v>
      </c>
      <c r="H1000" s="84">
        <f t="shared" si="168"/>
        <v>185</v>
      </c>
      <c r="I1000" s="84">
        <f t="shared" si="158"/>
        <v>0</v>
      </c>
      <c r="J1000" s="87">
        <v>100</v>
      </c>
      <c r="K1000" s="87">
        <v>300</v>
      </c>
      <c r="L1000" s="84">
        <f t="shared" si="163"/>
        <v>1274</v>
      </c>
      <c r="M1000" s="95">
        <v>600</v>
      </c>
      <c r="N1000" s="84">
        <f>75</f>
        <v>75</v>
      </c>
      <c r="O1000" s="87">
        <v>240</v>
      </c>
      <c r="P1000" s="87">
        <v>40</v>
      </c>
      <c r="Q1000" s="87">
        <f t="shared" si="164"/>
        <v>315</v>
      </c>
      <c r="R1000" s="87">
        <f t="shared" si="165"/>
        <v>100</v>
      </c>
      <c r="S1000" s="84">
        <f t="shared" si="166"/>
        <v>695</v>
      </c>
      <c r="T1000" s="84">
        <f>50</f>
        <v>50</v>
      </c>
      <c r="U1000" s="85"/>
      <c r="V1000" s="85"/>
      <c r="W1000" s="85"/>
      <c r="X1000" s="85"/>
      <c r="Y1000" s="85"/>
      <c r="Z1000" s="85"/>
      <c r="AA1000" s="85"/>
      <c r="AB1000" s="85"/>
      <c r="AC1000" s="85"/>
      <c r="AD1000" s="85"/>
    </row>
    <row r="1001" spans="1:30" ht="15.75" x14ac:dyDescent="0.25">
      <c r="A1001" s="13">
        <v>71405</v>
      </c>
      <c r="B1001" s="96">
        <f t="shared" si="162"/>
        <v>30</v>
      </c>
      <c r="C1001" s="84">
        <f>194.205</f>
        <v>194.20500000000001</v>
      </c>
      <c r="D1001" s="84">
        <f>267.466</f>
        <v>267.46600000000001</v>
      </c>
      <c r="E1001" s="93">
        <f>133.845</f>
        <v>133.845</v>
      </c>
      <c r="F1001" s="84">
        <f>278.484-40-25-60-100</f>
        <v>53.48399999999998</v>
      </c>
      <c r="G1001" s="87">
        <v>40</v>
      </c>
      <c r="H1001" s="84">
        <f t="shared" si="168"/>
        <v>185</v>
      </c>
      <c r="I1001" s="84">
        <f t="shared" si="158"/>
        <v>0</v>
      </c>
      <c r="J1001" s="87">
        <v>100</v>
      </c>
      <c r="K1001" s="87">
        <v>300</v>
      </c>
      <c r="L1001" s="84">
        <f t="shared" si="163"/>
        <v>1274</v>
      </c>
      <c r="M1001" s="95">
        <v>600</v>
      </c>
      <c r="N1001" s="84">
        <f>30</f>
        <v>30</v>
      </c>
      <c r="O1001" s="87">
        <v>240</v>
      </c>
      <c r="P1001" s="87">
        <v>40</v>
      </c>
      <c r="Q1001" s="87">
        <f t="shared" si="164"/>
        <v>315</v>
      </c>
      <c r="R1001" s="87">
        <f t="shared" si="165"/>
        <v>100</v>
      </c>
      <c r="S1001" s="84">
        <f t="shared" si="166"/>
        <v>695</v>
      </c>
      <c r="T1001" s="84">
        <f>50</f>
        <v>50</v>
      </c>
      <c r="U1001" s="85"/>
      <c r="V1001" s="85"/>
      <c r="W1001" s="85"/>
      <c r="X1001" s="85"/>
      <c r="Y1001" s="85"/>
      <c r="Z1001" s="85"/>
      <c r="AA1001" s="85"/>
      <c r="AB1001" s="85"/>
      <c r="AC1001" s="85"/>
      <c r="AD1001" s="85"/>
    </row>
    <row r="1002" spans="1:30" ht="15.75" x14ac:dyDescent="0.25">
      <c r="A1002" s="13">
        <v>71436</v>
      </c>
      <c r="B1002" s="96">
        <f t="shared" si="162"/>
        <v>31</v>
      </c>
      <c r="C1002" s="84">
        <f>194.205</f>
        <v>194.20500000000001</v>
      </c>
      <c r="D1002" s="84">
        <f>267.466</f>
        <v>267.46600000000001</v>
      </c>
      <c r="E1002" s="93">
        <f>133.845</f>
        <v>133.845</v>
      </c>
      <c r="F1002" s="84">
        <f>278.484-40-25-60-100</f>
        <v>53.48399999999998</v>
      </c>
      <c r="G1002" s="87">
        <v>40</v>
      </c>
      <c r="H1002" s="84">
        <f t="shared" si="168"/>
        <v>185</v>
      </c>
      <c r="I1002" s="84">
        <f t="shared" si="158"/>
        <v>0</v>
      </c>
      <c r="J1002" s="87">
        <v>100</v>
      </c>
      <c r="K1002" s="87">
        <v>300</v>
      </c>
      <c r="L1002" s="84">
        <f t="shared" si="163"/>
        <v>1274</v>
      </c>
      <c r="M1002" s="95">
        <v>600</v>
      </c>
      <c r="N1002" s="84">
        <f>30</f>
        <v>30</v>
      </c>
      <c r="O1002" s="87">
        <v>240</v>
      </c>
      <c r="P1002" s="87">
        <v>40</v>
      </c>
      <c r="Q1002" s="87">
        <f t="shared" si="164"/>
        <v>315</v>
      </c>
      <c r="R1002" s="87">
        <f t="shared" si="165"/>
        <v>100</v>
      </c>
      <c r="S1002" s="84">
        <f t="shared" si="166"/>
        <v>695</v>
      </c>
      <c r="T1002" s="84">
        <f>0</f>
        <v>0</v>
      </c>
      <c r="U1002" s="85"/>
      <c r="V1002" s="85"/>
      <c r="W1002" s="85"/>
      <c r="X1002" s="85"/>
      <c r="Y1002" s="85"/>
      <c r="Z1002" s="85"/>
      <c r="AA1002" s="85"/>
      <c r="AB1002" s="85"/>
      <c r="AC1002" s="85"/>
      <c r="AD1002" s="85"/>
    </row>
    <row r="1003" spans="1:30" ht="15.75" x14ac:dyDescent="0.25">
      <c r="A1003" s="13">
        <v>71467</v>
      </c>
      <c r="B1003" s="96">
        <f t="shared" si="162"/>
        <v>31</v>
      </c>
      <c r="C1003" s="84">
        <f>194.205</f>
        <v>194.20500000000001</v>
      </c>
      <c r="D1003" s="84">
        <f>267.466</f>
        <v>267.46600000000001</v>
      </c>
      <c r="E1003" s="93">
        <f>133.845</f>
        <v>133.845</v>
      </c>
      <c r="F1003" s="84">
        <f>278.484-40-25-60-100</f>
        <v>53.48399999999998</v>
      </c>
      <c r="G1003" s="87">
        <v>40</v>
      </c>
      <c r="H1003" s="84">
        <f t="shared" si="168"/>
        <v>185</v>
      </c>
      <c r="I1003" s="84">
        <f t="shared" si="158"/>
        <v>0</v>
      </c>
      <c r="J1003" s="87">
        <v>100</v>
      </c>
      <c r="K1003" s="87">
        <v>300</v>
      </c>
      <c r="L1003" s="84">
        <f t="shared" si="163"/>
        <v>1274</v>
      </c>
      <c r="M1003" s="95">
        <v>600</v>
      </c>
      <c r="N1003" s="84">
        <f>30</f>
        <v>30</v>
      </c>
      <c r="O1003" s="87">
        <v>240</v>
      </c>
      <c r="P1003" s="87">
        <v>40</v>
      </c>
      <c r="Q1003" s="87">
        <f t="shared" si="164"/>
        <v>315</v>
      </c>
      <c r="R1003" s="87">
        <f t="shared" si="165"/>
        <v>100</v>
      </c>
      <c r="S1003" s="84">
        <f t="shared" si="166"/>
        <v>695</v>
      </c>
      <c r="T1003" s="84">
        <f>0</f>
        <v>0</v>
      </c>
      <c r="U1003" s="85"/>
      <c r="V1003" s="85"/>
      <c r="W1003" s="85"/>
      <c r="X1003" s="85"/>
      <c r="Y1003" s="85"/>
      <c r="Z1003" s="85"/>
      <c r="AA1003" s="85"/>
      <c r="AB1003" s="85"/>
      <c r="AC1003" s="85"/>
      <c r="AD1003" s="85"/>
    </row>
    <row r="1004" spans="1:30" ht="15.75" x14ac:dyDescent="0.25">
      <c r="A1004" s="13">
        <v>71497</v>
      </c>
      <c r="B1004" s="96">
        <f t="shared" si="162"/>
        <v>30</v>
      </c>
      <c r="C1004" s="84">
        <f>194.205</f>
        <v>194.20500000000001</v>
      </c>
      <c r="D1004" s="84">
        <f>267.466</f>
        <v>267.46600000000001</v>
      </c>
      <c r="E1004" s="93">
        <f>133.845</f>
        <v>133.845</v>
      </c>
      <c r="F1004" s="84">
        <f>278.484-40-25-60-100</f>
        <v>53.48399999999998</v>
      </c>
      <c r="G1004" s="87">
        <v>40</v>
      </c>
      <c r="H1004" s="84">
        <f t="shared" si="168"/>
        <v>185</v>
      </c>
      <c r="I1004" s="84">
        <f t="shared" si="158"/>
        <v>0</v>
      </c>
      <c r="J1004" s="87">
        <v>100</v>
      </c>
      <c r="K1004" s="87">
        <v>300</v>
      </c>
      <c r="L1004" s="84">
        <f t="shared" si="163"/>
        <v>1274</v>
      </c>
      <c r="M1004" s="95">
        <v>600</v>
      </c>
      <c r="N1004" s="84">
        <f>30</f>
        <v>30</v>
      </c>
      <c r="O1004" s="87">
        <v>240</v>
      </c>
      <c r="P1004" s="87">
        <v>40</v>
      </c>
      <c r="Q1004" s="87">
        <f t="shared" si="164"/>
        <v>315</v>
      </c>
      <c r="R1004" s="87">
        <f t="shared" si="165"/>
        <v>100</v>
      </c>
      <c r="S1004" s="84">
        <f t="shared" si="166"/>
        <v>695</v>
      </c>
      <c r="T1004" s="84">
        <f>0</f>
        <v>0</v>
      </c>
      <c r="U1004" s="85"/>
      <c r="V1004" s="85"/>
      <c r="W1004" s="85"/>
      <c r="X1004" s="85"/>
      <c r="Y1004" s="85"/>
      <c r="Z1004" s="85"/>
      <c r="AA1004" s="85"/>
      <c r="AB1004" s="85"/>
      <c r="AC1004" s="85"/>
      <c r="AD1004" s="85"/>
    </row>
    <row r="1005" spans="1:30" ht="15.75" x14ac:dyDescent="0.25">
      <c r="A1005" s="13">
        <v>71528</v>
      </c>
      <c r="B1005" s="96">
        <f t="shared" si="162"/>
        <v>31</v>
      </c>
      <c r="C1005" s="84">
        <f>131.881</f>
        <v>131.881</v>
      </c>
      <c r="D1005" s="84">
        <f>277.167</f>
        <v>277.16699999999997</v>
      </c>
      <c r="E1005" s="93">
        <f>79.08</f>
        <v>79.08</v>
      </c>
      <c r="F1005" s="84">
        <f>350.872-40-25-60-100</f>
        <v>125.87200000000001</v>
      </c>
      <c r="G1005" s="87">
        <v>40</v>
      </c>
      <c r="H1005" s="84">
        <f t="shared" si="168"/>
        <v>185</v>
      </c>
      <c r="I1005" s="84">
        <f t="shared" si="158"/>
        <v>0</v>
      </c>
      <c r="J1005" s="87">
        <v>100</v>
      </c>
      <c r="K1005" s="87">
        <v>300</v>
      </c>
      <c r="L1005" s="84">
        <f t="shared" si="163"/>
        <v>1239</v>
      </c>
      <c r="M1005" s="95">
        <v>600</v>
      </c>
      <c r="N1005" s="84">
        <f>75</f>
        <v>75</v>
      </c>
      <c r="O1005" s="87">
        <v>240</v>
      </c>
      <c r="P1005" s="87">
        <v>40</v>
      </c>
      <c r="Q1005" s="87">
        <f t="shared" si="164"/>
        <v>315</v>
      </c>
      <c r="R1005" s="87">
        <f t="shared" si="165"/>
        <v>100</v>
      </c>
      <c r="S1005" s="84">
        <f t="shared" si="166"/>
        <v>695</v>
      </c>
      <c r="T1005" s="84">
        <f>0</f>
        <v>0</v>
      </c>
      <c r="U1005" s="85"/>
      <c r="V1005" s="85"/>
      <c r="W1005" s="85"/>
      <c r="X1005" s="85"/>
      <c r="Y1005" s="85"/>
      <c r="Z1005" s="85"/>
      <c r="AA1005" s="85"/>
      <c r="AB1005" s="85"/>
      <c r="AC1005" s="85"/>
      <c r="AD1005" s="85"/>
    </row>
    <row r="1006" spans="1:30" ht="15.75" x14ac:dyDescent="0.25">
      <c r="A1006" s="13">
        <v>71558</v>
      </c>
      <c r="B1006" s="96">
        <f t="shared" si="162"/>
        <v>30</v>
      </c>
      <c r="C1006" s="84">
        <f>122.58</f>
        <v>122.58</v>
      </c>
      <c r="D1006" s="84">
        <f>297.941</f>
        <v>297.94099999999997</v>
      </c>
      <c r="E1006" s="93">
        <f>89.177</f>
        <v>89.177000000000007</v>
      </c>
      <c r="F1006" s="84">
        <f>240.302-40-60-100</f>
        <v>40.301999999999992</v>
      </c>
      <c r="G1006" s="87">
        <v>40</v>
      </c>
      <c r="H1006" s="84">
        <f>60+100</f>
        <v>160</v>
      </c>
      <c r="I1006" s="84">
        <f t="shared" si="158"/>
        <v>0</v>
      </c>
      <c r="J1006" s="87">
        <v>100</v>
      </c>
      <c r="K1006" s="87">
        <v>300</v>
      </c>
      <c r="L1006" s="84">
        <f t="shared" si="163"/>
        <v>1150</v>
      </c>
      <c r="M1006" s="95">
        <v>600</v>
      </c>
      <c r="N1006" s="84">
        <f>100</f>
        <v>100</v>
      </c>
      <c r="O1006" s="87">
        <v>240</v>
      </c>
      <c r="P1006" s="87">
        <v>40</v>
      </c>
      <c r="Q1006" s="87">
        <f t="shared" si="164"/>
        <v>315</v>
      </c>
      <c r="R1006" s="87">
        <f t="shared" si="165"/>
        <v>100</v>
      </c>
      <c r="S1006" s="84">
        <f t="shared" si="166"/>
        <v>695</v>
      </c>
      <c r="T1006" s="84">
        <f>50</f>
        <v>50</v>
      </c>
      <c r="U1006" s="85"/>
      <c r="V1006" s="85"/>
      <c r="W1006" s="85"/>
      <c r="X1006" s="85"/>
      <c r="Y1006" s="85"/>
      <c r="Z1006" s="85"/>
      <c r="AA1006" s="85"/>
      <c r="AB1006" s="85"/>
      <c r="AC1006" s="85"/>
      <c r="AD1006" s="85"/>
    </row>
    <row r="1007" spans="1:30" ht="15.75" x14ac:dyDescent="0.25">
      <c r="A1007" s="13">
        <v>71589</v>
      </c>
      <c r="B1007" s="96">
        <f t="shared" si="162"/>
        <v>31</v>
      </c>
      <c r="C1007" s="84">
        <f>122.58</f>
        <v>122.58</v>
      </c>
      <c r="D1007" s="84">
        <f>297.941</f>
        <v>297.94099999999997</v>
      </c>
      <c r="E1007" s="93">
        <f>89.177</f>
        <v>89.177000000000007</v>
      </c>
      <c r="F1007" s="84">
        <f>240.302-40-60-100</f>
        <v>40.301999999999992</v>
      </c>
      <c r="G1007" s="87">
        <v>40</v>
      </c>
      <c r="H1007" s="84">
        <f>60+100</f>
        <v>160</v>
      </c>
      <c r="I1007" s="84">
        <f t="shared" si="158"/>
        <v>0</v>
      </c>
      <c r="J1007" s="87">
        <v>100</v>
      </c>
      <c r="K1007" s="87">
        <v>300</v>
      </c>
      <c r="L1007" s="84">
        <f t="shared" si="163"/>
        <v>1150</v>
      </c>
      <c r="M1007" s="95">
        <v>600</v>
      </c>
      <c r="N1007" s="84">
        <f>100</f>
        <v>100</v>
      </c>
      <c r="O1007" s="87">
        <v>240</v>
      </c>
      <c r="P1007" s="87">
        <v>40</v>
      </c>
      <c r="Q1007" s="87">
        <f t="shared" si="164"/>
        <v>315</v>
      </c>
      <c r="R1007" s="87">
        <f t="shared" si="165"/>
        <v>100</v>
      </c>
      <c r="S1007" s="84">
        <f t="shared" si="166"/>
        <v>695</v>
      </c>
      <c r="T1007" s="84">
        <f>50</f>
        <v>50</v>
      </c>
      <c r="U1007" s="85"/>
      <c r="V1007" s="85"/>
      <c r="W1007" s="85"/>
      <c r="X1007" s="85"/>
      <c r="Y1007" s="85"/>
      <c r="Z1007" s="85"/>
      <c r="AA1007" s="85"/>
      <c r="AB1007" s="85"/>
      <c r="AC1007" s="85"/>
      <c r="AD1007" s="85"/>
    </row>
    <row r="1008" spans="1:30" ht="15.75" x14ac:dyDescent="0.25">
      <c r="A1008" s="13">
        <v>71620</v>
      </c>
      <c r="B1008" s="96">
        <f t="shared" si="162"/>
        <v>31</v>
      </c>
      <c r="C1008" s="84">
        <f>122.58</f>
        <v>122.58</v>
      </c>
      <c r="D1008" s="84">
        <f>297.941</f>
        <v>297.94099999999997</v>
      </c>
      <c r="E1008" s="93">
        <f>89.177</f>
        <v>89.177000000000007</v>
      </c>
      <c r="F1008" s="84">
        <f>240.302-40-60-100</f>
        <v>40.301999999999992</v>
      </c>
      <c r="G1008" s="87">
        <v>40</v>
      </c>
      <c r="H1008" s="84">
        <f>60+100</f>
        <v>160</v>
      </c>
      <c r="I1008" s="84">
        <f t="shared" si="158"/>
        <v>0</v>
      </c>
      <c r="J1008" s="87">
        <v>100</v>
      </c>
      <c r="K1008" s="87">
        <v>300</v>
      </c>
      <c r="L1008" s="84">
        <f t="shared" si="163"/>
        <v>1150</v>
      </c>
      <c r="M1008" s="95">
        <v>600</v>
      </c>
      <c r="N1008" s="84">
        <f>100</f>
        <v>100</v>
      </c>
      <c r="O1008" s="87">
        <v>240</v>
      </c>
      <c r="P1008" s="87">
        <v>40</v>
      </c>
      <c r="Q1008" s="87">
        <f t="shared" si="164"/>
        <v>315</v>
      </c>
      <c r="R1008" s="87">
        <f t="shared" si="165"/>
        <v>100</v>
      </c>
      <c r="S1008" s="84">
        <f t="shared" si="166"/>
        <v>695</v>
      </c>
      <c r="T1008" s="84">
        <f>50</f>
        <v>50</v>
      </c>
      <c r="U1008" s="85"/>
      <c r="V1008" s="85"/>
      <c r="W1008" s="85"/>
      <c r="X1008" s="85"/>
      <c r="Y1008" s="85"/>
      <c r="Z1008" s="85"/>
      <c r="AA1008" s="85"/>
      <c r="AB1008" s="85"/>
      <c r="AC1008" s="85"/>
      <c r="AD1008" s="85"/>
    </row>
    <row r="1009" spans="1:30" ht="15.75" x14ac:dyDescent="0.25">
      <c r="A1009" s="13">
        <v>71649</v>
      </c>
      <c r="B1009" s="96">
        <f t="shared" si="162"/>
        <v>29</v>
      </c>
      <c r="C1009" s="84">
        <f>122.58</f>
        <v>122.58</v>
      </c>
      <c r="D1009" s="84">
        <f>297.941</f>
        <v>297.94099999999997</v>
      </c>
      <c r="E1009" s="93">
        <f>89.177</f>
        <v>89.177000000000007</v>
      </c>
      <c r="F1009" s="84">
        <f>240.302-40-60-100</f>
        <v>40.301999999999992</v>
      </c>
      <c r="G1009" s="87">
        <v>40</v>
      </c>
      <c r="H1009" s="84">
        <f>60+100</f>
        <v>160</v>
      </c>
      <c r="I1009" s="84">
        <f t="shared" si="158"/>
        <v>0</v>
      </c>
      <c r="J1009" s="87">
        <v>100</v>
      </c>
      <c r="K1009" s="87">
        <v>300</v>
      </c>
      <c r="L1009" s="84">
        <f t="shared" si="163"/>
        <v>1150</v>
      </c>
      <c r="M1009" s="95">
        <v>600</v>
      </c>
      <c r="N1009" s="84">
        <f>100</f>
        <v>100</v>
      </c>
      <c r="O1009" s="87">
        <v>240</v>
      </c>
      <c r="P1009" s="87">
        <v>40</v>
      </c>
      <c r="Q1009" s="87">
        <f t="shared" si="164"/>
        <v>315</v>
      </c>
      <c r="R1009" s="87">
        <f t="shared" si="165"/>
        <v>100</v>
      </c>
      <c r="S1009" s="84">
        <f t="shared" si="166"/>
        <v>695</v>
      </c>
      <c r="T1009" s="84">
        <f>50</f>
        <v>50</v>
      </c>
      <c r="U1009" s="85"/>
      <c r="V1009" s="85"/>
      <c r="W1009" s="85"/>
      <c r="X1009" s="85"/>
      <c r="Y1009" s="85"/>
      <c r="Z1009" s="85"/>
      <c r="AA1009" s="85"/>
      <c r="AB1009" s="85"/>
      <c r="AC1009" s="85"/>
      <c r="AD1009" s="85"/>
    </row>
    <row r="1010" spans="1:30" ht="15.75" x14ac:dyDescent="0.25">
      <c r="A1010" s="13">
        <v>71680</v>
      </c>
      <c r="B1010" s="96">
        <f t="shared" si="162"/>
        <v>31</v>
      </c>
      <c r="C1010" s="84">
        <f>122.58</f>
        <v>122.58</v>
      </c>
      <c r="D1010" s="84">
        <f>297.941</f>
        <v>297.94099999999997</v>
      </c>
      <c r="E1010" s="93">
        <f>89.177</f>
        <v>89.177000000000007</v>
      </c>
      <c r="F1010" s="84">
        <f>240.302-40-60-100</f>
        <v>40.301999999999992</v>
      </c>
      <c r="G1010" s="87">
        <v>40</v>
      </c>
      <c r="H1010" s="84">
        <f>60+100</f>
        <v>160</v>
      </c>
      <c r="I1010" s="84">
        <f t="shared" si="158"/>
        <v>0</v>
      </c>
      <c r="J1010" s="87">
        <v>100</v>
      </c>
      <c r="K1010" s="87">
        <v>300</v>
      </c>
      <c r="L1010" s="84">
        <f t="shared" si="163"/>
        <v>1150</v>
      </c>
      <c r="M1010" s="95">
        <v>600</v>
      </c>
      <c r="N1010" s="84">
        <f>100</f>
        <v>100</v>
      </c>
      <c r="O1010" s="87">
        <v>240</v>
      </c>
      <c r="P1010" s="87">
        <v>40</v>
      </c>
      <c r="Q1010" s="87">
        <f t="shared" si="164"/>
        <v>315</v>
      </c>
      <c r="R1010" s="87">
        <f t="shared" si="165"/>
        <v>100</v>
      </c>
      <c r="S1010" s="84">
        <f t="shared" si="166"/>
        <v>695</v>
      </c>
      <c r="T1010" s="84">
        <f>50</f>
        <v>50</v>
      </c>
      <c r="U1010" s="85"/>
      <c r="V1010" s="85"/>
      <c r="W1010" s="85"/>
      <c r="X1010" s="85"/>
      <c r="Y1010" s="85"/>
      <c r="Z1010" s="85"/>
      <c r="AA1010" s="85"/>
      <c r="AB1010" s="85"/>
      <c r="AC1010" s="85"/>
      <c r="AD1010" s="85"/>
    </row>
    <row r="1011" spans="1:30" ht="15.75" x14ac:dyDescent="0.25">
      <c r="A1011" s="13">
        <v>71710</v>
      </c>
      <c r="B1011" s="96">
        <f t="shared" si="162"/>
        <v>30</v>
      </c>
      <c r="C1011" s="84">
        <f>141.293</f>
        <v>141.29300000000001</v>
      </c>
      <c r="D1011" s="84">
        <f>267.993</f>
        <v>267.99299999999999</v>
      </c>
      <c r="E1011" s="93">
        <f>115.016</f>
        <v>115.01600000000001</v>
      </c>
      <c r="F1011" s="84">
        <f>314.698-40-25-60-100</f>
        <v>89.697999999999979</v>
      </c>
      <c r="G1011" s="87">
        <v>40</v>
      </c>
      <c r="H1011" s="84">
        <f t="shared" ref="H1011:H1017" si="169">25+60+100</f>
        <v>185</v>
      </c>
      <c r="I1011" s="84">
        <f t="shared" si="158"/>
        <v>0</v>
      </c>
      <c r="J1011" s="87">
        <v>100</v>
      </c>
      <c r="K1011" s="87">
        <v>300</v>
      </c>
      <c r="L1011" s="84">
        <f t="shared" si="163"/>
        <v>1239</v>
      </c>
      <c r="M1011" s="95">
        <v>600</v>
      </c>
      <c r="N1011" s="84">
        <f>100</f>
        <v>100</v>
      </c>
      <c r="O1011" s="87">
        <v>240</v>
      </c>
      <c r="P1011" s="87">
        <v>40</v>
      </c>
      <c r="Q1011" s="87">
        <f t="shared" si="164"/>
        <v>315</v>
      </c>
      <c r="R1011" s="87">
        <f t="shared" si="165"/>
        <v>100</v>
      </c>
      <c r="S1011" s="84">
        <f t="shared" si="166"/>
        <v>695</v>
      </c>
      <c r="T1011" s="84">
        <f>50</f>
        <v>50</v>
      </c>
      <c r="U1011" s="85"/>
      <c r="V1011" s="85"/>
      <c r="W1011" s="85"/>
      <c r="X1011" s="85"/>
      <c r="Y1011" s="85"/>
      <c r="Z1011" s="85"/>
      <c r="AA1011" s="85"/>
      <c r="AB1011" s="85"/>
      <c r="AC1011" s="85"/>
      <c r="AD1011" s="85"/>
    </row>
    <row r="1012" spans="1:30" ht="15.75" x14ac:dyDescent="0.25">
      <c r="A1012" s="13">
        <v>71741</v>
      </c>
      <c r="B1012" s="96">
        <f t="shared" si="162"/>
        <v>31</v>
      </c>
      <c r="C1012" s="84">
        <f>194.205</f>
        <v>194.20500000000001</v>
      </c>
      <c r="D1012" s="84">
        <f>267.466</f>
        <v>267.46600000000001</v>
      </c>
      <c r="E1012" s="93">
        <f>133.845</f>
        <v>133.845</v>
      </c>
      <c r="F1012" s="84">
        <f>278.484-40-25-60-100</f>
        <v>53.48399999999998</v>
      </c>
      <c r="G1012" s="87">
        <v>40</v>
      </c>
      <c r="H1012" s="84">
        <f t="shared" si="169"/>
        <v>185</v>
      </c>
      <c r="I1012" s="84">
        <f t="shared" ref="I1012:I1067" si="170">400-J1012-K1012</f>
        <v>0</v>
      </c>
      <c r="J1012" s="87">
        <v>100</v>
      </c>
      <c r="K1012" s="87">
        <v>300</v>
      </c>
      <c r="L1012" s="84">
        <f t="shared" si="163"/>
        <v>1274</v>
      </c>
      <c r="M1012" s="95">
        <v>600</v>
      </c>
      <c r="N1012" s="84">
        <f>75</f>
        <v>75</v>
      </c>
      <c r="O1012" s="87">
        <v>240</v>
      </c>
      <c r="P1012" s="87">
        <v>40</v>
      </c>
      <c r="Q1012" s="87">
        <f t="shared" si="164"/>
        <v>315</v>
      </c>
      <c r="R1012" s="87">
        <f t="shared" si="165"/>
        <v>100</v>
      </c>
      <c r="S1012" s="84">
        <f t="shared" si="166"/>
        <v>695</v>
      </c>
      <c r="T1012" s="84">
        <f>50</f>
        <v>50</v>
      </c>
      <c r="U1012" s="85"/>
      <c r="V1012" s="85"/>
      <c r="W1012" s="85"/>
      <c r="X1012" s="85"/>
      <c r="Y1012" s="85"/>
      <c r="Z1012" s="85"/>
      <c r="AA1012" s="85"/>
      <c r="AB1012" s="85"/>
      <c r="AC1012" s="85"/>
      <c r="AD1012" s="85"/>
    </row>
    <row r="1013" spans="1:30" ht="15.75" x14ac:dyDescent="0.25">
      <c r="A1013" s="13">
        <v>71771</v>
      </c>
      <c r="B1013" s="96">
        <f t="shared" si="162"/>
        <v>30</v>
      </c>
      <c r="C1013" s="84">
        <f>194.205</f>
        <v>194.20500000000001</v>
      </c>
      <c r="D1013" s="84">
        <f>267.466</f>
        <v>267.46600000000001</v>
      </c>
      <c r="E1013" s="93">
        <f>133.845</f>
        <v>133.845</v>
      </c>
      <c r="F1013" s="84">
        <f>278.484-40-25-60-100</f>
        <v>53.48399999999998</v>
      </c>
      <c r="G1013" s="87">
        <v>40</v>
      </c>
      <c r="H1013" s="84">
        <f t="shared" si="169"/>
        <v>185</v>
      </c>
      <c r="I1013" s="84">
        <f t="shared" si="170"/>
        <v>0</v>
      </c>
      <c r="J1013" s="87">
        <v>100</v>
      </c>
      <c r="K1013" s="87">
        <v>300</v>
      </c>
      <c r="L1013" s="84">
        <f t="shared" si="163"/>
        <v>1274</v>
      </c>
      <c r="M1013" s="95">
        <v>600</v>
      </c>
      <c r="N1013" s="84">
        <f>30</f>
        <v>30</v>
      </c>
      <c r="O1013" s="87">
        <v>240</v>
      </c>
      <c r="P1013" s="87">
        <v>40</v>
      </c>
      <c r="Q1013" s="87">
        <f t="shared" si="164"/>
        <v>315</v>
      </c>
      <c r="R1013" s="87">
        <f t="shared" si="165"/>
        <v>100</v>
      </c>
      <c r="S1013" s="84">
        <f t="shared" si="166"/>
        <v>695</v>
      </c>
      <c r="T1013" s="84">
        <f>50</f>
        <v>50</v>
      </c>
      <c r="U1013" s="85"/>
      <c r="V1013" s="85"/>
      <c r="W1013" s="85"/>
      <c r="X1013" s="85"/>
      <c r="Y1013" s="85"/>
      <c r="Z1013" s="85"/>
      <c r="AA1013" s="85"/>
      <c r="AB1013" s="85"/>
      <c r="AC1013" s="85"/>
      <c r="AD1013" s="85"/>
    </row>
    <row r="1014" spans="1:30" ht="15.75" x14ac:dyDescent="0.25">
      <c r="A1014" s="13">
        <v>71802</v>
      </c>
      <c r="B1014" s="96">
        <f t="shared" si="162"/>
        <v>31</v>
      </c>
      <c r="C1014" s="84">
        <f>194.205</f>
        <v>194.20500000000001</v>
      </c>
      <c r="D1014" s="84">
        <f>267.466</f>
        <v>267.46600000000001</v>
      </c>
      <c r="E1014" s="93">
        <f>133.845</f>
        <v>133.845</v>
      </c>
      <c r="F1014" s="84">
        <f>278.484-40-25-60-100</f>
        <v>53.48399999999998</v>
      </c>
      <c r="G1014" s="87">
        <v>40</v>
      </c>
      <c r="H1014" s="84">
        <f t="shared" si="169"/>
        <v>185</v>
      </c>
      <c r="I1014" s="84">
        <f t="shared" si="170"/>
        <v>0</v>
      </c>
      <c r="J1014" s="87">
        <v>100</v>
      </c>
      <c r="K1014" s="87">
        <v>300</v>
      </c>
      <c r="L1014" s="84">
        <f t="shared" si="163"/>
        <v>1274</v>
      </c>
      <c r="M1014" s="95">
        <v>600</v>
      </c>
      <c r="N1014" s="84">
        <f>30</f>
        <v>30</v>
      </c>
      <c r="O1014" s="87">
        <v>240</v>
      </c>
      <c r="P1014" s="87">
        <v>40</v>
      </c>
      <c r="Q1014" s="87">
        <f t="shared" si="164"/>
        <v>315</v>
      </c>
      <c r="R1014" s="87">
        <f t="shared" si="165"/>
        <v>100</v>
      </c>
      <c r="S1014" s="84">
        <f t="shared" si="166"/>
        <v>695</v>
      </c>
      <c r="T1014" s="84">
        <f>0</f>
        <v>0</v>
      </c>
      <c r="U1014" s="85"/>
      <c r="V1014" s="85"/>
      <c r="W1014" s="85"/>
      <c r="X1014" s="85"/>
      <c r="Y1014" s="85"/>
      <c r="Z1014" s="85"/>
      <c r="AA1014" s="85"/>
      <c r="AB1014" s="85"/>
      <c r="AC1014" s="85"/>
      <c r="AD1014" s="85"/>
    </row>
    <row r="1015" spans="1:30" ht="15.75" x14ac:dyDescent="0.25">
      <c r="A1015" s="13">
        <v>71833</v>
      </c>
      <c r="B1015" s="96">
        <f t="shared" si="162"/>
        <v>31</v>
      </c>
      <c r="C1015" s="84">
        <f>194.205</f>
        <v>194.20500000000001</v>
      </c>
      <c r="D1015" s="84">
        <f>267.466</f>
        <v>267.46600000000001</v>
      </c>
      <c r="E1015" s="93">
        <f>133.845</f>
        <v>133.845</v>
      </c>
      <c r="F1015" s="84">
        <f>278.484-40-25-60-100</f>
        <v>53.48399999999998</v>
      </c>
      <c r="G1015" s="87">
        <v>40</v>
      </c>
      <c r="H1015" s="84">
        <f t="shared" si="169"/>
        <v>185</v>
      </c>
      <c r="I1015" s="84">
        <f t="shared" si="170"/>
        <v>0</v>
      </c>
      <c r="J1015" s="87">
        <v>100</v>
      </c>
      <c r="K1015" s="87">
        <v>300</v>
      </c>
      <c r="L1015" s="84">
        <f t="shared" si="163"/>
        <v>1274</v>
      </c>
      <c r="M1015" s="95">
        <v>600</v>
      </c>
      <c r="N1015" s="84">
        <f>30</f>
        <v>30</v>
      </c>
      <c r="O1015" s="87">
        <v>240</v>
      </c>
      <c r="P1015" s="87">
        <v>40</v>
      </c>
      <c r="Q1015" s="87">
        <f t="shared" si="164"/>
        <v>315</v>
      </c>
      <c r="R1015" s="87">
        <f t="shared" si="165"/>
        <v>100</v>
      </c>
      <c r="S1015" s="84">
        <f t="shared" si="166"/>
        <v>695</v>
      </c>
      <c r="T1015" s="84">
        <f>0</f>
        <v>0</v>
      </c>
      <c r="U1015" s="85"/>
      <c r="V1015" s="85"/>
      <c r="W1015" s="85"/>
      <c r="X1015" s="85"/>
      <c r="Y1015" s="85"/>
      <c r="Z1015" s="85"/>
      <c r="AA1015" s="85"/>
      <c r="AB1015" s="85"/>
      <c r="AC1015" s="85"/>
      <c r="AD1015" s="85"/>
    </row>
    <row r="1016" spans="1:30" ht="15.75" x14ac:dyDescent="0.25">
      <c r="A1016" s="13">
        <v>71863</v>
      </c>
      <c r="B1016" s="96">
        <f t="shared" si="162"/>
        <v>30</v>
      </c>
      <c r="C1016" s="84">
        <f>194.205</f>
        <v>194.20500000000001</v>
      </c>
      <c r="D1016" s="84">
        <f>267.466</f>
        <v>267.46600000000001</v>
      </c>
      <c r="E1016" s="93">
        <f>133.845</f>
        <v>133.845</v>
      </c>
      <c r="F1016" s="84">
        <f>278.484-40-25-60-100</f>
        <v>53.48399999999998</v>
      </c>
      <c r="G1016" s="87">
        <v>40</v>
      </c>
      <c r="H1016" s="84">
        <f t="shared" si="169"/>
        <v>185</v>
      </c>
      <c r="I1016" s="84">
        <f t="shared" si="170"/>
        <v>0</v>
      </c>
      <c r="J1016" s="87">
        <v>100</v>
      </c>
      <c r="K1016" s="87">
        <v>300</v>
      </c>
      <c r="L1016" s="84">
        <f t="shared" si="163"/>
        <v>1274</v>
      </c>
      <c r="M1016" s="95">
        <v>600</v>
      </c>
      <c r="N1016" s="84">
        <f>30</f>
        <v>30</v>
      </c>
      <c r="O1016" s="87">
        <v>240</v>
      </c>
      <c r="P1016" s="87">
        <v>40</v>
      </c>
      <c r="Q1016" s="87">
        <f t="shared" si="164"/>
        <v>315</v>
      </c>
      <c r="R1016" s="87">
        <f t="shared" si="165"/>
        <v>100</v>
      </c>
      <c r="S1016" s="84">
        <f t="shared" si="166"/>
        <v>695</v>
      </c>
      <c r="T1016" s="84">
        <f>0</f>
        <v>0</v>
      </c>
      <c r="U1016" s="85"/>
      <c r="V1016" s="85"/>
      <c r="W1016" s="85"/>
      <c r="X1016" s="85"/>
      <c r="Y1016" s="85"/>
      <c r="Z1016" s="85"/>
      <c r="AA1016" s="85"/>
      <c r="AB1016" s="85"/>
      <c r="AC1016" s="85"/>
      <c r="AD1016" s="85"/>
    </row>
    <row r="1017" spans="1:30" ht="15.75" x14ac:dyDescent="0.25">
      <c r="A1017" s="13">
        <v>71894</v>
      </c>
      <c r="B1017" s="96">
        <f t="shared" si="162"/>
        <v>31</v>
      </c>
      <c r="C1017" s="84">
        <f>131.881</f>
        <v>131.881</v>
      </c>
      <c r="D1017" s="84">
        <f>277.167</f>
        <v>277.16699999999997</v>
      </c>
      <c r="E1017" s="93">
        <f>79.08</f>
        <v>79.08</v>
      </c>
      <c r="F1017" s="84">
        <f>350.872-40-25-60-100</f>
        <v>125.87200000000001</v>
      </c>
      <c r="G1017" s="87">
        <v>40</v>
      </c>
      <c r="H1017" s="84">
        <f t="shared" si="169"/>
        <v>185</v>
      </c>
      <c r="I1017" s="84">
        <f t="shared" si="170"/>
        <v>0</v>
      </c>
      <c r="J1017" s="87">
        <v>100</v>
      </c>
      <c r="K1017" s="87">
        <v>300</v>
      </c>
      <c r="L1017" s="84">
        <f t="shared" si="163"/>
        <v>1239</v>
      </c>
      <c r="M1017" s="95">
        <v>600</v>
      </c>
      <c r="N1017" s="84">
        <f>75</f>
        <v>75</v>
      </c>
      <c r="O1017" s="87">
        <v>240</v>
      </c>
      <c r="P1017" s="87">
        <v>40</v>
      </c>
      <c r="Q1017" s="87">
        <f t="shared" si="164"/>
        <v>315</v>
      </c>
      <c r="R1017" s="87">
        <f t="shared" si="165"/>
        <v>100</v>
      </c>
      <c r="S1017" s="84">
        <f t="shared" si="166"/>
        <v>695</v>
      </c>
      <c r="T1017" s="84">
        <f>0</f>
        <v>0</v>
      </c>
      <c r="U1017" s="85"/>
      <c r="V1017" s="85"/>
      <c r="W1017" s="85"/>
      <c r="X1017" s="85"/>
      <c r="Y1017" s="85"/>
      <c r="Z1017" s="85"/>
      <c r="AA1017" s="85"/>
      <c r="AB1017" s="85"/>
      <c r="AC1017" s="85"/>
      <c r="AD1017" s="85"/>
    </row>
    <row r="1018" spans="1:30" ht="15.75" x14ac:dyDescent="0.25">
      <c r="A1018" s="13">
        <v>71924</v>
      </c>
      <c r="B1018" s="96">
        <f t="shared" si="162"/>
        <v>30</v>
      </c>
      <c r="C1018" s="84">
        <f>122.58</f>
        <v>122.58</v>
      </c>
      <c r="D1018" s="84">
        <f>297.941</f>
        <v>297.94099999999997</v>
      </c>
      <c r="E1018" s="93">
        <f>89.177</f>
        <v>89.177000000000007</v>
      </c>
      <c r="F1018" s="84">
        <f>240.302-40-60-100</f>
        <v>40.301999999999992</v>
      </c>
      <c r="G1018" s="87">
        <v>40</v>
      </c>
      <c r="H1018" s="84">
        <f>60+100</f>
        <v>160</v>
      </c>
      <c r="I1018" s="84">
        <f t="shared" si="170"/>
        <v>0</v>
      </c>
      <c r="J1018" s="87">
        <v>100</v>
      </c>
      <c r="K1018" s="87">
        <v>300</v>
      </c>
      <c r="L1018" s="84">
        <f t="shared" si="163"/>
        <v>1150</v>
      </c>
      <c r="M1018" s="95">
        <v>600</v>
      </c>
      <c r="N1018" s="84">
        <f>100</f>
        <v>100</v>
      </c>
      <c r="O1018" s="87">
        <v>240</v>
      </c>
      <c r="P1018" s="87">
        <v>40</v>
      </c>
      <c r="Q1018" s="87">
        <f t="shared" si="164"/>
        <v>315</v>
      </c>
      <c r="R1018" s="87">
        <f t="shared" si="165"/>
        <v>100</v>
      </c>
      <c r="S1018" s="84">
        <f t="shared" si="166"/>
        <v>695</v>
      </c>
      <c r="T1018" s="84">
        <f>50</f>
        <v>50</v>
      </c>
      <c r="U1018" s="85"/>
      <c r="V1018" s="85"/>
      <c r="W1018" s="85"/>
      <c r="X1018" s="85"/>
      <c r="Y1018" s="85"/>
      <c r="Z1018" s="85"/>
      <c r="AA1018" s="85"/>
      <c r="AB1018" s="85"/>
      <c r="AC1018" s="85"/>
      <c r="AD1018" s="85"/>
    </row>
    <row r="1019" spans="1:30" ht="15.75" x14ac:dyDescent="0.25">
      <c r="A1019" s="13">
        <v>71955</v>
      </c>
      <c r="B1019" s="96">
        <f t="shared" si="162"/>
        <v>31</v>
      </c>
      <c r="C1019" s="84">
        <f>122.58</f>
        <v>122.58</v>
      </c>
      <c r="D1019" s="84">
        <f>297.941</f>
        <v>297.94099999999997</v>
      </c>
      <c r="E1019" s="93">
        <f>89.177</f>
        <v>89.177000000000007</v>
      </c>
      <c r="F1019" s="84">
        <f>240.302-40-60-100</f>
        <v>40.301999999999992</v>
      </c>
      <c r="G1019" s="87">
        <v>40</v>
      </c>
      <c r="H1019" s="84">
        <f>60+100</f>
        <v>160</v>
      </c>
      <c r="I1019" s="84">
        <f t="shared" si="170"/>
        <v>0</v>
      </c>
      <c r="J1019" s="87">
        <v>100</v>
      </c>
      <c r="K1019" s="87">
        <v>300</v>
      </c>
      <c r="L1019" s="84">
        <f t="shared" si="163"/>
        <v>1150</v>
      </c>
      <c r="M1019" s="95">
        <v>600</v>
      </c>
      <c r="N1019" s="84">
        <f>100</f>
        <v>100</v>
      </c>
      <c r="O1019" s="87">
        <v>240</v>
      </c>
      <c r="P1019" s="87">
        <v>40</v>
      </c>
      <c r="Q1019" s="87">
        <f t="shared" si="164"/>
        <v>315</v>
      </c>
      <c r="R1019" s="87">
        <f t="shared" si="165"/>
        <v>100</v>
      </c>
      <c r="S1019" s="84">
        <f t="shared" si="166"/>
        <v>695</v>
      </c>
      <c r="T1019" s="84">
        <f>50</f>
        <v>50</v>
      </c>
      <c r="U1019" s="85"/>
      <c r="V1019" s="85"/>
      <c r="W1019" s="85"/>
      <c r="X1019" s="85"/>
      <c r="Y1019" s="85"/>
      <c r="Z1019" s="85"/>
      <c r="AA1019" s="85"/>
      <c r="AB1019" s="85"/>
      <c r="AC1019" s="85"/>
      <c r="AD1019" s="85"/>
    </row>
    <row r="1020" spans="1:30" ht="15.75" x14ac:dyDescent="0.25">
      <c r="A1020" s="13">
        <v>71986</v>
      </c>
      <c r="B1020" s="96">
        <f t="shared" si="162"/>
        <v>31</v>
      </c>
      <c r="C1020" s="84">
        <f>122.58</f>
        <v>122.58</v>
      </c>
      <c r="D1020" s="84">
        <f>297.941</f>
        <v>297.94099999999997</v>
      </c>
      <c r="E1020" s="93">
        <f>89.177</f>
        <v>89.177000000000007</v>
      </c>
      <c r="F1020" s="84">
        <f>240.302-40-60-100</f>
        <v>40.301999999999992</v>
      </c>
      <c r="G1020" s="87">
        <v>40</v>
      </c>
      <c r="H1020" s="84">
        <f>60+100</f>
        <v>160</v>
      </c>
      <c r="I1020" s="84">
        <f t="shared" si="170"/>
        <v>0</v>
      </c>
      <c r="J1020" s="87">
        <v>100</v>
      </c>
      <c r="K1020" s="87">
        <v>300</v>
      </c>
      <c r="L1020" s="84">
        <f t="shared" si="163"/>
        <v>1150</v>
      </c>
      <c r="M1020" s="95">
        <v>600</v>
      </c>
      <c r="N1020" s="84">
        <f>100</f>
        <v>100</v>
      </c>
      <c r="O1020" s="87">
        <v>240</v>
      </c>
      <c r="P1020" s="87">
        <v>40</v>
      </c>
      <c r="Q1020" s="87">
        <f t="shared" si="164"/>
        <v>315</v>
      </c>
      <c r="R1020" s="87">
        <f t="shared" si="165"/>
        <v>100</v>
      </c>
      <c r="S1020" s="84">
        <f t="shared" si="166"/>
        <v>695</v>
      </c>
      <c r="T1020" s="84">
        <f>50</f>
        <v>50</v>
      </c>
      <c r="U1020" s="85"/>
      <c r="V1020" s="85"/>
      <c r="W1020" s="85"/>
      <c r="X1020" s="85"/>
      <c r="Y1020" s="85"/>
      <c r="Z1020" s="85"/>
      <c r="AA1020" s="85"/>
      <c r="AB1020" s="85"/>
      <c r="AC1020" s="85"/>
      <c r="AD1020" s="85"/>
    </row>
    <row r="1021" spans="1:30" ht="15.75" x14ac:dyDescent="0.25">
      <c r="A1021" s="13">
        <v>72014</v>
      </c>
      <c r="B1021" s="96">
        <f t="shared" si="162"/>
        <v>28</v>
      </c>
      <c r="C1021" s="84">
        <f>122.58</f>
        <v>122.58</v>
      </c>
      <c r="D1021" s="84">
        <f>297.941</f>
        <v>297.94099999999997</v>
      </c>
      <c r="E1021" s="93">
        <f>89.177</f>
        <v>89.177000000000007</v>
      </c>
      <c r="F1021" s="84">
        <f>240.302-40-60-100</f>
        <v>40.301999999999992</v>
      </c>
      <c r="G1021" s="87">
        <v>40</v>
      </c>
      <c r="H1021" s="84">
        <f>60+100</f>
        <v>160</v>
      </c>
      <c r="I1021" s="84">
        <f t="shared" si="170"/>
        <v>0</v>
      </c>
      <c r="J1021" s="87">
        <v>100</v>
      </c>
      <c r="K1021" s="87">
        <v>300</v>
      </c>
      <c r="L1021" s="84">
        <f t="shared" si="163"/>
        <v>1150</v>
      </c>
      <c r="M1021" s="95">
        <v>600</v>
      </c>
      <c r="N1021" s="84">
        <f>100</f>
        <v>100</v>
      </c>
      <c r="O1021" s="87">
        <v>240</v>
      </c>
      <c r="P1021" s="87">
        <v>40</v>
      </c>
      <c r="Q1021" s="87">
        <f t="shared" si="164"/>
        <v>315</v>
      </c>
      <c r="R1021" s="87">
        <f t="shared" si="165"/>
        <v>100</v>
      </c>
      <c r="S1021" s="84">
        <f t="shared" si="166"/>
        <v>695</v>
      </c>
      <c r="T1021" s="84">
        <f>50</f>
        <v>50</v>
      </c>
      <c r="U1021" s="85"/>
      <c r="V1021" s="85"/>
      <c r="W1021" s="85"/>
      <c r="X1021" s="85"/>
      <c r="Y1021" s="85"/>
      <c r="Z1021" s="85"/>
      <c r="AA1021" s="85"/>
      <c r="AB1021" s="85"/>
      <c r="AC1021" s="85"/>
      <c r="AD1021" s="85"/>
    </row>
    <row r="1022" spans="1:30" ht="15.75" x14ac:dyDescent="0.25">
      <c r="A1022" s="13">
        <v>72045</v>
      </c>
      <c r="B1022" s="96">
        <f t="shared" si="162"/>
        <v>31</v>
      </c>
      <c r="C1022" s="84">
        <f>122.58</f>
        <v>122.58</v>
      </c>
      <c r="D1022" s="84">
        <f>297.941</f>
        <v>297.94099999999997</v>
      </c>
      <c r="E1022" s="93">
        <f>89.177</f>
        <v>89.177000000000007</v>
      </c>
      <c r="F1022" s="84">
        <f>240.302-40-60-100</f>
        <v>40.301999999999992</v>
      </c>
      <c r="G1022" s="87">
        <v>40</v>
      </c>
      <c r="H1022" s="84">
        <f>60+100</f>
        <v>160</v>
      </c>
      <c r="I1022" s="84">
        <f t="shared" si="170"/>
        <v>0</v>
      </c>
      <c r="J1022" s="87">
        <v>100</v>
      </c>
      <c r="K1022" s="87">
        <v>300</v>
      </c>
      <c r="L1022" s="84">
        <f t="shared" si="163"/>
        <v>1150</v>
      </c>
      <c r="M1022" s="95">
        <v>600</v>
      </c>
      <c r="N1022" s="84">
        <f>100</f>
        <v>100</v>
      </c>
      <c r="O1022" s="87">
        <v>240</v>
      </c>
      <c r="P1022" s="87">
        <v>40</v>
      </c>
      <c r="Q1022" s="87">
        <f t="shared" si="164"/>
        <v>315</v>
      </c>
      <c r="R1022" s="87">
        <f t="shared" si="165"/>
        <v>100</v>
      </c>
      <c r="S1022" s="84">
        <f t="shared" si="166"/>
        <v>695</v>
      </c>
      <c r="T1022" s="84">
        <f>50</f>
        <v>50</v>
      </c>
      <c r="U1022" s="85"/>
      <c r="V1022" s="85"/>
      <c r="W1022" s="85"/>
      <c r="X1022" s="85"/>
      <c r="Y1022" s="85"/>
      <c r="Z1022" s="85"/>
      <c r="AA1022" s="85"/>
      <c r="AB1022" s="85"/>
      <c r="AC1022" s="85"/>
      <c r="AD1022" s="85"/>
    </row>
    <row r="1023" spans="1:30" ht="15.75" x14ac:dyDescent="0.25">
      <c r="A1023" s="13">
        <v>72075</v>
      </c>
      <c r="B1023" s="96">
        <f t="shared" si="162"/>
        <v>30</v>
      </c>
      <c r="C1023" s="84">
        <f>141.293</f>
        <v>141.29300000000001</v>
      </c>
      <c r="D1023" s="84">
        <f>267.993</f>
        <v>267.99299999999999</v>
      </c>
      <c r="E1023" s="93">
        <f>115.016</f>
        <v>115.01600000000001</v>
      </c>
      <c r="F1023" s="84">
        <f>314.698-40-25-60-100</f>
        <v>89.697999999999979</v>
      </c>
      <c r="G1023" s="87">
        <v>40</v>
      </c>
      <c r="H1023" s="84">
        <f t="shared" ref="H1023:H1029" si="171">25+60+100</f>
        <v>185</v>
      </c>
      <c r="I1023" s="84">
        <f t="shared" si="170"/>
        <v>0</v>
      </c>
      <c r="J1023" s="87">
        <v>100</v>
      </c>
      <c r="K1023" s="87">
        <v>300</v>
      </c>
      <c r="L1023" s="84">
        <f t="shared" si="163"/>
        <v>1239</v>
      </c>
      <c r="M1023" s="95">
        <v>600</v>
      </c>
      <c r="N1023" s="84">
        <f>100</f>
        <v>100</v>
      </c>
      <c r="O1023" s="87">
        <v>240</v>
      </c>
      <c r="P1023" s="87">
        <v>40</v>
      </c>
      <c r="Q1023" s="87">
        <f t="shared" si="164"/>
        <v>315</v>
      </c>
      <c r="R1023" s="87">
        <f t="shared" si="165"/>
        <v>100</v>
      </c>
      <c r="S1023" s="84">
        <f t="shared" si="166"/>
        <v>695</v>
      </c>
      <c r="T1023" s="84">
        <f>50</f>
        <v>50</v>
      </c>
      <c r="U1023" s="85"/>
      <c r="V1023" s="85"/>
      <c r="W1023" s="85"/>
      <c r="X1023" s="85"/>
      <c r="Y1023" s="85"/>
      <c r="Z1023" s="85"/>
      <c r="AA1023" s="85"/>
      <c r="AB1023" s="85"/>
      <c r="AC1023" s="85"/>
      <c r="AD1023" s="85"/>
    </row>
    <row r="1024" spans="1:30" ht="15.75" x14ac:dyDescent="0.25">
      <c r="A1024" s="13">
        <v>72106</v>
      </c>
      <c r="B1024" s="96">
        <f t="shared" si="162"/>
        <v>31</v>
      </c>
      <c r="C1024" s="84">
        <f>194.205</f>
        <v>194.20500000000001</v>
      </c>
      <c r="D1024" s="84">
        <f>267.466</f>
        <v>267.46600000000001</v>
      </c>
      <c r="E1024" s="93">
        <f>133.845</f>
        <v>133.845</v>
      </c>
      <c r="F1024" s="84">
        <f>278.484-40-25-60-100</f>
        <v>53.48399999999998</v>
      </c>
      <c r="G1024" s="87">
        <v>40</v>
      </c>
      <c r="H1024" s="84">
        <f t="shared" si="171"/>
        <v>185</v>
      </c>
      <c r="I1024" s="84">
        <f t="shared" si="170"/>
        <v>0</v>
      </c>
      <c r="J1024" s="87">
        <v>100</v>
      </c>
      <c r="K1024" s="87">
        <v>300</v>
      </c>
      <c r="L1024" s="84">
        <f t="shared" si="163"/>
        <v>1274</v>
      </c>
      <c r="M1024" s="95">
        <v>600</v>
      </c>
      <c r="N1024" s="84">
        <f>75</f>
        <v>75</v>
      </c>
      <c r="O1024" s="87">
        <v>240</v>
      </c>
      <c r="P1024" s="87">
        <v>40</v>
      </c>
      <c r="Q1024" s="87">
        <f t="shared" si="164"/>
        <v>315</v>
      </c>
      <c r="R1024" s="87">
        <f t="shared" si="165"/>
        <v>100</v>
      </c>
      <c r="S1024" s="84">
        <f t="shared" si="166"/>
        <v>695</v>
      </c>
      <c r="T1024" s="84">
        <f>50</f>
        <v>50</v>
      </c>
      <c r="U1024" s="85"/>
      <c r="V1024" s="85"/>
      <c r="W1024" s="85"/>
      <c r="X1024" s="85"/>
      <c r="Y1024" s="85"/>
      <c r="Z1024" s="85"/>
      <c r="AA1024" s="85"/>
      <c r="AB1024" s="85"/>
      <c r="AC1024" s="85"/>
      <c r="AD1024" s="85"/>
    </row>
    <row r="1025" spans="1:30" ht="15.75" x14ac:dyDescent="0.25">
      <c r="A1025" s="13">
        <v>72136</v>
      </c>
      <c r="B1025" s="96">
        <f t="shared" si="162"/>
        <v>30</v>
      </c>
      <c r="C1025" s="84">
        <f>194.205</f>
        <v>194.20500000000001</v>
      </c>
      <c r="D1025" s="84">
        <f>267.466</f>
        <v>267.46600000000001</v>
      </c>
      <c r="E1025" s="93">
        <f>133.845</f>
        <v>133.845</v>
      </c>
      <c r="F1025" s="84">
        <f>278.484-40-25-60-100</f>
        <v>53.48399999999998</v>
      </c>
      <c r="G1025" s="87">
        <v>40</v>
      </c>
      <c r="H1025" s="84">
        <f t="shared" si="171"/>
        <v>185</v>
      </c>
      <c r="I1025" s="84">
        <f t="shared" si="170"/>
        <v>0</v>
      </c>
      <c r="J1025" s="87">
        <v>100</v>
      </c>
      <c r="K1025" s="87">
        <v>300</v>
      </c>
      <c r="L1025" s="84">
        <f t="shared" si="163"/>
        <v>1274</v>
      </c>
      <c r="M1025" s="95">
        <v>600</v>
      </c>
      <c r="N1025" s="84">
        <f>30</f>
        <v>30</v>
      </c>
      <c r="O1025" s="87">
        <v>240</v>
      </c>
      <c r="P1025" s="87">
        <v>40</v>
      </c>
      <c r="Q1025" s="87">
        <f t="shared" si="164"/>
        <v>315</v>
      </c>
      <c r="R1025" s="87">
        <f t="shared" si="165"/>
        <v>100</v>
      </c>
      <c r="S1025" s="84">
        <f t="shared" si="166"/>
        <v>695</v>
      </c>
      <c r="T1025" s="84">
        <f>50</f>
        <v>50</v>
      </c>
      <c r="U1025" s="85"/>
      <c r="V1025" s="85"/>
      <c r="W1025" s="85"/>
      <c r="X1025" s="85"/>
      <c r="Y1025" s="85"/>
      <c r="Z1025" s="85"/>
      <c r="AA1025" s="85"/>
      <c r="AB1025" s="85"/>
      <c r="AC1025" s="85"/>
      <c r="AD1025" s="85"/>
    </row>
    <row r="1026" spans="1:30" ht="15.75" x14ac:dyDescent="0.25">
      <c r="A1026" s="13">
        <v>72167</v>
      </c>
      <c r="B1026" s="96">
        <f t="shared" si="162"/>
        <v>31</v>
      </c>
      <c r="C1026" s="84">
        <f>194.205</f>
        <v>194.20500000000001</v>
      </c>
      <c r="D1026" s="84">
        <f>267.466</f>
        <v>267.46600000000001</v>
      </c>
      <c r="E1026" s="93">
        <f>133.845</f>
        <v>133.845</v>
      </c>
      <c r="F1026" s="84">
        <f>278.484-40-25-60-100</f>
        <v>53.48399999999998</v>
      </c>
      <c r="G1026" s="87">
        <v>40</v>
      </c>
      <c r="H1026" s="84">
        <f t="shared" si="171"/>
        <v>185</v>
      </c>
      <c r="I1026" s="84">
        <f t="shared" si="170"/>
        <v>0</v>
      </c>
      <c r="J1026" s="87">
        <v>100</v>
      </c>
      <c r="K1026" s="87">
        <v>300</v>
      </c>
      <c r="L1026" s="84">
        <f t="shared" si="163"/>
        <v>1274</v>
      </c>
      <c r="M1026" s="95">
        <v>600</v>
      </c>
      <c r="N1026" s="84">
        <f>30</f>
        <v>30</v>
      </c>
      <c r="O1026" s="87">
        <v>240</v>
      </c>
      <c r="P1026" s="87">
        <v>40</v>
      </c>
      <c r="Q1026" s="87">
        <f t="shared" si="164"/>
        <v>315</v>
      </c>
      <c r="R1026" s="87">
        <f t="shared" si="165"/>
        <v>100</v>
      </c>
      <c r="S1026" s="84">
        <f t="shared" si="166"/>
        <v>695</v>
      </c>
      <c r="T1026" s="84">
        <f>0</f>
        <v>0</v>
      </c>
      <c r="U1026" s="85"/>
      <c r="V1026" s="85"/>
      <c r="W1026" s="85"/>
      <c r="X1026" s="85"/>
      <c r="Y1026" s="85"/>
      <c r="Z1026" s="85"/>
      <c r="AA1026" s="85"/>
      <c r="AB1026" s="85"/>
      <c r="AC1026" s="85"/>
      <c r="AD1026" s="85"/>
    </row>
    <row r="1027" spans="1:30" ht="15.75" x14ac:dyDescent="0.25">
      <c r="A1027" s="13">
        <v>72198</v>
      </c>
      <c r="B1027" s="96">
        <f t="shared" si="162"/>
        <v>31</v>
      </c>
      <c r="C1027" s="84">
        <f>194.205</f>
        <v>194.20500000000001</v>
      </c>
      <c r="D1027" s="84">
        <f>267.466</f>
        <v>267.46600000000001</v>
      </c>
      <c r="E1027" s="93">
        <f>133.845</f>
        <v>133.845</v>
      </c>
      <c r="F1027" s="84">
        <f>278.484-40-25-60-100</f>
        <v>53.48399999999998</v>
      </c>
      <c r="G1027" s="87">
        <v>40</v>
      </c>
      <c r="H1027" s="84">
        <f t="shared" si="171"/>
        <v>185</v>
      </c>
      <c r="I1027" s="84">
        <f t="shared" si="170"/>
        <v>0</v>
      </c>
      <c r="J1027" s="87">
        <v>100</v>
      </c>
      <c r="K1027" s="87">
        <v>300</v>
      </c>
      <c r="L1027" s="84">
        <f t="shared" si="163"/>
        <v>1274</v>
      </c>
      <c r="M1027" s="95">
        <v>600</v>
      </c>
      <c r="N1027" s="84">
        <f>30</f>
        <v>30</v>
      </c>
      <c r="O1027" s="87">
        <v>240</v>
      </c>
      <c r="P1027" s="87">
        <v>40</v>
      </c>
      <c r="Q1027" s="87">
        <f t="shared" si="164"/>
        <v>315</v>
      </c>
      <c r="R1027" s="87">
        <f t="shared" si="165"/>
        <v>100</v>
      </c>
      <c r="S1027" s="84">
        <f t="shared" si="166"/>
        <v>695</v>
      </c>
      <c r="T1027" s="84">
        <f>0</f>
        <v>0</v>
      </c>
      <c r="U1027" s="85"/>
      <c r="V1027" s="85"/>
      <c r="W1027" s="85"/>
      <c r="X1027" s="85"/>
      <c r="Y1027" s="85"/>
      <c r="Z1027" s="85"/>
      <c r="AA1027" s="85"/>
      <c r="AB1027" s="85"/>
      <c r="AC1027" s="85"/>
      <c r="AD1027" s="85"/>
    </row>
    <row r="1028" spans="1:30" ht="15.75" x14ac:dyDescent="0.25">
      <c r="A1028" s="13">
        <v>72228</v>
      </c>
      <c r="B1028" s="96">
        <f t="shared" si="162"/>
        <v>30</v>
      </c>
      <c r="C1028" s="84">
        <f>194.205</f>
        <v>194.20500000000001</v>
      </c>
      <c r="D1028" s="84">
        <f>267.466</f>
        <v>267.46600000000001</v>
      </c>
      <c r="E1028" s="93">
        <f>133.845</f>
        <v>133.845</v>
      </c>
      <c r="F1028" s="84">
        <f>278.484-40-25-60-100</f>
        <v>53.48399999999998</v>
      </c>
      <c r="G1028" s="87">
        <v>40</v>
      </c>
      <c r="H1028" s="84">
        <f t="shared" si="171"/>
        <v>185</v>
      </c>
      <c r="I1028" s="84">
        <f t="shared" si="170"/>
        <v>0</v>
      </c>
      <c r="J1028" s="87">
        <v>100</v>
      </c>
      <c r="K1028" s="87">
        <v>300</v>
      </c>
      <c r="L1028" s="84">
        <f t="shared" si="163"/>
        <v>1274</v>
      </c>
      <c r="M1028" s="95">
        <v>600</v>
      </c>
      <c r="N1028" s="84">
        <f>30</f>
        <v>30</v>
      </c>
      <c r="O1028" s="87">
        <v>240</v>
      </c>
      <c r="P1028" s="87">
        <v>40</v>
      </c>
      <c r="Q1028" s="87">
        <f t="shared" si="164"/>
        <v>315</v>
      </c>
      <c r="R1028" s="87">
        <f t="shared" si="165"/>
        <v>100</v>
      </c>
      <c r="S1028" s="84">
        <f t="shared" si="166"/>
        <v>695</v>
      </c>
      <c r="T1028" s="84">
        <f>0</f>
        <v>0</v>
      </c>
      <c r="U1028" s="85"/>
      <c r="V1028" s="85"/>
      <c r="W1028" s="85"/>
      <c r="X1028" s="85"/>
      <c r="Y1028" s="85"/>
      <c r="Z1028" s="85"/>
      <c r="AA1028" s="85"/>
      <c r="AB1028" s="85"/>
      <c r="AC1028" s="85"/>
      <c r="AD1028" s="85"/>
    </row>
    <row r="1029" spans="1:30" ht="15.75" x14ac:dyDescent="0.25">
      <c r="A1029" s="13">
        <v>72259</v>
      </c>
      <c r="B1029" s="96">
        <f t="shared" si="162"/>
        <v>31</v>
      </c>
      <c r="C1029" s="84">
        <f>131.881</f>
        <v>131.881</v>
      </c>
      <c r="D1029" s="84">
        <f>277.167</f>
        <v>277.16699999999997</v>
      </c>
      <c r="E1029" s="93">
        <f>79.08</f>
        <v>79.08</v>
      </c>
      <c r="F1029" s="84">
        <f>350.872-40-25-60-100</f>
        <v>125.87200000000001</v>
      </c>
      <c r="G1029" s="87">
        <v>40</v>
      </c>
      <c r="H1029" s="84">
        <f t="shared" si="171"/>
        <v>185</v>
      </c>
      <c r="I1029" s="84">
        <f t="shared" si="170"/>
        <v>0</v>
      </c>
      <c r="J1029" s="87">
        <v>100</v>
      </c>
      <c r="K1029" s="87">
        <v>300</v>
      </c>
      <c r="L1029" s="84">
        <f t="shared" si="163"/>
        <v>1239</v>
      </c>
      <c r="M1029" s="95">
        <v>600</v>
      </c>
      <c r="N1029" s="84">
        <f>75</f>
        <v>75</v>
      </c>
      <c r="O1029" s="87">
        <v>240</v>
      </c>
      <c r="P1029" s="87">
        <v>40</v>
      </c>
      <c r="Q1029" s="87">
        <f t="shared" si="164"/>
        <v>315</v>
      </c>
      <c r="R1029" s="87">
        <f t="shared" si="165"/>
        <v>100</v>
      </c>
      <c r="S1029" s="84">
        <f t="shared" si="166"/>
        <v>695</v>
      </c>
      <c r="T1029" s="84">
        <f>0</f>
        <v>0</v>
      </c>
      <c r="U1029" s="85"/>
      <c r="V1029" s="85"/>
      <c r="W1029" s="85"/>
      <c r="X1029" s="85"/>
      <c r="Y1029" s="85"/>
      <c r="Z1029" s="85"/>
      <c r="AA1029" s="85"/>
      <c r="AB1029" s="85"/>
      <c r="AC1029" s="85"/>
      <c r="AD1029" s="85"/>
    </row>
    <row r="1030" spans="1:30" ht="15.75" x14ac:dyDescent="0.25">
      <c r="A1030" s="13">
        <v>72289</v>
      </c>
      <c r="B1030" s="96">
        <f t="shared" si="162"/>
        <v>30</v>
      </c>
      <c r="C1030" s="84">
        <f>122.58</f>
        <v>122.58</v>
      </c>
      <c r="D1030" s="84">
        <f>297.941</f>
        <v>297.94099999999997</v>
      </c>
      <c r="E1030" s="93">
        <f>89.177</f>
        <v>89.177000000000007</v>
      </c>
      <c r="F1030" s="84">
        <f>240.302-40-60-100</f>
        <v>40.301999999999992</v>
      </c>
      <c r="G1030" s="87">
        <v>40</v>
      </c>
      <c r="H1030" s="84">
        <f>60+100</f>
        <v>160</v>
      </c>
      <c r="I1030" s="84">
        <f t="shared" si="170"/>
        <v>0</v>
      </c>
      <c r="J1030" s="87">
        <v>100</v>
      </c>
      <c r="K1030" s="87">
        <v>300</v>
      </c>
      <c r="L1030" s="84">
        <f t="shared" si="163"/>
        <v>1150</v>
      </c>
      <c r="M1030" s="95">
        <v>600</v>
      </c>
      <c r="N1030" s="84">
        <f>100</f>
        <v>100</v>
      </c>
      <c r="O1030" s="87">
        <v>240</v>
      </c>
      <c r="P1030" s="87">
        <v>40</v>
      </c>
      <c r="Q1030" s="87">
        <f t="shared" si="164"/>
        <v>315</v>
      </c>
      <c r="R1030" s="87">
        <f t="shared" si="165"/>
        <v>100</v>
      </c>
      <c r="S1030" s="84">
        <f t="shared" si="166"/>
        <v>695</v>
      </c>
      <c r="T1030" s="84">
        <f>50</f>
        <v>50</v>
      </c>
      <c r="U1030" s="85"/>
      <c r="V1030" s="85"/>
      <c r="W1030" s="85"/>
      <c r="X1030" s="85"/>
      <c r="Y1030" s="85"/>
      <c r="Z1030" s="85"/>
      <c r="AA1030" s="85"/>
      <c r="AB1030" s="85"/>
      <c r="AC1030" s="85"/>
      <c r="AD1030" s="85"/>
    </row>
    <row r="1031" spans="1:30" ht="15.75" x14ac:dyDescent="0.25">
      <c r="A1031" s="13">
        <v>72320</v>
      </c>
      <c r="B1031" s="96">
        <f t="shared" si="162"/>
        <v>31</v>
      </c>
      <c r="C1031" s="84">
        <f>122.58</f>
        <v>122.58</v>
      </c>
      <c r="D1031" s="84">
        <f>297.941</f>
        <v>297.94099999999997</v>
      </c>
      <c r="E1031" s="93">
        <f>89.177</f>
        <v>89.177000000000007</v>
      </c>
      <c r="F1031" s="84">
        <f>240.302-40-60-100</f>
        <v>40.301999999999992</v>
      </c>
      <c r="G1031" s="87">
        <v>40</v>
      </c>
      <c r="H1031" s="84">
        <f>60+100</f>
        <v>160</v>
      </c>
      <c r="I1031" s="84">
        <f t="shared" si="170"/>
        <v>0</v>
      </c>
      <c r="J1031" s="87">
        <v>100</v>
      </c>
      <c r="K1031" s="87">
        <v>300</v>
      </c>
      <c r="L1031" s="84">
        <f t="shared" si="163"/>
        <v>1150</v>
      </c>
      <c r="M1031" s="95">
        <v>600</v>
      </c>
      <c r="N1031" s="84">
        <f>100</f>
        <v>100</v>
      </c>
      <c r="O1031" s="87">
        <v>240</v>
      </c>
      <c r="P1031" s="87">
        <v>40</v>
      </c>
      <c r="Q1031" s="87">
        <f t="shared" si="164"/>
        <v>315</v>
      </c>
      <c r="R1031" s="87">
        <f t="shared" si="165"/>
        <v>100</v>
      </c>
      <c r="S1031" s="84">
        <f t="shared" si="166"/>
        <v>695</v>
      </c>
      <c r="T1031" s="84">
        <f>50</f>
        <v>50</v>
      </c>
      <c r="U1031" s="85"/>
      <c r="V1031" s="85"/>
      <c r="W1031" s="85"/>
      <c r="X1031" s="85"/>
      <c r="Y1031" s="85"/>
      <c r="Z1031" s="85"/>
      <c r="AA1031" s="85"/>
      <c r="AB1031" s="85"/>
      <c r="AC1031" s="85"/>
      <c r="AD1031" s="85"/>
    </row>
    <row r="1032" spans="1:30" ht="15.75" x14ac:dyDescent="0.25">
      <c r="A1032" s="13">
        <v>72351</v>
      </c>
      <c r="B1032" s="96">
        <f t="shared" si="162"/>
        <v>31</v>
      </c>
      <c r="C1032" s="84">
        <f>122.58</f>
        <v>122.58</v>
      </c>
      <c r="D1032" s="84">
        <f>297.941</f>
        <v>297.94099999999997</v>
      </c>
      <c r="E1032" s="93">
        <f>89.177</f>
        <v>89.177000000000007</v>
      </c>
      <c r="F1032" s="84">
        <f>240.302-40-60-100</f>
        <v>40.301999999999992</v>
      </c>
      <c r="G1032" s="87">
        <v>40</v>
      </c>
      <c r="H1032" s="84">
        <f>60+100</f>
        <v>160</v>
      </c>
      <c r="I1032" s="84">
        <f t="shared" si="170"/>
        <v>0</v>
      </c>
      <c r="J1032" s="87">
        <v>100</v>
      </c>
      <c r="K1032" s="87">
        <v>300</v>
      </c>
      <c r="L1032" s="84">
        <f t="shared" si="163"/>
        <v>1150</v>
      </c>
      <c r="M1032" s="95">
        <v>600</v>
      </c>
      <c r="N1032" s="84">
        <f>100</f>
        <v>100</v>
      </c>
      <c r="O1032" s="87">
        <v>240</v>
      </c>
      <c r="P1032" s="87">
        <v>40</v>
      </c>
      <c r="Q1032" s="87">
        <f t="shared" si="164"/>
        <v>315</v>
      </c>
      <c r="R1032" s="87">
        <f t="shared" si="165"/>
        <v>100</v>
      </c>
      <c r="S1032" s="84">
        <f t="shared" si="166"/>
        <v>695</v>
      </c>
      <c r="T1032" s="84">
        <f>50</f>
        <v>50</v>
      </c>
      <c r="U1032" s="85"/>
      <c r="V1032" s="85"/>
      <c r="W1032" s="85"/>
      <c r="X1032" s="85"/>
      <c r="Y1032" s="85"/>
      <c r="Z1032" s="85"/>
      <c r="AA1032" s="85"/>
      <c r="AB1032" s="85"/>
      <c r="AC1032" s="85"/>
      <c r="AD1032" s="85"/>
    </row>
    <row r="1033" spans="1:30" ht="15.75" x14ac:dyDescent="0.25">
      <c r="A1033" s="13">
        <v>72379</v>
      </c>
      <c r="B1033" s="96">
        <f t="shared" si="162"/>
        <v>28</v>
      </c>
      <c r="C1033" s="84">
        <f>122.58</f>
        <v>122.58</v>
      </c>
      <c r="D1033" s="84">
        <f>297.941</f>
        <v>297.94099999999997</v>
      </c>
      <c r="E1033" s="93">
        <f>89.177</f>
        <v>89.177000000000007</v>
      </c>
      <c r="F1033" s="84">
        <f>240.302-40-60-100</f>
        <v>40.301999999999992</v>
      </c>
      <c r="G1033" s="87">
        <v>40</v>
      </c>
      <c r="H1033" s="84">
        <f>60+100</f>
        <v>160</v>
      </c>
      <c r="I1033" s="84">
        <f t="shared" si="170"/>
        <v>0</v>
      </c>
      <c r="J1033" s="87">
        <v>100</v>
      </c>
      <c r="K1033" s="87">
        <v>300</v>
      </c>
      <c r="L1033" s="84">
        <f t="shared" si="163"/>
        <v>1150</v>
      </c>
      <c r="M1033" s="95">
        <v>600</v>
      </c>
      <c r="N1033" s="84">
        <f>100</f>
        <v>100</v>
      </c>
      <c r="O1033" s="87">
        <v>240</v>
      </c>
      <c r="P1033" s="87">
        <v>40</v>
      </c>
      <c r="Q1033" s="87">
        <f t="shared" si="164"/>
        <v>315</v>
      </c>
      <c r="R1033" s="87">
        <f t="shared" si="165"/>
        <v>100</v>
      </c>
      <c r="S1033" s="84">
        <f t="shared" si="166"/>
        <v>695</v>
      </c>
      <c r="T1033" s="84">
        <f>50</f>
        <v>50</v>
      </c>
      <c r="U1033" s="85"/>
      <c r="V1033" s="85"/>
      <c r="W1033" s="85"/>
      <c r="X1033" s="85"/>
      <c r="Y1033" s="85"/>
      <c r="Z1033" s="85"/>
      <c r="AA1033" s="85"/>
      <c r="AB1033" s="85"/>
      <c r="AC1033" s="85"/>
      <c r="AD1033" s="85"/>
    </row>
    <row r="1034" spans="1:30" ht="15.75" x14ac:dyDescent="0.25">
      <c r="A1034" s="13">
        <v>72410</v>
      </c>
      <c r="B1034" s="96">
        <f t="shared" si="162"/>
        <v>31</v>
      </c>
      <c r="C1034" s="84">
        <f>122.58</f>
        <v>122.58</v>
      </c>
      <c r="D1034" s="84">
        <f>297.941</f>
        <v>297.94099999999997</v>
      </c>
      <c r="E1034" s="93">
        <f>89.177</f>
        <v>89.177000000000007</v>
      </c>
      <c r="F1034" s="84">
        <f>240.302-40-60-100</f>
        <v>40.301999999999992</v>
      </c>
      <c r="G1034" s="87">
        <v>40</v>
      </c>
      <c r="H1034" s="84">
        <f>60+100</f>
        <v>160</v>
      </c>
      <c r="I1034" s="84">
        <f t="shared" si="170"/>
        <v>0</v>
      </c>
      <c r="J1034" s="87">
        <v>100</v>
      </c>
      <c r="K1034" s="87">
        <v>300</v>
      </c>
      <c r="L1034" s="84">
        <f t="shared" si="163"/>
        <v>1150</v>
      </c>
      <c r="M1034" s="95">
        <v>600</v>
      </c>
      <c r="N1034" s="84">
        <f>100</f>
        <v>100</v>
      </c>
      <c r="O1034" s="87">
        <v>240</v>
      </c>
      <c r="P1034" s="87">
        <v>40</v>
      </c>
      <c r="Q1034" s="87">
        <f t="shared" si="164"/>
        <v>315</v>
      </c>
      <c r="R1034" s="87">
        <f t="shared" si="165"/>
        <v>100</v>
      </c>
      <c r="S1034" s="84">
        <f t="shared" si="166"/>
        <v>695</v>
      </c>
      <c r="T1034" s="84">
        <f>50</f>
        <v>50</v>
      </c>
      <c r="U1034" s="85"/>
      <c r="V1034" s="85"/>
      <c r="W1034" s="85"/>
      <c r="X1034" s="85"/>
      <c r="Y1034" s="85"/>
      <c r="Z1034" s="85"/>
      <c r="AA1034" s="85"/>
      <c r="AB1034" s="85"/>
      <c r="AC1034" s="85"/>
      <c r="AD1034" s="85"/>
    </row>
    <row r="1035" spans="1:30" ht="15.75" x14ac:dyDescent="0.25">
      <c r="A1035" s="13">
        <v>72440</v>
      </c>
      <c r="B1035" s="96">
        <f t="shared" si="162"/>
        <v>30</v>
      </c>
      <c r="C1035" s="84">
        <f>141.293</f>
        <v>141.29300000000001</v>
      </c>
      <c r="D1035" s="84">
        <f>267.993</f>
        <v>267.99299999999999</v>
      </c>
      <c r="E1035" s="93">
        <f>115.016</f>
        <v>115.01600000000001</v>
      </c>
      <c r="F1035" s="84">
        <f>314.698-40-25-60-100</f>
        <v>89.697999999999979</v>
      </c>
      <c r="G1035" s="87">
        <v>40</v>
      </c>
      <c r="H1035" s="84">
        <f t="shared" ref="H1035:H1041" si="172">25+60+100</f>
        <v>185</v>
      </c>
      <c r="I1035" s="84">
        <f t="shared" si="170"/>
        <v>0</v>
      </c>
      <c r="J1035" s="87">
        <v>100</v>
      </c>
      <c r="K1035" s="87">
        <v>300</v>
      </c>
      <c r="L1035" s="84">
        <f t="shared" si="163"/>
        <v>1239</v>
      </c>
      <c r="M1035" s="95">
        <v>600</v>
      </c>
      <c r="N1035" s="84">
        <f>100</f>
        <v>100</v>
      </c>
      <c r="O1035" s="87">
        <v>240</v>
      </c>
      <c r="P1035" s="87">
        <v>40</v>
      </c>
      <c r="Q1035" s="87">
        <f t="shared" si="164"/>
        <v>315</v>
      </c>
      <c r="R1035" s="87">
        <f t="shared" si="165"/>
        <v>100</v>
      </c>
      <c r="S1035" s="84">
        <f t="shared" si="166"/>
        <v>695</v>
      </c>
      <c r="T1035" s="84">
        <f>50</f>
        <v>50</v>
      </c>
      <c r="U1035" s="85"/>
      <c r="V1035" s="85"/>
      <c r="W1035" s="85"/>
      <c r="X1035" s="85"/>
      <c r="Y1035" s="85"/>
      <c r="Z1035" s="85"/>
      <c r="AA1035" s="85"/>
      <c r="AB1035" s="85"/>
      <c r="AC1035" s="85"/>
      <c r="AD1035" s="85"/>
    </row>
    <row r="1036" spans="1:30" ht="15.75" x14ac:dyDescent="0.25">
      <c r="A1036" s="13">
        <v>72471</v>
      </c>
      <c r="B1036" s="96">
        <f t="shared" si="162"/>
        <v>31</v>
      </c>
      <c r="C1036" s="84">
        <f>194.205</f>
        <v>194.20500000000001</v>
      </c>
      <c r="D1036" s="84">
        <f>267.466</f>
        <v>267.46600000000001</v>
      </c>
      <c r="E1036" s="93">
        <f>133.845</f>
        <v>133.845</v>
      </c>
      <c r="F1036" s="84">
        <f>278.484-40-25-60-100</f>
        <v>53.48399999999998</v>
      </c>
      <c r="G1036" s="87">
        <v>40</v>
      </c>
      <c r="H1036" s="84">
        <f t="shared" si="172"/>
        <v>185</v>
      </c>
      <c r="I1036" s="84">
        <f t="shared" si="170"/>
        <v>0</v>
      </c>
      <c r="J1036" s="87">
        <v>100</v>
      </c>
      <c r="K1036" s="87">
        <v>300</v>
      </c>
      <c r="L1036" s="84">
        <f t="shared" si="163"/>
        <v>1274</v>
      </c>
      <c r="M1036" s="95">
        <v>600</v>
      </c>
      <c r="N1036" s="84">
        <f>75</f>
        <v>75</v>
      </c>
      <c r="O1036" s="87">
        <v>240</v>
      </c>
      <c r="P1036" s="87">
        <v>40</v>
      </c>
      <c r="Q1036" s="87">
        <f t="shared" si="164"/>
        <v>315</v>
      </c>
      <c r="R1036" s="87">
        <f t="shared" si="165"/>
        <v>100</v>
      </c>
      <c r="S1036" s="84">
        <f t="shared" si="166"/>
        <v>695</v>
      </c>
      <c r="T1036" s="84">
        <f>50</f>
        <v>50</v>
      </c>
      <c r="U1036" s="85"/>
      <c r="V1036" s="85"/>
      <c r="W1036" s="85"/>
      <c r="X1036" s="85"/>
      <c r="Y1036" s="85"/>
      <c r="Z1036" s="85"/>
      <c r="AA1036" s="85"/>
      <c r="AB1036" s="85"/>
      <c r="AC1036" s="85"/>
      <c r="AD1036" s="85"/>
    </row>
    <row r="1037" spans="1:30" ht="15.75" x14ac:dyDescent="0.25">
      <c r="A1037" s="13">
        <v>72501</v>
      </c>
      <c r="B1037" s="96">
        <f t="shared" si="162"/>
        <v>30</v>
      </c>
      <c r="C1037" s="84">
        <f>194.205</f>
        <v>194.20500000000001</v>
      </c>
      <c r="D1037" s="84">
        <f>267.466</f>
        <v>267.46600000000001</v>
      </c>
      <c r="E1037" s="93">
        <f>133.845</f>
        <v>133.845</v>
      </c>
      <c r="F1037" s="84">
        <f>278.484-40-25-60-100</f>
        <v>53.48399999999998</v>
      </c>
      <c r="G1037" s="87">
        <v>40</v>
      </c>
      <c r="H1037" s="84">
        <f t="shared" si="172"/>
        <v>185</v>
      </c>
      <c r="I1037" s="84">
        <f t="shared" si="170"/>
        <v>0</v>
      </c>
      <c r="J1037" s="87">
        <v>100</v>
      </c>
      <c r="K1037" s="87">
        <v>300</v>
      </c>
      <c r="L1037" s="84">
        <f t="shared" si="163"/>
        <v>1274</v>
      </c>
      <c r="M1037" s="95">
        <v>600</v>
      </c>
      <c r="N1037" s="84">
        <f>30</f>
        <v>30</v>
      </c>
      <c r="O1037" s="87">
        <v>240</v>
      </c>
      <c r="P1037" s="87">
        <v>40</v>
      </c>
      <c r="Q1037" s="87">
        <f t="shared" si="164"/>
        <v>315</v>
      </c>
      <c r="R1037" s="87">
        <f t="shared" si="165"/>
        <v>100</v>
      </c>
      <c r="S1037" s="84">
        <f t="shared" si="166"/>
        <v>695</v>
      </c>
      <c r="T1037" s="84">
        <f>50</f>
        <v>50</v>
      </c>
      <c r="U1037" s="85"/>
      <c r="V1037" s="85"/>
      <c r="W1037" s="85"/>
      <c r="X1037" s="85"/>
      <c r="Y1037" s="85"/>
      <c r="Z1037" s="85"/>
      <c r="AA1037" s="85"/>
      <c r="AB1037" s="85"/>
      <c r="AC1037" s="85"/>
      <c r="AD1037" s="85"/>
    </row>
    <row r="1038" spans="1:30" ht="15.75" x14ac:dyDescent="0.25">
      <c r="A1038" s="13">
        <v>72532</v>
      </c>
      <c r="B1038" s="96">
        <f t="shared" si="162"/>
        <v>31</v>
      </c>
      <c r="C1038" s="84">
        <f>194.205</f>
        <v>194.20500000000001</v>
      </c>
      <c r="D1038" s="84">
        <f>267.466</f>
        <v>267.46600000000001</v>
      </c>
      <c r="E1038" s="93">
        <f>133.845</f>
        <v>133.845</v>
      </c>
      <c r="F1038" s="84">
        <f>278.484-40-25-60-100</f>
        <v>53.48399999999998</v>
      </c>
      <c r="G1038" s="87">
        <v>40</v>
      </c>
      <c r="H1038" s="84">
        <f t="shared" si="172"/>
        <v>185</v>
      </c>
      <c r="I1038" s="84">
        <f t="shared" si="170"/>
        <v>0</v>
      </c>
      <c r="J1038" s="87">
        <v>100</v>
      </c>
      <c r="K1038" s="87">
        <v>300</v>
      </c>
      <c r="L1038" s="84">
        <f t="shared" si="163"/>
        <v>1274</v>
      </c>
      <c r="M1038" s="95">
        <v>600</v>
      </c>
      <c r="N1038" s="84">
        <f>30</f>
        <v>30</v>
      </c>
      <c r="O1038" s="87">
        <v>240</v>
      </c>
      <c r="P1038" s="87">
        <v>40</v>
      </c>
      <c r="Q1038" s="87">
        <f t="shared" si="164"/>
        <v>315</v>
      </c>
      <c r="R1038" s="87">
        <f t="shared" si="165"/>
        <v>100</v>
      </c>
      <c r="S1038" s="84">
        <f t="shared" si="166"/>
        <v>695</v>
      </c>
      <c r="T1038" s="84">
        <f>0</f>
        <v>0</v>
      </c>
      <c r="U1038" s="85"/>
      <c r="V1038" s="85"/>
      <c r="W1038" s="85"/>
      <c r="X1038" s="85"/>
      <c r="Y1038" s="85"/>
      <c r="Z1038" s="85"/>
      <c r="AA1038" s="85"/>
      <c r="AB1038" s="85"/>
      <c r="AC1038" s="85"/>
      <c r="AD1038" s="85"/>
    </row>
    <row r="1039" spans="1:30" ht="15.75" x14ac:dyDescent="0.25">
      <c r="A1039" s="13">
        <v>72563</v>
      </c>
      <c r="B1039" s="96">
        <f t="shared" si="162"/>
        <v>31</v>
      </c>
      <c r="C1039" s="84">
        <f>194.205</f>
        <v>194.20500000000001</v>
      </c>
      <c r="D1039" s="84">
        <f>267.466</f>
        <v>267.46600000000001</v>
      </c>
      <c r="E1039" s="93">
        <f>133.845</f>
        <v>133.845</v>
      </c>
      <c r="F1039" s="84">
        <f>278.484-40-25-60-100</f>
        <v>53.48399999999998</v>
      </c>
      <c r="G1039" s="87">
        <v>40</v>
      </c>
      <c r="H1039" s="84">
        <f t="shared" si="172"/>
        <v>185</v>
      </c>
      <c r="I1039" s="84">
        <f t="shared" si="170"/>
        <v>0</v>
      </c>
      <c r="J1039" s="87">
        <v>100</v>
      </c>
      <c r="K1039" s="87">
        <v>300</v>
      </c>
      <c r="L1039" s="84">
        <f t="shared" si="163"/>
        <v>1274</v>
      </c>
      <c r="M1039" s="95">
        <v>600</v>
      </c>
      <c r="N1039" s="84">
        <f>30</f>
        <v>30</v>
      </c>
      <c r="O1039" s="87">
        <v>240</v>
      </c>
      <c r="P1039" s="87">
        <v>40</v>
      </c>
      <c r="Q1039" s="87">
        <f t="shared" si="164"/>
        <v>315</v>
      </c>
      <c r="R1039" s="87">
        <f t="shared" si="165"/>
        <v>100</v>
      </c>
      <c r="S1039" s="84">
        <f t="shared" si="166"/>
        <v>695</v>
      </c>
      <c r="T1039" s="84">
        <f>0</f>
        <v>0</v>
      </c>
      <c r="U1039" s="85"/>
      <c r="V1039" s="85"/>
      <c r="W1039" s="85"/>
      <c r="X1039" s="85"/>
      <c r="Y1039" s="85"/>
      <c r="Z1039" s="85"/>
      <c r="AA1039" s="85"/>
      <c r="AB1039" s="85"/>
      <c r="AC1039" s="85"/>
      <c r="AD1039" s="85"/>
    </row>
    <row r="1040" spans="1:30" ht="15.75" x14ac:dyDescent="0.25">
      <c r="A1040" s="13">
        <v>72593</v>
      </c>
      <c r="B1040" s="96">
        <f t="shared" si="162"/>
        <v>30</v>
      </c>
      <c r="C1040" s="84">
        <f>194.205</f>
        <v>194.20500000000001</v>
      </c>
      <c r="D1040" s="84">
        <f>267.466</f>
        <v>267.46600000000001</v>
      </c>
      <c r="E1040" s="93">
        <f>133.845</f>
        <v>133.845</v>
      </c>
      <c r="F1040" s="84">
        <f>278.484-40-25-60-100</f>
        <v>53.48399999999998</v>
      </c>
      <c r="G1040" s="87">
        <v>40</v>
      </c>
      <c r="H1040" s="84">
        <f t="shared" si="172"/>
        <v>185</v>
      </c>
      <c r="I1040" s="84">
        <f t="shared" si="170"/>
        <v>0</v>
      </c>
      <c r="J1040" s="87">
        <v>100</v>
      </c>
      <c r="K1040" s="87">
        <v>300</v>
      </c>
      <c r="L1040" s="84">
        <f t="shared" si="163"/>
        <v>1274</v>
      </c>
      <c r="M1040" s="95">
        <v>600</v>
      </c>
      <c r="N1040" s="84">
        <f>30</f>
        <v>30</v>
      </c>
      <c r="O1040" s="87">
        <v>240</v>
      </c>
      <c r="P1040" s="87">
        <v>40</v>
      </c>
      <c r="Q1040" s="87">
        <f t="shared" si="164"/>
        <v>315</v>
      </c>
      <c r="R1040" s="87">
        <f t="shared" si="165"/>
        <v>100</v>
      </c>
      <c r="S1040" s="84">
        <f t="shared" si="166"/>
        <v>695</v>
      </c>
      <c r="T1040" s="84">
        <f>0</f>
        <v>0</v>
      </c>
      <c r="U1040" s="85"/>
      <c r="V1040" s="85"/>
      <c r="W1040" s="85"/>
      <c r="X1040" s="85"/>
      <c r="Y1040" s="85"/>
      <c r="Z1040" s="85"/>
      <c r="AA1040" s="85"/>
      <c r="AB1040" s="85"/>
      <c r="AC1040" s="85"/>
      <c r="AD1040" s="85"/>
    </row>
    <row r="1041" spans="1:30" ht="15.75" x14ac:dyDescent="0.25">
      <c r="A1041" s="13">
        <v>72624</v>
      </c>
      <c r="B1041" s="96">
        <f t="shared" si="162"/>
        <v>31</v>
      </c>
      <c r="C1041" s="84">
        <f>131.881</f>
        <v>131.881</v>
      </c>
      <c r="D1041" s="84">
        <f>277.167</f>
        <v>277.16699999999997</v>
      </c>
      <c r="E1041" s="93">
        <f>79.08</f>
        <v>79.08</v>
      </c>
      <c r="F1041" s="84">
        <f>350.872-40-25-60-100</f>
        <v>125.87200000000001</v>
      </c>
      <c r="G1041" s="87">
        <v>40</v>
      </c>
      <c r="H1041" s="84">
        <f t="shared" si="172"/>
        <v>185</v>
      </c>
      <c r="I1041" s="84">
        <f t="shared" si="170"/>
        <v>0</v>
      </c>
      <c r="J1041" s="87">
        <v>100</v>
      </c>
      <c r="K1041" s="87">
        <v>300</v>
      </c>
      <c r="L1041" s="84">
        <f t="shared" si="163"/>
        <v>1239</v>
      </c>
      <c r="M1041" s="95">
        <v>600</v>
      </c>
      <c r="N1041" s="84">
        <f>75</f>
        <v>75</v>
      </c>
      <c r="O1041" s="87">
        <v>240</v>
      </c>
      <c r="P1041" s="87">
        <v>40</v>
      </c>
      <c r="Q1041" s="87">
        <f t="shared" si="164"/>
        <v>315</v>
      </c>
      <c r="R1041" s="87">
        <f t="shared" si="165"/>
        <v>100</v>
      </c>
      <c r="S1041" s="84">
        <f t="shared" si="166"/>
        <v>695</v>
      </c>
      <c r="T1041" s="84">
        <f>0</f>
        <v>0</v>
      </c>
      <c r="U1041" s="85"/>
      <c r="V1041" s="85"/>
      <c r="W1041" s="85"/>
      <c r="X1041" s="85"/>
      <c r="Y1041" s="85"/>
      <c r="Z1041" s="85"/>
      <c r="AA1041" s="85"/>
      <c r="AB1041" s="85"/>
      <c r="AC1041" s="85"/>
      <c r="AD1041" s="85"/>
    </row>
    <row r="1042" spans="1:30" ht="15.75" x14ac:dyDescent="0.25">
      <c r="A1042" s="13">
        <v>72654</v>
      </c>
      <c r="B1042" s="96">
        <f t="shared" si="162"/>
        <v>30</v>
      </c>
      <c r="C1042" s="84">
        <f>122.58</f>
        <v>122.58</v>
      </c>
      <c r="D1042" s="84">
        <f>297.941</f>
        <v>297.94099999999997</v>
      </c>
      <c r="E1042" s="93">
        <f>89.177</f>
        <v>89.177000000000007</v>
      </c>
      <c r="F1042" s="84">
        <f>240.302-40-60-100</f>
        <v>40.301999999999992</v>
      </c>
      <c r="G1042" s="87">
        <v>40</v>
      </c>
      <c r="H1042" s="84">
        <f>60+100</f>
        <v>160</v>
      </c>
      <c r="I1042" s="84">
        <f t="shared" si="170"/>
        <v>0</v>
      </c>
      <c r="J1042" s="87">
        <v>100</v>
      </c>
      <c r="K1042" s="87">
        <v>300</v>
      </c>
      <c r="L1042" s="84">
        <f t="shared" si="163"/>
        <v>1150</v>
      </c>
      <c r="M1042" s="95">
        <v>600</v>
      </c>
      <c r="N1042" s="84">
        <f>100</f>
        <v>100</v>
      </c>
      <c r="O1042" s="87">
        <v>240</v>
      </c>
      <c r="P1042" s="87">
        <v>40</v>
      </c>
      <c r="Q1042" s="87">
        <f t="shared" si="164"/>
        <v>315</v>
      </c>
      <c r="R1042" s="87">
        <f t="shared" si="165"/>
        <v>100</v>
      </c>
      <c r="S1042" s="84">
        <f t="shared" si="166"/>
        <v>695</v>
      </c>
      <c r="T1042" s="84">
        <f>50</f>
        <v>50</v>
      </c>
      <c r="U1042" s="85"/>
      <c r="V1042" s="85"/>
      <c r="W1042" s="85"/>
      <c r="X1042" s="85"/>
      <c r="Y1042" s="85"/>
      <c r="Z1042" s="85"/>
      <c r="AA1042" s="85"/>
      <c r="AB1042" s="85"/>
      <c r="AC1042" s="85"/>
      <c r="AD1042" s="85"/>
    </row>
    <row r="1043" spans="1:30" ht="15.75" x14ac:dyDescent="0.25">
      <c r="A1043" s="13">
        <v>72685</v>
      </c>
      <c r="B1043" s="96">
        <f t="shared" si="162"/>
        <v>31</v>
      </c>
      <c r="C1043" s="84">
        <f>122.58</f>
        <v>122.58</v>
      </c>
      <c r="D1043" s="84">
        <f>297.941</f>
        <v>297.94099999999997</v>
      </c>
      <c r="E1043" s="93">
        <f>89.177</f>
        <v>89.177000000000007</v>
      </c>
      <c r="F1043" s="84">
        <f>240.302-40-60-100</f>
        <v>40.301999999999992</v>
      </c>
      <c r="G1043" s="87">
        <v>40</v>
      </c>
      <c r="H1043" s="84">
        <f>60+100</f>
        <v>160</v>
      </c>
      <c r="I1043" s="84">
        <f t="shared" si="170"/>
        <v>0</v>
      </c>
      <c r="J1043" s="87">
        <v>100</v>
      </c>
      <c r="K1043" s="87">
        <v>300</v>
      </c>
      <c r="L1043" s="84">
        <f t="shared" si="163"/>
        <v>1150</v>
      </c>
      <c r="M1043" s="95">
        <v>600</v>
      </c>
      <c r="N1043" s="84">
        <f>100</f>
        <v>100</v>
      </c>
      <c r="O1043" s="87">
        <v>240</v>
      </c>
      <c r="P1043" s="87">
        <v>40</v>
      </c>
      <c r="Q1043" s="87">
        <f t="shared" si="164"/>
        <v>315</v>
      </c>
      <c r="R1043" s="87">
        <f t="shared" si="165"/>
        <v>100</v>
      </c>
      <c r="S1043" s="84">
        <f t="shared" si="166"/>
        <v>695</v>
      </c>
      <c r="T1043" s="84">
        <f>50</f>
        <v>50</v>
      </c>
      <c r="U1043" s="85"/>
      <c r="V1043" s="85"/>
      <c r="W1043" s="85"/>
      <c r="X1043" s="85"/>
      <c r="Y1043" s="85"/>
      <c r="Z1043" s="85"/>
      <c r="AA1043" s="85"/>
      <c r="AB1043" s="85"/>
      <c r="AC1043" s="85"/>
      <c r="AD1043" s="85"/>
    </row>
    <row r="1044" spans="1:30" ht="15.75" x14ac:dyDescent="0.25">
      <c r="A1044" s="13">
        <v>72716</v>
      </c>
      <c r="B1044" s="96">
        <f t="shared" si="162"/>
        <v>31</v>
      </c>
      <c r="C1044" s="84">
        <f>122.58</f>
        <v>122.58</v>
      </c>
      <c r="D1044" s="84">
        <f>297.941</f>
        <v>297.94099999999997</v>
      </c>
      <c r="E1044" s="93">
        <f>89.177</f>
        <v>89.177000000000007</v>
      </c>
      <c r="F1044" s="84">
        <f>240.302-40-60-100</f>
        <v>40.301999999999992</v>
      </c>
      <c r="G1044" s="87">
        <v>40</v>
      </c>
      <c r="H1044" s="84">
        <f>60+100</f>
        <v>160</v>
      </c>
      <c r="I1044" s="84">
        <f t="shared" si="170"/>
        <v>0</v>
      </c>
      <c r="J1044" s="87">
        <v>100</v>
      </c>
      <c r="K1044" s="87">
        <v>300</v>
      </c>
      <c r="L1044" s="84">
        <f t="shared" si="163"/>
        <v>1150</v>
      </c>
      <c r="M1044" s="95">
        <v>600</v>
      </c>
      <c r="N1044" s="84">
        <f>100</f>
        <v>100</v>
      </c>
      <c r="O1044" s="87">
        <v>240</v>
      </c>
      <c r="P1044" s="87">
        <v>40</v>
      </c>
      <c r="Q1044" s="87">
        <f t="shared" si="164"/>
        <v>315</v>
      </c>
      <c r="R1044" s="87">
        <f t="shared" si="165"/>
        <v>100</v>
      </c>
      <c r="S1044" s="84">
        <f t="shared" si="166"/>
        <v>695</v>
      </c>
      <c r="T1044" s="84">
        <f>50</f>
        <v>50</v>
      </c>
      <c r="U1044" s="85"/>
      <c r="V1044" s="85"/>
      <c r="W1044" s="85"/>
      <c r="X1044" s="85"/>
      <c r="Y1044" s="85"/>
      <c r="Z1044" s="85"/>
      <c r="AA1044" s="85"/>
      <c r="AB1044" s="85"/>
      <c r="AC1044" s="85"/>
      <c r="AD1044" s="85"/>
    </row>
    <row r="1045" spans="1:30" ht="15.75" x14ac:dyDescent="0.25">
      <c r="A1045" s="13">
        <v>72744</v>
      </c>
      <c r="B1045" s="96">
        <f t="shared" si="162"/>
        <v>28</v>
      </c>
      <c r="C1045" s="84">
        <f>122.58</f>
        <v>122.58</v>
      </c>
      <c r="D1045" s="84">
        <f>297.941</f>
        <v>297.94099999999997</v>
      </c>
      <c r="E1045" s="93">
        <f>89.177</f>
        <v>89.177000000000007</v>
      </c>
      <c r="F1045" s="84">
        <f>240.302-40-60-100</f>
        <v>40.301999999999992</v>
      </c>
      <c r="G1045" s="87">
        <v>40</v>
      </c>
      <c r="H1045" s="84">
        <f>60+100</f>
        <v>160</v>
      </c>
      <c r="I1045" s="84">
        <f t="shared" si="170"/>
        <v>0</v>
      </c>
      <c r="J1045" s="87">
        <v>100</v>
      </c>
      <c r="K1045" s="87">
        <v>300</v>
      </c>
      <c r="L1045" s="84">
        <f t="shared" si="163"/>
        <v>1150</v>
      </c>
      <c r="M1045" s="95">
        <v>600</v>
      </c>
      <c r="N1045" s="84">
        <f>100</f>
        <v>100</v>
      </c>
      <c r="O1045" s="87">
        <v>240</v>
      </c>
      <c r="P1045" s="87">
        <v>40</v>
      </c>
      <c r="Q1045" s="87">
        <f t="shared" si="164"/>
        <v>315</v>
      </c>
      <c r="R1045" s="87">
        <f t="shared" si="165"/>
        <v>100</v>
      </c>
      <c r="S1045" s="84">
        <f t="shared" si="166"/>
        <v>695</v>
      </c>
      <c r="T1045" s="84">
        <f>50</f>
        <v>50</v>
      </c>
      <c r="U1045" s="85"/>
      <c r="V1045" s="85"/>
      <c r="W1045" s="85"/>
      <c r="X1045" s="85"/>
      <c r="Y1045" s="85"/>
      <c r="Z1045" s="85"/>
      <c r="AA1045" s="85"/>
      <c r="AB1045" s="85"/>
      <c r="AC1045" s="85"/>
      <c r="AD1045" s="85"/>
    </row>
    <row r="1046" spans="1:30" ht="15.75" x14ac:dyDescent="0.25">
      <c r="A1046" s="13">
        <v>72775</v>
      </c>
      <c r="B1046" s="96">
        <f t="shared" si="162"/>
        <v>31</v>
      </c>
      <c r="C1046" s="84">
        <f>122.58</f>
        <v>122.58</v>
      </c>
      <c r="D1046" s="84">
        <f>297.941</f>
        <v>297.94099999999997</v>
      </c>
      <c r="E1046" s="93">
        <f>89.177</f>
        <v>89.177000000000007</v>
      </c>
      <c r="F1046" s="84">
        <f>240.302-40-60-100</f>
        <v>40.301999999999992</v>
      </c>
      <c r="G1046" s="87">
        <v>40</v>
      </c>
      <c r="H1046" s="84">
        <f>60+100</f>
        <v>160</v>
      </c>
      <c r="I1046" s="84">
        <f t="shared" si="170"/>
        <v>0</v>
      </c>
      <c r="J1046" s="87">
        <v>100</v>
      </c>
      <c r="K1046" s="87">
        <v>300</v>
      </c>
      <c r="L1046" s="84">
        <f t="shared" si="163"/>
        <v>1150</v>
      </c>
      <c r="M1046" s="95">
        <v>600</v>
      </c>
      <c r="N1046" s="84">
        <f>100</f>
        <v>100</v>
      </c>
      <c r="O1046" s="87">
        <v>240</v>
      </c>
      <c r="P1046" s="87">
        <v>40</v>
      </c>
      <c r="Q1046" s="87">
        <f t="shared" si="164"/>
        <v>315</v>
      </c>
      <c r="R1046" s="87">
        <f t="shared" si="165"/>
        <v>100</v>
      </c>
      <c r="S1046" s="84">
        <f t="shared" si="166"/>
        <v>695</v>
      </c>
      <c r="T1046" s="84">
        <f>50</f>
        <v>50</v>
      </c>
      <c r="U1046" s="85"/>
      <c r="V1046" s="85"/>
      <c r="W1046" s="85"/>
      <c r="X1046" s="85"/>
      <c r="Y1046" s="85"/>
      <c r="Z1046" s="85"/>
      <c r="AA1046" s="85"/>
      <c r="AB1046" s="85"/>
      <c r="AC1046" s="85"/>
      <c r="AD1046" s="85"/>
    </row>
    <row r="1047" spans="1:30" ht="15.75" x14ac:dyDescent="0.25">
      <c r="A1047" s="13">
        <v>72805</v>
      </c>
      <c r="B1047" s="96">
        <f t="shared" si="162"/>
        <v>30</v>
      </c>
      <c r="C1047" s="84">
        <f>141.293</f>
        <v>141.29300000000001</v>
      </c>
      <c r="D1047" s="84">
        <f>267.993</f>
        <v>267.99299999999999</v>
      </c>
      <c r="E1047" s="93">
        <f>115.016</f>
        <v>115.01600000000001</v>
      </c>
      <c r="F1047" s="84">
        <f>314.698-40-25-60-100</f>
        <v>89.697999999999979</v>
      </c>
      <c r="G1047" s="87">
        <v>40</v>
      </c>
      <c r="H1047" s="84">
        <f t="shared" ref="H1047:H1053" si="173">25+60+100</f>
        <v>185</v>
      </c>
      <c r="I1047" s="84">
        <f t="shared" si="170"/>
        <v>0</v>
      </c>
      <c r="J1047" s="87">
        <v>100</v>
      </c>
      <c r="K1047" s="87">
        <v>300</v>
      </c>
      <c r="L1047" s="84">
        <f t="shared" si="163"/>
        <v>1239</v>
      </c>
      <c r="M1047" s="95">
        <v>600</v>
      </c>
      <c r="N1047" s="84">
        <f>100</f>
        <v>100</v>
      </c>
      <c r="O1047" s="87">
        <v>240</v>
      </c>
      <c r="P1047" s="87">
        <v>40</v>
      </c>
      <c r="Q1047" s="87">
        <f t="shared" si="164"/>
        <v>315</v>
      </c>
      <c r="R1047" s="87">
        <f t="shared" si="165"/>
        <v>100</v>
      </c>
      <c r="S1047" s="84">
        <f t="shared" si="166"/>
        <v>695</v>
      </c>
      <c r="T1047" s="84">
        <f>50</f>
        <v>50</v>
      </c>
      <c r="U1047" s="85"/>
      <c r="V1047" s="85"/>
      <c r="W1047" s="85"/>
      <c r="X1047" s="85"/>
      <c r="Y1047" s="85"/>
      <c r="Z1047" s="85"/>
      <c r="AA1047" s="85"/>
      <c r="AB1047" s="85"/>
      <c r="AC1047" s="85"/>
      <c r="AD1047" s="85"/>
    </row>
    <row r="1048" spans="1:30" ht="15.75" x14ac:dyDescent="0.25">
      <c r="A1048" s="13">
        <v>72836</v>
      </c>
      <c r="B1048" s="96">
        <f t="shared" ref="B1048:B1067" si="174">EOMONTH(A1048,0)-EOMONTH(A1048,-1)</f>
        <v>31</v>
      </c>
      <c r="C1048" s="84">
        <f>194.205</f>
        <v>194.20500000000001</v>
      </c>
      <c r="D1048" s="84">
        <f>267.466</f>
        <v>267.46600000000001</v>
      </c>
      <c r="E1048" s="93">
        <f>133.845</f>
        <v>133.845</v>
      </c>
      <c r="F1048" s="84">
        <f>278.484-40-25-60-100</f>
        <v>53.48399999999998</v>
      </c>
      <c r="G1048" s="87">
        <v>40</v>
      </c>
      <c r="H1048" s="84">
        <f t="shared" si="173"/>
        <v>185</v>
      </c>
      <c r="I1048" s="84">
        <f t="shared" si="170"/>
        <v>0</v>
      </c>
      <c r="J1048" s="87">
        <v>100</v>
      </c>
      <c r="K1048" s="87">
        <v>300</v>
      </c>
      <c r="L1048" s="84">
        <f t="shared" ref="L1048:L1067" si="175">SUM(C1048:K1048)</f>
        <v>1274</v>
      </c>
      <c r="M1048" s="95">
        <v>600</v>
      </c>
      <c r="N1048" s="84">
        <f>75</f>
        <v>75</v>
      </c>
      <c r="O1048" s="87">
        <v>240</v>
      </c>
      <c r="P1048" s="87">
        <v>40</v>
      </c>
      <c r="Q1048" s="87">
        <f t="shared" ref="Q1048:Q1067" si="176">695-R1048-O1048-P1048</f>
        <v>315</v>
      </c>
      <c r="R1048" s="87">
        <f t="shared" ref="R1048:R1067" si="177">200-J1048</f>
        <v>100</v>
      </c>
      <c r="S1048" s="84">
        <f t="shared" ref="S1048:S1067" si="178">SUM(O1048:R1048)</f>
        <v>695</v>
      </c>
      <c r="T1048" s="84">
        <f>50</f>
        <v>50</v>
      </c>
      <c r="U1048" s="85"/>
      <c r="V1048" s="85"/>
      <c r="W1048" s="85"/>
      <c r="X1048" s="85"/>
      <c r="Y1048" s="85"/>
      <c r="Z1048" s="85"/>
      <c r="AA1048" s="85"/>
      <c r="AB1048" s="85"/>
      <c r="AC1048" s="85"/>
      <c r="AD1048" s="85"/>
    </row>
    <row r="1049" spans="1:30" ht="15.75" x14ac:dyDescent="0.25">
      <c r="A1049" s="13">
        <v>72866</v>
      </c>
      <c r="B1049" s="96">
        <f t="shared" si="174"/>
        <v>30</v>
      </c>
      <c r="C1049" s="84">
        <f>194.205</f>
        <v>194.20500000000001</v>
      </c>
      <c r="D1049" s="84">
        <f>267.466</f>
        <v>267.46600000000001</v>
      </c>
      <c r="E1049" s="93">
        <f>133.845</f>
        <v>133.845</v>
      </c>
      <c r="F1049" s="84">
        <f>278.484-40-25-60-100</f>
        <v>53.48399999999998</v>
      </c>
      <c r="G1049" s="87">
        <v>40</v>
      </c>
      <c r="H1049" s="84">
        <f t="shared" si="173"/>
        <v>185</v>
      </c>
      <c r="I1049" s="84">
        <f t="shared" si="170"/>
        <v>0</v>
      </c>
      <c r="J1049" s="87">
        <v>100</v>
      </c>
      <c r="K1049" s="87">
        <v>300</v>
      </c>
      <c r="L1049" s="84">
        <f t="shared" si="175"/>
        <v>1274</v>
      </c>
      <c r="M1049" s="95">
        <v>600</v>
      </c>
      <c r="N1049" s="84">
        <f>30</f>
        <v>30</v>
      </c>
      <c r="O1049" s="87">
        <v>240</v>
      </c>
      <c r="P1049" s="87">
        <v>40</v>
      </c>
      <c r="Q1049" s="87">
        <f t="shared" si="176"/>
        <v>315</v>
      </c>
      <c r="R1049" s="87">
        <f t="shared" si="177"/>
        <v>100</v>
      </c>
      <c r="S1049" s="84">
        <f t="shared" si="178"/>
        <v>695</v>
      </c>
      <c r="T1049" s="84">
        <f>50</f>
        <v>50</v>
      </c>
      <c r="U1049" s="85"/>
      <c r="V1049" s="85"/>
      <c r="W1049" s="85"/>
      <c r="X1049" s="85"/>
      <c r="Y1049" s="85"/>
      <c r="Z1049" s="85"/>
      <c r="AA1049" s="85"/>
      <c r="AB1049" s="85"/>
      <c r="AC1049" s="85"/>
      <c r="AD1049" s="85"/>
    </row>
    <row r="1050" spans="1:30" ht="15.75" x14ac:dyDescent="0.25">
      <c r="A1050" s="13">
        <v>72897</v>
      </c>
      <c r="B1050" s="96">
        <f t="shared" si="174"/>
        <v>31</v>
      </c>
      <c r="C1050" s="84">
        <f>194.205</f>
        <v>194.20500000000001</v>
      </c>
      <c r="D1050" s="84">
        <f>267.466</f>
        <v>267.46600000000001</v>
      </c>
      <c r="E1050" s="93">
        <f>133.845</f>
        <v>133.845</v>
      </c>
      <c r="F1050" s="84">
        <f>278.484-40-25-60-100</f>
        <v>53.48399999999998</v>
      </c>
      <c r="G1050" s="87">
        <v>40</v>
      </c>
      <c r="H1050" s="84">
        <f t="shared" si="173"/>
        <v>185</v>
      </c>
      <c r="I1050" s="84">
        <f t="shared" si="170"/>
        <v>0</v>
      </c>
      <c r="J1050" s="87">
        <v>100</v>
      </c>
      <c r="K1050" s="87">
        <v>300</v>
      </c>
      <c r="L1050" s="84">
        <f t="shared" si="175"/>
        <v>1274</v>
      </c>
      <c r="M1050" s="95">
        <v>600</v>
      </c>
      <c r="N1050" s="84">
        <f>30</f>
        <v>30</v>
      </c>
      <c r="O1050" s="87">
        <v>240</v>
      </c>
      <c r="P1050" s="87">
        <v>40</v>
      </c>
      <c r="Q1050" s="87">
        <f t="shared" si="176"/>
        <v>315</v>
      </c>
      <c r="R1050" s="87">
        <f t="shared" si="177"/>
        <v>100</v>
      </c>
      <c r="S1050" s="84">
        <f t="shared" si="178"/>
        <v>695</v>
      </c>
      <c r="T1050" s="84">
        <f>0</f>
        <v>0</v>
      </c>
      <c r="U1050" s="85"/>
      <c r="V1050" s="85"/>
      <c r="W1050" s="85"/>
      <c r="X1050" s="85"/>
      <c r="Y1050" s="85"/>
      <c r="Z1050" s="85"/>
      <c r="AA1050" s="85"/>
      <c r="AB1050" s="85"/>
      <c r="AC1050" s="85"/>
      <c r="AD1050" s="85"/>
    </row>
    <row r="1051" spans="1:30" ht="15.75" x14ac:dyDescent="0.25">
      <c r="A1051" s="13">
        <v>72928</v>
      </c>
      <c r="B1051" s="96">
        <f t="shared" si="174"/>
        <v>31</v>
      </c>
      <c r="C1051" s="84">
        <f>194.205</f>
        <v>194.20500000000001</v>
      </c>
      <c r="D1051" s="84">
        <f>267.466</f>
        <v>267.46600000000001</v>
      </c>
      <c r="E1051" s="93">
        <f>133.845</f>
        <v>133.845</v>
      </c>
      <c r="F1051" s="84">
        <f>278.484-40-25-60-100</f>
        <v>53.48399999999998</v>
      </c>
      <c r="G1051" s="87">
        <v>40</v>
      </c>
      <c r="H1051" s="84">
        <f t="shared" si="173"/>
        <v>185</v>
      </c>
      <c r="I1051" s="84">
        <f t="shared" si="170"/>
        <v>0</v>
      </c>
      <c r="J1051" s="87">
        <v>100</v>
      </c>
      <c r="K1051" s="87">
        <v>300</v>
      </c>
      <c r="L1051" s="84">
        <f t="shared" si="175"/>
        <v>1274</v>
      </c>
      <c r="M1051" s="95">
        <v>600</v>
      </c>
      <c r="N1051" s="84">
        <f>30</f>
        <v>30</v>
      </c>
      <c r="O1051" s="87">
        <v>240</v>
      </c>
      <c r="P1051" s="87">
        <v>40</v>
      </c>
      <c r="Q1051" s="87">
        <f t="shared" si="176"/>
        <v>315</v>
      </c>
      <c r="R1051" s="87">
        <f t="shared" si="177"/>
        <v>100</v>
      </c>
      <c r="S1051" s="84">
        <f t="shared" si="178"/>
        <v>695</v>
      </c>
      <c r="T1051" s="84">
        <f>0</f>
        <v>0</v>
      </c>
      <c r="U1051" s="85"/>
      <c r="V1051" s="85"/>
      <c r="W1051" s="85"/>
      <c r="X1051" s="85"/>
      <c r="Y1051" s="85"/>
      <c r="Z1051" s="85"/>
      <c r="AA1051" s="85"/>
      <c r="AB1051" s="85"/>
      <c r="AC1051" s="85"/>
      <c r="AD1051" s="85"/>
    </row>
    <row r="1052" spans="1:30" ht="15.75" x14ac:dyDescent="0.25">
      <c r="A1052" s="13">
        <v>72958</v>
      </c>
      <c r="B1052" s="96">
        <f t="shared" si="174"/>
        <v>30</v>
      </c>
      <c r="C1052" s="84">
        <f>194.205</f>
        <v>194.20500000000001</v>
      </c>
      <c r="D1052" s="84">
        <f>267.466</f>
        <v>267.46600000000001</v>
      </c>
      <c r="E1052" s="93">
        <f>133.845</f>
        <v>133.845</v>
      </c>
      <c r="F1052" s="84">
        <f>278.484-40-25-60-100</f>
        <v>53.48399999999998</v>
      </c>
      <c r="G1052" s="87">
        <v>40</v>
      </c>
      <c r="H1052" s="84">
        <f t="shared" si="173"/>
        <v>185</v>
      </c>
      <c r="I1052" s="84">
        <f t="shared" si="170"/>
        <v>0</v>
      </c>
      <c r="J1052" s="87">
        <v>100</v>
      </c>
      <c r="K1052" s="87">
        <v>300</v>
      </c>
      <c r="L1052" s="84">
        <f t="shared" si="175"/>
        <v>1274</v>
      </c>
      <c r="M1052" s="95">
        <v>600</v>
      </c>
      <c r="N1052" s="84">
        <f>30</f>
        <v>30</v>
      </c>
      <c r="O1052" s="87">
        <v>240</v>
      </c>
      <c r="P1052" s="87">
        <v>40</v>
      </c>
      <c r="Q1052" s="87">
        <f t="shared" si="176"/>
        <v>315</v>
      </c>
      <c r="R1052" s="87">
        <f t="shared" si="177"/>
        <v>100</v>
      </c>
      <c r="S1052" s="84">
        <f t="shared" si="178"/>
        <v>695</v>
      </c>
      <c r="T1052" s="84">
        <f>0</f>
        <v>0</v>
      </c>
      <c r="U1052" s="85"/>
      <c r="V1052" s="85"/>
      <c r="W1052" s="85"/>
      <c r="X1052" s="85"/>
      <c r="Y1052" s="85"/>
      <c r="Z1052" s="85"/>
      <c r="AA1052" s="85"/>
      <c r="AB1052" s="85"/>
      <c r="AC1052" s="85"/>
      <c r="AD1052" s="85"/>
    </row>
    <row r="1053" spans="1:30" ht="15.75" x14ac:dyDescent="0.25">
      <c r="A1053" s="13">
        <v>72989</v>
      </c>
      <c r="B1053" s="96">
        <f t="shared" si="174"/>
        <v>31</v>
      </c>
      <c r="C1053" s="84">
        <f>131.881</f>
        <v>131.881</v>
      </c>
      <c r="D1053" s="84">
        <f>277.167</f>
        <v>277.16699999999997</v>
      </c>
      <c r="E1053" s="93">
        <f>79.08</f>
        <v>79.08</v>
      </c>
      <c r="F1053" s="84">
        <f>350.872-40-25-60-100</f>
        <v>125.87200000000001</v>
      </c>
      <c r="G1053" s="87">
        <v>40</v>
      </c>
      <c r="H1053" s="84">
        <f t="shared" si="173"/>
        <v>185</v>
      </c>
      <c r="I1053" s="84">
        <f t="shared" si="170"/>
        <v>0</v>
      </c>
      <c r="J1053" s="87">
        <v>100</v>
      </c>
      <c r="K1053" s="87">
        <v>300</v>
      </c>
      <c r="L1053" s="84">
        <f t="shared" si="175"/>
        <v>1239</v>
      </c>
      <c r="M1053" s="95">
        <v>600</v>
      </c>
      <c r="N1053" s="84">
        <f>75</f>
        <v>75</v>
      </c>
      <c r="O1053" s="87">
        <v>240</v>
      </c>
      <c r="P1053" s="87">
        <v>40</v>
      </c>
      <c r="Q1053" s="87">
        <f t="shared" si="176"/>
        <v>315</v>
      </c>
      <c r="R1053" s="87">
        <f t="shared" si="177"/>
        <v>100</v>
      </c>
      <c r="S1053" s="84">
        <f t="shared" si="178"/>
        <v>695</v>
      </c>
      <c r="T1053" s="84">
        <f>0</f>
        <v>0</v>
      </c>
      <c r="U1053" s="85"/>
      <c r="V1053" s="85"/>
      <c r="W1053" s="85"/>
      <c r="X1053" s="85"/>
      <c r="Y1053" s="85"/>
      <c r="Z1053" s="85"/>
      <c r="AA1053" s="85"/>
      <c r="AB1053" s="85"/>
      <c r="AC1053" s="85"/>
      <c r="AD1053" s="85"/>
    </row>
    <row r="1054" spans="1:30" ht="15.75" x14ac:dyDescent="0.25">
      <c r="A1054" s="13">
        <v>73019</v>
      </c>
      <c r="B1054" s="96">
        <f t="shared" si="174"/>
        <v>30</v>
      </c>
      <c r="C1054" s="84">
        <f>122.58</f>
        <v>122.58</v>
      </c>
      <c r="D1054" s="84">
        <f>297.941</f>
        <v>297.94099999999997</v>
      </c>
      <c r="E1054" s="93">
        <f>89.177</f>
        <v>89.177000000000007</v>
      </c>
      <c r="F1054" s="84">
        <f>240.302-40-60-100</f>
        <v>40.301999999999992</v>
      </c>
      <c r="G1054" s="87">
        <v>40</v>
      </c>
      <c r="H1054" s="84">
        <f>60+100</f>
        <v>160</v>
      </c>
      <c r="I1054" s="84">
        <f t="shared" si="170"/>
        <v>0</v>
      </c>
      <c r="J1054" s="87">
        <v>100</v>
      </c>
      <c r="K1054" s="87">
        <v>300</v>
      </c>
      <c r="L1054" s="84">
        <f t="shared" si="175"/>
        <v>1150</v>
      </c>
      <c r="M1054" s="95">
        <v>600</v>
      </c>
      <c r="N1054" s="84">
        <f>100</f>
        <v>100</v>
      </c>
      <c r="O1054" s="87">
        <v>240</v>
      </c>
      <c r="P1054" s="87">
        <v>40</v>
      </c>
      <c r="Q1054" s="87">
        <f t="shared" si="176"/>
        <v>315</v>
      </c>
      <c r="R1054" s="87">
        <f t="shared" si="177"/>
        <v>100</v>
      </c>
      <c r="S1054" s="84">
        <f t="shared" si="178"/>
        <v>695</v>
      </c>
      <c r="T1054" s="84">
        <f>50</f>
        <v>50</v>
      </c>
      <c r="U1054" s="85"/>
      <c r="V1054" s="85"/>
      <c r="W1054" s="85"/>
      <c r="X1054" s="85"/>
      <c r="Y1054" s="85"/>
      <c r="Z1054" s="85"/>
      <c r="AA1054" s="85"/>
      <c r="AB1054" s="85"/>
      <c r="AC1054" s="85"/>
      <c r="AD1054" s="85"/>
    </row>
    <row r="1055" spans="1:30" ht="15.75" x14ac:dyDescent="0.25">
      <c r="A1055" s="13">
        <v>73050</v>
      </c>
      <c r="B1055" s="96">
        <f t="shared" si="174"/>
        <v>31</v>
      </c>
      <c r="C1055" s="84">
        <f>122.58</f>
        <v>122.58</v>
      </c>
      <c r="D1055" s="84">
        <f>297.941</f>
        <v>297.94099999999997</v>
      </c>
      <c r="E1055" s="93">
        <f>89.177</f>
        <v>89.177000000000007</v>
      </c>
      <c r="F1055" s="84">
        <f>240.302-40-60-100</f>
        <v>40.301999999999992</v>
      </c>
      <c r="G1055" s="87">
        <v>40</v>
      </c>
      <c r="H1055" s="84">
        <f>60+100</f>
        <v>160</v>
      </c>
      <c r="I1055" s="84">
        <f t="shared" si="170"/>
        <v>0</v>
      </c>
      <c r="J1055" s="87">
        <v>100</v>
      </c>
      <c r="K1055" s="87">
        <v>300</v>
      </c>
      <c r="L1055" s="84">
        <f t="shared" si="175"/>
        <v>1150</v>
      </c>
      <c r="M1055" s="95">
        <v>600</v>
      </c>
      <c r="N1055" s="84">
        <f>100</f>
        <v>100</v>
      </c>
      <c r="O1055" s="87">
        <v>240</v>
      </c>
      <c r="P1055" s="87">
        <v>40</v>
      </c>
      <c r="Q1055" s="87">
        <f t="shared" si="176"/>
        <v>315</v>
      </c>
      <c r="R1055" s="87">
        <f t="shared" si="177"/>
        <v>100</v>
      </c>
      <c r="S1055" s="84">
        <f t="shared" si="178"/>
        <v>695</v>
      </c>
      <c r="T1055" s="84">
        <f>50</f>
        <v>50</v>
      </c>
      <c r="U1055" s="85"/>
      <c r="V1055" s="85"/>
      <c r="W1055" s="85"/>
      <c r="X1055" s="85"/>
      <c r="Y1055" s="85"/>
      <c r="Z1055" s="85"/>
      <c r="AA1055" s="85"/>
      <c r="AB1055" s="85"/>
      <c r="AC1055" s="85"/>
      <c r="AD1055" s="85"/>
    </row>
    <row r="1056" spans="1:30" ht="15.75" x14ac:dyDescent="0.25">
      <c r="A1056" s="13">
        <v>73081</v>
      </c>
      <c r="B1056" s="96">
        <f t="shared" si="174"/>
        <v>31</v>
      </c>
      <c r="C1056" s="84">
        <f>122.58</f>
        <v>122.58</v>
      </c>
      <c r="D1056" s="84">
        <f>297.941</f>
        <v>297.94099999999997</v>
      </c>
      <c r="E1056" s="93">
        <f>89.177</f>
        <v>89.177000000000007</v>
      </c>
      <c r="F1056" s="84">
        <f>240.302-40-60-100</f>
        <v>40.301999999999992</v>
      </c>
      <c r="G1056" s="87">
        <v>40</v>
      </c>
      <c r="H1056" s="84">
        <f>60+100</f>
        <v>160</v>
      </c>
      <c r="I1056" s="84">
        <f t="shared" si="170"/>
        <v>0</v>
      </c>
      <c r="J1056" s="87">
        <v>100</v>
      </c>
      <c r="K1056" s="87">
        <v>300</v>
      </c>
      <c r="L1056" s="84">
        <f t="shared" si="175"/>
        <v>1150</v>
      </c>
      <c r="M1056" s="95">
        <v>600</v>
      </c>
      <c r="N1056" s="84">
        <f>100</f>
        <v>100</v>
      </c>
      <c r="O1056" s="87">
        <v>240</v>
      </c>
      <c r="P1056" s="87">
        <v>40</v>
      </c>
      <c r="Q1056" s="87">
        <f t="shared" si="176"/>
        <v>315</v>
      </c>
      <c r="R1056" s="87">
        <f t="shared" si="177"/>
        <v>100</v>
      </c>
      <c r="S1056" s="84">
        <f t="shared" si="178"/>
        <v>695</v>
      </c>
      <c r="T1056" s="84">
        <f>50</f>
        <v>50</v>
      </c>
      <c r="U1056" s="85"/>
      <c r="V1056" s="85"/>
      <c r="W1056" s="85"/>
      <c r="X1056" s="85"/>
      <c r="Y1056" s="85"/>
      <c r="Z1056" s="85"/>
      <c r="AA1056" s="85"/>
      <c r="AB1056" s="85"/>
      <c r="AC1056" s="85"/>
      <c r="AD1056" s="85"/>
    </row>
    <row r="1057" spans="1:30" ht="15.75" x14ac:dyDescent="0.25">
      <c r="A1057" s="13">
        <v>73109</v>
      </c>
      <c r="B1057" s="96">
        <f t="shared" si="174"/>
        <v>28</v>
      </c>
      <c r="C1057" s="84">
        <f>122.58</f>
        <v>122.58</v>
      </c>
      <c r="D1057" s="84">
        <f>297.941</f>
        <v>297.94099999999997</v>
      </c>
      <c r="E1057" s="93">
        <f>89.177</f>
        <v>89.177000000000007</v>
      </c>
      <c r="F1057" s="84">
        <f>240.302-40-60-100</f>
        <v>40.301999999999992</v>
      </c>
      <c r="G1057" s="87">
        <v>40</v>
      </c>
      <c r="H1057" s="84">
        <f>60+100</f>
        <v>160</v>
      </c>
      <c r="I1057" s="84">
        <f t="shared" si="170"/>
        <v>0</v>
      </c>
      <c r="J1057" s="87">
        <v>100</v>
      </c>
      <c r="K1057" s="87">
        <v>300</v>
      </c>
      <c r="L1057" s="84">
        <f t="shared" si="175"/>
        <v>1150</v>
      </c>
      <c r="M1057" s="95">
        <v>600</v>
      </c>
      <c r="N1057" s="84">
        <f>100</f>
        <v>100</v>
      </c>
      <c r="O1057" s="87">
        <v>240</v>
      </c>
      <c r="P1057" s="87">
        <v>40</v>
      </c>
      <c r="Q1057" s="87">
        <f t="shared" si="176"/>
        <v>315</v>
      </c>
      <c r="R1057" s="87">
        <f t="shared" si="177"/>
        <v>100</v>
      </c>
      <c r="S1057" s="84">
        <f t="shared" si="178"/>
        <v>695</v>
      </c>
      <c r="T1057" s="84">
        <f>50</f>
        <v>50</v>
      </c>
      <c r="U1057" s="85"/>
      <c r="V1057" s="85"/>
      <c r="W1057" s="85"/>
      <c r="X1057" s="85"/>
      <c r="Y1057" s="85"/>
      <c r="Z1057" s="85"/>
      <c r="AA1057" s="85"/>
      <c r="AB1057" s="85"/>
      <c r="AC1057" s="85"/>
      <c r="AD1057" s="85"/>
    </row>
    <row r="1058" spans="1:30" ht="15.75" x14ac:dyDescent="0.25">
      <c r="A1058" s="13">
        <v>73140</v>
      </c>
      <c r="B1058" s="96">
        <f t="shared" si="174"/>
        <v>31</v>
      </c>
      <c r="C1058" s="84">
        <f>122.58</f>
        <v>122.58</v>
      </c>
      <c r="D1058" s="84">
        <f>297.941</f>
        <v>297.94099999999997</v>
      </c>
      <c r="E1058" s="93">
        <f>89.177</f>
        <v>89.177000000000007</v>
      </c>
      <c r="F1058" s="84">
        <f>240.302-40-60-100</f>
        <v>40.301999999999992</v>
      </c>
      <c r="G1058" s="87">
        <v>40</v>
      </c>
      <c r="H1058" s="84">
        <f>60+100</f>
        <v>160</v>
      </c>
      <c r="I1058" s="84">
        <f t="shared" si="170"/>
        <v>0</v>
      </c>
      <c r="J1058" s="87">
        <v>100</v>
      </c>
      <c r="K1058" s="87">
        <v>300</v>
      </c>
      <c r="L1058" s="84">
        <f t="shared" si="175"/>
        <v>1150</v>
      </c>
      <c r="M1058" s="95">
        <v>600</v>
      </c>
      <c r="N1058" s="84">
        <f>100</f>
        <v>100</v>
      </c>
      <c r="O1058" s="87">
        <v>240</v>
      </c>
      <c r="P1058" s="87">
        <v>40</v>
      </c>
      <c r="Q1058" s="87">
        <f t="shared" si="176"/>
        <v>315</v>
      </c>
      <c r="R1058" s="87">
        <f t="shared" si="177"/>
        <v>100</v>
      </c>
      <c r="S1058" s="84">
        <f t="shared" si="178"/>
        <v>695</v>
      </c>
      <c r="T1058" s="84">
        <f>50</f>
        <v>50</v>
      </c>
      <c r="U1058" s="85"/>
      <c r="V1058" s="85"/>
      <c r="W1058" s="85"/>
      <c r="X1058" s="85"/>
      <c r="Y1058" s="85"/>
      <c r="Z1058" s="85"/>
      <c r="AA1058" s="85"/>
      <c r="AB1058" s="85"/>
      <c r="AC1058" s="85"/>
      <c r="AD1058" s="85"/>
    </row>
    <row r="1059" spans="1:30" ht="15.75" x14ac:dyDescent="0.25">
      <c r="A1059" s="13">
        <v>73170</v>
      </c>
      <c r="B1059" s="96">
        <f t="shared" si="174"/>
        <v>30</v>
      </c>
      <c r="C1059" s="84">
        <f>141.293</f>
        <v>141.29300000000001</v>
      </c>
      <c r="D1059" s="84">
        <f>267.993</f>
        <v>267.99299999999999</v>
      </c>
      <c r="E1059" s="93">
        <f>115.016</f>
        <v>115.01600000000001</v>
      </c>
      <c r="F1059" s="84">
        <f>314.698-40-25-60-100</f>
        <v>89.697999999999979</v>
      </c>
      <c r="G1059" s="87">
        <v>40</v>
      </c>
      <c r="H1059" s="84">
        <f t="shared" ref="H1059:H1065" si="179">25+60+100</f>
        <v>185</v>
      </c>
      <c r="I1059" s="84">
        <f t="shared" si="170"/>
        <v>0</v>
      </c>
      <c r="J1059" s="87">
        <v>100</v>
      </c>
      <c r="K1059" s="87">
        <v>300</v>
      </c>
      <c r="L1059" s="84">
        <f t="shared" si="175"/>
        <v>1239</v>
      </c>
      <c r="M1059" s="95">
        <v>600</v>
      </c>
      <c r="N1059" s="84">
        <f>100</f>
        <v>100</v>
      </c>
      <c r="O1059" s="87">
        <v>240</v>
      </c>
      <c r="P1059" s="87">
        <v>40</v>
      </c>
      <c r="Q1059" s="87">
        <f t="shared" si="176"/>
        <v>315</v>
      </c>
      <c r="R1059" s="87">
        <f t="shared" si="177"/>
        <v>100</v>
      </c>
      <c r="S1059" s="84">
        <f t="shared" si="178"/>
        <v>695</v>
      </c>
      <c r="T1059" s="84">
        <f>50</f>
        <v>50</v>
      </c>
      <c r="U1059" s="85"/>
      <c r="V1059" s="85"/>
      <c r="W1059" s="85"/>
      <c r="X1059" s="85"/>
      <c r="Y1059" s="85"/>
      <c r="Z1059" s="85"/>
      <c r="AA1059" s="85"/>
      <c r="AB1059" s="85"/>
      <c r="AC1059" s="85"/>
      <c r="AD1059" s="85"/>
    </row>
    <row r="1060" spans="1:30" ht="15.75" x14ac:dyDescent="0.25">
      <c r="A1060" s="13">
        <v>73201</v>
      </c>
      <c r="B1060" s="96">
        <f t="shared" si="174"/>
        <v>31</v>
      </c>
      <c r="C1060" s="84">
        <f>194.205</f>
        <v>194.20500000000001</v>
      </c>
      <c r="D1060" s="84">
        <f>267.466</f>
        <v>267.46600000000001</v>
      </c>
      <c r="E1060" s="93">
        <f>133.845</f>
        <v>133.845</v>
      </c>
      <c r="F1060" s="84">
        <f>278.484-40-25-60-100</f>
        <v>53.48399999999998</v>
      </c>
      <c r="G1060" s="87">
        <v>40</v>
      </c>
      <c r="H1060" s="84">
        <f t="shared" si="179"/>
        <v>185</v>
      </c>
      <c r="I1060" s="84">
        <f t="shared" si="170"/>
        <v>0</v>
      </c>
      <c r="J1060" s="87">
        <v>100</v>
      </c>
      <c r="K1060" s="87">
        <v>300</v>
      </c>
      <c r="L1060" s="84">
        <f t="shared" si="175"/>
        <v>1274</v>
      </c>
      <c r="M1060" s="95">
        <v>600</v>
      </c>
      <c r="N1060" s="84">
        <f>75</f>
        <v>75</v>
      </c>
      <c r="O1060" s="87">
        <v>240</v>
      </c>
      <c r="P1060" s="87">
        <v>40</v>
      </c>
      <c r="Q1060" s="87">
        <f t="shared" si="176"/>
        <v>315</v>
      </c>
      <c r="R1060" s="87">
        <f t="shared" si="177"/>
        <v>100</v>
      </c>
      <c r="S1060" s="84">
        <f t="shared" si="178"/>
        <v>695</v>
      </c>
      <c r="T1060" s="84">
        <f>50</f>
        <v>50</v>
      </c>
      <c r="U1060" s="85"/>
      <c r="V1060" s="85"/>
      <c r="W1060" s="85"/>
      <c r="X1060" s="85"/>
      <c r="Y1060" s="85"/>
      <c r="Z1060" s="85"/>
      <c r="AA1060" s="85"/>
      <c r="AB1060" s="85"/>
      <c r="AC1060" s="85"/>
      <c r="AD1060" s="85"/>
    </row>
    <row r="1061" spans="1:30" ht="15.75" x14ac:dyDescent="0.25">
      <c r="A1061" s="13">
        <v>73231</v>
      </c>
      <c r="B1061" s="96">
        <f t="shared" si="174"/>
        <v>30</v>
      </c>
      <c r="C1061" s="84">
        <f>194.205</f>
        <v>194.20500000000001</v>
      </c>
      <c r="D1061" s="84">
        <f>267.466</f>
        <v>267.46600000000001</v>
      </c>
      <c r="E1061" s="93">
        <f>133.845</f>
        <v>133.845</v>
      </c>
      <c r="F1061" s="84">
        <f>278.484-40-25-60-100</f>
        <v>53.48399999999998</v>
      </c>
      <c r="G1061" s="87">
        <v>40</v>
      </c>
      <c r="H1061" s="84">
        <f t="shared" si="179"/>
        <v>185</v>
      </c>
      <c r="I1061" s="84">
        <f t="shared" si="170"/>
        <v>0</v>
      </c>
      <c r="J1061" s="87">
        <v>100</v>
      </c>
      <c r="K1061" s="87">
        <v>300</v>
      </c>
      <c r="L1061" s="84">
        <f t="shared" si="175"/>
        <v>1274</v>
      </c>
      <c r="M1061" s="95">
        <v>600</v>
      </c>
      <c r="N1061" s="84">
        <f>30</f>
        <v>30</v>
      </c>
      <c r="O1061" s="87">
        <v>240</v>
      </c>
      <c r="P1061" s="87">
        <v>40</v>
      </c>
      <c r="Q1061" s="87">
        <f t="shared" si="176"/>
        <v>315</v>
      </c>
      <c r="R1061" s="87">
        <f t="shared" si="177"/>
        <v>100</v>
      </c>
      <c r="S1061" s="84">
        <f t="shared" si="178"/>
        <v>695</v>
      </c>
      <c r="T1061" s="84">
        <f>50</f>
        <v>50</v>
      </c>
      <c r="U1061" s="85"/>
      <c r="V1061" s="85"/>
      <c r="W1061" s="85"/>
      <c r="X1061" s="85"/>
      <c r="Y1061" s="85"/>
      <c r="Z1061" s="85"/>
      <c r="AA1061" s="85"/>
      <c r="AB1061" s="85"/>
      <c r="AC1061" s="85"/>
      <c r="AD1061" s="85"/>
    </row>
    <row r="1062" spans="1:30" ht="15.75" x14ac:dyDescent="0.25">
      <c r="A1062" s="13">
        <v>73262</v>
      </c>
      <c r="B1062" s="96">
        <f t="shared" si="174"/>
        <v>31</v>
      </c>
      <c r="C1062" s="84">
        <f>194.205</f>
        <v>194.20500000000001</v>
      </c>
      <c r="D1062" s="84">
        <f>267.466</f>
        <v>267.46600000000001</v>
      </c>
      <c r="E1062" s="93">
        <f>133.845</f>
        <v>133.845</v>
      </c>
      <c r="F1062" s="84">
        <f>278.484-40-25-60-100</f>
        <v>53.48399999999998</v>
      </c>
      <c r="G1062" s="87">
        <v>40</v>
      </c>
      <c r="H1062" s="84">
        <f t="shared" si="179"/>
        <v>185</v>
      </c>
      <c r="I1062" s="84">
        <f t="shared" si="170"/>
        <v>0</v>
      </c>
      <c r="J1062" s="87">
        <v>100</v>
      </c>
      <c r="K1062" s="87">
        <v>300</v>
      </c>
      <c r="L1062" s="84">
        <f t="shared" si="175"/>
        <v>1274</v>
      </c>
      <c r="M1062" s="95">
        <v>600</v>
      </c>
      <c r="N1062" s="84">
        <f>30</f>
        <v>30</v>
      </c>
      <c r="O1062" s="87">
        <v>240</v>
      </c>
      <c r="P1062" s="87">
        <v>40</v>
      </c>
      <c r="Q1062" s="87">
        <f t="shared" si="176"/>
        <v>315</v>
      </c>
      <c r="R1062" s="87">
        <f t="shared" si="177"/>
        <v>100</v>
      </c>
      <c r="S1062" s="84">
        <f t="shared" si="178"/>
        <v>695</v>
      </c>
      <c r="T1062" s="84">
        <f>0</f>
        <v>0</v>
      </c>
      <c r="U1062" s="85"/>
      <c r="V1062" s="85"/>
      <c r="W1062" s="85"/>
      <c r="X1062" s="85"/>
      <c r="Y1062" s="85"/>
      <c r="Z1062" s="85"/>
      <c r="AA1062" s="85"/>
      <c r="AB1062" s="85"/>
      <c r="AC1062" s="85"/>
      <c r="AD1062" s="85"/>
    </row>
    <row r="1063" spans="1:30" ht="15.75" x14ac:dyDescent="0.25">
      <c r="A1063" s="13">
        <v>73293</v>
      </c>
      <c r="B1063" s="96">
        <f t="shared" si="174"/>
        <v>31</v>
      </c>
      <c r="C1063" s="84">
        <f>194.205</f>
        <v>194.20500000000001</v>
      </c>
      <c r="D1063" s="84">
        <f>267.466</f>
        <v>267.46600000000001</v>
      </c>
      <c r="E1063" s="93">
        <f>133.845</f>
        <v>133.845</v>
      </c>
      <c r="F1063" s="84">
        <f>278.484-40-25-60-100</f>
        <v>53.48399999999998</v>
      </c>
      <c r="G1063" s="87">
        <v>40</v>
      </c>
      <c r="H1063" s="84">
        <f t="shared" si="179"/>
        <v>185</v>
      </c>
      <c r="I1063" s="84">
        <f t="shared" si="170"/>
        <v>0</v>
      </c>
      <c r="J1063" s="87">
        <v>100</v>
      </c>
      <c r="K1063" s="87">
        <v>300</v>
      </c>
      <c r="L1063" s="84">
        <f t="shared" si="175"/>
        <v>1274</v>
      </c>
      <c r="M1063" s="95">
        <v>600</v>
      </c>
      <c r="N1063" s="84">
        <f>30</f>
        <v>30</v>
      </c>
      <c r="O1063" s="87">
        <v>240</v>
      </c>
      <c r="P1063" s="87">
        <v>40</v>
      </c>
      <c r="Q1063" s="87">
        <f t="shared" si="176"/>
        <v>315</v>
      </c>
      <c r="R1063" s="87">
        <f t="shared" si="177"/>
        <v>100</v>
      </c>
      <c r="S1063" s="84">
        <f t="shared" si="178"/>
        <v>695</v>
      </c>
      <c r="T1063" s="84">
        <f>0</f>
        <v>0</v>
      </c>
      <c r="U1063" s="85"/>
      <c r="V1063" s="85"/>
      <c r="W1063" s="85"/>
      <c r="X1063" s="85"/>
      <c r="Y1063" s="85"/>
      <c r="Z1063" s="85"/>
      <c r="AA1063" s="85"/>
      <c r="AB1063" s="85"/>
      <c r="AC1063" s="85"/>
      <c r="AD1063" s="85"/>
    </row>
    <row r="1064" spans="1:30" ht="15.75" x14ac:dyDescent="0.25">
      <c r="A1064" s="13">
        <v>73323</v>
      </c>
      <c r="B1064" s="96">
        <f t="shared" si="174"/>
        <v>30</v>
      </c>
      <c r="C1064" s="84">
        <f>194.205</f>
        <v>194.20500000000001</v>
      </c>
      <c r="D1064" s="84">
        <f>267.466</f>
        <v>267.46600000000001</v>
      </c>
      <c r="E1064" s="93">
        <f>133.845</f>
        <v>133.845</v>
      </c>
      <c r="F1064" s="84">
        <f>278.484-40-25-60-100</f>
        <v>53.48399999999998</v>
      </c>
      <c r="G1064" s="87">
        <v>40</v>
      </c>
      <c r="H1064" s="84">
        <f t="shared" si="179"/>
        <v>185</v>
      </c>
      <c r="I1064" s="84">
        <f t="shared" si="170"/>
        <v>0</v>
      </c>
      <c r="J1064" s="87">
        <v>100</v>
      </c>
      <c r="K1064" s="87">
        <v>300</v>
      </c>
      <c r="L1064" s="84">
        <f t="shared" si="175"/>
        <v>1274</v>
      </c>
      <c r="M1064" s="95">
        <v>600</v>
      </c>
      <c r="N1064" s="84">
        <f>30</f>
        <v>30</v>
      </c>
      <c r="O1064" s="87">
        <v>240</v>
      </c>
      <c r="P1064" s="87">
        <v>40</v>
      </c>
      <c r="Q1064" s="87">
        <f t="shared" si="176"/>
        <v>315</v>
      </c>
      <c r="R1064" s="87">
        <f t="shared" si="177"/>
        <v>100</v>
      </c>
      <c r="S1064" s="84">
        <f t="shared" si="178"/>
        <v>695</v>
      </c>
      <c r="T1064" s="84">
        <f>0</f>
        <v>0</v>
      </c>
      <c r="U1064" s="85"/>
      <c r="V1064" s="85"/>
      <c r="W1064" s="85"/>
      <c r="X1064" s="85"/>
      <c r="Y1064" s="85"/>
      <c r="Z1064" s="85"/>
      <c r="AA1064" s="85"/>
      <c r="AB1064" s="85"/>
      <c r="AC1064" s="85"/>
      <c r="AD1064" s="85"/>
    </row>
    <row r="1065" spans="1:30" ht="15.75" x14ac:dyDescent="0.25">
      <c r="A1065" s="13">
        <v>73354</v>
      </c>
      <c r="B1065" s="96">
        <f t="shared" si="174"/>
        <v>31</v>
      </c>
      <c r="C1065" s="84">
        <f>131.881</f>
        <v>131.881</v>
      </c>
      <c r="D1065" s="84">
        <f>277.167</f>
        <v>277.16699999999997</v>
      </c>
      <c r="E1065" s="93">
        <f>79.08</f>
        <v>79.08</v>
      </c>
      <c r="F1065" s="84">
        <f>350.872-40-25-60-100</f>
        <v>125.87200000000001</v>
      </c>
      <c r="G1065" s="87">
        <v>40</v>
      </c>
      <c r="H1065" s="84">
        <f t="shared" si="179"/>
        <v>185</v>
      </c>
      <c r="I1065" s="84">
        <f t="shared" si="170"/>
        <v>0</v>
      </c>
      <c r="J1065" s="87">
        <v>100</v>
      </c>
      <c r="K1065" s="87">
        <v>300</v>
      </c>
      <c r="L1065" s="84">
        <f t="shared" si="175"/>
        <v>1239</v>
      </c>
      <c r="M1065" s="95">
        <v>600</v>
      </c>
      <c r="N1065" s="84">
        <f>75</f>
        <v>75</v>
      </c>
      <c r="O1065" s="87">
        <v>240</v>
      </c>
      <c r="P1065" s="87">
        <v>40</v>
      </c>
      <c r="Q1065" s="87">
        <f t="shared" si="176"/>
        <v>315</v>
      </c>
      <c r="R1065" s="87">
        <f t="shared" si="177"/>
        <v>100</v>
      </c>
      <c r="S1065" s="84">
        <f t="shared" si="178"/>
        <v>695</v>
      </c>
      <c r="T1065" s="84">
        <f>0</f>
        <v>0</v>
      </c>
      <c r="U1065" s="85"/>
      <c r="V1065" s="85"/>
      <c r="W1065" s="85"/>
      <c r="X1065" s="85"/>
      <c r="Y1065" s="85"/>
      <c r="Z1065" s="85"/>
      <c r="AA1065" s="85"/>
      <c r="AB1065" s="85"/>
      <c r="AC1065" s="85"/>
      <c r="AD1065" s="85"/>
    </row>
    <row r="1066" spans="1:30" ht="15.75" x14ac:dyDescent="0.25">
      <c r="A1066" s="13">
        <v>73384</v>
      </c>
      <c r="B1066" s="96">
        <f t="shared" si="174"/>
        <v>30</v>
      </c>
      <c r="C1066" s="84">
        <f>122.58</f>
        <v>122.58</v>
      </c>
      <c r="D1066" s="84">
        <f>297.941</f>
        <v>297.94099999999997</v>
      </c>
      <c r="E1066" s="93">
        <f>89.177</f>
        <v>89.177000000000007</v>
      </c>
      <c r="F1066" s="84">
        <f>240.302-40-60-100</f>
        <v>40.301999999999992</v>
      </c>
      <c r="G1066" s="87">
        <v>40</v>
      </c>
      <c r="H1066" s="84">
        <f>60+100</f>
        <v>160</v>
      </c>
      <c r="I1066" s="84">
        <f t="shared" si="170"/>
        <v>0</v>
      </c>
      <c r="J1066" s="87">
        <v>100</v>
      </c>
      <c r="K1066" s="87">
        <v>300</v>
      </c>
      <c r="L1066" s="84">
        <f t="shared" si="175"/>
        <v>1150</v>
      </c>
      <c r="M1066" s="95">
        <v>600</v>
      </c>
      <c r="N1066" s="84">
        <f>100</f>
        <v>100</v>
      </c>
      <c r="O1066" s="87">
        <v>240</v>
      </c>
      <c r="P1066" s="87">
        <v>40</v>
      </c>
      <c r="Q1066" s="87">
        <f t="shared" si="176"/>
        <v>315</v>
      </c>
      <c r="R1066" s="87">
        <f t="shared" si="177"/>
        <v>100</v>
      </c>
      <c r="S1066" s="84">
        <f t="shared" si="178"/>
        <v>695</v>
      </c>
      <c r="T1066" s="84">
        <f>50</f>
        <v>50</v>
      </c>
      <c r="U1066" s="85"/>
      <c r="V1066" s="85"/>
      <c r="W1066" s="85"/>
      <c r="X1066" s="85"/>
      <c r="Y1066" s="85"/>
      <c r="Z1066" s="85"/>
      <c r="AA1066" s="85"/>
      <c r="AB1066" s="85"/>
      <c r="AC1066" s="85"/>
      <c r="AD1066" s="85"/>
    </row>
    <row r="1067" spans="1:30" ht="15.75" x14ac:dyDescent="0.25">
      <c r="A1067" s="13">
        <v>73415</v>
      </c>
      <c r="B1067" s="96">
        <f t="shared" si="174"/>
        <v>31</v>
      </c>
      <c r="C1067" s="84">
        <f>122.58</f>
        <v>122.58</v>
      </c>
      <c r="D1067" s="84">
        <f>297.941</f>
        <v>297.94099999999997</v>
      </c>
      <c r="E1067" s="93">
        <f>89.177</f>
        <v>89.177000000000007</v>
      </c>
      <c r="F1067" s="84">
        <f>240.302-40-60-100</f>
        <v>40.301999999999992</v>
      </c>
      <c r="G1067" s="87">
        <v>40</v>
      </c>
      <c r="H1067" s="84">
        <f>60+100</f>
        <v>160</v>
      </c>
      <c r="I1067" s="84">
        <f t="shared" si="170"/>
        <v>0</v>
      </c>
      <c r="J1067" s="87">
        <v>100</v>
      </c>
      <c r="K1067" s="87">
        <v>300</v>
      </c>
      <c r="L1067" s="84">
        <f t="shared" si="175"/>
        <v>1150</v>
      </c>
      <c r="M1067" s="95">
        <v>600</v>
      </c>
      <c r="N1067" s="84">
        <f>100</f>
        <v>100</v>
      </c>
      <c r="O1067" s="87">
        <v>240</v>
      </c>
      <c r="P1067" s="87">
        <v>40</v>
      </c>
      <c r="Q1067" s="87">
        <f t="shared" si="176"/>
        <v>315</v>
      </c>
      <c r="R1067" s="87">
        <f t="shared" si="177"/>
        <v>100</v>
      </c>
      <c r="S1067" s="84">
        <f t="shared" si="178"/>
        <v>695</v>
      </c>
      <c r="T1067" s="84">
        <f>50</f>
        <v>50</v>
      </c>
      <c r="U1067" s="85"/>
      <c r="V1067" s="85"/>
      <c r="W1067" s="85"/>
      <c r="X1067" s="85"/>
      <c r="Y1067" s="85"/>
      <c r="Z1067" s="85"/>
      <c r="AA1067" s="85"/>
      <c r="AB1067" s="85"/>
      <c r="AC1067" s="85"/>
      <c r="AD1067" s="85"/>
    </row>
    <row r="1068" spans="1:30" ht="15" x14ac:dyDescent="0.2">
      <c r="A1068" s="12"/>
      <c r="B1068" s="94"/>
      <c r="C1068" s="84"/>
      <c r="D1068" s="84"/>
      <c r="E1068" s="93"/>
      <c r="F1068" s="84"/>
      <c r="G1068" s="84"/>
      <c r="H1068" s="84"/>
      <c r="I1068" s="84"/>
      <c r="J1068" s="84"/>
      <c r="K1068" s="84"/>
      <c r="L1068" s="84"/>
      <c r="M1068" s="84"/>
      <c r="N1068" s="84"/>
      <c r="O1068" s="87"/>
      <c r="P1068" s="87"/>
      <c r="Q1068" s="87"/>
      <c r="R1068" s="87"/>
      <c r="S1068" s="84"/>
      <c r="T1068" s="84"/>
      <c r="U1068" s="85"/>
      <c r="V1068" s="85"/>
      <c r="W1068" s="85"/>
      <c r="X1068" s="85"/>
      <c r="Y1068" s="85"/>
      <c r="Z1068" s="85"/>
      <c r="AA1068" s="85"/>
      <c r="AB1068" s="85"/>
      <c r="AC1068" s="85"/>
      <c r="AD1068" s="85"/>
    </row>
    <row r="1069" spans="1:30" ht="15" x14ac:dyDescent="0.2">
      <c r="A1069" s="11">
        <v>2013</v>
      </c>
      <c r="B1069" s="11">
        <f t="shared" ref="B1069:B1100" si="180">DATE(A1069+1,1,1)-DATE(A1069,1,1)</f>
        <v>365</v>
      </c>
      <c r="C1069" s="88">
        <f t="shared" ref="C1069:L1069" si="181">AVERAGE(C12:C23)</f>
        <v>154.75825</v>
      </c>
      <c r="D1069" s="88">
        <f t="shared" si="181"/>
        <v>281.0162499999999</v>
      </c>
      <c r="E1069" s="88">
        <f t="shared" si="181"/>
        <v>109.1005</v>
      </c>
      <c r="F1069" s="88">
        <f t="shared" si="181"/>
        <v>217.04166666666666</v>
      </c>
      <c r="G1069" s="88">
        <f t="shared" si="181"/>
        <v>40</v>
      </c>
      <c r="H1069" s="88">
        <f t="shared" si="181"/>
        <v>14.583333333333334</v>
      </c>
      <c r="I1069" s="88">
        <f t="shared" si="181"/>
        <v>12.5</v>
      </c>
      <c r="J1069" s="88">
        <f t="shared" si="181"/>
        <v>100</v>
      </c>
      <c r="K1069" s="88">
        <f t="shared" si="181"/>
        <v>300</v>
      </c>
      <c r="L1069" s="88">
        <f t="shared" si="181"/>
        <v>1229</v>
      </c>
      <c r="M1069" s="92"/>
      <c r="N1069" s="88">
        <f t="shared" ref="N1069:T1069" si="182">AVERAGE(N12:N23)</f>
        <v>97.5</v>
      </c>
      <c r="O1069" s="89">
        <f t="shared" si="182"/>
        <v>240</v>
      </c>
      <c r="P1069" s="89">
        <f t="shared" si="182"/>
        <v>70</v>
      </c>
      <c r="Q1069" s="89">
        <f t="shared" si="182"/>
        <v>285</v>
      </c>
      <c r="R1069" s="89">
        <f t="shared" si="182"/>
        <v>100</v>
      </c>
      <c r="S1069" s="88">
        <f t="shared" si="182"/>
        <v>695</v>
      </c>
      <c r="T1069" s="88">
        <f t="shared" si="182"/>
        <v>33.333333333333336</v>
      </c>
      <c r="U1069" s="85"/>
      <c r="V1069" s="85"/>
      <c r="W1069" s="85"/>
      <c r="X1069" s="85"/>
      <c r="Y1069" s="85"/>
      <c r="Z1069" s="85"/>
      <c r="AA1069" s="85"/>
      <c r="AB1069" s="85"/>
      <c r="AC1069" s="85"/>
      <c r="AD1069" s="85"/>
    </row>
    <row r="1070" spans="1:30" ht="15.75" x14ac:dyDescent="0.25">
      <c r="A1070" s="11">
        <v>2014</v>
      </c>
      <c r="B1070" s="11">
        <f t="shared" si="180"/>
        <v>365</v>
      </c>
      <c r="C1070" s="88">
        <f t="shared" ref="C1070:L1070" si="183">AVERAGE(C24:C35)</f>
        <v>154.75825</v>
      </c>
      <c r="D1070" s="88">
        <f t="shared" si="183"/>
        <v>281.0162499999999</v>
      </c>
      <c r="E1070" s="88">
        <f t="shared" si="183"/>
        <v>109.1005</v>
      </c>
      <c r="F1070" s="88">
        <f t="shared" si="183"/>
        <v>217.04166666666666</v>
      </c>
      <c r="G1070" s="88">
        <f t="shared" si="183"/>
        <v>40</v>
      </c>
      <c r="H1070" s="88">
        <f t="shared" si="183"/>
        <v>14.583333333333334</v>
      </c>
      <c r="I1070" s="88">
        <f t="shared" si="183"/>
        <v>20.833333333333332</v>
      </c>
      <c r="J1070" s="88">
        <f t="shared" si="183"/>
        <v>100</v>
      </c>
      <c r="K1070" s="88">
        <f t="shared" si="183"/>
        <v>300</v>
      </c>
      <c r="L1070" s="88">
        <f t="shared" si="183"/>
        <v>1237.3333333333333</v>
      </c>
      <c r="M1070" s="91"/>
      <c r="N1070" s="88">
        <f t="shared" ref="N1070:T1070" si="184">AVERAGE(N24:N35)</f>
        <v>72.5</v>
      </c>
      <c r="O1070" s="89">
        <f t="shared" si="184"/>
        <v>240</v>
      </c>
      <c r="P1070" s="89">
        <f t="shared" si="184"/>
        <v>70</v>
      </c>
      <c r="Q1070" s="89">
        <f t="shared" si="184"/>
        <v>285</v>
      </c>
      <c r="R1070" s="89">
        <f t="shared" si="184"/>
        <v>100</v>
      </c>
      <c r="S1070" s="88">
        <f t="shared" si="184"/>
        <v>695</v>
      </c>
      <c r="T1070" s="88">
        <f t="shared" si="184"/>
        <v>33.333333333333336</v>
      </c>
      <c r="U1070" s="85"/>
      <c r="V1070" s="85"/>
      <c r="W1070" s="85"/>
      <c r="X1070" s="85"/>
      <c r="Y1070" s="85"/>
      <c r="Z1070" s="85"/>
      <c r="AA1070" s="85"/>
      <c r="AB1070" s="85"/>
      <c r="AC1070" s="85"/>
      <c r="AD1070" s="85"/>
    </row>
    <row r="1071" spans="1:30" ht="15.75" x14ac:dyDescent="0.25">
      <c r="A1071" s="11">
        <v>2015</v>
      </c>
      <c r="B1071" s="11">
        <f t="shared" si="180"/>
        <v>365</v>
      </c>
      <c r="C1071" s="88">
        <f t="shared" ref="C1071:L1071" si="185">AVERAGE(C36:C47)</f>
        <v>154.75825</v>
      </c>
      <c r="D1071" s="88">
        <f t="shared" si="185"/>
        <v>281.0162499999999</v>
      </c>
      <c r="E1071" s="88">
        <f t="shared" si="185"/>
        <v>109.1005</v>
      </c>
      <c r="F1071" s="88">
        <f t="shared" si="185"/>
        <v>97.041666666666629</v>
      </c>
      <c r="G1071" s="88">
        <f t="shared" si="185"/>
        <v>40</v>
      </c>
      <c r="H1071" s="88">
        <f t="shared" si="185"/>
        <v>134.58333333333334</v>
      </c>
      <c r="I1071" s="88">
        <f t="shared" si="185"/>
        <v>20.833333333333332</v>
      </c>
      <c r="J1071" s="88">
        <f t="shared" si="185"/>
        <v>100</v>
      </c>
      <c r="K1071" s="88">
        <f t="shared" si="185"/>
        <v>300</v>
      </c>
      <c r="L1071" s="88">
        <f t="shared" si="185"/>
        <v>1237.3333333333333</v>
      </c>
      <c r="M1071" s="91"/>
      <c r="N1071" s="88">
        <f t="shared" ref="N1071:T1071" si="186">AVERAGE(N36:N47)</f>
        <v>72.5</v>
      </c>
      <c r="O1071" s="89">
        <f t="shared" si="186"/>
        <v>240</v>
      </c>
      <c r="P1071" s="89">
        <f t="shared" si="186"/>
        <v>100</v>
      </c>
      <c r="Q1071" s="89">
        <f t="shared" si="186"/>
        <v>255</v>
      </c>
      <c r="R1071" s="89">
        <f t="shared" si="186"/>
        <v>100</v>
      </c>
      <c r="S1071" s="88">
        <f t="shared" si="186"/>
        <v>695</v>
      </c>
      <c r="T1071" s="88">
        <f t="shared" si="186"/>
        <v>33.333333333333336</v>
      </c>
      <c r="U1071" s="85"/>
      <c r="V1071" s="85"/>
      <c r="W1071" s="85"/>
      <c r="X1071" s="85"/>
      <c r="Y1071" s="85"/>
      <c r="Z1071" s="85"/>
      <c r="AA1071" s="85"/>
      <c r="AB1071" s="85"/>
      <c r="AC1071" s="85"/>
      <c r="AD1071" s="85"/>
    </row>
    <row r="1072" spans="1:30" ht="15.75" x14ac:dyDescent="0.25">
      <c r="A1072" s="11">
        <v>2016</v>
      </c>
      <c r="B1072" s="11">
        <f t="shared" si="180"/>
        <v>366</v>
      </c>
      <c r="C1072" s="88">
        <f t="shared" ref="C1072:L1072" si="187">AVERAGE(C48:C59)</f>
        <v>154.75825</v>
      </c>
      <c r="D1072" s="88">
        <f t="shared" si="187"/>
        <v>281.0162499999999</v>
      </c>
      <c r="E1072" s="88">
        <f t="shared" si="187"/>
        <v>109.1005</v>
      </c>
      <c r="F1072" s="88">
        <f t="shared" si="187"/>
        <v>57.041666666666664</v>
      </c>
      <c r="G1072" s="88">
        <f t="shared" si="187"/>
        <v>40</v>
      </c>
      <c r="H1072" s="88">
        <f t="shared" si="187"/>
        <v>174.58333333333334</v>
      </c>
      <c r="I1072" s="88">
        <f t="shared" si="187"/>
        <v>0</v>
      </c>
      <c r="J1072" s="88">
        <f t="shared" si="187"/>
        <v>100</v>
      </c>
      <c r="K1072" s="88">
        <f t="shared" si="187"/>
        <v>300</v>
      </c>
      <c r="L1072" s="88">
        <f t="shared" si="187"/>
        <v>1216.5</v>
      </c>
      <c r="M1072" s="91"/>
      <c r="N1072" s="88">
        <f t="shared" ref="N1072:T1072" si="188">AVERAGE(N48:N59)</f>
        <v>72.5</v>
      </c>
      <c r="O1072" s="89">
        <f t="shared" si="188"/>
        <v>240</v>
      </c>
      <c r="P1072" s="89">
        <f t="shared" si="188"/>
        <v>110</v>
      </c>
      <c r="Q1072" s="89">
        <f t="shared" si="188"/>
        <v>245</v>
      </c>
      <c r="R1072" s="89">
        <f t="shared" si="188"/>
        <v>100</v>
      </c>
      <c r="S1072" s="88">
        <f t="shared" si="188"/>
        <v>695</v>
      </c>
      <c r="T1072" s="88">
        <f t="shared" si="188"/>
        <v>33.333333333333336</v>
      </c>
      <c r="U1072" s="85"/>
      <c r="V1072" s="85"/>
      <c r="W1072" s="85"/>
      <c r="X1072" s="85"/>
      <c r="Y1072" s="85"/>
      <c r="Z1072" s="85"/>
      <c r="AA1072" s="85"/>
      <c r="AB1072" s="85"/>
      <c r="AC1072" s="85"/>
      <c r="AD1072" s="85"/>
    </row>
    <row r="1073" spans="1:30" ht="15" x14ac:dyDescent="0.2">
      <c r="A1073" s="11">
        <v>2017</v>
      </c>
      <c r="B1073" s="11">
        <f t="shared" si="180"/>
        <v>365</v>
      </c>
      <c r="C1073" s="88">
        <f t="shared" ref="C1073:T1073" si="189">AVERAGE(C60:C71)</f>
        <v>154.75825</v>
      </c>
      <c r="D1073" s="88">
        <f t="shared" si="189"/>
        <v>281.0162499999999</v>
      </c>
      <c r="E1073" s="88">
        <f t="shared" si="189"/>
        <v>109.1005</v>
      </c>
      <c r="F1073" s="88">
        <f t="shared" si="189"/>
        <v>57.041666666666664</v>
      </c>
      <c r="G1073" s="88">
        <f t="shared" si="189"/>
        <v>40</v>
      </c>
      <c r="H1073" s="88">
        <f t="shared" si="189"/>
        <v>174.58333333333334</v>
      </c>
      <c r="I1073" s="88">
        <f t="shared" si="189"/>
        <v>0</v>
      </c>
      <c r="J1073" s="88">
        <f t="shared" si="189"/>
        <v>100</v>
      </c>
      <c r="K1073" s="88">
        <f t="shared" si="189"/>
        <v>300</v>
      </c>
      <c r="L1073" s="88">
        <f t="shared" si="189"/>
        <v>1216.5</v>
      </c>
      <c r="M1073" s="90">
        <f t="shared" si="189"/>
        <v>400</v>
      </c>
      <c r="N1073" s="88">
        <f t="shared" si="189"/>
        <v>72.5</v>
      </c>
      <c r="O1073" s="89">
        <f t="shared" si="189"/>
        <v>240</v>
      </c>
      <c r="P1073" s="89">
        <f t="shared" si="189"/>
        <v>110</v>
      </c>
      <c r="Q1073" s="89">
        <f t="shared" si="189"/>
        <v>245</v>
      </c>
      <c r="R1073" s="89">
        <f t="shared" si="189"/>
        <v>100</v>
      </c>
      <c r="S1073" s="88">
        <f t="shared" si="189"/>
        <v>695</v>
      </c>
      <c r="T1073" s="88">
        <f t="shared" si="189"/>
        <v>33.333333333333336</v>
      </c>
      <c r="U1073" s="85"/>
      <c r="V1073" s="85"/>
      <c r="W1073" s="85"/>
      <c r="X1073" s="85"/>
      <c r="Y1073" s="85"/>
      <c r="Z1073" s="85"/>
      <c r="AA1073" s="85"/>
      <c r="AB1073" s="85"/>
      <c r="AC1073" s="85"/>
      <c r="AD1073" s="85"/>
    </row>
    <row r="1074" spans="1:30" ht="15" x14ac:dyDescent="0.2">
      <c r="A1074" s="11">
        <v>2018</v>
      </c>
      <c r="B1074" s="11">
        <f t="shared" si="180"/>
        <v>365</v>
      </c>
      <c r="C1074" s="88">
        <f t="shared" ref="C1074:T1074" si="190">AVERAGE(C72:C83)</f>
        <v>154.75825</v>
      </c>
      <c r="D1074" s="88">
        <f t="shared" si="190"/>
        <v>281.0162499999999</v>
      </c>
      <c r="E1074" s="88">
        <f t="shared" si="190"/>
        <v>109.1005</v>
      </c>
      <c r="F1074" s="88">
        <f t="shared" si="190"/>
        <v>57.041666666666664</v>
      </c>
      <c r="G1074" s="88">
        <f t="shared" si="190"/>
        <v>40</v>
      </c>
      <c r="H1074" s="88">
        <f t="shared" si="190"/>
        <v>174.58333333333334</v>
      </c>
      <c r="I1074" s="88">
        <f t="shared" si="190"/>
        <v>0</v>
      </c>
      <c r="J1074" s="88">
        <f t="shared" si="190"/>
        <v>100</v>
      </c>
      <c r="K1074" s="88">
        <f t="shared" si="190"/>
        <v>300</v>
      </c>
      <c r="L1074" s="88">
        <f t="shared" si="190"/>
        <v>1216.5</v>
      </c>
      <c r="M1074" s="90">
        <f t="shared" si="190"/>
        <v>400</v>
      </c>
      <c r="N1074" s="88">
        <f t="shared" si="190"/>
        <v>72.5</v>
      </c>
      <c r="O1074" s="89">
        <f t="shared" si="190"/>
        <v>240</v>
      </c>
      <c r="P1074" s="89">
        <f t="shared" si="190"/>
        <v>110</v>
      </c>
      <c r="Q1074" s="89">
        <f t="shared" si="190"/>
        <v>245</v>
      </c>
      <c r="R1074" s="89">
        <f t="shared" si="190"/>
        <v>100</v>
      </c>
      <c r="S1074" s="88">
        <f t="shared" si="190"/>
        <v>695</v>
      </c>
      <c r="T1074" s="88">
        <f t="shared" si="190"/>
        <v>33.333333333333336</v>
      </c>
      <c r="U1074" s="85"/>
      <c r="V1074" s="85"/>
      <c r="W1074" s="85"/>
      <c r="X1074" s="85"/>
      <c r="Y1074" s="85"/>
      <c r="Z1074" s="85"/>
      <c r="AA1074" s="85"/>
      <c r="AB1074" s="85"/>
      <c r="AC1074" s="85"/>
      <c r="AD1074" s="85"/>
    </row>
    <row r="1075" spans="1:30" ht="15" x14ac:dyDescent="0.2">
      <c r="A1075" s="11">
        <v>2019</v>
      </c>
      <c r="B1075" s="11">
        <f t="shared" si="180"/>
        <v>365</v>
      </c>
      <c r="C1075" s="88">
        <f t="shared" ref="C1075:T1075" si="191">AVERAGE(C84:C95)</f>
        <v>154.75825</v>
      </c>
      <c r="D1075" s="88">
        <f t="shared" si="191"/>
        <v>281.0162499999999</v>
      </c>
      <c r="E1075" s="88">
        <f t="shared" si="191"/>
        <v>109.1005</v>
      </c>
      <c r="F1075" s="88">
        <f t="shared" si="191"/>
        <v>57.041666666666664</v>
      </c>
      <c r="G1075" s="88">
        <f t="shared" si="191"/>
        <v>40</v>
      </c>
      <c r="H1075" s="88">
        <f t="shared" si="191"/>
        <v>174.58333333333334</v>
      </c>
      <c r="I1075" s="88">
        <f t="shared" si="191"/>
        <v>0</v>
      </c>
      <c r="J1075" s="88">
        <f t="shared" si="191"/>
        <v>100</v>
      </c>
      <c r="K1075" s="88">
        <f t="shared" si="191"/>
        <v>300</v>
      </c>
      <c r="L1075" s="88">
        <f t="shared" si="191"/>
        <v>1216.5</v>
      </c>
      <c r="M1075" s="90">
        <f t="shared" si="191"/>
        <v>400</v>
      </c>
      <c r="N1075" s="88">
        <f t="shared" si="191"/>
        <v>72.5</v>
      </c>
      <c r="O1075" s="89">
        <f t="shared" si="191"/>
        <v>240</v>
      </c>
      <c r="P1075" s="89">
        <f t="shared" si="191"/>
        <v>110</v>
      </c>
      <c r="Q1075" s="89">
        <f t="shared" si="191"/>
        <v>245</v>
      </c>
      <c r="R1075" s="89">
        <f t="shared" si="191"/>
        <v>100</v>
      </c>
      <c r="S1075" s="88">
        <f t="shared" si="191"/>
        <v>695</v>
      </c>
      <c r="T1075" s="88">
        <f t="shared" si="191"/>
        <v>33.333333333333336</v>
      </c>
      <c r="U1075" s="85"/>
      <c r="V1075" s="85"/>
      <c r="W1075" s="85"/>
      <c r="X1075" s="85"/>
      <c r="Y1075" s="85"/>
      <c r="Z1075" s="85"/>
      <c r="AA1075" s="85"/>
      <c r="AB1075" s="85"/>
      <c r="AC1075" s="85"/>
      <c r="AD1075" s="85"/>
    </row>
    <row r="1076" spans="1:30" ht="15" x14ac:dyDescent="0.2">
      <c r="A1076" s="11">
        <v>2020</v>
      </c>
      <c r="B1076" s="11">
        <f t="shared" si="180"/>
        <v>366</v>
      </c>
      <c r="C1076" s="88">
        <f t="shared" ref="C1076:T1076" si="192">AVERAGE(C96:C107)</f>
        <v>154.75825</v>
      </c>
      <c r="D1076" s="88">
        <f t="shared" si="192"/>
        <v>281.0162499999999</v>
      </c>
      <c r="E1076" s="88">
        <f t="shared" si="192"/>
        <v>109.1005</v>
      </c>
      <c r="F1076" s="88">
        <f t="shared" si="192"/>
        <v>57.041666666666664</v>
      </c>
      <c r="G1076" s="88">
        <f t="shared" si="192"/>
        <v>40</v>
      </c>
      <c r="H1076" s="88">
        <f t="shared" si="192"/>
        <v>174.58333333333334</v>
      </c>
      <c r="I1076" s="88">
        <f t="shared" si="192"/>
        <v>0</v>
      </c>
      <c r="J1076" s="88">
        <f t="shared" si="192"/>
        <v>100</v>
      </c>
      <c r="K1076" s="88">
        <f t="shared" si="192"/>
        <v>300</v>
      </c>
      <c r="L1076" s="88">
        <f t="shared" si="192"/>
        <v>1216.5</v>
      </c>
      <c r="M1076" s="90">
        <f t="shared" si="192"/>
        <v>533.33333333333337</v>
      </c>
      <c r="N1076" s="88">
        <f t="shared" si="192"/>
        <v>72.5</v>
      </c>
      <c r="O1076" s="89">
        <f t="shared" si="192"/>
        <v>240</v>
      </c>
      <c r="P1076" s="89">
        <f t="shared" si="192"/>
        <v>110</v>
      </c>
      <c r="Q1076" s="89">
        <f t="shared" si="192"/>
        <v>245</v>
      </c>
      <c r="R1076" s="89">
        <f t="shared" si="192"/>
        <v>100</v>
      </c>
      <c r="S1076" s="88">
        <f t="shared" si="192"/>
        <v>695</v>
      </c>
      <c r="T1076" s="88">
        <f t="shared" si="192"/>
        <v>33.333333333333336</v>
      </c>
      <c r="U1076" s="85"/>
      <c r="V1076" s="85"/>
      <c r="W1076" s="85"/>
      <c r="X1076" s="85"/>
      <c r="Y1076" s="85"/>
      <c r="Z1076" s="85"/>
      <c r="AA1076" s="85"/>
      <c r="AB1076" s="85"/>
      <c r="AC1076" s="85"/>
      <c r="AD1076" s="85"/>
    </row>
    <row r="1077" spans="1:30" ht="15" x14ac:dyDescent="0.2">
      <c r="A1077" s="11">
        <v>2021</v>
      </c>
      <c r="B1077" s="11">
        <f t="shared" si="180"/>
        <v>365</v>
      </c>
      <c r="C1077" s="88">
        <f t="shared" ref="C1077:T1077" si="193">AVERAGE(C108:C119)</f>
        <v>154.75825</v>
      </c>
      <c r="D1077" s="88">
        <f t="shared" si="193"/>
        <v>281.0162499999999</v>
      </c>
      <c r="E1077" s="88">
        <f t="shared" si="193"/>
        <v>109.1005</v>
      </c>
      <c r="F1077" s="88">
        <f t="shared" si="193"/>
        <v>57.041666666666664</v>
      </c>
      <c r="G1077" s="88">
        <f t="shared" si="193"/>
        <v>40</v>
      </c>
      <c r="H1077" s="88">
        <f t="shared" si="193"/>
        <v>174.58333333333334</v>
      </c>
      <c r="I1077" s="88">
        <f t="shared" si="193"/>
        <v>0</v>
      </c>
      <c r="J1077" s="88">
        <f t="shared" si="193"/>
        <v>100</v>
      </c>
      <c r="K1077" s="88">
        <f t="shared" si="193"/>
        <v>300</v>
      </c>
      <c r="L1077" s="88">
        <f t="shared" si="193"/>
        <v>1216.5</v>
      </c>
      <c r="M1077" s="90">
        <f t="shared" si="193"/>
        <v>600</v>
      </c>
      <c r="N1077" s="88">
        <f t="shared" si="193"/>
        <v>72.5</v>
      </c>
      <c r="O1077" s="89">
        <f t="shared" si="193"/>
        <v>240</v>
      </c>
      <c r="P1077" s="89">
        <f t="shared" si="193"/>
        <v>110</v>
      </c>
      <c r="Q1077" s="89">
        <f t="shared" si="193"/>
        <v>245</v>
      </c>
      <c r="R1077" s="89">
        <f t="shared" si="193"/>
        <v>100</v>
      </c>
      <c r="S1077" s="88">
        <f t="shared" si="193"/>
        <v>695</v>
      </c>
      <c r="T1077" s="88">
        <f t="shared" si="193"/>
        <v>33.333333333333336</v>
      </c>
      <c r="U1077" s="85"/>
      <c r="V1077" s="85"/>
      <c r="W1077" s="85"/>
      <c r="X1077" s="85"/>
      <c r="Y1077" s="85"/>
      <c r="Z1077" s="85"/>
      <c r="AA1077" s="85"/>
      <c r="AB1077" s="85"/>
      <c r="AC1077" s="85"/>
      <c r="AD1077" s="85"/>
    </row>
    <row r="1078" spans="1:30" ht="15" x14ac:dyDescent="0.2">
      <c r="A1078" s="11">
        <v>2022</v>
      </c>
      <c r="B1078" s="11">
        <f t="shared" si="180"/>
        <v>365</v>
      </c>
      <c r="C1078" s="88">
        <f t="shared" ref="C1078:T1078" si="194">AVERAGE(C120:C131)</f>
        <v>154.75825</v>
      </c>
      <c r="D1078" s="88">
        <f t="shared" si="194"/>
        <v>281.0162499999999</v>
      </c>
      <c r="E1078" s="88">
        <f t="shared" si="194"/>
        <v>109.1005</v>
      </c>
      <c r="F1078" s="88">
        <f t="shared" si="194"/>
        <v>57.041666666666664</v>
      </c>
      <c r="G1078" s="88">
        <f t="shared" si="194"/>
        <v>40</v>
      </c>
      <c r="H1078" s="88">
        <f t="shared" si="194"/>
        <v>174.58333333333334</v>
      </c>
      <c r="I1078" s="88">
        <f t="shared" si="194"/>
        <v>0</v>
      </c>
      <c r="J1078" s="88">
        <f t="shared" si="194"/>
        <v>100</v>
      </c>
      <c r="K1078" s="88">
        <f t="shared" si="194"/>
        <v>300</v>
      </c>
      <c r="L1078" s="88">
        <f t="shared" si="194"/>
        <v>1216.5</v>
      </c>
      <c r="M1078" s="90">
        <f t="shared" si="194"/>
        <v>600</v>
      </c>
      <c r="N1078" s="88">
        <f t="shared" si="194"/>
        <v>72.5</v>
      </c>
      <c r="O1078" s="89">
        <f t="shared" si="194"/>
        <v>240</v>
      </c>
      <c r="P1078" s="89">
        <f t="shared" si="194"/>
        <v>110</v>
      </c>
      <c r="Q1078" s="89">
        <f t="shared" si="194"/>
        <v>245</v>
      </c>
      <c r="R1078" s="89">
        <f t="shared" si="194"/>
        <v>100</v>
      </c>
      <c r="S1078" s="88">
        <f t="shared" si="194"/>
        <v>695</v>
      </c>
      <c r="T1078" s="88">
        <f t="shared" si="194"/>
        <v>33.333333333333336</v>
      </c>
      <c r="U1078" s="85"/>
      <c r="V1078" s="85"/>
      <c r="W1078" s="85"/>
      <c r="X1078" s="85"/>
      <c r="Y1078" s="85"/>
      <c r="Z1078" s="85"/>
      <c r="AA1078" s="85"/>
      <c r="AB1078" s="85"/>
      <c r="AC1078" s="85"/>
      <c r="AD1078" s="85"/>
    </row>
    <row r="1079" spans="1:30" ht="15" x14ac:dyDescent="0.2">
      <c r="A1079" s="11">
        <v>2023</v>
      </c>
      <c r="B1079" s="11">
        <f t="shared" si="180"/>
        <v>365</v>
      </c>
      <c r="C1079" s="88">
        <f t="shared" ref="C1079:T1079" si="195">AVERAGE(C132:C143)</f>
        <v>154.75825</v>
      </c>
      <c r="D1079" s="88">
        <f t="shared" si="195"/>
        <v>281.0162499999999</v>
      </c>
      <c r="E1079" s="88">
        <f t="shared" si="195"/>
        <v>109.1005</v>
      </c>
      <c r="F1079" s="88">
        <f t="shared" si="195"/>
        <v>57.041666666666664</v>
      </c>
      <c r="G1079" s="88">
        <f t="shared" si="195"/>
        <v>40</v>
      </c>
      <c r="H1079" s="88">
        <f t="shared" si="195"/>
        <v>174.58333333333334</v>
      </c>
      <c r="I1079" s="88">
        <f t="shared" si="195"/>
        <v>0</v>
      </c>
      <c r="J1079" s="88">
        <f t="shared" si="195"/>
        <v>100</v>
      </c>
      <c r="K1079" s="88">
        <f t="shared" si="195"/>
        <v>300</v>
      </c>
      <c r="L1079" s="88">
        <f t="shared" si="195"/>
        <v>1216.5</v>
      </c>
      <c r="M1079" s="90">
        <f t="shared" si="195"/>
        <v>600</v>
      </c>
      <c r="N1079" s="88">
        <f t="shared" si="195"/>
        <v>72.5</v>
      </c>
      <c r="O1079" s="89">
        <f t="shared" si="195"/>
        <v>240</v>
      </c>
      <c r="P1079" s="89">
        <f t="shared" si="195"/>
        <v>110</v>
      </c>
      <c r="Q1079" s="89">
        <f t="shared" si="195"/>
        <v>245</v>
      </c>
      <c r="R1079" s="89">
        <f t="shared" si="195"/>
        <v>100</v>
      </c>
      <c r="S1079" s="88">
        <f t="shared" si="195"/>
        <v>695</v>
      </c>
      <c r="T1079" s="88">
        <f t="shared" si="195"/>
        <v>33.333333333333336</v>
      </c>
      <c r="U1079" s="85"/>
      <c r="V1079" s="85"/>
      <c r="W1079" s="85"/>
      <c r="X1079" s="85"/>
      <c r="Y1079" s="85"/>
      <c r="Z1079" s="85"/>
      <c r="AA1079" s="85"/>
      <c r="AB1079" s="85"/>
      <c r="AC1079" s="85"/>
      <c r="AD1079" s="85"/>
    </row>
    <row r="1080" spans="1:30" ht="15" x14ac:dyDescent="0.2">
      <c r="A1080" s="11">
        <v>2024</v>
      </c>
      <c r="B1080" s="11">
        <f t="shared" si="180"/>
        <v>366</v>
      </c>
      <c r="C1080" s="88">
        <f t="shared" ref="C1080:T1080" si="196">AVERAGE(C144:C155)</f>
        <v>154.75825</v>
      </c>
      <c r="D1080" s="88">
        <f t="shared" si="196"/>
        <v>281.0162499999999</v>
      </c>
      <c r="E1080" s="88">
        <f t="shared" si="196"/>
        <v>109.1005</v>
      </c>
      <c r="F1080" s="88">
        <f t="shared" si="196"/>
        <v>57.041666666666664</v>
      </c>
      <c r="G1080" s="88">
        <f t="shared" si="196"/>
        <v>40</v>
      </c>
      <c r="H1080" s="88">
        <f t="shared" si="196"/>
        <v>174.58333333333334</v>
      </c>
      <c r="I1080" s="88">
        <f t="shared" si="196"/>
        <v>0</v>
      </c>
      <c r="J1080" s="88">
        <f t="shared" si="196"/>
        <v>100</v>
      </c>
      <c r="K1080" s="88">
        <f t="shared" si="196"/>
        <v>300</v>
      </c>
      <c r="L1080" s="88">
        <f t="shared" si="196"/>
        <v>1216.5</v>
      </c>
      <c r="M1080" s="90">
        <f t="shared" si="196"/>
        <v>600</v>
      </c>
      <c r="N1080" s="88">
        <f t="shared" si="196"/>
        <v>72.5</v>
      </c>
      <c r="O1080" s="89">
        <f t="shared" si="196"/>
        <v>240</v>
      </c>
      <c r="P1080" s="89">
        <f t="shared" si="196"/>
        <v>110</v>
      </c>
      <c r="Q1080" s="89">
        <f t="shared" si="196"/>
        <v>245</v>
      </c>
      <c r="R1080" s="89">
        <f t="shared" si="196"/>
        <v>100</v>
      </c>
      <c r="S1080" s="88">
        <f t="shared" si="196"/>
        <v>695</v>
      </c>
      <c r="T1080" s="88">
        <f t="shared" si="196"/>
        <v>33.333333333333336</v>
      </c>
      <c r="U1080" s="85"/>
      <c r="V1080" s="85"/>
      <c r="W1080" s="85"/>
      <c r="X1080" s="85"/>
      <c r="Y1080" s="85"/>
      <c r="Z1080" s="85"/>
      <c r="AA1080" s="85"/>
      <c r="AB1080" s="85"/>
      <c r="AC1080" s="85"/>
      <c r="AD1080" s="85"/>
    </row>
    <row r="1081" spans="1:30" ht="15" x14ac:dyDescent="0.2">
      <c r="A1081" s="11">
        <v>2025</v>
      </c>
      <c r="B1081" s="11">
        <f t="shared" si="180"/>
        <v>365</v>
      </c>
      <c r="C1081" s="88">
        <f t="shared" ref="C1081:T1081" si="197">AVERAGE(C156:C167)</f>
        <v>154.75825</v>
      </c>
      <c r="D1081" s="88">
        <f t="shared" si="197"/>
        <v>281.0162499999999</v>
      </c>
      <c r="E1081" s="88">
        <f t="shared" si="197"/>
        <v>109.1005</v>
      </c>
      <c r="F1081" s="88">
        <f t="shared" si="197"/>
        <v>57.041666666666664</v>
      </c>
      <c r="G1081" s="88">
        <f t="shared" si="197"/>
        <v>40</v>
      </c>
      <c r="H1081" s="88">
        <f t="shared" si="197"/>
        <v>174.58333333333334</v>
      </c>
      <c r="I1081" s="88">
        <f t="shared" si="197"/>
        <v>0</v>
      </c>
      <c r="J1081" s="88">
        <f t="shared" si="197"/>
        <v>100</v>
      </c>
      <c r="K1081" s="88">
        <f t="shared" si="197"/>
        <v>300</v>
      </c>
      <c r="L1081" s="88">
        <f t="shared" si="197"/>
        <v>1216.5</v>
      </c>
      <c r="M1081" s="90">
        <f t="shared" si="197"/>
        <v>600</v>
      </c>
      <c r="N1081" s="88">
        <f t="shared" si="197"/>
        <v>72.5</v>
      </c>
      <c r="O1081" s="89">
        <f t="shared" si="197"/>
        <v>240</v>
      </c>
      <c r="P1081" s="89">
        <f t="shared" si="197"/>
        <v>110</v>
      </c>
      <c r="Q1081" s="89">
        <f t="shared" si="197"/>
        <v>245</v>
      </c>
      <c r="R1081" s="89">
        <f t="shared" si="197"/>
        <v>100</v>
      </c>
      <c r="S1081" s="88">
        <f t="shared" si="197"/>
        <v>695</v>
      </c>
      <c r="T1081" s="88">
        <f t="shared" si="197"/>
        <v>33.333333333333336</v>
      </c>
      <c r="U1081" s="85"/>
      <c r="V1081" s="85"/>
      <c r="W1081" s="85"/>
      <c r="X1081" s="85"/>
      <c r="Y1081" s="85"/>
      <c r="Z1081" s="85"/>
      <c r="AA1081" s="85"/>
      <c r="AB1081" s="85"/>
      <c r="AC1081" s="85"/>
      <c r="AD1081" s="85"/>
    </row>
    <row r="1082" spans="1:30" ht="15" x14ac:dyDescent="0.2">
      <c r="A1082" s="11">
        <v>2026</v>
      </c>
      <c r="B1082" s="11">
        <f t="shared" si="180"/>
        <v>365</v>
      </c>
      <c r="C1082" s="88">
        <f t="shared" ref="C1082:T1082" si="198">AVERAGE(C168:C179)</f>
        <v>154.75825</v>
      </c>
      <c r="D1082" s="88">
        <f t="shared" si="198"/>
        <v>281.0162499999999</v>
      </c>
      <c r="E1082" s="88">
        <f t="shared" si="198"/>
        <v>109.1005</v>
      </c>
      <c r="F1082" s="88">
        <f t="shared" si="198"/>
        <v>57.041666666666664</v>
      </c>
      <c r="G1082" s="88">
        <f t="shared" si="198"/>
        <v>40</v>
      </c>
      <c r="H1082" s="88">
        <f t="shared" si="198"/>
        <v>174.58333333333334</v>
      </c>
      <c r="I1082" s="88">
        <f t="shared" si="198"/>
        <v>0</v>
      </c>
      <c r="J1082" s="88">
        <f t="shared" si="198"/>
        <v>100</v>
      </c>
      <c r="K1082" s="88">
        <f t="shared" si="198"/>
        <v>300</v>
      </c>
      <c r="L1082" s="88">
        <f t="shared" si="198"/>
        <v>1216.5</v>
      </c>
      <c r="M1082" s="90">
        <f t="shared" si="198"/>
        <v>600</v>
      </c>
      <c r="N1082" s="88">
        <f t="shared" si="198"/>
        <v>72.5</v>
      </c>
      <c r="O1082" s="89">
        <f t="shared" si="198"/>
        <v>240</v>
      </c>
      <c r="P1082" s="89">
        <f t="shared" si="198"/>
        <v>110</v>
      </c>
      <c r="Q1082" s="89">
        <f t="shared" si="198"/>
        <v>245</v>
      </c>
      <c r="R1082" s="89">
        <f t="shared" si="198"/>
        <v>100</v>
      </c>
      <c r="S1082" s="88">
        <f t="shared" si="198"/>
        <v>695</v>
      </c>
      <c r="T1082" s="88">
        <f t="shared" si="198"/>
        <v>33.333333333333336</v>
      </c>
      <c r="U1082" s="85"/>
      <c r="V1082" s="85"/>
      <c r="W1082" s="85"/>
      <c r="X1082" s="85"/>
      <c r="Y1082" s="85"/>
      <c r="Z1082" s="85"/>
      <c r="AA1082" s="85"/>
      <c r="AB1082" s="85"/>
      <c r="AC1082" s="85"/>
      <c r="AD1082" s="85"/>
    </row>
    <row r="1083" spans="1:30" ht="15" x14ac:dyDescent="0.2">
      <c r="A1083" s="11">
        <v>2027</v>
      </c>
      <c r="B1083" s="11">
        <f t="shared" si="180"/>
        <v>365</v>
      </c>
      <c r="C1083" s="88">
        <f t="shared" ref="C1083:T1083" si="199">AVERAGE(C180:C191)</f>
        <v>154.75825</v>
      </c>
      <c r="D1083" s="88">
        <f t="shared" si="199"/>
        <v>281.0162499999999</v>
      </c>
      <c r="E1083" s="88">
        <f t="shared" si="199"/>
        <v>109.1005</v>
      </c>
      <c r="F1083" s="88">
        <f t="shared" si="199"/>
        <v>57.041666666666664</v>
      </c>
      <c r="G1083" s="88">
        <f t="shared" si="199"/>
        <v>40</v>
      </c>
      <c r="H1083" s="88">
        <f t="shared" si="199"/>
        <v>174.58333333333334</v>
      </c>
      <c r="I1083" s="88">
        <f t="shared" si="199"/>
        <v>0</v>
      </c>
      <c r="J1083" s="88">
        <f t="shared" si="199"/>
        <v>100</v>
      </c>
      <c r="K1083" s="88">
        <f t="shared" si="199"/>
        <v>300</v>
      </c>
      <c r="L1083" s="88">
        <f t="shared" si="199"/>
        <v>1216.5</v>
      </c>
      <c r="M1083" s="90">
        <f t="shared" si="199"/>
        <v>600</v>
      </c>
      <c r="N1083" s="88">
        <f t="shared" si="199"/>
        <v>72.5</v>
      </c>
      <c r="O1083" s="89">
        <f t="shared" si="199"/>
        <v>240</v>
      </c>
      <c r="P1083" s="89">
        <f t="shared" si="199"/>
        <v>110</v>
      </c>
      <c r="Q1083" s="89">
        <f t="shared" si="199"/>
        <v>245</v>
      </c>
      <c r="R1083" s="89">
        <f t="shared" si="199"/>
        <v>100</v>
      </c>
      <c r="S1083" s="88">
        <f t="shared" si="199"/>
        <v>695</v>
      </c>
      <c r="T1083" s="88">
        <f t="shared" si="199"/>
        <v>33.333333333333336</v>
      </c>
      <c r="U1083" s="85"/>
      <c r="V1083" s="85"/>
      <c r="W1083" s="85"/>
      <c r="X1083" s="85"/>
      <c r="Y1083" s="85"/>
      <c r="Z1083" s="85"/>
      <c r="AA1083" s="85"/>
      <c r="AB1083" s="85"/>
      <c r="AC1083" s="85"/>
      <c r="AD1083" s="85"/>
    </row>
    <row r="1084" spans="1:30" ht="15" x14ac:dyDescent="0.2">
      <c r="A1084" s="11">
        <v>2028</v>
      </c>
      <c r="B1084" s="11">
        <f t="shared" si="180"/>
        <v>366</v>
      </c>
      <c r="C1084" s="88">
        <f t="shared" ref="C1084:T1084" si="200">AVERAGE(C192:C203)</f>
        <v>154.75825</v>
      </c>
      <c r="D1084" s="88">
        <f t="shared" si="200"/>
        <v>281.0162499999999</v>
      </c>
      <c r="E1084" s="88">
        <f t="shared" si="200"/>
        <v>109.1005</v>
      </c>
      <c r="F1084" s="88">
        <f t="shared" si="200"/>
        <v>57.041666666666664</v>
      </c>
      <c r="G1084" s="88">
        <f t="shared" si="200"/>
        <v>40</v>
      </c>
      <c r="H1084" s="88">
        <f t="shared" si="200"/>
        <v>174.58333333333334</v>
      </c>
      <c r="I1084" s="88">
        <f t="shared" si="200"/>
        <v>0</v>
      </c>
      <c r="J1084" s="88">
        <f t="shared" si="200"/>
        <v>100</v>
      </c>
      <c r="K1084" s="88">
        <f t="shared" si="200"/>
        <v>300</v>
      </c>
      <c r="L1084" s="88">
        <f t="shared" si="200"/>
        <v>1216.5</v>
      </c>
      <c r="M1084" s="90">
        <f t="shared" si="200"/>
        <v>600</v>
      </c>
      <c r="N1084" s="88">
        <f t="shared" si="200"/>
        <v>72.5</v>
      </c>
      <c r="O1084" s="89">
        <f t="shared" si="200"/>
        <v>240</v>
      </c>
      <c r="P1084" s="89">
        <f t="shared" si="200"/>
        <v>110</v>
      </c>
      <c r="Q1084" s="89">
        <f t="shared" si="200"/>
        <v>245</v>
      </c>
      <c r="R1084" s="89">
        <f t="shared" si="200"/>
        <v>100</v>
      </c>
      <c r="S1084" s="88">
        <f t="shared" si="200"/>
        <v>695</v>
      </c>
      <c r="T1084" s="88">
        <f t="shared" si="200"/>
        <v>33.333333333333336</v>
      </c>
      <c r="U1084" s="85"/>
      <c r="V1084" s="85"/>
      <c r="W1084" s="85"/>
      <c r="X1084" s="85"/>
      <c r="Y1084" s="85"/>
      <c r="Z1084" s="85"/>
      <c r="AA1084" s="85"/>
      <c r="AB1084" s="85"/>
      <c r="AC1084" s="85"/>
      <c r="AD1084" s="85"/>
    </row>
    <row r="1085" spans="1:30" ht="15" x14ac:dyDescent="0.2">
      <c r="A1085" s="11">
        <v>2029</v>
      </c>
      <c r="B1085" s="11">
        <f t="shared" si="180"/>
        <v>365</v>
      </c>
      <c r="C1085" s="88">
        <f t="shared" ref="C1085:T1085" si="201">AVERAGE(C204:C215)</f>
        <v>154.75825</v>
      </c>
      <c r="D1085" s="88">
        <f t="shared" si="201"/>
        <v>281.0162499999999</v>
      </c>
      <c r="E1085" s="88">
        <f t="shared" si="201"/>
        <v>109.1005</v>
      </c>
      <c r="F1085" s="88">
        <f t="shared" si="201"/>
        <v>57.041666666666664</v>
      </c>
      <c r="G1085" s="88">
        <f t="shared" si="201"/>
        <v>40</v>
      </c>
      <c r="H1085" s="88">
        <f t="shared" si="201"/>
        <v>174.58333333333334</v>
      </c>
      <c r="I1085" s="88">
        <f t="shared" si="201"/>
        <v>0</v>
      </c>
      <c r="J1085" s="88">
        <f t="shared" si="201"/>
        <v>100</v>
      </c>
      <c r="K1085" s="88">
        <f t="shared" si="201"/>
        <v>300</v>
      </c>
      <c r="L1085" s="88">
        <f t="shared" si="201"/>
        <v>1216.5</v>
      </c>
      <c r="M1085" s="90">
        <f t="shared" si="201"/>
        <v>600</v>
      </c>
      <c r="N1085" s="88">
        <f t="shared" si="201"/>
        <v>72.5</v>
      </c>
      <c r="O1085" s="89">
        <f t="shared" si="201"/>
        <v>240</v>
      </c>
      <c r="P1085" s="89">
        <f t="shared" si="201"/>
        <v>110</v>
      </c>
      <c r="Q1085" s="89">
        <f t="shared" si="201"/>
        <v>245</v>
      </c>
      <c r="R1085" s="89">
        <f t="shared" si="201"/>
        <v>100</v>
      </c>
      <c r="S1085" s="88">
        <f t="shared" si="201"/>
        <v>695</v>
      </c>
      <c r="T1085" s="88">
        <f t="shared" si="201"/>
        <v>33.333333333333336</v>
      </c>
      <c r="U1085" s="85"/>
      <c r="V1085" s="85"/>
      <c r="W1085" s="85"/>
      <c r="X1085" s="85"/>
      <c r="Y1085" s="85"/>
      <c r="Z1085" s="85"/>
      <c r="AA1085" s="85"/>
      <c r="AB1085" s="85"/>
      <c r="AC1085" s="85"/>
      <c r="AD1085" s="85"/>
    </row>
    <row r="1086" spans="1:30" ht="15" x14ac:dyDescent="0.2">
      <c r="A1086" s="11">
        <v>2030</v>
      </c>
      <c r="B1086" s="11">
        <f t="shared" si="180"/>
        <v>365</v>
      </c>
      <c r="C1086" s="88">
        <f t="shared" ref="C1086:T1086" si="202">AVERAGE(C216:C227)</f>
        <v>154.75825</v>
      </c>
      <c r="D1086" s="88">
        <f t="shared" si="202"/>
        <v>281.0162499999999</v>
      </c>
      <c r="E1086" s="88">
        <f t="shared" si="202"/>
        <v>109.1005</v>
      </c>
      <c r="F1086" s="88">
        <f t="shared" si="202"/>
        <v>57.041666666666664</v>
      </c>
      <c r="G1086" s="88">
        <f t="shared" si="202"/>
        <v>40</v>
      </c>
      <c r="H1086" s="88">
        <f t="shared" si="202"/>
        <v>174.58333333333334</v>
      </c>
      <c r="I1086" s="88">
        <f t="shared" si="202"/>
        <v>0</v>
      </c>
      <c r="J1086" s="88">
        <f t="shared" si="202"/>
        <v>100</v>
      </c>
      <c r="K1086" s="88">
        <f t="shared" si="202"/>
        <v>300</v>
      </c>
      <c r="L1086" s="88">
        <f t="shared" si="202"/>
        <v>1216.5</v>
      </c>
      <c r="M1086" s="90">
        <f t="shared" si="202"/>
        <v>600</v>
      </c>
      <c r="N1086" s="88">
        <f t="shared" si="202"/>
        <v>72.5</v>
      </c>
      <c r="O1086" s="89">
        <f t="shared" si="202"/>
        <v>240</v>
      </c>
      <c r="P1086" s="89">
        <f t="shared" si="202"/>
        <v>110</v>
      </c>
      <c r="Q1086" s="89">
        <f t="shared" si="202"/>
        <v>245</v>
      </c>
      <c r="R1086" s="89">
        <f t="shared" si="202"/>
        <v>100</v>
      </c>
      <c r="S1086" s="88">
        <f t="shared" si="202"/>
        <v>695</v>
      </c>
      <c r="T1086" s="88">
        <f t="shared" si="202"/>
        <v>33.333333333333336</v>
      </c>
      <c r="U1086" s="85"/>
      <c r="V1086" s="85"/>
      <c r="W1086" s="85"/>
      <c r="X1086" s="85"/>
      <c r="Y1086" s="85"/>
      <c r="Z1086" s="85"/>
      <c r="AA1086" s="85"/>
      <c r="AB1086" s="85"/>
      <c r="AC1086" s="85"/>
      <c r="AD1086" s="85"/>
    </row>
    <row r="1087" spans="1:30" ht="15" x14ac:dyDescent="0.2">
      <c r="A1087" s="11">
        <v>2031</v>
      </c>
      <c r="B1087" s="11">
        <f t="shared" si="180"/>
        <v>365</v>
      </c>
      <c r="C1087" s="88">
        <f t="shared" ref="C1087:T1087" si="203">AVERAGE(C228:C239)</f>
        <v>154.75825</v>
      </c>
      <c r="D1087" s="88">
        <f t="shared" si="203"/>
        <v>281.0162499999999</v>
      </c>
      <c r="E1087" s="88">
        <f t="shared" si="203"/>
        <v>109.1005</v>
      </c>
      <c r="F1087" s="88">
        <f t="shared" si="203"/>
        <v>57.041666666666664</v>
      </c>
      <c r="G1087" s="88">
        <f t="shared" si="203"/>
        <v>40</v>
      </c>
      <c r="H1087" s="88">
        <f t="shared" si="203"/>
        <v>174.58333333333334</v>
      </c>
      <c r="I1087" s="88">
        <f t="shared" si="203"/>
        <v>0</v>
      </c>
      <c r="J1087" s="88">
        <f t="shared" si="203"/>
        <v>100</v>
      </c>
      <c r="K1087" s="88">
        <f t="shared" si="203"/>
        <v>300</v>
      </c>
      <c r="L1087" s="88">
        <f t="shared" si="203"/>
        <v>1216.5</v>
      </c>
      <c r="M1087" s="90">
        <f t="shared" si="203"/>
        <v>600</v>
      </c>
      <c r="N1087" s="88">
        <f t="shared" si="203"/>
        <v>72.5</v>
      </c>
      <c r="O1087" s="89">
        <f t="shared" si="203"/>
        <v>240</v>
      </c>
      <c r="P1087" s="89">
        <f t="shared" si="203"/>
        <v>110</v>
      </c>
      <c r="Q1087" s="89">
        <f t="shared" si="203"/>
        <v>245</v>
      </c>
      <c r="R1087" s="89">
        <f t="shared" si="203"/>
        <v>100</v>
      </c>
      <c r="S1087" s="88">
        <f t="shared" si="203"/>
        <v>695</v>
      </c>
      <c r="T1087" s="88">
        <f t="shared" si="203"/>
        <v>33.333333333333336</v>
      </c>
      <c r="U1087" s="85"/>
      <c r="V1087" s="85"/>
      <c r="W1087" s="85"/>
      <c r="X1087" s="85"/>
      <c r="Y1087" s="85"/>
      <c r="Z1087" s="85"/>
      <c r="AA1087" s="85"/>
      <c r="AB1087" s="85"/>
      <c r="AC1087" s="85"/>
      <c r="AD1087" s="85"/>
    </row>
    <row r="1088" spans="1:30" ht="15" x14ac:dyDescent="0.2">
      <c r="A1088" s="11">
        <v>2032</v>
      </c>
      <c r="B1088" s="11">
        <f t="shared" si="180"/>
        <v>366</v>
      </c>
      <c r="C1088" s="88">
        <f t="shared" ref="C1088:T1088" si="204">AVERAGE(C240:C251)</f>
        <v>154.75825</v>
      </c>
      <c r="D1088" s="88">
        <f t="shared" si="204"/>
        <v>281.0162499999999</v>
      </c>
      <c r="E1088" s="88">
        <f t="shared" si="204"/>
        <v>109.1005</v>
      </c>
      <c r="F1088" s="88">
        <f t="shared" si="204"/>
        <v>57.041666666666664</v>
      </c>
      <c r="G1088" s="88">
        <f t="shared" si="204"/>
        <v>40</v>
      </c>
      <c r="H1088" s="88">
        <f t="shared" si="204"/>
        <v>174.58333333333334</v>
      </c>
      <c r="I1088" s="88">
        <f t="shared" si="204"/>
        <v>0</v>
      </c>
      <c r="J1088" s="88">
        <f t="shared" si="204"/>
        <v>100</v>
      </c>
      <c r="K1088" s="88">
        <f t="shared" si="204"/>
        <v>300</v>
      </c>
      <c r="L1088" s="88">
        <f t="shared" si="204"/>
        <v>1216.5</v>
      </c>
      <c r="M1088" s="90">
        <f t="shared" si="204"/>
        <v>600</v>
      </c>
      <c r="N1088" s="88">
        <f t="shared" si="204"/>
        <v>72.5</v>
      </c>
      <c r="O1088" s="89">
        <f t="shared" si="204"/>
        <v>240</v>
      </c>
      <c r="P1088" s="89">
        <f t="shared" si="204"/>
        <v>110</v>
      </c>
      <c r="Q1088" s="89">
        <f t="shared" si="204"/>
        <v>245</v>
      </c>
      <c r="R1088" s="89">
        <f t="shared" si="204"/>
        <v>100</v>
      </c>
      <c r="S1088" s="88">
        <f t="shared" si="204"/>
        <v>695</v>
      </c>
      <c r="T1088" s="88">
        <f t="shared" si="204"/>
        <v>33.333333333333336</v>
      </c>
      <c r="U1088" s="85"/>
      <c r="V1088" s="85"/>
      <c r="W1088" s="85"/>
      <c r="X1088" s="85"/>
      <c r="Y1088" s="85"/>
      <c r="Z1088" s="85"/>
      <c r="AA1088" s="85"/>
      <c r="AB1088" s="85"/>
      <c r="AC1088" s="85"/>
      <c r="AD1088" s="85"/>
    </row>
    <row r="1089" spans="1:30" ht="15" x14ac:dyDescent="0.2">
      <c r="A1089" s="11">
        <v>2033</v>
      </c>
      <c r="B1089" s="11">
        <f t="shared" si="180"/>
        <v>365</v>
      </c>
      <c r="C1089" s="88">
        <f t="shared" ref="C1089:T1089" si="205">AVERAGE(C252:C263)</f>
        <v>154.75825</v>
      </c>
      <c r="D1089" s="88">
        <f t="shared" si="205"/>
        <v>281.0162499999999</v>
      </c>
      <c r="E1089" s="88">
        <f t="shared" si="205"/>
        <v>109.1005</v>
      </c>
      <c r="F1089" s="88">
        <f t="shared" si="205"/>
        <v>57.041666666666664</v>
      </c>
      <c r="G1089" s="88">
        <f t="shared" si="205"/>
        <v>40</v>
      </c>
      <c r="H1089" s="88">
        <f t="shared" si="205"/>
        <v>174.58333333333334</v>
      </c>
      <c r="I1089" s="88">
        <f t="shared" si="205"/>
        <v>0</v>
      </c>
      <c r="J1089" s="88">
        <f t="shared" si="205"/>
        <v>100</v>
      </c>
      <c r="K1089" s="88">
        <f t="shared" si="205"/>
        <v>300</v>
      </c>
      <c r="L1089" s="88">
        <f t="shared" si="205"/>
        <v>1216.5</v>
      </c>
      <c r="M1089" s="90">
        <f t="shared" si="205"/>
        <v>600</v>
      </c>
      <c r="N1089" s="88">
        <f t="shared" si="205"/>
        <v>72.5</v>
      </c>
      <c r="O1089" s="89">
        <f t="shared" si="205"/>
        <v>240</v>
      </c>
      <c r="P1089" s="89">
        <f t="shared" si="205"/>
        <v>110</v>
      </c>
      <c r="Q1089" s="89">
        <f t="shared" si="205"/>
        <v>245</v>
      </c>
      <c r="R1089" s="89">
        <f t="shared" si="205"/>
        <v>100</v>
      </c>
      <c r="S1089" s="88">
        <f t="shared" si="205"/>
        <v>695</v>
      </c>
      <c r="T1089" s="88">
        <f t="shared" si="205"/>
        <v>33.333333333333336</v>
      </c>
      <c r="U1089" s="85"/>
      <c r="V1089" s="85"/>
      <c r="W1089" s="85"/>
      <c r="X1089" s="85"/>
      <c r="Y1089" s="85"/>
      <c r="Z1089" s="85"/>
      <c r="AA1089" s="85"/>
      <c r="AB1089" s="85"/>
      <c r="AC1089" s="85"/>
      <c r="AD1089" s="85"/>
    </row>
    <row r="1090" spans="1:30" ht="15" x14ac:dyDescent="0.2">
      <c r="A1090" s="11">
        <v>2034</v>
      </c>
      <c r="B1090" s="11">
        <f t="shared" si="180"/>
        <v>365</v>
      </c>
      <c r="C1090" s="88">
        <f t="shared" ref="C1090:T1090" si="206">AVERAGE(C264:C275)</f>
        <v>154.75825</v>
      </c>
      <c r="D1090" s="88">
        <f t="shared" si="206"/>
        <v>281.0162499999999</v>
      </c>
      <c r="E1090" s="88">
        <f t="shared" si="206"/>
        <v>109.1005</v>
      </c>
      <c r="F1090" s="88">
        <f t="shared" si="206"/>
        <v>57.041666666666664</v>
      </c>
      <c r="G1090" s="88">
        <f t="shared" si="206"/>
        <v>40</v>
      </c>
      <c r="H1090" s="88">
        <f t="shared" si="206"/>
        <v>174.58333333333334</v>
      </c>
      <c r="I1090" s="88">
        <f t="shared" si="206"/>
        <v>0</v>
      </c>
      <c r="J1090" s="88">
        <f t="shared" si="206"/>
        <v>100</v>
      </c>
      <c r="K1090" s="88">
        <f t="shared" si="206"/>
        <v>300</v>
      </c>
      <c r="L1090" s="88">
        <f t="shared" si="206"/>
        <v>1216.5</v>
      </c>
      <c r="M1090" s="90">
        <f t="shared" si="206"/>
        <v>600</v>
      </c>
      <c r="N1090" s="88">
        <f t="shared" si="206"/>
        <v>72.5</v>
      </c>
      <c r="O1090" s="89">
        <f t="shared" si="206"/>
        <v>240</v>
      </c>
      <c r="P1090" s="89">
        <f t="shared" si="206"/>
        <v>110</v>
      </c>
      <c r="Q1090" s="89">
        <f t="shared" si="206"/>
        <v>245</v>
      </c>
      <c r="R1090" s="89">
        <f t="shared" si="206"/>
        <v>100</v>
      </c>
      <c r="S1090" s="88">
        <f t="shared" si="206"/>
        <v>695</v>
      </c>
      <c r="T1090" s="88">
        <f t="shared" si="206"/>
        <v>33.333333333333336</v>
      </c>
      <c r="U1090" s="85"/>
      <c r="V1090" s="85"/>
      <c r="W1090" s="85"/>
      <c r="X1090" s="85"/>
      <c r="Y1090" s="85"/>
      <c r="Z1090" s="85"/>
      <c r="AA1090" s="85"/>
      <c r="AB1090" s="85"/>
      <c r="AC1090" s="85"/>
      <c r="AD1090" s="85"/>
    </row>
    <row r="1091" spans="1:30" ht="15" x14ac:dyDescent="0.2">
      <c r="A1091" s="11">
        <v>2035</v>
      </c>
      <c r="B1091" s="11">
        <f t="shared" si="180"/>
        <v>365</v>
      </c>
      <c r="C1091" s="88">
        <f t="shared" ref="C1091:T1091" si="207">AVERAGE(C276:C287)</f>
        <v>154.75825</v>
      </c>
      <c r="D1091" s="88">
        <f t="shared" si="207"/>
        <v>281.0162499999999</v>
      </c>
      <c r="E1091" s="88">
        <f t="shared" si="207"/>
        <v>109.1005</v>
      </c>
      <c r="F1091" s="88">
        <f t="shared" si="207"/>
        <v>57.041666666666664</v>
      </c>
      <c r="G1091" s="88">
        <f t="shared" si="207"/>
        <v>40</v>
      </c>
      <c r="H1091" s="88">
        <f t="shared" si="207"/>
        <v>174.58333333333334</v>
      </c>
      <c r="I1091" s="88">
        <f t="shared" si="207"/>
        <v>0</v>
      </c>
      <c r="J1091" s="88">
        <f t="shared" si="207"/>
        <v>100</v>
      </c>
      <c r="K1091" s="88">
        <f t="shared" si="207"/>
        <v>300</v>
      </c>
      <c r="L1091" s="88">
        <f t="shared" si="207"/>
        <v>1216.5</v>
      </c>
      <c r="M1091" s="90">
        <f t="shared" si="207"/>
        <v>600</v>
      </c>
      <c r="N1091" s="88">
        <f t="shared" si="207"/>
        <v>72.5</v>
      </c>
      <c r="O1091" s="89">
        <f t="shared" si="207"/>
        <v>240</v>
      </c>
      <c r="P1091" s="89">
        <f t="shared" si="207"/>
        <v>110</v>
      </c>
      <c r="Q1091" s="89">
        <f t="shared" si="207"/>
        <v>245</v>
      </c>
      <c r="R1091" s="89">
        <f t="shared" si="207"/>
        <v>100</v>
      </c>
      <c r="S1091" s="88">
        <f t="shared" si="207"/>
        <v>695</v>
      </c>
      <c r="T1091" s="88">
        <f t="shared" si="207"/>
        <v>33.333333333333336</v>
      </c>
      <c r="U1091" s="85"/>
      <c r="V1091" s="85"/>
      <c r="W1091" s="85"/>
      <c r="X1091" s="85"/>
      <c r="Y1091" s="85"/>
      <c r="Z1091" s="85"/>
      <c r="AA1091" s="85"/>
      <c r="AB1091" s="85"/>
      <c r="AC1091" s="85"/>
      <c r="AD1091" s="85"/>
    </row>
    <row r="1092" spans="1:30" ht="15" x14ac:dyDescent="0.2">
      <c r="A1092" s="11">
        <v>2036</v>
      </c>
      <c r="B1092" s="11">
        <f t="shared" si="180"/>
        <v>366</v>
      </c>
      <c r="C1092" s="88">
        <f t="shared" ref="C1092:T1092" si="208">AVERAGE(C288:C299)</f>
        <v>154.75825</v>
      </c>
      <c r="D1092" s="88">
        <f t="shared" si="208"/>
        <v>281.0162499999999</v>
      </c>
      <c r="E1092" s="88">
        <f t="shared" si="208"/>
        <v>109.1005</v>
      </c>
      <c r="F1092" s="88">
        <f t="shared" si="208"/>
        <v>57.041666666666664</v>
      </c>
      <c r="G1092" s="88">
        <f t="shared" si="208"/>
        <v>40</v>
      </c>
      <c r="H1092" s="88">
        <f t="shared" si="208"/>
        <v>174.58333333333334</v>
      </c>
      <c r="I1092" s="88">
        <f t="shared" si="208"/>
        <v>0</v>
      </c>
      <c r="J1092" s="88">
        <f t="shared" si="208"/>
        <v>100</v>
      </c>
      <c r="K1092" s="88">
        <f t="shared" si="208"/>
        <v>300</v>
      </c>
      <c r="L1092" s="88">
        <f t="shared" si="208"/>
        <v>1216.5</v>
      </c>
      <c r="M1092" s="90">
        <f t="shared" si="208"/>
        <v>600</v>
      </c>
      <c r="N1092" s="88">
        <f t="shared" si="208"/>
        <v>72.5</v>
      </c>
      <c r="O1092" s="89">
        <f t="shared" si="208"/>
        <v>240</v>
      </c>
      <c r="P1092" s="89">
        <f t="shared" si="208"/>
        <v>110</v>
      </c>
      <c r="Q1092" s="89">
        <f t="shared" si="208"/>
        <v>245</v>
      </c>
      <c r="R1092" s="89">
        <f t="shared" si="208"/>
        <v>100</v>
      </c>
      <c r="S1092" s="88">
        <f t="shared" si="208"/>
        <v>695</v>
      </c>
      <c r="T1092" s="88">
        <f t="shared" si="208"/>
        <v>33.333333333333336</v>
      </c>
      <c r="U1092" s="85"/>
      <c r="V1092" s="85"/>
      <c r="W1092" s="85"/>
      <c r="X1092" s="85"/>
      <c r="Y1092" s="85"/>
      <c r="Z1092" s="85"/>
      <c r="AA1092" s="85"/>
      <c r="AB1092" s="85"/>
      <c r="AC1092" s="85"/>
      <c r="AD1092" s="85"/>
    </row>
    <row r="1093" spans="1:30" ht="15" x14ac:dyDescent="0.2">
      <c r="A1093" s="11">
        <v>2037</v>
      </c>
      <c r="B1093" s="11">
        <f t="shared" si="180"/>
        <v>365</v>
      </c>
      <c r="C1093" s="88">
        <f t="shared" ref="C1093:T1093" si="209">AVERAGE(C300:C311)</f>
        <v>154.75825</v>
      </c>
      <c r="D1093" s="88">
        <f t="shared" si="209"/>
        <v>281.0162499999999</v>
      </c>
      <c r="E1093" s="88">
        <f t="shared" si="209"/>
        <v>109.1005</v>
      </c>
      <c r="F1093" s="88">
        <f t="shared" si="209"/>
        <v>57.041666666666664</v>
      </c>
      <c r="G1093" s="88">
        <f t="shared" si="209"/>
        <v>40</v>
      </c>
      <c r="H1093" s="88">
        <f t="shared" si="209"/>
        <v>174.58333333333334</v>
      </c>
      <c r="I1093" s="88">
        <f t="shared" si="209"/>
        <v>0</v>
      </c>
      <c r="J1093" s="88">
        <f t="shared" si="209"/>
        <v>100</v>
      </c>
      <c r="K1093" s="88">
        <f t="shared" si="209"/>
        <v>300</v>
      </c>
      <c r="L1093" s="88">
        <f t="shared" si="209"/>
        <v>1216.5</v>
      </c>
      <c r="M1093" s="90">
        <f t="shared" si="209"/>
        <v>600</v>
      </c>
      <c r="N1093" s="88">
        <f t="shared" si="209"/>
        <v>72.5</v>
      </c>
      <c r="O1093" s="89">
        <f t="shared" si="209"/>
        <v>240</v>
      </c>
      <c r="P1093" s="89">
        <f t="shared" si="209"/>
        <v>110</v>
      </c>
      <c r="Q1093" s="89">
        <f t="shared" si="209"/>
        <v>245</v>
      </c>
      <c r="R1093" s="89">
        <f t="shared" si="209"/>
        <v>100</v>
      </c>
      <c r="S1093" s="88">
        <f t="shared" si="209"/>
        <v>695</v>
      </c>
      <c r="T1093" s="88">
        <f t="shared" si="209"/>
        <v>33.333333333333336</v>
      </c>
      <c r="U1093" s="85"/>
      <c r="V1093" s="85"/>
      <c r="W1093" s="85"/>
      <c r="X1093" s="85"/>
      <c r="Y1093" s="85"/>
      <c r="Z1093" s="85"/>
      <c r="AA1093" s="85"/>
      <c r="AB1093" s="85"/>
      <c r="AC1093" s="85"/>
      <c r="AD1093" s="85"/>
    </row>
    <row r="1094" spans="1:30" ht="15" x14ac:dyDescent="0.2">
      <c r="A1094" s="11">
        <f t="shared" ref="A1094:A1125" si="210">A1093+1</f>
        <v>2038</v>
      </c>
      <c r="B1094" s="11">
        <f t="shared" si="180"/>
        <v>365</v>
      </c>
      <c r="C1094" s="84">
        <f t="shared" ref="C1094:T1094" si="211">AVERAGE(C312:C323)</f>
        <v>154.75825</v>
      </c>
      <c r="D1094" s="84">
        <f t="shared" si="211"/>
        <v>281.0162499999999</v>
      </c>
      <c r="E1094" s="84">
        <f t="shared" si="211"/>
        <v>109.1005</v>
      </c>
      <c r="F1094" s="84">
        <f t="shared" si="211"/>
        <v>57.041666666666664</v>
      </c>
      <c r="G1094" s="84">
        <f t="shared" si="211"/>
        <v>40</v>
      </c>
      <c r="H1094" s="84">
        <f t="shared" si="211"/>
        <v>174.58333333333334</v>
      </c>
      <c r="I1094" s="84">
        <f t="shared" si="211"/>
        <v>0</v>
      </c>
      <c r="J1094" s="84">
        <f t="shared" si="211"/>
        <v>100</v>
      </c>
      <c r="K1094" s="84">
        <f t="shared" si="211"/>
        <v>300</v>
      </c>
      <c r="L1094" s="84">
        <f t="shared" si="211"/>
        <v>1216.5</v>
      </c>
      <c r="M1094" s="86">
        <f t="shared" si="211"/>
        <v>600</v>
      </c>
      <c r="N1094" s="84">
        <f t="shared" si="211"/>
        <v>72.5</v>
      </c>
      <c r="O1094" s="87">
        <f t="shared" si="211"/>
        <v>240</v>
      </c>
      <c r="P1094" s="87">
        <f t="shared" si="211"/>
        <v>110</v>
      </c>
      <c r="Q1094" s="87">
        <f t="shared" si="211"/>
        <v>245</v>
      </c>
      <c r="R1094" s="87">
        <f t="shared" si="211"/>
        <v>100</v>
      </c>
      <c r="S1094" s="84">
        <f t="shared" si="211"/>
        <v>695</v>
      </c>
      <c r="T1094" s="84">
        <f t="shared" si="211"/>
        <v>33.333333333333336</v>
      </c>
      <c r="U1094" s="85"/>
      <c r="V1094" s="85"/>
      <c r="W1094" s="85"/>
      <c r="X1094" s="85"/>
      <c r="Y1094" s="85"/>
      <c r="Z1094" s="85"/>
      <c r="AA1094" s="85"/>
      <c r="AB1094" s="85"/>
      <c r="AC1094" s="85"/>
      <c r="AD1094" s="85"/>
    </row>
    <row r="1095" spans="1:30" ht="15" x14ac:dyDescent="0.2">
      <c r="A1095" s="11">
        <f t="shared" si="210"/>
        <v>2039</v>
      </c>
      <c r="B1095" s="11">
        <f t="shared" si="180"/>
        <v>365</v>
      </c>
      <c r="C1095" s="84">
        <f t="shared" ref="C1095:T1095" si="212">AVERAGE(C324:C335)</f>
        <v>154.75825</v>
      </c>
      <c r="D1095" s="84">
        <f t="shared" si="212"/>
        <v>281.0162499999999</v>
      </c>
      <c r="E1095" s="84">
        <f t="shared" si="212"/>
        <v>109.1005</v>
      </c>
      <c r="F1095" s="84">
        <f t="shared" si="212"/>
        <v>57.041666666666664</v>
      </c>
      <c r="G1095" s="84">
        <f t="shared" si="212"/>
        <v>40</v>
      </c>
      <c r="H1095" s="84">
        <f t="shared" si="212"/>
        <v>174.58333333333334</v>
      </c>
      <c r="I1095" s="84">
        <f t="shared" si="212"/>
        <v>0</v>
      </c>
      <c r="J1095" s="84">
        <f t="shared" si="212"/>
        <v>100</v>
      </c>
      <c r="K1095" s="84">
        <f t="shared" si="212"/>
        <v>300</v>
      </c>
      <c r="L1095" s="84">
        <f t="shared" si="212"/>
        <v>1216.5</v>
      </c>
      <c r="M1095" s="86">
        <f t="shared" si="212"/>
        <v>600</v>
      </c>
      <c r="N1095" s="84">
        <f t="shared" si="212"/>
        <v>72.5</v>
      </c>
      <c r="O1095" s="87">
        <f t="shared" si="212"/>
        <v>240</v>
      </c>
      <c r="P1095" s="87">
        <f t="shared" si="212"/>
        <v>110</v>
      </c>
      <c r="Q1095" s="87">
        <f t="shared" si="212"/>
        <v>245</v>
      </c>
      <c r="R1095" s="87">
        <f t="shared" si="212"/>
        <v>100</v>
      </c>
      <c r="S1095" s="84">
        <f t="shared" si="212"/>
        <v>695</v>
      </c>
      <c r="T1095" s="84">
        <f t="shared" si="212"/>
        <v>33.333333333333336</v>
      </c>
      <c r="U1095" s="85"/>
      <c r="V1095" s="85"/>
      <c r="W1095" s="85"/>
      <c r="X1095" s="85"/>
      <c r="Y1095" s="85"/>
      <c r="Z1095" s="85"/>
      <c r="AA1095" s="85"/>
      <c r="AB1095" s="85"/>
      <c r="AC1095" s="85"/>
      <c r="AD1095" s="85"/>
    </row>
    <row r="1096" spans="1:30" ht="15" x14ac:dyDescent="0.2">
      <c r="A1096" s="11">
        <f t="shared" si="210"/>
        <v>2040</v>
      </c>
      <c r="B1096" s="11">
        <f t="shared" si="180"/>
        <v>366</v>
      </c>
      <c r="C1096" s="84">
        <f t="shared" ref="C1096:T1096" si="213">AVERAGE(C336:C347)</f>
        <v>154.75825</v>
      </c>
      <c r="D1096" s="84">
        <f t="shared" si="213"/>
        <v>281.0162499999999</v>
      </c>
      <c r="E1096" s="84">
        <f t="shared" si="213"/>
        <v>109.1005</v>
      </c>
      <c r="F1096" s="84">
        <f t="shared" si="213"/>
        <v>57.041666666666664</v>
      </c>
      <c r="G1096" s="84">
        <f t="shared" si="213"/>
        <v>40</v>
      </c>
      <c r="H1096" s="84">
        <f t="shared" si="213"/>
        <v>174.58333333333334</v>
      </c>
      <c r="I1096" s="84">
        <f t="shared" si="213"/>
        <v>0</v>
      </c>
      <c r="J1096" s="84">
        <f t="shared" si="213"/>
        <v>100</v>
      </c>
      <c r="K1096" s="84">
        <f t="shared" si="213"/>
        <v>300</v>
      </c>
      <c r="L1096" s="84">
        <f t="shared" si="213"/>
        <v>1216.5</v>
      </c>
      <c r="M1096" s="86">
        <f t="shared" si="213"/>
        <v>600</v>
      </c>
      <c r="N1096" s="84">
        <f t="shared" si="213"/>
        <v>72.5</v>
      </c>
      <c r="O1096" s="87">
        <f t="shared" si="213"/>
        <v>240</v>
      </c>
      <c r="P1096" s="87">
        <f t="shared" si="213"/>
        <v>110</v>
      </c>
      <c r="Q1096" s="87">
        <f t="shared" si="213"/>
        <v>245</v>
      </c>
      <c r="R1096" s="87">
        <f t="shared" si="213"/>
        <v>100</v>
      </c>
      <c r="S1096" s="84">
        <f t="shared" si="213"/>
        <v>695</v>
      </c>
      <c r="T1096" s="84">
        <f t="shared" si="213"/>
        <v>33.333333333333336</v>
      </c>
      <c r="U1096" s="85"/>
      <c r="V1096" s="85"/>
      <c r="W1096" s="85"/>
      <c r="X1096" s="85"/>
      <c r="Y1096" s="85"/>
      <c r="Z1096" s="85"/>
      <c r="AA1096" s="85"/>
      <c r="AB1096" s="85"/>
      <c r="AC1096" s="85"/>
      <c r="AD1096" s="85"/>
    </row>
    <row r="1097" spans="1:30" ht="15" x14ac:dyDescent="0.2">
      <c r="A1097" s="11">
        <f t="shared" si="210"/>
        <v>2041</v>
      </c>
      <c r="B1097" s="11">
        <f t="shared" si="180"/>
        <v>365</v>
      </c>
      <c r="C1097" s="84">
        <f t="shared" ref="C1097:T1097" si="214">AVERAGE(C348:C359)</f>
        <v>154.75825</v>
      </c>
      <c r="D1097" s="84">
        <f t="shared" si="214"/>
        <v>281.0162499999999</v>
      </c>
      <c r="E1097" s="84">
        <f t="shared" si="214"/>
        <v>109.1005</v>
      </c>
      <c r="F1097" s="84">
        <f t="shared" si="214"/>
        <v>57.041666666666664</v>
      </c>
      <c r="G1097" s="84">
        <f t="shared" si="214"/>
        <v>40</v>
      </c>
      <c r="H1097" s="84">
        <f t="shared" si="214"/>
        <v>174.58333333333334</v>
      </c>
      <c r="I1097" s="84">
        <f t="shared" si="214"/>
        <v>0</v>
      </c>
      <c r="J1097" s="84">
        <f t="shared" si="214"/>
        <v>100</v>
      </c>
      <c r="K1097" s="84">
        <f t="shared" si="214"/>
        <v>300</v>
      </c>
      <c r="L1097" s="84">
        <f t="shared" si="214"/>
        <v>1216.5</v>
      </c>
      <c r="M1097" s="86">
        <f t="shared" si="214"/>
        <v>600</v>
      </c>
      <c r="N1097" s="84">
        <f t="shared" si="214"/>
        <v>72.5</v>
      </c>
      <c r="O1097" s="87">
        <f t="shared" si="214"/>
        <v>240</v>
      </c>
      <c r="P1097" s="87">
        <f t="shared" si="214"/>
        <v>110</v>
      </c>
      <c r="Q1097" s="87">
        <f t="shared" si="214"/>
        <v>245</v>
      </c>
      <c r="R1097" s="87">
        <f t="shared" si="214"/>
        <v>100</v>
      </c>
      <c r="S1097" s="84">
        <f t="shared" si="214"/>
        <v>695</v>
      </c>
      <c r="T1097" s="84">
        <f t="shared" si="214"/>
        <v>33.333333333333336</v>
      </c>
      <c r="U1097" s="85"/>
      <c r="V1097" s="85"/>
      <c r="W1097" s="85"/>
      <c r="X1097" s="85"/>
      <c r="Y1097" s="85"/>
      <c r="Z1097" s="85"/>
      <c r="AA1097" s="85"/>
      <c r="AB1097" s="85"/>
      <c r="AC1097" s="85"/>
      <c r="AD1097" s="85"/>
    </row>
    <row r="1098" spans="1:30" ht="15" x14ac:dyDescent="0.2">
      <c r="A1098" s="11">
        <f t="shared" si="210"/>
        <v>2042</v>
      </c>
      <c r="B1098" s="11">
        <f t="shared" si="180"/>
        <v>365</v>
      </c>
      <c r="C1098" s="84">
        <f t="shared" ref="C1098:T1098" si="215">AVERAGE(C360:C371)</f>
        <v>154.75825</v>
      </c>
      <c r="D1098" s="84">
        <f t="shared" si="215"/>
        <v>281.0162499999999</v>
      </c>
      <c r="E1098" s="84">
        <f t="shared" si="215"/>
        <v>109.1005</v>
      </c>
      <c r="F1098" s="84">
        <f t="shared" si="215"/>
        <v>57.041666666666664</v>
      </c>
      <c r="G1098" s="84">
        <f t="shared" si="215"/>
        <v>40</v>
      </c>
      <c r="H1098" s="84">
        <f t="shared" si="215"/>
        <v>174.58333333333334</v>
      </c>
      <c r="I1098" s="84">
        <f t="shared" si="215"/>
        <v>0</v>
      </c>
      <c r="J1098" s="84">
        <f t="shared" si="215"/>
        <v>100</v>
      </c>
      <c r="K1098" s="84">
        <f t="shared" si="215"/>
        <v>300</v>
      </c>
      <c r="L1098" s="84">
        <f t="shared" si="215"/>
        <v>1216.5</v>
      </c>
      <c r="M1098" s="86">
        <f t="shared" si="215"/>
        <v>600</v>
      </c>
      <c r="N1098" s="84">
        <f t="shared" si="215"/>
        <v>72.5</v>
      </c>
      <c r="O1098" s="87">
        <f t="shared" si="215"/>
        <v>240</v>
      </c>
      <c r="P1098" s="87">
        <f t="shared" si="215"/>
        <v>110</v>
      </c>
      <c r="Q1098" s="87">
        <f t="shared" si="215"/>
        <v>245</v>
      </c>
      <c r="R1098" s="87">
        <f t="shared" si="215"/>
        <v>100</v>
      </c>
      <c r="S1098" s="84">
        <f t="shared" si="215"/>
        <v>695</v>
      </c>
      <c r="T1098" s="84">
        <f t="shared" si="215"/>
        <v>33.333333333333336</v>
      </c>
      <c r="U1098" s="85"/>
      <c r="V1098" s="85"/>
      <c r="W1098" s="85"/>
      <c r="X1098" s="85"/>
      <c r="Y1098" s="85"/>
      <c r="Z1098" s="85"/>
      <c r="AA1098" s="85"/>
      <c r="AB1098" s="85"/>
      <c r="AC1098" s="85"/>
      <c r="AD1098" s="85"/>
    </row>
    <row r="1099" spans="1:30" ht="15" x14ac:dyDescent="0.2">
      <c r="A1099" s="11">
        <f t="shared" si="210"/>
        <v>2043</v>
      </c>
      <c r="B1099" s="11">
        <f t="shared" si="180"/>
        <v>365</v>
      </c>
      <c r="C1099" s="84">
        <f t="shared" ref="C1099:T1099" si="216">AVERAGE(C372:C383)</f>
        <v>154.75825</v>
      </c>
      <c r="D1099" s="84">
        <f t="shared" si="216"/>
        <v>281.0162499999999</v>
      </c>
      <c r="E1099" s="84">
        <f t="shared" si="216"/>
        <v>109.1005</v>
      </c>
      <c r="F1099" s="84">
        <f t="shared" si="216"/>
        <v>57.041666666666664</v>
      </c>
      <c r="G1099" s="84">
        <f t="shared" si="216"/>
        <v>40</v>
      </c>
      <c r="H1099" s="84">
        <f t="shared" si="216"/>
        <v>174.58333333333334</v>
      </c>
      <c r="I1099" s="84">
        <f t="shared" si="216"/>
        <v>0</v>
      </c>
      <c r="J1099" s="84">
        <f t="shared" si="216"/>
        <v>100</v>
      </c>
      <c r="K1099" s="84">
        <f t="shared" si="216"/>
        <v>300</v>
      </c>
      <c r="L1099" s="84">
        <f t="shared" si="216"/>
        <v>1216.5</v>
      </c>
      <c r="M1099" s="86">
        <f t="shared" si="216"/>
        <v>600</v>
      </c>
      <c r="N1099" s="84">
        <f t="shared" si="216"/>
        <v>72.5</v>
      </c>
      <c r="O1099" s="87">
        <f t="shared" si="216"/>
        <v>240</v>
      </c>
      <c r="P1099" s="87">
        <f t="shared" si="216"/>
        <v>110</v>
      </c>
      <c r="Q1099" s="87">
        <f t="shared" si="216"/>
        <v>245</v>
      </c>
      <c r="R1099" s="87">
        <f t="shared" si="216"/>
        <v>100</v>
      </c>
      <c r="S1099" s="84">
        <f t="shared" si="216"/>
        <v>695</v>
      </c>
      <c r="T1099" s="84">
        <f t="shared" si="216"/>
        <v>33.333333333333336</v>
      </c>
      <c r="U1099" s="85"/>
      <c r="V1099" s="85"/>
      <c r="W1099" s="85"/>
      <c r="X1099" s="85"/>
      <c r="Y1099" s="85"/>
      <c r="Z1099" s="85"/>
      <c r="AA1099" s="85"/>
      <c r="AB1099" s="85"/>
      <c r="AC1099" s="85"/>
      <c r="AD1099" s="85"/>
    </row>
    <row r="1100" spans="1:30" ht="15" x14ac:dyDescent="0.2">
      <c r="A1100" s="11">
        <f t="shared" si="210"/>
        <v>2044</v>
      </c>
      <c r="B1100" s="11">
        <f t="shared" si="180"/>
        <v>366</v>
      </c>
      <c r="C1100" s="84">
        <f t="shared" ref="C1100:T1100" si="217">AVERAGE(C384:C395)</f>
        <v>154.75825</v>
      </c>
      <c r="D1100" s="84">
        <f t="shared" si="217"/>
        <v>281.0162499999999</v>
      </c>
      <c r="E1100" s="84">
        <f t="shared" si="217"/>
        <v>109.1005</v>
      </c>
      <c r="F1100" s="84">
        <f t="shared" si="217"/>
        <v>57.041666666666664</v>
      </c>
      <c r="G1100" s="84">
        <f t="shared" si="217"/>
        <v>40</v>
      </c>
      <c r="H1100" s="84">
        <f t="shared" si="217"/>
        <v>174.58333333333334</v>
      </c>
      <c r="I1100" s="84">
        <f t="shared" si="217"/>
        <v>0</v>
      </c>
      <c r="J1100" s="84">
        <f t="shared" si="217"/>
        <v>100</v>
      </c>
      <c r="K1100" s="84">
        <f t="shared" si="217"/>
        <v>300</v>
      </c>
      <c r="L1100" s="84">
        <f t="shared" si="217"/>
        <v>1216.5</v>
      </c>
      <c r="M1100" s="86">
        <f t="shared" si="217"/>
        <v>600</v>
      </c>
      <c r="N1100" s="84">
        <f t="shared" si="217"/>
        <v>72.5</v>
      </c>
      <c r="O1100" s="87">
        <f t="shared" si="217"/>
        <v>240</v>
      </c>
      <c r="P1100" s="87">
        <f t="shared" si="217"/>
        <v>110</v>
      </c>
      <c r="Q1100" s="87">
        <f t="shared" si="217"/>
        <v>245</v>
      </c>
      <c r="R1100" s="87">
        <f t="shared" si="217"/>
        <v>100</v>
      </c>
      <c r="S1100" s="84">
        <f t="shared" si="217"/>
        <v>695</v>
      </c>
      <c r="T1100" s="84">
        <f t="shared" si="217"/>
        <v>33.333333333333336</v>
      </c>
      <c r="U1100" s="85"/>
      <c r="V1100" s="85"/>
      <c r="W1100" s="85"/>
      <c r="X1100" s="85"/>
      <c r="Y1100" s="85"/>
      <c r="Z1100" s="85"/>
      <c r="AA1100" s="85"/>
      <c r="AB1100" s="85"/>
      <c r="AC1100" s="85"/>
      <c r="AD1100" s="85"/>
    </row>
    <row r="1101" spans="1:30" ht="15" x14ac:dyDescent="0.2">
      <c r="A1101" s="11">
        <f t="shared" si="210"/>
        <v>2045</v>
      </c>
      <c r="B1101" s="11">
        <f t="shared" ref="B1101:B1132" si="218">DATE(A1101+1,1,1)-DATE(A1101,1,1)</f>
        <v>365</v>
      </c>
      <c r="C1101" s="84">
        <f t="shared" ref="C1101:T1101" si="219">AVERAGE(C396:C407)</f>
        <v>154.75825</v>
      </c>
      <c r="D1101" s="84">
        <f t="shared" si="219"/>
        <v>281.0162499999999</v>
      </c>
      <c r="E1101" s="84">
        <f t="shared" si="219"/>
        <v>109.1005</v>
      </c>
      <c r="F1101" s="84">
        <f t="shared" si="219"/>
        <v>57.041666666666664</v>
      </c>
      <c r="G1101" s="84">
        <f t="shared" si="219"/>
        <v>40</v>
      </c>
      <c r="H1101" s="84">
        <f t="shared" si="219"/>
        <v>174.58333333333334</v>
      </c>
      <c r="I1101" s="84">
        <f t="shared" si="219"/>
        <v>0</v>
      </c>
      <c r="J1101" s="84">
        <f t="shared" si="219"/>
        <v>100</v>
      </c>
      <c r="K1101" s="84">
        <f t="shared" si="219"/>
        <v>300</v>
      </c>
      <c r="L1101" s="84">
        <f t="shared" si="219"/>
        <v>1216.5</v>
      </c>
      <c r="M1101" s="86">
        <f t="shared" si="219"/>
        <v>600</v>
      </c>
      <c r="N1101" s="84">
        <f t="shared" si="219"/>
        <v>72.5</v>
      </c>
      <c r="O1101" s="87">
        <f t="shared" si="219"/>
        <v>240</v>
      </c>
      <c r="P1101" s="87">
        <f t="shared" si="219"/>
        <v>110</v>
      </c>
      <c r="Q1101" s="87">
        <f t="shared" si="219"/>
        <v>245</v>
      </c>
      <c r="R1101" s="87">
        <f t="shared" si="219"/>
        <v>100</v>
      </c>
      <c r="S1101" s="84">
        <f t="shared" si="219"/>
        <v>695</v>
      </c>
      <c r="T1101" s="84">
        <f t="shared" si="219"/>
        <v>33.333333333333336</v>
      </c>
      <c r="U1101" s="85"/>
      <c r="V1101" s="85"/>
      <c r="W1101" s="85"/>
      <c r="X1101" s="85"/>
      <c r="Y1101" s="85"/>
      <c r="Z1101" s="85"/>
      <c r="AA1101" s="85"/>
      <c r="AB1101" s="85"/>
      <c r="AC1101" s="85"/>
      <c r="AD1101" s="85"/>
    </row>
    <row r="1102" spans="1:30" ht="15" x14ac:dyDescent="0.2">
      <c r="A1102" s="11">
        <f t="shared" si="210"/>
        <v>2046</v>
      </c>
      <c r="B1102" s="11">
        <f t="shared" si="218"/>
        <v>365</v>
      </c>
      <c r="C1102" s="84">
        <f t="shared" ref="C1102:T1102" si="220">AVERAGE(C408:C419)</f>
        <v>154.75825</v>
      </c>
      <c r="D1102" s="84">
        <f t="shared" si="220"/>
        <v>281.0162499999999</v>
      </c>
      <c r="E1102" s="84">
        <f t="shared" si="220"/>
        <v>109.1005</v>
      </c>
      <c r="F1102" s="84">
        <f t="shared" si="220"/>
        <v>57.041666666666664</v>
      </c>
      <c r="G1102" s="84">
        <f t="shared" si="220"/>
        <v>40</v>
      </c>
      <c r="H1102" s="84">
        <f t="shared" si="220"/>
        <v>174.58333333333334</v>
      </c>
      <c r="I1102" s="84">
        <f t="shared" si="220"/>
        <v>0</v>
      </c>
      <c r="J1102" s="84">
        <f t="shared" si="220"/>
        <v>100</v>
      </c>
      <c r="K1102" s="84">
        <f t="shared" si="220"/>
        <v>300</v>
      </c>
      <c r="L1102" s="84">
        <f t="shared" si="220"/>
        <v>1216.5</v>
      </c>
      <c r="M1102" s="86">
        <f t="shared" si="220"/>
        <v>600</v>
      </c>
      <c r="N1102" s="84">
        <f t="shared" si="220"/>
        <v>72.5</v>
      </c>
      <c r="O1102" s="87">
        <f t="shared" si="220"/>
        <v>240</v>
      </c>
      <c r="P1102" s="87">
        <f t="shared" si="220"/>
        <v>110</v>
      </c>
      <c r="Q1102" s="87">
        <f t="shared" si="220"/>
        <v>245</v>
      </c>
      <c r="R1102" s="87">
        <f t="shared" si="220"/>
        <v>100</v>
      </c>
      <c r="S1102" s="84">
        <f t="shared" si="220"/>
        <v>695</v>
      </c>
      <c r="T1102" s="84">
        <f t="shared" si="220"/>
        <v>33.333333333333336</v>
      </c>
      <c r="U1102" s="85"/>
      <c r="V1102" s="85"/>
      <c r="W1102" s="85"/>
      <c r="X1102" s="85"/>
      <c r="Y1102" s="85"/>
      <c r="Z1102" s="85"/>
      <c r="AA1102" s="85"/>
      <c r="AB1102" s="85"/>
      <c r="AC1102" s="85"/>
      <c r="AD1102" s="85"/>
    </row>
    <row r="1103" spans="1:30" ht="15" x14ac:dyDescent="0.2">
      <c r="A1103" s="11">
        <f t="shared" si="210"/>
        <v>2047</v>
      </c>
      <c r="B1103" s="11">
        <f t="shared" si="218"/>
        <v>365</v>
      </c>
      <c r="C1103" s="84">
        <f t="shared" ref="C1103:T1103" si="221">AVERAGE(C420:C431)</f>
        <v>154.75825</v>
      </c>
      <c r="D1103" s="84">
        <f t="shared" si="221"/>
        <v>281.0162499999999</v>
      </c>
      <c r="E1103" s="84">
        <f t="shared" si="221"/>
        <v>109.1005</v>
      </c>
      <c r="F1103" s="84">
        <f t="shared" si="221"/>
        <v>57.041666666666664</v>
      </c>
      <c r="G1103" s="84">
        <f t="shared" si="221"/>
        <v>40</v>
      </c>
      <c r="H1103" s="84">
        <f t="shared" si="221"/>
        <v>174.58333333333334</v>
      </c>
      <c r="I1103" s="84">
        <f t="shared" si="221"/>
        <v>0</v>
      </c>
      <c r="J1103" s="84">
        <f t="shared" si="221"/>
        <v>100</v>
      </c>
      <c r="K1103" s="84">
        <f t="shared" si="221"/>
        <v>300</v>
      </c>
      <c r="L1103" s="84">
        <f t="shared" si="221"/>
        <v>1216.5</v>
      </c>
      <c r="M1103" s="86">
        <f t="shared" si="221"/>
        <v>600</v>
      </c>
      <c r="N1103" s="84">
        <f t="shared" si="221"/>
        <v>72.5</v>
      </c>
      <c r="O1103" s="87">
        <f t="shared" si="221"/>
        <v>240</v>
      </c>
      <c r="P1103" s="87">
        <f t="shared" si="221"/>
        <v>110</v>
      </c>
      <c r="Q1103" s="87">
        <f t="shared" si="221"/>
        <v>245</v>
      </c>
      <c r="R1103" s="87">
        <f t="shared" si="221"/>
        <v>100</v>
      </c>
      <c r="S1103" s="84">
        <f t="shared" si="221"/>
        <v>695</v>
      </c>
      <c r="T1103" s="84">
        <f t="shared" si="221"/>
        <v>33.333333333333336</v>
      </c>
      <c r="U1103" s="85"/>
      <c r="V1103" s="85"/>
      <c r="W1103" s="85"/>
      <c r="X1103" s="85"/>
      <c r="Y1103" s="85"/>
      <c r="Z1103" s="85"/>
      <c r="AA1103" s="85"/>
      <c r="AB1103" s="85"/>
      <c r="AC1103" s="85"/>
      <c r="AD1103" s="85"/>
    </row>
    <row r="1104" spans="1:30" ht="15" x14ac:dyDescent="0.2">
      <c r="A1104" s="11">
        <f t="shared" si="210"/>
        <v>2048</v>
      </c>
      <c r="B1104" s="11">
        <f t="shared" si="218"/>
        <v>366</v>
      </c>
      <c r="C1104" s="84">
        <f t="shared" ref="C1104:T1104" si="222">AVERAGE(C432:C443)</f>
        <v>154.75825</v>
      </c>
      <c r="D1104" s="84">
        <f t="shared" si="222"/>
        <v>281.0162499999999</v>
      </c>
      <c r="E1104" s="84">
        <f t="shared" si="222"/>
        <v>109.1005</v>
      </c>
      <c r="F1104" s="84">
        <f t="shared" si="222"/>
        <v>57.041666666666664</v>
      </c>
      <c r="G1104" s="84">
        <f t="shared" si="222"/>
        <v>40</v>
      </c>
      <c r="H1104" s="84">
        <f t="shared" si="222"/>
        <v>174.58333333333334</v>
      </c>
      <c r="I1104" s="84">
        <f t="shared" si="222"/>
        <v>0</v>
      </c>
      <c r="J1104" s="84">
        <f t="shared" si="222"/>
        <v>100</v>
      </c>
      <c r="K1104" s="84">
        <f t="shared" si="222"/>
        <v>300</v>
      </c>
      <c r="L1104" s="84">
        <f t="shared" si="222"/>
        <v>1216.5</v>
      </c>
      <c r="M1104" s="86">
        <f t="shared" si="222"/>
        <v>600</v>
      </c>
      <c r="N1104" s="84">
        <f t="shared" si="222"/>
        <v>72.5</v>
      </c>
      <c r="O1104" s="87">
        <f t="shared" si="222"/>
        <v>240</v>
      </c>
      <c r="P1104" s="87">
        <f t="shared" si="222"/>
        <v>110</v>
      </c>
      <c r="Q1104" s="87">
        <f t="shared" si="222"/>
        <v>245</v>
      </c>
      <c r="R1104" s="87">
        <f t="shared" si="222"/>
        <v>100</v>
      </c>
      <c r="S1104" s="84">
        <f t="shared" si="222"/>
        <v>695</v>
      </c>
      <c r="T1104" s="84">
        <f t="shared" si="222"/>
        <v>33.333333333333336</v>
      </c>
      <c r="U1104" s="85"/>
      <c r="V1104" s="85"/>
      <c r="W1104" s="85"/>
      <c r="X1104" s="85"/>
      <c r="Y1104" s="85"/>
      <c r="Z1104" s="85"/>
      <c r="AA1104" s="85"/>
      <c r="AB1104" s="85"/>
      <c r="AC1104" s="85"/>
      <c r="AD1104" s="85"/>
    </row>
    <row r="1105" spans="1:30" ht="15" x14ac:dyDescent="0.2">
      <c r="A1105" s="11">
        <f t="shared" si="210"/>
        <v>2049</v>
      </c>
      <c r="B1105" s="11">
        <f t="shared" si="218"/>
        <v>365</v>
      </c>
      <c r="C1105" s="84">
        <f t="shared" ref="C1105:T1105" si="223">AVERAGE(C444:C455)</f>
        <v>154.75825</v>
      </c>
      <c r="D1105" s="84">
        <f t="shared" si="223"/>
        <v>281.0162499999999</v>
      </c>
      <c r="E1105" s="84">
        <f t="shared" si="223"/>
        <v>109.1005</v>
      </c>
      <c r="F1105" s="84">
        <f t="shared" si="223"/>
        <v>57.041666666666664</v>
      </c>
      <c r="G1105" s="84">
        <f t="shared" si="223"/>
        <v>40</v>
      </c>
      <c r="H1105" s="84">
        <f t="shared" si="223"/>
        <v>174.58333333333334</v>
      </c>
      <c r="I1105" s="84">
        <f t="shared" si="223"/>
        <v>0</v>
      </c>
      <c r="J1105" s="84">
        <f t="shared" si="223"/>
        <v>100</v>
      </c>
      <c r="K1105" s="84">
        <f t="shared" si="223"/>
        <v>300</v>
      </c>
      <c r="L1105" s="84">
        <f t="shared" si="223"/>
        <v>1216.5</v>
      </c>
      <c r="M1105" s="86">
        <f t="shared" si="223"/>
        <v>600</v>
      </c>
      <c r="N1105" s="84">
        <f t="shared" si="223"/>
        <v>72.5</v>
      </c>
      <c r="O1105" s="87">
        <f t="shared" si="223"/>
        <v>240</v>
      </c>
      <c r="P1105" s="87">
        <f t="shared" si="223"/>
        <v>110</v>
      </c>
      <c r="Q1105" s="87">
        <f t="shared" si="223"/>
        <v>245</v>
      </c>
      <c r="R1105" s="87">
        <f t="shared" si="223"/>
        <v>100</v>
      </c>
      <c r="S1105" s="84">
        <f t="shared" si="223"/>
        <v>695</v>
      </c>
      <c r="T1105" s="84">
        <f t="shared" si="223"/>
        <v>33.333333333333336</v>
      </c>
      <c r="U1105" s="85"/>
      <c r="V1105" s="85"/>
      <c r="W1105" s="85"/>
      <c r="X1105" s="85"/>
      <c r="Y1105" s="85"/>
      <c r="Z1105" s="85"/>
      <c r="AA1105" s="85"/>
      <c r="AB1105" s="85"/>
      <c r="AC1105" s="85"/>
      <c r="AD1105" s="85"/>
    </row>
    <row r="1106" spans="1:30" ht="15" x14ac:dyDescent="0.2">
      <c r="A1106" s="11">
        <f t="shared" si="210"/>
        <v>2050</v>
      </c>
      <c r="B1106" s="11">
        <f t="shared" si="218"/>
        <v>365</v>
      </c>
      <c r="C1106" s="84">
        <f t="shared" ref="C1106:T1106" si="224">AVERAGE(C456:C467)</f>
        <v>154.75825</v>
      </c>
      <c r="D1106" s="84">
        <f t="shared" si="224"/>
        <v>281.0162499999999</v>
      </c>
      <c r="E1106" s="84">
        <f t="shared" si="224"/>
        <v>109.1005</v>
      </c>
      <c r="F1106" s="84">
        <f t="shared" si="224"/>
        <v>57.041666666666664</v>
      </c>
      <c r="G1106" s="84">
        <f t="shared" si="224"/>
        <v>40</v>
      </c>
      <c r="H1106" s="84">
        <f t="shared" si="224"/>
        <v>174.58333333333334</v>
      </c>
      <c r="I1106" s="84">
        <f t="shared" si="224"/>
        <v>0</v>
      </c>
      <c r="J1106" s="84">
        <f t="shared" si="224"/>
        <v>100</v>
      </c>
      <c r="K1106" s="84">
        <f t="shared" si="224"/>
        <v>300</v>
      </c>
      <c r="L1106" s="84">
        <f t="shared" si="224"/>
        <v>1216.5</v>
      </c>
      <c r="M1106" s="86">
        <f t="shared" si="224"/>
        <v>600</v>
      </c>
      <c r="N1106" s="84">
        <f t="shared" si="224"/>
        <v>72.5</v>
      </c>
      <c r="O1106" s="87">
        <f t="shared" si="224"/>
        <v>240</v>
      </c>
      <c r="P1106" s="87">
        <f t="shared" si="224"/>
        <v>110</v>
      </c>
      <c r="Q1106" s="87">
        <f t="shared" si="224"/>
        <v>245</v>
      </c>
      <c r="R1106" s="87">
        <f t="shared" si="224"/>
        <v>100</v>
      </c>
      <c r="S1106" s="84">
        <f t="shared" si="224"/>
        <v>695</v>
      </c>
      <c r="T1106" s="84">
        <f t="shared" si="224"/>
        <v>33.333333333333336</v>
      </c>
      <c r="U1106" s="85"/>
      <c r="V1106" s="85"/>
      <c r="W1106" s="85"/>
      <c r="X1106" s="85"/>
      <c r="Y1106" s="85"/>
      <c r="Z1106" s="85"/>
      <c r="AA1106" s="85"/>
      <c r="AB1106" s="85"/>
      <c r="AC1106" s="85"/>
      <c r="AD1106" s="85"/>
    </row>
    <row r="1107" spans="1:30" ht="15" x14ac:dyDescent="0.2">
      <c r="A1107" s="11">
        <f t="shared" si="210"/>
        <v>2051</v>
      </c>
      <c r="B1107" s="11">
        <f t="shared" si="218"/>
        <v>365</v>
      </c>
      <c r="C1107" s="84">
        <f t="shared" ref="C1107:T1107" si="225">AVERAGE(C468:C479)</f>
        <v>154.75825</v>
      </c>
      <c r="D1107" s="84">
        <f t="shared" si="225"/>
        <v>281.0162499999999</v>
      </c>
      <c r="E1107" s="84">
        <f t="shared" si="225"/>
        <v>109.1005</v>
      </c>
      <c r="F1107" s="84">
        <f t="shared" si="225"/>
        <v>57.041666666666664</v>
      </c>
      <c r="G1107" s="84">
        <f t="shared" si="225"/>
        <v>40</v>
      </c>
      <c r="H1107" s="84">
        <f t="shared" si="225"/>
        <v>174.58333333333334</v>
      </c>
      <c r="I1107" s="84">
        <f t="shared" si="225"/>
        <v>0</v>
      </c>
      <c r="J1107" s="84">
        <f t="shared" si="225"/>
        <v>100</v>
      </c>
      <c r="K1107" s="84">
        <f t="shared" si="225"/>
        <v>300</v>
      </c>
      <c r="L1107" s="84">
        <f t="shared" si="225"/>
        <v>1216.5</v>
      </c>
      <c r="M1107" s="86">
        <f t="shared" si="225"/>
        <v>600</v>
      </c>
      <c r="N1107" s="84">
        <f t="shared" si="225"/>
        <v>72.5</v>
      </c>
      <c r="O1107" s="87">
        <f t="shared" si="225"/>
        <v>240</v>
      </c>
      <c r="P1107" s="87">
        <f t="shared" si="225"/>
        <v>110</v>
      </c>
      <c r="Q1107" s="87">
        <f t="shared" si="225"/>
        <v>245</v>
      </c>
      <c r="R1107" s="87">
        <f t="shared" si="225"/>
        <v>100</v>
      </c>
      <c r="S1107" s="84">
        <f t="shared" si="225"/>
        <v>695</v>
      </c>
      <c r="T1107" s="84">
        <f t="shared" si="225"/>
        <v>33.333333333333336</v>
      </c>
      <c r="U1107" s="85"/>
      <c r="V1107" s="85"/>
      <c r="W1107" s="85"/>
      <c r="X1107" s="85"/>
      <c r="Y1107" s="85"/>
      <c r="Z1107" s="85"/>
      <c r="AA1107" s="85"/>
      <c r="AB1107" s="85"/>
      <c r="AC1107" s="85"/>
      <c r="AD1107" s="85"/>
    </row>
    <row r="1108" spans="1:30" ht="15" x14ac:dyDescent="0.2">
      <c r="A1108" s="11">
        <f t="shared" si="210"/>
        <v>2052</v>
      </c>
      <c r="B1108" s="11">
        <f t="shared" si="218"/>
        <v>366</v>
      </c>
      <c r="C1108" s="84">
        <f t="shared" ref="C1108:T1108" si="226">AVERAGE(C480:C491)</f>
        <v>154.75825</v>
      </c>
      <c r="D1108" s="84">
        <f t="shared" si="226"/>
        <v>281.0162499999999</v>
      </c>
      <c r="E1108" s="84">
        <f t="shared" si="226"/>
        <v>109.1005</v>
      </c>
      <c r="F1108" s="84">
        <f t="shared" si="226"/>
        <v>57.041666666666664</v>
      </c>
      <c r="G1108" s="84">
        <f t="shared" si="226"/>
        <v>40</v>
      </c>
      <c r="H1108" s="84">
        <f t="shared" si="226"/>
        <v>174.58333333333334</v>
      </c>
      <c r="I1108" s="84">
        <f t="shared" si="226"/>
        <v>0</v>
      </c>
      <c r="J1108" s="84">
        <f t="shared" si="226"/>
        <v>100</v>
      </c>
      <c r="K1108" s="84">
        <f t="shared" si="226"/>
        <v>300</v>
      </c>
      <c r="L1108" s="84">
        <f t="shared" si="226"/>
        <v>1216.5</v>
      </c>
      <c r="M1108" s="86">
        <f t="shared" si="226"/>
        <v>600</v>
      </c>
      <c r="N1108" s="84">
        <f t="shared" si="226"/>
        <v>72.5</v>
      </c>
      <c r="O1108" s="87">
        <f t="shared" si="226"/>
        <v>240</v>
      </c>
      <c r="P1108" s="87">
        <f t="shared" si="226"/>
        <v>110</v>
      </c>
      <c r="Q1108" s="87">
        <f t="shared" si="226"/>
        <v>245</v>
      </c>
      <c r="R1108" s="87">
        <f t="shared" si="226"/>
        <v>100</v>
      </c>
      <c r="S1108" s="84">
        <f t="shared" si="226"/>
        <v>695</v>
      </c>
      <c r="T1108" s="84">
        <f t="shared" si="226"/>
        <v>33.333333333333336</v>
      </c>
      <c r="U1108" s="85"/>
      <c r="V1108" s="85"/>
      <c r="W1108" s="85"/>
      <c r="X1108" s="85"/>
      <c r="Y1108" s="85"/>
      <c r="Z1108" s="85"/>
      <c r="AA1108" s="85"/>
      <c r="AB1108" s="85"/>
      <c r="AC1108" s="85"/>
      <c r="AD1108" s="85"/>
    </row>
    <row r="1109" spans="1:30" ht="15" x14ac:dyDescent="0.2">
      <c r="A1109" s="11">
        <f t="shared" si="210"/>
        <v>2053</v>
      </c>
      <c r="B1109" s="11">
        <f t="shared" si="218"/>
        <v>365</v>
      </c>
      <c r="C1109" s="84">
        <f t="shared" ref="C1109:T1109" si="227">AVERAGE(C492:C503)</f>
        <v>154.75825</v>
      </c>
      <c r="D1109" s="84">
        <f t="shared" si="227"/>
        <v>281.0162499999999</v>
      </c>
      <c r="E1109" s="84">
        <f t="shared" si="227"/>
        <v>109.1005</v>
      </c>
      <c r="F1109" s="84">
        <f t="shared" si="227"/>
        <v>57.041666666666664</v>
      </c>
      <c r="G1109" s="84">
        <f t="shared" si="227"/>
        <v>40</v>
      </c>
      <c r="H1109" s="84">
        <f t="shared" si="227"/>
        <v>174.58333333333334</v>
      </c>
      <c r="I1109" s="84">
        <f t="shared" si="227"/>
        <v>0</v>
      </c>
      <c r="J1109" s="84">
        <f t="shared" si="227"/>
        <v>100</v>
      </c>
      <c r="K1109" s="84">
        <f t="shared" si="227"/>
        <v>300</v>
      </c>
      <c r="L1109" s="84">
        <f t="shared" si="227"/>
        <v>1216.5</v>
      </c>
      <c r="M1109" s="86">
        <f t="shared" si="227"/>
        <v>600</v>
      </c>
      <c r="N1109" s="84">
        <f t="shared" si="227"/>
        <v>72.5</v>
      </c>
      <c r="O1109" s="87">
        <f t="shared" si="227"/>
        <v>240</v>
      </c>
      <c r="P1109" s="87">
        <f t="shared" si="227"/>
        <v>110</v>
      </c>
      <c r="Q1109" s="87">
        <f t="shared" si="227"/>
        <v>245</v>
      </c>
      <c r="R1109" s="87">
        <f t="shared" si="227"/>
        <v>100</v>
      </c>
      <c r="S1109" s="84">
        <f t="shared" si="227"/>
        <v>695</v>
      </c>
      <c r="T1109" s="84">
        <f t="shared" si="227"/>
        <v>33.333333333333336</v>
      </c>
      <c r="U1109" s="85"/>
      <c r="V1109" s="85"/>
      <c r="W1109" s="85"/>
      <c r="X1109" s="85"/>
      <c r="Y1109" s="85"/>
      <c r="Z1109" s="85"/>
      <c r="AA1109" s="85"/>
      <c r="AB1109" s="85"/>
      <c r="AC1109" s="85"/>
      <c r="AD1109" s="85"/>
    </row>
    <row r="1110" spans="1:30" ht="15" x14ac:dyDescent="0.2">
      <c r="A1110" s="11">
        <f t="shared" si="210"/>
        <v>2054</v>
      </c>
      <c r="B1110" s="11">
        <f t="shared" si="218"/>
        <v>365</v>
      </c>
      <c r="C1110" s="84">
        <f t="shared" ref="C1110:T1110" si="228">AVERAGE(C504:C515)</f>
        <v>154.75825</v>
      </c>
      <c r="D1110" s="84">
        <f t="shared" si="228"/>
        <v>281.0162499999999</v>
      </c>
      <c r="E1110" s="84">
        <f t="shared" si="228"/>
        <v>109.1005</v>
      </c>
      <c r="F1110" s="84">
        <f t="shared" si="228"/>
        <v>57.041666666666664</v>
      </c>
      <c r="G1110" s="84">
        <f t="shared" si="228"/>
        <v>40</v>
      </c>
      <c r="H1110" s="84">
        <f t="shared" si="228"/>
        <v>174.58333333333334</v>
      </c>
      <c r="I1110" s="84">
        <f t="shared" si="228"/>
        <v>0</v>
      </c>
      <c r="J1110" s="84">
        <f t="shared" si="228"/>
        <v>100</v>
      </c>
      <c r="K1110" s="84">
        <f t="shared" si="228"/>
        <v>300</v>
      </c>
      <c r="L1110" s="84">
        <f t="shared" si="228"/>
        <v>1216.5</v>
      </c>
      <c r="M1110" s="86">
        <f t="shared" si="228"/>
        <v>600</v>
      </c>
      <c r="N1110" s="84">
        <f t="shared" si="228"/>
        <v>72.5</v>
      </c>
      <c r="O1110" s="84">
        <f t="shared" si="228"/>
        <v>240</v>
      </c>
      <c r="P1110" s="84">
        <f t="shared" si="228"/>
        <v>110</v>
      </c>
      <c r="Q1110" s="84">
        <f t="shared" si="228"/>
        <v>245</v>
      </c>
      <c r="R1110" s="84">
        <f t="shared" si="228"/>
        <v>100</v>
      </c>
      <c r="S1110" s="84">
        <f t="shared" si="228"/>
        <v>695</v>
      </c>
      <c r="T1110" s="84">
        <f t="shared" si="228"/>
        <v>33.333333333333336</v>
      </c>
      <c r="U1110" s="85"/>
      <c r="V1110" s="85"/>
      <c r="W1110" s="85"/>
      <c r="X1110" s="85"/>
      <c r="Y1110" s="85"/>
      <c r="Z1110" s="85"/>
      <c r="AA1110" s="85"/>
      <c r="AB1110" s="85"/>
      <c r="AC1110" s="85"/>
      <c r="AD1110" s="85"/>
    </row>
    <row r="1111" spans="1:30" ht="15" x14ac:dyDescent="0.2">
      <c r="A1111" s="11">
        <f t="shared" si="210"/>
        <v>2055</v>
      </c>
      <c r="B1111" s="11">
        <f t="shared" si="218"/>
        <v>365</v>
      </c>
      <c r="C1111" s="84">
        <f t="shared" ref="C1111:T1111" si="229">AVERAGE(C505:C516)</f>
        <v>154.75825</v>
      </c>
      <c r="D1111" s="84">
        <f t="shared" si="229"/>
        <v>281.0162499999999</v>
      </c>
      <c r="E1111" s="84">
        <f t="shared" si="229"/>
        <v>109.1005</v>
      </c>
      <c r="F1111" s="84">
        <f t="shared" si="229"/>
        <v>57.041666666666657</v>
      </c>
      <c r="G1111" s="84">
        <f t="shared" si="229"/>
        <v>40</v>
      </c>
      <c r="H1111" s="84">
        <f t="shared" si="229"/>
        <v>174.58333333333334</v>
      </c>
      <c r="I1111" s="84">
        <f t="shared" si="229"/>
        <v>0</v>
      </c>
      <c r="J1111" s="84">
        <f t="shared" si="229"/>
        <v>100</v>
      </c>
      <c r="K1111" s="84">
        <f t="shared" si="229"/>
        <v>300</v>
      </c>
      <c r="L1111" s="84">
        <f t="shared" si="229"/>
        <v>1216.5</v>
      </c>
      <c r="M1111" s="86">
        <f t="shared" si="229"/>
        <v>600</v>
      </c>
      <c r="N1111" s="84">
        <f t="shared" si="229"/>
        <v>72.5</v>
      </c>
      <c r="O1111" s="84">
        <f t="shared" si="229"/>
        <v>240</v>
      </c>
      <c r="P1111" s="84">
        <f t="shared" si="229"/>
        <v>110</v>
      </c>
      <c r="Q1111" s="84">
        <f t="shared" si="229"/>
        <v>245</v>
      </c>
      <c r="R1111" s="84">
        <f t="shared" si="229"/>
        <v>100</v>
      </c>
      <c r="S1111" s="84">
        <f t="shared" si="229"/>
        <v>695</v>
      </c>
      <c r="T1111" s="84">
        <f t="shared" si="229"/>
        <v>33.333333333333336</v>
      </c>
      <c r="U1111" s="85"/>
      <c r="V1111" s="85"/>
      <c r="W1111" s="85"/>
      <c r="X1111" s="85"/>
      <c r="Y1111" s="85"/>
      <c r="Z1111" s="85"/>
      <c r="AA1111" s="85"/>
      <c r="AB1111" s="85"/>
      <c r="AC1111" s="85"/>
      <c r="AD1111" s="85"/>
    </row>
    <row r="1112" spans="1:30" ht="15" x14ac:dyDescent="0.2">
      <c r="A1112" s="11">
        <f t="shared" si="210"/>
        <v>2056</v>
      </c>
      <c r="B1112" s="11">
        <f t="shared" si="218"/>
        <v>366</v>
      </c>
      <c r="C1112" s="84">
        <f t="shared" ref="C1112:T1112" si="230">AVERAGE(C506:C517)</f>
        <v>154.75824999999998</v>
      </c>
      <c r="D1112" s="84">
        <f t="shared" si="230"/>
        <v>281.0162499999999</v>
      </c>
      <c r="E1112" s="84">
        <f t="shared" si="230"/>
        <v>109.1005</v>
      </c>
      <c r="F1112" s="84">
        <f t="shared" si="230"/>
        <v>57.041666666666664</v>
      </c>
      <c r="G1112" s="84">
        <f t="shared" si="230"/>
        <v>40</v>
      </c>
      <c r="H1112" s="84">
        <f t="shared" si="230"/>
        <v>174.58333333333334</v>
      </c>
      <c r="I1112" s="84">
        <f t="shared" si="230"/>
        <v>0</v>
      </c>
      <c r="J1112" s="84">
        <f t="shared" si="230"/>
        <v>100</v>
      </c>
      <c r="K1112" s="84">
        <f t="shared" si="230"/>
        <v>300</v>
      </c>
      <c r="L1112" s="84">
        <f t="shared" si="230"/>
        <v>1216.5</v>
      </c>
      <c r="M1112" s="86">
        <f t="shared" si="230"/>
        <v>600</v>
      </c>
      <c r="N1112" s="84">
        <f t="shared" si="230"/>
        <v>72.5</v>
      </c>
      <c r="O1112" s="84">
        <f t="shared" si="230"/>
        <v>240</v>
      </c>
      <c r="P1112" s="84">
        <f t="shared" si="230"/>
        <v>110</v>
      </c>
      <c r="Q1112" s="84">
        <f t="shared" si="230"/>
        <v>245</v>
      </c>
      <c r="R1112" s="84">
        <f t="shared" si="230"/>
        <v>100</v>
      </c>
      <c r="S1112" s="84">
        <f t="shared" si="230"/>
        <v>695</v>
      </c>
      <c r="T1112" s="84">
        <f t="shared" si="230"/>
        <v>33.333333333333336</v>
      </c>
      <c r="U1112" s="85"/>
      <c r="V1112" s="85"/>
      <c r="W1112" s="85"/>
      <c r="X1112" s="85"/>
      <c r="Y1112" s="85"/>
      <c r="Z1112" s="85"/>
      <c r="AA1112" s="85"/>
      <c r="AB1112" s="85"/>
      <c r="AC1112" s="85"/>
      <c r="AD1112" s="85"/>
    </row>
    <row r="1113" spans="1:30" ht="15" x14ac:dyDescent="0.2">
      <c r="A1113" s="11">
        <f t="shared" si="210"/>
        <v>2057</v>
      </c>
      <c r="B1113" s="11">
        <f t="shared" si="218"/>
        <v>365</v>
      </c>
      <c r="C1113" s="84">
        <f t="shared" ref="C1113:T1113" si="231">AVERAGE(C507:C518)</f>
        <v>154.75825</v>
      </c>
      <c r="D1113" s="84">
        <f t="shared" si="231"/>
        <v>281.0162499999999</v>
      </c>
      <c r="E1113" s="84">
        <f t="shared" si="231"/>
        <v>109.1005</v>
      </c>
      <c r="F1113" s="84">
        <f t="shared" si="231"/>
        <v>57.041666666666664</v>
      </c>
      <c r="G1113" s="84">
        <f t="shared" si="231"/>
        <v>40</v>
      </c>
      <c r="H1113" s="84">
        <f t="shared" si="231"/>
        <v>174.58333333333334</v>
      </c>
      <c r="I1113" s="84">
        <f t="shared" si="231"/>
        <v>0</v>
      </c>
      <c r="J1113" s="84">
        <f t="shared" si="231"/>
        <v>100</v>
      </c>
      <c r="K1113" s="84">
        <f t="shared" si="231"/>
        <v>300</v>
      </c>
      <c r="L1113" s="84">
        <f t="shared" si="231"/>
        <v>1216.5</v>
      </c>
      <c r="M1113" s="86">
        <f t="shared" si="231"/>
        <v>600</v>
      </c>
      <c r="N1113" s="84">
        <f t="shared" si="231"/>
        <v>72.5</v>
      </c>
      <c r="O1113" s="84">
        <f t="shared" si="231"/>
        <v>240</v>
      </c>
      <c r="P1113" s="84">
        <f t="shared" si="231"/>
        <v>110</v>
      </c>
      <c r="Q1113" s="84">
        <f t="shared" si="231"/>
        <v>245</v>
      </c>
      <c r="R1113" s="84">
        <f t="shared" si="231"/>
        <v>100</v>
      </c>
      <c r="S1113" s="84">
        <f t="shared" si="231"/>
        <v>695</v>
      </c>
      <c r="T1113" s="84">
        <f t="shared" si="231"/>
        <v>33.333333333333336</v>
      </c>
      <c r="U1113" s="85"/>
      <c r="V1113" s="85"/>
      <c r="W1113" s="85"/>
      <c r="X1113" s="85"/>
      <c r="Y1113" s="85"/>
      <c r="Z1113" s="85"/>
      <c r="AA1113" s="85"/>
      <c r="AB1113" s="85"/>
      <c r="AC1113" s="85"/>
      <c r="AD1113" s="85"/>
    </row>
    <row r="1114" spans="1:30" ht="15" x14ac:dyDescent="0.2">
      <c r="A1114" s="11">
        <f t="shared" si="210"/>
        <v>2058</v>
      </c>
      <c r="B1114" s="11">
        <f t="shared" si="218"/>
        <v>365</v>
      </c>
      <c r="C1114" s="84">
        <f t="shared" ref="C1114:T1114" si="232">AVERAGE(C508:C519)</f>
        <v>154.75824999999998</v>
      </c>
      <c r="D1114" s="84">
        <f t="shared" si="232"/>
        <v>281.01624999999996</v>
      </c>
      <c r="E1114" s="84">
        <f t="shared" si="232"/>
        <v>109.10050000000001</v>
      </c>
      <c r="F1114" s="84">
        <f t="shared" si="232"/>
        <v>57.041666666666664</v>
      </c>
      <c r="G1114" s="84">
        <f t="shared" si="232"/>
        <v>40</v>
      </c>
      <c r="H1114" s="84">
        <f t="shared" si="232"/>
        <v>174.58333333333334</v>
      </c>
      <c r="I1114" s="84">
        <f t="shared" si="232"/>
        <v>0</v>
      </c>
      <c r="J1114" s="84">
        <f t="shared" si="232"/>
        <v>100</v>
      </c>
      <c r="K1114" s="84">
        <f t="shared" si="232"/>
        <v>300</v>
      </c>
      <c r="L1114" s="84">
        <f t="shared" si="232"/>
        <v>1216.5</v>
      </c>
      <c r="M1114" s="86">
        <f t="shared" si="232"/>
        <v>600</v>
      </c>
      <c r="N1114" s="84">
        <f t="shared" si="232"/>
        <v>72.5</v>
      </c>
      <c r="O1114" s="84">
        <f t="shared" si="232"/>
        <v>240</v>
      </c>
      <c r="P1114" s="84">
        <f t="shared" si="232"/>
        <v>110</v>
      </c>
      <c r="Q1114" s="84">
        <f t="shared" si="232"/>
        <v>245</v>
      </c>
      <c r="R1114" s="84">
        <f t="shared" si="232"/>
        <v>100</v>
      </c>
      <c r="S1114" s="84">
        <f t="shared" si="232"/>
        <v>695</v>
      </c>
      <c r="T1114" s="84">
        <f t="shared" si="232"/>
        <v>33.333333333333336</v>
      </c>
      <c r="U1114" s="85"/>
      <c r="V1114" s="85"/>
      <c r="W1114" s="85"/>
      <c r="X1114" s="85"/>
      <c r="Y1114" s="85"/>
      <c r="Z1114" s="85"/>
      <c r="AA1114" s="85"/>
      <c r="AB1114" s="85"/>
      <c r="AC1114" s="85"/>
      <c r="AD1114" s="85"/>
    </row>
    <row r="1115" spans="1:30" ht="15" x14ac:dyDescent="0.2">
      <c r="A1115" s="11">
        <f t="shared" si="210"/>
        <v>2059</v>
      </c>
      <c r="B1115" s="11">
        <f t="shared" si="218"/>
        <v>365</v>
      </c>
      <c r="C1115" s="84">
        <f t="shared" ref="C1115:T1115" si="233">AVERAGE(C509:C520)</f>
        <v>154.75824999999998</v>
      </c>
      <c r="D1115" s="84">
        <f t="shared" si="233"/>
        <v>281.01624999999996</v>
      </c>
      <c r="E1115" s="84">
        <f t="shared" si="233"/>
        <v>109.10050000000001</v>
      </c>
      <c r="F1115" s="84">
        <f t="shared" si="233"/>
        <v>57.041666666666664</v>
      </c>
      <c r="G1115" s="84">
        <f t="shared" si="233"/>
        <v>40</v>
      </c>
      <c r="H1115" s="84">
        <f t="shared" si="233"/>
        <v>174.58333333333334</v>
      </c>
      <c r="I1115" s="84">
        <f t="shared" si="233"/>
        <v>0</v>
      </c>
      <c r="J1115" s="84">
        <f t="shared" si="233"/>
        <v>100</v>
      </c>
      <c r="K1115" s="84">
        <f t="shared" si="233"/>
        <v>300</v>
      </c>
      <c r="L1115" s="84">
        <f t="shared" si="233"/>
        <v>1216.5</v>
      </c>
      <c r="M1115" s="86">
        <f t="shared" si="233"/>
        <v>600</v>
      </c>
      <c r="N1115" s="84">
        <f t="shared" si="233"/>
        <v>72.5</v>
      </c>
      <c r="O1115" s="84">
        <f t="shared" si="233"/>
        <v>240</v>
      </c>
      <c r="P1115" s="84">
        <f t="shared" si="233"/>
        <v>110</v>
      </c>
      <c r="Q1115" s="84">
        <f t="shared" si="233"/>
        <v>245</v>
      </c>
      <c r="R1115" s="84">
        <f t="shared" si="233"/>
        <v>100</v>
      </c>
      <c r="S1115" s="84">
        <f t="shared" si="233"/>
        <v>695</v>
      </c>
      <c r="T1115" s="84">
        <f t="shared" si="233"/>
        <v>33.333333333333336</v>
      </c>
      <c r="U1115" s="85"/>
      <c r="V1115" s="85"/>
      <c r="W1115" s="85"/>
      <c r="X1115" s="85"/>
      <c r="Y1115" s="85"/>
      <c r="Z1115" s="85"/>
      <c r="AA1115" s="85"/>
      <c r="AB1115" s="85"/>
      <c r="AC1115" s="85"/>
      <c r="AD1115" s="85"/>
    </row>
    <row r="1116" spans="1:30" ht="15" x14ac:dyDescent="0.2">
      <c r="A1116" s="11">
        <f t="shared" si="210"/>
        <v>2060</v>
      </c>
      <c r="B1116" s="11">
        <f t="shared" si="218"/>
        <v>366</v>
      </c>
      <c r="C1116" s="84">
        <f t="shared" ref="C1116:T1116" si="234">AVERAGE(C510:C521)</f>
        <v>154.75824999999998</v>
      </c>
      <c r="D1116" s="84">
        <f t="shared" si="234"/>
        <v>281.01624999999996</v>
      </c>
      <c r="E1116" s="84">
        <f t="shared" si="234"/>
        <v>109.10050000000001</v>
      </c>
      <c r="F1116" s="84">
        <f t="shared" si="234"/>
        <v>57.041666666666664</v>
      </c>
      <c r="G1116" s="84">
        <f t="shared" si="234"/>
        <v>40</v>
      </c>
      <c r="H1116" s="84">
        <f t="shared" si="234"/>
        <v>174.58333333333334</v>
      </c>
      <c r="I1116" s="84">
        <f t="shared" si="234"/>
        <v>0</v>
      </c>
      <c r="J1116" s="84">
        <f t="shared" si="234"/>
        <v>100</v>
      </c>
      <c r="K1116" s="84">
        <f t="shared" si="234"/>
        <v>300</v>
      </c>
      <c r="L1116" s="84">
        <f t="shared" si="234"/>
        <v>1216.5</v>
      </c>
      <c r="M1116" s="86">
        <f t="shared" si="234"/>
        <v>600</v>
      </c>
      <c r="N1116" s="84">
        <f t="shared" si="234"/>
        <v>72.5</v>
      </c>
      <c r="O1116" s="84">
        <f t="shared" si="234"/>
        <v>240</v>
      </c>
      <c r="P1116" s="84">
        <f t="shared" si="234"/>
        <v>110</v>
      </c>
      <c r="Q1116" s="84">
        <f t="shared" si="234"/>
        <v>245</v>
      </c>
      <c r="R1116" s="84">
        <f t="shared" si="234"/>
        <v>100</v>
      </c>
      <c r="S1116" s="84">
        <f t="shared" si="234"/>
        <v>695</v>
      </c>
      <c r="T1116" s="84">
        <f t="shared" si="234"/>
        <v>33.333333333333336</v>
      </c>
      <c r="U1116" s="85"/>
      <c r="V1116" s="85"/>
      <c r="W1116" s="85"/>
      <c r="X1116" s="85"/>
      <c r="Y1116" s="85"/>
      <c r="Z1116" s="85"/>
      <c r="AA1116" s="85"/>
      <c r="AB1116" s="85"/>
      <c r="AC1116" s="85"/>
      <c r="AD1116" s="85"/>
    </row>
    <row r="1117" spans="1:30" ht="15" x14ac:dyDescent="0.2">
      <c r="A1117" s="11">
        <f t="shared" si="210"/>
        <v>2061</v>
      </c>
      <c r="B1117" s="11">
        <f t="shared" si="218"/>
        <v>365</v>
      </c>
      <c r="C1117" s="84">
        <f t="shared" ref="C1117:T1117" si="235">AVERAGE(C511:C522)</f>
        <v>154.75825</v>
      </c>
      <c r="D1117" s="84">
        <f t="shared" si="235"/>
        <v>281.01624999999996</v>
      </c>
      <c r="E1117" s="84">
        <f t="shared" si="235"/>
        <v>109.10050000000001</v>
      </c>
      <c r="F1117" s="84">
        <f t="shared" si="235"/>
        <v>57.04166666666665</v>
      </c>
      <c r="G1117" s="84">
        <f t="shared" si="235"/>
        <v>40</v>
      </c>
      <c r="H1117" s="84">
        <f t="shared" si="235"/>
        <v>174.58333333333334</v>
      </c>
      <c r="I1117" s="84">
        <f t="shared" si="235"/>
        <v>0</v>
      </c>
      <c r="J1117" s="84">
        <f t="shared" si="235"/>
        <v>100</v>
      </c>
      <c r="K1117" s="84">
        <f t="shared" si="235"/>
        <v>300</v>
      </c>
      <c r="L1117" s="84">
        <f t="shared" si="235"/>
        <v>1216.5</v>
      </c>
      <c r="M1117" s="86">
        <f t="shared" si="235"/>
        <v>600</v>
      </c>
      <c r="N1117" s="84">
        <f t="shared" si="235"/>
        <v>72.5</v>
      </c>
      <c r="O1117" s="84">
        <f t="shared" si="235"/>
        <v>240</v>
      </c>
      <c r="P1117" s="84">
        <f t="shared" si="235"/>
        <v>110</v>
      </c>
      <c r="Q1117" s="84">
        <f t="shared" si="235"/>
        <v>245</v>
      </c>
      <c r="R1117" s="84">
        <f t="shared" si="235"/>
        <v>100</v>
      </c>
      <c r="S1117" s="84">
        <f t="shared" si="235"/>
        <v>695</v>
      </c>
      <c r="T1117" s="84">
        <f t="shared" si="235"/>
        <v>33.333333333333336</v>
      </c>
      <c r="U1117" s="85"/>
      <c r="V1117" s="85"/>
      <c r="W1117" s="85"/>
      <c r="X1117" s="85"/>
      <c r="Y1117" s="85"/>
      <c r="Z1117" s="85"/>
      <c r="AA1117" s="85"/>
      <c r="AB1117" s="85"/>
      <c r="AC1117" s="85"/>
      <c r="AD1117" s="85"/>
    </row>
    <row r="1118" spans="1:30" ht="15" x14ac:dyDescent="0.2">
      <c r="A1118" s="11">
        <f t="shared" si="210"/>
        <v>2062</v>
      </c>
      <c r="B1118" s="11">
        <f t="shared" si="218"/>
        <v>365</v>
      </c>
      <c r="C1118" s="84">
        <f t="shared" ref="C1118:L1127" ca="1" si="236">AVERAGE(OFFSET(C$600,($A1118-$A$1118)*12,0,12,1))</f>
        <v>154.75825</v>
      </c>
      <c r="D1118" s="84">
        <f t="shared" ca="1" si="236"/>
        <v>281.0162499999999</v>
      </c>
      <c r="E1118" s="84">
        <f t="shared" ca="1" si="236"/>
        <v>109.1005</v>
      </c>
      <c r="F1118" s="84">
        <f t="shared" ca="1" si="236"/>
        <v>57.041666666666664</v>
      </c>
      <c r="G1118" s="84">
        <f t="shared" ca="1" si="236"/>
        <v>40</v>
      </c>
      <c r="H1118" s="84">
        <f t="shared" ca="1" si="236"/>
        <v>174.58333333333334</v>
      </c>
      <c r="I1118" s="84">
        <f t="shared" ca="1" si="236"/>
        <v>0</v>
      </c>
      <c r="J1118" s="84">
        <f t="shared" ca="1" si="236"/>
        <v>100</v>
      </c>
      <c r="K1118" s="84">
        <f t="shared" ca="1" si="236"/>
        <v>300</v>
      </c>
      <c r="L1118" s="84">
        <f t="shared" ca="1" si="236"/>
        <v>1216.5</v>
      </c>
      <c r="M1118" s="84">
        <f t="shared" ref="M1118:T1127" ca="1" si="237">AVERAGE(OFFSET(M$600,($A1118-$A$1118)*12,0,12,1))</f>
        <v>600</v>
      </c>
      <c r="N1118" s="84">
        <f t="shared" ca="1" si="237"/>
        <v>72.5</v>
      </c>
      <c r="O1118" s="84">
        <f t="shared" ca="1" si="237"/>
        <v>240</v>
      </c>
      <c r="P1118" s="84">
        <f t="shared" ca="1" si="237"/>
        <v>40</v>
      </c>
      <c r="Q1118" s="84">
        <f t="shared" ca="1" si="237"/>
        <v>315</v>
      </c>
      <c r="R1118" s="84">
        <f t="shared" ca="1" si="237"/>
        <v>100</v>
      </c>
      <c r="S1118" s="84">
        <f t="shared" ca="1" si="237"/>
        <v>695</v>
      </c>
      <c r="T1118" s="84">
        <f t="shared" ca="1" si="237"/>
        <v>33.333333333333336</v>
      </c>
      <c r="U1118" s="85"/>
      <c r="V1118" s="85"/>
      <c r="W1118" s="85"/>
      <c r="X1118" s="85"/>
      <c r="Y1118" s="85"/>
      <c r="Z1118" s="85"/>
      <c r="AA1118" s="85"/>
      <c r="AB1118" s="85"/>
      <c r="AC1118" s="85"/>
      <c r="AD1118" s="85"/>
    </row>
    <row r="1119" spans="1:30" ht="15" x14ac:dyDescent="0.2">
      <c r="A1119" s="11">
        <f t="shared" si="210"/>
        <v>2063</v>
      </c>
      <c r="B1119" s="11">
        <f t="shared" si="218"/>
        <v>365</v>
      </c>
      <c r="C1119" s="84">
        <f t="shared" ca="1" si="236"/>
        <v>154.75825</v>
      </c>
      <c r="D1119" s="84">
        <f t="shared" ca="1" si="236"/>
        <v>281.0162499999999</v>
      </c>
      <c r="E1119" s="84">
        <f t="shared" ca="1" si="236"/>
        <v>109.1005</v>
      </c>
      <c r="F1119" s="84">
        <f t="shared" ca="1" si="236"/>
        <v>57.041666666666664</v>
      </c>
      <c r="G1119" s="84">
        <f t="shared" ca="1" si="236"/>
        <v>40</v>
      </c>
      <c r="H1119" s="84">
        <f t="shared" ca="1" si="236"/>
        <v>174.58333333333334</v>
      </c>
      <c r="I1119" s="84">
        <f t="shared" ca="1" si="236"/>
        <v>0</v>
      </c>
      <c r="J1119" s="84">
        <f t="shared" ca="1" si="236"/>
        <v>100</v>
      </c>
      <c r="K1119" s="84">
        <f t="shared" ca="1" si="236"/>
        <v>300</v>
      </c>
      <c r="L1119" s="84">
        <f t="shared" ca="1" si="236"/>
        <v>1216.5</v>
      </c>
      <c r="M1119" s="84">
        <f t="shared" ca="1" si="237"/>
        <v>600</v>
      </c>
      <c r="N1119" s="84">
        <f t="shared" ca="1" si="237"/>
        <v>72.5</v>
      </c>
      <c r="O1119" s="84">
        <f t="shared" ca="1" si="237"/>
        <v>240</v>
      </c>
      <c r="P1119" s="84">
        <f t="shared" ca="1" si="237"/>
        <v>40</v>
      </c>
      <c r="Q1119" s="84">
        <f t="shared" ca="1" si="237"/>
        <v>315</v>
      </c>
      <c r="R1119" s="84">
        <f t="shared" ca="1" si="237"/>
        <v>100</v>
      </c>
      <c r="S1119" s="84">
        <f t="shared" ca="1" si="237"/>
        <v>695</v>
      </c>
      <c r="T1119" s="84">
        <f t="shared" ca="1" si="237"/>
        <v>33.333333333333336</v>
      </c>
      <c r="U1119" s="85"/>
      <c r="V1119" s="85"/>
      <c r="W1119" s="85"/>
      <c r="X1119" s="85"/>
      <c r="Y1119" s="85"/>
      <c r="Z1119" s="85"/>
      <c r="AA1119" s="85"/>
      <c r="AB1119" s="85"/>
      <c r="AC1119" s="85"/>
      <c r="AD1119" s="85"/>
    </row>
    <row r="1120" spans="1:30" ht="15" x14ac:dyDescent="0.2">
      <c r="A1120" s="11">
        <f t="shared" si="210"/>
        <v>2064</v>
      </c>
      <c r="B1120" s="11">
        <f t="shared" si="218"/>
        <v>366</v>
      </c>
      <c r="C1120" s="84">
        <f t="shared" ca="1" si="236"/>
        <v>154.75825</v>
      </c>
      <c r="D1120" s="84">
        <f t="shared" ca="1" si="236"/>
        <v>281.0162499999999</v>
      </c>
      <c r="E1120" s="84">
        <f t="shared" ca="1" si="236"/>
        <v>109.1005</v>
      </c>
      <c r="F1120" s="84">
        <f t="shared" ca="1" si="236"/>
        <v>57.041666666666664</v>
      </c>
      <c r="G1120" s="84">
        <f t="shared" ca="1" si="236"/>
        <v>40</v>
      </c>
      <c r="H1120" s="84">
        <f t="shared" ca="1" si="236"/>
        <v>174.58333333333334</v>
      </c>
      <c r="I1120" s="84">
        <f t="shared" ca="1" si="236"/>
        <v>0</v>
      </c>
      <c r="J1120" s="84">
        <f t="shared" ca="1" si="236"/>
        <v>100</v>
      </c>
      <c r="K1120" s="84">
        <f t="shared" ca="1" si="236"/>
        <v>300</v>
      </c>
      <c r="L1120" s="84">
        <f t="shared" ca="1" si="236"/>
        <v>1216.5</v>
      </c>
      <c r="M1120" s="84">
        <f t="shared" ca="1" si="237"/>
        <v>600</v>
      </c>
      <c r="N1120" s="84">
        <f t="shared" ca="1" si="237"/>
        <v>72.5</v>
      </c>
      <c r="O1120" s="84">
        <f t="shared" ca="1" si="237"/>
        <v>240</v>
      </c>
      <c r="P1120" s="84">
        <f t="shared" ca="1" si="237"/>
        <v>40</v>
      </c>
      <c r="Q1120" s="84">
        <f t="shared" ca="1" si="237"/>
        <v>315</v>
      </c>
      <c r="R1120" s="84">
        <f t="shared" ca="1" si="237"/>
        <v>100</v>
      </c>
      <c r="S1120" s="84">
        <f t="shared" ca="1" si="237"/>
        <v>695</v>
      </c>
      <c r="T1120" s="84">
        <f t="shared" ca="1" si="237"/>
        <v>33.333333333333336</v>
      </c>
      <c r="U1120" s="85"/>
      <c r="V1120" s="85"/>
      <c r="W1120" s="85"/>
      <c r="X1120" s="85"/>
      <c r="Y1120" s="85"/>
      <c r="Z1120" s="85"/>
      <c r="AA1120" s="85"/>
      <c r="AB1120" s="85"/>
      <c r="AC1120" s="85"/>
      <c r="AD1120" s="85"/>
    </row>
    <row r="1121" spans="1:30" ht="15" x14ac:dyDescent="0.2">
      <c r="A1121" s="11">
        <f t="shared" si="210"/>
        <v>2065</v>
      </c>
      <c r="B1121" s="11">
        <f t="shared" si="218"/>
        <v>365</v>
      </c>
      <c r="C1121" s="84">
        <f t="shared" ca="1" si="236"/>
        <v>154.75825</v>
      </c>
      <c r="D1121" s="84">
        <f t="shared" ca="1" si="236"/>
        <v>281.0162499999999</v>
      </c>
      <c r="E1121" s="84">
        <f t="shared" ca="1" si="236"/>
        <v>109.1005</v>
      </c>
      <c r="F1121" s="84">
        <f t="shared" ca="1" si="236"/>
        <v>57.041666666666664</v>
      </c>
      <c r="G1121" s="84">
        <f t="shared" ca="1" si="236"/>
        <v>40</v>
      </c>
      <c r="H1121" s="84">
        <f t="shared" ca="1" si="236"/>
        <v>174.58333333333334</v>
      </c>
      <c r="I1121" s="84">
        <f t="shared" ca="1" si="236"/>
        <v>0</v>
      </c>
      <c r="J1121" s="84">
        <f t="shared" ca="1" si="236"/>
        <v>100</v>
      </c>
      <c r="K1121" s="84">
        <f t="shared" ca="1" si="236"/>
        <v>300</v>
      </c>
      <c r="L1121" s="84">
        <f t="shared" ca="1" si="236"/>
        <v>1216.5</v>
      </c>
      <c r="M1121" s="84">
        <f t="shared" ca="1" si="237"/>
        <v>600</v>
      </c>
      <c r="N1121" s="84">
        <f t="shared" ca="1" si="237"/>
        <v>72.5</v>
      </c>
      <c r="O1121" s="84">
        <f t="shared" ca="1" si="237"/>
        <v>240</v>
      </c>
      <c r="P1121" s="84">
        <f t="shared" ca="1" si="237"/>
        <v>40</v>
      </c>
      <c r="Q1121" s="84">
        <f t="shared" ca="1" si="237"/>
        <v>315</v>
      </c>
      <c r="R1121" s="84">
        <f t="shared" ca="1" si="237"/>
        <v>100</v>
      </c>
      <c r="S1121" s="84">
        <f t="shared" ca="1" si="237"/>
        <v>695</v>
      </c>
      <c r="T1121" s="84">
        <f t="shared" ca="1" si="237"/>
        <v>33.333333333333336</v>
      </c>
      <c r="U1121" s="85"/>
      <c r="V1121" s="85"/>
      <c r="W1121" s="85"/>
      <c r="X1121" s="85"/>
      <c r="Y1121" s="85"/>
      <c r="Z1121" s="85"/>
      <c r="AA1121" s="85"/>
      <c r="AB1121" s="85"/>
      <c r="AC1121" s="85"/>
      <c r="AD1121" s="85"/>
    </row>
    <row r="1122" spans="1:30" ht="15" x14ac:dyDescent="0.2">
      <c r="A1122" s="11">
        <f t="shared" si="210"/>
        <v>2066</v>
      </c>
      <c r="B1122" s="11">
        <f t="shared" si="218"/>
        <v>365</v>
      </c>
      <c r="C1122" s="84">
        <f t="shared" ca="1" si="236"/>
        <v>154.75825</v>
      </c>
      <c r="D1122" s="84">
        <f t="shared" ca="1" si="236"/>
        <v>281.0162499999999</v>
      </c>
      <c r="E1122" s="84">
        <f t="shared" ca="1" si="236"/>
        <v>109.1005</v>
      </c>
      <c r="F1122" s="84">
        <f t="shared" ca="1" si="236"/>
        <v>57.041666666666664</v>
      </c>
      <c r="G1122" s="84">
        <f t="shared" ca="1" si="236"/>
        <v>40</v>
      </c>
      <c r="H1122" s="84">
        <f t="shared" ca="1" si="236"/>
        <v>174.58333333333334</v>
      </c>
      <c r="I1122" s="84">
        <f t="shared" ca="1" si="236"/>
        <v>0</v>
      </c>
      <c r="J1122" s="84">
        <f t="shared" ca="1" si="236"/>
        <v>100</v>
      </c>
      <c r="K1122" s="84">
        <f t="shared" ca="1" si="236"/>
        <v>300</v>
      </c>
      <c r="L1122" s="84">
        <f t="shared" ca="1" si="236"/>
        <v>1216.5</v>
      </c>
      <c r="M1122" s="84">
        <f t="shared" ca="1" si="237"/>
        <v>600</v>
      </c>
      <c r="N1122" s="84">
        <f t="shared" ca="1" si="237"/>
        <v>72.5</v>
      </c>
      <c r="O1122" s="84">
        <f t="shared" ca="1" si="237"/>
        <v>240</v>
      </c>
      <c r="P1122" s="84">
        <f t="shared" ca="1" si="237"/>
        <v>40</v>
      </c>
      <c r="Q1122" s="84">
        <f t="shared" ca="1" si="237"/>
        <v>315</v>
      </c>
      <c r="R1122" s="84">
        <f t="shared" ca="1" si="237"/>
        <v>100</v>
      </c>
      <c r="S1122" s="84">
        <f t="shared" ca="1" si="237"/>
        <v>695</v>
      </c>
      <c r="T1122" s="84">
        <f t="shared" ca="1" si="237"/>
        <v>33.333333333333336</v>
      </c>
      <c r="U1122" s="85"/>
      <c r="V1122" s="85"/>
      <c r="W1122" s="85"/>
      <c r="X1122" s="85"/>
      <c r="Y1122" s="85"/>
      <c r="Z1122" s="85"/>
      <c r="AA1122" s="85"/>
      <c r="AB1122" s="85"/>
      <c r="AC1122" s="85"/>
      <c r="AD1122" s="85"/>
    </row>
    <row r="1123" spans="1:30" ht="15" x14ac:dyDescent="0.2">
      <c r="A1123" s="11">
        <f t="shared" si="210"/>
        <v>2067</v>
      </c>
      <c r="B1123" s="11">
        <f t="shared" si="218"/>
        <v>365</v>
      </c>
      <c r="C1123" s="84">
        <f t="shared" ca="1" si="236"/>
        <v>154.75825</v>
      </c>
      <c r="D1123" s="84">
        <f t="shared" ca="1" si="236"/>
        <v>281.0162499999999</v>
      </c>
      <c r="E1123" s="84">
        <f t="shared" ca="1" si="236"/>
        <v>109.1005</v>
      </c>
      <c r="F1123" s="84">
        <f t="shared" ca="1" si="236"/>
        <v>57.041666666666664</v>
      </c>
      <c r="G1123" s="84">
        <f t="shared" ca="1" si="236"/>
        <v>40</v>
      </c>
      <c r="H1123" s="84">
        <f t="shared" ca="1" si="236"/>
        <v>174.58333333333334</v>
      </c>
      <c r="I1123" s="84">
        <f t="shared" ca="1" si="236"/>
        <v>0</v>
      </c>
      <c r="J1123" s="84">
        <f t="shared" ca="1" si="236"/>
        <v>100</v>
      </c>
      <c r="K1123" s="84">
        <f t="shared" ca="1" si="236"/>
        <v>300</v>
      </c>
      <c r="L1123" s="84">
        <f t="shared" ca="1" si="236"/>
        <v>1216.5</v>
      </c>
      <c r="M1123" s="84">
        <f t="shared" ca="1" si="237"/>
        <v>600</v>
      </c>
      <c r="N1123" s="84">
        <f t="shared" ca="1" si="237"/>
        <v>72.5</v>
      </c>
      <c r="O1123" s="84">
        <f t="shared" ca="1" si="237"/>
        <v>240</v>
      </c>
      <c r="P1123" s="84">
        <f t="shared" ca="1" si="237"/>
        <v>40</v>
      </c>
      <c r="Q1123" s="84">
        <f t="shared" ca="1" si="237"/>
        <v>315</v>
      </c>
      <c r="R1123" s="84">
        <f t="shared" ca="1" si="237"/>
        <v>100</v>
      </c>
      <c r="S1123" s="84">
        <f t="shared" ca="1" si="237"/>
        <v>695</v>
      </c>
      <c r="T1123" s="84">
        <f t="shared" ca="1" si="237"/>
        <v>33.333333333333336</v>
      </c>
      <c r="U1123" s="85"/>
      <c r="V1123" s="85"/>
      <c r="W1123" s="85"/>
      <c r="X1123" s="85"/>
      <c r="Y1123" s="85"/>
      <c r="Z1123" s="85"/>
      <c r="AA1123" s="85"/>
      <c r="AB1123" s="85"/>
      <c r="AC1123" s="85"/>
      <c r="AD1123" s="85"/>
    </row>
    <row r="1124" spans="1:30" ht="15" x14ac:dyDescent="0.2">
      <c r="A1124" s="11">
        <f t="shared" si="210"/>
        <v>2068</v>
      </c>
      <c r="B1124" s="11">
        <f t="shared" si="218"/>
        <v>366</v>
      </c>
      <c r="C1124" s="84">
        <f t="shared" ca="1" si="236"/>
        <v>154.75825</v>
      </c>
      <c r="D1124" s="84">
        <f t="shared" ca="1" si="236"/>
        <v>281.0162499999999</v>
      </c>
      <c r="E1124" s="84">
        <f t="shared" ca="1" si="236"/>
        <v>109.1005</v>
      </c>
      <c r="F1124" s="84">
        <f t="shared" ca="1" si="236"/>
        <v>57.041666666666664</v>
      </c>
      <c r="G1124" s="84">
        <f t="shared" ca="1" si="236"/>
        <v>40</v>
      </c>
      <c r="H1124" s="84">
        <f t="shared" ca="1" si="236"/>
        <v>174.58333333333334</v>
      </c>
      <c r="I1124" s="84">
        <f t="shared" ca="1" si="236"/>
        <v>0</v>
      </c>
      <c r="J1124" s="84">
        <f t="shared" ca="1" si="236"/>
        <v>100</v>
      </c>
      <c r="K1124" s="84">
        <f t="shared" ca="1" si="236"/>
        <v>300</v>
      </c>
      <c r="L1124" s="84">
        <f t="shared" ca="1" si="236"/>
        <v>1216.5</v>
      </c>
      <c r="M1124" s="84">
        <f t="shared" ca="1" si="237"/>
        <v>600</v>
      </c>
      <c r="N1124" s="84">
        <f t="shared" ca="1" si="237"/>
        <v>72.5</v>
      </c>
      <c r="O1124" s="84">
        <f t="shared" ca="1" si="237"/>
        <v>240</v>
      </c>
      <c r="P1124" s="84">
        <f t="shared" ca="1" si="237"/>
        <v>40</v>
      </c>
      <c r="Q1124" s="84">
        <f t="shared" ca="1" si="237"/>
        <v>315</v>
      </c>
      <c r="R1124" s="84">
        <f t="shared" ca="1" si="237"/>
        <v>100</v>
      </c>
      <c r="S1124" s="84">
        <f t="shared" ca="1" si="237"/>
        <v>695</v>
      </c>
      <c r="T1124" s="84">
        <f t="shared" ca="1" si="237"/>
        <v>33.333333333333336</v>
      </c>
      <c r="U1124" s="85"/>
      <c r="V1124" s="85"/>
      <c r="W1124" s="85"/>
      <c r="X1124" s="85"/>
      <c r="Y1124" s="85"/>
      <c r="Z1124" s="85"/>
      <c r="AA1124" s="85"/>
      <c r="AB1124" s="85"/>
      <c r="AC1124" s="85"/>
      <c r="AD1124" s="85"/>
    </row>
    <row r="1125" spans="1:30" ht="15" x14ac:dyDescent="0.2">
      <c r="A1125" s="11">
        <f t="shared" si="210"/>
        <v>2069</v>
      </c>
      <c r="B1125" s="11">
        <f t="shared" si="218"/>
        <v>365</v>
      </c>
      <c r="C1125" s="84">
        <f t="shared" ca="1" si="236"/>
        <v>154.75825</v>
      </c>
      <c r="D1125" s="84">
        <f t="shared" ca="1" si="236"/>
        <v>281.0162499999999</v>
      </c>
      <c r="E1125" s="84">
        <f t="shared" ca="1" si="236"/>
        <v>109.1005</v>
      </c>
      <c r="F1125" s="84">
        <f t="shared" ca="1" si="236"/>
        <v>57.041666666666664</v>
      </c>
      <c r="G1125" s="84">
        <f t="shared" ca="1" si="236"/>
        <v>40</v>
      </c>
      <c r="H1125" s="84">
        <f t="shared" ca="1" si="236"/>
        <v>174.58333333333334</v>
      </c>
      <c r="I1125" s="84">
        <f t="shared" ca="1" si="236"/>
        <v>0</v>
      </c>
      <c r="J1125" s="84">
        <f t="shared" ca="1" si="236"/>
        <v>100</v>
      </c>
      <c r="K1125" s="84">
        <f t="shared" ca="1" si="236"/>
        <v>300</v>
      </c>
      <c r="L1125" s="84">
        <f t="shared" ca="1" si="236"/>
        <v>1216.5</v>
      </c>
      <c r="M1125" s="84">
        <f t="shared" ca="1" si="237"/>
        <v>600</v>
      </c>
      <c r="N1125" s="84">
        <f t="shared" ca="1" si="237"/>
        <v>72.5</v>
      </c>
      <c r="O1125" s="84">
        <f t="shared" ca="1" si="237"/>
        <v>240</v>
      </c>
      <c r="P1125" s="84">
        <f t="shared" ca="1" si="237"/>
        <v>40</v>
      </c>
      <c r="Q1125" s="84">
        <f t="shared" ca="1" si="237"/>
        <v>315</v>
      </c>
      <c r="R1125" s="84">
        <f t="shared" ca="1" si="237"/>
        <v>100</v>
      </c>
      <c r="S1125" s="84">
        <f t="shared" ca="1" si="237"/>
        <v>695</v>
      </c>
      <c r="T1125" s="84">
        <f t="shared" ca="1" si="237"/>
        <v>33.333333333333336</v>
      </c>
      <c r="U1125" s="85"/>
      <c r="V1125" s="85"/>
      <c r="W1125" s="85"/>
      <c r="X1125" s="85"/>
      <c r="Y1125" s="85"/>
      <c r="Z1125" s="85"/>
      <c r="AA1125" s="85"/>
      <c r="AB1125" s="85"/>
      <c r="AC1125" s="85"/>
      <c r="AD1125" s="85"/>
    </row>
    <row r="1126" spans="1:30" ht="15" x14ac:dyDescent="0.2">
      <c r="A1126" s="11">
        <f t="shared" ref="A1126:A1156" si="238">A1125+1</f>
        <v>2070</v>
      </c>
      <c r="B1126" s="11">
        <f t="shared" si="218"/>
        <v>365</v>
      </c>
      <c r="C1126" s="84">
        <f t="shared" ca="1" si="236"/>
        <v>154.75825</v>
      </c>
      <c r="D1126" s="84">
        <f t="shared" ca="1" si="236"/>
        <v>281.0162499999999</v>
      </c>
      <c r="E1126" s="84">
        <f t="shared" ca="1" si="236"/>
        <v>109.1005</v>
      </c>
      <c r="F1126" s="84">
        <f t="shared" ca="1" si="236"/>
        <v>57.041666666666664</v>
      </c>
      <c r="G1126" s="84">
        <f t="shared" ca="1" si="236"/>
        <v>40</v>
      </c>
      <c r="H1126" s="84">
        <f t="shared" ca="1" si="236"/>
        <v>174.58333333333334</v>
      </c>
      <c r="I1126" s="84">
        <f t="shared" ca="1" si="236"/>
        <v>0</v>
      </c>
      <c r="J1126" s="84">
        <f t="shared" ca="1" si="236"/>
        <v>100</v>
      </c>
      <c r="K1126" s="84">
        <f t="shared" ca="1" si="236"/>
        <v>300</v>
      </c>
      <c r="L1126" s="84">
        <f t="shared" ca="1" si="236"/>
        <v>1216.5</v>
      </c>
      <c r="M1126" s="84">
        <f t="shared" ca="1" si="237"/>
        <v>600</v>
      </c>
      <c r="N1126" s="84">
        <f t="shared" ca="1" si="237"/>
        <v>72.5</v>
      </c>
      <c r="O1126" s="84">
        <f t="shared" ca="1" si="237"/>
        <v>240</v>
      </c>
      <c r="P1126" s="84">
        <f t="shared" ca="1" si="237"/>
        <v>40</v>
      </c>
      <c r="Q1126" s="84">
        <f t="shared" ca="1" si="237"/>
        <v>315</v>
      </c>
      <c r="R1126" s="84">
        <f t="shared" ca="1" si="237"/>
        <v>100</v>
      </c>
      <c r="S1126" s="84">
        <f t="shared" ca="1" si="237"/>
        <v>695</v>
      </c>
      <c r="T1126" s="84">
        <f t="shared" ca="1" si="237"/>
        <v>33.333333333333336</v>
      </c>
      <c r="U1126" s="85"/>
      <c r="V1126" s="85"/>
      <c r="W1126" s="85"/>
      <c r="X1126" s="85"/>
      <c r="Y1126" s="85"/>
      <c r="Z1126" s="85"/>
      <c r="AA1126" s="85"/>
      <c r="AB1126" s="85"/>
      <c r="AC1126" s="85"/>
      <c r="AD1126" s="85"/>
    </row>
    <row r="1127" spans="1:30" ht="15" x14ac:dyDescent="0.2">
      <c r="A1127" s="11">
        <f t="shared" si="238"/>
        <v>2071</v>
      </c>
      <c r="B1127" s="11">
        <f t="shared" si="218"/>
        <v>365</v>
      </c>
      <c r="C1127" s="84">
        <f t="shared" ca="1" si="236"/>
        <v>154.75825</v>
      </c>
      <c r="D1127" s="84">
        <f t="shared" ca="1" si="236"/>
        <v>281.0162499999999</v>
      </c>
      <c r="E1127" s="84">
        <f t="shared" ca="1" si="236"/>
        <v>109.1005</v>
      </c>
      <c r="F1127" s="84">
        <f t="shared" ca="1" si="236"/>
        <v>57.041666666666664</v>
      </c>
      <c r="G1127" s="84">
        <f t="shared" ca="1" si="236"/>
        <v>40</v>
      </c>
      <c r="H1127" s="84">
        <f t="shared" ca="1" si="236"/>
        <v>174.58333333333334</v>
      </c>
      <c r="I1127" s="84">
        <f t="shared" ca="1" si="236"/>
        <v>0</v>
      </c>
      <c r="J1127" s="84">
        <f t="shared" ca="1" si="236"/>
        <v>100</v>
      </c>
      <c r="K1127" s="84">
        <f t="shared" ca="1" si="236"/>
        <v>300</v>
      </c>
      <c r="L1127" s="84">
        <f t="shared" ca="1" si="236"/>
        <v>1216.5</v>
      </c>
      <c r="M1127" s="84">
        <f t="shared" ca="1" si="237"/>
        <v>600</v>
      </c>
      <c r="N1127" s="84">
        <f t="shared" ca="1" si="237"/>
        <v>72.5</v>
      </c>
      <c r="O1127" s="84">
        <f t="shared" ca="1" si="237"/>
        <v>240</v>
      </c>
      <c r="P1127" s="84">
        <f t="shared" ca="1" si="237"/>
        <v>40</v>
      </c>
      <c r="Q1127" s="84">
        <f t="shared" ca="1" si="237"/>
        <v>315</v>
      </c>
      <c r="R1127" s="84">
        <f t="shared" ca="1" si="237"/>
        <v>100</v>
      </c>
      <c r="S1127" s="84">
        <f t="shared" ca="1" si="237"/>
        <v>695</v>
      </c>
      <c r="T1127" s="84">
        <f t="shared" ca="1" si="237"/>
        <v>33.333333333333336</v>
      </c>
      <c r="U1127" s="85"/>
      <c r="V1127" s="85"/>
      <c r="W1127" s="85"/>
      <c r="X1127" s="85"/>
      <c r="Y1127" s="85"/>
      <c r="Z1127" s="85"/>
      <c r="AA1127" s="85"/>
      <c r="AB1127" s="85"/>
      <c r="AC1127" s="85"/>
      <c r="AD1127" s="85"/>
    </row>
    <row r="1128" spans="1:30" ht="15" x14ac:dyDescent="0.2">
      <c r="A1128" s="11">
        <f t="shared" si="238"/>
        <v>2072</v>
      </c>
      <c r="B1128" s="11">
        <f t="shared" si="218"/>
        <v>366</v>
      </c>
      <c r="C1128" s="84">
        <f t="shared" ref="C1128:L1137" ca="1" si="239">AVERAGE(OFFSET(C$600,($A1128-$A$1118)*12,0,12,1))</f>
        <v>154.75825</v>
      </c>
      <c r="D1128" s="84">
        <f t="shared" ca="1" si="239"/>
        <v>281.0162499999999</v>
      </c>
      <c r="E1128" s="84">
        <f t="shared" ca="1" si="239"/>
        <v>109.1005</v>
      </c>
      <c r="F1128" s="84">
        <f t="shared" ca="1" si="239"/>
        <v>57.041666666666664</v>
      </c>
      <c r="G1128" s="84">
        <f t="shared" ca="1" si="239"/>
        <v>40</v>
      </c>
      <c r="H1128" s="84">
        <f t="shared" ca="1" si="239"/>
        <v>174.58333333333334</v>
      </c>
      <c r="I1128" s="84">
        <f t="shared" ca="1" si="239"/>
        <v>0</v>
      </c>
      <c r="J1128" s="84">
        <f t="shared" ca="1" si="239"/>
        <v>100</v>
      </c>
      <c r="K1128" s="84">
        <f t="shared" ca="1" si="239"/>
        <v>300</v>
      </c>
      <c r="L1128" s="84">
        <f t="shared" ca="1" si="239"/>
        <v>1216.5</v>
      </c>
      <c r="M1128" s="84">
        <f t="shared" ref="M1128:T1137" ca="1" si="240">AVERAGE(OFFSET(M$600,($A1128-$A$1118)*12,0,12,1))</f>
        <v>600</v>
      </c>
      <c r="N1128" s="84">
        <f t="shared" ca="1" si="240"/>
        <v>72.5</v>
      </c>
      <c r="O1128" s="84">
        <f t="shared" ca="1" si="240"/>
        <v>240</v>
      </c>
      <c r="P1128" s="84">
        <f t="shared" ca="1" si="240"/>
        <v>40</v>
      </c>
      <c r="Q1128" s="84">
        <f t="shared" ca="1" si="240"/>
        <v>315</v>
      </c>
      <c r="R1128" s="84">
        <f t="shared" ca="1" si="240"/>
        <v>100</v>
      </c>
      <c r="S1128" s="84">
        <f t="shared" ca="1" si="240"/>
        <v>695</v>
      </c>
      <c r="T1128" s="84">
        <f t="shared" ca="1" si="240"/>
        <v>33.333333333333336</v>
      </c>
      <c r="U1128" s="85"/>
      <c r="V1128" s="85"/>
      <c r="W1128" s="85"/>
      <c r="X1128" s="85"/>
      <c r="Y1128" s="85"/>
      <c r="Z1128" s="85"/>
      <c r="AA1128" s="85"/>
      <c r="AB1128" s="85"/>
      <c r="AC1128" s="85"/>
      <c r="AD1128" s="85"/>
    </row>
    <row r="1129" spans="1:30" ht="15" x14ac:dyDescent="0.2">
      <c r="A1129" s="11">
        <f t="shared" si="238"/>
        <v>2073</v>
      </c>
      <c r="B1129" s="11">
        <f t="shared" si="218"/>
        <v>365</v>
      </c>
      <c r="C1129" s="84">
        <f t="shared" ca="1" si="239"/>
        <v>154.75825</v>
      </c>
      <c r="D1129" s="84">
        <f t="shared" ca="1" si="239"/>
        <v>281.0162499999999</v>
      </c>
      <c r="E1129" s="84">
        <f t="shared" ca="1" si="239"/>
        <v>109.1005</v>
      </c>
      <c r="F1129" s="84">
        <f t="shared" ca="1" si="239"/>
        <v>57.041666666666664</v>
      </c>
      <c r="G1129" s="84">
        <f t="shared" ca="1" si="239"/>
        <v>40</v>
      </c>
      <c r="H1129" s="84">
        <f t="shared" ca="1" si="239"/>
        <v>174.58333333333334</v>
      </c>
      <c r="I1129" s="84">
        <f t="shared" ca="1" si="239"/>
        <v>0</v>
      </c>
      <c r="J1129" s="84">
        <f t="shared" ca="1" si="239"/>
        <v>100</v>
      </c>
      <c r="K1129" s="84">
        <f t="shared" ca="1" si="239"/>
        <v>300</v>
      </c>
      <c r="L1129" s="84">
        <f t="shared" ca="1" si="239"/>
        <v>1216.5</v>
      </c>
      <c r="M1129" s="84">
        <f t="shared" ca="1" si="240"/>
        <v>600</v>
      </c>
      <c r="N1129" s="84">
        <f t="shared" ca="1" si="240"/>
        <v>72.5</v>
      </c>
      <c r="O1129" s="84">
        <f t="shared" ca="1" si="240"/>
        <v>240</v>
      </c>
      <c r="P1129" s="84">
        <f t="shared" ca="1" si="240"/>
        <v>40</v>
      </c>
      <c r="Q1129" s="84">
        <f t="shared" ca="1" si="240"/>
        <v>315</v>
      </c>
      <c r="R1129" s="84">
        <f t="shared" ca="1" si="240"/>
        <v>100</v>
      </c>
      <c r="S1129" s="84">
        <f t="shared" ca="1" si="240"/>
        <v>695</v>
      </c>
      <c r="T1129" s="84">
        <f t="shared" ca="1" si="240"/>
        <v>33.333333333333336</v>
      </c>
      <c r="U1129" s="85"/>
      <c r="V1129" s="85"/>
      <c r="W1129" s="85"/>
      <c r="X1129" s="85"/>
      <c r="Y1129" s="85"/>
      <c r="Z1129" s="85"/>
      <c r="AA1129" s="85"/>
      <c r="AB1129" s="85"/>
      <c r="AC1129" s="85"/>
      <c r="AD1129" s="85"/>
    </row>
    <row r="1130" spans="1:30" ht="15" x14ac:dyDescent="0.2">
      <c r="A1130" s="11">
        <f t="shared" si="238"/>
        <v>2074</v>
      </c>
      <c r="B1130" s="11">
        <f t="shared" si="218"/>
        <v>365</v>
      </c>
      <c r="C1130" s="84">
        <f t="shared" ca="1" si="239"/>
        <v>154.75825</v>
      </c>
      <c r="D1130" s="84">
        <f t="shared" ca="1" si="239"/>
        <v>281.0162499999999</v>
      </c>
      <c r="E1130" s="84">
        <f t="shared" ca="1" si="239"/>
        <v>109.1005</v>
      </c>
      <c r="F1130" s="84">
        <f t="shared" ca="1" si="239"/>
        <v>57.041666666666664</v>
      </c>
      <c r="G1130" s="84">
        <f t="shared" ca="1" si="239"/>
        <v>40</v>
      </c>
      <c r="H1130" s="84">
        <f t="shared" ca="1" si="239"/>
        <v>174.58333333333334</v>
      </c>
      <c r="I1130" s="84">
        <f t="shared" ca="1" si="239"/>
        <v>0</v>
      </c>
      <c r="J1130" s="84">
        <f t="shared" ca="1" si="239"/>
        <v>100</v>
      </c>
      <c r="K1130" s="84">
        <f t="shared" ca="1" si="239"/>
        <v>300</v>
      </c>
      <c r="L1130" s="84">
        <f t="shared" ca="1" si="239"/>
        <v>1216.5</v>
      </c>
      <c r="M1130" s="84">
        <f t="shared" ca="1" si="240"/>
        <v>600</v>
      </c>
      <c r="N1130" s="84">
        <f t="shared" ca="1" si="240"/>
        <v>72.5</v>
      </c>
      <c r="O1130" s="84">
        <f t="shared" ca="1" si="240"/>
        <v>240</v>
      </c>
      <c r="P1130" s="84">
        <f t="shared" ca="1" si="240"/>
        <v>40</v>
      </c>
      <c r="Q1130" s="84">
        <f t="shared" ca="1" si="240"/>
        <v>315</v>
      </c>
      <c r="R1130" s="84">
        <f t="shared" ca="1" si="240"/>
        <v>100</v>
      </c>
      <c r="S1130" s="84">
        <f t="shared" ca="1" si="240"/>
        <v>695</v>
      </c>
      <c r="T1130" s="84">
        <f t="shared" ca="1" si="240"/>
        <v>33.333333333333336</v>
      </c>
      <c r="U1130" s="85"/>
      <c r="V1130" s="85"/>
      <c r="W1130" s="85"/>
      <c r="X1130" s="85"/>
      <c r="Y1130" s="85"/>
      <c r="Z1130" s="85"/>
      <c r="AA1130" s="85"/>
      <c r="AB1130" s="85"/>
      <c r="AC1130" s="85"/>
      <c r="AD1130" s="85"/>
    </row>
    <row r="1131" spans="1:30" ht="15" x14ac:dyDescent="0.2">
      <c r="A1131" s="11">
        <f t="shared" si="238"/>
        <v>2075</v>
      </c>
      <c r="B1131" s="11">
        <f t="shared" si="218"/>
        <v>365</v>
      </c>
      <c r="C1131" s="84">
        <f t="shared" ca="1" si="239"/>
        <v>154.75825</v>
      </c>
      <c r="D1131" s="84">
        <f t="shared" ca="1" si="239"/>
        <v>281.0162499999999</v>
      </c>
      <c r="E1131" s="84">
        <f t="shared" ca="1" si="239"/>
        <v>109.1005</v>
      </c>
      <c r="F1131" s="84">
        <f t="shared" ca="1" si="239"/>
        <v>57.041666666666664</v>
      </c>
      <c r="G1131" s="84">
        <f t="shared" ca="1" si="239"/>
        <v>40</v>
      </c>
      <c r="H1131" s="84">
        <f t="shared" ca="1" si="239"/>
        <v>174.58333333333334</v>
      </c>
      <c r="I1131" s="84">
        <f t="shared" ca="1" si="239"/>
        <v>0</v>
      </c>
      <c r="J1131" s="84">
        <f t="shared" ca="1" si="239"/>
        <v>100</v>
      </c>
      <c r="K1131" s="84">
        <f t="shared" ca="1" si="239"/>
        <v>300</v>
      </c>
      <c r="L1131" s="84">
        <f t="shared" ca="1" si="239"/>
        <v>1216.5</v>
      </c>
      <c r="M1131" s="84">
        <f t="shared" ca="1" si="240"/>
        <v>600</v>
      </c>
      <c r="N1131" s="84">
        <f t="shared" ca="1" si="240"/>
        <v>72.5</v>
      </c>
      <c r="O1131" s="84">
        <f t="shared" ca="1" si="240"/>
        <v>240</v>
      </c>
      <c r="P1131" s="84">
        <f t="shared" ca="1" si="240"/>
        <v>40</v>
      </c>
      <c r="Q1131" s="84">
        <f t="shared" ca="1" si="240"/>
        <v>315</v>
      </c>
      <c r="R1131" s="84">
        <f t="shared" ca="1" si="240"/>
        <v>100</v>
      </c>
      <c r="S1131" s="84">
        <f t="shared" ca="1" si="240"/>
        <v>695</v>
      </c>
      <c r="T1131" s="84">
        <f t="shared" ca="1" si="240"/>
        <v>33.333333333333336</v>
      </c>
      <c r="U1131" s="85"/>
      <c r="V1131" s="85"/>
      <c r="W1131" s="85"/>
      <c r="X1131" s="85"/>
      <c r="Y1131" s="85"/>
      <c r="Z1131" s="85"/>
      <c r="AA1131" s="85"/>
      <c r="AB1131" s="85"/>
      <c r="AC1131" s="85"/>
      <c r="AD1131" s="85"/>
    </row>
    <row r="1132" spans="1:30" ht="15" x14ac:dyDescent="0.2">
      <c r="A1132" s="11">
        <f t="shared" si="238"/>
        <v>2076</v>
      </c>
      <c r="B1132" s="11">
        <f t="shared" si="218"/>
        <v>366</v>
      </c>
      <c r="C1132" s="84">
        <f t="shared" ca="1" si="239"/>
        <v>154.75825</v>
      </c>
      <c r="D1132" s="84">
        <f t="shared" ca="1" si="239"/>
        <v>281.0162499999999</v>
      </c>
      <c r="E1132" s="84">
        <f t="shared" ca="1" si="239"/>
        <v>109.1005</v>
      </c>
      <c r="F1132" s="84">
        <f t="shared" ca="1" si="239"/>
        <v>57.041666666666664</v>
      </c>
      <c r="G1132" s="84">
        <f t="shared" ca="1" si="239"/>
        <v>40</v>
      </c>
      <c r="H1132" s="84">
        <f t="shared" ca="1" si="239"/>
        <v>174.58333333333334</v>
      </c>
      <c r="I1132" s="84">
        <f t="shared" ca="1" si="239"/>
        <v>0</v>
      </c>
      <c r="J1132" s="84">
        <f t="shared" ca="1" si="239"/>
        <v>100</v>
      </c>
      <c r="K1132" s="84">
        <f t="shared" ca="1" si="239"/>
        <v>300</v>
      </c>
      <c r="L1132" s="84">
        <f t="shared" ca="1" si="239"/>
        <v>1216.5</v>
      </c>
      <c r="M1132" s="84">
        <f t="shared" ca="1" si="240"/>
        <v>600</v>
      </c>
      <c r="N1132" s="84">
        <f t="shared" ca="1" si="240"/>
        <v>72.5</v>
      </c>
      <c r="O1132" s="84">
        <f t="shared" ca="1" si="240"/>
        <v>240</v>
      </c>
      <c r="P1132" s="84">
        <f t="shared" ca="1" si="240"/>
        <v>40</v>
      </c>
      <c r="Q1132" s="84">
        <f t="shared" ca="1" si="240"/>
        <v>315</v>
      </c>
      <c r="R1132" s="84">
        <f t="shared" ca="1" si="240"/>
        <v>100</v>
      </c>
      <c r="S1132" s="84">
        <f t="shared" ca="1" si="240"/>
        <v>695</v>
      </c>
      <c r="T1132" s="84">
        <f t="shared" ca="1" si="240"/>
        <v>33.333333333333336</v>
      </c>
      <c r="U1132" s="85"/>
      <c r="V1132" s="85"/>
      <c r="W1132" s="85"/>
      <c r="X1132" s="85"/>
      <c r="Y1132" s="85"/>
      <c r="Z1132" s="85"/>
      <c r="AA1132" s="85"/>
      <c r="AB1132" s="85"/>
      <c r="AC1132" s="85"/>
      <c r="AD1132" s="85"/>
    </row>
    <row r="1133" spans="1:30" ht="15" x14ac:dyDescent="0.2">
      <c r="A1133" s="11">
        <f t="shared" si="238"/>
        <v>2077</v>
      </c>
      <c r="B1133" s="11">
        <f t="shared" ref="B1133:B1156" si="241">DATE(A1133+1,1,1)-DATE(A1133,1,1)</f>
        <v>365</v>
      </c>
      <c r="C1133" s="84">
        <f t="shared" ca="1" si="239"/>
        <v>154.75825</v>
      </c>
      <c r="D1133" s="84">
        <f t="shared" ca="1" si="239"/>
        <v>281.0162499999999</v>
      </c>
      <c r="E1133" s="84">
        <f t="shared" ca="1" si="239"/>
        <v>109.1005</v>
      </c>
      <c r="F1133" s="84">
        <f t="shared" ca="1" si="239"/>
        <v>57.041666666666664</v>
      </c>
      <c r="G1133" s="84">
        <f t="shared" ca="1" si="239"/>
        <v>40</v>
      </c>
      <c r="H1133" s="84">
        <f t="shared" ca="1" si="239"/>
        <v>174.58333333333334</v>
      </c>
      <c r="I1133" s="84">
        <f t="shared" ca="1" si="239"/>
        <v>0</v>
      </c>
      <c r="J1133" s="84">
        <f t="shared" ca="1" si="239"/>
        <v>100</v>
      </c>
      <c r="K1133" s="84">
        <f t="shared" ca="1" si="239"/>
        <v>300</v>
      </c>
      <c r="L1133" s="84">
        <f t="shared" ca="1" si="239"/>
        <v>1216.5</v>
      </c>
      <c r="M1133" s="84">
        <f t="shared" ca="1" si="240"/>
        <v>600</v>
      </c>
      <c r="N1133" s="84">
        <f t="shared" ca="1" si="240"/>
        <v>72.5</v>
      </c>
      <c r="O1133" s="84">
        <f t="shared" ca="1" si="240"/>
        <v>240</v>
      </c>
      <c r="P1133" s="84">
        <f t="shared" ca="1" si="240"/>
        <v>40</v>
      </c>
      <c r="Q1133" s="84">
        <f t="shared" ca="1" si="240"/>
        <v>315</v>
      </c>
      <c r="R1133" s="84">
        <f t="shared" ca="1" si="240"/>
        <v>100</v>
      </c>
      <c r="S1133" s="84">
        <f t="shared" ca="1" si="240"/>
        <v>695</v>
      </c>
      <c r="T1133" s="84">
        <f t="shared" ca="1" si="240"/>
        <v>33.333333333333336</v>
      </c>
      <c r="U1133" s="85"/>
      <c r="V1133" s="85"/>
      <c r="W1133" s="85"/>
      <c r="X1133" s="85"/>
      <c r="Y1133" s="85"/>
      <c r="Z1133" s="85"/>
      <c r="AA1133" s="85"/>
      <c r="AB1133" s="85"/>
      <c r="AC1133" s="85"/>
      <c r="AD1133" s="85"/>
    </row>
    <row r="1134" spans="1:30" ht="15" x14ac:dyDescent="0.2">
      <c r="A1134" s="11">
        <f t="shared" si="238"/>
        <v>2078</v>
      </c>
      <c r="B1134" s="11">
        <f t="shared" si="241"/>
        <v>365</v>
      </c>
      <c r="C1134" s="84">
        <f t="shared" ca="1" si="239"/>
        <v>154.75825</v>
      </c>
      <c r="D1134" s="84">
        <f t="shared" ca="1" si="239"/>
        <v>281.0162499999999</v>
      </c>
      <c r="E1134" s="84">
        <f t="shared" ca="1" si="239"/>
        <v>109.1005</v>
      </c>
      <c r="F1134" s="84">
        <f t="shared" ca="1" si="239"/>
        <v>57.041666666666664</v>
      </c>
      <c r="G1134" s="84">
        <f t="shared" ca="1" si="239"/>
        <v>40</v>
      </c>
      <c r="H1134" s="84">
        <f t="shared" ca="1" si="239"/>
        <v>174.58333333333334</v>
      </c>
      <c r="I1134" s="84">
        <f t="shared" ca="1" si="239"/>
        <v>0</v>
      </c>
      <c r="J1134" s="84">
        <f t="shared" ca="1" si="239"/>
        <v>100</v>
      </c>
      <c r="K1134" s="84">
        <f t="shared" ca="1" si="239"/>
        <v>300</v>
      </c>
      <c r="L1134" s="84">
        <f t="shared" ca="1" si="239"/>
        <v>1216.5</v>
      </c>
      <c r="M1134" s="84">
        <f t="shared" ca="1" si="240"/>
        <v>600</v>
      </c>
      <c r="N1134" s="84">
        <f t="shared" ca="1" si="240"/>
        <v>72.5</v>
      </c>
      <c r="O1134" s="84">
        <f t="shared" ca="1" si="240"/>
        <v>240</v>
      </c>
      <c r="P1134" s="84">
        <f t="shared" ca="1" si="240"/>
        <v>40</v>
      </c>
      <c r="Q1134" s="84">
        <f t="shared" ca="1" si="240"/>
        <v>315</v>
      </c>
      <c r="R1134" s="84">
        <f t="shared" ca="1" si="240"/>
        <v>100</v>
      </c>
      <c r="S1134" s="84">
        <f t="shared" ca="1" si="240"/>
        <v>695</v>
      </c>
      <c r="T1134" s="84">
        <f t="shared" ca="1" si="240"/>
        <v>33.333333333333336</v>
      </c>
      <c r="U1134" s="85"/>
      <c r="V1134" s="85"/>
      <c r="W1134" s="85"/>
      <c r="X1134" s="85"/>
      <c r="Y1134" s="85"/>
      <c r="Z1134" s="85"/>
      <c r="AA1134" s="85"/>
      <c r="AB1134" s="85"/>
      <c r="AC1134" s="85"/>
      <c r="AD1134" s="85"/>
    </row>
    <row r="1135" spans="1:30" ht="15" x14ac:dyDescent="0.2">
      <c r="A1135" s="11">
        <f t="shared" si="238"/>
        <v>2079</v>
      </c>
      <c r="B1135" s="11">
        <f t="shared" si="241"/>
        <v>365</v>
      </c>
      <c r="C1135" s="84">
        <f t="shared" ca="1" si="239"/>
        <v>154.75825</v>
      </c>
      <c r="D1135" s="84">
        <f t="shared" ca="1" si="239"/>
        <v>281.0162499999999</v>
      </c>
      <c r="E1135" s="84">
        <f t="shared" ca="1" si="239"/>
        <v>109.1005</v>
      </c>
      <c r="F1135" s="84">
        <f t="shared" ca="1" si="239"/>
        <v>57.041666666666664</v>
      </c>
      <c r="G1135" s="84">
        <f t="shared" ca="1" si="239"/>
        <v>40</v>
      </c>
      <c r="H1135" s="84">
        <f t="shared" ca="1" si="239"/>
        <v>174.58333333333334</v>
      </c>
      <c r="I1135" s="84">
        <f t="shared" ca="1" si="239"/>
        <v>0</v>
      </c>
      <c r="J1135" s="84">
        <f t="shared" ca="1" si="239"/>
        <v>100</v>
      </c>
      <c r="K1135" s="84">
        <f t="shared" ca="1" si="239"/>
        <v>300</v>
      </c>
      <c r="L1135" s="84">
        <f t="shared" ca="1" si="239"/>
        <v>1216.5</v>
      </c>
      <c r="M1135" s="84">
        <f t="shared" ca="1" si="240"/>
        <v>600</v>
      </c>
      <c r="N1135" s="84">
        <f t="shared" ca="1" si="240"/>
        <v>72.5</v>
      </c>
      <c r="O1135" s="84">
        <f t="shared" ca="1" si="240"/>
        <v>240</v>
      </c>
      <c r="P1135" s="84">
        <f t="shared" ca="1" si="240"/>
        <v>40</v>
      </c>
      <c r="Q1135" s="84">
        <f t="shared" ca="1" si="240"/>
        <v>315</v>
      </c>
      <c r="R1135" s="84">
        <f t="shared" ca="1" si="240"/>
        <v>100</v>
      </c>
      <c r="S1135" s="84">
        <f t="shared" ca="1" si="240"/>
        <v>695</v>
      </c>
      <c r="T1135" s="84">
        <f t="shared" ca="1" si="240"/>
        <v>33.333333333333336</v>
      </c>
      <c r="U1135" s="85"/>
      <c r="V1135" s="85"/>
      <c r="W1135" s="85"/>
      <c r="X1135" s="85"/>
      <c r="Y1135" s="85"/>
      <c r="Z1135" s="85"/>
      <c r="AA1135" s="85"/>
      <c r="AB1135" s="85"/>
      <c r="AC1135" s="85"/>
      <c r="AD1135" s="85"/>
    </row>
    <row r="1136" spans="1:30" ht="15" x14ac:dyDescent="0.2">
      <c r="A1136" s="11">
        <f t="shared" si="238"/>
        <v>2080</v>
      </c>
      <c r="B1136" s="11">
        <f t="shared" si="241"/>
        <v>366</v>
      </c>
      <c r="C1136" s="84">
        <f t="shared" ca="1" si="239"/>
        <v>154.75825</v>
      </c>
      <c r="D1136" s="84">
        <f t="shared" ca="1" si="239"/>
        <v>281.0162499999999</v>
      </c>
      <c r="E1136" s="84">
        <f t="shared" ca="1" si="239"/>
        <v>109.1005</v>
      </c>
      <c r="F1136" s="84">
        <f t="shared" ca="1" si="239"/>
        <v>57.041666666666664</v>
      </c>
      <c r="G1136" s="84">
        <f t="shared" ca="1" si="239"/>
        <v>40</v>
      </c>
      <c r="H1136" s="84">
        <f t="shared" ca="1" si="239"/>
        <v>174.58333333333334</v>
      </c>
      <c r="I1136" s="84">
        <f t="shared" ca="1" si="239"/>
        <v>0</v>
      </c>
      <c r="J1136" s="84">
        <f t="shared" ca="1" si="239"/>
        <v>100</v>
      </c>
      <c r="K1136" s="84">
        <f t="shared" ca="1" si="239"/>
        <v>300</v>
      </c>
      <c r="L1136" s="84">
        <f t="shared" ca="1" si="239"/>
        <v>1216.5</v>
      </c>
      <c r="M1136" s="84">
        <f t="shared" ca="1" si="240"/>
        <v>600</v>
      </c>
      <c r="N1136" s="84">
        <f t="shared" ca="1" si="240"/>
        <v>72.5</v>
      </c>
      <c r="O1136" s="84">
        <f t="shared" ca="1" si="240"/>
        <v>240</v>
      </c>
      <c r="P1136" s="84">
        <f t="shared" ca="1" si="240"/>
        <v>40</v>
      </c>
      <c r="Q1136" s="84">
        <f t="shared" ca="1" si="240"/>
        <v>315</v>
      </c>
      <c r="R1136" s="84">
        <f t="shared" ca="1" si="240"/>
        <v>100</v>
      </c>
      <c r="S1136" s="84">
        <f t="shared" ca="1" si="240"/>
        <v>695</v>
      </c>
      <c r="T1136" s="84">
        <f t="shared" ca="1" si="240"/>
        <v>33.333333333333336</v>
      </c>
      <c r="U1136" s="85"/>
      <c r="V1136" s="85"/>
      <c r="W1136" s="85"/>
      <c r="X1136" s="85"/>
      <c r="Y1136" s="85"/>
      <c r="Z1136" s="85"/>
      <c r="AA1136" s="85"/>
      <c r="AB1136" s="85"/>
      <c r="AC1136" s="85"/>
      <c r="AD1136" s="85"/>
    </row>
    <row r="1137" spans="1:30" ht="15" x14ac:dyDescent="0.2">
      <c r="A1137" s="11">
        <f t="shared" si="238"/>
        <v>2081</v>
      </c>
      <c r="B1137" s="11">
        <f t="shared" si="241"/>
        <v>365</v>
      </c>
      <c r="C1137" s="84">
        <f t="shared" ca="1" si="239"/>
        <v>154.75825</v>
      </c>
      <c r="D1137" s="84">
        <f t="shared" ca="1" si="239"/>
        <v>281.0162499999999</v>
      </c>
      <c r="E1137" s="84">
        <f t="shared" ca="1" si="239"/>
        <v>109.1005</v>
      </c>
      <c r="F1137" s="84">
        <f t="shared" ca="1" si="239"/>
        <v>57.041666666666664</v>
      </c>
      <c r="G1137" s="84">
        <f t="shared" ca="1" si="239"/>
        <v>40</v>
      </c>
      <c r="H1137" s="84">
        <f t="shared" ca="1" si="239"/>
        <v>174.58333333333334</v>
      </c>
      <c r="I1137" s="84">
        <f t="shared" ca="1" si="239"/>
        <v>0</v>
      </c>
      <c r="J1137" s="84">
        <f t="shared" ca="1" si="239"/>
        <v>100</v>
      </c>
      <c r="K1137" s="84">
        <f t="shared" ca="1" si="239"/>
        <v>300</v>
      </c>
      <c r="L1137" s="84">
        <f t="shared" ca="1" si="239"/>
        <v>1216.5</v>
      </c>
      <c r="M1137" s="84">
        <f t="shared" ca="1" si="240"/>
        <v>600</v>
      </c>
      <c r="N1137" s="84">
        <f t="shared" ca="1" si="240"/>
        <v>72.5</v>
      </c>
      <c r="O1137" s="84">
        <f t="shared" ca="1" si="240"/>
        <v>240</v>
      </c>
      <c r="P1137" s="84">
        <f t="shared" ca="1" si="240"/>
        <v>40</v>
      </c>
      <c r="Q1137" s="84">
        <f t="shared" ca="1" si="240"/>
        <v>315</v>
      </c>
      <c r="R1137" s="84">
        <f t="shared" ca="1" si="240"/>
        <v>100</v>
      </c>
      <c r="S1137" s="84">
        <f t="shared" ca="1" si="240"/>
        <v>695</v>
      </c>
      <c r="T1137" s="84">
        <f t="shared" ca="1" si="240"/>
        <v>33.333333333333336</v>
      </c>
      <c r="U1137" s="85"/>
      <c r="V1137" s="85"/>
      <c r="W1137" s="85"/>
      <c r="X1137" s="85"/>
      <c r="Y1137" s="85"/>
      <c r="Z1137" s="85"/>
      <c r="AA1137" s="85"/>
      <c r="AB1137" s="85"/>
      <c r="AC1137" s="85"/>
      <c r="AD1137" s="85"/>
    </row>
    <row r="1138" spans="1:30" ht="15" x14ac:dyDescent="0.2">
      <c r="A1138" s="11">
        <f t="shared" si="238"/>
        <v>2082</v>
      </c>
      <c r="B1138" s="11">
        <f t="shared" si="241"/>
        <v>365</v>
      </c>
      <c r="C1138" s="84">
        <f t="shared" ref="C1138:L1147" ca="1" si="242">AVERAGE(OFFSET(C$600,($A1138-$A$1118)*12,0,12,1))</f>
        <v>154.75825</v>
      </c>
      <c r="D1138" s="84">
        <f t="shared" ca="1" si="242"/>
        <v>281.0162499999999</v>
      </c>
      <c r="E1138" s="84">
        <f t="shared" ca="1" si="242"/>
        <v>109.1005</v>
      </c>
      <c r="F1138" s="84">
        <f t="shared" ca="1" si="242"/>
        <v>57.041666666666664</v>
      </c>
      <c r="G1138" s="84">
        <f t="shared" ca="1" si="242"/>
        <v>40</v>
      </c>
      <c r="H1138" s="84">
        <f t="shared" ca="1" si="242"/>
        <v>174.58333333333334</v>
      </c>
      <c r="I1138" s="84">
        <f t="shared" ca="1" si="242"/>
        <v>0</v>
      </c>
      <c r="J1138" s="84">
        <f t="shared" ca="1" si="242"/>
        <v>100</v>
      </c>
      <c r="K1138" s="84">
        <f t="shared" ca="1" si="242"/>
        <v>300</v>
      </c>
      <c r="L1138" s="84">
        <f t="shared" ca="1" si="242"/>
        <v>1216.5</v>
      </c>
      <c r="M1138" s="84">
        <f t="shared" ref="M1138:T1147" ca="1" si="243">AVERAGE(OFFSET(M$600,($A1138-$A$1118)*12,0,12,1))</f>
        <v>600</v>
      </c>
      <c r="N1138" s="84">
        <f t="shared" ca="1" si="243"/>
        <v>72.5</v>
      </c>
      <c r="O1138" s="84">
        <f t="shared" ca="1" si="243"/>
        <v>240</v>
      </c>
      <c r="P1138" s="84">
        <f t="shared" ca="1" si="243"/>
        <v>40</v>
      </c>
      <c r="Q1138" s="84">
        <f t="shared" ca="1" si="243"/>
        <v>315</v>
      </c>
      <c r="R1138" s="84">
        <f t="shared" ca="1" si="243"/>
        <v>100</v>
      </c>
      <c r="S1138" s="84">
        <f t="shared" ca="1" si="243"/>
        <v>695</v>
      </c>
      <c r="T1138" s="84">
        <f t="shared" ca="1" si="243"/>
        <v>33.333333333333336</v>
      </c>
      <c r="U1138" s="85"/>
      <c r="V1138" s="85"/>
      <c r="W1138" s="85"/>
      <c r="X1138" s="85"/>
      <c r="Y1138" s="85"/>
      <c r="Z1138" s="85"/>
      <c r="AA1138" s="85"/>
      <c r="AB1138" s="85"/>
      <c r="AC1138" s="85"/>
      <c r="AD1138" s="85"/>
    </row>
    <row r="1139" spans="1:30" ht="15" x14ac:dyDescent="0.2">
      <c r="A1139" s="11">
        <f t="shared" si="238"/>
        <v>2083</v>
      </c>
      <c r="B1139" s="11">
        <f t="shared" si="241"/>
        <v>365</v>
      </c>
      <c r="C1139" s="84">
        <f t="shared" ca="1" si="242"/>
        <v>154.75825</v>
      </c>
      <c r="D1139" s="84">
        <f t="shared" ca="1" si="242"/>
        <v>281.0162499999999</v>
      </c>
      <c r="E1139" s="84">
        <f t="shared" ca="1" si="242"/>
        <v>109.1005</v>
      </c>
      <c r="F1139" s="84">
        <f t="shared" ca="1" si="242"/>
        <v>57.041666666666664</v>
      </c>
      <c r="G1139" s="84">
        <f t="shared" ca="1" si="242"/>
        <v>40</v>
      </c>
      <c r="H1139" s="84">
        <f t="shared" ca="1" si="242"/>
        <v>174.58333333333334</v>
      </c>
      <c r="I1139" s="84">
        <f t="shared" ca="1" si="242"/>
        <v>0</v>
      </c>
      <c r="J1139" s="84">
        <f t="shared" ca="1" si="242"/>
        <v>100</v>
      </c>
      <c r="K1139" s="84">
        <f t="shared" ca="1" si="242"/>
        <v>300</v>
      </c>
      <c r="L1139" s="84">
        <f t="shared" ca="1" si="242"/>
        <v>1216.5</v>
      </c>
      <c r="M1139" s="84">
        <f t="shared" ca="1" si="243"/>
        <v>600</v>
      </c>
      <c r="N1139" s="84">
        <f t="shared" ca="1" si="243"/>
        <v>72.5</v>
      </c>
      <c r="O1139" s="84">
        <f t="shared" ca="1" si="243"/>
        <v>240</v>
      </c>
      <c r="P1139" s="84">
        <f t="shared" ca="1" si="243"/>
        <v>40</v>
      </c>
      <c r="Q1139" s="84">
        <f t="shared" ca="1" si="243"/>
        <v>315</v>
      </c>
      <c r="R1139" s="84">
        <f t="shared" ca="1" si="243"/>
        <v>100</v>
      </c>
      <c r="S1139" s="84">
        <f t="shared" ca="1" si="243"/>
        <v>695</v>
      </c>
      <c r="T1139" s="84">
        <f t="shared" ca="1" si="243"/>
        <v>33.333333333333336</v>
      </c>
      <c r="U1139" s="85"/>
      <c r="V1139" s="85"/>
      <c r="W1139" s="85"/>
      <c r="X1139" s="85"/>
      <c r="Y1139" s="85"/>
      <c r="Z1139" s="85"/>
      <c r="AA1139" s="85"/>
      <c r="AB1139" s="85"/>
      <c r="AC1139" s="85"/>
      <c r="AD1139" s="85"/>
    </row>
    <row r="1140" spans="1:30" ht="15" x14ac:dyDescent="0.2">
      <c r="A1140" s="11">
        <f t="shared" si="238"/>
        <v>2084</v>
      </c>
      <c r="B1140" s="11">
        <f t="shared" si="241"/>
        <v>366</v>
      </c>
      <c r="C1140" s="84">
        <f t="shared" ca="1" si="242"/>
        <v>154.75825</v>
      </c>
      <c r="D1140" s="84">
        <f t="shared" ca="1" si="242"/>
        <v>281.0162499999999</v>
      </c>
      <c r="E1140" s="84">
        <f t="shared" ca="1" si="242"/>
        <v>109.1005</v>
      </c>
      <c r="F1140" s="84">
        <f t="shared" ca="1" si="242"/>
        <v>57.041666666666664</v>
      </c>
      <c r="G1140" s="84">
        <f t="shared" ca="1" si="242"/>
        <v>40</v>
      </c>
      <c r="H1140" s="84">
        <f t="shared" ca="1" si="242"/>
        <v>174.58333333333334</v>
      </c>
      <c r="I1140" s="84">
        <f t="shared" ca="1" si="242"/>
        <v>0</v>
      </c>
      <c r="J1140" s="84">
        <f t="shared" ca="1" si="242"/>
        <v>100</v>
      </c>
      <c r="K1140" s="84">
        <f t="shared" ca="1" si="242"/>
        <v>300</v>
      </c>
      <c r="L1140" s="84">
        <f t="shared" ca="1" si="242"/>
        <v>1216.5</v>
      </c>
      <c r="M1140" s="84">
        <f t="shared" ca="1" si="243"/>
        <v>600</v>
      </c>
      <c r="N1140" s="84">
        <f t="shared" ca="1" si="243"/>
        <v>72.5</v>
      </c>
      <c r="O1140" s="84">
        <f t="shared" ca="1" si="243"/>
        <v>240</v>
      </c>
      <c r="P1140" s="84">
        <f t="shared" ca="1" si="243"/>
        <v>40</v>
      </c>
      <c r="Q1140" s="84">
        <f t="shared" ca="1" si="243"/>
        <v>315</v>
      </c>
      <c r="R1140" s="84">
        <f t="shared" ca="1" si="243"/>
        <v>100</v>
      </c>
      <c r="S1140" s="84">
        <f t="shared" ca="1" si="243"/>
        <v>695</v>
      </c>
      <c r="T1140" s="84">
        <f t="shared" ca="1" si="243"/>
        <v>33.333333333333336</v>
      </c>
      <c r="U1140" s="85"/>
      <c r="V1140" s="85"/>
      <c r="W1140" s="85"/>
      <c r="X1140" s="85"/>
      <c r="Y1140" s="85"/>
      <c r="Z1140" s="85"/>
      <c r="AA1140" s="85"/>
      <c r="AB1140" s="85"/>
      <c r="AC1140" s="85"/>
      <c r="AD1140" s="85"/>
    </row>
    <row r="1141" spans="1:30" ht="15" x14ac:dyDescent="0.2">
      <c r="A1141" s="11">
        <f t="shared" si="238"/>
        <v>2085</v>
      </c>
      <c r="B1141" s="11">
        <f t="shared" si="241"/>
        <v>365</v>
      </c>
      <c r="C1141" s="84">
        <f t="shared" ca="1" si="242"/>
        <v>154.75825</v>
      </c>
      <c r="D1141" s="84">
        <f t="shared" ca="1" si="242"/>
        <v>281.0162499999999</v>
      </c>
      <c r="E1141" s="84">
        <f t="shared" ca="1" si="242"/>
        <v>109.1005</v>
      </c>
      <c r="F1141" s="84">
        <f t="shared" ca="1" si="242"/>
        <v>57.041666666666664</v>
      </c>
      <c r="G1141" s="84">
        <f t="shared" ca="1" si="242"/>
        <v>40</v>
      </c>
      <c r="H1141" s="84">
        <f t="shared" ca="1" si="242"/>
        <v>174.58333333333334</v>
      </c>
      <c r="I1141" s="84">
        <f t="shared" ca="1" si="242"/>
        <v>0</v>
      </c>
      <c r="J1141" s="84">
        <f t="shared" ca="1" si="242"/>
        <v>100</v>
      </c>
      <c r="K1141" s="84">
        <f t="shared" ca="1" si="242"/>
        <v>300</v>
      </c>
      <c r="L1141" s="84">
        <f t="shared" ca="1" si="242"/>
        <v>1216.5</v>
      </c>
      <c r="M1141" s="84">
        <f t="shared" ca="1" si="243"/>
        <v>600</v>
      </c>
      <c r="N1141" s="84">
        <f t="shared" ca="1" si="243"/>
        <v>72.5</v>
      </c>
      <c r="O1141" s="84">
        <f t="shared" ca="1" si="243"/>
        <v>240</v>
      </c>
      <c r="P1141" s="84">
        <f t="shared" ca="1" si="243"/>
        <v>40</v>
      </c>
      <c r="Q1141" s="84">
        <f t="shared" ca="1" si="243"/>
        <v>315</v>
      </c>
      <c r="R1141" s="84">
        <f t="shared" ca="1" si="243"/>
        <v>100</v>
      </c>
      <c r="S1141" s="84">
        <f t="shared" ca="1" si="243"/>
        <v>695</v>
      </c>
      <c r="T1141" s="84">
        <f t="shared" ca="1" si="243"/>
        <v>33.333333333333336</v>
      </c>
      <c r="U1141" s="85"/>
      <c r="V1141" s="85"/>
      <c r="W1141" s="85"/>
      <c r="X1141" s="85"/>
      <c r="Y1141" s="85"/>
      <c r="Z1141" s="85"/>
      <c r="AA1141" s="85"/>
      <c r="AB1141" s="85"/>
      <c r="AC1141" s="85"/>
      <c r="AD1141" s="85"/>
    </row>
    <row r="1142" spans="1:30" ht="15" x14ac:dyDescent="0.2">
      <c r="A1142" s="11">
        <f t="shared" si="238"/>
        <v>2086</v>
      </c>
      <c r="B1142" s="11">
        <f t="shared" si="241"/>
        <v>365</v>
      </c>
      <c r="C1142" s="84">
        <f t="shared" ca="1" si="242"/>
        <v>154.75825</v>
      </c>
      <c r="D1142" s="84">
        <f t="shared" ca="1" si="242"/>
        <v>281.0162499999999</v>
      </c>
      <c r="E1142" s="84">
        <f t="shared" ca="1" si="242"/>
        <v>109.1005</v>
      </c>
      <c r="F1142" s="84">
        <f t="shared" ca="1" si="242"/>
        <v>57.041666666666664</v>
      </c>
      <c r="G1142" s="84">
        <f t="shared" ca="1" si="242"/>
        <v>40</v>
      </c>
      <c r="H1142" s="84">
        <f t="shared" ca="1" si="242"/>
        <v>174.58333333333334</v>
      </c>
      <c r="I1142" s="84">
        <f t="shared" ca="1" si="242"/>
        <v>0</v>
      </c>
      <c r="J1142" s="84">
        <f t="shared" ca="1" si="242"/>
        <v>100</v>
      </c>
      <c r="K1142" s="84">
        <f t="shared" ca="1" si="242"/>
        <v>300</v>
      </c>
      <c r="L1142" s="84">
        <f t="shared" ca="1" si="242"/>
        <v>1216.5</v>
      </c>
      <c r="M1142" s="84">
        <f t="shared" ca="1" si="243"/>
        <v>600</v>
      </c>
      <c r="N1142" s="84">
        <f t="shared" ca="1" si="243"/>
        <v>72.5</v>
      </c>
      <c r="O1142" s="84">
        <f t="shared" ca="1" si="243"/>
        <v>240</v>
      </c>
      <c r="P1142" s="84">
        <f t="shared" ca="1" si="243"/>
        <v>40</v>
      </c>
      <c r="Q1142" s="84">
        <f t="shared" ca="1" si="243"/>
        <v>315</v>
      </c>
      <c r="R1142" s="84">
        <f t="shared" ca="1" si="243"/>
        <v>100</v>
      </c>
      <c r="S1142" s="84">
        <f t="shared" ca="1" si="243"/>
        <v>695</v>
      </c>
      <c r="T1142" s="84">
        <f t="shared" ca="1" si="243"/>
        <v>33.333333333333336</v>
      </c>
      <c r="U1142" s="85"/>
      <c r="V1142" s="85"/>
      <c r="W1142" s="85"/>
      <c r="X1142" s="85"/>
      <c r="Y1142" s="85"/>
      <c r="Z1142" s="85"/>
      <c r="AA1142" s="85"/>
      <c r="AB1142" s="85"/>
      <c r="AC1142" s="85"/>
      <c r="AD1142" s="85"/>
    </row>
    <row r="1143" spans="1:30" ht="15" x14ac:dyDescent="0.2">
      <c r="A1143" s="11">
        <f t="shared" si="238"/>
        <v>2087</v>
      </c>
      <c r="B1143" s="11">
        <f t="shared" si="241"/>
        <v>365</v>
      </c>
      <c r="C1143" s="84">
        <f t="shared" ca="1" si="242"/>
        <v>154.75825</v>
      </c>
      <c r="D1143" s="84">
        <f t="shared" ca="1" si="242"/>
        <v>281.0162499999999</v>
      </c>
      <c r="E1143" s="84">
        <f t="shared" ca="1" si="242"/>
        <v>109.1005</v>
      </c>
      <c r="F1143" s="84">
        <f t="shared" ca="1" si="242"/>
        <v>57.041666666666664</v>
      </c>
      <c r="G1143" s="84">
        <f t="shared" ca="1" si="242"/>
        <v>40</v>
      </c>
      <c r="H1143" s="84">
        <f t="shared" ca="1" si="242"/>
        <v>174.58333333333334</v>
      </c>
      <c r="I1143" s="84">
        <f t="shared" ca="1" si="242"/>
        <v>0</v>
      </c>
      <c r="J1143" s="84">
        <f t="shared" ca="1" si="242"/>
        <v>100</v>
      </c>
      <c r="K1143" s="84">
        <f t="shared" ca="1" si="242"/>
        <v>300</v>
      </c>
      <c r="L1143" s="84">
        <f t="shared" ca="1" si="242"/>
        <v>1216.5</v>
      </c>
      <c r="M1143" s="84">
        <f t="shared" ca="1" si="243"/>
        <v>600</v>
      </c>
      <c r="N1143" s="84">
        <f t="shared" ca="1" si="243"/>
        <v>72.5</v>
      </c>
      <c r="O1143" s="84">
        <f t="shared" ca="1" si="243"/>
        <v>240</v>
      </c>
      <c r="P1143" s="84">
        <f t="shared" ca="1" si="243"/>
        <v>40</v>
      </c>
      <c r="Q1143" s="84">
        <f t="shared" ca="1" si="243"/>
        <v>315</v>
      </c>
      <c r="R1143" s="84">
        <f t="shared" ca="1" si="243"/>
        <v>100</v>
      </c>
      <c r="S1143" s="84">
        <f t="shared" ca="1" si="243"/>
        <v>695</v>
      </c>
      <c r="T1143" s="84">
        <f t="shared" ca="1" si="243"/>
        <v>33.333333333333336</v>
      </c>
      <c r="U1143" s="85"/>
      <c r="V1143" s="85"/>
      <c r="W1143" s="85"/>
      <c r="X1143" s="85"/>
      <c r="Y1143" s="85"/>
      <c r="Z1143" s="85"/>
      <c r="AA1143" s="85"/>
      <c r="AB1143" s="85"/>
      <c r="AC1143" s="85"/>
      <c r="AD1143" s="85"/>
    </row>
    <row r="1144" spans="1:30" ht="15" x14ac:dyDescent="0.2">
      <c r="A1144" s="11">
        <f t="shared" si="238"/>
        <v>2088</v>
      </c>
      <c r="B1144" s="11">
        <f t="shared" si="241"/>
        <v>366</v>
      </c>
      <c r="C1144" s="84">
        <f t="shared" ca="1" si="242"/>
        <v>154.75825</v>
      </c>
      <c r="D1144" s="84">
        <f t="shared" ca="1" si="242"/>
        <v>281.0162499999999</v>
      </c>
      <c r="E1144" s="84">
        <f t="shared" ca="1" si="242"/>
        <v>109.1005</v>
      </c>
      <c r="F1144" s="84">
        <f t="shared" ca="1" si="242"/>
        <v>57.041666666666664</v>
      </c>
      <c r="G1144" s="84">
        <f t="shared" ca="1" si="242"/>
        <v>40</v>
      </c>
      <c r="H1144" s="84">
        <f t="shared" ca="1" si="242"/>
        <v>174.58333333333334</v>
      </c>
      <c r="I1144" s="84">
        <f t="shared" ca="1" si="242"/>
        <v>0</v>
      </c>
      <c r="J1144" s="84">
        <f t="shared" ca="1" si="242"/>
        <v>100</v>
      </c>
      <c r="K1144" s="84">
        <f t="shared" ca="1" si="242"/>
        <v>300</v>
      </c>
      <c r="L1144" s="84">
        <f t="shared" ca="1" si="242"/>
        <v>1216.5</v>
      </c>
      <c r="M1144" s="84">
        <f t="shared" ca="1" si="243"/>
        <v>600</v>
      </c>
      <c r="N1144" s="84">
        <f t="shared" ca="1" si="243"/>
        <v>72.5</v>
      </c>
      <c r="O1144" s="84">
        <f t="shared" ca="1" si="243"/>
        <v>240</v>
      </c>
      <c r="P1144" s="84">
        <f t="shared" ca="1" si="243"/>
        <v>40</v>
      </c>
      <c r="Q1144" s="84">
        <f t="shared" ca="1" si="243"/>
        <v>315</v>
      </c>
      <c r="R1144" s="84">
        <f t="shared" ca="1" si="243"/>
        <v>100</v>
      </c>
      <c r="S1144" s="84">
        <f t="shared" ca="1" si="243"/>
        <v>695</v>
      </c>
      <c r="T1144" s="84">
        <f t="shared" ca="1" si="243"/>
        <v>33.333333333333336</v>
      </c>
      <c r="U1144" s="85"/>
      <c r="V1144" s="85"/>
      <c r="W1144" s="85"/>
      <c r="X1144" s="85"/>
      <c r="Y1144" s="85"/>
      <c r="Z1144" s="85"/>
      <c r="AA1144" s="85"/>
      <c r="AB1144" s="85"/>
      <c r="AC1144" s="85"/>
      <c r="AD1144" s="85"/>
    </row>
    <row r="1145" spans="1:30" ht="15" x14ac:dyDescent="0.2">
      <c r="A1145" s="11">
        <f t="shared" si="238"/>
        <v>2089</v>
      </c>
      <c r="B1145" s="11">
        <f t="shared" si="241"/>
        <v>365</v>
      </c>
      <c r="C1145" s="84">
        <f t="shared" ca="1" si="242"/>
        <v>154.75825</v>
      </c>
      <c r="D1145" s="84">
        <f t="shared" ca="1" si="242"/>
        <v>281.0162499999999</v>
      </c>
      <c r="E1145" s="84">
        <f t="shared" ca="1" si="242"/>
        <v>109.1005</v>
      </c>
      <c r="F1145" s="84">
        <f t="shared" ca="1" si="242"/>
        <v>57.041666666666664</v>
      </c>
      <c r="G1145" s="84">
        <f t="shared" ca="1" si="242"/>
        <v>40</v>
      </c>
      <c r="H1145" s="84">
        <f t="shared" ca="1" si="242"/>
        <v>174.58333333333334</v>
      </c>
      <c r="I1145" s="84">
        <f t="shared" ca="1" si="242"/>
        <v>0</v>
      </c>
      <c r="J1145" s="84">
        <f t="shared" ca="1" si="242"/>
        <v>100</v>
      </c>
      <c r="K1145" s="84">
        <f t="shared" ca="1" si="242"/>
        <v>300</v>
      </c>
      <c r="L1145" s="84">
        <f t="shared" ca="1" si="242"/>
        <v>1216.5</v>
      </c>
      <c r="M1145" s="84">
        <f t="shared" ca="1" si="243"/>
        <v>600</v>
      </c>
      <c r="N1145" s="84">
        <f t="shared" ca="1" si="243"/>
        <v>72.5</v>
      </c>
      <c r="O1145" s="84">
        <f t="shared" ca="1" si="243"/>
        <v>240</v>
      </c>
      <c r="P1145" s="84">
        <f t="shared" ca="1" si="243"/>
        <v>40</v>
      </c>
      <c r="Q1145" s="84">
        <f t="shared" ca="1" si="243"/>
        <v>315</v>
      </c>
      <c r="R1145" s="84">
        <f t="shared" ca="1" si="243"/>
        <v>100</v>
      </c>
      <c r="S1145" s="84">
        <f t="shared" ca="1" si="243"/>
        <v>695</v>
      </c>
      <c r="T1145" s="84">
        <f t="shared" ca="1" si="243"/>
        <v>33.333333333333336</v>
      </c>
      <c r="U1145" s="85"/>
      <c r="V1145" s="85"/>
      <c r="W1145" s="85"/>
      <c r="X1145" s="85"/>
      <c r="Y1145" s="85"/>
      <c r="Z1145" s="85"/>
      <c r="AA1145" s="85"/>
      <c r="AB1145" s="85"/>
      <c r="AC1145" s="85"/>
      <c r="AD1145" s="85"/>
    </row>
    <row r="1146" spans="1:30" ht="15" x14ac:dyDescent="0.2">
      <c r="A1146" s="11">
        <f t="shared" si="238"/>
        <v>2090</v>
      </c>
      <c r="B1146" s="11">
        <f t="shared" si="241"/>
        <v>365</v>
      </c>
      <c r="C1146" s="84">
        <f t="shared" ca="1" si="242"/>
        <v>154.75825</v>
      </c>
      <c r="D1146" s="84">
        <f t="shared" ca="1" si="242"/>
        <v>281.0162499999999</v>
      </c>
      <c r="E1146" s="84">
        <f t="shared" ca="1" si="242"/>
        <v>109.1005</v>
      </c>
      <c r="F1146" s="84">
        <f t="shared" ca="1" si="242"/>
        <v>57.041666666666664</v>
      </c>
      <c r="G1146" s="84">
        <f t="shared" ca="1" si="242"/>
        <v>40</v>
      </c>
      <c r="H1146" s="84">
        <f t="shared" ca="1" si="242"/>
        <v>174.58333333333334</v>
      </c>
      <c r="I1146" s="84">
        <f t="shared" ca="1" si="242"/>
        <v>0</v>
      </c>
      <c r="J1146" s="84">
        <f t="shared" ca="1" si="242"/>
        <v>100</v>
      </c>
      <c r="K1146" s="84">
        <f t="shared" ca="1" si="242"/>
        <v>300</v>
      </c>
      <c r="L1146" s="84">
        <f t="shared" ca="1" si="242"/>
        <v>1216.5</v>
      </c>
      <c r="M1146" s="84">
        <f t="shared" ca="1" si="243"/>
        <v>600</v>
      </c>
      <c r="N1146" s="84">
        <f t="shared" ca="1" si="243"/>
        <v>72.5</v>
      </c>
      <c r="O1146" s="84">
        <f t="shared" ca="1" si="243"/>
        <v>240</v>
      </c>
      <c r="P1146" s="84">
        <f t="shared" ca="1" si="243"/>
        <v>40</v>
      </c>
      <c r="Q1146" s="84">
        <f t="shared" ca="1" si="243"/>
        <v>315</v>
      </c>
      <c r="R1146" s="84">
        <f t="shared" ca="1" si="243"/>
        <v>100</v>
      </c>
      <c r="S1146" s="84">
        <f t="shared" ca="1" si="243"/>
        <v>695</v>
      </c>
      <c r="T1146" s="84">
        <f t="shared" ca="1" si="243"/>
        <v>33.333333333333336</v>
      </c>
      <c r="U1146" s="85"/>
      <c r="V1146" s="85"/>
      <c r="W1146" s="85"/>
      <c r="X1146" s="85"/>
      <c r="Y1146" s="85"/>
      <c r="Z1146" s="85"/>
      <c r="AA1146" s="85"/>
      <c r="AB1146" s="85"/>
      <c r="AC1146" s="85"/>
      <c r="AD1146" s="85"/>
    </row>
    <row r="1147" spans="1:30" ht="15" x14ac:dyDescent="0.2">
      <c r="A1147" s="11">
        <f t="shared" si="238"/>
        <v>2091</v>
      </c>
      <c r="B1147" s="11">
        <f t="shared" si="241"/>
        <v>365</v>
      </c>
      <c r="C1147" s="84">
        <f t="shared" ca="1" si="242"/>
        <v>154.75825</v>
      </c>
      <c r="D1147" s="84">
        <f t="shared" ca="1" si="242"/>
        <v>281.0162499999999</v>
      </c>
      <c r="E1147" s="84">
        <f t="shared" ca="1" si="242"/>
        <v>109.1005</v>
      </c>
      <c r="F1147" s="84">
        <f t="shared" ca="1" si="242"/>
        <v>57.041666666666664</v>
      </c>
      <c r="G1147" s="84">
        <f t="shared" ca="1" si="242"/>
        <v>40</v>
      </c>
      <c r="H1147" s="84">
        <f t="shared" ca="1" si="242"/>
        <v>174.58333333333334</v>
      </c>
      <c r="I1147" s="84">
        <f t="shared" ca="1" si="242"/>
        <v>0</v>
      </c>
      <c r="J1147" s="84">
        <f t="shared" ca="1" si="242"/>
        <v>100</v>
      </c>
      <c r="K1147" s="84">
        <f t="shared" ca="1" si="242"/>
        <v>300</v>
      </c>
      <c r="L1147" s="84">
        <f t="shared" ca="1" si="242"/>
        <v>1216.5</v>
      </c>
      <c r="M1147" s="84">
        <f t="shared" ca="1" si="243"/>
        <v>600</v>
      </c>
      <c r="N1147" s="84">
        <f t="shared" ca="1" si="243"/>
        <v>72.5</v>
      </c>
      <c r="O1147" s="84">
        <f t="shared" ca="1" si="243"/>
        <v>240</v>
      </c>
      <c r="P1147" s="84">
        <f t="shared" ca="1" si="243"/>
        <v>40</v>
      </c>
      <c r="Q1147" s="84">
        <f t="shared" ca="1" si="243"/>
        <v>315</v>
      </c>
      <c r="R1147" s="84">
        <f t="shared" ca="1" si="243"/>
        <v>100</v>
      </c>
      <c r="S1147" s="84">
        <f t="shared" ca="1" si="243"/>
        <v>695</v>
      </c>
      <c r="T1147" s="84">
        <f t="shared" ca="1" si="243"/>
        <v>33.333333333333336</v>
      </c>
    </row>
    <row r="1148" spans="1:30" ht="15" x14ac:dyDescent="0.2">
      <c r="A1148" s="11">
        <f t="shared" si="238"/>
        <v>2092</v>
      </c>
      <c r="B1148" s="11">
        <f t="shared" si="241"/>
        <v>366</v>
      </c>
      <c r="C1148" s="84">
        <f t="shared" ref="C1148:L1156" ca="1" si="244">AVERAGE(OFFSET(C$600,($A1148-$A$1118)*12,0,12,1))</f>
        <v>154.75825</v>
      </c>
      <c r="D1148" s="84">
        <f t="shared" ca="1" si="244"/>
        <v>281.0162499999999</v>
      </c>
      <c r="E1148" s="84">
        <f t="shared" ca="1" si="244"/>
        <v>109.1005</v>
      </c>
      <c r="F1148" s="84">
        <f t="shared" ca="1" si="244"/>
        <v>57.041666666666664</v>
      </c>
      <c r="G1148" s="84">
        <f t="shared" ca="1" si="244"/>
        <v>40</v>
      </c>
      <c r="H1148" s="84">
        <f t="shared" ca="1" si="244"/>
        <v>174.58333333333334</v>
      </c>
      <c r="I1148" s="84">
        <f t="shared" ca="1" si="244"/>
        <v>0</v>
      </c>
      <c r="J1148" s="84">
        <f t="shared" ca="1" si="244"/>
        <v>100</v>
      </c>
      <c r="K1148" s="84">
        <f t="shared" ca="1" si="244"/>
        <v>300</v>
      </c>
      <c r="L1148" s="84">
        <f t="shared" ca="1" si="244"/>
        <v>1216.5</v>
      </c>
      <c r="M1148" s="84">
        <f t="shared" ref="M1148:T1156" ca="1" si="245">AVERAGE(OFFSET(M$600,($A1148-$A$1118)*12,0,12,1))</f>
        <v>600</v>
      </c>
      <c r="N1148" s="84">
        <f t="shared" ca="1" si="245"/>
        <v>72.5</v>
      </c>
      <c r="O1148" s="84">
        <f t="shared" ca="1" si="245"/>
        <v>240</v>
      </c>
      <c r="P1148" s="84">
        <f t="shared" ca="1" si="245"/>
        <v>40</v>
      </c>
      <c r="Q1148" s="84">
        <f t="shared" ca="1" si="245"/>
        <v>315</v>
      </c>
      <c r="R1148" s="84">
        <f t="shared" ca="1" si="245"/>
        <v>100</v>
      </c>
      <c r="S1148" s="84">
        <f t="shared" ca="1" si="245"/>
        <v>695</v>
      </c>
      <c r="T1148" s="84">
        <f t="shared" ca="1" si="245"/>
        <v>33.333333333333336</v>
      </c>
    </row>
    <row r="1149" spans="1:30" ht="15" x14ac:dyDescent="0.2">
      <c r="A1149" s="11">
        <f t="shared" si="238"/>
        <v>2093</v>
      </c>
      <c r="B1149" s="11">
        <f t="shared" si="241"/>
        <v>365</v>
      </c>
      <c r="C1149" s="84">
        <f t="shared" ca="1" si="244"/>
        <v>154.75825</v>
      </c>
      <c r="D1149" s="84">
        <f t="shared" ca="1" si="244"/>
        <v>281.0162499999999</v>
      </c>
      <c r="E1149" s="84">
        <f t="shared" ca="1" si="244"/>
        <v>109.1005</v>
      </c>
      <c r="F1149" s="84">
        <f t="shared" ca="1" si="244"/>
        <v>57.041666666666664</v>
      </c>
      <c r="G1149" s="84">
        <f t="shared" ca="1" si="244"/>
        <v>40</v>
      </c>
      <c r="H1149" s="84">
        <f t="shared" ca="1" si="244"/>
        <v>174.58333333333334</v>
      </c>
      <c r="I1149" s="84">
        <f t="shared" ca="1" si="244"/>
        <v>0</v>
      </c>
      <c r="J1149" s="84">
        <f t="shared" ca="1" si="244"/>
        <v>100</v>
      </c>
      <c r="K1149" s="84">
        <f t="shared" ca="1" si="244"/>
        <v>300</v>
      </c>
      <c r="L1149" s="84">
        <f t="shared" ca="1" si="244"/>
        <v>1216.5</v>
      </c>
      <c r="M1149" s="84">
        <f t="shared" ca="1" si="245"/>
        <v>600</v>
      </c>
      <c r="N1149" s="84">
        <f t="shared" ca="1" si="245"/>
        <v>72.5</v>
      </c>
      <c r="O1149" s="84">
        <f t="shared" ca="1" si="245"/>
        <v>240</v>
      </c>
      <c r="P1149" s="84">
        <f t="shared" ca="1" si="245"/>
        <v>40</v>
      </c>
      <c r="Q1149" s="84">
        <f t="shared" ca="1" si="245"/>
        <v>315</v>
      </c>
      <c r="R1149" s="84">
        <f t="shared" ca="1" si="245"/>
        <v>100</v>
      </c>
      <c r="S1149" s="84">
        <f t="shared" ca="1" si="245"/>
        <v>695</v>
      </c>
      <c r="T1149" s="84">
        <f t="shared" ca="1" si="245"/>
        <v>33.333333333333336</v>
      </c>
    </row>
    <row r="1150" spans="1:30" ht="15" x14ac:dyDescent="0.2">
      <c r="A1150" s="11">
        <f t="shared" si="238"/>
        <v>2094</v>
      </c>
      <c r="B1150" s="11">
        <f t="shared" si="241"/>
        <v>365</v>
      </c>
      <c r="C1150" s="84">
        <f t="shared" ca="1" si="244"/>
        <v>154.75825</v>
      </c>
      <c r="D1150" s="84">
        <f t="shared" ca="1" si="244"/>
        <v>281.0162499999999</v>
      </c>
      <c r="E1150" s="84">
        <f t="shared" ca="1" si="244"/>
        <v>109.1005</v>
      </c>
      <c r="F1150" s="84">
        <f t="shared" ca="1" si="244"/>
        <v>57.041666666666664</v>
      </c>
      <c r="G1150" s="84">
        <f t="shared" ca="1" si="244"/>
        <v>40</v>
      </c>
      <c r="H1150" s="84">
        <f t="shared" ca="1" si="244"/>
        <v>174.58333333333334</v>
      </c>
      <c r="I1150" s="84">
        <f t="shared" ca="1" si="244"/>
        <v>0</v>
      </c>
      <c r="J1150" s="84">
        <f t="shared" ca="1" si="244"/>
        <v>100</v>
      </c>
      <c r="K1150" s="84">
        <f t="shared" ca="1" si="244"/>
        <v>300</v>
      </c>
      <c r="L1150" s="84">
        <f t="shared" ca="1" si="244"/>
        <v>1216.5</v>
      </c>
      <c r="M1150" s="84">
        <f t="shared" ca="1" si="245"/>
        <v>600</v>
      </c>
      <c r="N1150" s="84">
        <f t="shared" ca="1" si="245"/>
        <v>72.5</v>
      </c>
      <c r="O1150" s="84">
        <f t="shared" ca="1" si="245"/>
        <v>240</v>
      </c>
      <c r="P1150" s="84">
        <f t="shared" ca="1" si="245"/>
        <v>40</v>
      </c>
      <c r="Q1150" s="84">
        <f t="shared" ca="1" si="245"/>
        <v>315</v>
      </c>
      <c r="R1150" s="84">
        <f t="shared" ca="1" si="245"/>
        <v>100</v>
      </c>
      <c r="S1150" s="84">
        <f t="shared" ca="1" si="245"/>
        <v>695</v>
      </c>
      <c r="T1150" s="84">
        <f t="shared" ca="1" si="245"/>
        <v>33.333333333333336</v>
      </c>
    </row>
    <row r="1151" spans="1:30" ht="15" x14ac:dyDescent="0.2">
      <c r="A1151" s="11">
        <f t="shared" si="238"/>
        <v>2095</v>
      </c>
      <c r="B1151" s="11">
        <f t="shared" si="241"/>
        <v>365</v>
      </c>
      <c r="C1151" s="84">
        <f t="shared" ca="1" si="244"/>
        <v>154.75825</v>
      </c>
      <c r="D1151" s="84">
        <f t="shared" ca="1" si="244"/>
        <v>281.0162499999999</v>
      </c>
      <c r="E1151" s="84">
        <f t="shared" ca="1" si="244"/>
        <v>109.1005</v>
      </c>
      <c r="F1151" s="84">
        <f t="shared" ca="1" si="244"/>
        <v>57.041666666666664</v>
      </c>
      <c r="G1151" s="84">
        <f t="shared" ca="1" si="244"/>
        <v>40</v>
      </c>
      <c r="H1151" s="84">
        <f t="shared" ca="1" si="244"/>
        <v>174.58333333333334</v>
      </c>
      <c r="I1151" s="84">
        <f t="shared" ca="1" si="244"/>
        <v>0</v>
      </c>
      <c r="J1151" s="84">
        <f t="shared" ca="1" si="244"/>
        <v>100</v>
      </c>
      <c r="K1151" s="84">
        <f t="shared" ca="1" si="244"/>
        <v>300</v>
      </c>
      <c r="L1151" s="84">
        <f t="shared" ca="1" si="244"/>
        <v>1216.5</v>
      </c>
      <c r="M1151" s="84">
        <f t="shared" ca="1" si="245"/>
        <v>600</v>
      </c>
      <c r="N1151" s="84">
        <f t="shared" ca="1" si="245"/>
        <v>72.5</v>
      </c>
      <c r="O1151" s="84">
        <f t="shared" ca="1" si="245"/>
        <v>240</v>
      </c>
      <c r="P1151" s="84">
        <f t="shared" ca="1" si="245"/>
        <v>40</v>
      </c>
      <c r="Q1151" s="84">
        <f t="shared" ca="1" si="245"/>
        <v>315</v>
      </c>
      <c r="R1151" s="84">
        <f t="shared" ca="1" si="245"/>
        <v>100</v>
      </c>
      <c r="S1151" s="84">
        <f t="shared" ca="1" si="245"/>
        <v>695</v>
      </c>
      <c r="T1151" s="84">
        <f t="shared" ca="1" si="245"/>
        <v>33.333333333333336</v>
      </c>
    </row>
    <row r="1152" spans="1:30" ht="15" x14ac:dyDescent="0.2">
      <c r="A1152" s="11">
        <f t="shared" si="238"/>
        <v>2096</v>
      </c>
      <c r="B1152" s="11">
        <f t="shared" si="241"/>
        <v>366</v>
      </c>
      <c r="C1152" s="84">
        <f t="shared" ca="1" si="244"/>
        <v>154.75825</v>
      </c>
      <c r="D1152" s="84">
        <f t="shared" ca="1" si="244"/>
        <v>281.0162499999999</v>
      </c>
      <c r="E1152" s="84">
        <f t="shared" ca="1" si="244"/>
        <v>109.1005</v>
      </c>
      <c r="F1152" s="84">
        <f t="shared" ca="1" si="244"/>
        <v>57.041666666666664</v>
      </c>
      <c r="G1152" s="84">
        <f t="shared" ca="1" si="244"/>
        <v>40</v>
      </c>
      <c r="H1152" s="84">
        <f t="shared" ca="1" si="244"/>
        <v>174.58333333333334</v>
      </c>
      <c r="I1152" s="84">
        <f t="shared" ca="1" si="244"/>
        <v>0</v>
      </c>
      <c r="J1152" s="84">
        <f t="shared" ca="1" si="244"/>
        <v>100</v>
      </c>
      <c r="K1152" s="84">
        <f t="shared" ca="1" si="244"/>
        <v>300</v>
      </c>
      <c r="L1152" s="84">
        <f t="shared" ca="1" si="244"/>
        <v>1216.5</v>
      </c>
      <c r="M1152" s="84">
        <f t="shared" ca="1" si="245"/>
        <v>600</v>
      </c>
      <c r="N1152" s="84">
        <f t="shared" ca="1" si="245"/>
        <v>72.5</v>
      </c>
      <c r="O1152" s="84">
        <f t="shared" ca="1" si="245"/>
        <v>240</v>
      </c>
      <c r="P1152" s="84">
        <f t="shared" ca="1" si="245"/>
        <v>40</v>
      </c>
      <c r="Q1152" s="84">
        <f t="shared" ca="1" si="245"/>
        <v>315</v>
      </c>
      <c r="R1152" s="84">
        <f t="shared" ca="1" si="245"/>
        <v>100</v>
      </c>
      <c r="S1152" s="84">
        <f t="shared" ca="1" si="245"/>
        <v>695</v>
      </c>
      <c r="T1152" s="84">
        <f t="shared" ca="1" si="245"/>
        <v>33.333333333333336</v>
      </c>
    </row>
    <row r="1153" spans="1:20" ht="15" x14ac:dyDescent="0.2">
      <c r="A1153" s="11">
        <f t="shared" si="238"/>
        <v>2097</v>
      </c>
      <c r="B1153" s="11">
        <f t="shared" si="241"/>
        <v>365</v>
      </c>
      <c r="C1153" s="84">
        <f t="shared" ca="1" si="244"/>
        <v>154.75825</v>
      </c>
      <c r="D1153" s="84">
        <f t="shared" ca="1" si="244"/>
        <v>281.0162499999999</v>
      </c>
      <c r="E1153" s="84">
        <f t="shared" ca="1" si="244"/>
        <v>109.1005</v>
      </c>
      <c r="F1153" s="84">
        <f t="shared" ca="1" si="244"/>
        <v>57.041666666666664</v>
      </c>
      <c r="G1153" s="84">
        <f t="shared" ca="1" si="244"/>
        <v>40</v>
      </c>
      <c r="H1153" s="84">
        <f t="shared" ca="1" si="244"/>
        <v>174.58333333333334</v>
      </c>
      <c r="I1153" s="84">
        <f t="shared" ca="1" si="244"/>
        <v>0</v>
      </c>
      <c r="J1153" s="84">
        <f t="shared" ca="1" si="244"/>
        <v>100</v>
      </c>
      <c r="K1153" s="84">
        <f t="shared" ca="1" si="244"/>
        <v>300</v>
      </c>
      <c r="L1153" s="84">
        <f t="shared" ca="1" si="244"/>
        <v>1216.5</v>
      </c>
      <c r="M1153" s="84">
        <f t="shared" ca="1" si="245"/>
        <v>600</v>
      </c>
      <c r="N1153" s="84">
        <f t="shared" ca="1" si="245"/>
        <v>72.5</v>
      </c>
      <c r="O1153" s="84">
        <f t="shared" ca="1" si="245"/>
        <v>240</v>
      </c>
      <c r="P1153" s="84">
        <f t="shared" ca="1" si="245"/>
        <v>40</v>
      </c>
      <c r="Q1153" s="84">
        <f t="shared" ca="1" si="245"/>
        <v>315</v>
      </c>
      <c r="R1153" s="84">
        <f t="shared" ca="1" si="245"/>
        <v>100</v>
      </c>
      <c r="S1153" s="84">
        <f t="shared" ca="1" si="245"/>
        <v>695</v>
      </c>
      <c r="T1153" s="84">
        <f t="shared" ca="1" si="245"/>
        <v>33.333333333333336</v>
      </c>
    </row>
    <row r="1154" spans="1:20" ht="15" x14ac:dyDescent="0.2">
      <c r="A1154" s="11">
        <f t="shared" si="238"/>
        <v>2098</v>
      </c>
      <c r="B1154" s="11">
        <f t="shared" si="241"/>
        <v>365</v>
      </c>
      <c r="C1154" s="84">
        <f t="shared" ca="1" si="244"/>
        <v>154.75825</v>
      </c>
      <c r="D1154" s="84">
        <f t="shared" ca="1" si="244"/>
        <v>281.0162499999999</v>
      </c>
      <c r="E1154" s="84">
        <f t="shared" ca="1" si="244"/>
        <v>109.1005</v>
      </c>
      <c r="F1154" s="84">
        <f t="shared" ca="1" si="244"/>
        <v>57.041666666666664</v>
      </c>
      <c r="G1154" s="84">
        <f t="shared" ca="1" si="244"/>
        <v>40</v>
      </c>
      <c r="H1154" s="84">
        <f t="shared" ca="1" si="244"/>
        <v>174.58333333333334</v>
      </c>
      <c r="I1154" s="84">
        <f t="shared" ca="1" si="244"/>
        <v>0</v>
      </c>
      <c r="J1154" s="84">
        <f t="shared" ca="1" si="244"/>
        <v>100</v>
      </c>
      <c r="K1154" s="84">
        <f t="shared" ca="1" si="244"/>
        <v>300</v>
      </c>
      <c r="L1154" s="84">
        <f t="shared" ca="1" si="244"/>
        <v>1216.5</v>
      </c>
      <c r="M1154" s="84">
        <f t="shared" ca="1" si="245"/>
        <v>600</v>
      </c>
      <c r="N1154" s="84">
        <f t="shared" ca="1" si="245"/>
        <v>72.5</v>
      </c>
      <c r="O1154" s="84">
        <f t="shared" ca="1" si="245"/>
        <v>240</v>
      </c>
      <c r="P1154" s="84">
        <f t="shared" ca="1" si="245"/>
        <v>40</v>
      </c>
      <c r="Q1154" s="84">
        <f t="shared" ca="1" si="245"/>
        <v>315</v>
      </c>
      <c r="R1154" s="84">
        <f t="shared" ca="1" si="245"/>
        <v>100</v>
      </c>
      <c r="S1154" s="84">
        <f t="shared" ca="1" si="245"/>
        <v>695</v>
      </c>
      <c r="T1154" s="84">
        <f t="shared" ca="1" si="245"/>
        <v>33.333333333333336</v>
      </c>
    </row>
    <row r="1155" spans="1:20" ht="15" x14ac:dyDescent="0.2">
      <c r="A1155" s="11">
        <f t="shared" si="238"/>
        <v>2099</v>
      </c>
      <c r="B1155" s="11">
        <f t="shared" si="241"/>
        <v>365</v>
      </c>
      <c r="C1155" s="84">
        <f t="shared" ca="1" si="244"/>
        <v>154.75825</v>
      </c>
      <c r="D1155" s="84">
        <f t="shared" ca="1" si="244"/>
        <v>281.0162499999999</v>
      </c>
      <c r="E1155" s="84">
        <f t="shared" ca="1" si="244"/>
        <v>109.1005</v>
      </c>
      <c r="F1155" s="84">
        <f t="shared" ca="1" si="244"/>
        <v>57.041666666666664</v>
      </c>
      <c r="G1155" s="84">
        <f t="shared" ca="1" si="244"/>
        <v>40</v>
      </c>
      <c r="H1155" s="84">
        <f t="shared" ca="1" si="244"/>
        <v>174.58333333333334</v>
      </c>
      <c r="I1155" s="84">
        <f t="shared" ca="1" si="244"/>
        <v>0</v>
      </c>
      <c r="J1155" s="84">
        <f t="shared" ca="1" si="244"/>
        <v>100</v>
      </c>
      <c r="K1155" s="84">
        <f t="shared" ca="1" si="244"/>
        <v>300</v>
      </c>
      <c r="L1155" s="84">
        <f t="shared" ca="1" si="244"/>
        <v>1216.5</v>
      </c>
      <c r="M1155" s="84">
        <f t="shared" ca="1" si="245"/>
        <v>600</v>
      </c>
      <c r="N1155" s="84">
        <f t="shared" ca="1" si="245"/>
        <v>72.5</v>
      </c>
      <c r="O1155" s="84">
        <f t="shared" ca="1" si="245"/>
        <v>240</v>
      </c>
      <c r="P1155" s="84">
        <f t="shared" ca="1" si="245"/>
        <v>40</v>
      </c>
      <c r="Q1155" s="84">
        <f t="shared" ca="1" si="245"/>
        <v>315</v>
      </c>
      <c r="R1155" s="84">
        <f t="shared" ca="1" si="245"/>
        <v>100</v>
      </c>
      <c r="S1155" s="84">
        <f t="shared" ca="1" si="245"/>
        <v>695</v>
      </c>
      <c r="T1155" s="84">
        <f t="shared" ca="1" si="245"/>
        <v>33.333333333333336</v>
      </c>
    </row>
    <row r="1156" spans="1:20" ht="15" x14ac:dyDescent="0.2">
      <c r="A1156" s="11">
        <f t="shared" si="238"/>
        <v>2100</v>
      </c>
      <c r="B1156" s="11">
        <f t="shared" si="241"/>
        <v>365</v>
      </c>
      <c r="C1156" s="84">
        <f t="shared" ca="1" si="244"/>
        <v>154.75825</v>
      </c>
      <c r="D1156" s="84">
        <f t="shared" ca="1" si="244"/>
        <v>281.0162499999999</v>
      </c>
      <c r="E1156" s="84">
        <f t="shared" ca="1" si="244"/>
        <v>109.1005</v>
      </c>
      <c r="F1156" s="84">
        <f t="shared" ca="1" si="244"/>
        <v>57.041666666666664</v>
      </c>
      <c r="G1156" s="84">
        <f t="shared" ca="1" si="244"/>
        <v>40</v>
      </c>
      <c r="H1156" s="84">
        <f t="shared" ca="1" si="244"/>
        <v>174.58333333333334</v>
      </c>
      <c r="I1156" s="84">
        <f t="shared" ca="1" si="244"/>
        <v>0</v>
      </c>
      <c r="J1156" s="84">
        <f t="shared" ca="1" si="244"/>
        <v>100</v>
      </c>
      <c r="K1156" s="84">
        <f t="shared" ca="1" si="244"/>
        <v>300</v>
      </c>
      <c r="L1156" s="84">
        <f t="shared" ca="1" si="244"/>
        <v>1216.5</v>
      </c>
      <c r="M1156" s="84">
        <f t="shared" ca="1" si="245"/>
        <v>600</v>
      </c>
      <c r="N1156" s="84">
        <f t="shared" ca="1" si="245"/>
        <v>72.5</v>
      </c>
      <c r="O1156" s="84">
        <f t="shared" ca="1" si="245"/>
        <v>240</v>
      </c>
      <c r="P1156" s="84">
        <f t="shared" ca="1" si="245"/>
        <v>40</v>
      </c>
      <c r="Q1156" s="84">
        <f t="shared" ca="1" si="245"/>
        <v>315</v>
      </c>
      <c r="R1156" s="84">
        <f t="shared" ca="1" si="245"/>
        <v>100</v>
      </c>
      <c r="S1156" s="84">
        <f t="shared" ca="1" si="245"/>
        <v>695</v>
      </c>
      <c r="T1156" s="84">
        <f t="shared" ca="1" si="245"/>
        <v>33.333333333333336</v>
      </c>
    </row>
    <row r="1157" spans="1:20" x14ac:dyDescent="0.2">
      <c r="A1157" s="8"/>
      <c r="B1157" s="8"/>
    </row>
    <row r="1158" spans="1:20" x14ac:dyDescent="0.2">
      <c r="A1158" s="8"/>
      <c r="B1158" s="8"/>
    </row>
    <row r="1159" spans="1:20" x14ac:dyDescent="0.2">
      <c r="A1159" s="8"/>
      <c r="B1159" s="8"/>
    </row>
    <row r="1160" spans="1:20" x14ac:dyDescent="0.2">
      <c r="A1160" s="8"/>
      <c r="B1160" s="8"/>
    </row>
    <row r="1161" spans="1:20" x14ac:dyDescent="0.2">
      <c r="A1161" s="8"/>
      <c r="B1161" s="8"/>
    </row>
    <row r="1162" spans="1:20" x14ac:dyDescent="0.2">
      <c r="A1162" s="8"/>
      <c r="B1162" s="8"/>
    </row>
    <row r="1163" spans="1:20" x14ac:dyDescent="0.2">
      <c r="A1163" s="8"/>
      <c r="B1163" s="8"/>
    </row>
    <row r="1164" spans="1:20" x14ac:dyDescent="0.2">
      <c r="A1164" s="8"/>
      <c r="B1164" s="8"/>
    </row>
    <row r="1165" spans="1:20" x14ac:dyDescent="0.2">
      <c r="A1165" s="8"/>
      <c r="B1165" s="8"/>
    </row>
    <row r="1166" spans="1:20" x14ac:dyDescent="0.2">
      <c r="A1166" s="8"/>
      <c r="B1166" s="8"/>
    </row>
    <row r="1167" spans="1:20" x14ac:dyDescent="0.2">
      <c r="A1167" s="8"/>
      <c r="B1167" s="8"/>
    </row>
    <row r="1168" spans="1:20" x14ac:dyDescent="0.2">
      <c r="A1168" s="8"/>
      <c r="B1168" s="8"/>
    </row>
    <row r="1169" spans="1:2" x14ac:dyDescent="0.2">
      <c r="A1169" s="8"/>
      <c r="B1169" s="8"/>
    </row>
    <row r="1170" spans="1:2" x14ac:dyDescent="0.2">
      <c r="A1170" s="8"/>
      <c r="B1170" s="8"/>
    </row>
    <row r="1171" spans="1:2" x14ac:dyDescent="0.2">
      <c r="A1171" s="8"/>
      <c r="B1171" s="8"/>
    </row>
    <row r="1172" spans="1:2" x14ac:dyDescent="0.2">
      <c r="A1172" s="8"/>
      <c r="B1172" s="8"/>
    </row>
    <row r="1173" spans="1:2" x14ac:dyDescent="0.2">
      <c r="A1173" s="8"/>
      <c r="B1173" s="8"/>
    </row>
    <row r="1174" spans="1:2" x14ac:dyDescent="0.2">
      <c r="A1174" s="8"/>
      <c r="B1174" s="8"/>
    </row>
    <row r="1175" spans="1:2" x14ac:dyDescent="0.2">
      <c r="A1175" s="8"/>
      <c r="B1175" s="8"/>
    </row>
    <row r="1176" spans="1:2" x14ac:dyDescent="0.2">
      <c r="A1176" s="8"/>
      <c r="B1176" s="8"/>
    </row>
  </sheetData>
  <mergeCells count="3">
    <mergeCell ref="C9:F9"/>
    <mergeCell ref="O9:Q9"/>
    <mergeCell ref="I9:K9"/>
  </mergeCells>
  <pageMargins left="0.25" right="0.25" top="0.5" bottom="0.5" header="0.25" footer="0.25"/>
  <pageSetup paperSize="17" scale="55" orientation="landscape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CONTROL</vt:lpstr>
      <vt:lpstr>RAP-LIGHT OIL</vt:lpstr>
      <vt:lpstr>RAP-HEAVY OIL&amp;WTI</vt:lpstr>
      <vt:lpstr>RAP-SOLID FUEL PRICES</vt:lpstr>
      <vt:lpstr>RAP-NATURAL GAS PRICES</vt:lpstr>
      <vt:lpstr>RAP TEMPLATE-GAS AVAILABILITY</vt:lpstr>
      <vt:lpstr>'RAP TEMPLATE-GAS AVAILABILITY'!Print_Area</vt:lpstr>
      <vt:lpstr>'RAP-HEAVY OIL&amp;WTI'!Print_Area</vt:lpstr>
      <vt:lpstr>'RAP-LIGHT OIL'!Print_Area</vt:lpstr>
      <vt:lpstr>'RAP-NATURAL GAS PRICES'!Print_Area</vt:lpstr>
      <vt:lpstr>'RAP-SOLID FUEL PRICES'!Print_Area</vt:lpstr>
      <vt:lpstr>'RAP TEMPLATE-GAS AVAILABILITY'!Print_Titles</vt:lpstr>
      <vt:lpstr>'RAP-HEAVY OIL&amp;WTI'!Print_Titles</vt:lpstr>
      <vt:lpstr>'RAP-LIGHT OIL'!Print_Titles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2016-07-29T16:41:48Z</dcterms:created>
  <dcterms:modified xsi:type="dcterms:W3CDTF">2016-07-29T16:41:51Z</dcterms:modified>
</cp:coreProperties>
</file>